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42_V4\07_新版命名工况表\"/>
    </mc:Choice>
  </mc:AlternateContent>
  <bookViews>
    <workbookView xWindow="0" yWindow="0" windowWidth="28800" windowHeight="12390" tabRatio="802"/>
  </bookViews>
  <sheets>
    <sheet name="Setting" sheetId="1" r:id="rId1"/>
    <sheet name="DLC11" sheetId="61" r:id="rId2"/>
    <sheet name="DLC12" sheetId="41" r:id="rId3"/>
    <sheet name="DLC13" sheetId="42" r:id="rId4"/>
    <sheet name="DLC14" sheetId="43" r:id="rId5"/>
    <sheet name="DLC15" sheetId="44" r:id="rId6"/>
    <sheet name="DLC21a" sheetId="45" r:id="rId7"/>
    <sheet name="DLC21b" sheetId="87" r:id="rId8"/>
    <sheet name="DLC21c" sheetId="89" r:id="rId9"/>
    <sheet name="DLC21d" sheetId="88" r:id="rId10"/>
    <sheet name="DLC22a" sheetId="46" r:id="rId11"/>
    <sheet name="DLC22b" sheetId="91" r:id="rId12"/>
    <sheet name="DLC22c" sheetId="92" r:id="rId13"/>
    <sheet name="DLC22d" sheetId="93" r:id="rId14"/>
    <sheet name="DLC23" sheetId="47" r:id="rId15"/>
    <sheet name="DLC24a" sheetId="48" r:id="rId16"/>
    <sheet name="DLC24b" sheetId="94" r:id="rId17"/>
    <sheet name="DLC24c" sheetId="95" r:id="rId18"/>
    <sheet name="DLC24d" sheetId="96" r:id="rId19"/>
    <sheet name="DLC25" sheetId="82" r:id="rId20"/>
    <sheet name="DLC31" sheetId="62" r:id="rId21"/>
    <sheet name="DLC32" sheetId="97" r:id="rId22"/>
    <sheet name="DLC33" sheetId="98" r:id="rId23"/>
    <sheet name="DLC41" sheetId="49" r:id="rId24"/>
    <sheet name="DLC42" sheetId="50" r:id="rId25"/>
    <sheet name="DLC51" sheetId="63" r:id="rId26"/>
    <sheet name="DLC51_0" sheetId="51" state="hidden" r:id="rId27"/>
    <sheet name="DLC61" sheetId="52" r:id="rId28"/>
    <sheet name="DLC62" sheetId="53" r:id="rId29"/>
    <sheet name="DLC63" sheetId="54" r:id="rId30"/>
    <sheet name="DLC64" sheetId="55" r:id="rId31"/>
    <sheet name="DLC71a" sheetId="56" r:id="rId32"/>
    <sheet name="DLC71b" sheetId="86" r:id="rId33"/>
    <sheet name="DLC81a" sheetId="57" r:id="rId34"/>
    <sheet name="DLC81b" sheetId="58" state="hidden" r:id="rId35"/>
    <sheet name="DLC81c" sheetId="59" r:id="rId36"/>
    <sheet name="DLC82b" sheetId="60" r:id="rId37"/>
    <sheet name="DLC82a" sheetId="39" state="hidden" r:id="rId38"/>
    <sheet name="DLC91" sheetId="64" state="hidden" r:id="rId39"/>
    <sheet name="DLC95" sheetId="79" state="hidden" r:id="rId40"/>
    <sheet name="DLC96" sheetId="80" state="hidden" r:id="rId41"/>
    <sheet name="DLC97" sheetId="81" state="hidden" r:id="rId42"/>
    <sheet name="DLCT1" sheetId="65" state="hidden" r:id="rId43"/>
    <sheet name="DLCT2" sheetId="66" state="hidden" r:id="rId44"/>
    <sheet name="DLCT3" sheetId="67" state="hidden" r:id="rId45"/>
    <sheet name="DLCT4" sheetId="68" state="hidden" r:id="rId46"/>
    <sheet name="DLCT5" sheetId="69" state="hidden" r:id="rId47"/>
    <sheet name="DLCT6" sheetId="70" state="hidden" r:id="rId48"/>
    <sheet name="DLCT7" sheetId="71" state="hidden" r:id="rId49"/>
    <sheet name="DLCT8" sheetId="72" state="hidden" r:id="rId50"/>
    <sheet name="DLCT9" sheetId="73" state="hidden" r:id="rId51"/>
    <sheet name="DLCT10" sheetId="74" state="hidden" r:id="rId52"/>
    <sheet name="DLCT11" sheetId="75" state="hidden" r:id="rId53"/>
    <sheet name="DLCT12" sheetId="76" state="hidden" r:id="rId54"/>
    <sheet name="DLCT13a" sheetId="77" state="hidden" r:id="rId55"/>
    <sheet name="DLCT13b" sheetId="78" state="hidden" r:id="rId56"/>
    <sheet name="DLC3x" sheetId="38" state="hidden" r:id="rId57"/>
    <sheet name="DLC82c" sheetId="40" state="hidden" r:id="rId58"/>
  </sheets>
  <externalReferences>
    <externalReference r:id="rId59"/>
    <externalReference r:id="rId60"/>
    <externalReference r:id="rId61"/>
  </externalReferences>
  <definedNames>
    <definedName name="alpha_e">Setting!$C$47</definedName>
    <definedName name="alpha_n">Setting!$C$46</definedName>
    <definedName name="Blade_set_angle_error">Setting!$C$62</definedName>
    <definedName name="Btorque_1">Setting!$C$132</definedName>
    <definedName name="Btorque_2">Setting!$C$133</definedName>
    <definedName name="Btorque_max">Setting!$C$71</definedName>
    <definedName name="buffer_sc">Setting!$C$77</definedName>
    <definedName name="clutch_as">Setting!$C$68</definedName>
    <definedName name="clutch_sf">Setting!$C$67</definedName>
    <definedName name="diameter">Setting!$C$9</definedName>
    <definedName name="dlc63_y1">Setting!$C$135</definedName>
    <definedName name="dlc63_y2">Setting!$C$136</definedName>
    <definedName name="dlc63_y3">Setting!$C$137</definedName>
    <definedName name="dlc63_y4">Setting!$C$138</definedName>
    <definedName name="dlc63_y5">Setting!$C$139</definedName>
    <definedName name="dlc81c_r1">Setting!$C$143</definedName>
    <definedName name="dlc81c_r2">Setting!$C$144</definedName>
    <definedName name="dlc81c_r3">Setting!$C$145</definedName>
    <definedName name="dlc81c_y1">Setting!$C$140</definedName>
    <definedName name="dlc81c_y2">Setting!$C$141</definedName>
    <definedName name="dlc81c_y3">Setting!$C$142</definedName>
    <definedName name="ECD_t">Setting!$C$127</definedName>
    <definedName name="ECD_v">Setting!$C$126</definedName>
    <definedName name="EDCT_t">Setting!$C$128</definedName>
    <definedName name="EOG_t1">Setting!$C$129</definedName>
    <definedName name="EWS_b">Setting!$C$130</definedName>
    <definedName name="EWS_t">Setting!$C$131</definedName>
    <definedName name="H_hp">Setting!$C$89</definedName>
    <definedName name="h_hub">Setting!$C$19</definedName>
    <definedName name="H_hy">Setting!$C$88</definedName>
    <definedName name="H_ice">Setting!$C$90</definedName>
    <definedName name="H_typhoon">Setting!$C$91</definedName>
    <definedName name="H_year">Setting!$C$21</definedName>
    <definedName name="I_ref">Setting!$C$17</definedName>
    <definedName name="inflow">Setting!$C$50</definedName>
    <definedName name="k_opt_min_operation">[1]Setting!#REF!</definedName>
    <definedName name="LVRT">Setting!$B$85</definedName>
    <definedName name="m_ty">Setting!$C$121</definedName>
    <definedName name="m_ty_t">Setting!$C$124</definedName>
    <definedName name="m_tz">Setting!$C$122</definedName>
    <definedName name="m_tz_t">Setting!$C$125</definedName>
    <definedName name="path_sc2">Setting!$B$74</definedName>
    <definedName name="path_sc3">Setting!$B$75</definedName>
    <definedName name="Pitch_angle_powprod">Setting!$C$61</definedName>
    <definedName name="pitch_runaway_feather">Setting!$C$58</definedName>
    <definedName name="pitch_runaway_fine">Setting!$C$59</definedName>
    <definedName name="Pitch_runaway_fine_Hardware">Setting!$C$60</definedName>
    <definedName name="start_pitch">Setting!$C$103</definedName>
    <definedName name="start_rpm">Setting!$C$102</definedName>
    <definedName name="t_c">Setting!$C$18</definedName>
    <definedName name="t_eqk">Setting!$C$22</definedName>
    <definedName name="T_G">Setting!$C$93</definedName>
    <definedName name="t_max_sc">Setting!$C$79</definedName>
    <definedName name="t_min_sc">Setting!$C$78</definedName>
    <definedName name="T_N4">Setting!$C$92</definedName>
    <definedName name="T_nshut1">Setting!$C$97</definedName>
    <definedName name="T_nshut2">Setting!$C$98</definedName>
    <definedName name="T_nshut3">Setting!$C$99</definedName>
    <definedName name="t_out">Setting!$C$23</definedName>
    <definedName name="t_out_sc">Setting!$C$80</definedName>
    <definedName name="T_s1">Setting!$C$24</definedName>
    <definedName name="T_s2">Setting!$C$25</definedName>
    <definedName name="t_sc">Setting!$C$82</definedName>
    <definedName name="t_sim_sc">Setting!$C$81</definedName>
    <definedName name="t_startup_50_power">[2]Setting!$C$114</definedName>
    <definedName name="t_startup_95_power">[2]Setting!$C$115</definedName>
    <definedName name="T_startup1">Setting!$C$94</definedName>
    <definedName name="T_startup2">Setting!$C$95</definedName>
    <definedName name="T_startup3">Setting!$C$96</definedName>
    <definedName name="trig_t">Setting!$C$134</definedName>
    <definedName name="ts_sc">Setting!$C$76</definedName>
    <definedName name="TTM">Setting!$C$12</definedName>
    <definedName name="tur_scale">Setting!$C$123</definedName>
    <definedName name="v_1">Setting!$C$30</definedName>
    <definedName name="v_50">Setting!$C$28</definedName>
    <definedName name="v_ave">Setting!$C$14</definedName>
    <definedName name="v_c">Setting!$C$39</definedName>
    <definedName name="v_e1">Setting!$C$31</definedName>
    <definedName name="v_e50">Setting!$C$29</definedName>
    <definedName name="v_in">Setting!$C$35</definedName>
    <definedName name="v_m">Setting!$C$41</definedName>
    <definedName name="v_out">Setting!$C$40</definedName>
    <definedName name="v_r">Setting!$C$36</definedName>
    <definedName name="v_r_mean">[1]Setting!$C$36</definedName>
    <definedName name="v_r_min_operation">[2]Setting!$D$39</definedName>
    <definedName name="v_ref">Setting!$C$10</definedName>
    <definedName name="v_step">Setting!$C$43</definedName>
    <definedName name="V_step_12">Setting!$C$42</definedName>
    <definedName name="v_T1">Setting!$C$32</definedName>
    <definedName name="v_tref">Setting!$C$11</definedName>
    <definedName name="vr_a">Setting!$C$38</definedName>
    <definedName name="vr_a_mean">[1]Setting!$C$38</definedName>
    <definedName name="vr_a_min_operation">[2]Setting!$D$41</definedName>
    <definedName name="vr_b">Setting!$C$37</definedName>
    <definedName name="vr_b_mean">[1]Setting!$C$37</definedName>
    <definedName name="vr_b_min_operation">[2]Setting!$D$40</definedName>
    <definedName name="weibull_A">Setting!$C$15</definedName>
    <definedName name="weibull_K">Setting!$C$16</definedName>
    <definedName name="wpd">Setting!$C$13</definedName>
    <definedName name="Yaw_frition">Setting!$C$63</definedName>
    <definedName name="yaw_max">Setting!$C$53</definedName>
    <definedName name="yaw_min">Setting!$C$55</definedName>
    <definedName name="yaw_null">Setting!$C$54</definedName>
    <definedName name="yaw_runaway">Setting!$C$64</definedName>
    <definedName name="ρ_min_operation">[1]Setting!#REF!</definedName>
  </definedNames>
  <calcPr calcId="162913"/>
</workbook>
</file>

<file path=xl/calcChain.xml><?xml version="1.0" encoding="utf-8"?>
<calcChain xmlns="http://schemas.openxmlformats.org/spreadsheetml/2006/main">
  <c r="C12" i="95" l="1"/>
  <c r="C13" i="95"/>
  <c r="C14" i="95"/>
  <c r="C15" i="95"/>
  <c r="C16" i="95"/>
  <c r="C17" i="95"/>
  <c r="C18" i="95"/>
  <c r="C19" i="95"/>
  <c r="C20" i="95"/>
  <c r="C21" i="95"/>
  <c r="C22" i="95"/>
  <c r="C23" i="95"/>
  <c r="C24" i="95"/>
  <c r="C25" i="95"/>
  <c r="C26" i="95"/>
  <c r="C27" i="95"/>
  <c r="C28" i="95"/>
  <c r="C29" i="95"/>
  <c r="C30" i="95"/>
  <c r="C31" i="95"/>
  <c r="C32" i="95"/>
  <c r="C33" i="95"/>
  <c r="C34" i="95"/>
  <c r="C35" i="95"/>
  <c r="C36" i="95"/>
  <c r="C37" i="95"/>
  <c r="C38" i="95"/>
  <c r="C39" i="95"/>
  <c r="C40" i="95"/>
  <c r="C41" i="95"/>
  <c r="C42" i="95"/>
  <c r="C43" i="95"/>
  <c r="C44" i="95"/>
  <c r="C45" i="95"/>
  <c r="C46" i="95"/>
  <c r="C47" i="95"/>
  <c r="C48" i="95"/>
  <c r="C49" i="95"/>
  <c r="C50" i="95"/>
  <c r="C51" i="95"/>
  <c r="C52" i="95"/>
  <c r="C53" i="95"/>
  <c r="C54" i="95"/>
  <c r="C55" i="95"/>
  <c r="C56" i="95"/>
  <c r="C57" i="95"/>
  <c r="C58" i="95"/>
  <c r="C59" i="95"/>
  <c r="C60" i="95"/>
  <c r="C61" i="95"/>
  <c r="C62" i="95"/>
  <c r="C63" i="95"/>
  <c r="C64" i="95"/>
  <c r="C65" i="95"/>
  <c r="C66" i="95"/>
  <c r="C67" i="95"/>
  <c r="C68" i="95"/>
  <c r="C69" i="95"/>
  <c r="C70" i="95"/>
  <c r="C71" i="95"/>
  <c r="C72" i="95"/>
  <c r="C73" i="95"/>
  <c r="C74" i="95"/>
  <c r="C75" i="95"/>
  <c r="C76" i="95"/>
  <c r="C77" i="95"/>
  <c r="C78" i="95"/>
  <c r="C79" i="95"/>
  <c r="C80" i="95"/>
  <c r="C81" i="95"/>
  <c r="C82" i="95"/>
  <c r="C83" i="95"/>
  <c r="C84" i="95"/>
  <c r="C85" i="95"/>
  <c r="C86" i="95"/>
  <c r="C87" i="95"/>
  <c r="C88" i="95"/>
  <c r="C89" i="95"/>
  <c r="C90" i="95"/>
  <c r="C91" i="95"/>
  <c r="C92" i="95"/>
  <c r="C93" i="95"/>
  <c r="C94" i="95"/>
  <c r="C95" i="95"/>
  <c r="C96" i="95"/>
  <c r="C97" i="95"/>
  <c r="C98" i="95"/>
  <c r="C99" i="95"/>
  <c r="C100" i="95"/>
  <c r="C101" i="95"/>
  <c r="C102" i="95"/>
  <c r="C103" i="95"/>
  <c r="C104" i="95"/>
  <c r="C105" i="95"/>
  <c r="C106" i="95"/>
  <c r="C107" i="95"/>
  <c r="C108" i="95"/>
  <c r="C109" i="95"/>
  <c r="C110" i="95"/>
  <c r="C111" i="95"/>
  <c r="C112" i="95"/>
  <c r="C113" i="95"/>
  <c r="C114" i="95"/>
  <c r="C115" i="95"/>
  <c r="C116" i="95"/>
  <c r="C117" i="95"/>
  <c r="C118" i="95"/>
  <c r="C119" i="95"/>
  <c r="C120" i="95"/>
  <c r="C121" i="95"/>
  <c r="C122" i="95"/>
  <c r="C123" i="95"/>
  <c r="C124" i="95"/>
  <c r="C125" i="95"/>
  <c r="C126" i="95"/>
  <c r="C127" i="95"/>
  <c r="C128" i="95"/>
  <c r="C129" i="95"/>
  <c r="C130" i="95"/>
  <c r="C131" i="95"/>
  <c r="C132" i="95"/>
  <c r="C133" i="95"/>
  <c r="C134" i="95"/>
  <c r="C135" i="95"/>
  <c r="C136" i="95"/>
  <c r="C137" i="95"/>
  <c r="C138" i="95"/>
  <c r="C139" i="95"/>
  <c r="C140" i="95"/>
  <c r="C141" i="95"/>
  <c r="C142" i="95"/>
  <c r="C143" i="95"/>
  <c r="C144" i="95"/>
  <c r="C145" i="95"/>
  <c r="C146" i="95"/>
  <c r="C147" i="95"/>
  <c r="C148" i="95"/>
  <c r="C149" i="95"/>
  <c r="C150" i="95"/>
  <c r="C151" i="95"/>
  <c r="C152" i="95"/>
  <c r="C153" i="95"/>
  <c r="C154" i="95"/>
  <c r="C155" i="95"/>
  <c r="C156" i="95"/>
  <c r="C157" i="95"/>
  <c r="C158" i="95"/>
  <c r="C159" i="95"/>
  <c r="C160" i="95"/>
  <c r="C161" i="95"/>
  <c r="C162" i="95"/>
  <c r="C163" i="95"/>
  <c r="C164" i="95"/>
  <c r="C165" i="95"/>
  <c r="C166" i="95"/>
  <c r="C167" i="95"/>
  <c r="C168" i="95"/>
  <c r="C169" i="95"/>
  <c r="C170" i="95"/>
  <c r="C171" i="95"/>
  <c r="C172" i="95"/>
  <c r="C173" i="95"/>
  <c r="C174" i="95"/>
  <c r="C175" i="95"/>
  <c r="C176" i="95"/>
  <c r="C177" i="95"/>
  <c r="C178" i="95"/>
  <c r="C179" i="95"/>
  <c r="C180" i="95"/>
  <c r="C181" i="95"/>
  <c r="C182" i="95"/>
  <c r="C183" i="95"/>
  <c r="C184" i="95"/>
  <c r="C185" i="95"/>
  <c r="C186" i="95"/>
  <c r="C187" i="95"/>
  <c r="C188" i="95"/>
  <c r="C189" i="95"/>
  <c r="C190" i="95"/>
  <c r="C191" i="95"/>
  <c r="C192" i="95"/>
  <c r="C193" i="95"/>
  <c r="C194" i="95"/>
  <c r="C195" i="95"/>
  <c r="C196" i="95"/>
  <c r="C197" i="95"/>
  <c r="C198" i="95"/>
  <c r="C199" i="95"/>
  <c r="C200" i="95"/>
  <c r="C201" i="95"/>
  <c r="C202" i="95"/>
  <c r="C203" i="95"/>
  <c r="C204" i="95"/>
  <c r="C205" i="95"/>
  <c r="C206" i="95"/>
  <c r="C207" i="95"/>
  <c r="C208" i="95"/>
  <c r="C209" i="95"/>
  <c r="C210" i="95"/>
  <c r="C211" i="95"/>
  <c r="C212" i="95"/>
  <c r="C213" i="95"/>
  <c r="C214" i="95"/>
  <c r="C215" i="95"/>
  <c r="C216" i="95"/>
  <c r="C217" i="95"/>
  <c r="C218" i="95"/>
  <c r="C219" i="95"/>
  <c r="C220" i="95"/>
  <c r="C221" i="95"/>
  <c r="C222" i="95"/>
  <c r="C223" i="95"/>
  <c r="C224" i="95"/>
  <c r="C225" i="95"/>
  <c r="C226" i="95"/>
  <c r="C227" i="95"/>
  <c r="C228" i="95"/>
  <c r="C229" i="95"/>
  <c r="C230" i="95"/>
  <c r="C231" i="95"/>
  <c r="C232" i="95"/>
  <c r="C233" i="95"/>
  <c r="C234" i="95"/>
  <c r="C235" i="95"/>
  <c r="C236" i="95"/>
  <c r="C237" i="95"/>
  <c r="C238" i="95"/>
  <c r="C239" i="95"/>
  <c r="C240" i="95"/>
  <c r="C241" i="95"/>
  <c r="C242" i="95"/>
  <c r="C243" i="95"/>
  <c r="C244" i="95"/>
  <c r="C245" i="95"/>
  <c r="C246" i="95"/>
  <c r="C247" i="95"/>
  <c r="C248" i="95"/>
  <c r="C249" i="95"/>
  <c r="C250" i="95"/>
  <c r="C251" i="95"/>
  <c r="C252" i="95"/>
  <c r="C253" i="95"/>
  <c r="C254" i="95"/>
  <c r="C255" i="95"/>
  <c r="C256" i="95"/>
  <c r="C257" i="95"/>
  <c r="C258" i="95"/>
  <c r="C259" i="95"/>
  <c r="C260" i="95"/>
  <c r="C261" i="95"/>
  <c r="C262" i="95"/>
  <c r="C263" i="95"/>
  <c r="C264" i="95"/>
  <c r="C265" i="95"/>
  <c r="C266" i="95"/>
  <c r="C267" i="95"/>
  <c r="C268" i="95"/>
  <c r="C269" i="95"/>
  <c r="C270" i="95"/>
  <c r="C271" i="95"/>
  <c r="C272" i="95"/>
  <c r="C273" i="95"/>
  <c r="C274" i="95"/>
  <c r="C275" i="95"/>
  <c r="C276" i="95"/>
  <c r="C277" i="95"/>
  <c r="C278" i="95"/>
  <c r="C279" i="95"/>
  <c r="C280" i="95"/>
  <c r="C281" i="95"/>
  <c r="C282" i="95"/>
  <c r="C283" i="95"/>
  <c r="C284" i="95"/>
  <c r="C285" i="95"/>
  <c r="C286" i="95"/>
  <c r="C287" i="95"/>
  <c r="C288" i="95"/>
  <c r="C289" i="95"/>
  <c r="C290" i="95"/>
  <c r="C291" i="95"/>
  <c r="C292" i="95"/>
  <c r="C293" i="95"/>
  <c r="C294" i="95"/>
  <c r="C295" i="95"/>
  <c r="C296" i="95"/>
  <c r="C297" i="95"/>
  <c r="C298" i="95"/>
  <c r="C11" i="95"/>
  <c r="H7" i="42" l="1"/>
  <c r="I7" i="42"/>
  <c r="U11" i="55" l="1"/>
  <c r="D191" i="42"/>
  <c r="J226" i="42"/>
  <c r="J225" i="42"/>
  <c r="J224" i="42"/>
  <c r="J223" i="42"/>
  <c r="J222" i="42"/>
  <c r="J221" i="42"/>
  <c r="J220" i="42"/>
  <c r="J219" i="42"/>
  <c r="J218" i="42"/>
  <c r="J217" i="42"/>
  <c r="J216" i="42"/>
  <c r="J215" i="42"/>
  <c r="J214" i="42"/>
  <c r="J213" i="42"/>
  <c r="J212" i="42"/>
  <c r="J211" i="42"/>
  <c r="J210" i="42"/>
  <c r="N209" i="42"/>
  <c r="N210" i="42" s="1"/>
  <c r="N211" i="42" s="1"/>
  <c r="N212" i="42" s="1"/>
  <c r="N213" i="42" s="1"/>
  <c r="N214" i="42" s="1"/>
  <c r="N215" i="42" s="1"/>
  <c r="N216" i="42" s="1"/>
  <c r="N217" i="42" s="1"/>
  <c r="N218" i="42" s="1"/>
  <c r="N219" i="42" s="1"/>
  <c r="N220" i="42" s="1"/>
  <c r="N221" i="42" s="1"/>
  <c r="N222" i="42" s="1"/>
  <c r="N223" i="42" s="1"/>
  <c r="N224" i="42" s="1"/>
  <c r="N225" i="42" s="1"/>
  <c r="N226" i="42" s="1"/>
  <c r="M209" i="42"/>
  <c r="M210" i="42" s="1"/>
  <c r="M211" i="42" s="1"/>
  <c r="M212" i="42" s="1"/>
  <c r="M213" i="42" s="1"/>
  <c r="M214" i="42" s="1"/>
  <c r="M215" i="42" s="1"/>
  <c r="M216" i="42" s="1"/>
  <c r="M217" i="42" s="1"/>
  <c r="M218" i="42" s="1"/>
  <c r="M219" i="42" s="1"/>
  <c r="M220" i="42" s="1"/>
  <c r="M221" i="42" s="1"/>
  <c r="M222" i="42" s="1"/>
  <c r="M223" i="42" s="1"/>
  <c r="M224" i="42" s="1"/>
  <c r="M225" i="42" s="1"/>
  <c r="M226" i="42" s="1"/>
  <c r="J209" i="42"/>
  <c r="I209" i="42"/>
  <c r="I210" i="42" s="1"/>
  <c r="I211" i="42" s="1"/>
  <c r="I212" i="42" s="1"/>
  <c r="I213" i="42" s="1"/>
  <c r="I214" i="42" s="1"/>
  <c r="I215" i="42" s="1"/>
  <c r="I216" i="42" s="1"/>
  <c r="I217" i="42" s="1"/>
  <c r="I218" i="42" s="1"/>
  <c r="I219" i="42" s="1"/>
  <c r="I220" i="42" s="1"/>
  <c r="I221" i="42" s="1"/>
  <c r="I222" i="42" s="1"/>
  <c r="I223" i="42" s="1"/>
  <c r="I224" i="42" s="1"/>
  <c r="I225" i="42" s="1"/>
  <c r="I226" i="42" s="1"/>
  <c r="D209" i="42"/>
  <c r="K209" i="42" s="1"/>
  <c r="B209" i="42"/>
  <c r="B210" i="42" s="1"/>
  <c r="B211" i="42" s="1"/>
  <c r="B212" i="42" s="1"/>
  <c r="B213" i="42" s="1"/>
  <c r="B214" i="42" s="1"/>
  <c r="B215" i="42" s="1"/>
  <c r="B216" i="42" s="1"/>
  <c r="B217" i="42" s="1"/>
  <c r="B218" i="42" s="1"/>
  <c r="B219" i="42" s="1"/>
  <c r="B220" i="42" s="1"/>
  <c r="B221" i="42" s="1"/>
  <c r="B222" i="42" s="1"/>
  <c r="B223" i="42" s="1"/>
  <c r="B224" i="42" s="1"/>
  <c r="B225" i="42" s="1"/>
  <c r="B226" i="42" s="1"/>
  <c r="D581" i="61"/>
  <c r="D582" i="61" s="1"/>
  <c r="D521" i="61"/>
  <c r="J640" i="61"/>
  <c r="J639" i="61"/>
  <c r="J638" i="61"/>
  <c r="J637" i="61"/>
  <c r="J636" i="61"/>
  <c r="J635" i="61"/>
  <c r="J634" i="61"/>
  <c r="J633" i="61"/>
  <c r="J632" i="61"/>
  <c r="J631" i="61"/>
  <c r="J630" i="61"/>
  <c r="J629" i="61"/>
  <c r="J628" i="61"/>
  <c r="J627" i="61"/>
  <c r="J626" i="61"/>
  <c r="J625" i="61"/>
  <c r="J624" i="61"/>
  <c r="J623" i="61"/>
  <c r="J622" i="61"/>
  <c r="J621" i="61"/>
  <c r="J620" i="61"/>
  <c r="J619" i="61"/>
  <c r="J618" i="61"/>
  <c r="J617" i="61"/>
  <c r="J616" i="61"/>
  <c r="J615" i="61"/>
  <c r="J614" i="61"/>
  <c r="J613" i="61"/>
  <c r="J612" i="61"/>
  <c r="J611" i="61"/>
  <c r="J610" i="61"/>
  <c r="J609" i="61"/>
  <c r="J608" i="61"/>
  <c r="J607" i="61"/>
  <c r="J606" i="61"/>
  <c r="J605" i="61"/>
  <c r="J604" i="61"/>
  <c r="J603" i="61"/>
  <c r="J602" i="61"/>
  <c r="J601" i="61"/>
  <c r="J600" i="61"/>
  <c r="J599" i="61"/>
  <c r="J598" i="61"/>
  <c r="J597" i="61"/>
  <c r="J596" i="61"/>
  <c r="J595" i="61"/>
  <c r="J594" i="61"/>
  <c r="J593" i="61"/>
  <c r="J592" i="61"/>
  <c r="J591" i="61"/>
  <c r="J590" i="61"/>
  <c r="J589" i="61"/>
  <c r="J588" i="61"/>
  <c r="J587" i="61"/>
  <c r="J586" i="61"/>
  <c r="J585" i="61"/>
  <c r="J584" i="61"/>
  <c r="J583" i="61"/>
  <c r="N582" i="61"/>
  <c r="N583" i="61" s="1"/>
  <c r="N584" i="61" s="1"/>
  <c r="N585" i="61" s="1"/>
  <c r="N586" i="61" s="1"/>
  <c r="N587" i="61" s="1"/>
  <c r="N588" i="61" s="1"/>
  <c r="N589" i="61" s="1"/>
  <c r="N590" i="61" s="1"/>
  <c r="N591" i="61" s="1"/>
  <c r="N592" i="61" s="1"/>
  <c r="N593" i="61" s="1"/>
  <c r="N594" i="61" s="1"/>
  <c r="N595" i="61" s="1"/>
  <c r="N596" i="61" s="1"/>
  <c r="N597" i="61" s="1"/>
  <c r="N598" i="61" s="1"/>
  <c r="N599" i="61" s="1"/>
  <c r="N600" i="61" s="1"/>
  <c r="N601" i="61" s="1"/>
  <c r="N602" i="61" s="1"/>
  <c r="N603" i="61" s="1"/>
  <c r="N604" i="61" s="1"/>
  <c r="N605" i="61" s="1"/>
  <c r="N606" i="61" s="1"/>
  <c r="N607" i="61" s="1"/>
  <c r="N608" i="61" s="1"/>
  <c r="N609" i="61" s="1"/>
  <c r="N610" i="61" s="1"/>
  <c r="N611" i="61" s="1"/>
  <c r="N612" i="61" s="1"/>
  <c r="N613" i="61" s="1"/>
  <c r="N614" i="61" s="1"/>
  <c r="N615" i="61" s="1"/>
  <c r="N616" i="61" s="1"/>
  <c r="N617" i="61" s="1"/>
  <c r="N618" i="61" s="1"/>
  <c r="N619" i="61" s="1"/>
  <c r="N620" i="61" s="1"/>
  <c r="N621" i="61" s="1"/>
  <c r="N622" i="61" s="1"/>
  <c r="N623" i="61" s="1"/>
  <c r="N624" i="61" s="1"/>
  <c r="N625" i="61" s="1"/>
  <c r="N626" i="61" s="1"/>
  <c r="N627" i="61" s="1"/>
  <c r="N628" i="61" s="1"/>
  <c r="N629" i="61" s="1"/>
  <c r="N630" i="61" s="1"/>
  <c r="N631" i="61" s="1"/>
  <c r="N632" i="61" s="1"/>
  <c r="N633" i="61" s="1"/>
  <c r="N634" i="61" s="1"/>
  <c r="N635" i="61" s="1"/>
  <c r="N636" i="61" s="1"/>
  <c r="N637" i="61" s="1"/>
  <c r="N638" i="61" s="1"/>
  <c r="N639" i="61" s="1"/>
  <c r="N640" i="61" s="1"/>
  <c r="J582" i="61"/>
  <c r="N581" i="61"/>
  <c r="M581" i="61"/>
  <c r="M582" i="61" s="1"/>
  <c r="M583" i="61" s="1"/>
  <c r="M584" i="61" s="1"/>
  <c r="M585" i="61" s="1"/>
  <c r="M586" i="61" s="1"/>
  <c r="M587" i="61" s="1"/>
  <c r="M588" i="61" s="1"/>
  <c r="M589" i="61" s="1"/>
  <c r="M590" i="61" s="1"/>
  <c r="M591" i="61" s="1"/>
  <c r="M592" i="61" s="1"/>
  <c r="M593" i="61" s="1"/>
  <c r="M594" i="61" s="1"/>
  <c r="M595" i="61" s="1"/>
  <c r="M596" i="61" s="1"/>
  <c r="M597" i="61" s="1"/>
  <c r="M598" i="61" s="1"/>
  <c r="M599" i="61" s="1"/>
  <c r="M600" i="61" s="1"/>
  <c r="M601" i="61" s="1"/>
  <c r="M602" i="61" s="1"/>
  <c r="M603" i="61" s="1"/>
  <c r="M604" i="61" s="1"/>
  <c r="M605" i="61" s="1"/>
  <c r="M606" i="61" s="1"/>
  <c r="M607" i="61" s="1"/>
  <c r="M608" i="61" s="1"/>
  <c r="M609" i="61" s="1"/>
  <c r="M610" i="61" s="1"/>
  <c r="M611" i="61" s="1"/>
  <c r="M612" i="61" s="1"/>
  <c r="M613" i="61" s="1"/>
  <c r="M614" i="61" s="1"/>
  <c r="M615" i="61" s="1"/>
  <c r="M616" i="61" s="1"/>
  <c r="M617" i="61" s="1"/>
  <c r="M618" i="61" s="1"/>
  <c r="M619" i="61" s="1"/>
  <c r="M620" i="61" s="1"/>
  <c r="M621" i="61" s="1"/>
  <c r="M622" i="61" s="1"/>
  <c r="M623" i="61" s="1"/>
  <c r="M624" i="61" s="1"/>
  <c r="M625" i="61" s="1"/>
  <c r="M626" i="61" s="1"/>
  <c r="M627" i="61" s="1"/>
  <c r="M628" i="61" s="1"/>
  <c r="M629" i="61" s="1"/>
  <c r="M630" i="61" s="1"/>
  <c r="M631" i="61" s="1"/>
  <c r="M632" i="61" s="1"/>
  <c r="M633" i="61" s="1"/>
  <c r="M634" i="61" s="1"/>
  <c r="M635" i="61" s="1"/>
  <c r="M636" i="61" s="1"/>
  <c r="M637" i="61" s="1"/>
  <c r="M638" i="61" s="1"/>
  <c r="M639" i="61" s="1"/>
  <c r="M640" i="61" s="1"/>
  <c r="J581" i="61"/>
  <c r="I581" i="61"/>
  <c r="I582" i="61" s="1"/>
  <c r="I583" i="61" s="1"/>
  <c r="I584" i="61" s="1"/>
  <c r="I585" i="61" s="1"/>
  <c r="I586" i="61" s="1"/>
  <c r="I587" i="61" s="1"/>
  <c r="I588" i="61" s="1"/>
  <c r="I589" i="61" s="1"/>
  <c r="I590" i="61" s="1"/>
  <c r="I591" i="61" s="1"/>
  <c r="I592" i="61" s="1"/>
  <c r="I593" i="61" s="1"/>
  <c r="I594" i="61" s="1"/>
  <c r="I595" i="61" s="1"/>
  <c r="I596" i="61" s="1"/>
  <c r="I597" i="61" s="1"/>
  <c r="I598" i="61" s="1"/>
  <c r="I599" i="61" s="1"/>
  <c r="I600" i="61" s="1"/>
  <c r="I601" i="61" s="1"/>
  <c r="I602" i="61" s="1"/>
  <c r="I603" i="61" s="1"/>
  <c r="I604" i="61" s="1"/>
  <c r="I605" i="61" s="1"/>
  <c r="I606" i="61" s="1"/>
  <c r="I607" i="61" s="1"/>
  <c r="I608" i="61" s="1"/>
  <c r="I609" i="61" s="1"/>
  <c r="I610" i="61" s="1"/>
  <c r="I611" i="61" s="1"/>
  <c r="I612" i="61" s="1"/>
  <c r="I613" i="61" s="1"/>
  <c r="I614" i="61" s="1"/>
  <c r="I615" i="61" s="1"/>
  <c r="I616" i="61" s="1"/>
  <c r="I617" i="61" s="1"/>
  <c r="I618" i="61" s="1"/>
  <c r="I619" i="61" s="1"/>
  <c r="I620" i="61" s="1"/>
  <c r="I621" i="61" s="1"/>
  <c r="I622" i="61" s="1"/>
  <c r="I623" i="61" s="1"/>
  <c r="I624" i="61" s="1"/>
  <c r="I625" i="61" s="1"/>
  <c r="I626" i="61" s="1"/>
  <c r="I627" i="61" s="1"/>
  <c r="I628" i="61" s="1"/>
  <c r="I629" i="61" s="1"/>
  <c r="I630" i="61" s="1"/>
  <c r="I631" i="61" s="1"/>
  <c r="I632" i="61" s="1"/>
  <c r="I633" i="61" s="1"/>
  <c r="I634" i="61" s="1"/>
  <c r="I635" i="61" s="1"/>
  <c r="I636" i="61" s="1"/>
  <c r="I637" i="61" s="1"/>
  <c r="I638" i="61" s="1"/>
  <c r="I639" i="61" s="1"/>
  <c r="I640" i="61" s="1"/>
  <c r="B581" i="61"/>
  <c r="B582" i="61" s="1"/>
  <c r="B583" i="61" s="1"/>
  <c r="B584" i="61" s="1"/>
  <c r="B585" i="61" s="1"/>
  <c r="B586" i="61" s="1"/>
  <c r="B587" i="61" s="1"/>
  <c r="B588" i="61" s="1"/>
  <c r="B589" i="61" s="1"/>
  <c r="B590" i="61" s="1"/>
  <c r="B591" i="61" s="1"/>
  <c r="B592" i="61" s="1"/>
  <c r="B593" i="61" s="1"/>
  <c r="B594" i="61" s="1"/>
  <c r="B595" i="61" s="1"/>
  <c r="B596" i="61" s="1"/>
  <c r="B597" i="61" s="1"/>
  <c r="B598" i="61" s="1"/>
  <c r="B599" i="61" s="1"/>
  <c r="B600" i="61" s="1"/>
  <c r="B601" i="61" s="1"/>
  <c r="B602" i="61" s="1"/>
  <c r="B603" i="61" s="1"/>
  <c r="B604" i="61" s="1"/>
  <c r="B605" i="61" s="1"/>
  <c r="B606" i="61" s="1"/>
  <c r="B607" i="61" s="1"/>
  <c r="B608" i="61" s="1"/>
  <c r="B609" i="61" s="1"/>
  <c r="B610" i="61" s="1"/>
  <c r="B611" i="61" s="1"/>
  <c r="B612" i="61" s="1"/>
  <c r="B613" i="61" s="1"/>
  <c r="B614" i="61" s="1"/>
  <c r="B615" i="61" s="1"/>
  <c r="B616" i="61" s="1"/>
  <c r="B617" i="61" s="1"/>
  <c r="B618" i="61" s="1"/>
  <c r="B619" i="61" s="1"/>
  <c r="B620" i="61" s="1"/>
  <c r="B621" i="61" s="1"/>
  <c r="B622" i="61" s="1"/>
  <c r="B623" i="61" s="1"/>
  <c r="B624" i="61" s="1"/>
  <c r="B625" i="61" s="1"/>
  <c r="B626" i="61" s="1"/>
  <c r="B627" i="61" s="1"/>
  <c r="B628" i="61" s="1"/>
  <c r="B629" i="61" s="1"/>
  <c r="B630" i="61" s="1"/>
  <c r="B631" i="61" s="1"/>
  <c r="B632" i="61" s="1"/>
  <c r="B633" i="61" s="1"/>
  <c r="B634" i="61" s="1"/>
  <c r="B635" i="61" s="1"/>
  <c r="B636" i="61" s="1"/>
  <c r="B637" i="61" s="1"/>
  <c r="B638" i="61" s="1"/>
  <c r="B639" i="61" s="1"/>
  <c r="B640" i="61" s="1"/>
  <c r="A581" i="61"/>
  <c r="A582" i="61" s="1"/>
  <c r="A583" i="61" s="1"/>
  <c r="A584" i="61" s="1"/>
  <c r="A585" i="61" s="1"/>
  <c r="A586" i="61" s="1"/>
  <c r="A587" i="61" s="1"/>
  <c r="A588" i="61" s="1"/>
  <c r="A589" i="61" s="1"/>
  <c r="A590" i="61" s="1"/>
  <c r="A591" i="61" s="1"/>
  <c r="A592" i="61" s="1"/>
  <c r="A593" i="61" s="1"/>
  <c r="A594" i="61" s="1"/>
  <c r="A595" i="61" s="1"/>
  <c r="A596" i="61" s="1"/>
  <c r="A597" i="61" s="1"/>
  <c r="A598" i="61" s="1"/>
  <c r="A599" i="61" s="1"/>
  <c r="A600" i="61" s="1"/>
  <c r="A601" i="61" s="1"/>
  <c r="A602" i="61" s="1"/>
  <c r="A603" i="61" s="1"/>
  <c r="A604" i="61" s="1"/>
  <c r="A605" i="61" s="1"/>
  <c r="A606" i="61" s="1"/>
  <c r="A607" i="61" s="1"/>
  <c r="A608" i="61" s="1"/>
  <c r="A609" i="61" s="1"/>
  <c r="A610" i="61" s="1"/>
  <c r="A611" i="61" s="1"/>
  <c r="A612" i="61" s="1"/>
  <c r="A613" i="61" s="1"/>
  <c r="A614" i="61" s="1"/>
  <c r="A615" i="61" s="1"/>
  <c r="A616" i="61" s="1"/>
  <c r="A617" i="61" s="1"/>
  <c r="A618" i="61" s="1"/>
  <c r="A619" i="61" s="1"/>
  <c r="A620" i="61" s="1"/>
  <c r="A621" i="61" s="1"/>
  <c r="A622" i="61" s="1"/>
  <c r="A623" i="61" s="1"/>
  <c r="A624" i="61" s="1"/>
  <c r="A625" i="61" s="1"/>
  <c r="A626" i="61" s="1"/>
  <c r="A627" i="61" s="1"/>
  <c r="A628" i="61" s="1"/>
  <c r="A629" i="61" s="1"/>
  <c r="A630" i="61" s="1"/>
  <c r="A631" i="61" s="1"/>
  <c r="A632" i="61" s="1"/>
  <c r="A633" i="61" s="1"/>
  <c r="A634" i="61" s="1"/>
  <c r="A635" i="61" s="1"/>
  <c r="A636" i="61" s="1"/>
  <c r="A637" i="61" s="1"/>
  <c r="A638" i="61" s="1"/>
  <c r="A639" i="61" s="1"/>
  <c r="A640" i="61" s="1"/>
  <c r="C82" i="1"/>
  <c r="C81" i="1"/>
  <c r="C80" i="1"/>
  <c r="E209" i="42" l="1"/>
  <c r="F209" i="42" s="1"/>
  <c r="D210" i="42"/>
  <c r="C209" i="42"/>
  <c r="C582" i="61"/>
  <c r="D583" i="61"/>
  <c r="E582" i="61"/>
  <c r="F582" i="61" s="1"/>
  <c r="P582" i="61"/>
  <c r="Q582" i="61" s="1"/>
  <c r="C581" i="61"/>
  <c r="E581" i="61"/>
  <c r="F581" i="61" s="1"/>
  <c r="P581" i="61"/>
  <c r="Q581" i="61" s="1"/>
  <c r="J287" i="95"/>
  <c r="J288" i="95" s="1"/>
  <c r="J289" i="95" s="1"/>
  <c r="J290" i="95" s="1"/>
  <c r="J291" i="95" s="1"/>
  <c r="J292" i="95" s="1"/>
  <c r="J293" i="95" s="1"/>
  <c r="J294" i="95" s="1"/>
  <c r="J295" i="95" s="1"/>
  <c r="J296" i="95" s="1"/>
  <c r="J297" i="95" s="1"/>
  <c r="J298" i="95" s="1"/>
  <c r="J276" i="95"/>
  <c r="J277" i="95" s="1"/>
  <c r="J278" i="95" s="1"/>
  <c r="J279" i="95" s="1"/>
  <c r="J280" i="95" s="1"/>
  <c r="J281" i="95" s="1"/>
  <c r="J282" i="95" s="1"/>
  <c r="J283" i="95" s="1"/>
  <c r="J284" i="95" s="1"/>
  <c r="J285" i="95" s="1"/>
  <c r="J286" i="95" s="1"/>
  <c r="J263" i="95"/>
  <c r="J264" i="95" s="1"/>
  <c r="J265" i="95" s="1"/>
  <c r="J266" i="95" s="1"/>
  <c r="J267" i="95" s="1"/>
  <c r="J268" i="95" s="1"/>
  <c r="J269" i="95" s="1"/>
  <c r="J270" i="95" s="1"/>
  <c r="J271" i="95" s="1"/>
  <c r="J272" i="95" s="1"/>
  <c r="J273" i="95" s="1"/>
  <c r="J274" i="95" s="1"/>
  <c r="J252" i="95"/>
  <c r="J253" i="95" s="1"/>
  <c r="J254" i="95" s="1"/>
  <c r="J255" i="95" s="1"/>
  <c r="J256" i="95" s="1"/>
  <c r="J257" i="95" s="1"/>
  <c r="J258" i="95" s="1"/>
  <c r="J259" i="95" s="1"/>
  <c r="J260" i="95" s="1"/>
  <c r="J261" i="95" s="1"/>
  <c r="J262" i="95" s="1"/>
  <c r="J239" i="95"/>
  <c r="J240" i="95" s="1"/>
  <c r="J241" i="95" s="1"/>
  <c r="J242" i="95" s="1"/>
  <c r="J243" i="95" s="1"/>
  <c r="J244" i="95" s="1"/>
  <c r="J245" i="95" s="1"/>
  <c r="J246" i="95" s="1"/>
  <c r="J247" i="95" s="1"/>
  <c r="J248" i="95" s="1"/>
  <c r="J249" i="95" s="1"/>
  <c r="J250" i="95" s="1"/>
  <c r="J228" i="95"/>
  <c r="J229" i="95" s="1"/>
  <c r="J230" i="95" s="1"/>
  <c r="J231" i="95" s="1"/>
  <c r="J232" i="95" s="1"/>
  <c r="J233" i="95" s="1"/>
  <c r="J234" i="95" s="1"/>
  <c r="J235" i="95" s="1"/>
  <c r="J236" i="95" s="1"/>
  <c r="J237" i="95" s="1"/>
  <c r="J238" i="95" s="1"/>
  <c r="J215" i="95"/>
  <c r="J216" i="95" s="1"/>
  <c r="J217" i="95" s="1"/>
  <c r="J218" i="95" s="1"/>
  <c r="J219" i="95" s="1"/>
  <c r="J220" i="95" s="1"/>
  <c r="J221" i="95" s="1"/>
  <c r="J222" i="95" s="1"/>
  <c r="J223" i="95" s="1"/>
  <c r="J224" i="95" s="1"/>
  <c r="J225" i="95" s="1"/>
  <c r="J226" i="95" s="1"/>
  <c r="J204" i="95"/>
  <c r="J205" i="95" s="1"/>
  <c r="J206" i="95" s="1"/>
  <c r="J207" i="95" s="1"/>
  <c r="J208" i="95" s="1"/>
  <c r="J209" i="95" s="1"/>
  <c r="J210" i="95" s="1"/>
  <c r="J211" i="95" s="1"/>
  <c r="J212" i="95" s="1"/>
  <c r="J213" i="95" s="1"/>
  <c r="J214" i="95" s="1"/>
  <c r="J191" i="95"/>
  <c r="J167" i="95"/>
  <c r="J143" i="95"/>
  <c r="J119" i="95"/>
  <c r="J95" i="95"/>
  <c r="J71" i="95"/>
  <c r="J47" i="95"/>
  <c r="J23" i="95"/>
  <c r="E210" i="42" l="1"/>
  <c r="F210" i="42" s="1"/>
  <c r="K210" i="42"/>
  <c r="C210" i="42"/>
  <c r="D211" i="42"/>
  <c r="H209" i="42"/>
  <c r="G209" i="42"/>
  <c r="S581" i="61"/>
  <c r="R581" i="61"/>
  <c r="R582" i="61"/>
  <c r="S582" i="61"/>
  <c r="H582" i="61"/>
  <c r="G582" i="61"/>
  <c r="G581" i="61"/>
  <c r="H581" i="61"/>
  <c r="D584" i="61"/>
  <c r="P583" i="61"/>
  <c r="Q583" i="61" s="1"/>
  <c r="E583" i="61"/>
  <c r="F583" i="61" s="1"/>
  <c r="C583" i="61"/>
  <c r="C36" i="43"/>
  <c r="E211" i="42" l="1"/>
  <c r="F211" i="42" s="1"/>
  <c r="K211" i="42"/>
  <c r="C211" i="42"/>
  <c r="D212" i="42"/>
  <c r="H210" i="42"/>
  <c r="G210" i="42"/>
  <c r="T582" i="61"/>
  <c r="U582" i="61" s="1"/>
  <c r="R583" i="61"/>
  <c r="S583" i="61"/>
  <c r="H583" i="61"/>
  <c r="G583" i="61"/>
  <c r="P584" i="61"/>
  <c r="Q584" i="61" s="1"/>
  <c r="E584" i="61"/>
  <c r="F584" i="61" s="1"/>
  <c r="D585" i="61"/>
  <c r="C584" i="61"/>
  <c r="T581" i="61"/>
  <c r="U581" i="61" s="1"/>
  <c r="S144" i="96"/>
  <c r="S145" i="96"/>
  <c r="S146" i="96"/>
  <c r="S147" i="96"/>
  <c r="S148" i="96"/>
  <c r="S149" i="96"/>
  <c r="S150" i="96"/>
  <c r="S151" i="96"/>
  <c r="S152" i="96"/>
  <c r="S153" i="96"/>
  <c r="S154" i="96"/>
  <c r="S143" i="96"/>
  <c r="B12" i="96"/>
  <c r="B13" i="96" s="1"/>
  <c r="B14" i="96" s="1"/>
  <c r="D12" i="96"/>
  <c r="E12" i="96"/>
  <c r="F12" i="96" s="1"/>
  <c r="R12" i="96"/>
  <c r="T12" i="96" s="1"/>
  <c r="R13" i="96"/>
  <c r="T13" i="96" s="1"/>
  <c r="R14" i="96"/>
  <c r="T14" i="96" s="1"/>
  <c r="D213" i="42" l="1"/>
  <c r="E212" i="42"/>
  <c r="F212" i="42" s="1"/>
  <c r="K212" i="42"/>
  <c r="C212" i="42"/>
  <c r="H211" i="42"/>
  <c r="G211" i="42"/>
  <c r="T583" i="61"/>
  <c r="U583" i="61" s="1"/>
  <c r="C585" i="61"/>
  <c r="D586" i="61"/>
  <c r="P585" i="61"/>
  <c r="Q585" i="61" s="1"/>
  <c r="E585" i="61"/>
  <c r="F585" i="61" s="1"/>
  <c r="S584" i="61"/>
  <c r="R584" i="61"/>
  <c r="G584" i="61"/>
  <c r="H584" i="61"/>
  <c r="H12" i="96"/>
  <c r="G12" i="96"/>
  <c r="K12" i="96"/>
  <c r="D13" i="96"/>
  <c r="H212" i="42" l="1"/>
  <c r="G212" i="42"/>
  <c r="K213" i="42"/>
  <c r="C213" i="42" s="1"/>
  <c r="D214" i="42"/>
  <c r="E213" i="42"/>
  <c r="F213" i="42" s="1"/>
  <c r="T584" i="61"/>
  <c r="U584" i="61" s="1"/>
  <c r="H585" i="61"/>
  <c r="G585" i="61"/>
  <c r="R585" i="61"/>
  <c r="S585" i="61"/>
  <c r="T585" i="61" s="1"/>
  <c r="U585" i="61" s="1"/>
  <c r="D587" i="61"/>
  <c r="P586" i="61"/>
  <c r="Q586" i="61" s="1"/>
  <c r="E586" i="61"/>
  <c r="F586" i="61" s="1"/>
  <c r="C586" i="61"/>
  <c r="D14" i="96"/>
  <c r="K13" i="96"/>
  <c r="E13" i="96"/>
  <c r="F13" i="96" s="1"/>
  <c r="H213" i="42" l="1"/>
  <c r="G213" i="42"/>
  <c r="E214" i="42"/>
  <c r="F214" i="42" s="1"/>
  <c r="K214" i="42"/>
  <c r="C214" i="42"/>
  <c r="D215" i="42"/>
  <c r="H586" i="61"/>
  <c r="G586" i="61"/>
  <c r="R586" i="61"/>
  <c r="S586" i="61"/>
  <c r="T586" i="61" s="1"/>
  <c r="U586" i="61" s="1"/>
  <c r="E587" i="61"/>
  <c r="F587" i="61" s="1"/>
  <c r="P587" i="61"/>
  <c r="Q587" i="61" s="1"/>
  <c r="C587" i="61"/>
  <c r="D588" i="61"/>
  <c r="G13" i="96"/>
  <c r="H13" i="96"/>
  <c r="K14" i="96"/>
  <c r="E14" i="96"/>
  <c r="F14" i="96" s="1"/>
  <c r="E215" i="42" l="1"/>
  <c r="F215" i="42" s="1"/>
  <c r="D216" i="42"/>
  <c r="K215" i="42"/>
  <c r="C215" i="42"/>
  <c r="H214" i="42"/>
  <c r="G214" i="42"/>
  <c r="R587" i="61"/>
  <c r="S587" i="61"/>
  <c r="T587" i="61" s="1"/>
  <c r="U587" i="61" s="1"/>
  <c r="H587" i="61"/>
  <c r="G587" i="61"/>
  <c r="D589" i="61"/>
  <c r="P588" i="61"/>
  <c r="Q588" i="61" s="1"/>
  <c r="E588" i="61"/>
  <c r="F588" i="61" s="1"/>
  <c r="C588" i="61"/>
  <c r="G14" i="96"/>
  <c r="H14" i="96"/>
  <c r="D217" i="42" l="1"/>
  <c r="E216" i="42"/>
  <c r="F216" i="42" s="1"/>
  <c r="K216" i="42"/>
  <c r="C216" i="42" s="1"/>
  <c r="H215" i="42"/>
  <c r="G215" i="42"/>
  <c r="R588" i="61"/>
  <c r="S588" i="61"/>
  <c r="H588" i="61"/>
  <c r="G588" i="61"/>
  <c r="D590" i="61"/>
  <c r="P589" i="61"/>
  <c r="Q589" i="61" s="1"/>
  <c r="E589" i="61"/>
  <c r="F589" i="61" s="1"/>
  <c r="C589" i="61"/>
  <c r="B15" i="96"/>
  <c r="B16" i="96" s="1"/>
  <c r="B17" i="96" s="1"/>
  <c r="B18" i="96" s="1"/>
  <c r="B19" i="96" s="1"/>
  <c r="B20" i="96" s="1"/>
  <c r="B21" i="96" s="1"/>
  <c r="B22" i="96" s="1"/>
  <c r="B23" i="96" s="1"/>
  <c r="B24" i="96" s="1"/>
  <c r="B25" i="96" s="1"/>
  <c r="B26" i="96" s="1"/>
  <c r="B27" i="96" s="1"/>
  <c r="B28" i="96" s="1"/>
  <c r="B29" i="96" s="1"/>
  <c r="B30" i="96" s="1"/>
  <c r="B31" i="96" s="1"/>
  <c r="B32" i="96" s="1"/>
  <c r="B33" i="96" s="1"/>
  <c r="B34" i="96" s="1"/>
  <c r="B35" i="96" s="1"/>
  <c r="B36" i="96" s="1"/>
  <c r="B37" i="96" s="1"/>
  <c r="B38" i="96" s="1"/>
  <c r="B39" i="96" s="1"/>
  <c r="B40" i="96" s="1"/>
  <c r="B41" i="96" s="1"/>
  <c r="B42" i="96" s="1"/>
  <c r="B43" i="96" s="1"/>
  <c r="B44" i="96" s="1"/>
  <c r="B45" i="96" s="1"/>
  <c r="B46" i="96" s="1"/>
  <c r="B47" i="96" s="1"/>
  <c r="B48" i="96" s="1"/>
  <c r="B49" i="96" s="1"/>
  <c r="B50" i="96" s="1"/>
  <c r="B51" i="96" s="1"/>
  <c r="B52" i="96" s="1"/>
  <c r="B53" i="96" s="1"/>
  <c r="B54" i="96" s="1"/>
  <c r="B55" i="96" s="1"/>
  <c r="B56" i="96" s="1"/>
  <c r="B57" i="96" s="1"/>
  <c r="B58" i="96" s="1"/>
  <c r="B59" i="96" s="1"/>
  <c r="B60" i="96" s="1"/>
  <c r="B61" i="96" s="1"/>
  <c r="B62" i="96" s="1"/>
  <c r="B63" i="96" s="1"/>
  <c r="B64" i="96" s="1"/>
  <c r="B65" i="96" s="1"/>
  <c r="B66" i="96" s="1"/>
  <c r="B67" i="96" s="1"/>
  <c r="B68" i="96" s="1"/>
  <c r="B69" i="96" s="1"/>
  <c r="B70" i="96" s="1"/>
  <c r="B71" i="96" s="1"/>
  <c r="B72" i="96" s="1"/>
  <c r="B73" i="96" s="1"/>
  <c r="B74" i="96" s="1"/>
  <c r="B75" i="96" s="1"/>
  <c r="B76" i="96" s="1"/>
  <c r="B77" i="96" s="1"/>
  <c r="B78" i="96" s="1"/>
  <c r="B79" i="96" s="1"/>
  <c r="B80" i="96" s="1"/>
  <c r="B81" i="96" s="1"/>
  <c r="B82" i="96" s="1"/>
  <c r="B83" i="96" s="1"/>
  <c r="B84" i="96" s="1"/>
  <c r="B85" i="96" s="1"/>
  <c r="B86" i="96" s="1"/>
  <c r="B87" i="96" s="1"/>
  <c r="B88" i="96" s="1"/>
  <c r="B89" i="96" s="1"/>
  <c r="B90" i="96" s="1"/>
  <c r="B91" i="96" s="1"/>
  <c r="B92" i="96" s="1"/>
  <c r="B93" i="96" s="1"/>
  <c r="B94" i="96" s="1"/>
  <c r="B95" i="96" s="1"/>
  <c r="B96" i="96" s="1"/>
  <c r="B97" i="96" s="1"/>
  <c r="B98" i="96" s="1"/>
  <c r="B99" i="96" s="1"/>
  <c r="B100" i="96" s="1"/>
  <c r="B101" i="96" s="1"/>
  <c r="B102" i="96" s="1"/>
  <c r="B103" i="96" s="1"/>
  <c r="B104" i="96" s="1"/>
  <c r="B105" i="96" s="1"/>
  <c r="B106" i="96" s="1"/>
  <c r="B107" i="96" s="1"/>
  <c r="B108" i="96" s="1"/>
  <c r="B109" i="96" s="1"/>
  <c r="B110" i="96" s="1"/>
  <c r="B111" i="96" s="1"/>
  <c r="B112" i="96" s="1"/>
  <c r="B113" i="96" s="1"/>
  <c r="B114" i="96" s="1"/>
  <c r="B115" i="96" s="1"/>
  <c r="B116" i="96" s="1"/>
  <c r="B117" i="96" s="1"/>
  <c r="B118" i="96" s="1"/>
  <c r="B119" i="96" s="1"/>
  <c r="B120" i="96" s="1"/>
  <c r="B121" i="96" s="1"/>
  <c r="B122" i="96" s="1"/>
  <c r="B123" i="96" s="1"/>
  <c r="B124" i="96" s="1"/>
  <c r="B125" i="96" s="1"/>
  <c r="B126" i="96" s="1"/>
  <c r="B127" i="96" s="1"/>
  <c r="B128" i="96" s="1"/>
  <c r="B129" i="96" s="1"/>
  <c r="B130" i="96" s="1"/>
  <c r="B131" i="96" s="1"/>
  <c r="B132" i="96" s="1"/>
  <c r="B133" i="96" s="1"/>
  <c r="B134" i="96" s="1"/>
  <c r="B135" i="96" s="1"/>
  <c r="B136" i="96" s="1"/>
  <c r="B137" i="96" s="1"/>
  <c r="B138" i="96" s="1"/>
  <c r="B139" i="96" s="1"/>
  <c r="B140" i="96" s="1"/>
  <c r="B141" i="96" s="1"/>
  <c r="B142" i="96" s="1"/>
  <c r="B143" i="96" s="1"/>
  <c r="B144" i="96" s="1"/>
  <c r="B145" i="96" s="1"/>
  <c r="B146" i="96" s="1"/>
  <c r="B147" i="96" s="1"/>
  <c r="B148" i="96" s="1"/>
  <c r="B149" i="96" s="1"/>
  <c r="B150" i="96" s="1"/>
  <c r="B151" i="96" s="1"/>
  <c r="B152" i="96" s="1"/>
  <c r="B153" i="96" s="1"/>
  <c r="B154" i="96" s="1"/>
  <c r="B13" i="95"/>
  <c r="B14" i="95" s="1"/>
  <c r="B15" i="95" s="1"/>
  <c r="B16" i="95" s="1"/>
  <c r="B17" i="95" s="1"/>
  <c r="B18" i="95" s="1"/>
  <c r="B19" i="95" s="1"/>
  <c r="B20" i="95" s="1"/>
  <c r="B21" i="95" s="1"/>
  <c r="B22" i="95" s="1"/>
  <c r="B23" i="95" s="1"/>
  <c r="B24" i="95" s="1"/>
  <c r="B25" i="95" s="1"/>
  <c r="B26" i="95" s="1"/>
  <c r="B27" i="95" s="1"/>
  <c r="B28" i="95" s="1"/>
  <c r="B29" i="95" s="1"/>
  <c r="B30" i="95" s="1"/>
  <c r="B31" i="95" s="1"/>
  <c r="B32" i="95" s="1"/>
  <c r="B33" i="95" s="1"/>
  <c r="B34" i="95" s="1"/>
  <c r="B35" i="95" s="1"/>
  <c r="B36" i="95" s="1"/>
  <c r="B37" i="95" s="1"/>
  <c r="B38" i="95" s="1"/>
  <c r="B39" i="95" s="1"/>
  <c r="B40" i="95" s="1"/>
  <c r="B41" i="95" s="1"/>
  <c r="B42" i="95" s="1"/>
  <c r="B43" i="95" s="1"/>
  <c r="B44" i="95" s="1"/>
  <c r="B45" i="95" s="1"/>
  <c r="B46" i="95" s="1"/>
  <c r="B47" i="95" s="1"/>
  <c r="B48" i="95" s="1"/>
  <c r="B49" i="95" s="1"/>
  <c r="B50" i="95" s="1"/>
  <c r="B51" i="95" s="1"/>
  <c r="B52" i="95" s="1"/>
  <c r="B53" i="95" s="1"/>
  <c r="B54" i="95" s="1"/>
  <c r="B55" i="95" s="1"/>
  <c r="B56" i="95" s="1"/>
  <c r="B57" i="95" s="1"/>
  <c r="B58" i="95" s="1"/>
  <c r="B59" i="95" s="1"/>
  <c r="B60" i="95" s="1"/>
  <c r="B61" i="95" s="1"/>
  <c r="B62" i="95" s="1"/>
  <c r="B63" i="95" s="1"/>
  <c r="B64" i="95" s="1"/>
  <c r="B65" i="95" s="1"/>
  <c r="B66" i="95" s="1"/>
  <c r="B67" i="95" s="1"/>
  <c r="B68" i="95" s="1"/>
  <c r="B69" i="95" s="1"/>
  <c r="B70" i="95" s="1"/>
  <c r="B71" i="95" s="1"/>
  <c r="B72" i="95" s="1"/>
  <c r="B73" i="95" s="1"/>
  <c r="B74" i="95" s="1"/>
  <c r="B75" i="95" s="1"/>
  <c r="B76" i="95" s="1"/>
  <c r="B77" i="95" s="1"/>
  <c r="B78" i="95" s="1"/>
  <c r="B79" i="95" s="1"/>
  <c r="B80" i="95" s="1"/>
  <c r="B81" i="95" s="1"/>
  <c r="B82" i="95" s="1"/>
  <c r="B83" i="95" s="1"/>
  <c r="B84" i="95" s="1"/>
  <c r="B85" i="95" s="1"/>
  <c r="B86" i="95" s="1"/>
  <c r="B87" i="95" s="1"/>
  <c r="B88" i="95" s="1"/>
  <c r="B89" i="95" s="1"/>
  <c r="B90" i="95" s="1"/>
  <c r="B91" i="95" s="1"/>
  <c r="B92" i="95" s="1"/>
  <c r="B93" i="95" s="1"/>
  <c r="B94" i="95" s="1"/>
  <c r="B95" i="95" s="1"/>
  <c r="B96" i="95" s="1"/>
  <c r="B97" i="95" s="1"/>
  <c r="B98" i="95" s="1"/>
  <c r="B99" i="95" s="1"/>
  <c r="B100" i="95" s="1"/>
  <c r="B101" i="95" s="1"/>
  <c r="B102" i="95" s="1"/>
  <c r="B103" i="95" s="1"/>
  <c r="B104" i="95" s="1"/>
  <c r="B105" i="95" s="1"/>
  <c r="B106" i="95" s="1"/>
  <c r="B107" i="95" s="1"/>
  <c r="B108" i="95" s="1"/>
  <c r="B109" i="95" s="1"/>
  <c r="B110" i="95" s="1"/>
  <c r="B111" i="95" s="1"/>
  <c r="B112" i="95" s="1"/>
  <c r="B113" i="95" s="1"/>
  <c r="B114" i="95" s="1"/>
  <c r="B115" i="95" s="1"/>
  <c r="B116" i="95" s="1"/>
  <c r="B117" i="95" s="1"/>
  <c r="B118" i="95" s="1"/>
  <c r="B119" i="95" s="1"/>
  <c r="B120" i="95" s="1"/>
  <c r="B121" i="95" s="1"/>
  <c r="B122" i="95" s="1"/>
  <c r="B123" i="95" s="1"/>
  <c r="B124" i="95" s="1"/>
  <c r="B125" i="95" s="1"/>
  <c r="B126" i="95" s="1"/>
  <c r="B127" i="95" s="1"/>
  <c r="B128" i="95" s="1"/>
  <c r="B129" i="95" s="1"/>
  <c r="B130" i="95" s="1"/>
  <c r="B131" i="95" s="1"/>
  <c r="B132" i="95" s="1"/>
  <c r="B133" i="95" s="1"/>
  <c r="B134" i="95" s="1"/>
  <c r="B135" i="95" s="1"/>
  <c r="B136" i="95" s="1"/>
  <c r="B137" i="95" s="1"/>
  <c r="B138" i="95" s="1"/>
  <c r="B139" i="95" s="1"/>
  <c r="B140" i="95" s="1"/>
  <c r="B141" i="95" s="1"/>
  <c r="B142" i="95" s="1"/>
  <c r="B143" i="95" s="1"/>
  <c r="B144" i="95" s="1"/>
  <c r="B145" i="95" s="1"/>
  <c r="B146" i="95" s="1"/>
  <c r="B147" i="95" s="1"/>
  <c r="B148" i="95" s="1"/>
  <c r="B149" i="95" s="1"/>
  <c r="B150" i="95" s="1"/>
  <c r="B151" i="95" s="1"/>
  <c r="B152" i="95" s="1"/>
  <c r="B153" i="95" s="1"/>
  <c r="B154" i="95" s="1"/>
  <c r="B155" i="95" s="1"/>
  <c r="B156" i="95" s="1"/>
  <c r="B157" i="95" s="1"/>
  <c r="B158" i="95" s="1"/>
  <c r="B159" i="95" s="1"/>
  <c r="B160" i="95" s="1"/>
  <c r="B161" i="95" s="1"/>
  <c r="B162" i="95" s="1"/>
  <c r="B163" i="95" s="1"/>
  <c r="B164" i="95" s="1"/>
  <c r="B165" i="95" s="1"/>
  <c r="B166" i="95" s="1"/>
  <c r="B167" i="95" s="1"/>
  <c r="B168" i="95" s="1"/>
  <c r="B169" i="95" s="1"/>
  <c r="B170" i="95" s="1"/>
  <c r="B171" i="95" s="1"/>
  <c r="B172" i="95" s="1"/>
  <c r="B173" i="95" s="1"/>
  <c r="B174" i="95" s="1"/>
  <c r="B175" i="95" s="1"/>
  <c r="B176" i="95" s="1"/>
  <c r="B177" i="95" s="1"/>
  <c r="B178" i="95" s="1"/>
  <c r="B179" i="95" s="1"/>
  <c r="B180" i="95" s="1"/>
  <c r="B181" i="95" s="1"/>
  <c r="B182" i="95" s="1"/>
  <c r="B183" i="95" s="1"/>
  <c r="B184" i="95" s="1"/>
  <c r="B185" i="95" s="1"/>
  <c r="B186" i="95" s="1"/>
  <c r="B187" i="95" s="1"/>
  <c r="B188" i="95" s="1"/>
  <c r="B189" i="95" s="1"/>
  <c r="B190" i="95" s="1"/>
  <c r="B191" i="95" s="1"/>
  <c r="B192" i="95" s="1"/>
  <c r="B193" i="95" s="1"/>
  <c r="B194" i="95" s="1"/>
  <c r="B195" i="95" s="1"/>
  <c r="B196" i="95" s="1"/>
  <c r="B197" i="95" s="1"/>
  <c r="B198" i="95" s="1"/>
  <c r="B199" i="95" s="1"/>
  <c r="B200" i="95" s="1"/>
  <c r="B201" i="95" s="1"/>
  <c r="B202" i="95" s="1"/>
  <c r="B203" i="95" s="1"/>
  <c r="B204" i="95" s="1"/>
  <c r="B205" i="95" s="1"/>
  <c r="B206" i="95" s="1"/>
  <c r="B207" i="95" s="1"/>
  <c r="B208" i="95" s="1"/>
  <c r="B209" i="95" s="1"/>
  <c r="B210" i="95" s="1"/>
  <c r="B211" i="95" s="1"/>
  <c r="B212" i="95" s="1"/>
  <c r="B213" i="95" s="1"/>
  <c r="B214" i="95" s="1"/>
  <c r="B215" i="95" s="1"/>
  <c r="B216" i="95" s="1"/>
  <c r="B217" i="95" s="1"/>
  <c r="B218" i="95" s="1"/>
  <c r="B219" i="95" s="1"/>
  <c r="B220" i="95" s="1"/>
  <c r="B221" i="95" s="1"/>
  <c r="B222" i="95" s="1"/>
  <c r="B223" i="95" s="1"/>
  <c r="B224" i="95" s="1"/>
  <c r="B225" i="95" s="1"/>
  <c r="B226" i="95" s="1"/>
  <c r="B227" i="95" s="1"/>
  <c r="B228" i="95" s="1"/>
  <c r="B229" i="95" s="1"/>
  <c r="B230" i="95" s="1"/>
  <c r="B231" i="95" s="1"/>
  <c r="B232" i="95" s="1"/>
  <c r="B233" i="95" s="1"/>
  <c r="B234" i="95" s="1"/>
  <c r="B235" i="95" s="1"/>
  <c r="B236" i="95" s="1"/>
  <c r="B237" i="95" s="1"/>
  <c r="B238" i="95" s="1"/>
  <c r="B239" i="95" s="1"/>
  <c r="B240" i="95" s="1"/>
  <c r="B241" i="95" s="1"/>
  <c r="B242" i="95" s="1"/>
  <c r="B243" i="95" s="1"/>
  <c r="B244" i="95" s="1"/>
  <c r="B245" i="95" s="1"/>
  <c r="B246" i="95" s="1"/>
  <c r="B247" i="95" s="1"/>
  <c r="B248" i="95" s="1"/>
  <c r="B249" i="95" s="1"/>
  <c r="B250" i="95" s="1"/>
  <c r="B251" i="95" s="1"/>
  <c r="B252" i="95" s="1"/>
  <c r="B253" i="95" s="1"/>
  <c r="B254" i="95" s="1"/>
  <c r="B255" i="95" s="1"/>
  <c r="B256" i="95" s="1"/>
  <c r="B257" i="95" s="1"/>
  <c r="B258" i="95" s="1"/>
  <c r="B259" i="95" s="1"/>
  <c r="B260" i="95" s="1"/>
  <c r="B261" i="95" s="1"/>
  <c r="B262" i="95" s="1"/>
  <c r="B263" i="95" s="1"/>
  <c r="B264" i="95" s="1"/>
  <c r="B265" i="95" s="1"/>
  <c r="B266" i="95" s="1"/>
  <c r="B267" i="95" s="1"/>
  <c r="B268" i="95" s="1"/>
  <c r="B269" i="95" s="1"/>
  <c r="B270" i="95" s="1"/>
  <c r="B271" i="95" s="1"/>
  <c r="B272" i="95" s="1"/>
  <c r="B273" i="95" s="1"/>
  <c r="B274" i="95" s="1"/>
  <c r="B275" i="95" s="1"/>
  <c r="B276" i="95" s="1"/>
  <c r="B277" i="95" s="1"/>
  <c r="B278" i="95" s="1"/>
  <c r="B279" i="95" s="1"/>
  <c r="B280" i="95" s="1"/>
  <c r="B281" i="95" s="1"/>
  <c r="B282" i="95" s="1"/>
  <c r="B283" i="95" s="1"/>
  <c r="B284" i="95" s="1"/>
  <c r="B285" i="95" s="1"/>
  <c r="B286" i="95" s="1"/>
  <c r="B287" i="95" s="1"/>
  <c r="B288" i="95" s="1"/>
  <c r="B289" i="95" s="1"/>
  <c r="B290" i="95" s="1"/>
  <c r="B291" i="95" s="1"/>
  <c r="B292" i="95" s="1"/>
  <c r="B293" i="95" s="1"/>
  <c r="B294" i="95" s="1"/>
  <c r="B295" i="95" s="1"/>
  <c r="B296" i="95" s="1"/>
  <c r="B297" i="95" s="1"/>
  <c r="B298" i="95" s="1"/>
  <c r="B12" i="95"/>
  <c r="B12" i="41"/>
  <c r="B13" i="41" s="1"/>
  <c r="B14" i="41" s="1"/>
  <c r="B15" i="41" s="1"/>
  <c r="B16" i="41" s="1"/>
  <c r="B17" i="41" s="1"/>
  <c r="B18" i="41" s="1"/>
  <c r="B19" i="41" s="1"/>
  <c r="B20" i="41" s="1"/>
  <c r="B21" i="41" s="1"/>
  <c r="B22" i="41" s="1"/>
  <c r="B23" i="41" s="1"/>
  <c r="B24" i="41" s="1"/>
  <c r="B25" i="41" s="1"/>
  <c r="B26" i="41" s="1"/>
  <c r="B27" i="41" s="1"/>
  <c r="B28" i="41" s="1"/>
  <c r="B29" i="41" s="1"/>
  <c r="B30" i="41" s="1"/>
  <c r="B31" i="41" s="1"/>
  <c r="B32" i="41" s="1"/>
  <c r="B33" i="41" s="1"/>
  <c r="B34" i="41" s="1"/>
  <c r="B35" i="41" s="1"/>
  <c r="B36" i="41" s="1"/>
  <c r="B37" i="41" s="1"/>
  <c r="B38" i="41" s="1"/>
  <c r="B39" i="41" s="1"/>
  <c r="B40" i="41" s="1"/>
  <c r="B41" i="41" s="1"/>
  <c r="B42" i="41" s="1"/>
  <c r="B43" i="41" s="1"/>
  <c r="B44" i="41" s="1"/>
  <c r="B45" i="41" s="1"/>
  <c r="B46" i="41" s="1"/>
  <c r="B47" i="41" s="1"/>
  <c r="B48" i="41" s="1"/>
  <c r="B49" i="41" s="1"/>
  <c r="B50" i="41" s="1"/>
  <c r="B51" i="41" s="1"/>
  <c r="B52" i="41" s="1"/>
  <c r="B53" i="41" s="1"/>
  <c r="B54" i="41" s="1"/>
  <c r="B55" i="41" s="1"/>
  <c r="B56" i="41" s="1"/>
  <c r="B57" i="41" s="1"/>
  <c r="B58" i="41" s="1"/>
  <c r="B59" i="41" s="1"/>
  <c r="B60" i="41" s="1"/>
  <c r="B61" i="41" s="1"/>
  <c r="B62" i="41" s="1"/>
  <c r="B63" i="41" s="1"/>
  <c r="B64" i="41" s="1"/>
  <c r="B65" i="41" s="1"/>
  <c r="B66" i="41" s="1"/>
  <c r="B67" i="41" s="1"/>
  <c r="B68" i="41" s="1"/>
  <c r="B69" i="41" s="1"/>
  <c r="B70" i="41" s="1"/>
  <c r="B71" i="41" s="1"/>
  <c r="B72" i="41" s="1"/>
  <c r="B73" i="41" s="1"/>
  <c r="B74" i="41" s="1"/>
  <c r="B75" i="41" s="1"/>
  <c r="B76" i="41" s="1"/>
  <c r="B77" i="41" s="1"/>
  <c r="B78" i="41" s="1"/>
  <c r="B79" i="41" s="1"/>
  <c r="B80" i="41" s="1"/>
  <c r="B81" i="41" s="1"/>
  <c r="B82" i="41" s="1"/>
  <c r="B83" i="41" s="1"/>
  <c r="B84" i="41" s="1"/>
  <c r="B85" i="41" s="1"/>
  <c r="B86" i="41" s="1"/>
  <c r="B87" i="41" s="1"/>
  <c r="B88" i="41" s="1"/>
  <c r="B89" i="41" s="1"/>
  <c r="B90" i="41" s="1"/>
  <c r="B91" i="41" s="1"/>
  <c r="B92" i="41" s="1"/>
  <c r="B93" i="41" s="1"/>
  <c r="B94" i="41" s="1"/>
  <c r="B95" i="41" s="1"/>
  <c r="B96" i="41" s="1"/>
  <c r="B97" i="41" s="1"/>
  <c r="B98" i="41" s="1"/>
  <c r="B99" i="41" s="1"/>
  <c r="B100" i="41" s="1"/>
  <c r="B101" i="41" s="1"/>
  <c r="B102" i="41" s="1"/>
  <c r="B103" i="41" s="1"/>
  <c r="B104" i="41" s="1"/>
  <c r="B105" i="41" s="1"/>
  <c r="B106" i="41" s="1"/>
  <c r="B107" i="41" s="1"/>
  <c r="B108" i="41" s="1"/>
  <c r="B109" i="41" s="1"/>
  <c r="B110" i="41" s="1"/>
  <c r="B111" i="41" s="1"/>
  <c r="B112" i="41" s="1"/>
  <c r="B113" i="41" s="1"/>
  <c r="B114" i="41" s="1"/>
  <c r="B115" i="41" s="1"/>
  <c r="B116" i="41" s="1"/>
  <c r="B117" i="41" s="1"/>
  <c r="B118" i="41" s="1"/>
  <c r="B119" i="41" s="1"/>
  <c r="B120" i="41" s="1"/>
  <c r="B121" i="41" s="1"/>
  <c r="B122" i="41" s="1"/>
  <c r="B123" i="41" s="1"/>
  <c r="B124" i="41" s="1"/>
  <c r="B125" i="41" s="1"/>
  <c r="B126" i="41" s="1"/>
  <c r="B127" i="41" s="1"/>
  <c r="B128" i="41" s="1"/>
  <c r="B129" i="41" s="1"/>
  <c r="B130" i="41" s="1"/>
  <c r="B131" i="41" s="1"/>
  <c r="B132" i="41" s="1"/>
  <c r="B133" i="41" s="1"/>
  <c r="B134" i="41" s="1"/>
  <c r="B135" i="41" s="1"/>
  <c r="B136" i="41" s="1"/>
  <c r="B137" i="41" s="1"/>
  <c r="B138" i="41" s="1"/>
  <c r="B139" i="41" s="1"/>
  <c r="B140" i="41" s="1"/>
  <c r="B141" i="41" s="1"/>
  <c r="B142" i="41" s="1"/>
  <c r="B143" i="41" s="1"/>
  <c r="B144" i="41" s="1"/>
  <c r="B145" i="41" s="1"/>
  <c r="B146" i="41" s="1"/>
  <c r="B147" i="41" s="1"/>
  <c r="B148" i="41" s="1"/>
  <c r="Q143" i="64"/>
  <c r="V12" i="64"/>
  <c r="V13" i="64" s="1"/>
  <c r="V14" i="64" s="1"/>
  <c r="V15" i="64" s="1"/>
  <c r="V16" i="64" s="1"/>
  <c r="V17" i="64" s="1"/>
  <c r="V18" i="64" s="1"/>
  <c r="V19" i="64" s="1"/>
  <c r="V20" i="64" s="1"/>
  <c r="V21" i="64" s="1"/>
  <c r="V22" i="64" s="1"/>
  <c r="V23" i="64" s="1"/>
  <c r="V24" i="64" s="1"/>
  <c r="V25" i="64" s="1"/>
  <c r="V26" i="64" s="1"/>
  <c r="V27" i="64" s="1"/>
  <c r="V28" i="64" s="1"/>
  <c r="V29" i="64" s="1"/>
  <c r="V30" i="64" s="1"/>
  <c r="V31" i="64" s="1"/>
  <c r="V32" i="64" s="1"/>
  <c r="V33" i="64" s="1"/>
  <c r="V34" i="64" s="1"/>
  <c r="V35" i="64" s="1"/>
  <c r="V36" i="64" s="1"/>
  <c r="V37" i="64" s="1"/>
  <c r="V38" i="64" s="1"/>
  <c r="V39" i="64" s="1"/>
  <c r="V40" i="64" s="1"/>
  <c r="V41" i="64" s="1"/>
  <c r="V42" i="64" s="1"/>
  <c r="V43" i="64" s="1"/>
  <c r="V44" i="64" s="1"/>
  <c r="V45" i="64" s="1"/>
  <c r="V46" i="64" s="1"/>
  <c r="V47" i="64" s="1"/>
  <c r="V48" i="64" s="1"/>
  <c r="V49" i="64" s="1"/>
  <c r="V50" i="64" s="1"/>
  <c r="V51" i="64" s="1"/>
  <c r="V52" i="64" s="1"/>
  <c r="V53" i="64" s="1"/>
  <c r="V54" i="64" s="1"/>
  <c r="V55" i="64" s="1"/>
  <c r="V56" i="64" s="1"/>
  <c r="V57" i="64" s="1"/>
  <c r="V58" i="64" s="1"/>
  <c r="V59" i="64" s="1"/>
  <c r="V60" i="64" s="1"/>
  <c r="V61" i="64" s="1"/>
  <c r="V62" i="64" s="1"/>
  <c r="V63" i="64" s="1"/>
  <c r="V64" i="64" s="1"/>
  <c r="V65" i="64" s="1"/>
  <c r="V66" i="64" s="1"/>
  <c r="V67" i="64" s="1"/>
  <c r="V68" i="64" s="1"/>
  <c r="V69" i="64" s="1"/>
  <c r="V70" i="64" s="1"/>
  <c r="V71" i="64" s="1"/>
  <c r="V72" i="64" s="1"/>
  <c r="V73" i="64" s="1"/>
  <c r="V74" i="64" s="1"/>
  <c r="V75" i="64" s="1"/>
  <c r="V76" i="64" s="1"/>
  <c r="V77" i="64" s="1"/>
  <c r="V78" i="64" s="1"/>
  <c r="V79" i="64" s="1"/>
  <c r="V80" i="64" s="1"/>
  <c r="V81" i="64" s="1"/>
  <c r="V82" i="64" s="1"/>
  <c r="V83" i="64" s="1"/>
  <c r="V84" i="64" s="1"/>
  <c r="V85" i="64" s="1"/>
  <c r="V86" i="64" s="1"/>
  <c r="V87" i="64" s="1"/>
  <c r="V88" i="64" s="1"/>
  <c r="V89" i="64" s="1"/>
  <c r="V90" i="64" s="1"/>
  <c r="V91" i="64" s="1"/>
  <c r="V92" i="64" s="1"/>
  <c r="V93" i="64" s="1"/>
  <c r="V94" i="64" s="1"/>
  <c r="V95" i="64" s="1"/>
  <c r="V96" i="64" s="1"/>
  <c r="V97" i="64" s="1"/>
  <c r="V98" i="64" s="1"/>
  <c r="V99" i="64" s="1"/>
  <c r="V100" i="64" s="1"/>
  <c r="V101" i="64" s="1"/>
  <c r="V102" i="64" s="1"/>
  <c r="V103" i="64" s="1"/>
  <c r="V104" i="64" s="1"/>
  <c r="V105" i="64" s="1"/>
  <c r="V106" i="64" s="1"/>
  <c r="V107" i="64" s="1"/>
  <c r="V108" i="64" s="1"/>
  <c r="V109" i="64" s="1"/>
  <c r="V110" i="64" s="1"/>
  <c r="V111" i="64" s="1"/>
  <c r="V112" i="64" s="1"/>
  <c r="V113" i="64" s="1"/>
  <c r="V114" i="64" s="1"/>
  <c r="V115" i="64" s="1"/>
  <c r="V116" i="64" s="1"/>
  <c r="V117" i="64" s="1"/>
  <c r="V118" i="64" s="1"/>
  <c r="V119" i="64" s="1"/>
  <c r="V120" i="64" s="1"/>
  <c r="V121" i="64" s="1"/>
  <c r="V122" i="64" s="1"/>
  <c r="V123" i="64" s="1"/>
  <c r="V124" i="64" s="1"/>
  <c r="V125" i="64" s="1"/>
  <c r="V126" i="64" s="1"/>
  <c r="V127" i="64" s="1"/>
  <c r="V128" i="64" s="1"/>
  <c r="V129" i="64" s="1"/>
  <c r="V130" i="64" s="1"/>
  <c r="V131" i="64" s="1"/>
  <c r="V132" i="64" s="1"/>
  <c r="V133" i="64" s="1"/>
  <c r="V134" i="64" s="1"/>
  <c r="V135" i="64" s="1"/>
  <c r="V136" i="64" s="1"/>
  <c r="V137" i="64" s="1"/>
  <c r="V138" i="64" s="1"/>
  <c r="V139" i="64" s="1"/>
  <c r="V140" i="64" s="1"/>
  <c r="V141" i="64" s="1"/>
  <c r="V142" i="64" s="1"/>
  <c r="V143" i="64" s="1"/>
  <c r="V144" i="64" s="1"/>
  <c r="V145" i="64" s="1"/>
  <c r="V146" i="64" s="1"/>
  <c r="V147" i="64" s="1"/>
  <c r="V148" i="64" s="1"/>
  <c r="P12" i="64"/>
  <c r="P11" i="64"/>
  <c r="J148" i="64"/>
  <c r="J147" i="64"/>
  <c r="J146" i="64"/>
  <c r="J145" i="64"/>
  <c r="J144" i="64"/>
  <c r="J143" i="64"/>
  <c r="J142" i="64"/>
  <c r="J141" i="64"/>
  <c r="J140" i="64"/>
  <c r="J139" i="64"/>
  <c r="J138" i="64"/>
  <c r="J137" i="64"/>
  <c r="J136" i="64"/>
  <c r="J135" i="64"/>
  <c r="J134" i="64"/>
  <c r="J133" i="64"/>
  <c r="J132" i="64"/>
  <c r="J131" i="64"/>
  <c r="J130" i="64"/>
  <c r="J129" i="64"/>
  <c r="J128" i="64"/>
  <c r="J127" i="64"/>
  <c r="J126" i="64"/>
  <c r="J125" i="64"/>
  <c r="J124" i="64"/>
  <c r="J123" i="64"/>
  <c r="J122" i="64"/>
  <c r="J121" i="64"/>
  <c r="J120" i="64"/>
  <c r="J119" i="64"/>
  <c r="J118" i="64"/>
  <c r="J117" i="64"/>
  <c r="J116" i="64"/>
  <c r="J115" i="64"/>
  <c r="J114" i="64"/>
  <c r="J113" i="64"/>
  <c r="J112" i="64"/>
  <c r="J111" i="64"/>
  <c r="J110" i="64"/>
  <c r="J109" i="64"/>
  <c r="J108" i="64"/>
  <c r="J107" i="64"/>
  <c r="J106" i="64"/>
  <c r="J105" i="64"/>
  <c r="J104" i="64"/>
  <c r="J103" i="64"/>
  <c r="J102" i="64"/>
  <c r="J101" i="64"/>
  <c r="J100" i="64"/>
  <c r="J99" i="64"/>
  <c r="J98" i="64"/>
  <c r="J97" i="64"/>
  <c r="J96" i="64"/>
  <c r="J95" i="64"/>
  <c r="J94" i="64"/>
  <c r="J93" i="64"/>
  <c r="J92" i="64"/>
  <c r="J91" i="64"/>
  <c r="J90" i="64"/>
  <c r="J89" i="64"/>
  <c r="J88" i="64"/>
  <c r="J87" i="64"/>
  <c r="J86" i="64"/>
  <c r="J85" i="64"/>
  <c r="J84" i="64"/>
  <c r="J83" i="64"/>
  <c r="J82" i="64"/>
  <c r="J81" i="64"/>
  <c r="J80" i="64"/>
  <c r="J79" i="64"/>
  <c r="J78" i="64"/>
  <c r="J77" i="64"/>
  <c r="J76" i="64"/>
  <c r="J75" i="64"/>
  <c r="J74" i="64"/>
  <c r="J73" i="64"/>
  <c r="J72" i="64"/>
  <c r="J71" i="64"/>
  <c r="J70" i="64"/>
  <c r="J69" i="64"/>
  <c r="J68" i="64"/>
  <c r="J67" i="64"/>
  <c r="J66" i="64"/>
  <c r="J65" i="64"/>
  <c r="J64" i="64"/>
  <c r="J63" i="64"/>
  <c r="J62" i="64"/>
  <c r="J61" i="64"/>
  <c r="J60" i="64"/>
  <c r="J59" i="64"/>
  <c r="J58" i="64"/>
  <c r="J57" i="64"/>
  <c r="J56" i="64"/>
  <c r="J55" i="64"/>
  <c r="J54" i="64"/>
  <c r="J53" i="64"/>
  <c r="J52" i="64"/>
  <c r="J51" i="64"/>
  <c r="J50" i="64"/>
  <c r="J49" i="64"/>
  <c r="J48" i="64"/>
  <c r="J47" i="64"/>
  <c r="J46" i="64"/>
  <c r="J45" i="64"/>
  <c r="J44" i="64"/>
  <c r="J43" i="64"/>
  <c r="J42" i="64"/>
  <c r="J41" i="64"/>
  <c r="J40" i="64"/>
  <c r="J39" i="64"/>
  <c r="J38" i="64"/>
  <c r="J37" i="64"/>
  <c r="J36" i="64"/>
  <c r="J35" i="64"/>
  <c r="J34" i="64"/>
  <c r="J33" i="64"/>
  <c r="J32" i="64"/>
  <c r="J31" i="64"/>
  <c r="J30" i="64"/>
  <c r="J29" i="64"/>
  <c r="J28" i="64"/>
  <c r="J27" i="64"/>
  <c r="J26" i="64"/>
  <c r="J25" i="64"/>
  <c r="J24" i="64"/>
  <c r="J23" i="64"/>
  <c r="J22" i="64"/>
  <c r="J21" i="64"/>
  <c r="J20" i="64"/>
  <c r="J19" i="64"/>
  <c r="J18" i="64"/>
  <c r="J17" i="64"/>
  <c r="J16" i="64"/>
  <c r="J15" i="64"/>
  <c r="J14" i="64"/>
  <c r="J13" i="64"/>
  <c r="J12" i="64"/>
  <c r="B12" i="64"/>
  <c r="B13" i="64" s="1"/>
  <c r="B14" i="64" s="1"/>
  <c r="B15" i="64" s="1"/>
  <c r="B16" i="64" s="1"/>
  <c r="B17" i="64" s="1"/>
  <c r="B18" i="64" s="1"/>
  <c r="B19" i="64" s="1"/>
  <c r="B20" i="64" s="1"/>
  <c r="B21" i="64" s="1"/>
  <c r="B22" i="64" s="1"/>
  <c r="B23" i="64" s="1"/>
  <c r="B24" i="64" s="1"/>
  <c r="B25" i="64" s="1"/>
  <c r="B26" i="64" s="1"/>
  <c r="B27" i="64" s="1"/>
  <c r="B28" i="64" s="1"/>
  <c r="B29" i="64" s="1"/>
  <c r="B30" i="64" s="1"/>
  <c r="B31" i="64" s="1"/>
  <c r="B32" i="64" s="1"/>
  <c r="B33" i="64" s="1"/>
  <c r="B34" i="64" s="1"/>
  <c r="B35" i="64" s="1"/>
  <c r="B36" i="64" s="1"/>
  <c r="B37" i="64" s="1"/>
  <c r="B38" i="64" s="1"/>
  <c r="B39" i="64" s="1"/>
  <c r="B40" i="64" s="1"/>
  <c r="B41" i="64" s="1"/>
  <c r="B42" i="64" s="1"/>
  <c r="B43" i="64" s="1"/>
  <c r="B44" i="64" s="1"/>
  <c r="B45" i="64" s="1"/>
  <c r="B46" i="64" s="1"/>
  <c r="B47" i="64" s="1"/>
  <c r="B48" i="64" s="1"/>
  <c r="B49" i="64" s="1"/>
  <c r="B50" i="64" s="1"/>
  <c r="B51" i="64" s="1"/>
  <c r="B52" i="64" s="1"/>
  <c r="B53" i="64" s="1"/>
  <c r="B54" i="64" s="1"/>
  <c r="B55" i="64" s="1"/>
  <c r="B56" i="64" s="1"/>
  <c r="B57" i="64" s="1"/>
  <c r="B58" i="64" s="1"/>
  <c r="B59" i="64" s="1"/>
  <c r="B60" i="64" s="1"/>
  <c r="B61" i="64" s="1"/>
  <c r="B62" i="64" s="1"/>
  <c r="B63" i="64" s="1"/>
  <c r="B64" i="64" s="1"/>
  <c r="B65" i="64" s="1"/>
  <c r="B66" i="64" s="1"/>
  <c r="B67" i="64" s="1"/>
  <c r="B68" i="64" s="1"/>
  <c r="B69" i="64" s="1"/>
  <c r="B70" i="64" s="1"/>
  <c r="B71" i="64" s="1"/>
  <c r="B72" i="64" s="1"/>
  <c r="B73" i="64" s="1"/>
  <c r="B74" i="64" s="1"/>
  <c r="B75" i="64" s="1"/>
  <c r="B76" i="64" s="1"/>
  <c r="B77" i="64" s="1"/>
  <c r="B78" i="64" s="1"/>
  <c r="B79" i="64" s="1"/>
  <c r="B80" i="64" s="1"/>
  <c r="B81" i="64" s="1"/>
  <c r="B82" i="64" s="1"/>
  <c r="B83" i="64" s="1"/>
  <c r="B84" i="64" s="1"/>
  <c r="B85" i="64" s="1"/>
  <c r="B86" i="64" s="1"/>
  <c r="B87" i="64" s="1"/>
  <c r="B88" i="64" s="1"/>
  <c r="B89" i="64" s="1"/>
  <c r="B90" i="64" s="1"/>
  <c r="B91" i="64" s="1"/>
  <c r="B92" i="64" s="1"/>
  <c r="B93" i="64" s="1"/>
  <c r="B94" i="64" s="1"/>
  <c r="B95" i="64" s="1"/>
  <c r="B96" i="64" s="1"/>
  <c r="B97" i="64" s="1"/>
  <c r="B98" i="64" s="1"/>
  <c r="B99" i="64" s="1"/>
  <c r="B100" i="64" s="1"/>
  <c r="B101" i="64" s="1"/>
  <c r="B102" i="64" s="1"/>
  <c r="B103" i="64" s="1"/>
  <c r="B104" i="64" s="1"/>
  <c r="B105" i="64" s="1"/>
  <c r="B106" i="64" s="1"/>
  <c r="B107" i="64" s="1"/>
  <c r="B108" i="64" s="1"/>
  <c r="B109" i="64" s="1"/>
  <c r="B110" i="64" s="1"/>
  <c r="B111" i="64" s="1"/>
  <c r="B112" i="64" s="1"/>
  <c r="B113" i="64" s="1"/>
  <c r="B114" i="64" s="1"/>
  <c r="B115" i="64" s="1"/>
  <c r="B116" i="64" s="1"/>
  <c r="B117" i="64" s="1"/>
  <c r="B118" i="64" s="1"/>
  <c r="B119" i="64" s="1"/>
  <c r="B120" i="64" s="1"/>
  <c r="B121" i="64" s="1"/>
  <c r="B122" i="64" s="1"/>
  <c r="B123" i="64" s="1"/>
  <c r="B124" i="64" s="1"/>
  <c r="B125" i="64" s="1"/>
  <c r="B126" i="64" s="1"/>
  <c r="B127" i="64" s="1"/>
  <c r="B128" i="64" s="1"/>
  <c r="B129" i="64" s="1"/>
  <c r="B130" i="64" s="1"/>
  <c r="B131" i="64" s="1"/>
  <c r="B132" i="64" s="1"/>
  <c r="B133" i="64" s="1"/>
  <c r="B134" i="64" s="1"/>
  <c r="B135" i="64" s="1"/>
  <c r="B136" i="64" s="1"/>
  <c r="B137" i="64" s="1"/>
  <c r="B138" i="64" s="1"/>
  <c r="B139" i="64" s="1"/>
  <c r="B140" i="64" s="1"/>
  <c r="B141" i="64" s="1"/>
  <c r="B142" i="64" s="1"/>
  <c r="B143" i="64" s="1"/>
  <c r="B144" i="64" s="1"/>
  <c r="B145" i="64" s="1"/>
  <c r="B146" i="64" s="1"/>
  <c r="B147" i="64" s="1"/>
  <c r="B148" i="64" s="1"/>
  <c r="M11" i="64"/>
  <c r="M12" i="64" s="1"/>
  <c r="M13" i="64" s="1"/>
  <c r="M14" i="64" s="1"/>
  <c r="M15" i="64" s="1"/>
  <c r="M16" i="64" s="1"/>
  <c r="M17" i="64" s="1"/>
  <c r="M18" i="64" s="1"/>
  <c r="M19" i="64" s="1"/>
  <c r="M20" i="64" s="1"/>
  <c r="M21" i="64" s="1"/>
  <c r="M22" i="64" s="1"/>
  <c r="M23" i="64" s="1"/>
  <c r="M24" i="64" s="1"/>
  <c r="M25" i="64" s="1"/>
  <c r="M26" i="64" s="1"/>
  <c r="M27" i="64" s="1"/>
  <c r="M28" i="64" s="1"/>
  <c r="M29" i="64" s="1"/>
  <c r="M30" i="64" s="1"/>
  <c r="M31" i="64" s="1"/>
  <c r="M32" i="64" s="1"/>
  <c r="M33" i="64" s="1"/>
  <c r="M34" i="64" s="1"/>
  <c r="M35" i="64" s="1"/>
  <c r="M36" i="64" s="1"/>
  <c r="M37" i="64" s="1"/>
  <c r="M38" i="64" s="1"/>
  <c r="M39" i="64" s="1"/>
  <c r="M40" i="64" s="1"/>
  <c r="M41" i="64" s="1"/>
  <c r="M42" i="64" s="1"/>
  <c r="M43" i="64" s="1"/>
  <c r="M44" i="64" s="1"/>
  <c r="M45" i="64" s="1"/>
  <c r="M46" i="64" s="1"/>
  <c r="M47" i="64" s="1"/>
  <c r="M48" i="64" s="1"/>
  <c r="M49" i="64" s="1"/>
  <c r="M50" i="64" s="1"/>
  <c r="M51" i="64" s="1"/>
  <c r="M52" i="64" s="1"/>
  <c r="M53" i="64" s="1"/>
  <c r="M54" i="64" s="1"/>
  <c r="M55" i="64" s="1"/>
  <c r="M56" i="64" s="1"/>
  <c r="M57" i="64" s="1"/>
  <c r="M58" i="64" s="1"/>
  <c r="M59" i="64" s="1"/>
  <c r="M60" i="64" s="1"/>
  <c r="M61" i="64" s="1"/>
  <c r="M62" i="64" s="1"/>
  <c r="M63" i="64" s="1"/>
  <c r="M64" i="64" s="1"/>
  <c r="M65" i="64" s="1"/>
  <c r="M66" i="64" s="1"/>
  <c r="M67" i="64" s="1"/>
  <c r="M68" i="64" s="1"/>
  <c r="M69" i="64" s="1"/>
  <c r="M70" i="64" s="1"/>
  <c r="M71" i="64" s="1"/>
  <c r="M72" i="64" s="1"/>
  <c r="M73" i="64" s="1"/>
  <c r="M74" i="64" s="1"/>
  <c r="M75" i="64" s="1"/>
  <c r="M76" i="64" s="1"/>
  <c r="M77" i="64" s="1"/>
  <c r="M78" i="64" s="1"/>
  <c r="M79" i="64" s="1"/>
  <c r="M80" i="64" s="1"/>
  <c r="M81" i="64" s="1"/>
  <c r="M82" i="64" s="1"/>
  <c r="M83" i="64" s="1"/>
  <c r="M84" i="64" s="1"/>
  <c r="M85" i="64" s="1"/>
  <c r="M86" i="64" s="1"/>
  <c r="M87" i="64" s="1"/>
  <c r="M88" i="64" s="1"/>
  <c r="M89" i="64" s="1"/>
  <c r="M90" i="64" s="1"/>
  <c r="M91" i="64" s="1"/>
  <c r="M92" i="64" s="1"/>
  <c r="M93" i="64" s="1"/>
  <c r="M94" i="64" s="1"/>
  <c r="M95" i="64" s="1"/>
  <c r="M96" i="64" s="1"/>
  <c r="M97" i="64" s="1"/>
  <c r="M98" i="64" s="1"/>
  <c r="M99" i="64" s="1"/>
  <c r="M100" i="64" s="1"/>
  <c r="M101" i="64" s="1"/>
  <c r="M102" i="64" s="1"/>
  <c r="M103" i="64" s="1"/>
  <c r="M104" i="64" s="1"/>
  <c r="M105" i="64" s="1"/>
  <c r="M106" i="64" s="1"/>
  <c r="M107" i="64" s="1"/>
  <c r="M108" i="64" s="1"/>
  <c r="M109" i="64" s="1"/>
  <c r="M110" i="64" s="1"/>
  <c r="M111" i="64" s="1"/>
  <c r="M112" i="64" s="1"/>
  <c r="M113" i="64" s="1"/>
  <c r="M114" i="64" s="1"/>
  <c r="M115" i="64" s="1"/>
  <c r="M116" i="64" s="1"/>
  <c r="M117" i="64" s="1"/>
  <c r="M118" i="64" s="1"/>
  <c r="M119" i="64" s="1"/>
  <c r="M120" i="64" s="1"/>
  <c r="M121" i="64" s="1"/>
  <c r="M122" i="64" s="1"/>
  <c r="M123" i="64" s="1"/>
  <c r="M124" i="64" s="1"/>
  <c r="M125" i="64" s="1"/>
  <c r="M126" i="64" s="1"/>
  <c r="M127" i="64" s="1"/>
  <c r="M128" i="64" s="1"/>
  <c r="M129" i="64" s="1"/>
  <c r="M130" i="64" s="1"/>
  <c r="M131" i="64" s="1"/>
  <c r="M132" i="64" s="1"/>
  <c r="M133" i="64" s="1"/>
  <c r="M134" i="64" s="1"/>
  <c r="M135" i="64" s="1"/>
  <c r="M136" i="64" s="1"/>
  <c r="M137" i="64" s="1"/>
  <c r="M138" i="64" s="1"/>
  <c r="M139" i="64" s="1"/>
  <c r="M140" i="64" s="1"/>
  <c r="M141" i="64" s="1"/>
  <c r="M142" i="64" s="1"/>
  <c r="M143" i="64" s="1"/>
  <c r="M144" i="64" s="1"/>
  <c r="M145" i="64" s="1"/>
  <c r="M146" i="64" s="1"/>
  <c r="M147" i="64" s="1"/>
  <c r="M148" i="64" s="1"/>
  <c r="L11" i="64"/>
  <c r="L12" i="64" s="1"/>
  <c r="L13" i="64" s="1"/>
  <c r="L14" i="64" s="1"/>
  <c r="L15" i="64" s="1"/>
  <c r="L16" i="64" s="1"/>
  <c r="L17" i="64" s="1"/>
  <c r="L18" i="64" s="1"/>
  <c r="L19" i="64" s="1"/>
  <c r="L20" i="64" s="1"/>
  <c r="L21" i="64" s="1"/>
  <c r="L22" i="64" s="1"/>
  <c r="L23" i="64" s="1"/>
  <c r="L24" i="64" s="1"/>
  <c r="L25" i="64" s="1"/>
  <c r="L26" i="64" s="1"/>
  <c r="L27" i="64" s="1"/>
  <c r="L28" i="64" s="1"/>
  <c r="L29" i="64" s="1"/>
  <c r="L30" i="64" s="1"/>
  <c r="L31" i="64" s="1"/>
  <c r="L32" i="64" s="1"/>
  <c r="L33" i="64" s="1"/>
  <c r="L34" i="64" s="1"/>
  <c r="L35" i="64" s="1"/>
  <c r="L36" i="64" s="1"/>
  <c r="L37" i="64" s="1"/>
  <c r="L38" i="64" s="1"/>
  <c r="L39" i="64" s="1"/>
  <c r="L40" i="64" s="1"/>
  <c r="L41" i="64" s="1"/>
  <c r="L42" i="64" s="1"/>
  <c r="L43" i="64" s="1"/>
  <c r="L44" i="64" s="1"/>
  <c r="L45" i="64" s="1"/>
  <c r="L46" i="64" s="1"/>
  <c r="L47" i="64" s="1"/>
  <c r="L48" i="64" s="1"/>
  <c r="L49" i="64" s="1"/>
  <c r="L50" i="64" s="1"/>
  <c r="L51" i="64" s="1"/>
  <c r="L52" i="64" s="1"/>
  <c r="L53" i="64" s="1"/>
  <c r="L54" i="64" s="1"/>
  <c r="L55" i="64" s="1"/>
  <c r="L56" i="64" s="1"/>
  <c r="L57" i="64" s="1"/>
  <c r="L58" i="64" s="1"/>
  <c r="L59" i="64" s="1"/>
  <c r="L60" i="64" s="1"/>
  <c r="L61" i="64" s="1"/>
  <c r="L62" i="64" s="1"/>
  <c r="L63" i="64" s="1"/>
  <c r="L64" i="64" s="1"/>
  <c r="L65" i="64" s="1"/>
  <c r="L66" i="64" s="1"/>
  <c r="L67" i="64" s="1"/>
  <c r="L68" i="64" s="1"/>
  <c r="L69" i="64" s="1"/>
  <c r="L70" i="64" s="1"/>
  <c r="L71" i="64" s="1"/>
  <c r="L72" i="64" s="1"/>
  <c r="L73" i="64" s="1"/>
  <c r="L74" i="64" s="1"/>
  <c r="L75" i="64" s="1"/>
  <c r="L76" i="64" s="1"/>
  <c r="L77" i="64" s="1"/>
  <c r="L78" i="64" s="1"/>
  <c r="L79" i="64" s="1"/>
  <c r="L80" i="64" s="1"/>
  <c r="L81" i="64" s="1"/>
  <c r="L82" i="64" s="1"/>
  <c r="L83" i="64" s="1"/>
  <c r="L84" i="64" s="1"/>
  <c r="L85" i="64" s="1"/>
  <c r="L86" i="64" s="1"/>
  <c r="L87" i="64" s="1"/>
  <c r="L88" i="64" s="1"/>
  <c r="L89" i="64" s="1"/>
  <c r="L90" i="64" s="1"/>
  <c r="L91" i="64" s="1"/>
  <c r="L92" i="64" s="1"/>
  <c r="L93" i="64" s="1"/>
  <c r="L94" i="64" s="1"/>
  <c r="L95" i="64" s="1"/>
  <c r="L96" i="64" s="1"/>
  <c r="L97" i="64" s="1"/>
  <c r="L98" i="64" s="1"/>
  <c r="L99" i="64" s="1"/>
  <c r="L100" i="64" s="1"/>
  <c r="L101" i="64" s="1"/>
  <c r="L102" i="64" s="1"/>
  <c r="L103" i="64" s="1"/>
  <c r="L104" i="64" s="1"/>
  <c r="L105" i="64" s="1"/>
  <c r="L106" i="64" s="1"/>
  <c r="L107" i="64" s="1"/>
  <c r="L108" i="64" s="1"/>
  <c r="L109" i="64" s="1"/>
  <c r="L110" i="64" s="1"/>
  <c r="L111" i="64" s="1"/>
  <c r="L112" i="64" s="1"/>
  <c r="L113" i="64" s="1"/>
  <c r="L114" i="64" s="1"/>
  <c r="L115" i="64" s="1"/>
  <c r="L116" i="64" s="1"/>
  <c r="L117" i="64" s="1"/>
  <c r="L118" i="64" s="1"/>
  <c r="L119" i="64" s="1"/>
  <c r="L120" i="64" s="1"/>
  <c r="L121" i="64" s="1"/>
  <c r="L122" i="64" s="1"/>
  <c r="L123" i="64" s="1"/>
  <c r="L124" i="64" s="1"/>
  <c r="L125" i="64" s="1"/>
  <c r="L126" i="64" s="1"/>
  <c r="L127" i="64" s="1"/>
  <c r="L128" i="64" s="1"/>
  <c r="L129" i="64" s="1"/>
  <c r="L130" i="64" s="1"/>
  <c r="L131" i="64" s="1"/>
  <c r="L132" i="64" s="1"/>
  <c r="L133" i="64" s="1"/>
  <c r="L134" i="64" s="1"/>
  <c r="L135" i="64" s="1"/>
  <c r="L136" i="64" s="1"/>
  <c r="L137" i="64" s="1"/>
  <c r="L138" i="64" s="1"/>
  <c r="L139" i="64" s="1"/>
  <c r="L140" i="64" s="1"/>
  <c r="L141" i="64" s="1"/>
  <c r="L142" i="64" s="1"/>
  <c r="L143" i="64" s="1"/>
  <c r="L144" i="64" s="1"/>
  <c r="L145" i="64" s="1"/>
  <c r="L146" i="64" s="1"/>
  <c r="L147" i="64" s="1"/>
  <c r="L148" i="64" s="1"/>
  <c r="J11" i="64"/>
  <c r="I11" i="64"/>
  <c r="I12" i="64" s="1"/>
  <c r="I13" i="64" s="1"/>
  <c r="I14" i="64" s="1"/>
  <c r="I15" i="64" s="1"/>
  <c r="I16" i="64" s="1"/>
  <c r="I17" i="64" s="1"/>
  <c r="I18" i="64" s="1"/>
  <c r="I19" i="64" s="1"/>
  <c r="I20" i="64" s="1"/>
  <c r="I21" i="64" s="1"/>
  <c r="I22" i="64" s="1"/>
  <c r="I23" i="64" s="1"/>
  <c r="I24" i="64" s="1"/>
  <c r="I25" i="64" s="1"/>
  <c r="I26" i="64" s="1"/>
  <c r="I27" i="64" s="1"/>
  <c r="I28" i="64" s="1"/>
  <c r="I29" i="64" s="1"/>
  <c r="I30" i="64" s="1"/>
  <c r="I31" i="64" s="1"/>
  <c r="I32" i="64" s="1"/>
  <c r="I33" i="64" s="1"/>
  <c r="I34" i="64" s="1"/>
  <c r="I35" i="64" s="1"/>
  <c r="I36" i="64" s="1"/>
  <c r="I37" i="64" s="1"/>
  <c r="I38" i="64" s="1"/>
  <c r="I39" i="64" s="1"/>
  <c r="I40" i="64" s="1"/>
  <c r="I41" i="64" s="1"/>
  <c r="I42" i="64" s="1"/>
  <c r="I43" i="64" s="1"/>
  <c r="I44" i="64" s="1"/>
  <c r="I45" i="64" s="1"/>
  <c r="I46" i="64" s="1"/>
  <c r="I47" i="64" s="1"/>
  <c r="I48" i="64" s="1"/>
  <c r="I49" i="64" s="1"/>
  <c r="I50" i="64" s="1"/>
  <c r="I51" i="64" s="1"/>
  <c r="I52" i="64" s="1"/>
  <c r="I53" i="64" s="1"/>
  <c r="I54" i="64" s="1"/>
  <c r="I55" i="64" s="1"/>
  <c r="I56" i="64" s="1"/>
  <c r="I57" i="64" s="1"/>
  <c r="I58" i="64" s="1"/>
  <c r="I59" i="64" s="1"/>
  <c r="I60" i="64" s="1"/>
  <c r="I61" i="64" s="1"/>
  <c r="I62" i="64" s="1"/>
  <c r="I63" i="64" s="1"/>
  <c r="I64" i="64" s="1"/>
  <c r="I65" i="64" s="1"/>
  <c r="I66" i="64" s="1"/>
  <c r="I67" i="64" s="1"/>
  <c r="I68" i="64" s="1"/>
  <c r="I69" i="64" s="1"/>
  <c r="I70" i="64" s="1"/>
  <c r="I71" i="64" s="1"/>
  <c r="I72" i="64" s="1"/>
  <c r="I73" i="64" s="1"/>
  <c r="I74" i="64" s="1"/>
  <c r="I75" i="64" s="1"/>
  <c r="I76" i="64" s="1"/>
  <c r="I77" i="64" s="1"/>
  <c r="I78" i="64" s="1"/>
  <c r="I79" i="64" s="1"/>
  <c r="I80" i="64" s="1"/>
  <c r="I81" i="64" s="1"/>
  <c r="I82" i="64" s="1"/>
  <c r="I83" i="64" s="1"/>
  <c r="I84" i="64" s="1"/>
  <c r="I85" i="64" s="1"/>
  <c r="I86" i="64" s="1"/>
  <c r="I87" i="64" s="1"/>
  <c r="I88" i="64" s="1"/>
  <c r="I89" i="64" s="1"/>
  <c r="I90" i="64" s="1"/>
  <c r="I91" i="64" s="1"/>
  <c r="I92" i="64" s="1"/>
  <c r="I93" i="64" s="1"/>
  <c r="I94" i="64" s="1"/>
  <c r="I95" i="64" s="1"/>
  <c r="I96" i="64" s="1"/>
  <c r="I97" i="64" s="1"/>
  <c r="I98" i="64" s="1"/>
  <c r="I99" i="64" s="1"/>
  <c r="I100" i="64" s="1"/>
  <c r="I101" i="64" s="1"/>
  <c r="I102" i="64" s="1"/>
  <c r="I103" i="64" s="1"/>
  <c r="I104" i="64" s="1"/>
  <c r="I105" i="64" s="1"/>
  <c r="I106" i="64" s="1"/>
  <c r="I107" i="64" s="1"/>
  <c r="I108" i="64" s="1"/>
  <c r="I109" i="64" s="1"/>
  <c r="I110" i="64" s="1"/>
  <c r="I111" i="64" s="1"/>
  <c r="I112" i="64" s="1"/>
  <c r="I113" i="64" s="1"/>
  <c r="I114" i="64" s="1"/>
  <c r="I115" i="64" s="1"/>
  <c r="I116" i="64" s="1"/>
  <c r="I117" i="64" s="1"/>
  <c r="I118" i="64" s="1"/>
  <c r="I119" i="64" s="1"/>
  <c r="I120" i="64" s="1"/>
  <c r="I121" i="64" s="1"/>
  <c r="I122" i="64" s="1"/>
  <c r="I123" i="64" s="1"/>
  <c r="I124" i="64" s="1"/>
  <c r="I125" i="64" s="1"/>
  <c r="I126" i="64" s="1"/>
  <c r="I127" i="64" s="1"/>
  <c r="I128" i="64" s="1"/>
  <c r="I129" i="64" s="1"/>
  <c r="I130" i="64" s="1"/>
  <c r="I131" i="64" s="1"/>
  <c r="I132" i="64" s="1"/>
  <c r="I133" i="64" s="1"/>
  <c r="I134" i="64" s="1"/>
  <c r="I135" i="64" s="1"/>
  <c r="I136" i="64" s="1"/>
  <c r="I137" i="64" s="1"/>
  <c r="I138" i="64" s="1"/>
  <c r="I139" i="64" s="1"/>
  <c r="I140" i="64" s="1"/>
  <c r="I141" i="64" s="1"/>
  <c r="I142" i="64" s="1"/>
  <c r="I143" i="64" s="1"/>
  <c r="I144" i="64" s="1"/>
  <c r="I145" i="64" s="1"/>
  <c r="I146" i="64" s="1"/>
  <c r="I147" i="64" s="1"/>
  <c r="I148" i="64" s="1"/>
  <c r="D11" i="64"/>
  <c r="E11" i="64" s="1"/>
  <c r="F11" i="64" s="1"/>
  <c r="A11" i="64"/>
  <c r="A12" i="64" s="1"/>
  <c r="A13" i="64" s="1"/>
  <c r="A14" i="64" s="1"/>
  <c r="A15" i="64" s="1"/>
  <c r="A16" i="64" s="1"/>
  <c r="A17" i="64" s="1"/>
  <c r="A18" i="64" s="1"/>
  <c r="A19" i="64" s="1"/>
  <c r="A20" i="64" s="1"/>
  <c r="A21" i="64" s="1"/>
  <c r="A22" i="64" s="1"/>
  <c r="A23" i="64" s="1"/>
  <c r="A24" i="64" s="1"/>
  <c r="A25" i="64" s="1"/>
  <c r="A26" i="64" s="1"/>
  <c r="A27" i="64" s="1"/>
  <c r="A28" i="64" s="1"/>
  <c r="A29" i="64" s="1"/>
  <c r="A30" i="64" s="1"/>
  <c r="A31" i="64" s="1"/>
  <c r="A32" i="64" s="1"/>
  <c r="A33" i="64" s="1"/>
  <c r="A34" i="64" s="1"/>
  <c r="A35" i="64" s="1"/>
  <c r="A36" i="64" s="1"/>
  <c r="A37" i="64" s="1"/>
  <c r="A38" i="64" s="1"/>
  <c r="A39" i="64" s="1"/>
  <c r="A40" i="64" s="1"/>
  <c r="A41" i="64" s="1"/>
  <c r="A42" i="64" s="1"/>
  <c r="A43" i="64" s="1"/>
  <c r="A44" i="64" s="1"/>
  <c r="A45" i="64" s="1"/>
  <c r="A46" i="64" s="1"/>
  <c r="A47" i="64" s="1"/>
  <c r="A48" i="64" s="1"/>
  <c r="A49" i="64" s="1"/>
  <c r="A50" i="64" s="1"/>
  <c r="A51" i="64" s="1"/>
  <c r="A52" i="64" s="1"/>
  <c r="A53" i="64" s="1"/>
  <c r="A54" i="64" s="1"/>
  <c r="A55" i="64" s="1"/>
  <c r="A56" i="64" s="1"/>
  <c r="A57" i="64" s="1"/>
  <c r="A58" i="64" s="1"/>
  <c r="A59" i="64" s="1"/>
  <c r="A60" i="64" s="1"/>
  <c r="A61" i="64" s="1"/>
  <c r="A62" i="64" s="1"/>
  <c r="A63" i="64" s="1"/>
  <c r="A64" i="64" s="1"/>
  <c r="A65" i="64" s="1"/>
  <c r="A66" i="64" s="1"/>
  <c r="A67" i="64" s="1"/>
  <c r="A68" i="64" s="1"/>
  <c r="A69" i="64" s="1"/>
  <c r="A70" i="64" s="1"/>
  <c r="A71" i="64" s="1"/>
  <c r="A72" i="64" s="1"/>
  <c r="A73" i="64" s="1"/>
  <c r="A74" i="64" s="1"/>
  <c r="A75" i="64" s="1"/>
  <c r="A76" i="64" s="1"/>
  <c r="A77" i="64" s="1"/>
  <c r="A78" i="64" s="1"/>
  <c r="A79" i="64" s="1"/>
  <c r="A80" i="64" s="1"/>
  <c r="A81" i="64" s="1"/>
  <c r="A82" i="64" s="1"/>
  <c r="A83" i="64" s="1"/>
  <c r="A84" i="64" s="1"/>
  <c r="A85" i="64" s="1"/>
  <c r="A86" i="64" s="1"/>
  <c r="A87" i="64" s="1"/>
  <c r="A88" i="64" s="1"/>
  <c r="A89" i="64" s="1"/>
  <c r="A90" i="64" s="1"/>
  <c r="A91" i="64" s="1"/>
  <c r="A92" i="64" s="1"/>
  <c r="A93" i="64" s="1"/>
  <c r="A94" i="64" s="1"/>
  <c r="A95" i="64" s="1"/>
  <c r="A96" i="64" s="1"/>
  <c r="A97" i="64" s="1"/>
  <c r="A98" i="64" s="1"/>
  <c r="A99" i="64" s="1"/>
  <c r="A100" i="64" s="1"/>
  <c r="A101" i="64" s="1"/>
  <c r="A102" i="64" s="1"/>
  <c r="A103" i="64" s="1"/>
  <c r="A104" i="64" s="1"/>
  <c r="A105" i="64" s="1"/>
  <c r="A106" i="64" s="1"/>
  <c r="A107" i="64" s="1"/>
  <c r="A108" i="64" s="1"/>
  <c r="A109" i="64" s="1"/>
  <c r="A110" i="64" s="1"/>
  <c r="A111" i="64" s="1"/>
  <c r="A112" i="64" s="1"/>
  <c r="A113" i="64" s="1"/>
  <c r="A114" i="64" s="1"/>
  <c r="A115" i="64" s="1"/>
  <c r="A116" i="64" s="1"/>
  <c r="A117" i="64" s="1"/>
  <c r="A118" i="64" s="1"/>
  <c r="A119" i="64" s="1"/>
  <c r="A120" i="64" s="1"/>
  <c r="A121" i="64" s="1"/>
  <c r="A122" i="64" s="1"/>
  <c r="A123" i="64" s="1"/>
  <c r="A124" i="64" s="1"/>
  <c r="A125" i="64" s="1"/>
  <c r="A126" i="64" s="1"/>
  <c r="A127" i="64" s="1"/>
  <c r="A128" i="64" s="1"/>
  <c r="A129" i="64" s="1"/>
  <c r="A130" i="64" s="1"/>
  <c r="A131" i="64" s="1"/>
  <c r="A132" i="64" s="1"/>
  <c r="A133" i="64" s="1"/>
  <c r="A134" i="64" s="1"/>
  <c r="A135" i="64" s="1"/>
  <c r="A136" i="64" s="1"/>
  <c r="A137" i="64" s="1"/>
  <c r="A138" i="64" s="1"/>
  <c r="A139" i="64" s="1"/>
  <c r="A140" i="64" s="1"/>
  <c r="A141" i="64" s="1"/>
  <c r="A142" i="64" s="1"/>
  <c r="A143" i="64" s="1"/>
  <c r="A144" i="64" s="1"/>
  <c r="A145" i="64" s="1"/>
  <c r="A146" i="64" s="1"/>
  <c r="A147" i="64" s="1"/>
  <c r="A148" i="64" s="1"/>
  <c r="T6" i="59"/>
  <c r="P18" i="55"/>
  <c r="P19" i="55"/>
  <c r="P20" i="55"/>
  <c r="P21" i="55"/>
  <c r="P22" i="55"/>
  <c r="P17" i="55"/>
  <c r="Q12" i="55"/>
  <c r="Q13" i="55"/>
  <c r="Q14" i="55"/>
  <c r="Q15" i="55"/>
  <c r="Q16" i="55"/>
  <c r="Q11" i="55"/>
  <c r="D11" i="98"/>
  <c r="L21" i="98"/>
  <c r="L22" i="98" s="1"/>
  <c r="L23" i="98" s="1"/>
  <c r="L24" i="98" s="1"/>
  <c r="L25" i="98" s="1"/>
  <c r="L26" i="98" s="1"/>
  <c r="L20" i="98"/>
  <c r="H20" i="98"/>
  <c r="H21" i="98" s="1"/>
  <c r="H22" i="98" s="1"/>
  <c r="H23" i="98" s="1"/>
  <c r="H24" i="98" s="1"/>
  <c r="H25" i="98" s="1"/>
  <c r="H26" i="98" s="1"/>
  <c r="O19" i="98"/>
  <c r="P19" i="98" s="1"/>
  <c r="M19" i="98"/>
  <c r="M20" i="98" s="1"/>
  <c r="M21" i="98" s="1"/>
  <c r="M22" i="98" s="1"/>
  <c r="M23" i="98" s="1"/>
  <c r="M24" i="98" s="1"/>
  <c r="M25" i="98" s="1"/>
  <c r="M26" i="98" s="1"/>
  <c r="L19" i="98"/>
  <c r="K19" i="98"/>
  <c r="K20" i="98" s="1"/>
  <c r="K21" i="98" s="1"/>
  <c r="K22" i="98" s="1"/>
  <c r="K23" i="98" s="1"/>
  <c r="K24" i="98" s="1"/>
  <c r="K25" i="98" s="1"/>
  <c r="K26" i="98" s="1"/>
  <c r="I19" i="98"/>
  <c r="I20" i="98" s="1"/>
  <c r="I21" i="98" s="1"/>
  <c r="I22" i="98" s="1"/>
  <c r="I23" i="98" s="1"/>
  <c r="I24" i="98" s="1"/>
  <c r="I25" i="98" s="1"/>
  <c r="I26" i="98" s="1"/>
  <c r="D12" i="97"/>
  <c r="D13" i="97" s="1"/>
  <c r="D11" i="97"/>
  <c r="N23" i="97"/>
  <c r="N24" i="97" s="1"/>
  <c r="N25" i="97" s="1"/>
  <c r="N26" i="97" s="1"/>
  <c r="N27" i="97" s="1"/>
  <c r="N28" i="97" s="1"/>
  <c r="N29" i="97" s="1"/>
  <c r="N30" i="97" s="1"/>
  <c r="N31" i="97" s="1"/>
  <c r="N32" i="97" s="1"/>
  <c r="N33" i="97" s="1"/>
  <c r="N34" i="97" s="1"/>
  <c r="M23" i="97"/>
  <c r="M24" i="97" s="1"/>
  <c r="M25" i="97" s="1"/>
  <c r="M26" i="97" s="1"/>
  <c r="M27" i="97" s="1"/>
  <c r="M28" i="97" s="1"/>
  <c r="M29" i="97" s="1"/>
  <c r="M30" i="97" s="1"/>
  <c r="M31" i="97" s="1"/>
  <c r="M32" i="97" s="1"/>
  <c r="M33" i="97" s="1"/>
  <c r="M34" i="97" s="1"/>
  <c r="L23" i="97"/>
  <c r="L24" i="97" s="1"/>
  <c r="L25" i="97" s="1"/>
  <c r="L26" i="97" s="1"/>
  <c r="L27" i="97" s="1"/>
  <c r="L28" i="97" s="1"/>
  <c r="L29" i="97" s="1"/>
  <c r="L30" i="97" s="1"/>
  <c r="L31" i="97" s="1"/>
  <c r="L32" i="97" s="1"/>
  <c r="L33" i="97" s="1"/>
  <c r="L34" i="97" s="1"/>
  <c r="J23" i="97"/>
  <c r="J24" i="97" s="1"/>
  <c r="J25" i="97" s="1"/>
  <c r="J26" i="97" s="1"/>
  <c r="J27" i="97" s="1"/>
  <c r="J28" i="97" s="1"/>
  <c r="J29" i="97" s="1"/>
  <c r="J30" i="97" s="1"/>
  <c r="J31" i="97" s="1"/>
  <c r="J32" i="97" s="1"/>
  <c r="J33" i="97" s="1"/>
  <c r="J34" i="97" s="1"/>
  <c r="I23" i="97"/>
  <c r="I24" i="97" s="1"/>
  <c r="I25" i="97" s="1"/>
  <c r="I26" i="97" s="1"/>
  <c r="I27" i="97" s="1"/>
  <c r="I28" i="97" s="1"/>
  <c r="I29" i="97" s="1"/>
  <c r="I30" i="97" s="1"/>
  <c r="I31" i="97" s="1"/>
  <c r="I32" i="97" s="1"/>
  <c r="I33" i="97" s="1"/>
  <c r="I34" i="97" s="1"/>
  <c r="H216" i="42" l="1"/>
  <c r="G216" i="42"/>
  <c r="K217" i="42"/>
  <c r="C217" i="42" s="1"/>
  <c r="D218" i="42"/>
  <c r="E217" i="42"/>
  <c r="F217" i="42" s="1"/>
  <c r="T588" i="61"/>
  <c r="U588" i="61" s="1"/>
  <c r="G589" i="61"/>
  <c r="H589" i="61"/>
  <c r="S589" i="61"/>
  <c r="R589" i="61"/>
  <c r="C590" i="61"/>
  <c r="E590" i="61"/>
  <c r="F590" i="61" s="1"/>
  <c r="D591" i="61"/>
  <c r="P590" i="61"/>
  <c r="Q590" i="61" s="1"/>
  <c r="O23" i="97"/>
  <c r="O24" i="97" s="1"/>
  <c r="O25" i="97" s="1"/>
  <c r="O26" i="97" s="1"/>
  <c r="O27" i="97" s="1"/>
  <c r="O28" i="97" s="1"/>
  <c r="O29" i="97" s="1"/>
  <c r="O30" i="97" s="1"/>
  <c r="O31" i="97" s="1"/>
  <c r="O32" i="97" s="1"/>
  <c r="O33" i="97" s="1"/>
  <c r="O34" i="97" s="1"/>
  <c r="N11" i="64"/>
  <c r="N12" i="64" s="1"/>
  <c r="N13" i="64" s="1"/>
  <c r="N14" i="64" s="1"/>
  <c r="N15" i="64" s="1"/>
  <c r="N16" i="64" s="1"/>
  <c r="N17" i="64" s="1"/>
  <c r="N18" i="64" s="1"/>
  <c r="N19" i="64" s="1"/>
  <c r="N20" i="64" s="1"/>
  <c r="N21" i="64" s="1"/>
  <c r="N22" i="64" s="1"/>
  <c r="N23" i="64" s="1"/>
  <c r="N24" i="64" s="1"/>
  <c r="N25" i="64" s="1"/>
  <c r="N26" i="64" s="1"/>
  <c r="N27" i="64" s="1"/>
  <c r="N28" i="64" s="1"/>
  <c r="N29" i="64" s="1"/>
  <c r="N30" i="64" s="1"/>
  <c r="N31" i="64" s="1"/>
  <c r="N32" i="64" s="1"/>
  <c r="N33" i="64" s="1"/>
  <c r="N34" i="64" s="1"/>
  <c r="N35" i="64" s="1"/>
  <c r="N36" i="64" s="1"/>
  <c r="N37" i="64" s="1"/>
  <c r="N38" i="64" s="1"/>
  <c r="N39" i="64" s="1"/>
  <c r="N40" i="64" s="1"/>
  <c r="N41" i="64" s="1"/>
  <c r="N42" i="64" s="1"/>
  <c r="N43" i="64" s="1"/>
  <c r="N44" i="64" s="1"/>
  <c r="N45" i="64" s="1"/>
  <c r="N46" i="64" s="1"/>
  <c r="N47" i="64" s="1"/>
  <c r="N48" i="64" s="1"/>
  <c r="N49" i="64" s="1"/>
  <c r="N50" i="64" s="1"/>
  <c r="N51" i="64" s="1"/>
  <c r="N52" i="64" s="1"/>
  <c r="N53" i="64" s="1"/>
  <c r="N54" i="64" s="1"/>
  <c r="N55" i="64" s="1"/>
  <c r="N56" i="64" s="1"/>
  <c r="N57" i="64" s="1"/>
  <c r="N58" i="64" s="1"/>
  <c r="N59" i="64" s="1"/>
  <c r="N60" i="64" s="1"/>
  <c r="N61" i="64" s="1"/>
  <c r="N62" i="64" s="1"/>
  <c r="N63" i="64" s="1"/>
  <c r="N64" i="64" s="1"/>
  <c r="N65" i="64" s="1"/>
  <c r="N66" i="64" s="1"/>
  <c r="N67" i="64" s="1"/>
  <c r="N68" i="64" s="1"/>
  <c r="N69" i="64" s="1"/>
  <c r="N70" i="64" s="1"/>
  <c r="N71" i="64" s="1"/>
  <c r="N72" i="64" s="1"/>
  <c r="N73" i="64" s="1"/>
  <c r="N74" i="64" s="1"/>
  <c r="N75" i="64" s="1"/>
  <c r="N76" i="64" s="1"/>
  <c r="N77" i="64" s="1"/>
  <c r="N78" i="64" s="1"/>
  <c r="N79" i="64" s="1"/>
  <c r="N80" i="64" s="1"/>
  <c r="N81" i="64" s="1"/>
  <c r="N82" i="64" s="1"/>
  <c r="N83" i="64" s="1"/>
  <c r="N84" i="64" s="1"/>
  <c r="N85" i="64" s="1"/>
  <c r="N86" i="64" s="1"/>
  <c r="N87" i="64" s="1"/>
  <c r="N88" i="64" s="1"/>
  <c r="N89" i="64" s="1"/>
  <c r="N90" i="64" s="1"/>
  <c r="N91" i="64" s="1"/>
  <c r="N92" i="64" s="1"/>
  <c r="N93" i="64" s="1"/>
  <c r="N94" i="64" s="1"/>
  <c r="N95" i="64" s="1"/>
  <c r="N96" i="64" s="1"/>
  <c r="N97" i="64" s="1"/>
  <c r="N98" i="64" s="1"/>
  <c r="N99" i="64" s="1"/>
  <c r="N100" i="64" s="1"/>
  <c r="N101" i="64" s="1"/>
  <c r="N102" i="64" s="1"/>
  <c r="N103" i="64" s="1"/>
  <c r="N104" i="64" s="1"/>
  <c r="N105" i="64" s="1"/>
  <c r="N106" i="64" s="1"/>
  <c r="N107" i="64" s="1"/>
  <c r="N108" i="64" s="1"/>
  <c r="N109" i="64" s="1"/>
  <c r="N110" i="64" s="1"/>
  <c r="N111" i="64" s="1"/>
  <c r="N112" i="64" s="1"/>
  <c r="N113" i="64" s="1"/>
  <c r="N114" i="64" s="1"/>
  <c r="N115" i="64" s="1"/>
  <c r="N116" i="64" s="1"/>
  <c r="N117" i="64" s="1"/>
  <c r="N118" i="64" s="1"/>
  <c r="N119" i="64" s="1"/>
  <c r="N120" i="64" s="1"/>
  <c r="N121" i="64" s="1"/>
  <c r="N122" i="64" s="1"/>
  <c r="N123" i="64" s="1"/>
  <c r="N124" i="64" s="1"/>
  <c r="N125" i="64" s="1"/>
  <c r="N126" i="64" s="1"/>
  <c r="N127" i="64" s="1"/>
  <c r="N128" i="64" s="1"/>
  <c r="N129" i="64" s="1"/>
  <c r="N130" i="64" s="1"/>
  <c r="N131" i="64" s="1"/>
  <c r="N132" i="64" s="1"/>
  <c r="N133" i="64" s="1"/>
  <c r="N134" i="64" s="1"/>
  <c r="N135" i="64" s="1"/>
  <c r="N136" i="64" s="1"/>
  <c r="N137" i="64" s="1"/>
  <c r="N138" i="64" s="1"/>
  <c r="N139" i="64" s="1"/>
  <c r="N140" i="64" s="1"/>
  <c r="N141" i="64" s="1"/>
  <c r="N142" i="64" s="1"/>
  <c r="N143" i="64" s="1"/>
  <c r="N144" i="64" s="1"/>
  <c r="N145" i="64" s="1"/>
  <c r="N146" i="64" s="1"/>
  <c r="N147" i="64" s="1"/>
  <c r="N148" i="64" s="1"/>
  <c r="D14" i="97"/>
  <c r="D12" i="64"/>
  <c r="K11" i="64"/>
  <c r="C11" i="64" s="1"/>
  <c r="S143" i="64"/>
  <c r="Q144" i="64"/>
  <c r="R12" i="64"/>
  <c r="P13" i="64"/>
  <c r="Q11" i="64"/>
  <c r="R11" i="64"/>
  <c r="H11" i="64"/>
  <c r="G11" i="64"/>
  <c r="D17" i="64"/>
  <c r="P20" i="98"/>
  <c r="P21" i="98" s="1"/>
  <c r="P22" i="98" s="1"/>
  <c r="P23" i="98" s="1"/>
  <c r="P24" i="98" s="1"/>
  <c r="P25" i="98" s="1"/>
  <c r="P26" i="98" s="1"/>
  <c r="O20" i="98"/>
  <c r="O21" i="98" s="1"/>
  <c r="O22" i="98" s="1"/>
  <c r="O23" i="98" s="1"/>
  <c r="O24" i="98" s="1"/>
  <c r="O25" i="98" s="1"/>
  <c r="O26" i="98" s="1"/>
  <c r="E218" i="42" l="1"/>
  <c r="F218" i="42" s="1"/>
  <c r="K218" i="42"/>
  <c r="C218" i="42"/>
  <c r="D219" i="42"/>
  <c r="H217" i="42"/>
  <c r="G217" i="42"/>
  <c r="T589" i="61"/>
  <c r="U589" i="61" s="1"/>
  <c r="R590" i="61"/>
  <c r="S590" i="61"/>
  <c r="T590" i="61" s="1"/>
  <c r="U590" i="61" s="1"/>
  <c r="H590" i="61"/>
  <c r="G590" i="61"/>
  <c r="D592" i="61"/>
  <c r="P591" i="61"/>
  <c r="Q591" i="61" s="1"/>
  <c r="E591" i="61"/>
  <c r="F591" i="61" s="1"/>
  <c r="C591" i="61"/>
  <c r="P17" i="64"/>
  <c r="K12" i="64"/>
  <c r="C12" i="64"/>
  <c r="E12" i="64"/>
  <c r="F12" i="64" s="1"/>
  <c r="D13" i="64"/>
  <c r="D15" i="97"/>
  <c r="R13" i="64"/>
  <c r="P14" i="64"/>
  <c r="S144" i="64"/>
  <c r="Q145" i="64"/>
  <c r="S11" i="64"/>
  <c r="Q12" i="64"/>
  <c r="E17" i="64"/>
  <c r="F17" i="64" s="1"/>
  <c r="D23" i="64"/>
  <c r="D18" i="64"/>
  <c r="K17" i="64"/>
  <c r="C17" i="64" s="1"/>
  <c r="E219" i="42" l="1"/>
  <c r="F219" i="42" s="1"/>
  <c r="K219" i="42"/>
  <c r="C219" i="42"/>
  <c r="D220" i="42"/>
  <c r="H218" i="42"/>
  <c r="G218" i="42"/>
  <c r="H591" i="61"/>
  <c r="G591" i="61"/>
  <c r="R591" i="61"/>
  <c r="S591" i="61"/>
  <c r="T591" i="61" s="1"/>
  <c r="U591" i="61" s="1"/>
  <c r="P592" i="61"/>
  <c r="Q592" i="61" s="1"/>
  <c r="E592" i="61"/>
  <c r="F592" i="61" s="1"/>
  <c r="C592" i="61"/>
  <c r="D593" i="61"/>
  <c r="G12" i="64"/>
  <c r="H12" i="64"/>
  <c r="P18" i="64"/>
  <c r="P23" i="64"/>
  <c r="Q17" i="64"/>
  <c r="S17" i="64" s="1"/>
  <c r="R17" i="64"/>
  <c r="E13" i="64"/>
  <c r="F13" i="64" s="1"/>
  <c r="K13" i="64"/>
  <c r="C13" i="64" s="1"/>
  <c r="D14" i="64"/>
  <c r="T11" i="64"/>
  <c r="U11" i="64" s="1"/>
  <c r="W11" i="64" s="1"/>
  <c r="X11" i="64" s="1"/>
  <c r="D16" i="97"/>
  <c r="R14" i="64"/>
  <c r="P15" i="64"/>
  <c r="S145" i="64"/>
  <c r="Q146" i="64"/>
  <c r="S12" i="64"/>
  <c r="T12" i="64" s="1"/>
  <c r="Q13" i="64"/>
  <c r="H17" i="64"/>
  <c r="G17" i="64"/>
  <c r="D19" i="64"/>
  <c r="E18" i="64"/>
  <c r="F18" i="64" s="1"/>
  <c r="K18" i="64"/>
  <c r="C18" i="64" s="1"/>
  <c r="E23" i="64"/>
  <c r="F23" i="64" s="1"/>
  <c r="D24" i="64"/>
  <c r="K23" i="64"/>
  <c r="C23" i="64" s="1"/>
  <c r="D29" i="64"/>
  <c r="D221" i="42" l="1"/>
  <c r="E220" i="42"/>
  <c r="F220" i="42" s="1"/>
  <c r="K220" i="42"/>
  <c r="C220" i="42" s="1"/>
  <c r="H219" i="42"/>
  <c r="G219" i="42"/>
  <c r="G592" i="61"/>
  <c r="H592" i="61"/>
  <c r="C593" i="61"/>
  <c r="D594" i="61"/>
  <c r="P593" i="61"/>
  <c r="Q593" i="61" s="1"/>
  <c r="E593" i="61"/>
  <c r="F593" i="61" s="1"/>
  <c r="S592" i="61"/>
  <c r="R592" i="61"/>
  <c r="P19" i="64"/>
  <c r="R23" i="64"/>
  <c r="Q23" i="64"/>
  <c r="S23" i="64" s="1"/>
  <c r="U12" i="64"/>
  <c r="W12" i="64" s="1"/>
  <c r="X12" i="64" s="1"/>
  <c r="C14" i="64"/>
  <c r="E14" i="64"/>
  <c r="F14" i="64" s="1"/>
  <c r="D15" i="64"/>
  <c r="K14" i="64"/>
  <c r="P24" i="64"/>
  <c r="R18" i="64"/>
  <c r="Q18" i="64"/>
  <c r="S18" i="64" s="1"/>
  <c r="H13" i="64"/>
  <c r="G13" i="64"/>
  <c r="P29" i="64"/>
  <c r="D17" i="97"/>
  <c r="T17" i="64"/>
  <c r="Q147" i="64"/>
  <c r="S146" i="64"/>
  <c r="P16" i="64"/>
  <c r="R16" i="64" s="1"/>
  <c r="R15" i="64"/>
  <c r="S13" i="64"/>
  <c r="T13" i="64" s="1"/>
  <c r="Q14" i="64"/>
  <c r="E29" i="64"/>
  <c r="F29" i="64" s="1"/>
  <c r="D30" i="64"/>
  <c r="K29" i="64"/>
  <c r="C29" i="64" s="1"/>
  <c r="D35" i="64"/>
  <c r="G18" i="64"/>
  <c r="H18" i="64"/>
  <c r="D20" i="64"/>
  <c r="K19" i="64"/>
  <c r="C19" i="64" s="1"/>
  <c r="E19" i="64"/>
  <c r="F19" i="64" s="1"/>
  <c r="K24" i="64"/>
  <c r="C24" i="64" s="1"/>
  <c r="E24" i="64"/>
  <c r="F24" i="64" s="1"/>
  <c r="D25" i="64"/>
  <c r="H23" i="64"/>
  <c r="G23" i="64"/>
  <c r="H220" i="42" l="1"/>
  <c r="G220" i="42"/>
  <c r="K221" i="42"/>
  <c r="C221" i="42"/>
  <c r="D222" i="42"/>
  <c r="E221" i="42"/>
  <c r="F221" i="42" s="1"/>
  <c r="T592" i="61"/>
  <c r="U592" i="61" s="1"/>
  <c r="H593" i="61"/>
  <c r="G593" i="61"/>
  <c r="D595" i="61"/>
  <c r="P594" i="61"/>
  <c r="Q594" i="61" s="1"/>
  <c r="E594" i="61"/>
  <c r="F594" i="61" s="1"/>
  <c r="C594" i="61"/>
  <c r="R593" i="61"/>
  <c r="S593" i="61"/>
  <c r="T18" i="64"/>
  <c r="T23" i="64"/>
  <c r="U23" i="64" s="1"/>
  <c r="W23" i="64" s="1"/>
  <c r="X23" i="64" s="1"/>
  <c r="P35" i="64"/>
  <c r="U18" i="64"/>
  <c r="W18" i="64" s="1"/>
  <c r="X18" i="64" s="1"/>
  <c r="P25" i="64"/>
  <c r="P30" i="64"/>
  <c r="U17" i="64"/>
  <c r="W17" i="64" s="1"/>
  <c r="X17" i="64" s="1"/>
  <c r="D18" i="97"/>
  <c r="P20" i="64"/>
  <c r="R29" i="64"/>
  <c r="Q29" i="64"/>
  <c r="S29" i="64" s="1"/>
  <c r="K15" i="64"/>
  <c r="C15" i="64" s="1"/>
  <c r="D16" i="64"/>
  <c r="E15" i="64"/>
  <c r="F15" i="64" s="1"/>
  <c r="R19" i="64"/>
  <c r="Q19" i="64"/>
  <c r="S19" i="64" s="1"/>
  <c r="Q24" i="64"/>
  <c r="S24" i="64" s="1"/>
  <c r="R24" i="64"/>
  <c r="U13" i="64"/>
  <c r="W13" i="64" s="1"/>
  <c r="X13" i="64" s="1"/>
  <c r="G14" i="64"/>
  <c r="H14" i="64"/>
  <c r="Q15" i="64"/>
  <c r="S14" i="64"/>
  <c r="T14" i="64" s="1"/>
  <c r="S147" i="64"/>
  <c r="Q148" i="64"/>
  <c r="S148" i="64" s="1"/>
  <c r="K25" i="64"/>
  <c r="C25" i="64" s="1"/>
  <c r="E25" i="64"/>
  <c r="F25" i="64" s="1"/>
  <c r="D26" i="64"/>
  <c r="E35" i="64"/>
  <c r="F35" i="64" s="1"/>
  <c r="D36" i="64"/>
  <c r="K35" i="64"/>
  <c r="C35" i="64" s="1"/>
  <c r="D41" i="64"/>
  <c r="G24" i="64"/>
  <c r="H24" i="64"/>
  <c r="K30" i="64"/>
  <c r="C30" i="64" s="1"/>
  <c r="D31" i="64"/>
  <c r="E30" i="64"/>
  <c r="F30" i="64" s="1"/>
  <c r="H29" i="64"/>
  <c r="G29" i="64"/>
  <c r="K20" i="64"/>
  <c r="C20" i="64" s="1"/>
  <c r="D21" i="64"/>
  <c r="E20" i="64"/>
  <c r="F20" i="64" s="1"/>
  <c r="G19" i="64"/>
  <c r="H19" i="64"/>
  <c r="E222" i="42" l="1"/>
  <c r="F222" i="42" s="1"/>
  <c r="K222" i="42"/>
  <c r="C222" i="42"/>
  <c r="D223" i="42"/>
  <c r="H221" i="42"/>
  <c r="G221" i="42"/>
  <c r="H594" i="61"/>
  <c r="G594" i="61"/>
  <c r="E595" i="61"/>
  <c r="F595" i="61" s="1"/>
  <c r="P595" i="61"/>
  <c r="Q595" i="61" s="1"/>
  <c r="C595" i="61"/>
  <c r="D596" i="61"/>
  <c r="R594" i="61"/>
  <c r="S594" i="61"/>
  <c r="T593" i="61"/>
  <c r="U593" i="61" s="1"/>
  <c r="T29" i="64"/>
  <c r="T24" i="64"/>
  <c r="T19" i="64"/>
  <c r="U19" i="64"/>
  <c r="W19" i="64" s="1"/>
  <c r="X19" i="64" s="1"/>
  <c r="P26" i="64"/>
  <c r="G15" i="64"/>
  <c r="H15" i="64"/>
  <c r="R25" i="64"/>
  <c r="Q25" i="64"/>
  <c r="S25" i="64" s="1"/>
  <c r="P31" i="64"/>
  <c r="R20" i="64"/>
  <c r="Q20" i="64"/>
  <c r="S20" i="64" s="1"/>
  <c r="C21" i="64"/>
  <c r="P21" i="64"/>
  <c r="K16" i="64"/>
  <c r="C16" i="64" s="1"/>
  <c r="E16" i="64"/>
  <c r="F16" i="64" s="1"/>
  <c r="D19" i="97"/>
  <c r="P36" i="64"/>
  <c r="R30" i="64"/>
  <c r="Q30" i="64"/>
  <c r="S30" i="64" s="1"/>
  <c r="U24" i="64"/>
  <c r="W24" i="64" s="1"/>
  <c r="X24" i="64" s="1"/>
  <c r="U29" i="64"/>
  <c r="W29" i="64" s="1"/>
  <c r="X29" i="64" s="1"/>
  <c r="Q35" i="64"/>
  <c r="S35" i="64" s="1"/>
  <c r="R35" i="64"/>
  <c r="C41" i="64"/>
  <c r="P41" i="64"/>
  <c r="U14" i="64"/>
  <c r="W14" i="64" s="1"/>
  <c r="X14" i="64" s="1"/>
  <c r="S15" i="64"/>
  <c r="T15" i="64" s="1"/>
  <c r="Q16" i="64"/>
  <c r="S16" i="64" s="1"/>
  <c r="T16" i="64" s="1"/>
  <c r="G35" i="64"/>
  <c r="H35" i="64"/>
  <c r="E21" i="64"/>
  <c r="F21" i="64" s="1"/>
  <c r="D22" i="64"/>
  <c r="K21" i="64"/>
  <c r="H30" i="64"/>
  <c r="G30" i="64"/>
  <c r="E31" i="64"/>
  <c r="F31" i="64" s="1"/>
  <c r="D32" i="64"/>
  <c r="K31" i="64"/>
  <c r="C31" i="64" s="1"/>
  <c r="E41" i="64"/>
  <c r="F41" i="64" s="1"/>
  <c r="K41" i="64"/>
  <c r="D42" i="64"/>
  <c r="D47" i="64"/>
  <c r="K26" i="64"/>
  <c r="C26" i="64" s="1"/>
  <c r="D27" i="64"/>
  <c r="E26" i="64"/>
  <c r="F26" i="64" s="1"/>
  <c r="H25" i="64"/>
  <c r="G25" i="64"/>
  <c r="G20" i="64"/>
  <c r="H20" i="64"/>
  <c r="K36" i="64"/>
  <c r="C36" i="64" s="1"/>
  <c r="D37" i="64"/>
  <c r="E36" i="64"/>
  <c r="F36" i="64" s="1"/>
  <c r="E223" i="42" l="1"/>
  <c r="F223" i="42" s="1"/>
  <c r="D224" i="42"/>
  <c r="K223" i="42"/>
  <c r="C223" i="42" s="1"/>
  <c r="H222" i="42"/>
  <c r="G222" i="42"/>
  <c r="T594" i="61"/>
  <c r="U594" i="61" s="1"/>
  <c r="R595" i="61"/>
  <c r="S595" i="61"/>
  <c r="T595" i="61" s="1"/>
  <c r="U595" i="61" s="1"/>
  <c r="H595" i="61"/>
  <c r="G595" i="61"/>
  <c r="D597" i="61"/>
  <c r="P596" i="61"/>
  <c r="Q596" i="61" s="1"/>
  <c r="C596" i="61"/>
  <c r="E596" i="61"/>
  <c r="F596" i="61" s="1"/>
  <c r="T30" i="64"/>
  <c r="T25" i="64"/>
  <c r="U25" i="64" s="1"/>
  <c r="W25" i="64" s="1"/>
  <c r="X25" i="64" s="1"/>
  <c r="U30" i="64"/>
  <c r="W30" i="64" s="1"/>
  <c r="X30" i="64" s="1"/>
  <c r="R21" i="64"/>
  <c r="Q21" i="64"/>
  <c r="S21" i="64" s="1"/>
  <c r="T35" i="64"/>
  <c r="P27" i="64"/>
  <c r="U15" i="64"/>
  <c r="W15" i="64" s="1"/>
  <c r="X15" i="64" s="1"/>
  <c r="T20" i="64"/>
  <c r="Q26" i="64"/>
  <c r="S26" i="64" s="1"/>
  <c r="R26" i="64"/>
  <c r="U16" i="64"/>
  <c r="W16" i="64" s="1"/>
  <c r="X16" i="64" s="1"/>
  <c r="R36" i="64"/>
  <c r="Q36" i="64"/>
  <c r="S36" i="64" s="1"/>
  <c r="P42" i="64"/>
  <c r="D20" i="97"/>
  <c r="R31" i="64"/>
  <c r="Q31" i="64"/>
  <c r="S31" i="64" s="1"/>
  <c r="P32" i="64"/>
  <c r="P37" i="64"/>
  <c r="P47" i="64"/>
  <c r="P22" i="64"/>
  <c r="Q41" i="64"/>
  <c r="S41" i="64" s="1"/>
  <c r="R41" i="64"/>
  <c r="G16" i="64"/>
  <c r="H16" i="64"/>
  <c r="D33" i="64"/>
  <c r="E32" i="64"/>
  <c r="F32" i="64" s="1"/>
  <c r="K32" i="64"/>
  <c r="C32" i="64" s="1"/>
  <c r="K37" i="64"/>
  <c r="C37" i="64" s="1"/>
  <c r="E37" i="64"/>
  <c r="F37" i="64" s="1"/>
  <c r="D38" i="64"/>
  <c r="K47" i="64"/>
  <c r="C47" i="64" s="1"/>
  <c r="D53" i="64"/>
  <c r="E47" i="64"/>
  <c r="F47" i="64" s="1"/>
  <c r="D48" i="64"/>
  <c r="E22" i="64"/>
  <c r="F22" i="64" s="1"/>
  <c r="K22" i="64"/>
  <c r="C22" i="64" s="1"/>
  <c r="D43" i="64"/>
  <c r="E42" i="64"/>
  <c r="F42" i="64" s="1"/>
  <c r="K42" i="64"/>
  <c r="C42" i="64" s="1"/>
  <c r="H21" i="64"/>
  <c r="G21" i="64"/>
  <c r="G31" i="64"/>
  <c r="H31" i="64"/>
  <c r="E27" i="64"/>
  <c r="F27" i="64" s="1"/>
  <c r="D28" i="64"/>
  <c r="K27" i="64"/>
  <c r="C27" i="64" s="1"/>
  <c r="G36" i="64"/>
  <c r="H36" i="64"/>
  <c r="H26" i="64"/>
  <c r="G26" i="64"/>
  <c r="G41" i="64"/>
  <c r="H41" i="64"/>
  <c r="D225" i="42" l="1"/>
  <c r="E224" i="42"/>
  <c r="F224" i="42" s="1"/>
  <c r="K224" i="42"/>
  <c r="C224" i="42"/>
  <c r="H223" i="42"/>
  <c r="G223" i="42"/>
  <c r="D598" i="61"/>
  <c r="P597" i="61"/>
  <c r="Q597" i="61" s="1"/>
  <c r="E597" i="61"/>
  <c r="F597" i="61" s="1"/>
  <c r="C597" i="61"/>
  <c r="R596" i="61"/>
  <c r="S596" i="61"/>
  <c r="T596" i="61" s="1"/>
  <c r="U596" i="61" s="1"/>
  <c r="H596" i="61"/>
  <c r="G596" i="61"/>
  <c r="T21" i="64"/>
  <c r="T26" i="64"/>
  <c r="T36" i="64"/>
  <c r="U36" i="64" s="1"/>
  <c r="W36" i="64" s="1"/>
  <c r="X36" i="64" s="1"/>
  <c r="Q22" i="64"/>
  <c r="S22" i="64" s="1"/>
  <c r="R22" i="64"/>
  <c r="T31" i="64"/>
  <c r="P48" i="64"/>
  <c r="Q47" i="64"/>
  <c r="S47" i="64" s="1"/>
  <c r="R47" i="64"/>
  <c r="Q27" i="64"/>
  <c r="S27" i="64" s="1"/>
  <c r="R27" i="64"/>
  <c r="P33" i="64"/>
  <c r="D21" i="97"/>
  <c r="U35" i="64"/>
  <c r="W35" i="64" s="1"/>
  <c r="X35" i="64" s="1"/>
  <c r="C53" i="64"/>
  <c r="P53" i="64"/>
  <c r="R37" i="64"/>
  <c r="Q37" i="64"/>
  <c r="S37" i="64" s="1"/>
  <c r="R42" i="64"/>
  <c r="Q42" i="64"/>
  <c r="S42" i="64" s="1"/>
  <c r="U26" i="64"/>
  <c r="W26" i="64" s="1"/>
  <c r="X26" i="64" s="1"/>
  <c r="U21" i="64"/>
  <c r="W21" i="64" s="1"/>
  <c r="X21" i="64" s="1"/>
  <c r="P38" i="64"/>
  <c r="R32" i="64"/>
  <c r="Q32" i="64"/>
  <c r="S32" i="64" s="1"/>
  <c r="U20" i="64"/>
  <c r="W20" i="64" s="1"/>
  <c r="X20" i="64" s="1"/>
  <c r="P28" i="64"/>
  <c r="P43" i="64"/>
  <c r="T41" i="64"/>
  <c r="G42" i="64"/>
  <c r="H42" i="64"/>
  <c r="K48" i="64"/>
  <c r="C48" i="64" s="1"/>
  <c r="D49" i="64"/>
  <c r="E48" i="64"/>
  <c r="F48" i="64" s="1"/>
  <c r="D44" i="64"/>
  <c r="E43" i="64"/>
  <c r="F43" i="64" s="1"/>
  <c r="K43" i="64"/>
  <c r="C43" i="64" s="1"/>
  <c r="G47" i="64"/>
  <c r="H47" i="64"/>
  <c r="E53" i="64"/>
  <c r="F53" i="64" s="1"/>
  <c r="D54" i="64"/>
  <c r="K53" i="64"/>
  <c r="D59" i="64"/>
  <c r="D34" i="64"/>
  <c r="K33" i="64"/>
  <c r="C33" i="64" s="1"/>
  <c r="E33" i="64"/>
  <c r="F33" i="64" s="1"/>
  <c r="K38" i="64"/>
  <c r="C38" i="64" s="1"/>
  <c r="D39" i="64"/>
  <c r="E38" i="64"/>
  <c r="F38" i="64" s="1"/>
  <c r="H37" i="64"/>
  <c r="G37" i="64"/>
  <c r="E28" i="64"/>
  <c r="F28" i="64" s="1"/>
  <c r="K28" i="64"/>
  <c r="C28" i="64" s="1"/>
  <c r="G32" i="64"/>
  <c r="H32" i="64"/>
  <c r="H27" i="64"/>
  <c r="G27" i="64"/>
  <c r="G22" i="64"/>
  <c r="H22" i="64"/>
  <c r="H224" i="42" l="1"/>
  <c r="G224" i="42"/>
  <c r="K225" i="42"/>
  <c r="C225" i="42" s="1"/>
  <c r="D226" i="42"/>
  <c r="E225" i="42"/>
  <c r="F225" i="42" s="1"/>
  <c r="G597" i="61"/>
  <c r="H597" i="61"/>
  <c r="S597" i="61"/>
  <c r="R597" i="61"/>
  <c r="C598" i="61"/>
  <c r="E598" i="61"/>
  <c r="F598" i="61" s="1"/>
  <c r="D599" i="61"/>
  <c r="P598" i="61"/>
  <c r="Q598" i="61" s="1"/>
  <c r="T42" i="64"/>
  <c r="U42" i="64" s="1"/>
  <c r="W42" i="64" s="1"/>
  <c r="X42" i="64" s="1"/>
  <c r="T32" i="64"/>
  <c r="T27" i="64"/>
  <c r="U27" i="64" s="1"/>
  <c r="W27" i="64" s="1"/>
  <c r="X27" i="64" s="1"/>
  <c r="U41" i="64"/>
  <c r="W41" i="64" s="1"/>
  <c r="X41" i="64" s="1"/>
  <c r="T47" i="64"/>
  <c r="R48" i="64"/>
  <c r="Q48" i="64"/>
  <c r="S48" i="64" s="1"/>
  <c r="U32" i="64"/>
  <c r="W32" i="64" s="1"/>
  <c r="X32" i="64" s="1"/>
  <c r="P59" i="64"/>
  <c r="P44" i="64"/>
  <c r="D22" i="97"/>
  <c r="P34" i="64"/>
  <c r="Q28" i="64"/>
  <c r="S28" i="64" s="1"/>
  <c r="R28" i="64"/>
  <c r="Q38" i="64"/>
  <c r="S38" i="64" s="1"/>
  <c r="R38" i="64"/>
  <c r="T37" i="64"/>
  <c r="R33" i="64"/>
  <c r="Q33" i="64"/>
  <c r="S33" i="64" s="1"/>
  <c r="U31" i="64"/>
  <c r="W31" i="64" s="1"/>
  <c r="X31" i="64" s="1"/>
  <c r="Q43" i="64"/>
  <c r="S43" i="64" s="1"/>
  <c r="R43" i="64"/>
  <c r="P54" i="64"/>
  <c r="C49" i="64"/>
  <c r="P49" i="64"/>
  <c r="P39" i="64"/>
  <c r="R53" i="64"/>
  <c r="Q53" i="64"/>
  <c r="S53" i="64" s="1"/>
  <c r="T53" i="64" s="1"/>
  <c r="T22" i="64"/>
  <c r="K54" i="64"/>
  <c r="C54" i="64" s="1"/>
  <c r="D55" i="64"/>
  <c r="E54" i="64"/>
  <c r="F54" i="64" s="1"/>
  <c r="E49" i="64"/>
  <c r="F49" i="64" s="1"/>
  <c r="D50" i="64"/>
  <c r="K49" i="64"/>
  <c r="G28" i="64"/>
  <c r="H28" i="64"/>
  <c r="H33" i="64"/>
  <c r="G33" i="64"/>
  <c r="H53" i="64"/>
  <c r="G53" i="64"/>
  <c r="H43" i="64"/>
  <c r="G43" i="64"/>
  <c r="K44" i="64"/>
  <c r="C44" i="64" s="1"/>
  <c r="D45" i="64"/>
  <c r="E44" i="64"/>
  <c r="F44" i="64" s="1"/>
  <c r="H38" i="64"/>
  <c r="G38" i="64"/>
  <c r="D65" i="64"/>
  <c r="E59" i="64"/>
  <c r="F59" i="64" s="1"/>
  <c r="D60" i="64"/>
  <c r="K59" i="64"/>
  <c r="C59" i="64" s="1"/>
  <c r="E39" i="64"/>
  <c r="F39" i="64" s="1"/>
  <c r="D40" i="64"/>
  <c r="K39" i="64"/>
  <c r="C39" i="64" s="1"/>
  <c r="K34" i="64"/>
  <c r="C34" i="64" s="1"/>
  <c r="E34" i="64"/>
  <c r="F34" i="64" s="1"/>
  <c r="H48" i="64"/>
  <c r="G48" i="64"/>
  <c r="E226" i="42" l="1"/>
  <c r="F226" i="42" s="1"/>
  <c r="K226" i="42"/>
  <c r="C226" i="42"/>
  <c r="H225" i="42"/>
  <c r="G225" i="42"/>
  <c r="R598" i="61"/>
  <c r="S598" i="61"/>
  <c r="T598" i="61" s="1"/>
  <c r="U598" i="61" s="1"/>
  <c r="H598" i="61"/>
  <c r="G598" i="61"/>
  <c r="D600" i="61"/>
  <c r="P599" i="61"/>
  <c r="Q599" i="61" s="1"/>
  <c r="E599" i="61"/>
  <c r="F599" i="61" s="1"/>
  <c r="C599" i="61"/>
  <c r="T597" i="61"/>
  <c r="U597" i="61" s="1"/>
  <c r="T33" i="64"/>
  <c r="T38" i="64"/>
  <c r="U38" i="64" s="1"/>
  <c r="W38" i="64" s="1"/>
  <c r="X38" i="64" s="1"/>
  <c r="T48" i="64"/>
  <c r="U48" i="64"/>
  <c r="W48" i="64" s="1"/>
  <c r="X48" i="64" s="1"/>
  <c r="P40" i="64"/>
  <c r="Q54" i="64"/>
  <c r="S54" i="64" s="1"/>
  <c r="R54" i="64"/>
  <c r="U37" i="64"/>
  <c r="W37" i="64" s="1"/>
  <c r="X37" i="64" s="1"/>
  <c r="P45" i="64"/>
  <c r="U22" i="64"/>
  <c r="W22" i="64" s="1"/>
  <c r="X22" i="64" s="1"/>
  <c r="Q44" i="64"/>
  <c r="S44" i="64" s="1"/>
  <c r="R44" i="64"/>
  <c r="U47" i="64"/>
  <c r="W47" i="64" s="1"/>
  <c r="X47" i="64" s="1"/>
  <c r="U33" i="64"/>
  <c r="W33" i="64" s="1"/>
  <c r="X33" i="64" s="1"/>
  <c r="P55" i="64"/>
  <c r="Q59" i="64"/>
  <c r="S59" i="64" s="1"/>
  <c r="R59" i="64"/>
  <c r="Q49" i="64"/>
  <c r="S49" i="64" s="1"/>
  <c r="R49" i="64"/>
  <c r="U53" i="64"/>
  <c r="W53" i="64" s="1"/>
  <c r="X53" i="64" s="1"/>
  <c r="C60" i="64"/>
  <c r="P60" i="64"/>
  <c r="T28" i="64"/>
  <c r="T43" i="64"/>
  <c r="U43" i="64" s="1"/>
  <c r="W43" i="64" s="1"/>
  <c r="X43" i="64" s="1"/>
  <c r="P50" i="64"/>
  <c r="Q39" i="64"/>
  <c r="S39" i="64" s="1"/>
  <c r="R39" i="64"/>
  <c r="P65" i="64"/>
  <c r="R34" i="64"/>
  <c r="Q34" i="64"/>
  <c r="S34" i="64" s="1"/>
  <c r="K60" i="64"/>
  <c r="D61" i="64"/>
  <c r="E60" i="64"/>
  <c r="F60" i="64" s="1"/>
  <c r="K55" i="64"/>
  <c r="C55" i="64" s="1"/>
  <c r="D56" i="64"/>
  <c r="E55" i="64"/>
  <c r="F55" i="64" s="1"/>
  <c r="K50" i="64"/>
  <c r="C50" i="64" s="1"/>
  <c r="D51" i="64"/>
  <c r="E50" i="64"/>
  <c r="F50" i="64" s="1"/>
  <c r="H34" i="64"/>
  <c r="G34" i="64"/>
  <c r="K40" i="64"/>
  <c r="C40" i="64" s="1"/>
  <c r="E40" i="64"/>
  <c r="F40" i="64" s="1"/>
  <c r="G39" i="64"/>
  <c r="H39" i="64"/>
  <c r="H44" i="64"/>
  <c r="G44" i="64"/>
  <c r="H59" i="64"/>
  <c r="G59" i="64"/>
  <c r="E65" i="64"/>
  <c r="F65" i="64" s="1"/>
  <c r="D71" i="64"/>
  <c r="D66" i="64"/>
  <c r="K65" i="64"/>
  <c r="C65" i="64" s="1"/>
  <c r="H49" i="64"/>
  <c r="G49" i="64"/>
  <c r="G54" i="64"/>
  <c r="H54" i="64"/>
  <c r="E45" i="64"/>
  <c r="F45" i="64" s="1"/>
  <c r="D46" i="64"/>
  <c r="K45" i="64"/>
  <c r="C45" i="64" s="1"/>
  <c r="H226" i="42" l="1"/>
  <c r="G226" i="42"/>
  <c r="R599" i="61"/>
  <c r="S599" i="61"/>
  <c r="T599" i="61" s="1"/>
  <c r="U599" i="61" s="1"/>
  <c r="P600" i="61"/>
  <c r="Q600" i="61" s="1"/>
  <c r="E600" i="61"/>
  <c r="F600" i="61" s="1"/>
  <c r="C600" i="61"/>
  <c r="D601" i="61"/>
  <c r="H599" i="61"/>
  <c r="G599" i="61"/>
  <c r="T49" i="64"/>
  <c r="T54" i="64"/>
  <c r="T44" i="64"/>
  <c r="T39" i="64"/>
  <c r="T59" i="64"/>
  <c r="U59" i="64" s="1"/>
  <c r="W59" i="64" s="1"/>
  <c r="X59" i="64" s="1"/>
  <c r="P66" i="64"/>
  <c r="Q65" i="64"/>
  <c r="S65" i="64" s="1"/>
  <c r="R65" i="64"/>
  <c r="R60" i="64"/>
  <c r="Q60" i="64"/>
  <c r="S60" i="64" s="1"/>
  <c r="U44" i="64"/>
  <c r="W44" i="64" s="1"/>
  <c r="X44" i="64" s="1"/>
  <c r="R55" i="64"/>
  <c r="Q55" i="64"/>
  <c r="S55" i="64" s="1"/>
  <c r="T55" i="64" s="1"/>
  <c r="U55" i="64" s="1"/>
  <c r="W55" i="64" s="1"/>
  <c r="X55" i="64" s="1"/>
  <c r="U54" i="64"/>
  <c r="W54" i="64" s="1"/>
  <c r="X54" i="64" s="1"/>
  <c r="U39" i="64"/>
  <c r="W39" i="64" s="1"/>
  <c r="X39" i="64" s="1"/>
  <c r="R40" i="64"/>
  <c r="Q40" i="64"/>
  <c r="S40" i="64" s="1"/>
  <c r="P61" i="64"/>
  <c r="R50" i="64"/>
  <c r="Q50" i="64"/>
  <c r="S50" i="64" s="1"/>
  <c r="Q45" i="64"/>
  <c r="S45" i="64" s="1"/>
  <c r="R45" i="64"/>
  <c r="C46" i="64"/>
  <c r="P46" i="64"/>
  <c r="U49" i="64"/>
  <c r="W49" i="64" s="1"/>
  <c r="X49" i="64" s="1"/>
  <c r="U28" i="64"/>
  <c r="W28" i="64" s="1"/>
  <c r="X28" i="64" s="1"/>
  <c r="P71" i="64"/>
  <c r="C56" i="64"/>
  <c r="P56" i="64"/>
  <c r="P51" i="64"/>
  <c r="T34" i="64"/>
  <c r="U34" i="64" s="1"/>
  <c r="W34" i="64" s="1"/>
  <c r="X34" i="64" s="1"/>
  <c r="H45" i="64"/>
  <c r="G45" i="64"/>
  <c r="E71" i="64"/>
  <c r="F71" i="64" s="1"/>
  <c r="D72" i="64"/>
  <c r="K71" i="64"/>
  <c r="C71" i="64" s="1"/>
  <c r="D77" i="64"/>
  <c r="H60" i="64"/>
  <c r="G60" i="64"/>
  <c r="H65" i="64"/>
  <c r="G65" i="64"/>
  <c r="G50" i="64"/>
  <c r="H50" i="64"/>
  <c r="H55" i="64"/>
  <c r="G55" i="64"/>
  <c r="K66" i="64"/>
  <c r="C66" i="64" s="1"/>
  <c r="D67" i="64"/>
  <c r="E66" i="64"/>
  <c r="F66" i="64" s="1"/>
  <c r="G40" i="64"/>
  <c r="H40" i="64"/>
  <c r="E51" i="64"/>
  <c r="F51" i="64" s="1"/>
  <c r="K51" i="64"/>
  <c r="C51" i="64" s="1"/>
  <c r="D52" i="64"/>
  <c r="E61" i="64"/>
  <c r="F61" i="64" s="1"/>
  <c r="D62" i="64"/>
  <c r="K61" i="64"/>
  <c r="C61" i="64" s="1"/>
  <c r="K56" i="64"/>
  <c r="D57" i="64"/>
  <c r="E56" i="64"/>
  <c r="F56" i="64" s="1"/>
  <c r="K46" i="64"/>
  <c r="E46" i="64"/>
  <c r="F46" i="64" s="1"/>
  <c r="C601" i="61" l="1"/>
  <c r="D602" i="61"/>
  <c r="P601" i="61"/>
  <c r="Q601" i="61" s="1"/>
  <c r="E601" i="61"/>
  <c r="F601" i="61" s="1"/>
  <c r="G600" i="61"/>
  <c r="H600" i="61"/>
  <c r="S600" i="61"/>
  <c r="R600" i="61"/>
  <c r="T65" i="64"/>
  <c r="T50" i="64"/>
  <c r="U50" i="64" s="1"/>
  <c r="W50" i="64" s="1"/>
  <c r="X50" i="64" s="1"/>
  <c r="T40" i="64"/>
  <c r="T60" i="64"/>
  <c r="P57" i="64"/>
  <c r="Q71" i="64"/>
  <c r="S71" i="64" s="1"/>
  <c r="R71" i="64"/>
  <c r="U60" i="64"/>
  <c r="W60" i="64" s="1"/>
  <c r="X60" i="64" s="1"/>
  <c r="Q46" i="64"/>
  <c r="S46" i="64" s="1"/>
  <c r="R46" i="64"/>
  <c r="T45" i="64"/>
  <c r="U65" i="64"/>
  <c r="W65" i="64" s="1"/>
  <c r="X65" i="64" s="1"/>
  <c r="R56" i="64"/>
  <c r="Q56" i="64"/>
  <c r="S56" i="64" s="1"/>
  <c r="Q51" i="64"/>
  <c r="S51" i="64" s="1"/>
  <c r="R51" i="64"/>
  <c r="R61" i="64"/>
  <c r="Q61" i="64"/>
  <c r="S61" i="64" s="1"/>
  <c r="R66" i="64"/>
  <c r="Q66" i="64"/>
  <c r="S66" i="64" s="1"/>
  <c r="U40" i="64"/>
  <c r="W40" i="64" s="1"/>
  <c r="X40" i="64" s="1"/>
  <c r="P72" i="64"/>
  <c r="C62" i="64"/>
  <c r="P62" i="64"/>
  <c r="P67" i="64"/>
  <c r="P52" i="64"/>
  <c r="P77" i="64"/>
  <c r="K72" i="64"/>
  <c r="C72" i="64" s="1"/>
  <c r="D73" i="64"/>
  <c r="E72" i="64"/>
  <c r="F72" i="64" s="1"/>
  <c r="G51" i="64"/>
  <c r="H51" i="64"/>
  <c r="H71" i="64"/>
  <c r="G71" i="64"/>
  <c r="G46" i="64"/>
  <c r="H46" i="64"/>
  <c r="H56" i="64"/>
  <c r="G56" i="64"/>
  <c r="D63" i="64"/>
  <c r="E62" i="64"/>
  <c r="F62" i="64" s="1"/>
  <c r="K62" i="64"/>
  <c r="G66" i="64"/>
  <c r="H66" i="64"/>
  <c r="K52" i="64"/>
  <c r="C52" i="64" s="1"/>
  <c r="E52" i="64"/>
  <c r="F52" i="64" s="1"/>
  <c r="E57" i="64"/>
  <c r="F57" i="64" s="1"/>
  <c r="D58" i="64"/>
  <c r="K57" i="64"/>
  <c r="C57" i="64" s="1"/>
  <c r="H61" i="64"/>
  <c r="G61" i="64"/>
  <c r="K67" i="64"/>
  <c r="C67" i="64" s="1"/>
  <c r="E67" i="64"/>
  <c r="F67" i="64" s="1"/>
  <c r="D68" i="64"/>
  <c r="D83" i="64"/>
  <c r="E77" i="64"/>
  <c r="F77" i="64" s="1"/>
  <c r="D78" i="64"/>
  <c r="K77" i="64"/>
  <c r="C77" i="64" s="1"/>
  <c r="T600" i="61" l="1"/>
  <c r="U600" i="61" s="1"/>
  <c r="R601" i="61"/>
  <c r="S601" i="61"/>
  <c r="H601" i="61"/>
  <c r="G601" i="61"/>
  <c r="D603" i="61"/>
  <c r="P602" i="61"/>
  <c r="Q602" i="61" s="1"/>
  <c r="E602" i="61"/>
  <c r="F602" i="61" s="1"/>
  <c r="C602" i="61"/>
  <c r="T66" i="64"/>
  <c r="U66" i="64" s="1"/>
  <c r="W66" i="64" s="1"/>
  <c r="X66" i="64" s="1"/>
  <c r="T46" i="64"/>
  <c r="Q77" i="64"/>
  <c r="S77" i="64" s="1"/>
  <c r="R77" i="64"/>
  <c r="R72" i="64"/>
  <c r="Q72" i="64"/>
  <c r="S72" i="64" s="1"/>
  <c r="T51" i="64"/>
  <c r="U51" i="64" s="1"/>
  <c r="W51" i="64" s="1"/>
  <c r="X51" i="64" s="1"/>
  <c r="Q52" i="64"/>
  <c r="S52" i="64" s="1"/>
  <c r="T52" i="64" s="1"/>
  <c r="R52" i="64"/>
  <c r="T56" i="64"/>
  <c r="U56" i="64" s="1"/>
  <c r="W56" i="64" s="1"/>
  <c r="X56" i="64" s="1"/>
  <c r="P78" i="64"/>
  <c r="T71" i="64"/>
  <c r="P83" i="64"/>
  <c r="Q57" i="64"/>
  <c r="S57" i="64" s="1"/>
  <c r="R57" i="64"/>
  <c r="P58" i="64"/>
  <c r="P63" i="64"/>
  <c r="R67" i="64"/>
  <c r="Q67" i="64"/>
  <c r="S67" i="64" s="1"/>
  <c r="C68" i="64"/>
  <c r="P68" i="64"/>
  <c r="P73" i="64"/>
  <c r="R62" i="64"/>
  <c r="Q62" i="64"/>
  <c r="S62" i="64" s="1"/>
  <c r="T62" i="64" s="1"/>
  <c r="T61" i="64"/>
  <c r="U45" i="64"/>
  <c r="W45" i="64" s="1"/>
  <c r="X45" i="64" s="1"/>
  <c r="E58" i="64"/>
  <c r="F58" i="64" s="1"/>
  <c r="K58" i="64"/>
  <c r="C58" i="64" s="1"/>
  <c r="K68" i="64"/>
  <c r="E68" i="64"/>
  <c r="F68" i="64" s="1"/>
  <c r="D69" i="64"/>
  <c r="H57" i="64"/>
  <c r="G57" i="64"/>
  <c r="G62" i="64"/>
  <c r="H62" i="64"/>
  <c r="H67" i="64"/>
  <c r="G67" i="64"/>
  <c r="H52" i="64"/>
  <c r="G52" i="64"/>
  <c r="E63" i="64"/>
  <c r="F63" i="64" s="1"/>
  <c r="D64" i="64"/>
  <c r="K63" i="64"/>
  <c r="C63" i="64" s="1"/>
  <c r="H77" i="64"/>
  <c r="G77" i="64"/>
  <c r="E83" i="64"/>
  <c r="F83" i="64" s="1"/>
  <c r="D84" i="64"/>
  <c r="D89" i="64"/>
  <c r="K83" i="64"/>
  <c r="C83" i="64" s="1"/>
  <c r="G72" i="64"/>
  <c r="H72" i="64"/>
  <c r="E73" i="64"/>
  <c r="F73" i="64" s="1"/>
  <c r="D74" i="64"/>
  <c r="K73" i="64"/>
  <c r="C73" i="64" s="1"/>
  <c r="K78" i="64"/>
  <c r="C78" i="64" s="1"/>
  <c r="D79" i="64"/>
  <c r="E78" i="64"/>
  <c r="F78" i="64" s="1"/>
  <c r="T601" i="61" l="1"/>
  <c r="U601" i="61" s="1"/>
  <c r="D604" i="61"/>
  <c r="P603" i="61"/>
  <c r="Q603" i="61" s="1"/>
  <c r="E603" i="61"/>
  <c r="F603" i="61" s="1"/>
  <c r="C603" i="61"/>
  <c r="H602" i="61"/>
  <c r="G602" i="61"/>
  <c r="R602" i="61"/>
  <c r="S602" i="61"/>
  <c r="T72" i="64"/>
  <c r="U72" i="64" s="1"/>
  <c r="W72" i="64" s="1"/>
  <c r="X72" i="64" s="1"/>
  <c r="T57" i="64"/>
  <c r="U57" i="64" s="1"/>
  <c r="W57" i="64" s="1"/>
  <c r="X57" i="64" s="1"/>
  <c r="R68" i="64"/>
  <c r="Q68" i="64"/>
  <c r="S68" i="64" s="1"/>
  <c r="T67" i="64"/>
  <c r="Q83" i="64"/>
  <c r="S83" i="64" s="1"/>
  <c r="R83" i="64"/>
  <c r="U62" i="64"/>
  <c r="W62" i="64" s="1"/>
  <c r="X62" i="64" s="1"/>
  <c r="R63" i="64"/>
  <c r="Q63" i="64"/>
  <c r="S63" i="64" s="1"/>
  <c r="U71" i="64"/>
  <c r="W71" i="64" s="1"/>
  <c r="X71" i="64" s="1"/>
  <c r="U52" i="64"/>
  <c r="W52" i="64" s="1"/>
  <c r="X52" i="64" s="1"/>
  <c r="P89" i="64"/>
  <c r="P84" i="64"/>
  <c r="R78" i="64"/>
  <c r="Q78" i="64"/>
  <c r="S78" i="64" s="1"/>
  <c r="U61" i="64"/>
  <c r="W61" i="64" s="1"/>
  <c r="X61" i="64" s="1"/>
  <c r="R58" i="64"/>
  <c r="Q58" i="64"/>
  <c r="S58" i="64" s="1"/>
  <c r="T58" i="64" s="1"/>
  <c r="U58" i="64" s="1"/>
  <c r="W58" i="64" s="1"/>
  <c r="X58" i="64" s="1"/>
  <c r="T77" i="64"/>
  <c r="U77" i="64" s="1"/>
  <c r="W77" i="64" s="1"/>
  <c r="X77" i="64" s="1"/>
  <c r="P64" i="64"/>
  <c r="P79" i="64"/>
  <c r="P69" i="64"/>
  <c r="Q73" i="64"/>
  <c r="S73" i="64" s="1"/>
  <c r="R73" i="64"/>
  <c r="P74" i="64"/>
  <c r="U46" i="64"/>
  <c r="W46" i="64" s="1"/>
  <c r="X46" i="64" s="1"/>
  <c r="G58" i="64"/>
  <c r="H58" i="64"/>
  <c r="E79" i="64"/>
  <c r="F79" i="64" s="1"/>
  <c r="D80" i="64"/>
  <c r="K79" i="64"/>
  <c r="C79" i="64" s="1"/>
  <c r="D95" i="64"/>
  <c r="D90" i="64"/>
  <c r="E89" i="64"/>
  <c r="F89" i="64" s="1"/>
  <c r="K89" i="64"/>
  <c r="C89" i="64" s="1"/>
  <c r="K64" i="64"/>
  <c r="C64" i="64" s="1"/>
  <c r="E64" i="64"/>
  <c r="F64" i="64" s="1"/>
  <c r="K84" i="64"/>
  <c r="C84" i="64" s="1"/>
  <c r="D85" i="64"/>
  <c r="E84" i="64"/>
  <c r="F84" i="64" s="1"/>
  <c r="H83" i="64"/>
  <c r="G83" i="64"/>
  <c r="E69" i="64"/>
  <c r="F69" i="64" s="1"/>
  <c r="D70" i="64"/>
  <c r="K69" i="64"/>
  <c r="C69" i="64" s="1"/>
  <c r="H63" i="64"/>
  <c r="G63" i="64"/>
  <c r="H68" i="64"/>
  <c r="G68" i="64"/>
  <c r="H73" i="64"/>
  <c r="G73" i="64"/>
  <c r="K74" i="64"/>
  <c r="C74" i="64" s="1"/>
  <c r="D75" i="64"/>
  <c r="E74" i="64"/>
  <c r="F74" i="64" s="1"/>
  <c r="H78" i="64"/>
  <c r="G78" i="64"/>
  <c r="T602" i="61" l="1"/>
  <c r="U602" i="61" s="1"/>
  <c r="R603" i="61"/>
  <c r="S603" i="61"/>
  <c r="T603" i="61" s="1"/>
  <c r="U603" i="61" s="1"/>
  <c r="H603" i="61"/>
  <c r="G603" i="61"/>
  <c r="D605" i="61"/>
  <c r="P604" i="61"/>
  <c r="Q604" i="61" s="1"/>
  <c r="C604" i="61"/>
  <c r="E604" i="61"/>
  <c r="F604" i="61" s="1"/>
  <c r="T68" i="64"/>
  <c r="T83" i="64"/>
  <c r="P80" i="64"/>
  <c r="T73" i="64"/>
  <c r="Q69" i="64"/>
  <c r="S69" i="64" s="1"/>
  <c r="R69" i="64"/>
  <c r="C70" i="64"/>
  <c r="P70" i="64"/>
  <c r="Q79" i="64"/>
  <c r="S79" i="64" s="1"/>
  <c r="R79" i="64"/>
  <c r="U83" i="64"/>
  <c r="W83" i="64" s="1"/>
  <c r="X83" i="64" s="1"/>
  <c r="P90" i="64"/>
  <c r="T78" i="64"/>
  <c r="U67" i="64"/>
  <c r="W67" i="64" s="1"/>
  <c r="X67" i="64" s="1"/>
  <c r="P75" i="64"/>
  <c r="P95" i="64"/>
  <c r="R74" i="64"/>
  <c r="Q74" i="64"/>
  <c r="S74" i="64" s="1"/>
  <c r="R64" i="64"/>
  <c r="Q64" i="64"/>
  <c r="S64" i="64" s="1"/>
  <c r="U68" i="64"/>
  <c r="W68" i="64" s="1"/>
  <c r="X68" i="64" s="1"/>
  <c r="Q89" i="64"/>
  <c r="S89" i="64" s="1"/>
  <c r="R89" i="64"/>
  <c r="C85" i="64"/>
  <c r="P85" i="64"/>
  <c r="R84" i="64"/>
  <c r="Q84" i="64"/>
  <c r="S84" i="64" s="1"/>
  <c r="T84" i="64" s="1"/>
  <c r="T63" i="64"/>
  <c r="D81" i="64"/>
  <c r="E80" i="64"/>
  <c r="F80" i="64" s="1"/>
  <c r="K80" i="64"/>
  <c r="C80" i="64" s="1"/>
  <c r="E75" i="64"/>
  <c r="F75" i="64" s="1"/>
  <c r="D76" i="64"/>
  <c r="K75" i="64"/>
  <c r="C75" i="64" s="1"/>
  <c r="H89" i="64"/>
  <c r="G89" i="64"/>
  <c r="K70" i="64"/>
  <c r="E70" i="64"/>
  <c r="F70" i="64" s="1"/>
  <c r="K90" i="64"/>
  <c r="C90" i="64" s="1"/>
  <c r="D91" i="64"/>
  <c r="E90" i="64"/>
  <c r="F90" i="64" s="1"/>
  <c r="H74" i="64"/>
  <c r="G74" i="64"/>
  <c r="G84" i="64"/>
  <c r="H84" i="64"/>
  <c r="K85" i="64"/>
  <c r="D86" i="64"/>
  <c r="E85" i="64"/>
  <c r="F85" i="64" s="1"/>
  <c r="G69" i="64"/>
  <c r="H69" i="64"/>
  <c r="E95" i="64"/>
  <c r="F95" i="64" s="1"/>
  <c r="D96" i="64"/>
  <c r="D101" i="64"/>
  <c r="K95" i="64"/>
  <c r="C95" i="64" s="1"/>
  <c r="H64" i="64"/>
  <c r="G64" i="64"/>
  <c r="H79" i="64"/>
  <c r="G79" i="64"/>
  <c r="C605" i="61" l="1"/>
  <c r="D606" i="61"/>
  <c r="E605" i="61"/>
  <c r="F605" i="61" s="1"/>
  <c r="P605" i="61"/>
  <c r="Q605" i="61" s="1"/>
  <c r="G604" i="61"/>
  <c r="H604" i="61"/>
  <c r="S604" i="61"/>
  <c r="R604" i="61"/>
  <c r="T69" i="64"/>
  <c r="U69" i="64" s="1"/>
  <c r="W69" i="64" s="1"/>
  <c r="X69" i="64" s="1"/>
  <c r="T64" i="64"/>
  <c r="T79" i="64"/>
  <c r="T74" i="64"/>
  <c r="U74" i="64" s="1"/>
  <c r="W74" i="64" s="1"/>
  <c r="X74" i="64" s="1"/>
  <c r="U64" i="64"/>
  <c r="W64" i="64" s="1"/>
  <c r="X64" i="64" s="1"/>
  <c r="U79" i="64"/>
  <c r="W79" i="64" s="1"/>
  <c r="X79" i="64" s="1"/>
  <c r="R70" i="64"/>
  <c r="Q70" i="64"/>
  <c r="S70" i="64" s="1"/>
  <c r="R90" i="64"/>
  <c r="Q90" i="64"/>
  <c r="S90" i="64" s="1"/>
  <c r="R95" i="64"/>
  <c r="Q95" i="64"/>
  <c r="S95" i="64" s="1"/>
  <c r="T95" i="64" s="1"/>
  <c r="U84" i="64"/>
  <c r="W84" i="64" s="1"/>
  <c r="X84" i="64" s="1"/>
  <c r="P86" i="64"/>
  <c r="T89" i="64"/>
  <c r="U73" i="64"/>
  <c r="W73" i="64" s="1"/>
  <c r="X73" i="64" s="1"/>
  <c r="Q85" i="64"/>
  <c r="S85" i="64" s="1"/>
  <c r="R85" i="64"/>
  <c r="C101" i="64"/>
  <c r="P101" i="64"/>
  <c r="C81" i="64"/>
  <c r="P81" i="64"/>
  <c r="R75" i="64"/>
  <c r="Q75" i="64"/>
  <c r="S75" i="64" s="1"/>
  <c r="T75" i="64" s="1"/>
  <c r="R80" i="64"/>
  <c r="Q80" i="64"/>
  <c r="S80" i="64" s="1"/>
  <c r="C76" i="64"/>
  <c r="P76" i="64"/>
  <c r="U78" i="64"/>
  <c r="W78" i="64" s="1"/>
  <c r="X78" i="64" s="1"/>
  <c r="C91" i="64"/>
  <c r="P91" i="64"/>
  <c r="C96" i="64"/>
  <c r="P96" i="64"/>
  <c r="U63" i="64"/>
  <c r="W63" i="64" s="1"/>
  <c r="X63" i="64" s="1"/>
  <c r="E101" i="64"/>
  <c r="F101" i="64" s="1"/>
  <c r="D107" i="64"/>
  <c r="D102" i="64"/>
  <c r="K101" i="64"/>
  <c r="K86" i="64"/>
  <c r="C86" i="64" s="1"/>
  <c r="E86" i="64"/>
  <c r="F86" i="64" s="1"/>
  <c r="D87" i="64"/>
  <c r="E91" i="64"/>
  <c r="F91" i="64" s="1"/>
  <c r="D92" i="64"/>
  <c r="K91" i="64"/>
  <c r="E76" i="64"/>
  <c r="F76" i="64" s="1"/>
  <c r="K76" i="64"/>
  <c r="H95" i="64"/>
  <c r="G95" i="64"/>
  <c r="H70" i="64"/>
  <c r="G70" i="64"/>
  <c r="H75" i="64"/>
  <c r="G75" i="64"/>
  <c r="K96" i="64"/>
  <c r="D97" i="64"/>
  <c r="E96" i="64"/>
  <c r="F96" i="64" s="1"/>
  <c r="G80" i="64"/>
  <c r="H80" i="64"/>
  <c r="H85" i="64"/>
  <c r="G85" i="64"/>
  <c r="E81" i="64"/>
  <c r="F81" i="64" s="1"/>
  <c r="D82" i="64"/>
  <c r="K81" i="64"/>
  <c r="H90" i="64"/>
  <c r="G90" i="64"/>
  <c r="T604" i="61" l="1"/>
  <c r="U604" i="61" s="1"/>
  <c r="R605" i="61"/>
  <c r="S605" i="61"/>
  <c r="H605" i="61"/>
  <c r="G605" i="61"/>
  <c r="P606" i="61"/>
  <c r="Q606" i="61" s="1"/>
  <c r="E606" i="61"/>
  <c r="F606" i="61" s="1"/>
  <c r="C606" i="61"/>
  <c r="D607" i="61"/>
  <c r="T85" i="64"/>
  <c r="T90" i="64"/>
  <c r="U90" i="64" s="1"/>
  <c r="W90" i="64" s="1"/>
  <c r="X90" i="64" s="1"/>
  <c r="T70" i="64"/>
  <c r="T80" i="64"/>
  <c r="U80" i="64" s="1"/>
  <c r="W80" i="64" s="1"/>
  <c r="X80" i="64" s="1"/>
  <c r="R86" i="64"/>
  <c r="Q86" i="64"/>
  <c r="S86" i="64" s="1"/>
  <c r="P92" i="64"/>
  <c r="R76" i="64"/>
  <c r="Q76" i="64"/>
  <c r="S76" i="64" s="1"/>
  <c r="Q101" i="64"/>
  <c r="S101" i="64" s="1"/>
  <c r="R101" i="64"/>
  <c r="U70" i="64"/>
  <c r="W70" i="64" s="1"/>
  <c r="X70" i="64" s="1"/>
  <c r="Q96" i="64"/>
  <c r="S96" i="64" s="1"/>
  <c r="R96" i="64"/>
  <c r="P87" i="64"/>
  <c r="U85" i="64"/>
  <c r="W85" i="64" s="1"/>
  <c r="X85" i="64" s="1"/>
  <c r="U95" i="64"/>
  <c r="W95" i="64" s="1"/>
  <c r="X95" i="64" s="1"/>
  <c r="P97" i="64"/>
  <c r="Q91" i="64"/>
  <c r="S91" i="64" s="1"/>
  <c r="R91" i="64"/>
  <c r="U75" i="64"/>
  <c r="W75" i="64" s="1"/>
  <c r="X75" i="64" s="1"/>
  <c r="P82" i="64"/>
  <c r="P102" i="64"/>
  <c r="P107" i="64"/>
  <c r="Q81" i="64"/>
  <c r="S81" i="64" s="1"/>
  <c r="R81" i="64"/>
  <c r="U89" i="64"/>
  <c r="W89" i="64" s="1"/>
  <c r="X89" i="64" s="1"/>
  <c r="G96" i="64"/>
  <c r="H96" i="64"/>
  <c r="E97" i="64"/>
  <c r="F97" i="64" s="1"/>
  <c r="K97" i="64"/>
  <c r="C97" i="64" s="1"/>
  <c r="D98" i="64"/>
  <c r="K102" i="64"/>
  <c r="C102" i="64" s="1"/>
  <c r="D103" i="64"/>
  <c r="E102" i="64"/>
  <c r="F102" i="64" s="1"/>
  <c r="E87" i="64"/>
  <c r="F87" i="64" s="1"/>
  <c r="D88" i="64"/>
  <c r="K87" i="64"/>
  <c r="C87" i="64" s="1"/>
  <c r="H86" i="64"/>
  <c r="G86" i="64"/>
  <c r="K82" i="64"/>
  <c r="C82" i="64" s="1"/>
  <c r="E82" i="64"/>
  <c r="F82" i="64" s="1"/>
  <c r="E92" i="64"/>
  <c r="F92" i="64" s="1"/>
  <c r="D93" i="64"/>
  <c r="K92" i="64"/>
  <c r="C92" i="64" s="1"/>
  <c r="D108" i="64"/>
  <c r="D113" i="64"/>
  <c r="K107" i="64"/>
  <c r="C107" i="64" s="1"/>
  <c r="E107" i="64"/>
  <c r="F107" i="64" s="1"/>
  <c r="G81" i="64"/>
  <c r="H81" i="64"/>
  <c r="G76" i="64"/>
  <c r="H76" i="64"/>
  <c r="G91" i="64"/>
  <c r="H91" i="64"/>
  <c r="H101" i="64"/>
  <c r="G101" i="64"/>
  <c r="T605" i="61" l="1"/>
  <c r="U605" i="61" s="1"/>
  <c r="H606" i="61"/>
  <c r="G606" i="61"/>
  <c r="P607" i="61"/>
  <c r="Q607" i="61" s="1"/>
  <c r="E607" i="61"/>
  <c r="F607" i="61" s="1"/>
  <c r="C607" i="61"/>
  <c r="D608" i="61"/>
  <c r="R606" i="61"/>
  <c r="S606" i="61"/>
  <c r="T76" i="64"/>
  <c r="T101" i="64"/>
  <c r="T96" i="64"/>
  <c r="T81" i="64"/>
  <c r="U81" i="64" s="1"/>
  <c r="W81" i="64" s="1"/>
  <c r="X81" i="64" s="1"/>
  <c r="U101" i="64"/>
  <c r="W101" i="64" s="1"/>
  <c r="X101" i="64" s="1"/>
  <c r="Q87" i="64"/>
  <c r="S87" i="64" s="1"/>
  <c r="R87" i="64"/>
  <c r="U76" i="64"/>
  <c r="W76" i="64" s="1"/>
  <c r="X76" i="64" s="1"/>
  <c r="P98" i="64"/>
  <c r="P108" i="64"/>
  <c r="T91" i="64"/>
  <c r="U91" i="64" s="1"/>
  <c r="W91" i="64" s="1"/>
  <c r="X91" i="64" s="1"/>
  <c r="P88" i="64"/>
  <c r="Q102" i="64"/>
  <c r="S102" i="64" s="1"/>
  <c r="R102" i="64"/>
  <c r="Q97" i="64"/>
  <c r="S97" i="64" s="1"/>
  <c r="R97" i="64"/>
  <c r="R92" i="64"/>
  <c r="Q92" i="64"/>
  <c r="S92" i="64" s="1"/>
  <c r="T92" i="64" s="1"/>
  <c r="Q107" i="64"/>
  <c r="S107" i="64" s="1"/>
  <c r="T107" i="64" s="1"/>
  <c r="U107" i="64" s="1"/>
  <c r="W107" i="64" s="1"/>
  <c r="X107" i="64" s="1"/>
  <c r="R107" i="64"/>
  <c r="U96" i="64"/>
  <c r="W96" i="64" s="1"/>
  <c r="X96" i="64" s="1"/>
  <c r="P93" i="64"/>
  <c r="R82" i="64"/>
  <c r="Q82" i="64"/>
  <c r="S82" i="64" s="1"/>
  <c r="T82" i="64" s="1"/>
  <c r="U82" i="64" s="1"/>
  <c r="W82" i="64" s="1"/>
  <c r="X82" i="64" s="1"/>
  <c r="T86" i="64"/>
  <c r="P113" i="64"/>
  <c r="P103" i="64"/>
  <c r="G87" i="64"/>
  <c r="H87" i="64"/>
  <c r="K98" i="64"/>
  <c r="C98" i="64" s="1"/>
  <c r="D99" i="64"/>
  <c r="E98" i="64"/>
  <c r="F98" i="64" s="1"/>
  <c r="H102" i="64"/>
  <c r="G102" i="64"/>
  <c r="D119" i="64"/>
  <c r="E113" i="64"/>
  <c r="F113" i="64" s="1"/>
  <c r="D114" i="64"/>
  <c r="K113" i="64"/>
  <c r="C113" i="64" s="1"/>
  <c r="K108" i="64"/>
  <c r="C108" i="64" s="1"/>
  <c r="D109" i="64"/>
  <c r="E108" i="64"/>
  <c r="F108" i="64" s="1"/>
  <c r="E93" i="64"/>
  <c r="F93" i="64" s="1"/>
  <c r="K93" i="64"/>
  <c r="C93" i="64" s="1"/>
  <c r="D94" i="64"/>
  <c r="G92" i="64"/>
  <c r="H92" i="64"/>
  <c r="H82" i="64"/>
  <c r="G82" i="64"/>
  <c r="H97" i="64"/>
  <c r="G97" i="64"/>
  <c r="E103" i="64"/>
  <c r="F103" i="64" s="1"/>
  <c r="D104" i="64"/>
  <c r="K103" i="64"/>
  <c r="C103" i="64" s="1"/>
  <c r="G107" i="64"/>
  <c r="H107" i="64"/>
  <c r="E88" i="64"/>
  <c r="F88" i="64" s="1"/>
  <c r="K88" i="64"/>
  <c r="C88" i="64" s="1"/>
  <c r="T606" i="61" l="1"/>
  <c r="U606" i="61" s="1"/>
  <c r="G607" i="61"/>
  <c r="H607" i="61"/>
  <c r="S607" i="61"/>
  <c r="R607" i="61"/>
  <c r="C608" i="61"/>
  <c r="D609" i="61"/>
  <c r="P608" i="61"/>
  <c r="Q608" i="61" s="1"/>
  <c r="E608" i="61"/>
  <c r="F608" i="61" s="1"/>
  <c r="T102" i="64"/>
  <c r="R113" i="64"/>
  <c r="Q113" i="64"/>
  <c r="S113" i="64" s="1"/>
  <c r="U102" i="64"/>
  <c r="W102" i="64" s="1"/>
  <c r="X102" i="64" s="1"/>
  <c r="P109" i="64"/>
  <c r="R88" i="64"/>
  <c r="Q88" i="64"/>
  <c r="S88" i="64" s="1"/>
  <c r="U92" i="64"/>
  <c r="W92" i="64" s="1"/>
  <c r="X92" i="64" s="1"/>
  <c r="T87" i="64"/>
  <c r="Q108" i="64"/>
  <c r="S108" i="64" s="1"/>
  <c r="R108" i="64"/>
  <c r="P114" i="64"/>
  <c r="P104" i="64"/>
  <c r="P94" i="64"/>
  <c r="Q93" i="64"/>
  <c r="S93" i="64" s="1"/>
  <c r="T93" i="64" s="1"/>
  <c r="R93" i="64"/>
  <c r="P99" i="64"/>
  <c r="P119" i="64"/>
  <c r="Q103" i="64"/>
  <c r="S103" i="64" s="1"/>
  <c r="R103" i="64"/>
  <c r="T97" i="64"/>
  <c r="R98" i="64"/>
  <c r="Q98" i="64"/>
  <c r="S98" i="64" s="1"/>
  <c r="U86" i="64"/>
  <c r="W86" i="64" s="1"/>
  <c r="X86" i="64" s="1"/>
  <c r="G88" i="64"/>
  <c r="H88" i="64"/>
  <c r="H103" i="64"/>
  <c r="G103" i="64"/>
  <c r="K114" i="64"/>
  <c r="C114" i="64" s="1"/>
  <c r="D115" i="64"/>
  <c r="E114" i="64"/>
  <c r="F114" i="64" s="1"/>
  <c r="H98" i="64"/>
  <c r="G98" i="64"/>
  <c r="G108" i="64"/>
  <c r="H108" i="64"/>
  <c r="H113" i="64"/>
  <c r="G113" i="64"/>
  <c r="E109" i="64"/>
  <c r="F109" i="64" s="1"/>
  <c r="D110" i="64"/>
  <c r="K109" i="64"/>
  <c r="C109" i="64" s="1"/>
  <c r="K119" i="64"/>
  <c r="C119" i="64" s="1"/>
  <c r="D120" i="64"/>
  <c r="E119" i="64"/>
  <c r="F119" i="64" s="1"/>
  <c r="D125" i="64"/>
  <c r="E99" i="64"/>
  <c r="F99" i="64" s="1"/>
  <c r="D100" i="64"/>
  <c r="K99" i="64"/>
  <c r="C99" i="64" s="1"/>
  <c r="K104" i="64"/>
  <c r="C104" i="64" s="1"/>
  <c r="D105" i="64"/>
  <c r="E104" i="64"/>
  <c r="F104" i="64" s="1"/>
  <c r="K94" i="64"/>
  <c r="C94" i="64" s="1"/>
  <c r="E94" i="64"/>
  <c r="F94" i="64" s="1"/>
  <c r="H93" i="64"/>
  <c r="G93" i="64"/>
  <c r="T607" i="61" l="1"/>
  <c r="U607" i="61" s="1"/>
  <c r="R608" i="61"/>
  <c r="S608" i="61"/>
  <c r="T608" i="61" s="1"/>
  <c r="U608" i="61" s="1"/>
  <c r="D610" i="61"/>
  <c r="P609" i="61"/>
  <c r="Q609" i="61" s="1"/>
  <c r="E609" i="61"/>
  <c r="F609" i="61" s="1"/>
  <c r="C609" i="61"/>
  <c r="H608" i="61"/>
  <c r="G608" i="61"/>
  <c r="T88" i="64"/>
  <c r="U88" i="64" s="1"/>
  <c r="W88" i="64" s="1"/>
  <c r="X88" i="64" s="1"/>
  <c r="T108" i="64"/>
  <c r="T103" i="64"/>
  <c r="P105" i="64"/>
  <c r="P110" i="64"/>
  <c r="Q99" i="64"/>
  <c r="S99" i="64" s="1"/>
  <c r="R99" i="64"/>
  <c r="R114" i="64"/>
  <c r="Q114" i="64"/>
  <c r="S114" i="64" s="1"/>
  <c r="Q119" i="64"/>
  <c r="S119" i="64" s="1"/>
  <c r="R119" i="64"/>
  <c r="R104" i="64"/>
  <c r="Q104" i="64"/>
  <c r="S104" i="64" s="1"/>
  <c r="P100" i="64"/>
  <c r="P115" i="64"/>
  <c r="T98" i="64"/>
  <c r="U98" i="64" s="1"/>
  <c r="W98" i="64" s="1"/>
  <c r="X98" i="64" s="1"/>
  <c r="R109" i="64"/>
  <c r="Q109" i="64"/>
  <c r="S109" i="64" s="1"/>
  <c r="U97" i="64"/>
  <c r="W97" i="64" s="1"/>
  <c r="X97" i="64" s="1"/>
  <c r="U108" i="64"/>
  <c r="W108" i="64" s="1"/>
  <c r="X108" i="64" s="1"/>
  <c r="Q94" i="64"/>
  <c r="S94" i="64" s="1"/>
  <c r="R94" i="64"/>
  <c r="U87" i="64"/>
  <c r="W87" i="64" s="1"/>
  <c r="X87" i="64" s="1"/>
  <c r="P125" i="64"/>
  <c r="U93" i="64"/>
  <c r="W93" i="64" s="1"/>
  <c r="X93" i="64" s="1"/>
  <c r="P120" i="64"/>
  <c r="U103" i="64"/>
  <c r="W103" i="64" s="1"/>
  <c r="X103" i="64" s="1"/>
  <c r="T113" i="64"/>
  <c r="G99" i="64"/>
  <c r="H99" i="64"/>
  <c r="G104" i="64"/>
  <c r="H104" i="64"/>
  <c r="G109" i="64"/>
  <c r="H109" i="64"/>
  <c r="D106" i="64"/>
  <c r="E105" i="64"/>
  <c r="F105" i="64" s="1"/>
  <c r="K105" i="64"/>
  <c r="C105" i="64" s="1"/>
  <c r="K125" i="64"/>
  <c r="C125" i="64" s="1"/>
  <c r="D131" i="64"/>
  <c r="E125" i="64"/>
  <c r="F125" i="64" s="1"/>
  <c r="D126" i="64"/>
  <c r="H119" i="64"/>
  <c r="G119" i="64"/>
  <c r="H94" i="64"/>
  <c r="G94" i="64"/>
  <c r="E120" i="64"/>
  <c r="F120" i="64" s="1"/>
  <c r="K120" i="64"/>
  <c r="C120" i="64" s="1"/>
  <c r="D121" i="64"/>
  <c r="H114" i="64"/>
  <c r="G114" i="64"/>
  <c r="K100" i="64"/>
  <c r="C100" i="64" s="1"/>
  <c r="E100" i="64"/>
  <c r="F100" i="64" s="1"/>
  <c r="E110" i="64"/>
  <c r="F110" i="64" s="1"/>
  <c r="D111" i="64"/>
  <c r="K110" i="64"/>
  <c r="C110" i="64" s="1"/>
  <c r="E115" i="64"/>
  <c r="F115" i="64" s="1"/>
  <c r="D116" i="64"/>
  <c r="K115" i="64"/>
  <c r="C115" i="64" s="1"/>
  <c r="R609" i="61" l="1"/>
  <c r="S609" i="61"/>
  <c r="T609" i="61" s="1"/>
  <c r="U609" i="61" s="1"/>
  <c r="H609" i="61"/>
  <c r="G609" i="61"/>
  <c r="E610" i="61"/>
  <c r="F610" i="61" s="1"/>
  <c r="C610" i="61"/>
  <c r="P610" i="61"/>
  <c r="Q610" i="61" s="1"/>
  <c r="D611" i="61"/>
  <c r="T104" i="64"/>
  <c r="U104" i="64" s="1"/>
  <c r="W104" i="64" s="1"/>
  <c r="X104" i="64" s="1"/>
  <c r="T99" i="64"/>
  <c r="U99" i="64" s="1"/>
  <c r="W99" i="64" s="1"/>
  <c r="X99" i="64" s="1"/>
  <c r="T109" i="64"/>
  <c r="T119" i="64"/>
  <c r="U119" i="64" s="1"/>
  <c r="W119" i="64" s="1"/>
  <c r="X119" i="64" s="1"/>
  <c r="R100" i="64"/>
  <c r="Q100" i="64"/>
  <c r="S100" i="64" s="1"/>
  <c r="R125" i="64"/>
  <c r="Q125" i="64"/>
  <c r="S125" i="64" s="1"/>
  <c r="P111" i="64"/>
  <c r="U113" i="64"/>
  <c r="W113" i="64" s="1"/>
  <c r="X113" i="64" s="1"/>
  <c r="Q110" i="64"/>
  <c r="S110" i="64" s="1"/>
  <c r="R110" i="64"/>
  <c r="P106" i="64"/>
  <c r="U109" i="64"/>
  <c r="W109" i="64" s="1"/>
  <c r="X109" i="64" s="1"/>
  <c r="R120" i="64"/>
  <c r="Q120" i="64"/>
  <c r="S120" i="64" s="1"/>
  <c r="P121" i="64"/>
  <c r="T94" i="64"/>
  <c r="Q115" i="64"/>
  <c r="S115" i="64" s="1"/>
  <c r="R115" i="64"/>
  <c r="T114" i="64"/>
  <c r="U114" i="64" s="1"/>
  <c r="W114" i="64" s="1"/>
  <c r="X114" i="64" s="1"/>
  <c r="Q105" i="64"/>
  <c r="S105" i="64" s="1"/>
  <c r="R105" i="64"/>
  <c r="P116" i="64"/>
  <c r="P126" i="64"/>
  <c r="C131" i="64"/>
  <c r="P131" i="64"/>
  <c r="G100" i="64"/>
  <c r="H100" i="64"/>
  <c r="E121" i="64"/>
  <c r="F121" i="64" s="1"/>
  <c r="D122" i="64"/>
  <c r="K121" i="64"/>
  <c r="C121" i="64" s="1"/>
  <c r="H105" i="64"/>
  <c r="G105" i="64"/>
  <c r="G120" i="64"/>
  <c r="H120" i="64"/>
  <c r="K126" i="64"/>
  <c r="C126" i="64" s="1"/>
  <c r="E126" i="64"/>
  <c r="F126" i="64" s="1"/>
  <c r="D127" i="64"/>
  <c r="E106" i="64"/>
  <c r="F106" i="64" s="1"/>
  <c r="K106" i="64"/>
  <c r="C106" i="64" s="1"/>
  <c r="G125" i="64"/>
  <c r="H125" i="64"/>
  <c r="G115" i="64"/>
  <c r="H115" i="64"/>
  <c r="K131" i="64"/>
  <c r="D132" i="64"/>
  <c r="D137" i="64"/>
  <c r="E131" i="64"/>
  <c r="F131" i="64" s="1"/>
  <c r="D112" i="64"/>
  <c r="E111" i="64"/>
  <c r="F111" i="64" s="1"/>
  <c r="K111" i="64"/>
  <c r="C111" i="64" s="1"/>
  <c r="K116" i="64"/>
  <c r="C116" i="64" s="1"/>
  <c r="E116" i="64"/>
  <c r="F116" i="64" s="1"/>
  <c r="D117" i="64"/>
  <c r="H110" i="64"/>
  <c r="G110" i="64"/>
  <c r="R610" i="61" l="1"/>
  <c r="S610" i="61"/>
  <c r="T610" i="61" s="1"/>
  <c r="U610" i="61" s="1"/>
  <c r="D612" i="61"/>
  <c r="P611" i="61"/>
  <c r="Q611" i="61" s="1"/>
  <c r="E611" i="61"/>
  <c r="F611" i="61" s="1"/>
  <c r="C611" i="61"/>
  <c r="H610" i="61"/>
  <c r="G610" i="61"/>
  <c r="T125" i="64"/>
  <c r="T115" i="64"/>
  <c r="U115" i="64" s="1"/>
  <c r="W115" i="64" s="1"/>
  <c r="X115" i="64" s="1"/>
  <c r="P137" i="64"/>
  <c r="U94" i="64"/>
  <c r="W94" i="64" s="1"/>
  <c r="X94" i="64" s="1"/>
  <c r="P112" i="64"/>
  <c r="R126" i="64"/>
  <c r="Q126" i="64"/>
  <c r="S126" i="64" s="1"/>
  <c r="P117" i="64"/>
  <c r="P132" i="64"/>
  <c r="P127" i="64"/>
  <c r="P122" i="64"/>
  <c r="R116" i="64"/>
  <c r="Q116" i="64"/>
  <c r="S116" i="64" s="1"/>
  <c r="R121" i="64"/>
  <c r="Q121" i="64"/>
  <c r="S121" i="64" s="1"/>
  <c r="T121" i="64" s="1"/>
  <c r="R106" i="64"/>
  <c r="Q106" i="64"/>
  <c r="S106" i="64" s="1"/>
  <c r="R111" i="64"/>
  <c r="Q111" i="64"/>
  <c r="S111" i="64" s="1"/>
  <c r="U125" i="64"/>
  <c r="W125" i="64" s="1"/>
  <c r="X125" i="64" s="1"/>
  <c r="T105" i="64"/>
  <c r="T110" i="64"/>
  <c r="R131" i="64"/>
  <c r="Q131" i="64"/>
  <c r="S131" i="64" s="1"/>
  <c r="T120" i="64"/>
  <c r="T100" i="64"/>
  <c r="G116" i="64"/>
  <c r="H116" i="64"/>
  <c r="K112" i="64"/>
  <c r="C112" i="64" s="1"/>
  <c r="E112" i="64"/>
  <c r="F112" i="64" s="1"/>
  <c r="G121" i="64"/>
  <c r="H121" i="64"/>
  <c r="H106" i="64"/>
  <c r="G106" i="64"/>
  <c r="H131" i="64"/>
  <c r="G131" i="64"/>
  <c r="E117" i="64"/>
  <c r="F117" i="64" s="1"/>
  <c r="K117" i="64"/>
  <c r="C117" i="64" s="1"/>
  <c r="D118" i="64"/>
  <c r="E122" i="64"/>
  <c r="F122" i="64" s="1"/>
  <c r="D123" i="64"/>
  <c r="K122" i="64"/>
  <c r="C122" i="64" s="1"/>
  <c r="K127" i="64"/>
  <c r="C127" i="64" s="1"/>
  <c r="D128" i="64"/>
  <c r="E127" i="64"/>
  <c r="F127" i="64" s="1"/>
  <c r="D138" i="64"/>
  <c r="E137" i="64"/>
  <c r="F137" i="64" s="1"/>
  <c r="D143" i="64"/>
  <c r="K137" i="64"/>
  <c r="C137" i="64" s="1"/>
  <c r="H126" i="64"/>
  <c r="G126" i="64"/>
  <c r="H111" i="64"/>
  <c r="G111" i="64"/>
  <c r="E132" i="64"/>
  <c r="F132" i="64" s="1"/>
  <c r="K132" i="64"/>
  <c r="C132" i="64" s="1"/>
  <c r="D133" i="64"/>
  <c r="H611" i="61" l="1"/>
  <c r="G611" i="61"/>
  <c r="R611" i="61"/>
  <c r="S611" i="61"/>
  <c r="D613" i="61"/>
  <c r="P612" i="61"/>
  <c r="Q612" i="61" s="1"/>
  <c r="E612" i="61"/>
  <c r="F612" i="61" s="1"/>
  <c r="C612" i="61"/>
  <c r="T116" i="64"/>
  <c r="T131" i="64"/>
  <c r="T106" i="64"/>
  <c r="U106" i="64" s="1"/>
  <c r="W106" i="64" s="1"/>
  <c r="X106" i="64" s="1"/>
  <c r="P123" i="64"/>
  <c r="U120" i="64"/>
  <c r="W120" i="64" s="1"/>
  <c r="X120" i="64" s="1"/>
  <c r="U131" i="64"/>
  <c r="W131" i="64" s="1"/>
  <c r="X131" i="64" s="1"/>
  <c r="R127" i="64"/>
  <c r="Q127" i="64"/>
  <c r="S127" i="64" s="1"/>
  <c r="R112" i="64"/>
  <c r="Q112" i="64"/>
  <c r="S112" i="64" s="1"/>
  <c r="P143" i="64"/>
  <c r="R143" i="64" s="1"/>
  <c r="T143" i="64" s="1"/>
  <c r="U110" i="64"/>
  <c r="W110" i="64" s="1"/>
  <c r="X110" i="64" s="1"/>
  <c r="U121" i="64"/>
  <c r="W121" i="64" s="1"/>
  <c r="X121" i="64" s="1"/>
  <c r="Q132" i="64"/>
  <c r="S132" i="64" s="1"/>
  <c r="R132" i="64"/>
  <c r="P133" i="64"/>
  <c r="U105" i="64"/>
  <c r="W105" i="64" s="1"/>
  <c r="X105" i="64" s="1"/>
  <c r="P118" i="64"/>
  <c r="U116" i="64"/>
  <c r="W116" i="64" s="1"/>
  <c r="X116" i="64" s="1"/>
  <c r="Q117" i="64"/>
  <c r="S117" i="64" s="1"/>
  <c r="R117" i="64"/>
  <c r="R137" i="64"/>
  <c r="Q137" i="64"/>
  <c r="S137" i="64" s="1"/>
  <c r="T137" i="64" s="1"/>
  <c r="C138" i="64"/>
  <c r="P138" i="64"/>
  <c r="P128" i="64"/>
  <c r="U100" i="64"/>
  <c r="W100" i="64" s="1"/>
  <c r="X100" i="64" s="1"/>
  <c r="T111" i="64"/>
  <c r="R122" i="64"/>
  <c r="Q122" i="64"/>
  <c r="S122" i="64" s="1"/>
  <c r="T122" i="64" s="1"/>
  <c r="U122" i="64" s="1"/>
  <c r="W122" i="64" s="1"/>
  <c r="X122" i="64" s="1"/>
  <c r="T126" i="64"/>
  <c r="H132" i="64"/>
  <c r="G132" i="64"/>
  <c r="K143" i="64"/>
  <c r="C143" i="64" s="1"/>
  <c r="D144" i="64"/>
  <c r="E143" i="64"/>
  <c r="F143" i="64" s="1"/>
  <c r="G137" i="64"/>
  <c r="H137" i="64"/>
  <c r="E138" i="64"/>
  <c r="F138" i="64" s="1"/>
  <c r="K138" i="64"/>
  <c r="D139" i="64"/>
  <c r="K123" i="64"/>
  <c r="C123" i="64" s="1"/>
  <c r="D124" i="64"/>
  <c r="E123" i="64"/>
  <c r="F123" i="64" s="1"/>
  <c r="G112" i="64"/>
  <c r="H112" i="64"/>
  <c r="G127" i="64"/>
  <c r="H127" i="64"/>
  <c r="H122" i="64"/>
  <c r="G122" i="64"/>
  <c r="D134" i="64"/>
  <c r="E133" i="64"/>
  <c r="F133" i="64" s="1"/>
  <c r="K133" i="64"/>
  <c r="C133" i="64" s="1"/>
  <c r="E128" i="64"/>
  <c r="F128" i="64" s="1"/>
  <c r="D129" i="64"/>
  <c r="K128" i="64"/>
  <c r="C128" i="64" s="1"/>
  <c r="H117" i="64"/>
  <c r="G117" i="64"/>
  <c r="E118" i="64"/>
  <c r="F118" i="64" s="1"/>
  <c r="K118" i="64"/>
  <c r="C118" i="64" s="1"/>
  <c r="G612" i="61" l="1"/>
  <c r="H612" i="61"/>
  <c r="S612" i="61"/>
  <c r="R612" i="61"/>
  <c r="C613" i="61"/>
  <c r="D614" i="61"/>
  <c r="E613" i="61"/>
  <c r="F613" i="61" s="1"/>
  <c r="P613" i="61"/>
  <c r="Q613" i="61" s="1"/>
  <c r="T611" i="61"/>
  <c r="U611" i="61" s="1"/>
  <c r="T112" i="64"/>
  <c r="T127" i="64"/>
  <c r="U127" i="64" s="1"/>
  <c r="W127" i="64" s="1"/>
  <c r="X127" i="64" s="1"/>
  <c r="T117" i="64"/>
  <c r="U117" i="64" s="1"/>
  <c r="W117" i="64" s="1"/>
  <c r="X117" i="64" s="1"/>
  <c r="U126" i="64"/>
  <c r="W126" i="64" s="1"/>
  <c r="X126" i="64" s="1"/>
  <c r="R138" i="64"/>
  <c r="Q138" i="64"/>
  <c r="S138" i="64" s="1"/>
  <c r="R118" i="64"/>
  <c r="Q118" i="64"/>
  <c r="S118" i="64" s="1"/>
  <c r="U137" i="64"/>
  <c r="W137" i="64" s="1"/>
  <c r="X137" i="64" s="1"/>
  <c r="U111" i="64"/>
  <c r="W111" i="64" s="1"/>
  <c r="X111" i="64" s="1"/>
  <c r="P134" i="64"/>
  <c r="P124" i="64"/>
  <c r="P144" i="64"/>
  <c r="R144" i="64" s="1"/>
  <c r="T144" i="64" s="1"/>
  <c r="R133" i="64"/>
  <c r="Q133" i="64"/>
  <c r="S133" i="64" s="1"/>
  <c r="U143" i="64"/>
  <c r="W143" i="64" s="1"/>
  <c r="X143" i="64" s="1"/>
  <c r="P139" i="64"/>
  <c r="R128" i="64"/>
  <c r="Q128" i="64"/>
  <c r="S128" i="64" s="1"/>
  <c r="T128" i="64" s="1"/>
  <c r="U112" i="64"/>
  <c r="W112" i="64" s="1"/>
  <c r="X112" i="64" s="1"/>
  <c r="Q123" i="64"/>
  <c r="S123" i="64" s="1"/>
  <c r="R123" i="64"/>
  <c r="P129" i="64"/>
  <c r="T132" i="64"/>
  <c r="H118" i="64"/>
  <c r="G118" i="64"/>
  <c r="D130" i="64"/>
  <c r="K129" i="64"/>
  <c r="C129" i="64" s="1"/>
  <c r="E129" i="64"/>
  <c r="F129" i="64" s="1"/>
  <c r="H128" i="64"/>
  <c r="G128" i="64"/>
  <c r="G133" i="64"/>
  <c r="H133" i="64"/>
  <c r="H138" i="64"/>
  <c r="G138" i="64"/>
  <c r="H143" i="64"/>
  <c r="G143" i="64"/>
  <c r="E144" i="64"/>
  <c r="F144" i="64" s="1"/>
  <c r="K144" i="64"/>
  <c r="C144" i="64" s="1"/>
  <c r="D145" i="64"/>
  <c r="K139" i="64"/>
  <c r="C139" i="64" s="1"/>
  <c r="D140" i="64"/>
  <c r="E139" i="64"/>
  <c r="F139" i="64" s="1"/>
  <c r="E134" i="64"/>
  <c r="F134" i="64" s="1"/>
  <c r="D135" i="64"/>
  <c r="K134" i="64"/>
  <c r="C134" i="64" s="1"/>
  <c r="H123" i="64"/>
  <c r="G123" i="64"/>
  <c r="E124" i="64"/>
  <c r="F124" i="64" s="1"/>
  <c r="K124" i="64"/>
  <c r="C124" i="64" s="1"/>
  <c r="R613" i="61" l="1"/>
  <c r="S613" i="61"/>
  <c r="H613" i="61"/>
  <c r="G613" i="61"/>
  <c r="D615" i="61"/>
  <c r="P614" i="61"/>
  <c r="Q614" i="61" s="1"/>
  <c r="E614" i="61"/>
  <c r="F614" i="61" s="1"/>
  <c r="C614" i="61"/>
  <c r="T612" i="61"/>
  <c r="U612" i="61" s="1"/>
  <c r="T118" i="64"/>
  <c r="T133" i="64"/>
  <c r="R129" i="64"/>
  <c r="Q129" i="64"/>
  <c r="S129" i="64" s="1"/>
  <c r="Q139" i="64"/>
  <c r="S139" i="64" s="1"/>
  <c r="R139" i="64"/>
  <c r="R124" i="64"/>
  <c r="Q124" i="64"/>
  <c r="S124" i="64" s="1"/>
  <c r="P135" i="64"/>
  <c r="U118" i="64"/>
  <c r="W118" i="64" s="1"/>
  <c r="X118" i="64" s="1"/>
  <c r="T123" i="64"/>
  <c r="U123" i="64" s="1"/>
  <c r="W123" i="64" s="1"/>
  <c r="X123" i="64" s="1"/>
  <c r="Q134" i="64"/>
  <c r="S134" i="64" s="1"/>
  <c r="R134" i="64"/>
  <c r="P130" i="64"/>
  <c r="U133" i="64"/>
  <c r="W133" i="64" s="1"/>
  <c r="X133" i="64" s="1"/>
  <c r="T138" i="64"/>
  <c r="U138" i="64" s="1"/>
  <c r="W138" i="64" s="1"/>
  <c r="X138" i="64" s="1"/>
  <c r="P140" i="64"/>
  <c r="U144" i="64"/>
  <c r="W144" i="64" s="1"/>
  <c r="X144" i="64" s="1"/>
  <c r="U128" i="64"/>
  <c r="W128" i="64" s="1"/>
  <c r="X128" i="64" s="1"/>
  <c r="P145" i="64"/>
  <c r="R145" i="64" s="1"/>
  <c r="T145" i="64" s="1"/>
  <c r="U132" i="64"/>
  <c r="W132" i="64" s="1"/>
  <c r="X132" i="64" s="1"/>
  <c r="G139" i="64"/>
  <c r="H139" i="64"/>
  <c r="G129" i="64"/>
  <c r="H129" i="64"/>
  <c r="H124" i="64"/>
  <c r="G124" i="64"/>
  <c r="K130" i="64"/>
  <c r="C130" i="64" s="1"/>
  <c r="E130" i="64"/>
  <c r="F130" i="64" s="1"/>
  <c r="K135" i="64"/>
  <c r="C135" i="64" s="1"/>
  <c r="D136" i="64"/>
  <c r="E135" i="64"/>
  <c r="F135" i="64" s="1"/>
  <c r="D146" i="64"/>
  <c r="K145" i="64"/>
  <c r="C145" i="64" s="1"/>
  <c r="E145" i="64"/>
  <c r="F145" i="64" s="1"/>
  <c r="E140" i="64"/>
  <c r="F140" i="64" s="1"/>
  <c r="D141" i="64"/>
  <c r="K140" i="64"/>
  <c r="C140" i="64" s="1"/>
  <c r="H134" i="64"/>
  <c r="G134" i="64"/>
  <c r="H144" i="64"/>
  <c r="G144" i="64"/>
  <c r="T613" i="61" l="1"/>
  <c r="U613" i="61" s="1"/>
  <c r="H614" i="61"/>
  <c r="G614" i="61"/>
  <c r="R614" i="61"/>
  <c r="S614" i="61"/>
  <c r="P615" i="61"/>
  <c r="Q615" i="61" s="1"/>
  <c r="E615" i="61"/>
  <c r="F615" i="61" s="1"/>
  <c r="C615" i="61"/>
  <c r="D616" i="61"/>
  <c r="T129" i="64"/>
  <c r="T124" i="64"/>
  <c r="T134" i="64"/>
  <c r="U134" i="64" s="1"/>
  <c r="W134" i="64" s="1"/>
  <c r="X134" i="64" s="1"/>
  <c r="T139" i="64"/>
  <c r="P146" i="64"/>
  <c r="R146" i="64" s="1"/>
  <c r="T146" i="64" s="1"/>
  <c r="R135" i="64"/>
  <c r="Q135" i="64"/>
  <c r="S135" i="64" s="1"/>
  <c r="P136" i="64"/>
  <c r="Q130" i="64"/>
  <c r="S130" i="64" s="1"/>
  <c r="R130" i="64"/>
  <c r="U124" i="64"/>
  <c r="W124" i="64" s="1"/>
  <c r="X124" i="64" s="1"/>
  <c r="P141" i="64"/>
  <c r="R140" i="64"/>
  <c r="Q140" i="64"/>
  <c r="S140" i="64" s="1"/>
  <c r="U139" i="64"/>
  <c r="W139" i="64" s="1"/>
  <c r="X139" i="64" s="1"/>
  <c r="U145" i="64"/>
  <c r="W145" i="64" s="1"/>
  <c r="X145" i="64" s="1"/>
  <c r="U129" i="64"/>
  <c r="W129" i="64" s="1"/>
  <c r="X129" i="64" s="1"/>
  <c r="E146" i="64"/>
  <c r="F146" i="64" s="1"/>
  <c r="D147" i="64"/>
  <c r="K146" i="64"/>
  <c r="C146" i="64" s="1"/>
  <c r="H135" i="64"/>
  <c r="G135" i="64"/>
  <c r="D142" i="64"/>
  <c r="K141" i="64"/>
  <c r="C141" i="64" s="1"/>
  <c r="E141" i="64"/>
  <c r="F141" i="64" s="1"/>
  <c r="E136" i="64"/>
  <c r="F136" i="64" s="1"/>
  <c r="K136" i="64"/>
  <c r="C136" i="64" s="1"/>
  <c r="H140" i="64"/>
  <c r="G140" i="64"/>
  <c r="G145" i="64"/>
  <c r="H145" i="64"/>
  <c r="H130" i="64"/>
  <c r="G130" i="64"/>
  <c r="T614" i="61" l="1"/>
  <c r="U614" i="61" s="1"/>
  <c r="C616" i="61"/>
  <c r="D617" i="61"/>
  <c r="P616" i="61"/>
  <c r="Q616" i="61" s="1"/>
  <c r="E616" i="61"/>
  <c r="F616" i="61" s="1"/>
  <c r="G615" i="61"/>
  <c r="H615" i="61"/>
  <c r="S615" i="61"/>
  <c r="R615" i="61"/>
  <c r="T135" i="64"/>
  <c r="T140" i="64"/>
  <c r="T130" i="64"/>
  <c r="U130" i="64" s="1"/>
  <c r="W130" i="64" s="1"/>
  <c r="X130" i="64" s="1"/>
  <c r="Q141" i="64"/>
  <c r="S141" i="64" s="1"/>
  <c r="R141" i="64"/>
  <c r="R136" i="64"/>
  <c r="Q136" i="64"/>
  <c r="S136" i="64" s="1"/>
  <c r="P147" i="64"/>
  <c r="R147" i="64" s="1"/>
  <c r="T147" i="64" s="1"/>
  <c r="U135" i="64"/>
  <c r="W135" i="64" s="1"/>
  <c r="X135" i="64" s="1"/>
  <c r="U140" i="64"/>
  <c r="W140" i="64" s="1"/>
  <c r="X140" i="64" s="1"/>
  <c r="U146" i="64"/>
  <c r="W146" i="64" s="1"/>
  <c r="X146" i="64" s="1"/>
  <c r="C142" i="64"/>
  <c r="P142" i="64"/>
  <c r="H136" i="64"/>
  <c r="G136" i="64"/>
  <c r="E142" i="64"/>
  <c r="F142" i="64" s="1"/>
  <c r="K142" i="64"/>
  <c r="K147" i="64"/>
  <c r="C147" i="64" s="1"/>
  <c r="D148" i="64"/>
  <c r="E147" i="64"/>
  <c r="F147" i="64" s="1"/>
  <c r="G141" i="64"/>
  <c r="H141" i="64"/>
  <c r="H146" i="64"/>
  <c r="G146" i="64"/>
  <c r="T615" i="61" l="1"/>
  <c r="U615" i="61" s="1"/>
  <c r="H616" i="61"/>
  <c r="G616" i="61"/>
  <c r="R616" i="61"/>
  <c r="S616" i="61"/>
  <c r="T616" i="61" s="1"/>
  <c r="U616" i="61" s="1"/>
  <c r="D618" i="61"/>
  <c r="P617" i="61"/>
  <c r="Q617" i="61" s="1"/>
  <c r="E617" i="61"/>
  <c r="F617" i="61" s="1"/>
  <c r="C617" i="61"/>
  <c r="T141" i="64"/>
  <c r="U141" i="64" s="1"/>
  <c r="W141" i="64" s="1"/>
  <c r="X141" i="64" s="1"/>
  <c r="U147" i="64"/>
  <c r="W147" i="64" s="1"/>
  <c r="X147" i="64" s="1"/>
  <c r="R142" i="64"/>
  <c r="Q142" i="64"/>
  <c r="S142" i="64" s="1"/>
  <c r="C148" i="64"/>
  <c r="P148" i="64"/>
  <c r="R148" i="64" s="1"/>
  <c r="T148" i="64" s="1"/>
  <c r="T136" i="64"/>
  <c r="E148" i="64"/>
  <c r="F148" i="64" s="1"/>
  <c r="K148" i="64"/>
  <c r="H147" i="64"/>
  <c r="G147" i="64"/>
  <c r="H142" i="64"/>
  <c r="G142" i="64"/>
  <c r="R617" i="61" l="1"/>
  <c r="S617" i="61"/>
  <c r="E618" i="61"/>
  <c r="F618" i="61" s="1"/>
  <c r="C618" i="61"/>
  <c r="P618" i="61"/>
  <c r="Q618" i="61" s="1"/>
  <c r="D619" i="61"/>
  <c r="H617" i="61"/>
  <c r="G617" i="61"/>
  <c r="T142" i="64"/>
  <c r="U142" i="64" s="1"/>
  <c r="W142" i="64" s="1"/>
  <c r="X142" i="64" s="1"/>
  <c r="U136" i="64"/>
  <c r="W136" i="64" s="1"/>
  <c r="X136" i="64" s="1"/>
  <c r="U148" i="64"/>
  <c r="W148" i="64" s="1"/>
  <c r="X148" i="64" s="1"/>
  <c r="H148" i="64"/>
  <c r="G148" i="64"/>
  <c r="T617" i="61" l="1"/>
  <c r="U617" i="61" s="1"/>
  <c r="D620" i="61"/>
  <c r="P619" i="61"/>
  <c r="Q619" i="61" s="1"/>
  <c r="E619" i="61"/>
  <c r="F619" i="61" s="1"/>
  <c r="C619" i="61"/>
  <c r="R618" i="61"/>
  <c r="S618" i="61"/>
  <c r="T618" i="61" s="1"/>
  <c r="U618" i="61" s="1"/>
  <c r="H618" i="61"/>
  <c r="G618" i="61"/>
  <c r="P131" i="96"/>
  <c r="P132" i="96" s="1"/>
  <c r="P133" i="96" s="1"/>
  <c r="P134" i="96" s="1"/>
  <c r="P135" i="96" s="1"/>
  <c r="P136" i="96" s="1"/>
  <c r="P137" i="96" s="1"/>
  <c r="P138" i="96" s="1"/>
  <c r="P139" i="96" s="1"/>
  <c r="P140" i="96" s="1"/>
  <c r="P141" i="96" s="1"/>
  <c r="P142" i="96" s="1"/>
  <c r="P143" i="96" s="1"/>
  <c r="P144" i="96" s="1"/>
  <c r="P145" i="96" s="1"/>
  <c r="P146" i="96" s="1"/>
  <c r="P147" i="96" s="1"/>
  <c r="P148" i="96" s="1"/>
  <c r="P149" i="96" s="1"/>
  <c r="P150" i="96" s="1"/>
  <c r="P151" i="96" s="1"/>
  <c r="P152" i="96" s="1"/>
  <c r="P153" i="96" s="1"/>
  <c r="P154" i="96" s="1"/>
  <c r="N131" i="96"/>
  <c r="N132" i="96" s="1"/>
  <c r="N133" i="96" s="1"/>
  <c r="N134" i="96" s="1"/>
  <c r="N135" i="96" s="1"/>
  <c r="N136" i="96" s="1"/>
  <c r="N137" i="96" s="1"/>
  <c r="N138" i="96" s="1"/>
  <c r="N139" i="96" s="1"/>
  <c r="N140" i="96" s="1"/>
  <c r="N141" i="96" s="1"/>
  <c r="N142" i="96" s="1"/>
  <c r="N143" i="96" s="1"/>
  <c r="N144" i="96" s="1"/>
  <c r="N145" i="96" s="1"/>
  <c r="N146" i="96" s="1"/>
  <c r="N147" i="96" s="1"/>
  <c r="N148" i="96" s="1"/>
  <c r="N149" i="96" s="1"/>
  <c r="N150" i="96" s="1"/>
  <c r="N151" i="96" s="1"/>
  <c r="N152" i="96" s="1"/>
  <c r="N153" i="96" s="1"/>
  <c r="N154" i="96" s="1"/>
  <c r="L131" i="96"/>
  <c r="L132" i="96" s="1"/>
  <c r="L133" i="96" s="1"/>
  <c r="L134" i="96" s="1"/>
  <c r="L135" i="96" s="1"/>
  <c r="L136" i="96" s="1"/>
  <c r="L137" i="96" s="1"/>
  <c r="L138" i="96" s="1"/>
  <c r="L139" i="96" s="1"/>
  <c r="L140" i="96" s="1"/>
  <c r="L141" i="96" s="1"/>
  <c r="L142" i="96" s="1"/>
  <c r="L143" i="96" s="1"/>
  <c r="L144" i="96" s="1"/>
  <c r="L145" i="96" s="1"/>
  <c r="L146" i="96" s="1"/>
  <c r="L147" i="96" s="1"/>
  <c r="L148" i="96" s="1"/>
  <c r="L149" i="96" s="1"/>
  <c r="L150" i="96" s="1"/>
  <c r="L151" i="96" s="1"/>
  <c r="L152" i="96" s="1"/>
  <c r="L153" i="96" s="1"/>
  <c r="L154" i="96" s="1"/>
  <c r="J131" i="96"/>
  <c r="I131" i="96"/>
  <c r="I132" i="96" s="1"/>
  <c r="I133" i="96" s="1"/>
  <c r="I134" i="96" s="1"/>
  <c r="I135" i="96" s="1"/>
  <c r="I136" i="96" s="1"/>
  <c r="I137" i="96" s="1"/>
  <c r="I138" i="96" s="1"/>
  <c r="I139" i="96" s="1"/>
  <c r="I140" i="96" s="1"/>
  <c r="I141" i="96" s="1"/>
  <c r="I142" i="96" s="1"/>
  <c r="I143" i="96" s="1"/>
  <c r="I144" i="96" s="1"/>
  <c r="I145" i="96" s="1"/>
  <c r="I146" i="96" s="1"/>
  <c r="I147" i="96" s="1"/>
  <c r="I148" i="96" s="1"/>
  <c r="I149" i="96" s="1"/>
  <c r="I150" i="96" s="1"/>
  <c r="I151" i="96" s="1"/>
  <c r="I152" i="96" s="1"/>
  <c r="I153" i="96" s="1"/>
  <c r="I154" i="96" s="1"/>
  <c r="N275" i="95"/>
  <c r="N276" i="95" s="1"/>
  <c r="N277" i="95" s="1"/>
  <c r="N278" i="95" s="1"/>
  <c r="N279" i="95" s="1"/>
  <c r="N280" i="95" s="1"/>
  <c r="N281" i="95" s="1"/>
  <c r="N282" i="95" s="1"/>
  <c r="N283" i="95" s="1"/>
  <c r="N284" i="95" s="1"/>
  <c r="N285" i="95" s="1"/>
  <c r="N286" i="95" s="1"/>
  <c r="N287" i="95" s="1"/>
  <c r="N288" i="95" s="1"/>
  <c r="N289" i="95" s="1"/>
  <c r="N290" i="95" s="1"/>
  <c r="N291" i="95" s="1"/>
  <c r="N292" i="95" s="1"/>
  <c r="N293" i="95" s="1"/>
  <c r="N294" i="95" s="1"/>
  <c r="N295" i="95" s="1"/>
  <c r="N296" i="95" s="1"/>
  <c r="N297" i="95" s="1"/>
  <c r="N298" i="95" s="1"/>
  <c r="L275" i="95"/>
  <c r="L276" i="95" s="1"/>
  <c r="L277" i="95" s="1"/>
  <c r="L278" i="95" s="1"/>
  <c r="L279" i="95" s="1"/>
  <c r="L280" i="95" s="1"/>
  <c r="L281" i="95" s="1"/>
  <c r="L282" i="95" s="1"/>
  <c r="L283" i="95" s="1"/>
  <c r="L284" i="95" s="1"/>
  <c r="L285" i="95" s="1"/>
  <c r="L286" i="95" s="1"/>
  <c r="L287" i="95" s="1"/>
  <c r="L288" i="95" s="1"/>
  <c r="L289" i="95" s="1"/>
  <c r="L290" i="95" s="1"/>
  <c r="L291" i="95" s="1"/>
  <c r="L292" i="95" s="1"/>
  <c r="L293" i="95" s="1"/>
  <c r="L294" i="95" s="1"/>
  <c r="L295" i="95" s="1"/>
  <c r="L296" i="95" s="1"/>
  <c r="L297" i="95" s="1"/>
  <c r="L298" i="95" s="1"/>
  <c r="N251" i="95"/>
  <c r="N252" i="95" s="1"/>
  <c r="N253" i="95" s="1"/>
  <c r="N254" i="95" s="1"/>
  <c r="N255" i="95" s="1"/>
  <c r="N256" i="95" s="1"/>
  <c r="N257" i="95" s="1"/>
  <c r="N258" i="95" s="1"/>
  <c r="N259" i="95" s="1"/>
  <c r="N260" i="95" s="1"/>
  <c r="N261" i="95" s="1"/>
  <c r="N262" i="95" s="1"/>
  <c r="N263" i="95" s="1"/>
  <c r="N264" i="95" s="1"/>
  <c r="N265" i="95" s="1"/>
  <c r="N266" i="95" s="1"/>
  <c r="N267" i="95" s="1"/>
  <c r="N268" i="95" s="1"/>
  <c r="N269" i="95" s="1"/>
  <c r="N270" i="95" s="1"/>
  <c r="N271" i="95" s="1"/>
  <c r="N272" i="95" s="1"/>
  <c r="N273" i="95" s="1"/>
  <c r="N274" i="95" s="1"/>
  <c r="L251" i="95"/>
  <c r="L252" i="95" s="1"/>
  <c r="L253" i="95" s="1"/>
  <c r="L254" i="95" s="1"/>
  <c r="L255" i="95" s="1"/>
  <c r="L256" i="95" s="1"/>
  <c r="L257" i="95" s="1"/>
  <c r="L258" i="95" s="1"/>
  <c r="L259" i="95" s="1"/>
  <c r="L260" i="95" s="1"/>
  <c r="L261" i="95" s="1"/>
  <c r="L262" i="95" s="1"/>
  <c r="L263" i="95" s="1"/>
  <c r="L264" i="95" s="1"/>
  <c r="L265" i="95" s="1"/>
  <c r="L266" i="95" s="1"/>
  <c r="L267" i="95" s="1"/>
  <c r="L268" i="95" s="1"/>
  <c r="L269" i="95" s="1"/>
  <c r="L270" i="95" s="1"/>
  <c r="L271" i="95" s="1"/>
  <c r="L272" i="95" s="1"/>
  <c r="L273" i="95" s="1"/>
  <c r="L274" i="95" s="1"/>
  <c r="N227" i="95"/>
  <c r="N228" i="95" s="1"/>
  <c r="N229" i="95" s="1"/>
  <c r="N230" i="95" s="1"/>
  <c r="N231" i="95" s="1"/>
  <c r="N232" i="95" s="1"/>
  <c r="N233" i="95" s="1"/>
  <c r="N234" i="95" s="1"/>
  <c r="N235" i="95" s="1"/>
  <c r="N236" i="95" s="1"/>
  <c r="N237" i="95" s="1"/>
  <c r="N238" i="95" s="1"/>
  <c r="N239" i="95" s="1"/>
  <c r="N240" i="95" s="1"/>
  <c r="N241" i="95" s="1"/>
  <c r="N242" i="95" s="1"/>
  <c r="N243" i="95" s="1"/>
  <c r="N244" i="95" s="1"/>
  <c r="N245" i="95" s="1"/>
  <c r="N246" i="95" s="1"/>
  <c r="N247" i="95" s="1"/>
  <c r="N248" i="95" s="1"/>
  <c r="N249" i="95" s="1"/>
  <c r="N250" i="95" s="1"/>
  <c r="L227" i="95"/>
  <c r="L228" i="95" s="1"/>
  <c r="L229" i="95" s="1"/>
  <c r="L230" i="95" s="1"/>
  <c r="L231" i="95" s="1"/>
  <c r="L232" i="95" s="1"/>
  <c r="L233" i="95" s="1"/>
  <c r="L234" i="95" s="1"/>
  <c r="L235" i="95" s="1"/>
  <c r="L236" i="95" s="1"/>
  <c r="L237" i="95" s="1"/>
  <c r="L238" i="95" s="1"/>
  <c r="L239" i="95" s="1"/>
  <c r="L240" i="95" s="1"/>
  <c r="L241" i="95" s="1"/>
  <c r="L242" i="95" s="1"/>
  <c r="L243" i="95" s="1"/>
  <c r="L244" i="95" s="1"/>
  <c r="L245" i="95" s="1"/>
  <c r="L246" i="95" s="1"/>
  <c r="L247" i="95" s="1"/>
  <c r="L248" i="95" s="1"/>
  <c r="L249" i="95" s="1"/>
  <c r="L250" i="95" s="1"/>
  <c r="N203" i="95"/>
  <c r="N204" i="95" s="1"/>
  <c r="N205" i="95" s="1"/>
  <c r="N206" i="95" s="1"/>
  <c r="N207" i="95" s="1"/>
  <c r="N208" i="95" s="1"/>
  <c r="N209" i="95" s="1"/>
  <c r="N210" i="95" s="1"/>
  <c r="N211" i="95" s="1"/>
  <c r="N212" i="95" s="1"/>
  <c r="N213" i="95" s="1"/>
  <c r="N214" i="95" s="1"/>
  <c r="N215" i="95" s="1"/>
  <c r="N216" i="95" s="1"/>
  <c r="N217" i="95" s="1"/>
  <c r="N218" i="95" s="1"/>
  <c r="N219" i="95" s="1"/>
  <c r="N220" i="95" s="1"/>
  <c r="N221" i="95" s="1"/>
  <c r="N222" i="95" s="1"/>
  <c r="N223" i="95" s="1"/>
  <c r="N224" i="95" s="1"/>
  <c r="N225" i="95" s="1"/>
  <c r="N226" i="95" s="1"/>
  <c r="L203" i="95"/>
  <c r="L204" i="95" s="1"/>
  <c r="L205" i="95" s="1"/>
  <c r="L206" i="95" s="1"/>
  <c r="L207" i="95" s="1"/>
  <c r="L208" i="95" s="1"/>
  <c r="L209" i="95" s="1"/>
  <c r="L210" i="95" s="1"/>
  <c r="L211" i="95" s="1"/>
  <c r="L212" i="95" s="1"/>
  <c r="L213" i="95" s="1"/>
  <c r="L214" i="95" s="1"/>
  <c r="L215" i="95" s="1"/>
  <c r="L216" i="95" s="1"/>
  <c r="L217" i="95" s="1"/>
  <c r="L218" i="95" s="1"/>
  <c r="L219" i="95" s="1"/>
  <c r="L220" i="95" s="1"/>
  <c r="L221" i="95" s="1"/>
  <c r="L222" i="95" s="1"/>
  <c r="L223" i="95" s="1"/>
  <c r="L224" i="95" s="1"/>
  <c r="L225" i="95" s="1"/>
  <c r="L226" i="95" s="1"/>
  <c r="N179" i="95"/>
  <c r="N180" i="95" s="1"/>
  <c r="N181" i="95" s="1"/>
  <c r="N182" i="95" s="1"/>
  <c r="N183" i="95" s="1"/>
  <c r="N184" i="95" s="1"/>
  <c r="N185" i="95" s="1"/>
  <c r="N186" i="95" s="1"/>
  <c r="N187" i="95" s="1"/>
  <c r="N188" i="95" s="1"/>
  <c r="N189" i="95" s="1"/>
  <c r="N190" i="95" s="1"/>
  <c r="N191" i="95" s="1"/>
  <c r="N192" i="95" s="1"/>
  <c r="N193" i="95" s="1"/>
  <c r="N194" i="95" s="1"/>
  <c r="N195" i="95" s="1"/>
  <c r="N196" i="95" s="1"/>
  <c r="N197" i="95" s="1"/>
  <c r="N198" i="95" s="1"/>
  <c r="N199" i="95" s="1"/>
  <c r="N200" i="95" s="1"/>
  <c r="N201" i="95" s="1"/>
  <c r="N202" i="95" s="1"/>
  <c r="L179" i="95"/>
  <c r="L180" i="95" s="1"/>
  <c r="L181" i="95" s="1"/>
  <c r="L182" i="95" s="1"/>
  <c r="L183" i="95" s="1"/>
  <c r="L184" i="95" s="1"/>
  <c r="L185" i="95" s="1"/>
  <c r="L186" i="95" s="1"/>
  <c r="L187" i="95" s="1"/>
  <c r="L188" i="95" s="1"/>
  <c r="L189" i="95" s="1"/>
  <c r="L190" i="95" s="1"/>
  <c r="L191" i="95" s="1"/>
  <c r="L192" i="95" s="1"/>
  <c r="L193" i="95" s="1"/>
  <c r="L194" i="95" s="1"/>
  <c r="L195" i="95" s="1"/>
  <c r="L196" i="95" s="1"/>
  <c r="L197" i="95" s="1"/>
  <c r="L198" i="95" s="1"/>
  <c r="L199" i="95" s="1"/>
  <c r="L200" i="95" s="1"/>
  <c r="L201" i="95" s="1"/>
  <c r="L202" i="95" s="1"/>
  <c r="N155" i="95"/>
  <c r="O155" i="95" s="1"/>
  <c r="O156" i="95" s="1"/>
  <c r="O157" i="95" s="1"/>
  <c r="O158" i="95" s="1"/>
  <c r="O159" i="95" s="1"/>
  <c r="O160" i="95" s="1"/>
  <c r="O161" i="95" s="1"/>
  <c r="O162" i="95" s="1"/>
  <c r="O163" i="95" s="1"/>
  <c r="O164" i="95" s="1"/>
  <c r="O165" i="95" s="1"/>
  <c r="O166" i="95" s="1"/>
  <c r="O167" i="95" s="1"/>
  <c r="O168" i="95" s="1"/>
  <c r="O169" i="95" s="1"/>
  <c r="O170" i="95" s="1"/>
  <c r="O171" i="95" s="1"/>
  <c r="O172" i="95" s="1"/>
  <c r="O173" i="95" s="1"/>
  <c r="O174" i="95" s="1"/>
  <c r="O175" i="95" s="1"/>
  <c r="O176" i="95" s="1"/>
  <c r="O177" i="95" s="1"/>
  <c r="O178" i="95" s="1"/>
  <c r="L155" i="95"/>
  <c r="L156" i="95" s="1"/>
  <c r="L157" i="95" s="1"/>
  <c r="L158" i="95" s="1"/>
  <c r="L159" i="95" s="1"/>
  <c r="L160" i="95" s="1"/>
  <c r="L161" i="95" s="1"/>
  <c r="L162" i="95" s="1"/>
  <c r="L163" i="95" s="1"/>
  <c r="L164" i="95" s="1"/>
  <c r="L165" i="95" s="1"/>
  <c r="L166" i="95" s="1"/>
  <c r="L167" i="95" s="1"/>
  <c r="L168" i="95" s="1"/>
  <c r="L169" i="95" s="1"/>
  <c r="L170" i="95" s="1"/>
  <c r="L171" i="95" s="1"/>
  <c r="L172" i="95" s="1"/>
  <c r="L173" i="95" s="1"/>
  <c r="L174" i="95" s="1"/>
  <c r="L175" i="95" s="1"/>
  <c r="L176" i="95" s="1"/>
  <c r="L177" i="95" s="1"/>
  <c r="L178" i="95" s="1"/>
  <c r="N131" i="95"/>
  <c r="N132" i="95" s="1"/>
  <c r="N133" i="95" s="1"/>
  <c r="N134" i="95" s="1"/>
  <c r="N135" i="95" s="1"/>
  <c r="N136" i="95" s="1"/>
  <c r="N137" i="95" s="1"/>
  <c r="N138" i="95" s="1"/>
  <c r="N139" i="95" s="1"/>
  <c r="N140" i="95" s="1"/>
  <c r="N141" i="95" s="1"/>
  <c r="N142" i="95" s="1"/>
  <c r="N143" i="95" s="1"/>
  <c r="N144" i="95" s="1"/>
  <c r="N145" i="95" s="1"/>
  <c r="N146" i="95" s="1"/>
  <c r="N147" i="95" s="1"/>
  <c r="N148" i="95" s="1"/>
  <c r="N149" i="95" s="1"/>
  <c r="N150" i="95" s="1"/>
  <c r="N151" i="95" s="1"/>
  <c r="N152" i="95" s="1"/>
  <c r="N153" i="95" s="1"/>
  <c r="N154" i="95" s="1"/>
  <c r="L131" i="95"/>
  <c r="L132" i="95" s="1"/>
  <c r="L133" i="95" s="1"/>
  <c r="L134" i="95" s="1"/>
  <c r="L135" i="95" s="1"/>
  <c r="L136" i="95" s="1"/>
  <c r="L137" i="95" s="1"/>
  <c r="L138" i="95" s="1"/>
  <c r="L139" i="95" s="1"/>
  <c r="L140" i="95" s="1"/>
  <c r="L141" i="95" s="1"/>
  <c r="L142" i="95" s="1"/>
  <c r="L143" i="95" s="1"/>
  <c r="L144" i="95" s="1"/>
  <c r="L145" i="95" s="1"/>
  <c r="L146" i="95" s="1"/>
  <c r="L147" i="95" s="1"/>
  <c r="L148" i="95" s="1"/>
  <c r="L149" i="95" s="1"/>
  <c r="L150" i="95" s="1"/>
  <c r="L151" i="95" s="1"/>
  <c r="L152" i="95" s="1"/>
  <c r="L153" i="95" s="1"/>
  <c r="L154" i="95" s="1"/>
  <c r="N107" i="95"/>
  <c r="N108" i="95" s="1"/>
  <c r="N109" i="95" s="1"/>
  <c r="N110" i="95" s="1"/>
  <c r="N111" i="95" s="1"/>
  <c r="N112" i="95" s="1"/>
  <c r="N113" i="95" s="1"/>
  <c r="N114" i="95" s="1"/>
  <c r="N115" i="95" s="1"/>
  <c r="N116" i="95" s="1"/>
  <c r="N117" i="95" s="1"/>
  <c r="N118" i="95" s="1"/>
  <c r="N119" i="95" s="1"/>
  <c r="N120" i="95" s="1"/>
  <c r="N121" i="95" s="1"/>
  <c r="N122" i="95" s="1"/>
  <c r="N123" i="95" s="1"/>
  <c r="N124" i="95" s="1"/>
  <c r="N125" i="95" s="1"/>
  <c r="N126" i="95" s="1"/>
  <c r="N127" i="95" s="1"/>
  <c r="N128" i="95" s="1"/>
  <c r="N129" i="95" s="1"/>
  <c r="N130" i="95" s="1"/>
  <c r="L107" i="95"/>
  <c r="L108" i="95" s="1"/>
  <c r="L109" i="95" s="1"/>
  <c r="L110" i="95" s="1"/>
  <c r="L111" i="95" s="1"/>
  <c r="L112" i="95" s="1"/>
  <c r="L113" i="95" s="1"/>
  <c r="L114" i="95" s="1"/>
  <c r="L115" i="95" s="1"/>
  <c r="L116" i="95" s="1"/>
  <c r="L117" i="95" s="1"/>
  <c r="L118" i="95" s="1"/>
  <c r="L119" i="95" s="1"/>
  <c r="L120" i="95" s="1"/>
  <c r="L121" i="95" s="1"/>
  <c r="L122" i="95" s="1"/>
  <c r="L123" i="95" s="1"/>
  <c r="L124" i="95" s="1"/>
  <c r="L125" i="95" s="1"/>
  <c r="L126" i="95" s="1"/>
  <c r="L127" i="95" s="1"/>
  <c r="L128" i="95" s="1"/>
  <c r="L129" i="95" s="1"/>
  <c r="L130" i="95" s="1"/>
  <c r="J180" i="95"/>
  <c r="J181" i="95" s="1"/>
  <c r="J182" i="95" s="1"/>
  <c r="J183" i="95" s="1"/>
  <c r="J184" i="95" s="1"/>
  <c r="J185" i="95" s="1"/>
  <c r="J186" i="95" s="1"/>
  <c r="J187" i="95" s="1"/>
  <c r="J188" i="95" s="1"/>
  <c r="J189" i="95" s="1"/>
  <c r="J190" i="95" s="1"/>
  <c r="J192" i="95" s="1"/>
  <c r="J156" i="95"/>
  <c r="J157" i="95" s="1"/>
  <c r="J158" i="95" s="1"/>
  <c r="J159" i="95" s="1"/>
  <c r="J160" i="95" s="1"/>
  <c r="J161" i="95" s="1"/>
  <c r="J162" i="95" s="1"/>
  <c r="J163" i="95" s="1"/>
  <c r="J164" i="95" s="1"/>
  <c r="J165" i="95" s="1"/>
  <c r="J166" i="95" s="1"/>
  <c r="J168" i="95" s="1"/>
  <c r="J108" i="95"/>
  <c r="J109" i="95" s="1"/>
  <c r="J110" i="95" s="1"/>
  <c r="J111" i="95" s="1"/>
  <c r="J112" i="95" s="1"/>
  <c r="J113" i="95" s="1"/>
  <c r="J114" i="95" s="1"/>
  <c r="J115" i="95" s="1"/>
  <c r="J116" i="95" s="1"/>
  <c r="J117" i="95" s="1"/>
  <c r="J118" i="95" s="1"/>
  <c r="J120" i="95" s="1"/>
  <c r="J132" i="95"/>
  <c r="J133" i="95" s="1"/>
  <c r="J134" i="95" s="1"/>
  <c r="J135" i="95" s="1"/>
  <c r="J136" i="95" s="1"/>
  <c r="J137" i="95" s="1"/>
  <c r="J138" i="95" s="1"/>
  <c r="J139" i="95" s="1"/>
  <c r="J140" i="95" s="1"/>
  <c r="J141" i="95" s="1"/>
  <c r="J142" i="95" s="1"/>
  <c r="J144" i="95" s="1"/>
  <c r="J84" i="95"/>
  <c r="J85" i="95" s="1"/>
  <c r="J86" i="95" s="1"/>
  <c r="J87" i="95" s="1"/>
  <c r="J88" i="95" s="1"/>
  <c r="J89" i="95" s="1"/>
  <c r="J90" i="95" s="1"/>
  <c r="J91" i="95" s="1"/>
  <c r="J92" i="95" s="1"/>
  <c r="J93" i="95" s="1"/>
  <c r="J94" i="95" s="1"/>
  <c r="J96" i="95" s="1"/>
  <c r="J60" i="95"/>
  <c r="J61" i="95" s="1"/>
  <c r="J62" i="95" s="1"/>
  <c r="J63" i="95" s="1"/>
  <c r="J64" i="95" s="1"/>
  <c r="J65" i="95" s="1"/>
  <c r="J66" i="95" s="1"/>
  <c r="J67" i="95" s="1"/>
  <c r="J68" i="95" s="1"/>
  <c r="J69" i="95" s="1"/>
  <c r="J70" i="95" s="1"/>
  <c r="J72" i="95" s="1"/>
  <c r="J36" i="95"/>
  <c r="J37" i="95" s="1"/>
  <c r="J38" i="95" s="1"/>
  <c r="J39" i="95" s="1"/>
  <c r="J40" i="95" s="1"/>
  <c r="J41" i="95" s="1"/>
  <c r="J42" i="95" s="1"/>
  <c r="J43" i="95" s="1"/>
  <c r="J44" i="95" s="1"/>
  <c r="J45" i="95" s="1"/>
  <c r="J46" i="95" s="1"/>
  <c r="J48" i="95" s="1"/>
  <c r="J24" i="95"/>
  <c r="Q23" i="95"/>
  <c r="D15" i="96"/>
  <c r="D12" i="95"/>
  <c r="R22" i="96"/>
  <c r="T22" i="96" s="1"/>
  <c r="R21" i="96"/>
  <c r="T21" i="96" s="1"/>
  <c r="R20" i="96"/>
  <c r="T20" i="96" s="1"/>
  <c r="R19" i="96"/>
  <c r="T19" i="96" s="1"/>
  <c r="R18" i="96"/>
  <c r="T18" i="96" s="1"/>
  <c r="R17" i="96"/>
  <c r="T17" i="96" s="1"/>
  <c r="R16" i="96"/>
  <c r="T16" i="96" s="1"/>
  <c r="R15" i="96"/>
  <c r="T15" i="96" s="1"/>
  <c r="R11" i="96"/>
  <c r="S22" i="95"/>
  <c r="Q22" i="95"/>
  <c r="Q21" i="95"/>
  <c r="S21" i="95" s="1"/>
  <c r="Q20" i="95"/>
  <c r="S20" i="95" s="1"/>
  <c r="Q19" i="95"/>
  <c r="S19" i="95" s="1"/>
  <c r="Q18" i="95"/>
  <c r="S18" i="95" s="1"/>
  <c r="Q17" i="95"/>
  <c r="S17" i="95" s="1"/>
  <c r="Q16" i="95"/>
  <c r="S16" i="95" s="1"/>
  <c r="Q15" i="95"/>
  <c r="S15" i="95" s="1"/>
  <c r="Q14" i="95"/>
  <c r="S14" i="95" s="1"/>
  <c r="Q13" i="95"/>
  <c r="S13" i="95" s="1"/>
  <c r="Q12" i="95"/>
  <c r="S12" i="95" s="1"/>
  <c r="Q11" i="95"/>
  <c r="S11" i="95" s="1"/>
  <c r="I59" i="94"/>
  <c r="J59" i="94"/>
  <c r="J60" i="94" s="1"/>
  <c r="L59" i="94"/>
  <c r="L60" i="94" s="1"/>
  <c r="L61" i="94" s="1"/>
  <c r="L62" i="94" s="1"/>
  <c r="L63" i="94" s="1"/>
  <c r="L64" i="94" s="1"/>
  <c r="L65" i="94" s="1"/>
  <c r="L66" i="94" s="1"/>
  <c r="L67" i="94" s="1"/>
  <c r="L68" i="94" s="1"/>
  <c r="L69" i="94" s="1"/>
  <c r="L70" i="94" s="1"/>
  <c r="N59" i="94"/>
  <c r="P59" i="94" s="1"/>
  <c r="P60" i="94" s="1"/>
  <c r="P61" i="94" s="1"/>
  <c r="P62" i="94" s="1"/>
  <c r="P63" i="94" s="1"/>
  <c r="P64" i="94" s="1"/>
  <c r="P65" i="94" s="1"/>
  <c r="P66" i="94" s="1"/>
  <c r="P67" i="94" s="1"/>
  <c r="P68" i="94" s="1"/>
  <c r="P69" i="94" s="1"/>
  <c r="P70" i="94" s="1"/>
  <c r="I60" i="94"/>
  <c r="I61" i="94" s="1"/>
  <c r="I62" i="94" s="1"/>
  <c r="I63" i="94" s="1"/>
  <c r="I64" i="94" s="1"/>
  <c r="I65" i="94" s="1"/>
  <c r="I66" i="94" s="1"/>
  <c r="I67" i="94" s="1"/>
  <c r="I68" i="94" s="1"/>
  <c r="I69" i="94" s="1"/>
  <c r="I70" i="94" s="1"/>
  <c r="J61" i="94"/>
  <c r="J62" i="94"/>
  <c r="J63" i="94" s="1"/>
  <c r="J64" i="94" s="1"/>
  <c r="J65" i="94" s="1"/>
  <c r="J66" i="94" s="1"/>
  <c r="J67" i="94" s="1"/>
  <c r="J68" i="94" s="1"/>
  <c r="J69" i="94"/>
  <c r="I71" i="94"/>
  <c r="J71" i="94"/>
  <c r="J72" i="94" s="1"/>
  <c r="J73" i="94" s="1"/>
  <c r="L71" i="94"/>
  <c r="L72" i="94" s="1"/>
  <c r="L73" i="94" s="1"/>
  <c r="L74" i="94" s="1"/>
  <c r="L75" i="94" s="1"/>
  <c r="L76" i="94" s="1"/>
  <c r="L77" i="94" s="1"/>
  <c r="L78" i="94" s="1"/>
  <c r="L79" i="94" s="1"/>
  <c r="L80" i="94" s="1"/>
  <c r="L81" i="94" s="1"/>
  <c r="L82" i="94" s="1"/>
  <c r="N71" i="94"/>
  <c r="I72" i="94"/>
  <c r="I73" i="94" s="1"/>
  <c r="I74" i="94" s="1"/>
  <c r="I75" i="94" s="1"/>
  <c r="I76" i="94" s="1"/>
  <c r="I77" i="94" s="1"/>
  <c r="I78" i="94" s="1"/>
  <c r="I79" i="94" s="1"/>
  <c r="I80" i="94"/>
  <c r="I81" i="94" s="1"/>
  <c r="I82" i="94" s="1"/>
  <c r="I83" i="94"/>
  <c r="J83" i="94"/>
  <c r="J84" i="94" s="1"/>
  <c r="L83" i="94"/>
  <c r="L84" i="94" s="1"/>
  <c r="L85" i="94" s="1"/>
  <c r="L86" i="94" s="1"/>
  <c r="L87" i="94" s="1"/>
  <c r="L88" i="94" s="1"/>
  <c r="L89" i="94" s="1"/>
  <c r="L90" i="94" s="1"/>
  <c r="L91" i="94" s="1"/>
  <c r="L92" i="94" s="1"/>
  <c r="L93" i="94" s="1"/>
  <c r="L94" i="94" s="1"/>
  <c r="N83" i="94"/>
  <c r="P83" i="94" s="1"/>
  <c r="P84" i="94" s="1"/>
  <c r="P85" i="94" s="1"/>
  <c r="P86" i="94" s="1"/>
  <c r="P87" i="94" s="1"/>
  <c r="P88" i="94" s="1"/>
  <c r="P89" i="94" s="1"/>
  <c r="P90" i="94" s="1"/>
  <c r="P91" i="94" s="1"/>
  <c r="P92" i="94" s="1"/>
  <c r="P93" i="94" s="1"/>
  <c r="P94" i="94" s="1"/>
  <c r="I84" i="94"/>
  <c r="I85" i="94" s="1"/>
  <c r="J85" i="94"/>
  <c r="J86" i="94" s="1"/>
  <c r="I86" i="94"/>
  <c r="I87" i="94" s="1"/>
  <c r="I88" i="94" s="1"/>
  <c r="I89" i="94" s="1"/>
  <c r="I90" i="94" s="1"/>
  <c r="I91" i="94" s="1"/>
  <c r="I92" i="94" s="1"/>
  <c r="I93" i="94" s="1"/>
  <c r="I94" i="94" s="1"/>
  <c r="I95" i="94"/>
  <c r="J95" i="94"/>
  <c r="J96" i="94" s="1"/>
  <c r="J97" i="94" s="1"/>
  <c r="J98" i="94" s="1"/>
  <c r="J99" i="94" s="1"/>
  <c r="J100" i="94" s="1"/>
  <c r="L95" i="94"/>
  <c r="L96" i="94" s="1"/>
  <c r="L97" i="94" s="1"/>
  <c r="L98" i="94" s="1"/>
  <c r="L99" i="94" s="1"/>
  <c r="L100" i="94" s="1"/>
  <c r="L101" i="94" s="1"/>
  <c r="L102" i="94" s="1"/>
  <c r="L103" i="94" s="1"/>
  <c r="L104" i="94" s="1"/>
  <c r="L105" i="94" s="1"/>
  <c r="L106" i="94" s="1"/>
  <c r="N95" i="94"/>
  <c r="N96" i="94" s="1"/>
  <c r="N97" i="94" s="1"/>
  <c r="N98" i="94" s="1"/>
  <c r="N99" i="94" s="1"/>
  <c r="N100" i="94" s="1"/>
  <c r="N101" i="94" s="1"/>
  <c r="N102" i="94" s="1"/>
  <c r="N103" i="94" s="1"/>
  <c r="N104" i="94" s="1"/>
  <c r="N105" i="94" s="1"/>
  <c r="N106" i="94" s="1"/>
  <c r="I96" i="94"/>
  <c r="I97" i="94"/>
  <c r="I98" i="94" s="1"/>
  <c r="I99" i="94" s="1"/>
  <c r="I100" i="94" s="1"/>
  <c r="I101" i="94" s="1"/>
  <c r="I102" i="94" s="1"/>
  <c r="I103" i="94" s="1"/>
  <c r="I104" i="94" s="1"/>
  <c r="I105" i="94" s="1"/>
  <c r="I106" i="94" s="1"/>
  <c r="I107" i="94"/>
  <c r="J107" i="94"/>
  <c r="L107" i="94"/>
  <c r="L108" i="94" s="1"/>
  <c r="L109" i="94" s="1"/>
  <c r="L110" i="94" s="1"/>
  <c r="L111" i="94" s="1"/>
  <c r="L112" i="94" s="1"/>
  <c r="L113" i="94" s="1"/>
  <c r="L114" i="94" s="1"/>
  <c r="L115" i="94" s="1"/>
  <c r="L116" i="94" s="1"/>
  <c r="L117" i="94" s="1"/>
  <c r="L118" i="94" s="1"/>
  <c r="N107" i="94"/>
  <c r="P107" i="94"/>
  <c r="P108" i="94" s="1"/>
  <c r="P109" i="94" s="1"/>
  <c r="P110" i="94" s="1"/>
  <c r="P111" i="94" s="1"/>
  <c r="P112" i="94" s="1"/>
  <c r="P113" i="94" s="1"/>
  <c r="P114" i="94" s="1"/>
  <c r="P115" i="94" s="1"/>
  <c r="P116" i="94" s="1"/>
  <c r="P117" i="94" s="1"/>
  <c r="P118" i="94" s="1"/>
  <c r="I108" i="94"/>
  <c r="I109" i="94" s="1"/>
  <c r="I110" i="94" s="1"/>
  <c r="I111" i="94" s="1"/>
  <c r="I112" i="94" s="1"/>
  <c r="I113" i="94" s="1"/>
  <c r="I114" i="94" s="1"/>
  <c r="I115" i="94" s="1"/>
  <c r="I116" i="94" s="1"/>
  <c r="I117" i="94" s="1"/>
  <c r="I118" i="94" s="1"/>
  <c r="N108" i="94"/>
  <c r="N109" i="94" s="1"/>
  <c r="N110" i="94" s="1"/>
  <c r="N111" i="94" s="1"/>
  <c r="N112" i="94" s="1"/>
  <c r="N113" i="94" s="1"/>
  <c r="N114" i="94" s="1"/>
  <c r="N115" i="94" s="1"/>
  <c r="N116" i="94" s="1"/>
  <c r="N117" i="94" s="1"/>
  <c r="N118" i="94" s="1"/>
  <c r="I119" i="94"/>
  <c r="I120" i="94" s="1"/>
  <c r="I121" i="94" s="1"/>
  <c r="I122" i="94" s="1"/>
  <c r="I123" i="94" s="1"/>
  <c r="I124" i="94" s="1"/>
  <c r="I125" i="94" s="1"/>
  <c r="I126" i="94" s="1"/>
  <c r="I127" i="94" s="1"/>
  <c r="I128" i="94" s="1"/>
  <c r="I129" i="94" s="1"/>
  <c r="I130" i="94" s="1"/>
  <c r="J119" i="94"/>
  <c r="L119" i="94"/>
  <c r="L120" i="94" s="1"/>
  <c r="L121" i="94" s="1"/>
  <c r="L122" i="94" s="1"/>
  <c r="L123" i="94" s="1"/>
  <c r="L124" i="94" s="1"/>
  <c r="L125" i="94" s="1"/>
  <c r="L126" i="94" s="1"/>
  <c r="L127" i="94" s="1"/>
  <c r="L128" i="94" s="1"/>
  <c r="L129" i="94" s="1"/>
  <c r="L130" i="94" s="1"/>
  <c r="N119" i="94"/>
  <c r="P119" i="94" s="1"/>
  <c r="P120" i="94" s="1"/>
  <c r="P121" i="94" s="1"/>
  <c r="P122" i="94" s="1"/>
  <c r="P123" i="94" s="1"/>
  <c r="P124" i="94" s="1"/>
  <c r="P125" i="94" s="1"/>
  <c r="P126" i="94" s="1"/>
  <c r="P127" i="94" s="1"/>
  <c r="P128" i="94" s="1"/>
  <c r="P129" i="94" s="1"/>
  <c r="P130" i="94" s="1"/>
  <c r="N120" i="94"/>
  <c r="N121" i="94" s="1"/>
  <c r="N122" i="94" s="1"/>
  <c r="N123" i="94" s="1"/>
  <c r="N124" i="94" s="1"/>
  <c r="N125" i="94" s="1"/>
  <c r="N126" i="94" s="1"/>
  <c r="N127" i="94" s="1"/>
  <c r="N128" i="94" s="1"/>
  <c r="N129" i="94" s="1"/>
  <c r="N130" i="94" s="1"/>
  <c r="I131" i="94"/>
  <c r="J131" i="94"/>
  <c r="J132" i="94" s="1"/>
  <c r="L131" i="94"/>
  <c r="L132" i="94" s="1"/>
  <c r="L133" i="94" s="1"/>
  <c r="L134" i="94" s="1"/>
  <c r="L135" i="94" s="1"/>
  <c r="L136" i="94" s="1"/>
  <c r="L137" i="94" s="1"/>
  <c r="L138" i="94" s="1"/>
  <c r="L139" i="94" s="1"/>
  <c r="L140" i="94" s="1"/>
  <c r="L141" i="94" s="1"/>
  <c r="L142" i="94" s="1"/>
  <c r="N131" i="94"/>
  <c r="P131" i="94" s="1"/>
  <c r="P132" i="94" s="1"/>
  <c r="P133" i="94" s="1"/>
  <c r="P134" i="94" s="1"/>
  <c r="P135" i="94" s="1"/>
  <c r="P136" i="94" s="1"/>
  <c r="P137" i="94" s="1"/>
  <c r="P138" i="94" s="1"/>
  <c r="P139" i="94" s="1"/>
  <c r="P140" i="94" s="1"/>
  <c r="P141" i="94" s="1"/>
  <c r="P142" i="94" s="1"/>
  <c r="I132" i="94"/>
  <c r="I133" i="94" s="1"/>
  <c r="I134" i="94" s="1"/>
  <c r="I135" i="94" s="1"/>
  <c r="I136" i="94" s="1"/>
  <c r="I137" i="94" s="1"/>
  <c r="I138" i="94" s="1"/>
  <c r="I139" i="94" s="1"/>
  <c r="I140" i="94" s="1"/>
  <c r="I141" i="94" s="1"/>
  <c r="I142" i="94" s="1"/>
  <c r="J133" i="94"/>
  <c r="I143" i="94"/>
  <c r="I144" i="94" s="1"/>
  <c r="I145" i="94" s="1"/>
  <c r="I146" i="94" s="1"/>
  <c r="I147" i="94" s="1"/>
  <c r="I148" i="94" s="1"/>
  <c r="I149" i="94" s="1"/>
  <c r="I150" i="94" s="1"/>
  <c r="I151" i="94" s="1"/>
  <c r="I152" i="94" s="1"/>
  <c r="I153" i="94" s="1"/>
  <c r="I154" i="94" s="1"/>
  <c r="J143" i="94"/>
  <c r="L143" i="94"/>
  <c r="L144" i="94" s="1"/>
  <c r="L145" i="94" s="1"/>
  <c r="L146" i="94" s="1"/>
  <c r="L147" i="94" s="1"/>
  <c r="L148" i="94" s="1"/>
  <c r="L149" i="94" s="1"/>
  <c r="L150" i="94" s="1"/>
  <c r="L151" i="94" s="1"/>
  <c r="L152" i="94" s="1"/>
  <c r="L153" i="94" s="1"/>
  <c r="L154" i="94" s="1"/>
  <c r="N143" i="94"/>
  <c r="N144" i="94" s="1"/>
  <c r="N145" i="94" s="1"/>
  <c r="N146" i="94" s="1"/>
  <c r="N147" i="94" s="1"/>
  <c r="N148" i="94" s="1"/>
  <c r="N149" i="94" s="1"/>
  <c r="N150" i="94" s="1"/>
  <c r="N151" i="94" s="1"/>
  <c r="N152" i="94" s="1"/>
  <c r="N153" i="94" s="1"/>
  <c r="N154" i="94" s="1"/>
  <c r="J144" i="94"/>
  <c r="J145" i="94" s="1"/>
  <c r="J146" i="94" s="1"/>
  <c r="J147" i="94" s="1"/>
  <c r="R23" i="94"/>
  <c r="R22" i="94"/>
  <c r="T22" i="94" s="1"/>
  <c r="R21" i="94"/>
  <c r="T21" i="94" s="1"/>
  <c r="R20" i="94"/>
  <c r="T20" i="94" s="1"/>
  <c r="R19" i="94"/>
  <c r="T19" i="94" s="1"/>
  <c r="R18" i="94"/>
  <c r="T18" i="94" s="1"/>
  <c r="R17" i="94"/>
  <c r="T17" i="94" s="1"/>
  <c r="T16" i="94"/>
  <c r="R16" i="94"/>
  <c r="R15" i="94"/>
  <c r="T15" i="94" s="1"/>
  <c r="T14" i="94"/>
  <c r="R14" i="94"/>
  <c r="R13" i="94"/>
  <c r="T13" i="94" s="1"/>
  <c r="R12" i="94"/>
  <c r="T12" i="94" s="1"/>
  <c r="R11" i="94"/>
  <c r="D12" i="94"/>
  <c r="I59" i="48"/>
  <c r="I60" i="48" s="1"/>
  <c r="I61" i="48" s="1"/>
  <c r="I62" i="48" s="1"/>
  <c r="I63" i="48" s="1"/>
  <c r="I64" i="48" s="1"/>
  <c r="I65" i="48" s="1"/>
  <c r="I66" i="48" s="1"/>
  <c r="I67" i="48" s="1"/>
  <c r="I68" i="48" s="1"/>
  <c r="I69" i="48" s="1"/>
  <c r="I70" i="48" s="1"/>
  <c r="J59" i="48"/>
  <c r="L59" i="48"/>
  <c r="L60" i="48" s="1"/>
  <c r="L61" i="48" s="1"/>
  <c r="L62" i="48" s="1"/>
  <c r="L63" i="48" s="1"/>
  <c r="L64" i="48" s="1"/>
  <c r="L65" i="48" s="1"/>
  <c r="L66" i="48" s="1"/>
  <c r="L67" i="48" s="1"/>
  <c r="L68" i="48" s="1"/>
  <c r="L69" i="48" s="1"/>
  <c r="L70" i="48" s="1"/>
  <c r="N59" i="48"/>
  <c r="P59" i="48" s="1"/>
  <c r="P60" i="48" s="1"/>
  <c r="P61" i="48" s="1"/>
  <c r="P62" i="48" s="1"/>
  <c r="P63" i="48" s="1"/>
  <c r="P64" i="48" s="1"/>
  <c r="P65" i="48" s="1"/>
  <c r="P66" i="48" s="1"/>
  <c r="P67" i="48" s="1"/>
  <c r="P68" i="48" s="1"/>
  <c r="P69" i="48" s="1"/>
  <c r="P70" i="48" s="1"/>
  <c r="J60" i="48"/>
  <c r="J61" i="48" s="1"/>
  <c r="J62" i="48" s="1"/>
  <c r="J63" i="48" s="1"/>
  <c r="J64" i="48" s="1"/>
  <c r="J65" i="48" s="1"/>
  <c r="J66" i="48" s="1"/>
  <c r="J67" i="48" s="1"/>
  <c r="J68" i="48" s="1"/>
  <c r="J69" i="48" s="1"/>
  <c r="J70" i="48" s="1"/>
  <c r="I71" i="48"/>
  <c r="J71" i="48"/>
  <c r="J72" i="48" s="1"/>
  <c r="J73" i="48" s="1"/>
  <c r="J74" i="48" s="1"/>
  <c r="J75" i="48" s="1"/>
  <c r="J76" i="48" s="1"/>
  <c r="J77" i="48" s="1"/>
  <c r="J78" i="48" s="1"/>
  <c r="J79" i="48" s="1"/>
  <c r="J80" i="48" s="1"/>
  <c r="J81" i="48" s="1"/>
  <c r="J82" i="48" s="1"/>
  <c r="L71" i="48"/>
  <c r="L72" i="48" s="1"/>
  <c r="N71" i="48"/>
  <c r="N72" i="48" s="1"/>
  <c r="N73" i="48" s="1"/>
  <c r="P71" i="48"/>
  <c r="P72" i="48" s="1"/>
  <c r="P73" i="48" s="1"/>
  <c r="P74" i="48" s="1"/>
  <c r="P75" i="48" s="1"/>
  <c r="P76" i="48" s="1"/>
  <c r="P77" i="48" s="1"/>
  <c r="P78" i="48" s="1"/>
  <c r="P79" i="48" s="1"/>
  <c r="P80" i="48" s="1"/>
  <c r="P81" i="48" s="1"/>
  <c r="P82" i="48" s="1"/>
  <c r="I72" i="48"/>
  <c r="I73" i="48" s="1"/>
  <c r="I74" i="48" s="1"/>
  <c r="I75" i="48" s="1"/>
  <c r="I76" i="48" s="1"/>
  <c r="I77" i="48" s="1"/>
  <c r="I78" i="48" s="1"/>
  <c r="I79" i="48" s="1"/>
  <c r="I80" i="48" s="1"/>
  <c r="I81" i="48" s="1"/>
  <c r="I82" i="48" s="1"/>
  <c r="L73" i="48"/>
  <c r="L74" i="48" s="1"/>
  <c r="L75" i="48" s="1"/>
  <c r="L76" i="48" s="1"/>
  <c r="L77" i="48" s="1"/>
  <c r="L78" i="48" s="1"/>
  <c r="L79" i="48" s="1"/>
  <c r="L80" i="48" s="1"/>
  <c r="L81" i="48" s="1"/>
  <c r="L82" i="48" s="1"/>
  <c r="N74" i="48"/>
  <c r="N75" i="48" s="1"/>
  <c r="N76" i="48" s="1"/>
  <c r="N77" i="48" s="1"/>
  <c r="N78" i="48" s="1"/>
  <c r="N79" i="48" s="1"/>
  <c r="N80" i="48" s="1"/>
  <c r="N81" i="48" s="1"/>
  <c r="N82" i="48" s="1"/>
  <c r="I83" i="48"/>
  <c r="I84" i="48" s="1"/>
  <c r="I85" i="48" s="1"/>
  <c r="I86" i="48" s="1"/>
  <c r="I87" i="48" s="1"/>
  <c r="I88" i="48" s="1"/>
  <c r="I89" i="48" s="1"/>
  <c r="I90" i="48" s="1"/>
  <c r="I91" i="48" s="1"/>
  <c r="I92" i="48" s="1"/>
  <c r="I93" i="48" s="1"/>
  <c r="I94" i="48" s="1"/>
  <c r="J83" i="48"/>
  <c r="J84" i="48" s="1"/>
  <c r="L83" i="48"/>
  <c r="L84" i="48" s="1"/>
  <c r="L85" i="48" s="1"/>
  <c r="L86" i="48" s="1"/>
  <c r="L87" i="48" s="1"/>
  <c r="L88" i="48" s="1"/>
  <c r="L89" i="48" s="1"/>
  <c r="L90" i="48" s="1"/>
  <c r="L91" i="48" s="1"/>
  <c r="L92" i="48" s="1"/>
  <c r="L93" i="48" s="1"/>
  <c r="L94" i="48" s="1"/>
  <c r="N83" i="48"/>
  <c r="N84" i="48" s="1"/>
  <c r="N85" i="48" s="1"/>
  <c r="N86" i="48" s="1"/>
  <c r="N87" i="48" s="1"/>
  <c r="N88" i="48" s="1"/>
  <c r="N89" i="48" s="1"/>
  <c r="N90" i="48" s="1"/>
  <c r="N91" i="48" s="1"/>
  <c r="N92" i="48" s="1"/>
  <c r="N93" i="48" s="1"/>
  <c r="N94" i="48" s="1"/>
  <c r="J85" i="48"/>
  <c r="J86" i="48" s="1"/>
  <c r="J87" i="48" s="1"/>
  <c r="J88" i="48" s="1"/>
  <c r="J89" i="48" s="1"/>
  <c r="J90" i="48" s="1"/>
  <c r="J91" i="48" s="1"/>
  <c r="J92" i="48" s="1"/>
  <c r="J93" i="48" s="1"/>
  <c r="J94" i="48" s="1"/>
  <c r="I95" i="48"/>
  <c r="I96" i="48" s="1"/>
  <c r="I97" i="48" s="1"/>
  <c r="I98" i="48" s="1"/>
  <c r="I99" i="48" s="1"/>
  <c r="I100" i="48" s="1"/>
  <c r="I101" i="48" s="1"/>
  <c r="I102" i="48" s="1"/>
  <c r="I103" i="48" s="1"/>
  <c r="I104" i="48" s="1"/>
  <c r="I105" i="48" s="1"/>
  <c r="I106" i="48" s="1"/>
  <c r="J95" i="48"/>
  <c r="J96" i="48" s="1"/>
  <c r="J97" i="48" s="1"/>
  <c r="J98" i="48" s="1"/>
  <c r="J99" i="48" s="1"/>
  <c r="J100" i="48" s="1"/>
  <c r="J101" i="48" s="1"/>
  <c r="J102" i="48" s="1"/>
  <c r="J103" i="48" s="1"/>
  <c r="J104" i="48" s="1"/>
  <c r="J105" i="48" s="1"/>
  <c r="J106" i="48" s="1"/>
  <c r="L95" i="48"/>
  <c r="L96" i="48" s="1"/>
  <c r="L97" i="48" s="1"/>
  <c r="L98" i="48" s="1"/>
  <c r="L99" i="48" s="1"/>
  <c r="L100" i="48" s="1"/>
  <c r="L101" i="48" s="1"/>
  <c r="L102" i="48" s="1"/>
  <c r="L103" i="48" s="1"/>
  <c r="L104" i="48" s="1"/>
  <c r="L105" i="48" s="1"/>
  <c r="L106" i="48" s="1"/>
  <c r="N95" i="48"/>
  <c r="I107" i="48"/>
  <c r="I108" i="48" s="1"/>
  <c r="I109" i="48" s="1"/>
  <c r="I110" i="48" s="1"/>
  <c r="I111" i="48" s="1"/>
  <c r="I112" i="48" s="1"/>
  <c r="I113" i="48" s="1"/>
  <c r="I114" i="48" s="1"/>
  <c r="I115" i="48" s="1"/>
  <c r="I116" i="48" s="1"/>
  <c r="I117" i="48" s="1"/>
  <c r="I118" i="48" s="1"/>
  <c r="J107" i="48"/>
  <c r="J108" i="48" s="1"/>
  <c r="J109" i="48" s="1"/>
  <c r="J110" i="48" s="1"/>
  <c r="J111" i="48" s="1"/>
  <c r="J112" i="48" s="1"/>
  <c r="J113" i="48" s="1"/>
  <c r="J114" i="48" s="1"/>
  <c r="J115" i="48" s="1"/>
  <c r="J116" i="48" s="1"/>
  <c r="J117" i="48" s="1"/>
  <c r="J118" i="48" s="1"/>
  <c r="L107" i="48"/>
  <c r="L108" i="48" s="1"/>
  <c r="L109" i="48" s="1"/>
  <c r="L110" i="48" s="1"/>
  <c r="L111" i="48" s="1"/>
  <c r="L112" i="48" s="1"/>
  <c r="L113" i="48" s="1"/>
  <c r="L114" i="48" s="1"/>
  <c r="L115" i="48" s="1"/>
  <c r="L116" i="48" s="1"/>
  <c r="L117" i="48" s="1"/>
  <c r="L118" i="48" s="1"/>
  <c r="N107" i="48"/>
  <c r="N108" i="48" s="1"/>
  <c r="N109" i="48" s="1"/>
  <c r="N110" i="48" s="1"/>
  <c r="N111" i="48" s="1"/>
  <c r="N112" i="48" s="1"/>
  <c r="N113" i="48" s="1"/>
  <c r="N114" i="48" s="1"/>
  <c r="N115" i="48" s="1"/>
  <c r="N116" i="48" s="1"/>
  <c r="N117" i="48" s="1"/>
  <c r="N118" i="48" s="1"/>
  <c r="I119" i="48"/>
  <c r="I120" i="48" s="1"/>
  <c r="I121" i="48" s="1"/>
  <c r="J119" i="48"/>
  <c r="J120" i="48" s="1"/>
  <c r="J121" i="48" s="1"/>
  <c r="J122" i="48" s="1"/>
  <c r="J123" i="48" s="1"/>
  <c r="J124" i="48" s="1"/>
  <c r="J125" i="48" s="1"/>
  <c r="J126" i="48" s="1"/>
  <c r="J127" i="48" s="1"/>
  <c r="J128" i="48" s="1"/>
  <c r="J129" i="48" s="1"/>
  <c r="J130" i="48" s="1"/>
  <c r="L119" i="48"/>
  <c r="L120" i="48" s="1"/>
  <c r="L121" i="48" s="1"/>
  <c r="L122" i="48" s="1"/>
  <c r="L123" i="48" s="1"/>
  <c r="L124" i="48" s="1"/>
  <c r="L125" i="48" s="1"/>
  <c r="L126" i="48" s="1"/>
  <c r="L127" i="48" s="1"/>
  <c r="L128" i="48" s="1"/>
  <c r="L129" i="48" s="1"/>
  <c r="L130" i="48" s="1"/>
  <c r="N119" i="48"/>
  <c r="N120" i="48" s="1"/>
  <c r="N121" i="48" s="1"/>
  <c r="N122" i="48" s="1"/>
  <c r="N123" i="48" s="1"/>
  <c r="N124" i="48" s="1"/>
  <c r="N125" i="48" s="1"/>
  <c r="N126" i="48" s="1"/>
  <c r="N127" i="48" s="1"/>
  <c r="N128" i="48" s="1"/>
  <c r="N129" i="48" s="1"/>
  <c r="N130" i="48" s="1"/>
  <c r="I122" i="48"/>
  <c r="I123" i="48" s="1"/>
  <c r="I124" i="48" s="1"/>
  <c r="I125" i="48"/>
  <c r="I126" i="48" s="1"/>
  <c r="I127" i="48" s="1"/>
  <c r="I128" i="48" s="1"/>
  <c r="I129" i="48" s="1"/>
  <c r="I130" i="48" s="1"/>
  <c r="I131" i="48"/>
  <c r="I132" i="48" s="1"/>
  <c r="I133" i="48" s="1"/>
  <c r="I134" i="48" s="1"/>
  <c r="I135" i="48" s="1"/>
  <c r="I136" i="48" s="1"/>
  <c r="I137" i="48" s="1"/>
  <c r="I138" i="48" s="1"/>
  <c r="I139" i="48" s="1"/>
  <c r="I140" i="48" s="1"/>
  <c r="I141" i="48" s="1"/>
  <c r="I142" i="48" s="1"/>
  <c r="J131" i="48"/>
  <c r="J132" i="48" s="1"/>
  <c r="J133" i="48" s="1"/>
  <c r="J134" i="48" s="1"/>
  <c r="J135" i="48" s="1"/>
  <c r="L131" i="48"/>
  <c r="L132" i="48" s="1"/>
  <c r="L133" i="48" s="1"/>
  <c r="L134" i="48" s="1"/>
  <c r="L135" i="48" s="1"/>
  <c r="L136" i="48" s="1"/>
  <c r="L137" i="48" s="1"/>
  <c r="L138" i="48" s="1"/>
  <c r="L139" i="48" s="1"/>
  <c r="L140" i="48" s="1"/>
  <c r="L141" i="48" s="1"/>
  <c r="L142" i="48" s="1"/>
  <c r="N131" i="48"/>
  <c r="P131" i="48" s="1"/>
  <c r="P132" i="48" s="1"/>
  <c r="P133" i="48" s="1"/>
  <c r="P134" i="48" s="1"/>
  <c r="P135" i="48" s="1"/>
  <c r="P136" i="48" s="1"/>
  <c r="P137" i="48" s="1"/>
  <c r="P138" i="48" s="1"/>
  <c r="P139" i="48" s="1"/>
  <c r="P140" i="48" s="1"/>
  <c r="P141" i="48" s="1"/>
  <c r="P142" i="48" s="1"/>
  <c r="J136" i="48"/>
  <c r="J137" i="48" s="1"/>
  <c r="J138" i="48" s="1"/>
  <c r="J139" i="48" s="1"/>
  <c r="J140" i="48" s="1"/>
  <c r="J141" i="48" s="1"/>
  <c r="J142" i="48" s="1"/>
  <c r="I143" i="48"/>
  <c r="I144" i="48" s="1"/>
  <c r="I145" i="48" s="1"/>
  <c r="I146" i="48" s="1"/>
  <c r="I147" i="48" s="1"/>
  <c r="I148" i="48" s="1"/>
  <c r="I149" i="48" s="1"/>
  <c r="I150" i="48" s="1"/>
  <c r="I151" i="48" s="1"/>
  <c r="I152" i="48" s="1"/>
  <c r="I153" i="48" s="1"/>
  <c r="I154" i="48" s="1"/>
  <c r="J143" i="48"/>
  <c r="J144" i="48" s="1"/>
  <c r="J145" i="48" s="1"/>
  <c r="J146" i="48" s="1"/>
  <c r="J147" i="48" s="1"/>
  <c r="J148" i="48" s="1"/>
  <c r="J149" i="48" s="1"/>
  <c r="J150" i="48" s="1"/>
  <c r="J151" i="48" s="1"/>
  <c r="J152" i="48" s="1"/>
  <c r="J153" i="48" s="1"/>
  <c r="J154" i="48" s="1"/>
  <c r="L143" i="48"/>
  <c r="L144" i="48" s="1"/>
  <c r="L145" i="48" s="1"/>
  <c r="L146" i="48" s="1"/>
  <c r="L147" i="48" s="1"/>
  <c r="L148" i="48" s="1"/>
  <c r="L149" i="48" s="1"/>
  <c r="L150" i="48" s="1"/>
  <c r="L151" i="48" s="1"/>
  <c r="L152" i="48" s="1"/>
  <c r="L153" i="48" s="1"/>
  <c r="L154" i="48" s="1"/>
  <c r="N143" i="48"/>
  <c r="P143" i="48" s="1"/>
  <c r="N144" i="48"/>
  <c r="N145" i="48" s="1"/>
  <c r="N146" i="48" s="1"/>
  <c r="N147" i="48" s="1"/>
  <c r="N148" i="48" s="1"/>
  <c r="N149" i="48" s="1"/>
  <c r="N150" i="48" s="1"/>
  <c r="N151" i="48" s="1"/>
  <c r="N152" i="48" s="1"/>
  <c r="N153" i="48" s="1"/>
  <c r="N154" i="48" s="1"/>
  <c r="P144" i="48"/>
  <c r="P145" i="48" s="1"/>
  <c r="P146" i="48" s="1"/>
  <c r="P147" i="48" s="1"/>
  <c r="P148" i="48" s="1"/>
  <c r="P149" i="48" s="1"/>
  <c r="P150" i="48" s="1"/>
  <c r="P151" i="48" s="1"/>
  <c r="P152" i="48" s="1"/>
  <c r="P153" i="48" s="1"/>
  <c r="P154" i="48" s="1"/>
  <c r="D83" i="93"/>
  <c r="Q119" i="93"/>
  <c r="E110" i="93"/>
  <c r="F110" i="93" s="1"/>
  <c r="E109" i="93"/>
  <c r="F109" i="93" s="1"/>
  <c r="Q107" i="93"/>
  <c r="P107" i="93"/>
  <c r="P108" i="93" s="1"/>
  <c r="P109" i="93" s="1"/>
  <c r="P110" i="93" s="1"/>
  <c r="P111" i="93" s="1"/>
  <c r="P112" i="93" s="1"/>
  <c r="P113" i="93" s="1"/>
  <c r="P114" i="93" s="1"/>
  <c r="P115" i="93" s="1"/>
  <c r="P116" i="93" s="1"/>
  <c r="P117" i="93" s="1"/>
  <c r="P118" i="93" s="1"/>
  <c r="P119" i="93" s="1"/>
  <c r="P120" i="93" s="1"/>
  <c r="P121" i="93" s="1"/>
  <c r="P122" i="93" s="1"/>
  <c r="P123" i="93" s="1"/>
  <c r="P124" i="93" s="1"/>
  <c r="P125" i="93" s="1"/>
  <c r="P126" i="93" s="1"/>
  <c r="P127" i="93" s="1"/>
  <c r="P128" i="93" s="1"/>
  <c r="P129" i="93" s="1"/>
  <c r="P130" i="93" s="1"/>
  <c r="O107" i="93"/>
  <c r="O108" i="93" s="1"/>
  <c r="O109" i="93" s="1"/>
  <c r="O110" i="93" s="1"/>
  <c r="O111" i="93" s="1"/>
  <c r="O112" i="93" s="1"/>
  <c r="O113" i="93" s="1"/>
  <c r="O114" i="93" s="1"/>
  <c r="O115" i="93" s="1"/>
  <c r="O116" i="93" s="1"/>
  <c r="O117" i="93" s="1"/>
  <c r="O118" i="93" s="1"/>
  <c r="O119" i="93" s="1"/>
  <c r="O120" i="93" s="1"/>
  <c r="O121" i="93" s="1"/>
  <c r="O122" i="93" s="1"/>
  <c r="O123" i="93" s="1"/>
  <c r="O124" i="93" s="1"/>
  <c r="O125" i="93" s="1"/>
  <c r="O126" i="93" s="1"/>
  <c r="O127" i="93" s="1"/>
  <c r="O128" i="93" s="1"/>
  <c r="O129" i="93" s="1"/>
  <c r="O130" i="93" s="1"/>
  <c r="N107" i="93"/>
  <c r="N108" i="93" s="1"/>
  <c r="N109" i="93" s="1"/>
  <c r="N110" i="93" s="1"/>
  <c r="N111" i="93" s="1"/>
  <c r="N112" i="93" s="1"/>
  <c r="N113" i="93" s="1"/>
  <c r="N114" i="93" s="1"/>
  <c r="N115" i="93" s="1"/>
  <c r="N116" i="93" s="1"/>
  <c r="N117" i="93" s="1"/>
  <c r="N118" i="93" s="1"/>
  <c r="N119" i="93" s="1"/>
  <c r="N120" i="93" s="1"/>
  <c r="N121" i="93" s="1"/>
  <c r="N122" i="93" s="1"/>
  <c r="N123" i="93" s="1"/>
  <c r="N124" i="93" s="1"/>
  <c r="N125" i="93" s="1"/>
  <c r="N126" i="93" s="1"/>
  <c r="N127" i="93" s="1"/>
  <c r="N128" i="93" s="1"/>
  <c r="N129" i="93" s="1"/>
  <c r="N130" i="93" s="1"/>
  <c r="D107" i="93"/>
  <c r="D108" i="93" s="1"/>
  <c r="D109" i="93" s="1"/>
  <c r="D110" i="93" s="1"/>
  <c r="D111" i="93" s="1"/>
  <c r="E111" i="93" s="1"/>
  <c r="F111" i="93" s="1"/>
  <c r="Q11" i="93"/>
  <c r="D155" i="92"/>
  <c r="I209" i="92"/>
  <c r="I210" i="92" s="1"/>
  <c r="I211" i="92" s="1"/>
  <c r="I212" i="92" s="1"/>
  <c r="I213" i="92" s="1"/>
  <c r="I214" i="92" s="1"/>
  <c r="I215" i="92" s="1"/>
  <c r="I216" i="92" s="1"/>
  <c r="I217" i="92" s="1"/>
  <c r="I218" i="92" s="1"/>
  <c r="I219" i="92" s="1"/>
  <c r="I220" i="92" s="1"/>
  <c r="I221" i="92" s="1"/>
  <c r="I222" i="92" s="1"/>
  <c r="I223" i="92" s="1"/>
  <c r="I224" i="92" s="1"/>
  <c r="I225" i="92" s="1"/>
  <c r="I226" i="92" s="1"/>
  <c r="I227" i="92" s="1"/>
  <c r="I228" i="92" s="1"/>
  <c r="I229" i="92" s="1"/>
  <c r="I230" i="92" s="1"/>
  <c r="I231" i="92" s="1"/>
  <c r="I232" i="92" s="1"/>
  <c r="I233" i="92" s="1"/>
  <c r="I234" i="92" s="1"/>
  <c r="I235" i="92" s="1"/>
  <c r="I236" i="92" s="1"/>
  <c r="I237" i="92" s="1"/>
  <c r="I238" i="92" s="1"/>
  <c r="I239" i="92" s="1"/>
  <c r="I240" i="92" s="1"/>
  <c r="I241" i="92" s="1"/>
  <c r="I242" i="92" s="1"/>
  <c r="I243" i="92" s="1"/>
  <c r="I244" i="92" s="1"/>
  <c r="I245" i="92" s="1"/>
  <c r="I246" i="92" s="1"/>
  <c r="I247" i="92" s="1"/>
  <c r="I248" i="92" s="1"/>
  <c r="I249" i="92" s="1"/>
  <c r="I250" i="92" s="1"/>
  <c r="Q203" i="92"/>
  <c r="Q204" i="92" s="1"/>
  <c r="Q205" i="92" s="1"/>
  <c r="Q206" i="92" s="1"/>
  <c r="Q207" i="92" s="1"/>
  <c r="Q208" i="92" s="1"/>
  <c r="Q209" i="92" s="1"/>
  <c r="Q210" i="92" s="1"/>
  <c r="Q211" i="92" s="1"/>
  <c r="Q212" i="92" s="1"/>
  <c r="Q213" i="92" s="1"/>
  <c r="Q214" i="92" s="1"/>
  <c r="Q215" i="92" s="1"/>
  <c r="Q216" i="92" s="1"/>
  <c r="Q217" i="92" s="1"/>
  <c r="Q218" i="92" s="1"/>
  <c r="Q219" i="92" s="1"/>
  <c r="Q220" i="92" s="1"/>
  <c r="Q221" i="92" s="1"/>
  <c r="Q222" i="92" s="1"/>
  <c r="Q223" i="92" s="1"/>
  <c r="Q224" i="92" s="1"/>
  <c r="Q225" i="92" s="1"/>
  <c r="Q226" i="92" s="1"/>
  <c r="Q227" i="92" s="1"/>
  <c r="Q228" i="92" s="1"/>
  <c r="Q229" i="92" s="1"/>
  <c r="Q230" i="92" s="1"/>
  <c r="Q231" i="92" s="1"/>
  <c r="Q232" i="92" s="1"/>
  <c r="Q233" i="92" s="1"/>
  <c r="Q234" i="92" s="1"/>
  <c r="Q235" i="92" s="1"/>
  <c r="Q236" i="92" s="1"/>
  <c r="Q237" i="92" s="1"/>
  <c r="Q238" i="92" s="1"/>
  <c r="Q239" i="92" s="1"/>
  <c r="Q240" i="92" s="1"/>
  <c r="Q241" i="92" s="1"/>
  <c r="Q242" i="92" s="1"/>
  <c r="Q243" i="92" s="1"/>
  <c r="Q244" i="92" s="1"/>
  <c r="Q245" i="92" s="1"/>
  <c r="Q246" i="92" s="1"/>
  <c r="Q247" i="92" s="1"/>
  <c r="Q248" i="92" s="1"/>
  <c r="Q249" i="92" s="1"/>
  <c r="Q250" i="92" s="1"/>
  <c r="P203" i="92"/>
  <c r="P204" i="92" s="1"/>
  <c r="P205" i="92" s="1"/>
  <c r="P206" i="92" s="1"/>
  <c r="P207" i="92" s="1"/>
  <c r="P208" i="92" s="1"/>
  <c r="P209" i="92" s="1"/>
  <c r="P210" i="92" s="1"/>
  <c r="P211" i="92" s="1"/>
  <c r="P212" i="92" s="1"/>
  <c r="P213" i="92" s="1"/>
  <c r="P214" i="92" s="1"/>
  <c r="P215" i="92" s="1"/>
  <c r="P216" i="92" s="1"/>
  <c r="P217" i="92" s="1"/>
  <c r="P218" i="92" s="1"/>
  <c r="P219" i="92" s="1"/>
  <c r="P220" i="92" s="1"/>
  <c r="P221" i="92" s="1"/>
  <c r="P222" i="92" s="1"/>
  <c r="P223" i="92" s="1"/>
  <c r="P224" i="92" s="1"/>
  <c r="P225" i="92" s="1"/>
  <c r="P226" i="92" s="1"/>
  <c r="P227" i="92" s="1"/>
  <c r="P228" i="92" s="1"/>
  <c r="P229" i="92" s="1"/>
  <c r="P230" i="92" s="1"/>
  <c r="P231" i="92" s="1"/>
  <c r="P232" i="92" s="1"/>
  <c r="P233" i="92" s="1"/>
  <c r="P234" i="92" s="1"/>
  <c r="P235" i="92" s="1"/>
  <c r="P236" i="92" s="1"/>
  <c r="P237" i="92" s="1"/>
  <c r="P238" i="92" s="1"/>
  <c r="P239" i="92" s="1"/>
  <c r="P240" i="92" s="1"/>
  <c r="P241" i="92" s="1"/>
  <c r="P242" i="92" s="1"/>
  <c r="P243" i="92" s="1"/>
  <c r="P244" i="92" s="1"/>
  <c r="P245" i="92" s="1"/>
  <c r="P246" i="92" s="1"/>
  <c r="P247" i="92" s="1"/>
  <c r="P248" i="92" s="1"/>
  <c r="P249" i="92" s="1"/>
  <c r="P250" i="92" s="1"/>
  <c r="N203" i="92"/>
  <c r="N204" i="92" s="1"/>
  <c r="N205" i="92" s="1"/>
  <c r="N206" i="92" s="1"/>
  <c r="N207" i="92" s="1"/>
  <c r="N208" i="92" s="1"/>
  <c r="N209" i="92" s="1"/>
  <c r="N210" i="92" s="1"/>
  <c r="N211" i="92" s="1"/>
  <c r="N212" i="92" s="1"/>
  <c r="N213" i="92" s="1"/>
  <c r="N214" i="92" s="1"/>
  <c r="N215" i="92" s="1"/>
  <c r="N216" i="92" s="1"/>
  <c r="N217" i="92" s="1"/>
  <c r="N218" i="92" s="1"/>
  <c r="N219" i="92" s="1"/>
  <c r="N220" i="92" s="1"/>
  <c r="N221" i="92" s="1"/>
  <c r="N222" i="92" s="1"/>
  <c r="N223" i="92" s="1"/>
  <c r="N224" i="92" s="1"/>
  <c r="N225" i="92" s="1"/>
  <c r="N226" i="92" s="1"/>
  <c r="N227" i="92" s="1"/>
  <c r="N228" i="92" s="1"/>
  <c r="N229" i="92" s="1"/>
  <c r="N230" i="92" s="1"/>
  <c r="N231" i="92" s="1"/>
  <c r="N232" i="92" s="1"/>
  <c r="N233" i="92" s="1"/>
  <c r="N234" i="92" s="1"/>
  <c r="N235" i="92" s="1"/>
  <c r="N236" i="92" s="1"/>
  <c r="N237" i="92" s="1"/>
  <c r="N238" i="92" s="1"/>
  <c r="N239" i="92" s="1"/>
  <c r="N240" i="92" s="1"/>
  <c r="N241" i="92" s="1"/>
  <c r="N242" i="92" s="1"/>
  <c r="N243" i="92" s="1"/>
  <c r="N244" i="92" s="1"/>
  <c r="N245" i="92" s="1"/>
  <c r="N246" i="92" s="1"/>
  <c r="N247" i="92" s="1"/>
  <c r="N248" i="92" s="1"/>
  <c r="N249" i="92" s="1"/>
  <c r="N250" i="92" s="1"/>
  <c r="L203" i="92"/>
  <c r="L204" i="92" s="1"/>
  <c r="L205" i="92" s="1"/>
  <c r="L206" i="92" s="1"/>
  <c r="L207" i="92" s="1"/>
  <c r="L208" i="92" s="1"/>
  <c r="L209" i="92" s="1"/>
  <c r="L210" i="92" s="1"/>
  <c r="L211" i="92" s="1"/>
  <c r="L212" i="92" s="1"/>
  <c r="L213" i="92" s="1"/>
  <c r="L214" i="92" s="1"/>
  <c r="L215" i="92" s="1"/>
  <c r="L216" i="92" s="1"/>
  <c r="L217" i="92" s="1"/>
  <c r="L218" i="92" s="1"/>
  <c r="L219" i="92" s="1"/>
  <c r="L220" i="92" s="1"/>
  <c r="L221" i="92" s="1"/>
  <c r="L222" i="92" s="1"/>
  <c r="L223" i="92" s="1"/>
  <c r="L224" i="92" s="1"/>
  <c r="L225" i="92" s="1"/>
  <c r="L226" i="92" s="1"/>
  <c r="L227" i="92" s="1"/>
  <c r="L228" i="92" s="1"/>
  <c r="L229" i="92" s="1"/>
  <c r="L230" i="92" s="1"/>
  <c r="L231" i="92" s="1"/>
  <c r="L232" i="92" s="1"/>
  <c r="L233" i="92" s="1"/>
  <c r="L234" i="92" s="1"/>
  <c r="L235" i="92" s="1"/>
  <c r="L236" i="92" s="1"/>
  <c r="L237" i="92" s="1"/>
  <c r="L238" i="92" s="1"/>
  <c r="L239" i="92" s="1"/>
  <c r="L240" i="92" s="1"/>
  <c r="L241" i="92" s="1"/>
  <c r="L242" i="92" s="1"/>
  <c r="L243" i="92" s="1"/>
  <c r="L244" i="92" s="1"/>
  <c r="L245" i="92" s="1"/>
  <c r="L246" i="92" s="1"/>
  <c r="L247" i="92" s="1"/>
  <c r="L248" i="92" s="1"/>
  <c r="L249" i="92" s="1"/>
  <c r="L250" i="92" s="1"/>
  <c r="J203" i="92"/>
  <c r="J204" i="92" s="1"/>
  <c r="J205" i="92" s="1"/>
  <c r="J206" i="92" s="1"/>
  <c r="J207" i="92" s="1"/>
  <c r="J208" i="92" s="1"/>
  <c r="J209" i="92" s="1"/>
  <c r="J210" i="92" s="1"/>
  <c r="J211" i="92" s="1"/>
  <c r="J212" i="92" s="1"/>
  <c r="J213" i="92" s="1"/>
  <c r="J214" i="92" s="1"/>
  <c r="J215" i="92" s="1"/>
  <c r="J216" i="92" s="1"/>
  <c r="J217" i="92" s="1"/>
  <c r="J218" i="92" s="1"/>
  <c r="J219" i="92" s="1"/>
  <c r="J220" i="92" s="1"/>
  <c r="J221" i="92" s="1"/>
  <c r="J222" i="92" s="1"/>
  <c r="J223" i="92" s="1"/>
  <c r="J224" i="92" s="1"/>
  <c r="J225" i="92" s="1"/>
  <c r="J226" i="92" s="1"/>
  <c r="J227" i="92" s="1"/>
  <c r="J228" i="92" s="1"/>
  <c r="J229" i="92" s="1"/>
  <c r="J230" i="92" s="1"/>
  <c r="J231" i="92" s="1"/>
  <c r="J232" i="92" s="1"/>
  <c r="J233" i="92" s="1"/>
  <c r="J234" i="92" s="1"/>
  <c r="J235" i="92" s="1"/>
  <c r="J236" i="92" s="1"/>
  <c r="J237" i="92" s="1"/>
  <c r="J238" i="92" s="1"/>
  <c r="J239" i="92" s="1"/>
  <c r="J240" i="92" s="1"/>
  <c r="J241" i="92" s="1"/>
  <c r="J242" i="92" s="1"/>
  <c r="J243" i="92" s="1"/>
  <c r="J244" i="92" s="1"/>
  <c r="J245" i="92" s="1"/>
  <c r="J246" i="92" s="1"/>
  <c r="J247" i="92" s="1"/>
  <c r="J248" i="92" s="1"/>
  <c r="J249" i="92" s="1"/>
  <c r="J250" i="92" s="1"/>
  <c r="I203" i="92"/>
  <c r="I204" i="92" s="1"/>
  <c r="I205" i="92" s="1"/>
  <c r="I206" i="92" s="1"/>
  <c r="I207" i="92" s="1"/>
  <c r="I208" i="92" s="1"/>
  <c r="D203" i="92"/>
  <c r="D155" i="91"/>
  <c r="J219" i="91"/>
  <c r="J220" i="91" s="1"/>
  <c r="J221" i="91" s="1"/>
  <c r="J222" i="91" s="1"/>
  <c r="J223" i="91" s="1"/>
  <c r="J224" i="91" s="1"/>
  <c r="J225" i="91" s="1"/>
  <c r="J226" i="91" s="1"/>
  <c r="J227" i="91" s="1"/>
  <c r="J228" i="91" s="1"/>
  <c r="J229" i="91" s="1"/>
  <c r="J230" i="91" s="1"/>
  <c r="J231" i="91" s="1"/>
  <c r="J232" i="91" s="1"/>
  <c r="J233" i="91" s="1"/>
  <c r="J234" i="91" s="1"/>
  <c r="J235" i="91" s="1"/>
  <c r="J236" i="91" s="1"/>
  <c r="J237" i="91" s="1"/>
  <c r="J238" i="91" s="1"/>
  <c r="J239" i="91" s="1"/>
  <c r="J240" i="91" s="1"/>
  <c r="J241" i="91" s="1"/>
  <c r="J242" i="91" s="1"/>
  <c r="J243" i="91" s="1"/>
  <c r="J244" i="91" s="1"/>
  <c r="J245" i="91" s="1"/>
  <c r="J246" i="91" s="1"/>
  <c r="J247" i="91" s="1"/>
  <c r="J248" i="91" s="1"/>
  <c r="J249" i="91" s="1"/>
  <c r="J250" i="91" s="1"/>
  <c r="N203" i="91"/>
  <c r="P203" i="91" s="1"/>
  <c r="P204" i="91" s="1"/>
  <c r="P205" i="91" s="1"/>
  <c r="P206" i="91" s="1"/>
  <c r="P207" i="91" s="1"/>
  <c r="P208" i="91" s="1"/>
  <c r="P209" i="91" s="1"/>
  <c r="P210" i="91" s="1"/>
  <c r="P211" i="91" s="1"/>
  <c r="P212" i="91" s="1"/>
  <c r="P213" i="91" s="1"/>
  <c r="P214" i="91" s="1"/>
  <c r="P215" i="91" s="1"/>
  <c r="P216" i="91" s="1"/>
  <c r="P217" i="91" s="1"/>
  <c r="P218" i="91" s="1"/>
  <c r="P219" i="91" s="1"/>
  <c r="P220" i="91" s="1"/>
  <c r="P221" i="91" s="1"/>
  <c r="P222" i="91" s="1"/>
  <c r="P223" i="91" s="1"/>
  <c r="P224" i="91" s="1"/>
  <c r="P225" i="91" s="1"/>
  <c r="P226" i="91" s="1"/>
  <c r="P227" i="91" s="1"/>
  <c r="P228" i="91" s="1"/>
  <c r="P229" i="91" s="1"/>
  <c r="P230" i="91" s="1"/>
  <c r="P231" i="91" s="1"/>
  <c r="P232" i="91" s="1"/>
  <c r="P233" i="91" s="1"/>
  <c r="P234" i="91" s="1"/>
  <c r="P235" i="91" s="1"/>
  <c r="P236" i="91" s="1"/>
  <c r="P237" i="91" s="1"/>
  <c r="P238" i="91" s="1"/>
  <c r="P239" i="91" s="1"/>
  <c r="P240" i="91" s="1"/>
  <c r="P241" i="91" s="1"/>
  <c r="P242" i="91" s="1"/>
  <c r="P243" i="91" s="1"/>
  <c r="P244" i="91" s="1"/>
  <c r="P245" i="91" s="1"/>
  <c r="P246" i="91" s="1"/>
  <c r="P247" i="91" s="1"/>
  <c r="P248" i="91" s="1"/>
  <c r="P249" i="91" s="1"/>
  <c r="P250" i="91" s="1"/>
  <c r="L203" i="91"/>
  <c r="L204" i="91" s="1"/>
  <c r="L205" i="91" s="1"/>
  <c r="L206" i="91" s="1"/>
  <c r="L207" i="91" s="1"/>
  <c r="L208" i="91" s="1"/>
  <c r="L209" i="91" s="1"/>
  <c r="L210" i="91" s="1"/>
  <c r="L211" i="91" s="1"/>
  <c r="L212" i="91" s="1"/>
  <c r="L213" i="91" s="1"/>
  <c r="L214" i="91" s="1"/>
  <c r="L215" i="91" s="1"/>
  <c r="L216" i="91" s="1"/>
  <c r="L217" i="91" s="1"/>
  <c r="L218" i="91" s="1"/>
  <c r="L219" i="91" s="1"/>
  <c r="L220" i="91" s="1"/>
  <c r="L221" i="91" s="1"/>
  <c r="L222" i="91" s="1"/>
  <c r="L223" i="91" s="1"/>
  <c r="L224" i="91" s="1"/>
  <c r="L225" i="91" s="1"/>
  <c r="L226" i="91" s="1"/>
  <c r="L227" i="91" s="1"/>
  <c r="L228" i="91" s="1"/>
  <c r="L229" i="91" s="1"/>
  <c r="L230" i="91" s="1"/>
  <c r="L231" i="91" s="1"/>
  <c r="L232" i="91" s="1"/>
  <c r="L233" i="91" s="1"/>
  <c r="L234" i="91" s="1"/>
  <c r="L235" i="91" s="1"/>
  <c r="L236" i="91" s="1"/>
  <c r="L237" i="91" s="1"/>
  <c r="L238" i="91" s="1"/>
  <c r="L239" i="91" s="1"/>
  <c r="L240" i="91" s="1"/>
  <c r="L241" i="91" s="1"/>
  <c r="L242" i="91" s="1"/>
  <c r="L243" i="91" s="1"/>
  <c r="L244" i="91" s="1"/>
  <c r="L245" i="91" s="1"/>
  <c r="L246" i="91" s="1"/>
  <c r="L247" i="91" s="1"/>
  <c r="L248" i="91" s="1"/>
  <c r="L249" i="91" s="1"/>
  <c r="L250" i="91" s="1"/>
  <c r="J203" i="91"/>
  <c r="J204" i="91" s="1"/>
  <c r="J205" i="91" s="1"/>
  <c r="J206" i="91" s="1"/>
  <c r="J207" i="91" s="1"/>
  <c r="J208" i="91" s="1"/>
  <c r="J209" i="91" s="1"/>
  <c r="J210" i="91" s="1"/>
  <c r="J211" i="91" s="1"/>
  <c r="J212" i="91" s="1"/>
  <c r="J213" i="91" s="1"/>
  <c r="J214" i="91" s="1"/>
  <c r="J215" i="91" s="1"/>
  <c r="J216" i="91" s="1"/>
  <c r="J217" i="91" s="1"/>
  <c r="J218" i="91" s="1"/>
  <c r="I203" i="91"/>
  <c r="I204" i="91" s="1"/>
  <c r="I205" i="91" s="1"/>
  <c r="I206" i="91" s="1"/>
  <c r="I207" i="91" s="1"/>
  <c r="I208" i="91" s="1"/>
  <c r="I209" i="91" s="1"/>
  <c r="I210" i="91" s="1"/>
  <c r="I211" i="91" s="1"/>
  <c r="I212" i="91" s="1"/>
  <c r="I213" i="91" s="1"/>
  <c r="I214" i="91" s="1"/>
  <c r="I215" i="91" s="1"/>
  <c r="I216" i="91" s="1"/>
  <c r="I217" i="91" s="1"/>
  <c r="I218" i="91" s="1"/>
  <c r="I219" i="91" s="1"/>
  <c r="I220" i="91" s="1"/>
  <c r="I221" i="91" s="1"/>
  <c r="I222" i="91" s="1"/>
  <c r="I223" i="91" s="1"/>
  <c r="I224" i="91" s="1"/>
  <c r="I225" i="91" s="1"/>
  <c r="I226" i="91" s="1"/>
  <c r="I227" i="91" s="1"/>
  <c r="I228" i="91" s="1"/>
  <c r="I229" i="91" s="1"/>
  <c r="I230" i="91" s="1"/>
  <c r="I231" i="91" s="1"/>
  <c r="I232" i="91" s="1"/>
  <c r="I233" i="91" s="1"/>
  <c r="I234" i="91" s="1"/>
  <c r="I235" i="91" s="1"/>
  <c r="I236" i="91" s="1"/>
  <c r="I237" i="91" s="1"/>
  <c r="I238" i="91" s="1"/>
  <c r="I239" i="91" s="1"/>
  <c r="I240" i="91" s="1"/>
  <c r="I241" i="91" s="1"/>
  <c r="I242" i="91" s="1"/>
  <c r="I243" i="91" s="1"/>
  <c r="I244" i="91" s="1"/>
  <c r="I245" i="91" s="1"/>
  <c r="I246" i="91" s="1"/>
  <c r="I247" i="91" s="1"/>
  <c r="I248" i="91" s="1"/>
  <c r="I249" i="91" s="1"/>
  <c r="I250" i="91" s="1"/>
  <c r="D203" i="91"/>
  <c r="D47" i="46"/>
  <c r="Q60" i="46"/>
  <c r="Q61" i="46" s="1"/>
  <c r="Q62" i="46" s="1"/>
  <c r="Q63" i="46" s="1"/>
  <c r="Q64" i="46" s="1"/>
  <c r="Q65" i="46" s="1"/>
  <c r="Q66" i="46" s="1"/>
  <c r="Q67" i="46" s="1"/>
  <c r="Q68" i="46" s="1"/>
  <c r="Q69" i="46" s="1"/>
  <c r="Q70" i="46" s="1"/>
  <c r="N59" i="46"/>
  <c r="P59" i="46" s="1"/>
  <c r="P60" i="46" s="1"/>
  <c r="P61" i="46" s="1"/>
  <c r="P62" i="46" s="1"/>
  <c r="P63" i="46" s="1"/>
  <c r="P64" i="46" s="1"/>
  <c r="P65" i="46" s="1"/>
  <c r="P66" i="46" s="1"/>
  <c r="P67" i="46" s="1"/>
  <c r="P68" i="46" s="1"/>
  <c r="P69" i="46" s="1"/>
  <c r="P70" i="46" s="1"/>
  <c r="L59" i="46"/>
  <c r="L60" i="46" s="1"/>
  <c r="L61" i="46" s="1"/>
  <c r="L62" i="46" s="1"/>
  <c r="L63" i="46" s="1"/>
  <c r="L64" i="46" s="1"/>
  <c r="L65" i="46" s="1"/>
  <c r="L66" i="46" s="1"/>
  <c r="L67" i="46" s="1"/>
  <c r="L68" i="46" s="1"/>
  <c r="L69" i="46" s="1"/>
  <c r="L70" i="46" s="1"/>
  <c r="J59" i="46"/>
  <c r="J60" i="46" s="1"/>
  <c r="J61" i="46" s="1"/>
  <c r="J62" i="46" s="1"/>
  <c r="J63" i="46" s="1"/>
  <c r="J64" i="46" s="1"/>
  <c r="J65" i="46" s="1"/>
  <c r="J66" i="46" s="1"/>
  <c r="J67" i="46" s="1"/>
  <c r="J68" i="46" s="1"/>
  <c r="J69" i="46" s="1"/>
  <c r="J70" i="46" s="1"/>
  <c r="I59" i="46"/>
  <c r="I60" i="46" s="1"/>
  <c r="I61" i="46" s="1"/>
  <c r="I62" i="46" s="1"/>
  <c r="I63" i="46" s="1"/>
  <c r="I64" i="46" s="1"/>
  <c r="I65" i="46" s="1"/>
  <c r="I66" i="46" s="1"/>
  <c r="I67" i="46" s="1"/>
  <c r="I68" i="46" s="1"/>
  <c r="I69" i="46" s="1"/>
  <c r="I70" i="46" s="1"/>
  <c r="D59" i="46"/>
  <c r="D83" i="88"/>
  <c r="Q119" i="88"/>
  <c r="E112" i="88"/>
  <c r="F112" i="88" s="1"/>
  <c r="N108" i="88"/>
  <c r="N109" i="88" s="1"/>
  <c r="N110" i="88" s="1"/>
  <c r="N111" i="88" s="1"/>
  <c r="N112" i="88" s="1"/>
  <c r="N113" i="88" s="1"/>
  <c r="N114" i="88" s="1"/>
  <c r="N115" i="88" s="1"/>
  <c r="N116" i="88" s="1"/>
  <c r="N117" i="88" s="1"/>
  <c r="N118" i="88" s="1"/>
  <c r="N119" i="88" s="1"/>
  <c r="N120" i="88" s="1"/>
  <c r="N121" i="88" s="1"/>
  <c r="N122" i="88" s="1"/>
  <c r="N123" i="88" s="1"/>
  <c r="N124" i="88" s="1"/>
  <c r="N125" i="88" s="1"/>
  <c r="N126" i="88" s="1"/>
  <c r="N127" i="88" s="1"/>
  <c r="N128" i="88" s="1"/>
  <c r="N129" i="88" s="1"/>
  <c r="N130" i="88" s="1"/>
  <c r="K108" i="88"/>
  <c r="E108" i="88"/>
  <c r="F108" i="88" s="1"/>
  <c r="H108" i="88" s="1"/>
  <c r="Q107" i="88"/>
  <c r="P107" i="88"/>
  <c r="P108" i="88" s="1"/>
  <c r="P109" i="88" s="1"/>
  <c r="P110" i="88" s="1"/>
  <c r="P111" i="88" s="1"/>
  <c r="P112" i="88" s="1"/>
  <c r="P113" i="88" s="1"/>
  <c r="P114" i="88" s="1"/>
  <c r="P115" i="88" s="1"/>
  <c r="P116" i="88" s="1"/>
  <c r="P117" i="88" s="1"/>
  <c r="P118" i="88" s="1"/>
  <c r="P119" i="88" s="1"/>
  <c r="P120" i="88" s="1"/>
  <c r="P121" i="88" s="1"/>
  <c r="P122" i="88" s="1"/>
  <c r="P123" i="88" s="1"/>
  <c r="P124" i="88" s="1"/>
  <c r="P125" i="88" s="1"/>
  <c r="P126" i="88" s="1"/>
  <c r="P127" i="88" s="1"/>
  <c r="P128" i="88" s="1"/>
  <c r="P129" i="88" s="1"/>
  <c r="P130" i="88" s="1"/>
  <c r="N107" i="88"/>
  <c r="L107" i="88"/>
  <c r="L108" i="88" s="1"/>
  <c r="L109" i="88" s="1"/>
  <c r="L110" i="88" s="1"/>
  <c r="L111" i="88" s="1"/>
  <c r="L112" i="88" s="1"/>
  <c r="L113" i="88" s="1"/>
  <c r="L114" i="88" s="1"/>
  <c r="L115" i="88" s="1"/>
  <c r="L116" i="88" s="1"/>
  <c r="L117" i="88" s="1"/>
  <c r="L118" i="88" s="1"/>
  <c r="L119" i="88" s="1"/>
  <c r="L120" i="88" s="1"/>
  <c r="L121" i="88" s="1"/>
  <c r="L122" i="88" s="1"/>
  <c r="L123" i="88" s="1"/>
  <c r="L124" i="88" s="1"/>
  <c r="L125" i="88" s="1"/>
  <c r="L126" i="88" s="1"/>
  <c r="L127" i="88" s="1"/>
  <c r="L128" i="88" s="1"/>
  <c r="L129" i="88" s="1"/>
  <c r="L130" i="88" s="1"/>
  <c r="K107" i="88"/>
  <c r="I107" i="88"/>
  <c r="I108" i="88" s="1"/>
  <c r="I109" i="88" s="1"/>
  <c r="I110" i="88" s="1"/>
  <c r="I111" i="88" s="1"/>
  <c r="I112" i="88" s="1"/>
  <c r="I113" i="88" s="1"/>
  <c r="I114" i="88" s="1"/>
  <c r="I115" i="88" s="1"/>
  <c r="I116" i="88" s="1"/>
  <c r="I117" i="88" s="1"/>
  <c r="I118" i="88" s="1"/>
  <c r="I119" i="88" s="1"/>
  <c r="I120" i="88" s="1"/>
  <c r="I121" i="88" s="1"/>
  <c r="I122" i="88" s="1"/>
  <c r="I123" i="88" s="1"/>
  <c r="I124" i="88" s="1"/>
  <c r="I125" i="88" s="1"/>
  <c r="I126" i="88" s="1"/>
  <c r="I127" i="88" s="1"/>
  <c r="I128" i="88" s="1"/>
  <c r="I129" i="88" s="1"/>
  <c r="I130" i="88" s="1"/>
  <c r="D107" i="88"/>
  <c r="D108" i="88" s="1"/>
  <c r="D109" i="88" s="1"/>
  <c r="D110" i="88" s="1"/>
  <c r="D111" i="88" s="1"/>
  <c r="D112" i="88" s="1"/>
  <c r="D155" i="89"/>
  <c r="Q250" i="89"/>
  <c r="Q249" i="89"/>
  <c r="Q248" i="89"/>
  <c r="Q247" i="89"/>
  <c r="Q246" i="89"/>
  <c r="Q245" i="89"/>
  <c r="Q244" i="89"/>
  <c r="Q243" i="89"/>
  <c r="Q242" i="89"/>
  <c r="Q241" i="89"/>
  <c r="Q240" i="89"/>
  <c r="Q239" i="89"/>
  <c r="Q238" i="89"/>
  <c r="Q237" i="89"/>
  <c r="Q236" i="89"/>
  <c r="Q235" i="89"/>
  <c r="Q234" i="89"/>
  <c r="Q233" i="89"/>
  <c r="Q232" i="89"/>
  <c r="Q231" i="89"/>
  <c r="Q230" i="89"/>
  <c r="Q229" i="89"/>
  <c r="Q228" i="89"/>
  <c r="Q227" i="89"/>
  <c r="Q226" i="89"/>
  <c r="Q225" i="89"/>
  <c r="Q224" i="89"/>
  <c r="Q223" i="89"/>
  <c r="Q222" i="89"/>
  <c r="Q221" i="89"/>
  <c r="Q220" i="89"/>
  <c r="Q219" i="89"/>
  <c r="Q218" i="89"/>
  <c r="Q217" i="89"/>
  <c r="Q216" i="89"/>
  <c r="Q215" i="89"/>
  <c r="Q214" i="89"/>
  <c r="Q213" i="89"/>
  <c r="Q212" i="89"/>
  <c r="Q211" i="89"/>
  <c r="Q210" i="89"/>
  <c r="Q209" i="89"/>
  <c r="Q208" i="89"/>
  <c r="Q207" i="89"/>
  <c r="Q206" i="89"/>
  <c r="Q205" i="89"/>
  <c r="Q204" i="89"/>
  <c r="Q203" i="89"/>
  <c r="N203" i="89"/>
  <c r="N204" i="89" s="1"/>
  <c r="N205" i="89" s="1"/>
  <c r="N206" i="89" s="1"/>
  <c r="N207" i="89" s="1"/>
  <c r="N208" i="89" s="1"/>
  <c r="N209" i="89" s="1"/>
  <c r="N210" i="89" s="1"/>
  <c r="N211" i="89" s="1"/>
  <c r="N212" i="89" s="1"/>
  <c r="N213" i="89" s="1"/>
  <c r="N214" i="89" s="1"/>
  <c r="N215" i="89" s="1"/>
  <c r="N216" i="89" s="1"/>
  <c r="N217" i="89" s="1"/>
  <c r="N218" i="89" s="1"/>
  <c r="N219" i="89" s="1"/>
  <c r="N220" i="89" s="1"/>
  <c r="N221" i="89" s="1"/>
  <c r="N222" i="89" s="1"/>
  <c r="N223" i="89" s="1"/>
  <c r="N224" i="89" s="1"/>
  <c r="N225" i="89" s="1"/>
  <c r="N226" i="89" s="1"/>
  <c r="N227" i="89" s="1"/>
  <c r="N228" i="89" s="1"/>
  <c r="N229" i="89" s="1"/>
  <c r="N230" i="89" s="1"/>
  <c r="N231" i="89" s="1"/>
  <c r="N232" i="89" s="1"/>
  <c r="N233" i="89" s="1"/>
  <c r="N234" i="89" s="1"/>
  <c r="N235" i="89" s="1"/>
  <c r="N236" i="89" s="1"/>
  <c r="N237" i="89" s="1"/>
  <c r="N238" i="89" s="1"/>
  <c r="N239" i="89" s="1"/>
  <c r="N240" i="89" s="1"/>
  <c r="N241" i="89" s="1"/>
  <c r="N242" i="89" s="1"/>
  <c r="N243" i="89" s="1"/>
  <c r="N244" i="89" s="1"/>
  <c r="N245" i="89" s="1"/>
  <c r="N246" i="89" s="1"/>
  <c r="N247" i="89" s="1"/>
  <c r="N248" i="89" s="1"/>
  <c r="N249" i="89" s="1"/>
  <c r="N250" i="89" s="1"/>
  <c r="L203" i="89"/>
  <c r="L204" i="89" s="1"/>
  <c r="L205" i="89" s="1"/>
  <c r="L206" i="89" s="1"/>
  <c r="L207" i="89" s="1"/>
  <c r="L208" i="89" s="1"/>
  <c r="L209" i="89" s="1"/>
  <c r="L210" i="89" s="1"/>
  <c r="L211" i="89" s="1"/>
  <c r="L212" i="89" s="1"/>
  <c r="L213" i="89" s="1"/>
  <c r="L214" i="89" s="1"/>
  <c r="L215" i="89" s="1"/>
  <c r="L216" i="89" s="1"/>
  <c r="L217" i="89" s="1"/>
  <c r="L218" i="89" s="1"/>
  <c r="L219" i="89" s="1"/>
  <c r="L220" i="89" s="1"/>
  <c r="L221" i="89" s="1"/>
  <c r="L222" i="89" s="1"/>
  <c r="L223" i="89" s="1"/>
  <c r="L224" i="89" s="1"/>
  <c r="L225" i="89" s="1"/>
  <c r="L226" i="89" s="1"/>
  <c r="L227" i="89" s="1"/>
  <c r="L228" i="89" s="1"/>
  <c r="L229" i="89" s="1"/>
  <c r="L230" i="89" s="1"/>
  <c r="L231" i="89" s="1"/>
  <c r="L232" i="89" s="1"/>
  <c r="L233" i="89" s="1"/>
  <c r="L234" i="89" s="1"/>
  <c r="L235" i="89" s="1"/>
  <c r="L236" i="89" s="1"/>
  <c r="L237" i="89" s="1"/>
  <c r="L238" i="89" s="1"/>
  <c r="L239" i="89" s="1"/>
  <c r="L240" i="89" s="1"/>
  <c r="L241" i="89" s="1"/>
  <c r="L242" i="89" s="1"/>
  <c r="L243" i="89" s="1"/>
  <c r="L244" i="89" s="1"/>
  <c r="L245" i="89" s="1"/>
  <c r="L246" i="89" s="1"/>
  <c r="L247" i="89" s="1"/>
  <c r="L248" i="89" s="1"/>
  <c r="L249" i="89" s="1"/>
  <c r="L250" i="89" s="1"/>
  <c r="K203" i="89"/>
  <c r="J203" i="89"/>
  <c r="J204" i="89" s="1"/>
  <c r="J205" i="89" s="1"/>
  <c r="J206" i="89" s="1"/>
  <c r="J207" i="89" s="1"/>
  <c r="J208" i="89" s="1"/>
  <c r="J209" i="89" s="1"/>
  <c r="J210" i="89" s="1"/>
  <c r="J211" i="89" s="1"/>
  <c r="J212" i="89" s="1"/>
  <c r="J213" i="89" s="1"/>
  <c r="J214" i="89" s="1"/>
  <c r="J215" i="89" s="1"/>
  <c r="J216" i="89" s="1"/>
  <c r="J217" i="89" s="1"/>
  <c r="J218" i="89" s="1"/>
  <c r="J219" i="89" s="1"/>
  <c r="J220" i="89" s="1"/>
  <c r="J221" i="89" s="1"/>
  <c r="J222" i="89" s="1"/>
  <c r="J223" i="89" s="1"/>
  <c r="J224" i="89" s="1"/>
  <c r="J225" i="89" s="1"/>
  <c r="J226" i="89" s="1"/>
  <c r="J227" i="89" s="1"/>
  <c r="J228" i="89" s="1"/>
  <c r="J229" i="89" s="1"/>
  <c r="J230" i="89" s="1"/>
  <c r="J231" i="89" s="1"/>
  <c r="J232" i="89" s="1"/>
  <c r="J233" i="89" s="1"/>
  <c r="J234" i="89" s="1"/>
  <c r="J235" i="89" s="1"/>
  <c r="J236" i="89" s="1"/>
  <c r="J237" i="89" s="1"/>
  <c r="J238" i="89" s="1"/>
  <c r="J239" i="89" s="1"/>
  <c r="J240" i="89" s="1"/>
  <c r="J241" i="89" s="1"/>
  <c r="J242" i="89" s="1"/>
  <c r="J243" i="89" s="1"/>
  <c r="J244" i="89" s="1"/>
  <c r="J245" i="89" s="1"/>
  <c r="J246" i="89" s="1"/>
  <c r="J247" i="89" s="1"/>
  <c r="J248" i="89" s="1"/>
  <c r="J249" i="89" s="1"/>
  <c r="J250" i="89" s="1"/>
  <c r="I203" i="89"/>
  <c r="I204" i="89" s="1"/>
  <c r="I205" i="89" s="1"/>
  <c r="I206" i="89" s="1"/>
  <c r="I207" i="89" s="1"/>
  <c r="I208" i="89" s="1"/>
  <c r="I209" i="89" s="1"/>
  <c r="I210" i="89" s="1"/>
  <c r="I211" i="89" s="1"/>
  <c r="I212" i="89" s="1"/>
  <c r="I213" i="89" s="1"/>
  <c r="I214" i="89" s="1"/>
  <c r="I215" i="89" s="1"/>
  <c r="I216" i="89" s="1"/>
  <c r="I217" i="89" s="1"/>
  <c r="I218" i="89" s="1"/>
  <c r="I219" i="89" s="1"/>
  <c r="I220" i="89" s="1"/>
  <c r="I221" i="89" s="1"/>
  <c r="I222" i="89" s="1"/>
  <c r="I223" i="89" s="1"/>
  <c r="I224" i="89" s="1"/>
  <c r="I225" i="89" s="1"/>
  <c r="I226" i="89" s="1"/>
  <c r="I227" i="89" s="1"/>
  <c r="I228" i="89" s="1"/>
  <c r="I229" i="89" s="1"/>
  <c r="I230" i="89" s="1"/>
  <c r="I231" i="89" s="1"/>
  <c r="I232" i="89" s="1"/>
  <c r="I233" i="89" s="1"/>
  <c r="I234" i="89" s="1"/>
  <c r="I235" i="89" s="1"/>
  <c r="I236" i="89" s="1"/>
  <c r="I237" i="89" s="1"/>
  <c r="I238" i="89" s="1"/>
  <c r="I239" i="89" s="1"/>
  <c r="I240" i="89" s="1"/>
  <c r="I241" i="89" s="1"/>
  <c r="I242" i="89" s="1"/>
  <c r="I243" i="89" s="1"/>
  <c r="I244" i="89" s="1"/>
  <c r="I245" i="89" s="1"/>
  <c r="I246" i="89" s="1"/>
  <c r="I247" i="89" s="1"/>
  <c r="I248" i="89" s="1"/>
  <c r="I249" i="89" s="1"/>
  <c r="I250" i="89" s="1"/>
  <c r="D203" i="89"/>
  <c r="D155" i="87"/>
  <c r="Q250" i="87"/>
  <c r="Q249" i="87"/>
  <c r="Q248" i="87"/>
  <c r="Q247" i="87"/>
  <c r="Q246" i="87"/>
  <c r="Q245" i="87"/>
  <c r="Q244" i="87"/>
  <c r="Q243" i="87"/>
  <c r="Q242" i="87"/>
  <c r="Q241" i="87"/>
  <c r="Q240" i="87"/>
  <c r="Q239" i="87"/>
  <c r="Q238" i="87"/>
  <c r="Q237" i="87"/>
  <c r="Q236" i="87"/>
  <c r="Q235" i="87"/>
  <c r="Q234" i="87"/>
  <c r="Q233" i="87"/>
  <c r="Q232" i="87"/>
  <c r="Q231" i="87"/>
  <c r="Q230" i="87"/>
  <c r="Q229" i="87"/>
  <c r="Q228" i="87"/>
  <c r="Q227" i="87"/>
  <c r="Q226" i="87"/>
  <c r="Q225" i="87"/>
  <c r="Q224" i="87"/>
  <c r="Q223" i="87"/>
  <c r="Q222" i="87"/>
  <c r="Q221" i="87"/>
  <c r="Q220" i="87"/>
  <c r="Q219" i="87"/>
  <c r="Q218" i="87"/>
  <c r="Q217" i="87"/>
  <c r="Q216" i="87"/>
  <c r="Q215" i="87"/>
  <c r="Q214" i="87"/>
  <c r="Q213" i="87"/>
  <c r="Q212" i="87"/>
  <c r="Q211" i="87"/>
  <c r="Q210" i="87"/>
  <c r="Q209" i="87"/>
  <c r="Q208" i="87"/>
  <c r="Q207" i="87"/>
  <c r="Q206" i="87"/>
  <c r="Q205" i="87"/>
  <c r="I205" i="87"/>
  <c r="I206" i="87" s="1"/>
  <c r="I207" i="87" s="1"/>
  <c r="I208" i="87" s="1"/>
  <c r="I209" i="87" s="1"/>
  <c r="I210" i="87" s="1"/>
  <c r="I211" i="87" s="1"/>
  <c r="I212" i="87" s="1"/>
  <c r="I213" i="87" s="1"/>
  <c r="I214" i="87" s="1"/>
  <c r="I215" i="87" s="1"/>
  <c r="I216" i="87" s="1"/>
  <c r="I217" i="87" s="1"/>
  <c r="I218" i="87" s="1"/>
  <c r="I219" i="87" s="1"/>
  <c r="I220" i="87" s="1"/>
  <c r="I221" i="87" s="1"/>
  <c r="I222" i="87" s="1"/>
  <c r="I223" i="87" s="1"/>
  <c r="I224" i="87" s="1"/>
  <c r="I225" i="87" s="1"/>
  <c r="I226" i="87" s="1"/>
  <c r="I227" i="87" s="1"/>
  <c r="I228" i="87" s="1"/>
  <c r="I229" i="87" s="1"/>
  <c r="I230" i="87" s="1"/>
  <c r="I231" i="87" s="1"/>
  <c r="I232" i="87" s="1"/>
  <c r="I233" i="87" s="1"/>
  <c r="I234" i="87" s="1"/>
  <c r="I235" i="87" s="1"/>
  <c r="I236" i="87" s="1"/>
  <c r="I237" i="87" s="1"/>
  <c r="I238" i="87" s="1"/>
  <c r="I239" i="87" s="1"/>
  <c r="I240" i="87" s="1"/>
  <c r="I241" i="87" s="1"/>
  <c r="I242" i="87" s="1"/>
  <c r="I243" i="87" s="1"/>
  <c r="I244" i="87" s="1"/>
  <c r="I245" i="87" s="1"/>
  <c r="I246" i="87" s="1"/>
  <c r="I247" i="87" s="1"/>
  <c r="I248" i="87" s="1"/>
  <c r="I249" i="87" s="1"/>
  <c r="I250" i="87" s="1"/>
  <c r="Q204" i="87"/>
  <c r="Q203" i="87"/>
  <c r="N203" i="87"/>
  <c r="N204" i="87" s="1"/>
  <c r="N205" i="87" s="1"/>
  <c r="N206" i="87" s="1"/>
  <c r="N207" i="87" s="1"/>
  <c r="N208" i="87" s="1"/>
  <c r="N209" i="87" s="1"/>
  <c r="N210" i="87" s="1"/>
  <c r="N211" i="87" s="1"/>
  <c r="N212" i="87" s="1"/>
  <c r="N213" i="87" s="1"/>
  <c r="N214" i="87" s="1"/>
  <c r="N215" i="87" s="1"/>
  <c r="N216" i="87" s="1"/>
  <c r="N217" i="87" s="1"/>
  <c r="N218" i="87" s="1"/>
  <c r="N219" i="87" s="1"/>
  <c r="N220" i="87" s="1"/>
  <c r="N221" i="87" s="1"/>
  <c r="N222" i="87" s="1"/>
  <c r="N223" i="87" s="1"/>
  <c r="N224" i="87" s="1"/>
  <c r="N225" i="87" s="1"/>
  <c r="N226" i="87" s="1"/>
  <c r="N227" i="87" s="1"/>
  <c r="N228" i="87" s="1"/>
  <c r="N229" i="87" s="1"/>
  <c r="N230" i="87" s="1"/>
  <c r="N231" i="87" s="1"/>
  <c r="N232" i="87" s="1"/>
  <c r="N233" i="87" s="1"/>
  <c r="N234" i="87" s="1"/>
  <c r="N235" i="87" s="1"/>
  <c r="N236" i="87" s="1"/>
  <c r="N237" i="87" s="1"/>
  <c r="N238" i="87" s="1"/>
  <c r="N239" i="87" s="1"/>
  <c r="N240" i="87" s="1"/>
  <c r="N241" i="87" s="1"/>
  <c r="N242" i="87" s="1"/>
  <c r="N243" i="87" s="1"/>
  <c r="N244" i="87" s="1"/>
  <c r="N245" i="87" s="1"/>
  <c r="N246" i="87" s="1"/>
  <c r="N247" i="87" s="1"/>
  <c r="N248" i="87" s="1"/>
  <c r="N249" i="87" s="1"/>
  <c r="N250" i="87" s="1"/>
  <c r="L203" i="87"/>
  <c r="L204" i="87" s="1"/>
  <c r="L205" i="87" s="1"/>
  <c r="L206" i="87" s="1"/>
  <c r="L207" i="87" s="1"/>
  <c r="L208" i="87" s="1"/>
  <c r="L209" i="87" s="1"/>
  <c r="L210" i="87" s="1"/>
  <c r="L211" i="87" s="1"/>
  <c r="L212" i="87" s="1"/>
  <c r="L213" i="87" s="1"/>
  <c r="L214" i="87" s="1"/>
  <c r="L215" i="87" s="1"/>
  <c r="L216" i="87" s="1"/>
  <c r="L217" i="87" s="1"/>
  <c r="L218" i="87" s="1"/>
  <c r="L219" i="87" s="1"/>
  <c r="L220" i="87" s="1"/>
  <c r="L221" i="87" s="1"/>
  <c r="L222" i="87" s="1"/>
  <c r="L223" i="87" s="1"/>
  <c r="L224" i="87" s="1"/>
  <c r="L225" i="87" s="1"/>
  <c r="L226" i="87" s="1"/>
  <c r="L227" i="87" s="1"/>
  <c r="L228" i="87" s="1"/>
  <c r="L229" i="87" s="1"/>
  <c r="L230" i="87" s="1"/>
  <c r="L231" i="87" s="1"/>
  <c r="L232" i="87" s="1"/>
  <c r="L233" i="87" s="1"/>
  <c r="L234" i="87" s="1"/>
  <c r="L235" i="87" s="1"/>
  <c r="L236" i="87" s="1"/>
  <c r="L237" i="87" s="1"/>
  <c r="L238" i="87" s="1"/>
  <c r="L239" i="87" s="1"/>
  <c r="L240" i="87" s="1"/>
  <c r="L241" i="87" s="1"/>
  <c r="L242" i="87" s="1"/>
  <c r="L243" i="87" s="1"/>
  <c r="L244" i="87" s="1"/>
  <c r="L245" i="87" s="1"/>
  <c r="L246" i="87" s="1"/>
  <c r="L247" i="87" s="1"/>
  <c r="L248" i="87" s="1"/>
  <c r="L249" i="87" s="1"/>
  <c r="L250" i="87" s="1"/>
  <c r="J203" i="87"/>
  <c r="J204" i="87" s="1"/>
  <c r="J205" i="87" s="1"/>
  <c r="J206" i="87" s="1"/>
  <c r="J207" i="87" s="1"/>
  <c r="J208" i="87" s="1"/>
  <c r="J209" i="87" s="1"/>
  <c r="J210" i="87" s="1"/>
  <c r="J211" i="87" s="1"/>
  <c r="J212" i="87" s="1"/>
  <c r="J213" i="87" s="1"/>
  <c r="J214" i="87" s="1"/>
  <c r="J215" i="87" s="1"/>
  <c r="J216" i="87" s="1"/>
  <c r="J217" i="87" s="1"/>
  <c r="J218" i="87" s="1"/>
  <c r="J219" i="87" s="1"/>
  <c r="J220" i="87" s="1"/>
  <c r="J221" i="87" s="1"/>
  <c r="J222" i="87" s="1"/>
  <c r="J223" i="87" s="1"/>
  <c r="J224" i="87" s="1"/>
  <c r="J225" i="87" s="1"/>
  <c r="J226" i="87" s="1"/>
  <c r="J227" i="87" s="1"/>
  <c r="J228" i="87" s="1"/>
  <c r="J229" i="87" s="1"/>
  <c r="J230" i="87" s="1"/>
  <c r="J231" i="87" s="1"/>
  <c r="J232" i="87" s="1"/>
  <c r="J233" i="87" s="1"/>
  <c r="J234" i="87" s="1"/>
  <c r="J235" i="87" s="1"/>
  <c r="J236" i="87" s="1"/>
  <c r="J237" i="87" s="1"/>
  <c r="J238" i="87" s="1"/>
  <c r="J239" i="87" s="1"/>
  <c r="J240" i="87" s="1"/>
  <c r="J241" i="87" s="1"/>
  <c r="J242" i="87" s="1"/>
  <c r="J243" i="87" s="1"/>
  <c r="J244" i="87" s="1"/>
  <c r="J245" i="87" s="1"/>
  <c r="J246" i="87" s="1"/>
  <c r="J247" i="87" s="1"/>
  <c r="J248" i="87" s="1"/>
  <c r="J249" i="87" s="1"/>
  <c r="J250" i="87" s="1"/>
  <c r="I203" i="87"/>
  <c r="I204" i="87" s="1"/>
  <c r="D203" i="87"/>
  <c r="D47" i="45"/>
  <c r="Q60" i="45"/>
  <c r="Q61" i="45" s="1"/>
  <c r="Q62" i="45" s="1"/>
  <c r="Q63" i="45" s="1"/>
  <c r="Q64" i="45" s="1"/>
  <c r="Q65" i="45" s="1"/>
  <c r="Q66" i="45" s="1"/>
  <c r="Q67" i="45" s="1"/>
  <c r="Q68" i="45" s="1"/>
  <c r="Q69" i="45" s="1"/>
  <c r="Q70" i="45" s="1"/>
  <c r="J60" i="45"/>
  <c r="N59" i="45"/>
  <c r="P59" i="45" s="1"/>
  <c r="P60" i="45" s="1"/>
  <c r="P61" i="45" s="1"/>
  <c r="P62" i="45" s="1"/>
  <c r="P63" i="45" s="1"/>
  <c r="P64" i="45" s="1"/>
  <c r="P65" i="45" s="1"/>
  <c r="P66" i="45" s="1"/>
  <c r="P67" i="45" s="1"/>
  <c r="P68" i="45" s="1"/>
  <c r="P69" i="45" s="1"/>
  <c r="P70" i="45" s="1"/>
  <c r="L59" i="45"/>
  <c r="L60" i="45" s="1"/>
  <c r="L61" i="45" s="1"/>
  <c r="L62" i="45" s="1"/>
  <c r="L63" i="45" s="1"/>
  <c r="L64" i="45" s="1"/>
  <c r="L65" i="45" s="1"/>
  <c r="L66" i="45" s="1"/>
  <c r="L67" i="45" s="1"/>
  <c r="L68" i="45" s="1"/>
  <c r="L69" i="45" s="1"/>
  <c r="L70" i="45" s="1"/>
  <c r="K59" i="45"/>
  <c r="J59" i="45"/>
  <c r="I59" i="45"/>
  <c r="I60" i="45" s="1"/>
  <c r="I61" i="45" s="1"/>
  <c r="I62" i="45" s="1"/>
  <c r="I63" i="45" s="1"/>
  <c r="I64" i="45" s="1"/>
  <c r="I65" i="45" s="1"/>
  <c r="I66" i="45" s="1"/>
  <c r="I67" i="45" s="1"/>
  <c r="I68" i="45" s="1"/>
  <c r="I69" i="45" s="1"/>
  <c r="I70" i="45" s="1"/>
  <c r="D59" i="45"/>
  <c r="Q143" i="41"/>
  <c r="Q144" i="41" s="1"/>
  <c r="Q145" i="41" s="1"/>
  <c r="Q146" i="41" s="1"/>
  <c r="Q147" i="41" s="1"/>
  <c r="Q148" i="41" s="1"/>
  <c r="P12" i="41"/>
  <c r="P13" i="41" s="1"/>
  <c r="P14" i="41" s="1"/>
  <c r="P15" i="41" s="1"/>
  <c r="P16" i="41" s="1"/>
  <c r="Q11" i="41"/>
  <c r="Q12" i="41" s="1"/>
  <c r="Q13" i="41" s="1"/>
  <c r="Q14" i="41" s="1"/>
  <c r="Q15" i="41" s="1"/>
  <c r="Q16" i="41" s="1"/>
  <c r="P11" i="41"/>
  <c r="H619" i="61" l="1"/>
  <c r="G619" i="61"/>
  <c r="R619" i="61"/>
  <c r="S619" i="61"/>
  <c r="D621" i="61"/>
  <c r="P620" i="61"/>
  <c r="Q620" i="61" s="1"/>
  <c r="E620" i="61"/>
  <c r="F620" i="61" s="1"/>
  <c r="C620" i="61"/>
  <c r="N60" i="46"/>
  <c r="N61" i="46" s="1"/>
  <c r="N62" i="46" s="1"/>
  <c r="N63" i="46" s="1"/>
  <c r="N64" i="46" s="1"/>
  <c r="N65" i="46" s="1"/>
  <c r="N66" i="46" s="1"/>
  <c r="N67" i="46" s="1"/>
  <c r="N68" i="46" s="1"/>
  <c r="N69" i="46" s="1"/>
  <c r="N70" i="46" s="1"/>
  <c r="N60" i="45"/>
  <c r="N61" i="45" s="1"/>
  <c r="N62" i="45" s="1"/>
  <c r="N63" i="45" s="1"/>
  <c r="N64" i="45" s="1"/>
  <c r="N65" i="45" s="1"/>
  <c r="N66" i="45" s="1"/>
  <c r="N67" i="45" s="1"/>
  <c r="N68" i="45" s="1"/>
  <c r="N69" i="45" s="1"/>
  <c r="N70" i="45" s="1"/>
  <c r="N60" i="94"/>
  <c r="N61" i="94" s="1"/>
  <c r="N62" i="94" s="1"/>
  <c r="N63" i="94" s="1"/>
  <c r="N64" i="94" s="1"/>
  <c r="N65" i="94" s="1"/>
  <c r="N66" i="94" s="1"/>
  <c r="N67" i="94" s="1"/>
  <c r="N68" i="94" s="1"/>
  <c r="N69" i="94" s="1"/>
  <c r="N70" i="94" s="1"/>
  <c r="P95" i="94"/>
  <c r="P96" i="94" s="1"/>
  <c r="P97" i="94" s="1"/>
  <c r="P98" i="94" s="1"/>
  <c r="P99" i="94" s="1"/>
  <c r="P100" i="94" s="1"/>
  <c r="P101" i="94" s="1"/>
  <c r="P102" i="94" s="1"/>
  <c r="P103" i="94" s="1"/>
  <c r="P104" i="94" s="1"/>
  <c r="P105" i="94" s="1"/>
  <c r="P106" i="94" s="1"/>
  <c r="D204" i="89"/>
  <c r="D205" i="89" s="1"/>
  <c r="C203" i="89"/>
  <c r="E59" i="46"/>
  <c r="F59" i="46" s="1"/>
  <c r="G59" i="46" s="1"/>
  <c r="E203" i="92"/>
  <c r="F203" i="92" s="1"/>
  <c r="H203" i="92" s="1"/>
  <c r="D13" i="94"/>
  <c r="N132" i="94"/>
  <c r="N133" i="94" s="1"/>
  <c r="N134" i="94" s="1"/>
  <c r="N135" i="94" s="1"/>
  <c r="N136" i="94" s="1"/>
  <c r="N137" i="94" s="1"/>
  <c r="N138" i="94" s="1"/>
  <c r="N139" i="94" s="1"/>
  <c r="N140" i="94" s="1"/>
  <c r="N141" i="94" s="1"/>
  <c r="N142" i="94" s="1"/>
  <c r="N84" i="94"/>
  <c r="N85" i="94" s="1"/>
  <c r="N86" i="94" s="1"/>
  <c r="N87" i="94" s="1"/>
  <c r="N88" i="94" s="1"/>
  <c r="N89" i="94" s="1"/>
  <c r="N90" i="94" s="1"/>
  <c r="N91" i="94" s="1"/>
  <c r="N92" i="94" s="1"/>
  <c r="N93" i="94" s="1"/>
  <c r="N94" i="94" s="1"/>
  <c r="Q24" i="95"/>
  <c r="S24" i="95" s="1"/>
  <c r="S23" i="95"/>
  <c r="E203" i="87"/>
  <c r="F203" i="87" s="1"/>
  <c r="H203" i="87" s="1"/>
  <c r="E203" i="89"/>
  <c r="F203" i="89" s="1"/>
  <c r="P203" i="89"/>
  <c r="P204" i="89" s="1"/>
  <c r="P205" i="89" s="1"/>
  <c r="P206" i="89" s="1"/>
  <c r="P207" i="89" s="1"/>
  <c r="P208" i="89" s="1"/>
  <c r="P209" i="89" s="1"/>
  <c r="P210" i="89" s="1"/>
  <c r="P211" i="89" s="1"/>
  <c r="P212" i="89" s="1"/>
  <c r="P213" i="89" s="1"/>
  <c r="P214" i="89" s="1"/>
  <c r="P215" i="89" s="1"/>
  <c r="P216" i="89" s="1"/>
  <c r="P217" i="89" s="1"/>
  <c r="P218" i="89" s="1"/>
  <c r="P219" i="89" s="1"/>
  <c r="P220" i="89" s="1"/>
  <c r="P221" i="89" s="1"/>
  <c r="P222" i="89" s="1"/>
  <c r="P223" i="89" s="1"/>
  <c r="P224" i="89" s="1"/>
  <c r="P225" i="89" s="1"/>
  <c r="P226" i="89" s="1"/>
  <c r="P227" i="89" s="1"/>
  <c r="P228" i="89" s="1"/>
  <c r="P229" i="89" s="1"/>
  <c r="P230" i="89" s="1"/>
  <c r="P231" i="89" s="1"/>
  <c r="P232" i="89" s="1"/>
  <c r="P233" i="89" s="1"/>
  <c r="P234" i="89" s="1"/>
  <c r="P235" i="89" s="1"/>
  <c r="P236" i="89" s="1"/>
  <c r="P237" i="89" s="1"/>
  <c r="P238" i="89" s="1"/>
  <c r="P239" i="89" s="1"/>
  <c r="P240" i="89" s="1"/>
  <c r="P241" i="89" s="1"/>
  <c r="P242" i="89" s="1"/>
  <c r="P243" i="89" s="1"/>
  <c r="P244" i="89" s="1"/>
  <c r="P245" i="89" s="1"/>
  <c r="P246" i="89" s="1"/>
  <c r="P247" i="89" s="1"/>
  <c r="P248" i="89" s="1"/>
  <c r="P249" i="89" s="1"/>
  <c r="P250" i="89" s="1"/>
  <c r="K109" i="88"/>
  <c r="D204" i="92"/>
  <c r="Q120" i="93"/>
  <c r="P107" i="48"/>
  <c r="P108" i="48" s="1"/>
  <c r="P109" i="48" s="1"/>
  <c r="P110" i="48" s="1"/>
  <c r="P111" i="48" s="1"/>
  <c r="P112" i="48" s="1"/>
  <c r="P113" i="48" s="1"/>
  <c r="P114" i="48" s="1"/>
  <c r="P115" i="48" s="1"/>
  <c r="P116" i="48" s="1"/>
  <c r="P117" i="48" s="1"/>
  <c r="P118" i="48" s="1"/>
  <c r="P83" i="48"/>
  <c r="P84" i="48" s="1"/>
  <c r="P85" i="48" s="1"/>
  <c r="P86" i="48" s="1"/>
  <c r="P87" i="48" s="1"/>
  <c r="P88" i="48" s="1"/>
  <c r="P89" i="48" s="1"/>
  <c r="P90" i="48" s="1"/>
  <c r="P91" i="48" s="1"/>
  <c r="P92" i="48" s="1"/>
  <c r="P93" i="48" s="1"/>
  <c r="P94" i="48" s="1"/>
  <c r="E59" i="45"/>
  <c r="F59" i="45" s="1"/>
  <c r="G59" i="45" s="1"/>
  <c r="C59" i="45"/>
  <c r="D60" i="45"/>
  <c r="E110" i="88"/>
  <c r="F110" i="88" s="1"/>
  <c r="H110" i="88" s="1"/>
  <c r="E107" i="93"/>
  <c r="F107" i="93" s="1"/>
  <c r="Q108" i="93"/>
  <c r="P119" i="48"/>
  <c r="P120" i="48" s="1"/>
  <c r="P121" i="48" s="1"/>
  <c r="P122" i="48" s="1"/>
  <c r="P123" i="48" s="1"/>
  <c r="P124" i="48" s="1"/>
  <c r="P125" i="48" s="1"/>
  <c r="P126" i="48" s="1"/>
  <c r="P127" i="48" s="1"/>
  <c r="P128" i="48" s="1"/>
  <c r="P129" i="48" s="1"/>
  <c r="P130" i="48" s="1"/>
  <c r="K110" i="88"/>
  <c r="E203" i="91"/>
  <c r="F203" i="91" s="1"/>
  <c r="H203" i="91" s="1"/>
  <c r="C203" i="91"/>
  <c r="K203" i="92"/>
  <c r="C203" i="92" s="1"/>
  <c r="E108" i="93"/>
  <c r="F108" i="93" s="1"/>
  <c r="N72" i="94"/>
  <c r="N73" i="94" s="1"/>
  <c r="N74" i="94" s="1"/>
  <c r="N75" i="94" s="1"/>
  <c r="N76" i="94" s="1"/>
  <c r="N77" i="94" s="1"/>
  <c r="N78" i="94" s="1"/>
  <c r="N79" i="94" s="1"/>
  <c r="N80" i="94" s="1"/>
  <c r="N81" i="94" s="1"/>
  <c r="N82" i="94" s="1"/>
  <c r="P71" i="94"/>
  <c r="P72" i="94" s="1"/>
  <c r="P73" i="94" s="1"/>
  <c r="P74" i="94" s="1"/>
  <c r="P75" i="94" s="1"/>
  <c r="P76" i="94" s="1"/>
  <c r="P77" i="94" s="1"/>
  <c r="P78" i="94" s="1"/>
  <c r="P79" i="94" s="1"/>
  <c r="P80" i="94" s="1"/>
  <c r="P81" i="94" s="1"/>
  <c r="P82" i="94" s="1"/>
  <c r="E107" i="88"/>
  <c r="F107" i="88" s="1"/>
  <c r="H107" i="88" s="1"/>
  <c r="Q108" i="88"/>
  <c r="E111" i="88"/>
  <c r="F111" i="88" s="1"/>
  <c r="H111" i="88" s="1"/>
  <c r="K107" i="93"/>
  <c r="Q120" i="88"/>
  <c r="Q121" i="88" s="1"/>
  <c r="D13" i="95"/>
  <c r="K15" i="96"/>
  <c r="J193" i="95"/>
  <c r="J169" i="95"/>
  <c r="J145" i="95"/>
  <c r="J121" i="95"/>
  <c r="J97" i="95"/>
  <c r="J73" i="95"/>
  <c r="J49" i="95"/>
  <c r="J25" i="95"/>
  <c r="O131" i="96"/>
  <c r="O132" i="96" s="1"/>
  <c r="O133" i="96" s="1"/>
  <c r="O134" i="96" s="1"/>
  <c r="O135" i="96" s="1"/>
  <c r="O136" i="96" s="1"/>
  <c r="O137" i="96" s="1"/>
  <c r="O138" i="96" s="1"/>
  <c r="O139" i="96" s="1"/>
  <c r="O140" i="96" s="1"/>
  <c r="O141" i="96" s="1"/>
  <c r="O142" i="96" s="1"/>
  <c r="O143" i="96" s="1"/>
  <c r="O144" i="96" s="1"/>
  <c r="O145" i="96" s="1"/>
  <c r="O146" i="96" s="1"/>
  <c r="O147" i="96" s="1"/>
  <c r="O148" i="96" s="1"/>
  <c r="O149" i="96" s="1"/>
  <c r="O150" i="96" s="1"/>
  <c r="O151" i="96" s="1"/>
  <c r="O152" i="96" s="1"/>
  <c r="O153" i="96" s="1"/>
  <c r="O154" i="96" s="1"/>
  <c r="D16" i="96"/>
  <c r="J132" i="96"/>
  <c r="O275" i="95"/>
  <c r="O276" i="95" s="1"/>
  <c r="O277" i="95" s="1"/>
  <c r="O278" i="95" s="1"/>
  <c r="O279" i="95" s="1"/>
  <c r="O280" i="95" s="1"/>
  <c r="O281" i="95" s="1"/>
  <c r="O282" i="95" s="1"/>
  <c r="O283" i="95" s="1"/>
  <c r="O284" i="95" s="1"/>
  <c r="O285" i="95" s="1"/>
  <c r="O286" i="95" s="1"/>
  <c r="O287" i="95" s="1"/>
  <c r="O288" i="95" s="1"/>
  <c r="O289" i="95" s="1"/>
  <c r="O290" i="95" s="1"/>
  <c r="O291" i="95" s="1"/>
  <c r="O292" i="95" s="1"/>
  <c r="O293" i="95" s="1"/>
  <c r="O294" i="95" s="1"/>
  <c r="O295" i="95" s="1"/>
  <c r="O296" i="95" s="1"/>
  <c r="O297" i="95" s="1"/>
  <c r="O298" i="95" s="1"/>
  <c r="O251" i="95"/>
  <c r="O252" i="95" s="1"/>
  <c r="O253" i="95" s="1"/>
  <c r="O254" i="95" s="1"/>
  <c r="O255" i="95" s="1"/>
  <c r="O256" i="95" s="1"/>
  <c r="O257" i="95" s="1"/>
  <c r="O258" i="95" s="1"/>
  <c r="O259" i="95" s="1"/>
  <c r="O260" i="95" s="1"/>
  <c r="O261" i="95" s="1"/>
  <c r="O262" i="95" s="1"/>
  <c r="O263" i="95" s="1"/>
  <c r="O264" i="95" s="1"/>
  <c r="O265" i="95" s="1"/>
  <c r="O266" i="95" s="1"/>
  <c r="O267" i="95" s="1"/>
  <c r="O268" i="95" s="1"/>
  <c r="O269" i="95" s="1"/>
  <c r="O270" i="95" s="1"/>
  <c r="O271" i="95" s="1"/>
  <c r="O272" i="95" s="1"/>
  <c r="O273" i="95" s="1"/>
  <c r="O274" i="95" s="1"/>
  <c r="O227" i="95"/>
  <c r="O228" i="95" s="1"/>
  <c r="O229" i="95" s="1"/>
  <c r="O230" i="95" s="1"/>
  <c r="O231" i="95" s="1"/>
  <c r="O232" i="95" s="1"/>
  <c r="O233" i="95" s="1"/>
  <c r="O234" i="95" s="1"/>
  <c r="O235" i="95" s="1"/>
  <c r="O236" i="95" s="1"/>
  <c r="O237" i="95" s="1"/>
  <c r="O238" i="95" s="1"/>
  <c r="O239" i="95" s="1"/>
  <c r="O240" i="95" s="1"/>
  <c r="O241" i="95" s="1"/>
  <c r="O242" i="95" s="1"/>
  <c r="O243" i="95" s="1"/>
  <c r="O244" i="95" s="1"/>
  <c r="O245" i="95" s="1"/>
  <c r="O246" i="95" s="1"/>
  <c r="O247" i="95" s="1"/>
  <c r="O248" i="95" s="1"/>
  <c r="O249" i="95" s="1"/>
  <c r="O250" i="95" s="1"/>
  <c r="O203" i="95"/>
  <c r="O204" i="95" s="1"/>
  <c r="O205" i="95" s="1"/>
  <c r="O206" i="95" s="1"/>
  <c r="O207" i="95" s="1"/>
  <c r="O208" i="95" s="1"/>
  <c r="O209" i="95" s="1"/>
  <c r="O210" i="95" s="1"/>
  <c r="O211" i="95" s="1"/>
  <c r="O212" i="95" s="1"/>
  <c r="O213" i="95" s="1"/>
  <c r="O214" i="95" s="1"/>
  <c r="O215" i="95" s="1"/>
  <c r="O216" i="95" s="1"/>
  <c r="O217" i="95" s="1"/>
  <c r="O218" i="95" s="1"/>
  <c r="O219" i="95" s="1"/>
  <c r="O220" i="95" s="1"/>
  <c r="O221" i="95" s="1"/>
  <c r="O222" i="95" s="1"/>
  <c r="O223" i="95" s="1"/>
  <c r="O224" i="95" s="1"/>
  <c r="O225" i="95" s="1"/>
  <c r="O226" i="95" s="1"/>
  <c r="O179" i="95"/>
  <c r="O180" i="95" s="1"/>
  <c r="O181" i="95" s="1"/>
  <c r="O182" i="95" s="1"/>
  <c r="O183" i="95" s="1"/>
  <c r="O184" i="95" s="1"/>
  <c r="O185" i="95" s="1"/>
  <c r="O186" i="95" s="1"/>
  <c r="O187" i="95" s="1"/>
  <c r="O188" i="95" s="1"/>
  <c r="O189" i="95" s="1"/>
  <c r="O190" i="95" s="1"/>
  <c r="O191" i="95" s="1"/>
  <c r="O192" i="95" s="1"/>
  <c r="O193" i="95" s="1"/>
  <c r="O194" i="95" s="1"/>
  <c r="O195" i="95" s="1"/>
  <c r="O196" i="95" s="1"/>
  <c r="O197" i="95" s="1"/>
  <c r="O198" i="95" s="1"/>
  <c r="O199" i="95" s="1"/>
  <c r="O200" i="95" s="1"/>
  <c r="O201" i="95" s="1"/>
  <c r="O202" i="95" s="1"/>
  <c r="N156" i="95"/>
  <c r="N157" i="95" s="1"/>
  <c r="N158" i="95" s="1"/>
  <c r="N159" i="95" s="1"/>
  <c r="N160" i="95" s="1"/>
  <c r="N161" i="95" s="1"/>
  <c r="N162" i="95" s="1"/>
  <c r="N163" i="95" s="1"/>
  <c r="N164" i="95" s="1"/>
  <c r="N165" i="95" s="1"/>
  <c r="N166" i="95" s="1"/>
  <c r="N167" i="95" s="1"/>
  <c r="N168" i="95" s="1"/>
  <c r="N169" i="95" s="1"/>
  <c r="N170" i="95" s="1"/>
  <c r="N171" i="95" s="1"/>
  <c r="N172" i="95" s="1"/>
  <c r="N173" i="95" s="1"/>
  <c r="N174" i="95" s="1"/>
  <c r="N175" i="95" s="1"/>
  <c r="N176" i="95" s="1"/>
  <c r="N177" i="95" s="1"/>
  <c r="N178" i="95" s="1"/>
  <c r="O131" i="95"/>
  <c r="O132" i="95" s="1"/>
  <c r="O133" i="95" s="1"/>
  <c r="O134" i="95" s="1"/>
  <c r="O135" i="95" s="1"/>
  <c r="O136" i="95" s="1"/>
  <c r="O137" i="95" s="1"/>
  <c r="O138" i="95" s="1"/>
  <c r="O139" i="95" s="1"/>
  <c r="O140" i="95" s="1"/>
  <c r="O141" i="95" s="1"/>
  <c r="O142" i="95" s="1"/>
  <c r="O143" i="95" s="1"/>
  <c r="O144" i="95" s="1"/>
  <c r="O145" i="95" s="1"/>
  <c r="O146" i="95" s="1"/>
  <c r="O147" i="95" s="1"/>
  <c r="O148" i="95" s="1"/>
  <c r="O149" i="95" s="1"/>
  <c r="O150" i="95" s="1"/>
  <c r="O151" i="95" s="1"/>
  <c r="O152" i="95" s="1"/>
  <c r="O153" i="95" s="1"/>
  <c r="O154" i="95" s="1"/>
  <c r="O107" i="95"/>
  <c r="O108" i="95" s="1"/>
  <c r="O109" i="95" s="1"/>
  <c r="O110" i="95" s="1"/>
  <c r="O111" i="95" s="1"/>
  <c r="O112" i="95" s="1"/>
  <c r="O113" i="95" s="1"/>
  <c r="O114" i="95" s="1"/>
  <c r="O115" i="95" s="1"/>
  <c r="O116" i="95" s="1"/>
  <c r="O117" i="95" s="1"/>
  <c r="O118" i="95" s="1"/>
  <c r="O119" i="95" s="1"/>
  <c r="O120" i="95" s="1"/>
  <c r="O121" i="95" s="1"/>
  <c r="O122" i="95" s="1"/>
  <c r="O123" i="95" s="1"/>
  <c r="O124" i="95" s="1"/>
  <c r="O125" i="95" s="1"/>
  <c r="O126" i="95" s="1"/>
  <c r="O127" i="95" s="1"/>
  <c r="O128" i="95" s="1"/>
  <c r="O129" i="95" s="1"/>
  <c r="O130" i="95" s="1"/>
  <c r="Q25" i="95"/>
  <c r="Q26" i="95" s="1"/>
  <c r="T11" i="96"/>
  <c r="S11" i="96"/>
  <c r="S12" i="96" s="1"/>
  <c r="S25" i="95"/>
  <c r="R11" i="95"/>
  <c r="J134" i="94"/>
  <c r="J87" i="94"/>
  <c r="J70" i="94"/>
  <c r="J108" i="94"/>
  <c r="J74" i="94"/>
  <c r="J101" i="94"/>
  <c r="J120" i="94"/>
  <c r="J148" i="94"/>
  <c r="P143" i="94"/>
  <c r="P144" i="94" s="1"/>
  <c r="P145" i="94" s="1"/>
  <c r="P146" i="94" s="1"/>
  <c r="P147" i="94" s="1"/>
  <c r="P148" i="94" s="1"/>
  <c r="P149" i="94" s="1"/>
  <c r="P150" i="94" s="1"/>
  <c r="P151" i="94" s="1"/>
  <c r="P152" i="94" s="1"/>
  <c r="P153" i="94" s="1"/>
  <c r="P154" i="94" s="1"/>
  <c r="T11" i="94"/>
  <c r="S11" i="94"/>
  <c r="T23" i="94"/>
  <c r="S23" i="94"/>
  <c r="R24" i="94"/>
  <c r="D14" i="94"/>
  <c r="P95" i="48"/>
  <c r="P96" i="48" s="1"/>
  <c r="P97" i="48" s="1"/>
  <c r="P98" i="48" s="1"/>
  <c r="P99" i="48" s="1"/>
  <c r="P100" i="48" s="1"/>
  <c r="P101" i="48" s="1"/>
  <c r="P102" i="48" s="1"/>
  <c r="P103" i="48" s="1"/>
  <c r="P104" i="48" s="1"/>
  <c r="P105" i="48" s="1"/>
  <c r="P106" i="48" s="1"/>
  <c r="N96" i="48"/>
  <c r="N97" i="48" s="1"/>
  <c r="N98" i="48" s="1"/>
  <c r="N99" i="48" s="1"/>
  <c r="N100" i="48" s="1"/>
  <c r="N101" i="48" s="1"/>
  <c r="N102" i="48" s="1"/>
  <c r="N103" i="48" s="1"/>
  <c r="N104" i="48" s="1"/>
  <c r="N105" i="48" s="1"/>
  <c r="N106" i="48" s="1"/>
  <c r="N60" i="48"/>
  <c r="N61" i="48" s="1"/>
  <c r="N62" i="48" s="1"/>
  <c r="N63" i="48" s="1"/>
  <c r="N64" i="48" s="1"/>
  <c r="N65" i="48" s="1"/>
  <c r="N66" i="48" s="1"/>
  <c r="N67" i="48" s="1"/>
  <c r="N68" i="48" s="1"/>
  <c r="N69" i="48" s="1"/>
  <c r="N70" i="48" s="1"/>
  <c r="N132" i="48"/>
  <c r="N133" i="48" s="1"/>
  <c r="N134" i="48" s="1"/>
  <c r="N135" i="48" s="1"/>
  <c r="N136" i="48" s="1"/>
  <c r="N137" i="48" s="1"/>
  <c r="N138" i="48" s="1"/>
  <c r="N139" i="48" s="1"/>
  <c r="N140" i="48" s="1"/>
  <c r="N141" i="48" s="1"/>
  <c r="N142" i="48" s="1"/>
  <c r="H109" i="93"/>
  <c r="G109" i="93"/>
  <c r="H111" i="93"/>
  <c r="G111" i="93"/>
  <c r="D112" i="93"/>
  <c r="K111" i="93"/>
  <c r="K108" i="93"/>
  <c r="K109" i="93"/>
  <c r="K110" i="93"/>
  <c r="H108" i="93"/>
  <c r="G108" i="93"/>
  <c r="H110" i="93"/>
  <c r="G110" i="93"/>
  <c r="H107" i="93"/>
  <c r="G107" i="93"/>
  <c r="Q121" i="93"/>
  <c r="K204" i="92"/>
  <c r="D205" i="92"/>
  <c r="E204" i="92"/>
  <c r="F204" i="92" s="1"/>
  <c r="N204" i="91"/>
  <c r="N205" i="91" s="1"/>
  <c r="N206" i="91" s="1"/>
  <c r="N207" i="91" s="1"/>
  <c r="N208" i="91" s="1"/>
  <c r="N209" i="91" s="1"/>
  <c r="N210" i="91" s="1"/>
  <c r="N211" i="91" s="1"/>
  <c r="N212" i="91" s="1"/>
  <c r="N213" i="91" s="1"/>
  <c r="N214" i="91" s="1"/>
  <c r="N215" i="91" s="1"/>
  <c r="N216" i="91" s="1"/>
  <c r="N217" i="91" s="1"/>
  <c r="N218" i="91" s="1"/>
  <c r="N219" i="91" s="1"/>
  <c r="N220" i="91" s="1"/>
  <c r="N221" i="91" s="1"/>
  <c r="N222" i="91" s="1"/>
  <c r="N223" i="91" s="1"/>
  <c r="N224" i="91" s="1"/>
  <c r="N225" i="91" s="1"/>
  <c r="N226" i="91" s="1"/>
  <c r="N227" i="91" s="1"/>
  <c r="N228" i="91" s="1"/>
  <c r="N229" i="91" s="1"/>
  <c r="N230" i="91" s="1"/>
  <c r="N231" i="91" s="1"/>
  <c r="N232" i="91" s="1"/>
  <c r="N233" i="91" s="1"/>
  <c r="N234" i="91" s="1"/>
  <c r="N235" i="91" s="1"/>
  <c r="N236" i="91" s="1"/>
  <c r="N237" i="91" s="1"/>
  <c r="N238" i="91" s="1"/>
  <c r="N239" i="91" s="1"/>
  <c r="N240" i="91" s="1"/>
  <c r="N241" i="91" s="1"/>
  <c r="N242" i="91" s="1"/>
  <c r="N243" i="91" s="1"/>
  <c r="N244" i="91" s="1"/>
  <c r="N245" i="91" s="1"/>
  <c r="N246" i="91" s="1"/>
  <c r="N247" i="91" s="1"/>
  <c r="N248" i="91" s="1"/>
  <c r="N249" i="91" s="1"/>
  <c r="N250" i="91" s="1"/>
  <c r="D204" i="91"/>
  <c r="K203" i="91"/>
  <c r="K59" i="46"/>
  <c r="C59" i="46" s="1"/>
  <c r="H59" i="46"/>
  <c r="D60" i="46"/>
  <c r="G107" i="88"/>
  <c r="H112" i="88"/>
  <c r="G112" i="88"/>
  <c r="G108" i="88"/>
  <c r="G110" i="88"/>
  <c r="D113" i="88"/>
  <c r="K112" i="88"/>
  <c r="E109" i="88"/>
  <c r="F109" i="88" s="1"/>
  <c r="K111" i="88"/>
  <c r="K204" i="89"/>
  <c r="G203" i="87"/>
  <c r="P203" i="87"/>
  <c r="P204" i="87" s="1"/>
  <c r="P205" i="87" s="1"/>
  <c r="P206" i="87" s="1"/>
  <c r="P207" i="87" s="1"/>
  <c r="P208" i="87" s="1"/>
  <c r="P209" i="87" s="1"/>
  <c r="P210" i="87" s="1"/>
  <c r="P211" i="87" s="1"/>
  <c r="P212" i="87" s="1"/>
  <c r="P213" i="87" s="1"/>
  <c r="P214" i="87" s="1"/>
  <c r="P215" i="87" s="1"/>
  <c r="P216" i="87" s="1"/>
  <c r="P217" i="87" s="1"/>
  <c r="P218" i="87" s="1"/>
  <c r="P219" i="87" s="1"/>
  <c r="P220" i="87" s="1"/>
  <c r="P221" i="87" s="1"/>
  <c r="P222" i="87" s="1"/>
  <c r="P223" i="87" s="1"/>
  <c r="P224" i="87" s="1"/>
  <c r="P225" i="87" s="1"/>
  <c r="P226" i="87" s="1"/>
  <c r="P227" i="87" s="1"/>
  <c r="P228" i="87" s="1"/>
  <c r="P229" i="87" s="1"/>
  <c r="P230" i="87" s="1"/>
  <c r="P231" i="87" s="1"/>
  <c r="P232" i="87" s="1"/>
  <c r="P233" i="87" s="1"/>
  <c r="P234" i="87" s="1"/>
  <c r="P235" i="87" s="1"/>
  <c r="P236" i="87" s="1"/>
  <c r="P237" i="87" s="1"/>
  <c r="P238" i="87" s="1"/>
  <c r="P239" i="87" s="1"/>
  <c r="P240" i="87" s="1"/>
  <c r="P241" i="87" s="1"/>
  <c r="P242" i="87" s="1"/>
  <c r="P243" i="87" s="1"/>
  <c r="P244" i="87" s="1"/>
  <c r="P245" i="87" s="1"/>
  <c r="P246" i="87" s="1"/>
  <c r="P247" i="87" s="1"/>
  <c r="P248" i="87" s="1"/>
  <c r="P249" i="87" s="1"/>
  <c r="P250" i="87" s="1"/>
  <c r="D204" i="87"/>
  <c r="K203" i="87"/>
  <c r="C203" i="87" s="1"/>
  <c r="J61" i="45"/>
  <c r="J62" i="45" s="1"/>
  <c r="J63" i="45" s="1"/>
  <c r="J64" i="45" s="1"/>
  <c r="J65" i="45" s="1"/>
  <c r="J66" i="45" s="1"/>
  <c r="J67" i="45" s="1"/>
  <c r="J68" i="45" s="1"/>
  <c r="J69" i="45" s="1"/>
  <c r="J70" i="45" s="1"/>
  <c r="H59" i="45"/>
  <c r="D61" i="45"/>
  <c r="M11" i="98"/>
  <c r="M12" i="98" s="1"/>
  <c r="M13" i="98" s="1"/>
  <c r="M14" i="98" s="1"/>
  <c r="M15" i="98" s="1"/>
  <c r="M16" i="98" s="1"/>
  <c r="M17" i="98" s="1"/>
  <c r="M18" i="98" s="1"/>
  <c r="M27" i="98" s="1"/>
  <c r="M28" i="98" s="1"/>
  <c r="M29" i="98" s="1"/>
  <c r="M30" i="98" s="1"/>
  <c r="M31" i="98" s="1"/>
  <c r="M32" i="98" s="1"/>
  <c r="M33" i="98" s="1"/>
  <c r="M34" i="98" s="1"/>
  <c r="M35" i="98" s="1"/>
  <c r="M36" i="98" s="1"/>
  <c r="M37" i="98" s="1"/>
  <c r="M38" i="98" s="1"/>
  <c r="M39" i="98" s="1"/>
  <c r="M40" i="98" s="1"/>
  <c r="M41" i="98" s="1"/>
  <c r="M42" i="98" s="1"/>
  <c r="M43" i="98" s="1"/>
  <c r="M44" i="98" s="1"/>
  <c r="M45" i="98" s="1"/>
  <c r="M46" i="98" s="1"/>
  <c r="M47" i="98" s="1"/>
  <c r="M48" i="98" s="1"/>
  <c r="M49" i="98" s="1"/>
  <c r="M50" i="98" s="1"/>
  <c r="D43" i="98"/>
  <c r="D27" i="98"/>
  <c r="D12" i="98"/>
  <c r="D13" i="98" s="1"/>
  <c r="D50" i="98"/>
  <c r="E50" i="98" s="1"/>
  <c r="D49" i="98"/>
  <c r="E49" i="98" s="1"/>
  <c r="D48" i="98"/>
  <c r="E48" i="98" s="1"/>
  <c r="D47" i="98"/>
  <c r="E47" i="98" s="1"/>
  <c r="E46" i="98"/>
  <c r="D46" i="98"/>
  <c r="D45" i="98"/>
  <c r="E45" i="98" s="1"/>
  <c r="D44" i="98"/>
  <c r="E44" i="98" s="1"/>
  <c r="E43" i="98"/>
  <c r="H12" i="98"/>
  <c r="H13" i="98" s="1"/>
  <c r="H14" i="98" s="1"/>
  <c r="H15" i="98" s="1"/>
  <c r="H16" i="98" s="1"/>
  <c r="H17" i="98" s="1"/>
  <c r="H18" i="98" s="1"/>
  <c r="H27" i="98" s="1"/>
  <c r="H28" i="98" s="1"/>
  <c r="H29" i="98" s="1"/>
  <c r="H30" i="98" s="1"/>
  <c r="H31" i="98" s="1"/>
  <c r="H32" i="98" s="1"/>
  <c r="H33" i="98" s="1"/>
  <c r="H34" i="98" s="1"/>
  <c r="H35" i="98" s="1"/>
  <c r="H36" i="98" s="1"/>
  <c r="H37" i="98" s="1"/>
  <c r="H38" i="98" s="1"/>
  <c r="H39" i="98" s="1"/>
  <c r="H40" i="98" s="1"/>
  <c r="H41" i="98" s="1"/>
  <c r="H42" i="98" s="1"/>
  <c r="H43" i="98" s="1"/>
  <c r="H44" i="98" s="1"/>
  <c r="H45" i="98" s="1"/>
  <c r="H46" i="98" s="1"/>
  <c r="H47" i="98" s="1"/>
  <c r="H48" i="98" s="1"/>
  <c r="H49" i="98" s="1"/>
  <c r="H50" i="98" s="1"/>
  <c r="B12" i="98"/>
  <c r="B13" i="98" s="1"/>
  <c r="B14" i="98" s="1"/>
  <c r="B15" i="98" s="1"/>
  <c r="B16" i="98" s="1"/>
  <c r="B17" i="98" s="1"/>
  <c r="B18" i="98" s="1"/>
  <c r="B19" i="98" s="1"/>
  <c r="B20" i="98" s="1"/>
  <c r="B21" i="98" s="1"/>
  <c r="B22" i="98" s="1"/>
  <c r="B23" i="98" s="1"/>
  <c r="B24" i="98" s="1"/>
  <c r="B25" i="98" s="1"/>
  <c r="B26" i="98" s="1"/>
  <c r="B27" i="98" s="1"/>
  <c r="B28" i="98" s="1"/>
  <c r="B29" i="98" s="1"/>
  <c r="B30" i="98" s="1"/>
  <c r="B31" i="98" s="1"/>
  <c r="B32" i="98" s="1"/>
  <c r="B33" i="98" s="1"/>
  <c r="B34" i="98" s="1"/>
  <c r="B35" i="98" s="1"/>
  <c r="B36" i="98" s="1"/>
  <c r="B37" i="98" s="1"/>
  <c r="B38" i="98" s="1"/>
  <c r="B39" i="98" s="1"/>
  <c r="B40" i="98" s="1"/>
  <c r="B41" i="98" s="1"/>
  <c r="B42" i="98" s="1"/>
  <c r="B43" i="98" s="1"/>
  <c r="B44" i="98" s="1"/>
  <c r="B45" i="98" s="1"/>
  <c r="B46" i="98" s="1"/>
  <c r="B47" i="98" s="1"/>
  <c r="B48" i="98" s="1"/>
  <c r="B49" i="98" s="1"/>
  <c r="B50" i="98" s="1"/>
  <c r="O11" i="98"/>
  <c r="O12" i="98" s="1"/>
  <c r="O13" i="98" s="1"/>
  <c r="O14" i="98" s="1"/>
  <c r="O15" i="98" s="1"/>
  <c r="O16" i="98" s="1"/>
  <c r="O17" i="98" s="1"/>
  <c r="O18" i="98" s="1"/>
  <c r="O27" i="98" s="1"/>
  <c r="O28" i="98" s="1"/>
  <c r="O29" i="98" s="1"/>
  <c r="O30" i="98" s="1"/>
  <c r="O31" i="98" s="1"/>
  <c r="O32" i="98" s="1"/>
  <c r="O33" i="98" s="1"/>
  <c r="O34" i="98" s="1"/>
  <c r="O35" i="98" s="1"/>
  <c r="O36" i="98" s="1"/>
  <c r="O37" i="98" s="1"/>
  <c r="O38" i="98" s="1"/>
  <c r="O39" i="98" s="1"/>
  <c r="O40" i="98" s="1"/>
  <c r="O41" i="98" s="1"/>
  <c r="O42" i="98" s="1"/>
  <c r="O43" i="98" s="1"/>
  <c r="O44" i="98" s="1"/>
  <c r="O45" i="98" s="1"/>
  <c r="O46" i="98" s="1"/>
  <c r="O47" i="98" s="1"/>
  <c r="O48" i="98" s="1"/>
  <c r="O49" i="98" s="1"/>
  <c r="O50" i="98" s="1"/>
  <c r="L11" i="98"/>
  <c r="L12" i="98" s="1"/>
  <c r="L13" i="98" s="1"/>
  <c r="L14" i="98" s="1"/>
  <c r="L15" i="98" s="1"/>
  <c r="L16" i="98" s="1"/>
  <c r="L17" i="98" s="1"/>
  <c r="L18" i="98" s="1"/>
  <c r="L27" i="98" s="1"/>
  <c r="L28" i="98" s="1"/>
  <c r="L29" i="98" s="1"/>
  <c r="L30" i="98" s="1"/>
  <c r="L31" i="98" s="1"/>
  <c r="L32" i="98" s="1"/>
  <c r="L33" i="98" s="1"/>
  <c r="L34" i="98" s="1"/>
  <c r="L35" i="98" s="1"/>
  <c r="L36" i="98" s="1"/>
  <c r="L37" i="98" s="1"/>
  <c r="L38" i="98" s="1"/>
  <c r="L39" i="98" s="1"/>
  <c r="L40" i="98" s="1"/>
  <c r="L41" i="98" s="1"/>
  <c r="L42" i="98" s="1"/>
  <c r="L43" i="98" s="1"/>
  <c r="L44" i="98" s="1"/>
  <c r="L45" i="98" s="1"/>
  <c r="L46" i="98" s="1"/>
  <c r="L47" i="98" s="1"/>
  <c r="L48" i="98" s="1"/>
  <c r="L49" i="98" s="1"/>
  <c r="L50" i="98" s="1"/>
  <c r="K11" i="98"/>
  <c r="K12" i="98" s="1"/>
  <c r="K13" i="98" s="1"/>
  <c r="K14" i="98" s="1"/>
  <c r="K15" i="98" s="1"/>
  <c r="K16" i="98" s="1"/>
  <c r="K17" i="98" s="1"/>
  <c r="K18" i="98" s="1"/>
  <c r="K27" i="98" s="1"/>
  <c r="K28" i="98" s="1"/>
  <c r="K29" i="98" s="1"/>
  <c r="K30" i="98" s="1"/>
  <c r="K31" i="98" s="1"/>
  <c r="K32" i="98" s="1"/>
  <c r="K33" i="98" s="1"/>
  <c r="K34" i="98" s="1"/>
  <c r="K35" i="98" s="1"/>
  <c r="K36" i="98" s="1"/>
  <c r="K37" i="98" s="1"/>
  <c r="K38" i="98" s="1"/>
  <c r="K39" i="98" s="1"/>
  <c r="K40" i="98" s="1"/>
  <c r="K41" i="98" s="1"/>
  <c r="K42" i="98" s="1"/>
  <c r="K43" i="98" s="1"/>
  <c r="K44" i="98" s="1"/>
  <c r="K45" i="98" s="1"/>
  <c r="K46" i="98" s="1"/>
  <c r="K47" i="98" s="1"/>
  <c r="K48" i="98" s="1"/>
  <c r="K49" i="98" s="1"/>
  <c r="K50" i="98" s="1"/>
  <c r="I11" i="98"/>
  <c r="I12" i="98" s="1"/>
  <c r="I13" i="98" s="1"/>
  <c r="I14" i="98" s="1"/>
  <c r="I15" i="98" s="1"/>
  <c r="I16" i="98" s="1"/>
  <c r="I17" i="98" s="1"/>
  <c r="I18" i="98" s="1"/>
  <c r="I27" i="98" s="1"/>
  <c r="I28" i="98" s="1"/>
  <c r="I29" i="98" s="1"/>
  <c r="I30" i="98" s="1"/>
  <c r="I31" i="98" s="1"/>
  <c r="I32" i="98" s="1"/>
  <c r="I33" i="98" s="1"/>
  <c r="I34" i="98" s="1"/>
  <c r="I35" i="98" s="1"/>
  <c r="I36" i="98" s="1"/>
  <c r="I37" i="98" s="1"/>
  <c r="I38" i="98" s="1"/>
  <c r="I39" i="98" s="1"/>
  <c r="I40" i="98" s="1"/>
  <c r="I41" i="98" s="1"/>
  <c r="I42" i="98" s="1"/>
  <c r="I43" i="98" s="1"/>
  <c r="I44" i="98" s="1"/>
  <c r="I45" i="98" s="1"/>
  <c r="I46" i="98" s="1"/>
  <c r="I47" i="98" s="1"/>
  <c r="I48" i="98" s="1"/>
  <c r="I49" i="98" s="1"/>
  <c r="I50" i="98" s="1"/>
  <c r="B10" i="98"/>
  <c r="T7" i="98"/>
  <c r="T6" i="98"/>
  <c r="T5" i="98"/>
  <c r="T4" i="98"/>
  <c r="G203" i="91" l="1"/>
  <c r="T619" i="61"/>
  <c r="U619" i="61" s="1"/>
  <c r="G620" i="61"/>
  <c r="H620" i="61"/>
  <c r="S620" i="61"/>
  <c r="R620" i="61"/>
  <c r="C621" i="61"/>
  <c r="D622" i="61"/>
  <c r="E621" i="61"/>
  <c r="F621" i="61" s="1"/>
  <c r="P621" i="61"/>
  <c r="Q621" i="61" s="1"/>
  <c r="C205" i="89"/>
  <c r="Q109" i="93"/>
  <c r="H203" i="89"/>
  <c r="G203" i="89"/>
  <c r="G111" i="88"/>
  <c r="G203" i="92"/>
  <c r="D14" i="95"/>
  <c r="C204" i="87"/>
  <c r="Q109" i="88"/>
  <c r="E60" i="45"/>
  <c r="F60" i="45" s="1"/>
  <c r="C60" i="45"/>
  <c r="K60" i="45"/>
  <c r="C204" i="92"/>
  <c r="K16" i="96"/>
  <c r="E204" i="89"/>
  <c r="F204" i="89" s="1"/>
  <c r="C204" i="89"/>
  <c r="J194" i="95"/>
  <c r="J170" i="95"/>
  <c r="J146" i="95"/>
  <c r="J122" i="95"/>
  <c r="J98" i="95"/>
  <c r="J74" i="95"/>
  <c r="J50" i="95"/>
  <c r="J26" i="95"/>
  <c r="S13" i="96"/>
  <c r="U12" i="96"/>
  <c r="V12" i="96" s="1"/>
  <c r="D17" i="96"/>
  <c r="P11" i="98"/>
  <c r="J133" i="96"/>
  <c r="U11" i="96"/>
  <c r="V11" i="96" s="1"/>
  <c r="T11" i="95"/>
  <c r="U11" i="95" s="1"/>
  <c r="R12" i="95"/>
  <c r="Q27" i="95"/>
  <c r="S26" i="95"/>
  <c r="J135" i="94"/>
  <c r="J75" i="94"/>
  <c r="J109" i="94"/>
  <c r="J149" i="94"/>
  <c r="J121" i="94"/>
  <c r="J102" i="94"/>
  <c r="J88" i="94"/>
  <c r="S12" i="94"/>
  <c r="U11" i="94"/>
  <c r="V11" i="94" s="1"/>
  <c r="S24" i="94"/>
  <c r="U23" i="94"/>
  <c r="V23" i="94" s="1"/>
  <c r="R25" i="94"/>
  <c r="T24" i="94"/>
  <c r="D15" i="94"/>
  <c r="D113" i="93"/>
  <c r="K112" i="93"/>
  <c r="E112" i="93"/>
  <c r="F112" i="93" s="1"/>
  <c r="Q122" i="93"/>
  <c r="H204" i="92"/>
  <c r="G204" i="92"/>
  <c r="K205" i="92"/>
  <c r="C205" i="92" s="1"/>
  <c r="D206" i="92"/>
  <c r="E205" i="92"/>
  <c r="F205" i="92" s="1"/>
  <c r="K204" i="91"/>
  <c r="C204" i="91" s="1"/>
  <c r="E204" i="91"/>
  <c r="F204" i="91" s="1"/>
  <c r="D205" i="91"/>
  <c r="K60" i="46"/>
  <c r="C60" i="46" s="1"/>
  <c r="E60" i="46"/>
  <c r="F60" i="46" s="1"/>
  <c r="D61" i="46"/>
  <c r="D114" i="88"/>
  <c r="K113" i="88"/>
  <c r="E113" i="88"/>
  <c r="F113" i="88" s="1"/>
  <c r="H109" i="88"/>
  <c r="G109" i="88"/>
  <c r="Q122" i="88"/>
  <c r="E205" i="89"/>
  <c r="F205" i="89" s="1"/>
  <c r="K205" i="89"/>
  <c r="D206" i="89"/>
  <c r="D205" i="87"/>
  <c r="K204" i="87"/>
  <c r="E204" i="87"/>
  <c r="F204" i="87" s="1"/>
  <c r="E61" i="45"/>
  <c r="F61" i="45" s="1"/>
  <c r="D62" i="45"/>
  <c r="K61" i="45"/>
  <c r="C61" i="45" s="1"/>
  <c r="E13" i="98"/>
  <c r="D14" i="98"/>
  <c r="E12" i="98"/>
  <c r="E11" i="98"/>
  <c r="E27" i="98"/>
  <c r="D28" i="98"/>
  <c r="D60" i="97"/>
  <c r="D61" i="97"/>
  <c r="D62" i="97"/>
  <c r="D63" i="97"/>
  <c r="D64" i="97"/>
  <c r="D65" i="97"/>
  <c r="D66" i="97"/>
  <c r="D67" i="97"/>
  <c r="D68" i="97"/>
  <c r="D69" i="97"/>
  <c r="D70" i="97"/>
  <c r="D36" i="97"/>
  <c r="D37" i="97"/>
  <c r="D38" i="97"/>
  <c r="D39" i="97"/>
  <c r="K39" i="97" s="1"/>
  <c r="D40" i="97"/>
  <c r="D41" i="97"/>
  <c r="K41" i="97" s="1"/>
  <c r="D42" i="97"/>
  <c r="D43" i="97"/>
  <c r="D44" i="97"/>
  <c r="D45" i="97"/>
  <c r="K45" i="97" s="1"/>
  <c r="D46" i="97"/>
  <c r="D35" i="97"/>
  <c r="D59" i="97"/>
  <c r="K46" i="97"/>
  <c r="E45" i="97"/>
  <c r="F45" i="97" s="1"/>
  <c r="K38" i="97"/>
  <c r="E38" i="97"/>
  <c r="F38" i="97" s="1"/>
  <c r="K22" i="97"/>
  <c r="E22" i="97"/>
  <c r="F22" i="97" s="1"/>
  <c r="K20" i="97"/>
  <c r="E20" i="97"/>
  <c r="F20" i="97" s="1"/>
  <c r="K18" i="97"/>
  <c r="E18" i="97"/>
  <c r="F18" i="97" s="1"/>
  <c r="K16" i="97"/>
  <c r="E16" i="97"/>
  <c r="F16" i="97" s="1"/>
  <c r="K14" i="97"/>
  <c r="E14" i="97"/>
  <c r="F14" i="97" s="1"/>
  <c r="K12" i="97"/>
  <c r="E12" i="97"/>
  <c r="F12" i="97" s="1"/>
  <c r="B12" i="97"/>
  <c r="B13" i="97" s="1"/>
  <c r="B14" i="97" s="1"/>
  <c r="B15" i="97" s="1"/>
  <c r="B16" i="97" s="1"/>
  <c r="B17" i="97" s="1"/>
  <c r="B18" i="97" s="1"/>
  <c r="B19" i="97" s="1"/>
  <c r="B20" i="97" s="1"/>
  <c r="B21" i="97" s="1"/>
  <c r="B22" i="97" s="1"/>
  <c r="B23" i="97" s="1"/>
  <c r="B24" i="97" s="1"/>
  <c r="B25" i="97" s="1"/>
  <c r="B26" i="97" s="1"/>
  <c r="B27" i="97" s="1"/>
  <c r="B28" i="97" s="1"/>
  <c r="B29" i="97" s="1"/>
  <c r="B30" i="97" s="1"/>
  <c r="B31" i="97" s="1"/>
  <c r="B32" i="97" s="1"/>
  <c r="B33" i="97" s="1"/>
  <c r="B34" i="97" s="1"/>
  <c r="B35" i="97" s="1"/>
  <c r="B36" i="97" s="1"/>
  <c r="B37" i="97" s="1"/>
  <c r="B38" i="97" s="1"/>
  <c r="B39" i="97" s="1"/>
  <c r="B40" i="97" s="1"/>
  <c r="B41" i="97" s="1"/>
  <c r="B42" i="97" s="1"/>
  <c r="B43" i="97" s="1"/>
  <c r="B44" i="97" s="1"/>
  <c r="B45" i="97" s="1"/>
  <c r="B46" i="97" s="1"/>
  <c r="B47" i="97" s="1"/>
  <c r="B48" i="97" s="1"/>
  <c r="B49" i="97" s="1"/>
  <c r="B50" i="97" s="1"/>
  <c r="B51" i="97" s="1"/>
  <c r="B52" i="97" s="1"/>
  <c r="B53" i="97" s="1"/>
  <c r="B54" i="97" s="1"/>
  <c r="B55" i="97" s="1"/>
  <c r="B56" i="97" s="1"/>
  <c r="B57" i="97" s="1"/>
  <c r="B58" i="97" s="1"/>
  <c r="B59" i="97" s="1"/>
  <c r="B60" i="97" s="1"/>
  <c r="B61" i="97" s="1"/>
  <c r="B62" i="97" s="1"/>
  <c r="B63" i="97" s="1"/>
  <c r="B64" i="97" s="1"/>
  <c r="B65" i="97" s="1"/>
  <c r="B66" i="97" s="1"/>
  <c r="B67" i="97" s="1"/>
  <c r="B68" i="97" s="1"/>
  <c r="B69" i="97" s="1"/>
  <c r="B70" i="97" s="1"/>
  <c r="N11" i="97"/>
  <c r="O11" i="97" s="1"/>
  <c r="O12" i="97" s="1"/>
  <c r="O13" i="97" s="1"/>
  <c r="O14" i="97" s="1"/>
  <c r="O15" i="97" s="1"/>
  <c r="O16" i="97" s="1"/>
  <c r="O17" i="97" s="1"/>
  <c r="O18" i="97" s="1"/>
  <c r="O19" i="97" s="1"/>
  <c r="O20" i="97" s="1"/>
  <c r="O21" i="97" s="1"/>
  <c r="O22" i="97" s="1"/>
  <c r="O35" i="97" s="1"/>
  <c r="O36" i="97" s="1"/>
  <c r="O37" i="97" s="1"/>
  <c r="O38" i="97" s="1"/>
  <c r="O39" i="97" s="1"/>
  <c r="O40" i="97" s="1"/>
  <c r="O41" i="97" s="1"/>
  <c r="O42" i="97" s="1"/>
  <c r="O43" i="97" s="1"/>
  <c r="O44" i="97" s="1"/>
  <c r="O45" i="97" s="1"/>
  <c r="O46" i="97" s="1"/>
  <c r="O47" i="97" s="1"/>
  <c r="O48" i="97" s="1"/>
  <c r="O49" i="97" s="1"/>
  <c r="O50" i="97" s="1"/>
  <c r="O51" i="97" s="1"/>
  <c r="O52" i="97" s="1"/>
  <c r="O53" i="97" s="1"/>
  <c r="O54" i="97" s="1"/>
  <c r="O55" i="97" s="1"/>
  <c r="O56" i="97" s="1"/>
  <c r="O57" i="97" s="1"/>
  <c r="O58" i="97" s="1"/>
  <c r="O59" i="97" s="1"/>
  <c r="O60" i="97" s="1"/>
  <c r="O61" i="97" s="1"/>
  <c r="O62" i="97" s="1"/>
  <c r="O63" i="97" s="1"/>
  <c r="O64" i="97" s="1"/>
  <c r="O65" i="97" s="1"/>
  <c r="O66" i="97" s="1"/>
  <c r="O67" i="97" s="1"/>
  <c r="O68" i="97" s="1"/>
  <c r="O69" i="97" s="1"/>
  <c r="O70" i="97" s="1"/>
  <c r="M11" i="97"/>
  <c r="M12" i="97" s="1"/>
  <c r="M13" i="97" s="1"/>
  <c r="M14" i="97" s="1"/>
  <c r="M15" i="97" s="1"/>
  <c r="M16" i="97" s="1"/>
  <c r="M17" i="97" s="1"/>
  <c r="M18" i="97" s="1"/>
  <c r="M19" i="97" s="1"/>
  <c r="M20" i="97" s="1"/>
  <c r="M21" i="97" s="1"/>
  <c r="M22" i="97" s="1"/>
  <c r="M35" i="97" s="1"/>
  <c r="M36" i="97" s="1"/>
  <c r="M37" i="97" s="1"/>
  <c r="M38" i="97" s="1"/>
  <c r="M39" i="97" s="1"/>
  <c r="M40" i="97" s="1"/>
  <c r="M41" i="97" s="1"/>
  <c r="M42" i="97" s="1"/>
  <c r="M43" i="97" s="1"/>
  <c r="M44" i="97" s="1"/>
  <c r="M45" i="97" s="1"/>
  <c r="M46" i="97" s="1"/>
  <c r="M47" i="97" s="1"/>
  <c r="M48" i="97" s="1"/>
  <c r="M49" i="97" s="1"/>
  <c r="M50" i="97" s="1"/>
  <c r="M51" i="97" s="1"/>
  <c r="M52" i="97" s="1"/>
  <c r="M53" i="97" s="1"/>
  <c r="M54" i="97" s="1"/>
  <c r="M55" i="97" s="1"/>
  <c r="M56" i="97" s="1"/>
  <c r="M57" i="97" s="1"/>
  <c r="M58" i="97" s="1"/>
  <c r="M59" i="97" s="1"/>
  <c r="M60" i="97" s="1"/>
  <c r="M61" i="97" s="1"/>
  <c r="M62" i="97" s="1"/>
  <c r="M63" i="97" s="1"/>
  <c r="M64" i="97" s="1"/>
  <c r="M65" i="97" s="1"/>
  <c r="M66" i="97" s="1"/>
  <c r="M67" i="97" s="1"/>
  <c r="M68" i="97" s="1"/>
  <c r="M69" i="97" s="1"/>
  <c r="M70" i="97" s="1"/>
  <c r="L11" i="97"/>
  <c r="L12" i="97" s="1"/>
  <c r="L13" i="97" s="1"/>
  <c r="L14" i="97" s="1"/>
  <c r="L15" i="97" s="1"/>
  <c r="L16" i="97" s="1"/>
  <c r="L17" i="97" s="1"/>
  <c r="L18" i="97" s="1"/>
  <c r="L19" i="97" s="1"/>
  <c r="L20" i="97" s="1"/>
  <c r="L21" i="97" s="1"/>
  <c r="L22" i="97" s="1"/>
  <c r="L35" i="97" s="1"/>
  <c r="L36" i="97" s="1"/>
  <c r="L37" i="97" s="1"/>
  <c r="L38" i="97" s="1"/>
  <c r="L39" i="97" s="1"/>
  <c r="L40" i="97" s="1"/>
  <c r="L41" i="97" s="1"/>
  <c r="L42" i="97" s="1"/>
  <c r="L43" i="97" s="1"/>
  <c r="L44" i="97" s="1"/>
  <c r="L45" i="97" s="1"/>
  <c r="L46" i="97" s="1"/>
  <c r="L47" i="97" s="1"/>
  <c r="L48" i="97" s="1"/>
  <c r="L49" i="97" s="1"/>
  <c r="L50" i="97" s="1"/>
  <c r="L51" i="97" s="1"/>
  <c r="L52" i="97" s="1"/>
  <c r="L53" i="97" s="1"/>
  <c r="L54" i="97" s="1"/>
  <c r="L55" i="97" s="1"/>
  <c r="L56" i="97" s="1"/>
  <c r="L57" i="97" s="1"/>
  <c r="L58" i="97" s="1"/>
  <c r="L59" i="97" s="1"/>
  <c r="L60" i="97" s="1"/>
  <c r="L61" i="97" s="1"/>
  <c r="L62" i="97" s="1"/>
  <c r="L63" i="97" s="1"/>
  <c r="L64" i="97" s="1"/>
  <c r="L65" i="97" s="1"/>
  <c r="L66" i="97" s="1"/>
  <c r="L67" i="97" s="1"/>
  <c r="L68" i="97" s="1"/>
  <c r="L69" i="97" s="1"/>
  <c r="L70" i="97" s="1"/>
  <c r="J11" i="97"/>
  <c r="J12" i="97" s="1"/>
  <c r="I11" i="97"/>
  <c r="I12" i="97" s="1"/>
  <c r="I13" i="97" s="1"/>
  <c r="I14" i="97" s="1"/>
  <c r="I15" i="97" s="1"/>
  <c r="I16" i="97" s="1"/>
  <c r="I17" i="97" s="1"/>
  <c r="I18" i="97" s="1"/>
  <c r="I19" i="97" s="1"/>
  <c r="I20" i="97" s="1"/>
  <c r="I21" i="97" s="1"/>
  <c r="I22" i="97" s="1"/>
  <c r="I35" i="97" s="1"/>
  <c r="I36" i="97" s="1"/>
  <c r="I37" i="97" s="1"/>
  <c r="I38" i="97" s="1"/>
  <c r="I39" i="97" s="1"/>
  <c r="I40" i="97" s="1"/>
  <c r="I41" i="97" s="1"/>
  <c r="I42" i="97" s="1"/>
  <c r="I43" i="97" s="1"/>
  <c r="I44" i="97" s="1"/>
  <c r="I45" i="97" s="1"/>
  <c r="I46" i="97" s="1"/>
  <c r="I47" i="97" s="1"/>
  <c r="I48" i="97" s="1"/>
  <c r="I49" i="97" s="1"/>
  <c r="I50" i="97" s="1"/>
  <c r="I51" i="97" s="1"/>
  <c r="I52" i="97" s="1"/>
  <c r="I53" i="97" s="1"/>
  <c r="I54" i="97" s="1"/>
  <c r="I55" i="97" s="1"/>
  <c r="I56" i="97" s="1"/>
  <c r="I57" i="97" s="1"/>
  <c r="I58" i="97" s="1"/>
  <c r="I59" i="97" s="1"/>
  <c r="I60" i="97" s="1"/>
  <c r="I61" i="97" s="1"/>
  <c r="I62" i="97" s="1"/>
  <c r="I63" i="97" s="1"/>
  <c r="I64" i="97" s="1"/>
  <c r="I65" i="97" s="1"/>
  <c r="I66" i="97" s="1"/>
  <c r="I67" i="97" s="1"/>
  <c r="I68" i="97" s="1"/>
  <c r="I69" i="97" s="1"/>
  <c r="I70" i="97" s="1"/>
  <c r="B10" i="97"/>
  <c r="P4" i="97"/>
  <c r="P3" i="97"/>
  <c r="R621" i="61" l="1"/>
  <c r="S621" i="61"/>
  <c r="H621" i="61"/>
  <c r="G621" i="61"/>
  <c r="D623" i="61"/>
  <c r="P622" i="61"/>
  <c r="Q622" i="61" s="1"/>
  <c r="E622" i="61"/>
  <c r="F622" i="61" s="1"/>
  <c r="C622" i="61"/>
  <c r="T620" i="61"/>
  <c r="U620" i="61" s="1"/>
  <c r="J13" i="97"/>
  <c r="C12" i="97"/>
  <c r="H60" i="45"/>
  <c r="G60" i="45"/>
  <c r="D15" i="95"/>
  <c r="E39" i="97"/>
  <c r="F39" i="97" s="1"/>
  <c r="H39" i="97" s="1"/>
  <c r="H204" i="89"/>
  <c r="G204" i="89"/>
  <c r="K40" i="97"/>
  <c r="C206" i="89"/>
  <c r="Q110" i="88"/>
  <c r="K59" i="97"/>
  <c r="E59" i="97"/>
  <c r="F59" i="97" s="1"/>
  <c r="E41" i="97"/>
  <c r="F41" i="97" s="1"/>
  <c r="H41" i="97" s="1"/>
  <c r="E36" i="97"/>
  <c r="F36" i="97" s="1"/>
  <c r="G36" i="97" s="1"/>
  <c r="K44" i="97"/>
  <c r="K43" i="97"/>
  <c r="C62" i="45"/>
  <c r="K17" i="96"/>
  <c r="Q110" i="93"/>
  <c r="K36" i="97"/>
  <c r="J195" i="95"/>
  <c r="J171" i="95"/>
  <c r="J147" i="95"/>
  <c r="J123" i="95"/>
  <c r="J99" i="95"/>
  <c r="J75" i="95"/>
  <c r="J51" i="95"/>
  <c r="J27" i="95"/>
  <c r="S14" i="96"/>
  <c r="U14" i="96" s="1"/>
  <c r="V14" i="96" s="1"/>
  <c r="U13" i="96"/>
  <c r="V13" i="96" s="1"/>
  <c r="D18" i="96"/>
  <c r="P12" i="98"/>
  <c r="P13" i="98" s="1"/>
  <c r="P14" i="98" s="1"/>
  <c r="P15" i="98" s="1"/>
  <c r="P16" i="98" s="1"/>
  <c r="P17" i="98" s="1"/>
  <c r="P18" i="98" s="1"/>
  <c r="P27" i="98" s="1"/>
  <c r="P28" i="98" s="1"/>
  <c r="P29" i="98" s="1"/>
  <c r="P30" i="98" s="1"/>
  <c r="P31" i="98" s="1"/>
  <c r="P32" i="98" s="1"/>
  <c r="P33" i="98" s="1"/>
  <c r="P34" i="98" s="1"/>
  <c r="P35" i="98" s="1"/>
  <c r="P36" i="98" s="1"/>
  <c r="P37" i="98" s="1"/>
  <c r="P38" i="98" s="1"/>
  <c r="P39" i="98" s="1"/>
  <c r="P40" i="98" s="1"/>
  <c r="P41" i="98" s="1"/>
  <c r="P42" i="98" s="1"/>
  <c r="P43" i="98" s="1"/>
  <c r="P44" i="98" s="1"/>
  <c r="P45" i="98" s="1"/>
  <c r="P46" i="98" s="1"/>
  <c r="P47" i="98" s="1"/>
  <c r="P48" i="98" s="1"/>
  <c r="P49" i="98" s="1"/>
  <c r="P50" i="98" s="1"/>
  <c r="N12" i="97"/>
  <c r="N13" i="97" s="1"/>
  <c r="N14" i="97" s="1"/>
  <c r="N15" i="97" s="1"/>
  <c r="N16" i="97" s="1"/>
  <c r="N17" i="97" s="1"/>
  <c r="N18" i="97" s="1"/>
  <c r="N19" i="97" s="1"/>
  <c r="N20" i="97" s="1"/>
  <c r="N21" i="97" s="1"/>
  <c r="N22" i="97" s="1"/>
  <c r="N35" i="97" s="1"/>
  <c r="N36" i="97" s="1"/>
  <c r="N37" i="97" s="1"/>
  <c r="N38" i="97" s="1"/>
  <c r="N39" i="97" s="1"/>
  <c r="N40" i="97" s="1"/>
  <c r="N41" i="97" s="1"/>
  <c r="N42" i="97" s="1"/>
  <c r="N43" i="97" s="1"/>
  <c r="N44" i="97" s="1"/>
  <c r="N45" i="97" s="1"/>
  <c r="N46" i="97" s="1"/>
  <c r="N47" i="97" s="1"/>
  <c r="N48" i="97" s="1"/>
  <c r="N49" i="97" s="1"/>
  <c r="N50" i="97" s="1"/>
  <c r="N51" i="97" s="1"/>
  <c r="N52" i="97" s="1"/>
  <c r="N53" i="97" s="1"/>
  <c r="N54" i="97" s="1"/>
  <c r="N55" i="97" s="1"/>
  <c r="N56" i="97" s="1"/>
  <c r="N57" i="97" s="1"/>
  <c r="N58" i="97" s="1"/>
  <c r="N59" i="97" s="1"/>
  <c r="N60" i="97" s="1"/>
  <c r="N61" i="97" s="1"/>
  <c r="N62" i="97" s="1"/>
  <c r="N63" i="97" s="1"/>
  <c r="N64" i="97" s="1"/>
  <c r="N65" i="97" s="1"/>
  <c r="N66" i="97" s="1"/>
  <c r="N67" i="97" s="1"/>
  <c r="N68" i="97" s="1"/>
  <c r="N69" i="97" s="1"/>
  <c r="N70" i="97" s="1"/>
  <c r="J134" i="96"/>
  <c r="S27" i="95"/>
  <c r="Q28" i="95"/>
  <c r="T12" i="95"/>
  <c r="U12" i="95" s="1"/>
  <c r="R13" i="95"/>
  <c r="J89" i="94"/>
  <c r="J110" i="94"/>
  <c r="J150" i="94"/>
  <c r="J103" i="94"/>
  <c r="J76" i="94"/>
  <c r="J136" i="94"/>
  <c r="J122" i="94"/>
  <c r="R26" i="94"/>
  <c r="T25" i="94"/>
  <c r="U24" i="94"/>
  <c r="V24" i="94" s="1"/>
  <c r="S25" i="94"/>
  <c r="U12" i="94"/>
  <c r="V12" i="94" s="1"/>
  <c r="S13" i="94"/>
  <c r="D16" i="94"/>
  <c r="Q123" i="93"/>
  <c r="H112" i="93"/>
  <c r="G112" i="93"/>
  <c r="D114" i="93"/>
  <c r="K113" i="93"/>
  <c r="E113" i="93"/>
  <c r="F113" i="93" s="1"/>
  <c r="H205" i="92"/>
  <c r="G205" i="92"/>
  <c r="D207" i="92"/>
  <c r="E206" i="92"/>
  <c r="F206" i="92" s="1"/>
  <c r="K206" i="92"/>
  <c r="C206" i="92" s="1"/>
  <c r="K205" i="91"/>
  <c r="C205" i="91" s="1"/>
  <c r="D206" i="91"/>
  <c r="E205" i="91"/>
  <c r="F205" i="91" s="1"/>
  <c r="H204" i="91"/>
  <c r="G204" i="91"/>
  <c r="E61" i="46"/>
  <c r="F61" i="46" s="1"/>
  <c r="K61" i="46"/>
  <c r="C61" i="46" s="1"/>
  <c r="D62" i="46"/>
  <c r="H60" i="46"/>
  <c r="G60" i="46"/>
  <c r="H113" i="88"/>
  <c r="G113" i="88"/>
  <c r="Q123" i="88"/>
  <c r="D115" i="88"/>
  <c r="K114" i="88"/>
  <c r="E114" i="88"/>
  <c r="F114" i="88" s="1"/>
  <c r="K206" i="89"/>
  <c r="D207" i="89"/>
  <c r="E206" i="89"/>
  <c r="F206" i="89" s="1"/>
  <c r="H205" i="89"/>
  <c r="G205" i="89"/>
  <c r="H204" i="87"/>
  <c r="G204" i="87"/>
  <c r="E205" i="87"/>
  <c r="F205" i="87" s="1"/>
  <c r="K205" i="87"/>
  <c r="C205" i="87" s="1"/>
  <c r="D206" i="87"/>
  <c r="E62" i="45"/>
  <c r="F62" i="45" s="1"/>
  <c r="D63" i="45"/>
  <c r="K62" i="45"/>
  <c r="H61" i="45"/>
  <c r="G61" i="45"/>
  <c r="E14" i="98"/>
  <c r="D15" i="98"/>
  <c r="E28" i="98"/>
  <c r="D29" i="98"/>
  <c r="E43" i="97"/>
  <c r="F43" i="97" s="1"/>
  <c r="H43" i="97" s="1"/>
  <c r="H14" i="97"/>
  <c r="G14" i="97"/>
  <c r="H22" i="97"/>
  <c r="G22" i="97"/>
  <c r="H18" i="97"/>
  <c r="G18" i="97"/>
  <c r="H38" i="97"/>
  <c r="G38" i="97"/>
  <c r="H16" i="97"/>
  <c r="G16" i="97"/>
  <c r="K17" i="97"/>
  <c r="E17" i="97"/>
  <c r="F17" i="97" s="1"/>
  <c r="H45" i="97"/>
  <c r="G45" i="97"/>
  <c r="K19" i="97"/>
  <c r="E19" i="97"/>
  <c r="F19" i="97" s="1"/>
  <c r="K11" i="97"/>
  <c r="C11" i="97" s="1"/>
  <c r="E11" i="97"/>
  <c r="F11" i="97" s="1"/>
  <c r="H36" i="97"/>
  <c r="K37" i="97"/>
  <c r="E37" i="97"/>
  <c r="F37" i="97" s="1"/>
  <c r="H12" i="97"/>
  <c r="G12" i="97"/>
  <c r="H20" i="97"/>
  <c r="G20" i="97"/>
  <c r="K21" i="97"/>
  <c r="E21" i="97"/>
  <c r="F21" i="97" s="1"/>
  <c r="K13" i="97"/>
  <c r="E13" i="97"/>
  <c r="F13" i="97" s="1"/>
  <c r="K15" i="97"/>
  <c r="E15" i="97"/>
  <c r="F15" i="97" s="1"/>
  <c r="K35" i="97"/>
  <c r="E35" i="97"/>
  <c r="F35" i="97" s="1"/>
  <c r="K42" i="97"/>
  <c r="E42" i="97"/>
  <c r="F42" i="97" s="1"/>
  <c r="E46" i="97"/>
  <c r="F46" i="97" s="1"/>
  <c r="E40" i="97"/>
  <c r="F40" i="97" s="1"/>
  <c r="E44" i="97"/>
  <c r="F44" i="97" s="1"/>
  <c r="G59" i="97"/>
  <c r="H59" i="97"/>
  <c r="G39" i="97" l="1"/>
  <c r="T621" i="61"/>
  <c r="U621" i="61" s="1"/>
  <c r="H622" i="61"/>
  <c r="G622" i="61"/>
  <c r="R622" i="61"/>
  <c r="S622" i="61"/>
  <c r="T622" i="61" s="1"/>
  <c r="U622" i="61" s="1"/>
  <c r="P623" i="61"/>
  <c r="Q623" i="61" s="1"/>
  <c r="E623" i="61"/>
  <c r="F623" i="61" s="1"/>
  <c r="C623" i="61"/>
  <c r="D624" i="61"/>
  <c r="G41" i="97"/>
  <c r="G43" i="97"/>
  <c r="Q111" i="93"/>
  <c r="D16" i="95"/>
  <c r="Q111" i="88"/>
  <c r="K18" i="96"/>
  <c r="J14" i="97"/>
  <c r="C13" i="97"/>
  <c r="J196" i="95"/>
  <c r="J172" i="95"/>
  <c r="J148" i="95"/>
  <c r="J124" i="95"/>
  <c r="J100" i="95"/>
  <c r="J76" i="95"/>
  <c r="J52" i="95"/>
  <c r="J28" i="95"/>
  <c r="D19" i="96"/>
  <c r="J135" i="96"/>
  <c r="R14" i="95"/>
  <c r="T13" i="95"/>
  <c r="U13" i="95" s="1"/>
  <c r="S28" i="95"/>
  <c r="Q29" i="95"/>
  <c r="J151" i="94"/>
  <c r="J123" i="94"/>
  <c r="J137" i="94"/>
  <c r="J111" i="94"/>
  <c r="J104" i="94"/>
  <c r="J77" i="94"/>
  <c r="J90" i="94"/>
  <c r="U13" i="94"/>
  <c r="V13" i="94" s="1"/>
  <c r="S14" i="94"/>
  <c r="U25" i="94"/>
  <c r="V25" i="94" s="1"/>
  <c r="S26" i="94"/>
  <c r="T26" i="94"/>
  <c r="R27" i="94"/>
  <c r="D17" i="94"/>
  <c r="H113" i="93"/>
  <c r="G113" i="93"/>
  <c r="Q124" i="93"/>
  <c r="D115" i="93"/>
  <c r="K114" i="93"/>
  <c r="E114" i="93"/>
  <c r="F114" i="93" s="1"/>
  <c r="H206" i="92"/>
  <c r="G206" i="92"/>
  <c r="K207" i="92"/>
  <c r="C207" i="92" s="1"/>
  <c r="E207" i="92"/>
  <c r="F207" i="92" s="1"/>
  <c r="D208" i="92"/>
  <c r="D207" i="91"/>
  <c r="K206" i="91"/>
  <c r="C206" i="91" s="1"/>
  <c r="E206" i="91"/>
  <c r="F206" i="91" s="1"/>
  <c r="H205" i="91"/>
  <c r="G205" i="91"/>
  <c r="K62" i="46"/>
  <c r="C62" i="46" s="1"/>
  <c r="D63" i="46"/>
  <c r="E62" i="46"/>
  <c r="F62" i="46" s="1"/>
  <c r="H61" i="46"/>
  <c r="G61" i="46"/>
  <c r="D116" i="88"/>
  <c r="K115" i="88"/>
  <c r="E115" i="88"/>
  <c r="F115" i="88" s="1"/>
  <c r="Q124" i="88"/>
  <c r="H114" i="88"/>
  <c r="G114" i="88"/>
  <c r="H206" i="89"/>
  <c r="G206" i="89"/>
  <c r="K207" i="89"/>
  <c r="C207" i="89" s="1"/>
  <c r="E207" i="89"/>
  <c r="F207" i="89" s="1"/>
  <c r="D208" i="89"/>
  <c r="E206" i="87"/>
  <c r="F206" i="87" s="1"/>
  <c r="D207" i="87"/>
  <c r="K206" i="87"/>
  <c r="C206" i="87" s="1"/>
  <c r="H205" i="87"/>
  <c r="G205" i="87"/>
  <c r="E63" i="45"/>
  <c r="F63" i="45" s="1"/>
  <c r="D64" i="45"/>
  <c r="K63" i="45"/>
  <c r="C63" i="45" s="1"/>
  <c r="H62" i="45"/>
  <c r="G62" i="45"/>
  <c r="D30" i="98"/>
  <c r="E29" i="98"/>
  <c r="D16" i="98"/>
  <c r="E15" i="98"/>
  <c r="H44" i="97"/>
  <c r="G44" i="97"/>
  <c r="H42" i="97"/>
  <c r="G42" i="97"/>
  <c r="G15" i="97"/>
  <c r="H15" i="97"/>
  <c r="G37" i="97"/>
  <c r="H37" i="97"/>
  <c r="G11" i="97"/>
  <c r="H11" i="97"/>
  <c r="G17" i="97"/>
  <c r="H17" i="97"/>
  <c r="H40" i="97"/>
  <c r="G40" i="97"/>
  <c r="H46" i="97"/>
  <c r="G46" i="97"/>
  <c r="E60" i="97"/>
  <c r="F60" i="97" s="1"/>
  <c r="K60" i="97"/>
  <c r="G35" i="97"/>
  <c r="H35" i="97"/>
  <c r="G13" i="97"/>
  <c r="H13" i="97"/>
  <c r="G21" i="97"/>
  <c r="H21" i="97"/>
  <c r="G19" i="97"/>
  <c r="H19" i="97"/>
  <c r="C624" i="61" l="1"/>
  <c r="D625" i="61"/>
  <c r="P624" i="61"/>
  <c r="Q624" i="61" s="1"/>
  <c r="E624" i="61"/>
  <c r="F624" i="61" s="1"/>
  <c r="G623" i="61"/>
  <c r="H623" i="61"/>
  <c r="S623" i="61"/>
  <c r="R623" i="61"/>
  <c r="K19" i="96"/>
  <c r="D17" i="95"/>
  <c r="J15" i="97"/>
  <c r="C14" i="97"/>
  <c r="Q112" i="88"/>
  <c r="Q112" i="93"/>
  <c r="C208" i="92"/>
  <c r="J197" i="95"/>
  <c r="J173" i="95"/>
  <c r="J149" i="95"/>
  <c r="J125" i="95"/>
  <c r="J101" i="95"/>
  <c r="J77" i="95"/>
  <c r="J53" i="95"/>
  <c r="J29" i="95"/>
  <c r="D20" i="96"/>
  <c r="J136" i="96"/>
  <c r="S15" i="96"/>
  <c r="Q30" i="95"/>
  <c r="S29" i="95"/>
  <c r="R15" i="95"/>
  <c r="T14" i="95"/>
  <c r="U14" i="95" s="1"/>
  <c r="J112" i="94"/>
  <c r="J138" i="94"/>
  <c r="J91" i="94"/>
  <c r="J78" i="94"/>
  <c r="J124" i="94"/>
  <c r="J105" i="94"/>
  <c r="J152" i="94"/>
  <c r="S27" i="94"/>
  <c r="U26" i="94"/>
  <c r="V26" i="94" s="1"/>
  <c r="T27" i="94"/>
  <c r="R28" i="94"/>
  <c r="S15" i="94"/>
  <c r="U14" i="94"/>
  <c r="V14" i="94" s="1"/>
  <c r="D18" i="94"/>
  <c r="D116" i="93"/>
  <c r="K115" i="93"/>
  <c r="E115" i="93"/>
  <c r="F115" i="93" s="1"/>
  <c r="Q125" i="93"/>
  <c r="H114" i="93"/>
  <c r="G114" i="93"/>
  <c r="H207" i="92"/>
  <c r="G207" i="92"/>
  <c r="D209" i="92"/>
  <c r="K208" i="92"/>
  <c r="E208" i="92"/>
  <c r="F208" i="92" s="1"/>
  <c r="H206" i="91"/>
  <c r="G206" i="91"/>
  <c r="K207" i="91"/>
  <c r="C207" i="91" s="1"/>
  <c r="D208" i="91"/>
  <c r="E207" i="91"/>
  <c r="F207" i="91" s="1"/>
  <c r="H62" i="46"/>
  <c r="G62" i="46"/>
  <c r="E63" i="46"/>
  <c r="F63" i="46" s="1"/>
  <c r="K63" i="46"/>
  <c r="C63" i="46" s="1"/>
  <c r="D64" i="46"/>
  <c r="Q125" i="88"/>
  <c r="H115" i="88"/>
  <c r="G115" i="88"/>
  <c r="D117" i="88"/>
  <c r="K116" i="88"/>
  <c r="E116" i="88"/>
  <c r="F116" i="88" s="1"/>
  <c r="D209" i="89"/>
  <c r="K208" i="89"/>
  <c r="C208" i="89" s="1"/>
  <c r="E208" i="89"/>
  <c r="F208" i="89" s="1"/>
  <c r="H207" i="89"/>
  <c r="G207" i="89"/>
  <c r="E207" i="87"/>
  <c r="F207" i="87" s="1"/>
  <c r="K207" i="87"/>
  <c r="C207" i="87" s="1"/>
  <c r="D208" i="87"/>
  <c r="H206" i="87"/>
  <c r="G206" i="87"/>
  <c r="E64" i="45"/>
  <c r="F64" i="45" s="1"/>
  <c r="D65" i="45"/>
  <c r="K64" i="45"/>
  <c r="C64" i="45" s="1"/>
  <c r="H63" i="45"/>
  <c r="G63" i="45"/>
  <c r="E16" i="98"/>
  <c r="D17" i="98"/>
  <c r="D31" i="98"/>
  <c r="E30" i="98"/>
  <c r="H60" i="97"/>
  <c r="G60" i="97"/>
  <c r="K61" i="97"/>
  <c r="E61" i="97"/>
  <c r="F61" i="97" s="1"/>
  <c r="T623" i="61" l="1"/>
  <c r="U623" i="61" s="1"/>
  <c r="H624" i="61"/>
  <c r="G624" i="61"/>
  <c r="R624" i="61"/>
  <c r="S624" i="61"/>
  <c r="D626" i="61"/>
  <c r="P625" i="61"/>
  <c r="Q625" i="61" s="1"/>
  <c r="E625" i="61"/>
  <c r="F625" i="61" s="1"/>
  <c r="C625" i="61"/>
  <c r="Q113" i="93"/>
  <c r="K20" i="96"/>
  <c r="D18" i="95"/>
  <c r="C64" i="46"/>
  <c r="Q113" i="88"/>
  <c r="J16" i="97"/>
  <c r="C15" i="97"/>
  <c r="J198" i="95"/>
  <c r="J174" i="95"/>
  <c r="J150" i="95"/>
  <c r="J126" i="95"/>
  <c r="J102" i="95"/>
  <c r="J78" i="95"/>
  <c r="J54" i="95"/>
  <c r="J30" i="95"/>
  <c r="D21" i="96"/>
  <c r="J137" i="96"/>
  <c r="U15" i="96"/>
  <c r="V15" i="96" s="1"/>
  <c r="S16" i="96"/>
  <c r="R16" i="95"/>
  <c r="T15" i="95"/>
  <c r="U15" i="95" s="1"/>
  <c r="Q31" i="95"/>
  <c r="S30" i="95"/>
  <c r="J153" i="94"/>
  <c r="J92" i="94"/>
  <c r="J106" i="94"/>
  <c r="J139" i="94"/>
  <c r="J79" i="94"/>
  <c r="J125" i="94"/>
  <c r="J113" i="94"/>
  <c r="T28" i="94"/>
  <c r="R29" i="94"/>
  <c r="S16" i="94"/>
  <c r="U15" i="94"/>
  <c r="V15" i="94" s="1"/>
  <c r="S28" i="94"/>
  <c r="U27" i="94"/>
  <c r="V27" i="94" s="1"/>
  <c r="D19" i="94"/>
  <c r="Q126" i="93"/>
  <c r="H115" i="93"/>
  <c r="G115" i="93"/>
  <c r="D117" i="93"/>
  <c r="K116" i="93"/>
  <c r="E116" i="93"/>
  <c r="F116" i="93" s="1"/>
  <c r="H208" i="92"/>
  <c r="G208" i="92"/>
  <c r="E209" i="92"/>
  <c r="F209" i="92" s="1"/>
  <c r="D210" i="92"/>
  <c r="K209" i="92"/>
  <c r="C209" i="92" s="1"/>
  <c r="E208" i="91"/>
  <c r="F208" i="91" s="1"/>
  <c r="D209" i="91"/>
  <c r="K208" i="91"/>
  <c r="C208" i="91" s="1"/>
  <c r="H207" i="91"/>
  <c r="G207" i="91"/>
  <c r="E64" i="46"/>
  <c r="F64" i="46" s="1"/>
  <c r="K64" i="46"/>
  <c r="D65" i="46"/>
  <c r="H63" i="46"/>
  <c r="G63" i="46"/>
  <c r="Q126" i="88"/>
  <c r="E117" i="88"/>
  <c r="F117" i="88" s="1"/>
  <c r="D118" i="88"/>
  <c r="K117" i="88"/>
  <c r="H116" i="88"/>
  <c r="G116" i="88"/>
  <c r="H208" i="89"/>
  <c r="G208" i="89"/>
  <c r="D210" i="89"/>
  <c r="E209" i="89"/>
  <c r="F209" i="89" s="1"/>
  <c r="K209" i="89"/>
  <c r="C209" i="89" s="1"/>
  <c r="K208" i="87"/>
  <c r="C208" i="87" s="1"/>
  <c r="D209" i="87"/>
  <c r="E208" i="87"/>
  <c r="F208" i="87" s="1"/>
  <c r="H207" i="87"/>
  <c r="G207" i="87"/>
  <c r="D66" i="45"/>
  <c r="K65" i="45"/>
  <c r="C65" i="45" s="1"/>
  <c r="E65" i="45"/>
  <c r="F65" i="45" s="1"/>
  <c r="H64" i="45"/>
  <c r="G64" i="45"/>
  <c r="D18" i="98"/>
  <c r="E18" i="98" s="1"/>
  <c r="E17" i="98"/>
  <c r="E31" i="98"/>
  <c r="D32" i="98"/>
  <c r="E62" i="97"/>
  <c r="F62" i="97" s="1"/>
  <c r="K62" i="97"/>
  <c r="G61" i="97"/>
  <c r="H61" i="97"/>
  <c r="T624" i="61" l="1"/>
  <c r="U624" i="61" s="1"/>
  <c r="R625" i="61"/>
  <c r="S625" i="61"/>
  <c r="H625" i="61"/>
  <c r="G625" i="61"/>
  <c r="E626" i="61"/>
  <c r="F626" i="61" s="1"/>
  <c r="C626" i="61"/>
  <c r="P626" i="61"/>
  <c r="Q626" i="61" s="1"/>
  <c r="D627" i="61"/>
  <c r="K21" i="96"/>
  <c r="Q114" i="93"/>
  <c r="J17" i="97"/>
  <c r="C16" i="97"/>
  <c r="Q114" i="88"/>
  <c r="D19" i="95"/>
  <c r="J199" i="95"/>
  <c r="J175" i="95"/>
  <c r="J151" i="95"/>
  <c r="J127" i="95"/>
  <c r="J103" i="95"/>
  <c r="J79" i="95"/>
  <c r="J55" i="95"/>
  <c r="J31" i="95"/>
  <c r="D22" i="96"/>
  <c r="J138" i="96"/>
  <c r="U16" i="96"/>
  <c r="V16" i="96" s="1"/>
  <c r="S17" i="96"/>
  <c r="T16" i="95"/>
  <c r="U16" i="95" s="1"/>
  <c r="R17" i="95"/>
  <c r="S31" i="95"/>
  <c r="Q32" i="95"/>
  <c r="J140" i="94"/>
  <c r="J114" i="94"/>
  <c r="J126" i="94"/>
  <c r="J93" i="94"/>
  <c r="J80" i="94"/>
  <c r="J154" i="94"/>
  <c r="U28" i="94"/>
  <c r="V28" i="94" s="1"/>
  <c r="S29" i="94"/>
  <c r="U16" i="94"/>
  <c r="V16" i="94" s="1"/>
  <c r="S17" i="94"/>
  <c r="R30" i="94"/>
  <c r="T29" i="94"/>
  <c r="D20" i="94"/>
  <c r="H116" i="93"/>
  <c r="G116" i="93"/>
  <c r="Q127" i="93"/>
  <c r="D118" i="93"/>
  <c r="K117" i="93"/>
  <c r="E117" i="93"/>
  <c r="F117" i="93" s="1"/>
  <c r="E210" i="92"/>
  <c r="F210" i="92" s="1"/>
  <c r="D211" i="92"/>
  <c r="K210" i="92"/>
  <c r="C210" i="92" s="1"/>
  <c r="H209" i="92"/>
  <c r="G209" i="92"/>
  <c r="D210" i="91"/>
  <c r="K209" i="91"/>
  <c r="C209" i="91" s="1"/>
  <c r="E209" i="91"/>
  <c r="F209" i="91" s="1"/>
  <c r="H208" i="91"/>
  <c r="G208" i="91"/>
  <c r="E65" i="46"/>
  <c r="F65" i="46" s="1"/>
  <c r="K65" i="46"/>
  <c r="C65" i="46" s="1"/>
  <c r="D66" i="46"/>
  <c r="H64" i="46"/>
  <c r="G64" i="46"/>
  <c r="H117" i="88"/>
  <c r="G117" i="88"/>
  <c r="E118" i="88"/>
  <c r="F118" i="88" s="1"/>
  <c r="D119" i="88"/>
  <c r="K118" i="88"/>
  <c r="Q127" i="88"/>
  <c r="H209" i="89"/>
  <c r="G209" i="89"/>
  <c r="D211" i="89"/>
  <c r="K210" i="89"/>
  <c r="C210" i="89" s="1"/>
  <c r="E210" i="89"/>
  <c r="F210" i="89" s="1"/>
  <c r="H208" i="87"/>
  <c r="G208" i="87"/>
  <c r="D210" i="87"/>
  <c r="K209" i="87"/>
  <c r="C209" i="87" s="1"/>
  <c r="E209" i="87"/>
  <c r="F209" i="87" s="1"/>
  <c r="H65" i="45"/>
  <c r="G65" i="45"/>
  <c r="E66" i="45"/>
  <c r="F66" i="45" s="1"/>
  <c r="D67" i="45"/>
  <c r="K66" i="45"/>
  <c r="C66" i="45" s="1"/>
  <c r="E32" i="98"/>
  <c r="D33" i="98"/>
  <c r="K63" i="97"/>
  <c r="E63" i="97"/>
  <c r="F63" i="97" s="1"/>
  <c r="H62" i="97"/>
  <c r="G62" i="97"/>
  <c r="T625" i="61" l="1"/>
  <c r="U625" i="61" s="1"/>
  <c r="R626" i="61"/>
  <c r="S626" i="61"/>
  <c r="T626" i="61" s="1"/>
  <c r="U626" i="61" s="1"/>
  <c r="D628" i="61"/>
  <c r="P627" i="61"/>
  <c r="Q627" i="61" s="1"/>
  <c r="E627" i="61"/>
  <c r="F627" i="61" s="1"/>
  <c r="C627" i="61"/>
  <c r="H626" i="61"/>
  <c r="G626" i="61"/>
  <c r="D20" i="95"/>
  <c r="J18" i="97"/>
  <c r="C17" i="97"/>
  <c r="Q115" i="88"/>
  <c r="Q115" i="93"/>
  <c r="J200" i="95"/>
  <c r="J176" i="95"/>
  <c r="J152" i="95"/>
  <c r="J128" i="95"/>
  <c r="J104" i="95"/>
  <c r="J80" i="95"/>
  <c r="J56" i="95"/>
  <c r="J32" i="95"/>
  <c r="K22" i="96"/>
  <c r="D23" i="96"/>
  <c r="J139" i="96"/>
  <c r="S18" i="96"/>
  <c r="U17" i="96"/>
  <c r="V17" i="96" s="1"/>
  <c r="T17" i="95"/>
  <c r="U17" i="95" s="1"/>
  <c r="R18" i="95"/>
  <c r="S32" i="95"/>
  <c r="Q33" i="95"/>
  <c r="J127" i="94"/>
  <c r="J115" i="94"/>
  <c r="J94" i="94"/>
  <c r="J81" i="94"/>
  <c r="J141" i="94"/>
  <c r="T30" i="94"/>
  <c r="R31" i="94"/>
  <c r="U17" i="94"/>
  <c r="V17" i="94" s="1"/>
  <c r="S18" i="94"/>
  <c r="U29" i="94"/>
  <c r="V29" i="94" s="1"/>
  <c r="S30" i="94"/>
  <c r="D21" i="94"/>
  <c r="D119" i="93"/>
  <c r="K118" i="93"/>
  <c r="E118" i="93"/>
  <c r="F118" i="93" s="1"/>
  <c r="Q128" i="93"/>
  <c r="H117" i="93"/>
  <c r="G117" i="93"/>
  <c r="E211" i="92"/>
  <c r="F211" i="92" s="1"/>
  <c r="K211" i="92"/>
  <c r="C211" i="92" s="1"/>
  <c r="D212" i="92"/>
  <c r="H210" i="92"/>
  <c r="G210" i="92"/>
  <c r="G209" i="91"/>
  <c r="H209" i="91"/>
  <c r="D211" i="91"/>
  <c r="E210" i="91"/>
  <c r="F210" i="91" s="1"/>
  <c r="K210" i="91"/>
  <c r="C210" i="91" s="1"/>
  <c r="E66" i="46"/>
  <c r="F66" i="46" s="1"/>
  <c r="K66" i="46"/>
  <c r="C66" i="46" s="1"/>
  <c r="D67" i="46"/>
  <c r="H65" i="46"/>
  <c r="G65" i="46"/>
  <c r="Q128" i="88"/>
  <c r="H118" i="88"/>
  <c r="G118" i="88"/>
  <c r="E119" i="88"/>
  <c r="F119" i="88" s="1"/>
  <c r="D120" i="88"/>
  <c r="K119" i="88"/>
  <c r="D212" i="89"/>
  <c r="K211" i="89"/>
  <c r="C211" i="89" s="1"/>
  <c r="E211" i="89"/>
  <c r="F211" i="89" s="1"/>
  <c r="H210" i="89"/>
  <c r="G210" i="89"/>
  <c r="E210" i="87"/>
  <c r="F210" i="87" s="1"/>
  <c r="D211" i="87"/>
  <c r="K210" i="87"/>
  <c r="C210" i="87" s="1"/>
  <c r="H209" i="87"/>
  <c r="G209" i="87"/>
  <c r="E67" i="45"/>
  <c r="F67" i="45" s="1"/>
  <c r="D68" i="45"/>
  <c r="K67" i="45"/>
  <c r="C67" i="45" s="1"/>
  <c r="H66" i="45"/>
  <c r="G66" i="45"/>
  <c r="D34" i="98"/>
  <c r="E34" i="98" s="1"/>
  <c r="E33" i="98"/>
  <c r="G63" i="97"/>
  <c r="H63" i="97"/>
  <c r="E64" i="97"/>
  <c r="F64" i="97" s="1"/>
  <c r="K64" i="97"/>
  <c r="H627" i="61" l="1"/>
  <c r="G627" i="61"/>
  <c r="R627" i="61"/>
  <c r="S627" i="61"/>
  <c r="T627" i="61" s="1"/>
  <c r="U627" i="61" s="1"/>
  <c r="D629" i="61"/>
  <c r="P628" i="61"/>
  <c r="Q628" i="61" s="1"/>
  <c r="E628" i="61"/>
  <c r="F628" i="61" s="1"/>
  <c r="C628" i="61"/>
  <c r="J19" i="97"/>
  <c r="C18" i="97"/>
  <c r="K23" i="96"/>
  <c r="Q116" i="93"/>
  <c r="D21" i="95"/>
  <c r="Q116" i="88"/>
  <c r="J201" i="95"/>
  <c r="J177" i="95"/>
  <c r="J153" i="95"/>
  <c r="J129" i="95"/>
  <c r="J105" i="95"/>
  <c r="J81" i="95"/>
  <c r="J57" i="95"/>
  <c r="J33" i="95"/>
  <c r="D24" i="96"/>
  <c r="J140" i="96"/>
  <c r="S19" i="96"/>
  <c r="U18" i="96"/>
  <c r="V18" i="96" s="1"/>
  <c r="R19" i="95"/>
  <c r="T18" i="95"/>
  <c r="U18" i="95" s="1"/>
  <c r="Q34" i="95"/>
  <c r="S34" i="95" s="1"/>
  <c r="S33" i="95"/>
  <c r="J82" i="94"/>
  <c r="J116" i="94"/>
  <c r="J142" i="94"/>
  <c r="J128" i="94"/>
  <c r="T31" i="94"/>
  <c r="R32" i="94"/>
  <c r="S31" i="94"/>
  <c r="U30" i="94"/>
  <c r="V30" i="94" s="1"/>
  <c r="S19" i="94"/>
  <c r="U18" i="94"/>
  <c r="V18" i="94" s="1"/>
  <c r="D22" i="94"/>
  <c r="Q129" i="93"/>
  <c r="H118" i="93"/>
  <c r="G118" i="93"/>
  <c r="D120" i="93"/>
  <c r="K119" i="93"/>
  <c r="E119" i="93"/>
  <c r="F119" i="93" s="1"/>
  <c r="E212" i="92"/>
  <c r="F212" i="92" s="1"/>
  <c r="D213" i="92"/>
  <c r="K212" i="92"/>
  <c r="C212" i="92" s="1"/>
  <c r="H211" i="92"/>
  <c r="G211" i="92"/>
  <c r="G210" i="91"/>
  <c r="H210" i="91"/>
  <c r="E211" i="91"/>
  <c r="F211" i="91" s="1"/>
  <c r="D212" i="91"/>
  <c r="K211" i="91"/>
  <c r="C211" i="91" s="1"/>
  <c r="E67" i="46"/>
  <c r="F67" i="46" s="1"/>
  <c r="K67" i="46"/>
  <c r="C67" i="46" s="1"/>
  <c r="D68" i="46"/>
  <c r="H66" i="46"/>
  <c r="G66" i="46"/>
  <c r="E120" i="88"/>
  <c r="F120" i="88" s="1"/>
  <c r="D121" i="88"/>
  <c r="K120" i="88"/>
  <c r="H119" i="88"/>
  <c r="G119" i="88"/>
  <c r="Q129" i="88"/>
  <c r="H211" i="89"/>
  <c r="G211" i="89"/>
  <c r="D213" i="89"/>
  <c r="E212" i="89"/>
  <c r="F212" i="89" s="1"/>
  <c r="K212" i="89"/>
  <c r="C212" i="89" s="1"/>
  <c r="K211" i="87"/>
  <c r="C211" i="87" s="1"/>
  <c r="D212" i="87"/>
  <c r="E211" i="87"/>
  <c r="F211" i="87" s="1"/>
  <c r="H210" i="87"/>
  <c r="G210" i="87"/>
  <c r="D69" i="45"/>
  <c r="E68" i="45"/>
  <c r="F68" i="45" s="1"/>
  <c r="K68" i="45"/>
  <c r="C68" i="45" s="1"/>
  <c r="H67" i="45"/>
  <c r="G67" i="45"/>
  <c r="H64" i="97"/>
  <c r="G64" i="97"/>
  <c r="K65" i="97"/>
  <c r="E65" i="97"/>
  <c r="F65" i="97" s="1"/>
  <c r="C629" i="61" l="1"/>
  <c r="D630" i="61"/>
  <c r="E629" i="61"/>
  <c r="F629" i="61" s="1"/>
  <c r="P629" i="61"/>
  <c r="Q629" i="61" s="1"/>
  <c r="S628" i="61"/>
  <c r="R628" i="61"/>
  <c r="G628" i="61"/>
  <c r="H628" i="61"/>
  <c r="K24" i="96"/>
  <c r="Q117" i="93"/>
  <c r="Q117" i="88"/>
  <c r="D22" i="95"/>
  <c r="J20" i="97"/>
  <c r="C19" i="97"/>
  <c r="J202" i="95"/>
  <c r="J178" i="95"/>
  <c r="J154" i="95"/>
  <c r="J130" i="95"/>
  <c r="J106" i="95"/>
  <c r="J82" i="95"/>
  <c r="J58" i="95"/>
  <c r="J34" i="95"/>
  <c r="D25" i="96"/>
  <c r="J141" i="96"/>
  <c r="U19" i="96"/>
  <c r="V19" i="96" s="1"/>
  <c r="S20" i="96"/>
  <c r="T19" i="95"/>
  <c r="U19" i="95" s="1"/>
  <c r="R20" i="95"/>
  <c r="J117" i="94"/>
  <c r="J129" i="94"/>
  <c r="S20" i="94"/>
  <c r="U19" i="94"/>
  <c r="V19" i="94" s="1"/>
  <c r="S32" i="94"/>
  <c r="U31" i="94"/>
  <c r="V31" i="94" s="1"/>
  <c r="T32" i="94"/>
  <c r="R33" i="94"/>
  <c r="D23" i="94"/>
  <c r="D121" i="93"/>
  <c r="K120" i="93"/>
  <c r="E120" i="93"/>
  <c r="F120" i="93" s="1"/>
  <c r="H119" i="93"/>
  <c r="G119" i="93"/>
  <c r="Q130" i="93"/>
  <c r="E213" i="92"/>
  <c r="F213" i="92" s="1"/>
  <c r="K213" i="92"/>
  <c r="C213" i="92" s="1"/>
  <c r="D214" i="92"/>
  <c r="H212" i="92"/>
  <c r="G212" i="92"/>
  <c r="K212" i="91"/>
  <c r="C212" i="91" s="1"/>
  <c r="E212" i="91"/>
  <c r="F212" i="91" s="1"/>
  <c r="D213" i="91"/>
  <c r="H211" i="91"/>
  <c r="G211" i="91"/>
  <c r="E68" i="46"/>
  <c r="F68" i="46" s="1"/>
  <c r="K68" i="46"/>
  <c r="C68" i="46" s="1"/>
  <c r="D69" i="46"/>
  <c r="H67" i="46"/>
  <c r="G67" i="46"/>
  <c r="Q130" i="88"/>
  <c r="E121" i="88"/>
  <c r="F121" i="88" s="1"/>
  <c r="D122" i="88"/>
  <c r="K121" i="88"/>
  <c r="H120" i="88"/>
  <c r="G120" i="88"/>
  <c r="D214" i="89"/>
  <c r="K213" i="89"/>
  <c r="C213" i="89" s="1"/>
  <c r="E213" i="89"/>
  <c r="F213" i="89" s="1"/>
  <c r="H212" i="89"/>
  <c r="G212" i="89"/>
  <c r="H211" i="87"/>
  <c r="G211" i="87"/>
  <c r="D213" i="87"/>
  <c r="K212" i="87"/>
  <c r="C212" i="87" s="1"/>
  <c r="E212" i="87"/>
  <c r="F212" i="87" s="1"/>
  <c r="H68" i="45"/>
  <c r="G68" i="45"/>
  <c r="K69" i="45"/>
  <c r="C69" i="45" s="1"/>
  <c r="E69" i="45"/>
  <c r="F69" i="45" s="1"/>
  <c r="D70" i="45"/>
  <c r="G65" i="97"/>
  <c r="H65" i="97"/>
  <c r="E66" i="97"/>
  <c r="F66" i="97" s="1"/>
  <c r="K66" i="97"/>
  <c r="T628" i="61" l="1"/>
  <c r="U628" i="61" s="1"/>
  <c r="R629" i="61"/>
  <c r="S629" i="61"/>
  <c r="T629" i="61" s="1"/>
  <c r="U629" i="61" s="1"/>
  <c r="H629" i="61"/>
  <c r="G629" i="61"/>
  <c r="D631" i="61"/>
  <c r="P630" i="61"/>
  <c r="Q630" i="61" s="1"/>
  <c r="E630" i="61"/>
  <c r="F630" i="61" s="1"/>
  <c r="C630" i="61"/>
  <c r="K25" i="96"/>
  <c r="D24" i="95"/>
  <c r="Q118" i="88"/>
  <c r="Q118" i="93"/>
  <c r="D24" i="94"/>
  <c r="J21" i="97"/>
  <c r="C20" i="97"/>
  <c r="D26" i="96"/>
  <c r="J142" i="96"/>
  <c r="U20" i="96"/>
  <c r="V20" i="96" s="1"/>
  <c r="S21" i="96"/>
  <c r="T20" i="95"/>
  <c r="U20" i="95" s="1"/>
  <c r="R21" i="95"/>
  <c r="J118" i="94"/>
  <c r="J130" i="94"/>
  <c r="U32" i="94"/>
  <c r="V32" i="94" s="1"/>
  <c r="S33" i="94"/>
  <c r="R34" i="94"/>
  <c r="T34" i="94" s="1"/>
  <c r="T33" i="94"/>
  <c r="U20" i="94"/>
  <c r="V20" i="94" s="1"/>
  <c r="S21" i="94"/>
  <c r="H120" i="93"/>
  <c r="G120" i="93"/>
  <c r="D122" i="93"/>
  <c r="K121" i="93"/>
  <c r="E121" i="93"/>
  <c r="F121" i="93" s="1"/>
  <c r="E214" i="92"/>
  <c r="F214" i="92" s="1"/>
  <c r="D215" i="92"/>
  <c r="K214" i="92"/>
  <c r="C214" i="92" s="1"/>
  <c r="H213" i="92"/>
  <c r="G213" i="92"/>
  <c r="H212" i="91"/>
  <c r="G212" i="91"/>
  <c r="D214" i="91"/>
  <c r="E213" i="91"/>
  <c r="F213" i="91" s="1"/>
  <c r="K213" i="91"/>
  <c r="C213" i="91" s="1"/>
  <c r="E69" i="46"/>
  <c r="F69" i="46" s="1"/>
  <c r="K69" i="46"/>
  <c r="C69" i="46" s="1"/>
  <c r="D70" i="46"/>
  <c r="H68" i="46"/>
  <c r="G68" i="46"/>
  <c r="H121" i="88"/>
  <c r="G121" i="88"/>
  <c r="E122" i="88"/>
  <c r="F122" i="88" s="1"/>
  <c r="D123" i="88"/>
  <c r="K122" i="88"/>
  <c r="H213" i="89"/>
  <c r="G213" i="89"/>
  <c r="D215" i="89"/>
  <c r="E214" i="89"/>
  <c r="F214" i="89" s="1"/>
  <c r="K214" i="89"/>
  <c r="C214" i="89" s="1"/>
  <c r="H212" i="87"/>
  <c r="G212" i="87"/>
  <c r="E213" i="87"/>
  <c r="F213" i="87" s="1"/>
  <c r="K213" i="87"/>
  <c r="C213" i="87" s="1"/>
  <c r="D214" i="87"/>
  <c r="E70" i="45"/>
  <c r="F70" i="45" s="1"/>
  <c r="K70" i="45"/>
  <c r="C70" i="45" s="1"/>
  <c r="H69" i="45"/>
  <c r="G69" i="45"/>
  <c r="K67" i="97"/>
  <c r="E67" i="97"/>
  <c r="F67" i="97" s="1"/>
  <c r="G66" i="97"/>
  <c r="H66" i="97"/>
  <c r="H630" i="61" l="1"/>
  <c r="G630" i="61"/>
  <c r="R630" i="61"/>
  <c r="S630" i="61"/>
  <c r="P631" i="61"/>
  <c r="Q631" i="61" s="1"/>
  <c r="E631" i="61"/>
  <c r="F631" i="61" s="1"/>
  <c r="C631" i="61"/>
  <c r="D632" i="61"/>
  <c r="D25" i="94"/>
  <c r="J22" i="97"/>
  <c r="C21" i="97"/>
  <c r="D25" i="95"/>
  <c r="K26" i="96"/>
  <c r="D27" i="96"/>
  <c r="J143" i="96"/>
  <c r="S22" i="96"/>
  <c r="R23" i="96" s="1"/>
  <c r="U21" i="96"/>
  <c r="V21" i="96" s="1"/>
  <c r="T21" i="95"/>
  <c r="U21" i="95" s="1"/>
  <c r="R22" i="95"/>
  <c r="U21" i="94"/>
  <c r="V21" i="94" s="1"/>
  <c r="S22" i="94"/>
  <c r="U22" i="94" s="1"/>
  <c r="V22" i="94" s="1"/>
  <c r="U33" i="94"/>
  <c r="V33" i="94" s="1"/>
  <c r="S34" i="94"/>
  <c r="H121" i="93"/>
  <c r="G121" i="93"/>
  <c r="D123" i="93"/>
  <c r="K122" i="93"/>
  <c r="E122" i="93"/>
  <c r="F122" i="93" s="1"/>
  <c r="E215" i="92"/>
  <c r="F215" i="92" s="1"/>
  <c r="K215" i="92"/>
  <c r="C215" i="92" s="1"/>
  <c r="D216" i="92"/>
  <c r="H214" i="92"/>
  <c r="G214" i="92"/>
  <c r="G213" i="91"/>
  <c r="H213" i="91"/>
  <c r="D215" i="91"/>
  <c r="K214" i="91"/>
  <c r="C214" i="91" s="1"/>
  <c r="E214" i="91"/>
  <c r="F214" i="91" s="1"/>
  <c r="E70" i="46"/>
  <c r="F70" i="46" s="1"/>
  <c r="K70" i="46"/>
  <c r="C70" i="46" s="1"/>
  <c r="H69" i="46"/>
  <c r="G69" i="46"/>
  <c r="E123" i="88"/>
  <c r="F123" i="88" s="1"/>
  <c r="D124" i="88"/>
  <c r="K123" i="88"/>
  <c r="H122" i="88"/>
  <c r="G122" i="88"/>
  <c r="H214" i="89"/>
  <c r="G214" i="89"/>
  <c r="D216" i="89"/>
  <c r="E215" i="89"/>
  <c r="F215" i="89" s="1"/>
  <c r="K215" i="89"/>
  <c r="C215" i="89" s="1"/>
  <c r="H213" i="87"/>
  <c r="G213" i="87"/>
  <c r="D215" i="87"/>
  <c r="K214" i="87"/>
  <c r="C214" i="87" s="1"/>
  <c r="E214" i="87"/>
  <c r="F214" i="87" s="1"/>
  <c r="H70" i="45"/>
  <c r="G70" i="45"/>
  <c r="G67" i="97"/>
  <c r="H67" i="97"/>
  <c r="E68" i="97"/>
  <c r="F68" i="97" s="1"/>
  <c r="K68" i="97"/>
  <c r="T630" i="61" l="1"/>
  <c r="U630" i="61" s="1"/>
  <c r="C632" i="61"/>
  <c r="D633" i="61"/>
  <c r="P632" i="61"/>
  <c r="Q632" i="61" s="1"/>
  <c r="E632" i="61"/>
  <c r="F632" i="61" s="1"/>
  <c r="G631" i="61"/>
  <c r="H631" i="61"/>
  <c r="S631" i="61"/>
  <c r="R631" i="61"/>
  <c r="D26" i="95"/>
  <c r="D26" i="94"/>
  <c r="K27" i="96"/>
  <c r="T22" i="95"/>
  <c r="U22" i="95" s="1"/>
  <c r="R23" i="95"/>
  <c r="J35" i="97"/>
  <c r="C22" i="97"/>
  <c r="D28" i="96"/>
  <c r="U22" i="96"/>
  <c r="V22" i="96" s="1"/>
  <c r="J144" i="96"/>
  <c r="U34" i="94"/>
  <c r="V34" i="94" s="1"/>
  <c r="R35" i="94"/>
  <c r="H122" i="93"/>
  <c r="G122" i="93"/>
  <c r="D124" i="93"/>
  <c r="K123" i="93"/>
  <c r="E123" i="93"/>
  <c r="F123" i="93" s="1"/>
  <c r="E216" i="92"/>
  <c r="F216" i="92" s="1"/>
  <c r="D217" i="92"/>
  <c r="K216" i="92"/>
  <c r="C216" i="92" s="1"/>
  <c r="H215" i="92"/>
  <c r="G215" i="92"/>
  <c r="H214" i="91"/>
  <c r="G214" i="91"/>
  <c r="D216" i="91"/>
  <c r="K215" i="91"/>
  <c r="C215" i="91" s="1"/>
  <c r="E215" i="91"/>
  <c r="F215" i="91" s="1"/>
  <c r="H70" i="46"/>
  <c r="G70" i="46"/>
  <c r="E124" i="88"/>
  <c r="F124" i="88" s="1"/>
  <c r="D125" i="88"/>
  <c r="K124" i="88"/>
  <c r="H123" i="88"/>
  <c r="G123" i="88"/>
  <c r="D217" i="89"/>
  <c r="K216" i="89"/>
  <c r="C216" i="89" s="1"/>
  <c r="E216" i="89"/>
  <c r="F216" i="89" s="1"/>
  <c r="H215" i="89"/>
  <c r="G215" i="89"/>
  <c r="H214" i="87"/>
  <c r="G214" i="87"/>
  <c r="K215" i="87"/>
  <c r="C215" i="87" s="1"/>
  <c r="E215" i="87"/>
  <c r="F215" i="87" s="1"/>
  <c r="D216" i="87"/>
  <c r="H68" i="97"/>
  <c r="G68" i="97"/>
  <c r="K69" i="97"/>
  <c r="E69" i="97"/>
  <c r="F69" i="97" s="1"/>
  <c r="R632" i="61" l="1"/>
  <c r="S632" i="61"/>
  <c r="T631" i="61"/>
  <c r="U631" i="61" s="1"/>
  <c r="H632" i="61"/>
  <c r="G632" i="61"/>
  <c r="D634" i="61"/>
  <c r="P633" i="61"/>
  <c r="Q633" i="61" s="1"/>
  <c r="E633" i="61"/>
  <c r="F633" i="61" s="1"/>
  <c r="C633" i="61"/>
  <c r="J36" i="97"/>
  <c r="C35" i="97"/>
  <c r="D27" i="94"/>
  <c r="T23" i="95"/>
  <c r="U23" i="95" s="1"/>
  <c r="R24" i="95"/>
  <c r="K28" i="96"/>
  <c r="C217" i="92"/>
  <c r="D27" i="95"/>
  <c r="D29" i="96"/>
  <c r="J145" i="96"/>
  <c r="T35" i="94"/>
  <c r="S35" i="94"/>
  <c r="R36" i="94"/>
  <c r="D125" i="93"/>
  <c r="K124" i="93"/>
  <c r="E124" i="93"/>
  <c r="F124" i="93" s="1"/>
  <c r="H123" i="93"/>
  <c r="G123" i="93"/>
  <c r="E217" i="92"/>
  <c r="F217" i="92" s="1"/>
  <c r="K217" i="92"/>
  <c r="D218" i="92"/>
  <c r="H216" i="92"/>
  <c r="G216" i="92"/>
  <c r="E216" i="91"/>
  <c r="F216" i="91" s="1"/>
  <c r="K216" i="91"/>
  <c r="C216" i="91" s="1"/>
  <c r="D217" i="91"/>
  <c r="H215" i="91"/>
  <c r="G215" i="91"/>
  <c r="E125" i="88"/>
  <c r="F125" i="88" s="1"/>
  <c r="D126" i="88"/>
  <c r="K125" i="88"/>
  <c r="H124" i="88"/>
  <c r="G124" i="88"/>
  <c r="H216" i="89"/>
  <c r="G216" i="89"/>
  <c r="D218" i="89"/>
  <c r="E217" i="89"/>
  <c r="F217" i="89" s="1"/>
  <c r="K217" i="89"/>
  <c r="C217" i="89" s="1"/>
  <c r="K216" i="87"/>
  <c r="C216" i="87" s="1"/>
  <c r="D217" i="87"/>
  <c r="E216" i="87"/>
  <c r="F216" i="87" s="1"/>
  <c r="H215" i="87"/>
  <c r="G215" i="87"/>
  <c r="E70" i="97"/>
  <c r="F70" i="97" s="1"/>
  <c r="K70" i="97"/>
  <c r="G69" i="97"/>
  <c r="H69" i="97"/>
  <c r="T632" i="61" l="1"/>
  <c r="U632" i="61" s="1"/>
  <c r="E634" i="61"/>
  <c r="F634" i="61" s="1"/>
  <c r="C634" i="61"/>
  <c r="P634" i="61"/>
  <c r="Q634" i="61" s="1"/>
  <c r="D635" i="61"/>
  <c r="R633" i="61"/>
  <c r="S633" i="61"/>
  <c r="T633" i="61" s="1"/>
  <c r="U633" i="61" s="1"/>
  <c r="H633" i="61"/>
  <c r="G633" i="61"/>
  <c r="D28" i="94"/>
  <c r="K29" i="96"/>
  <c r="J37" i="97"/>
  <c r="C36" i="97"/>
  <c r="D28" i="95"/>
  <c r="R25" i="95"/>
  <c r="T24" i="95"/>
  <c r="U24" i="95" s="1"/>
  <c r="D30" i="96"/>
  <c r="J146" i="96"/>
  <c r="R37" i="94"/>
  <c r="T36" i="94"/>
  <c r="S36" i="94"/>
  <c r="U35" i="94"/>
  <c r="V35" i="94" s="1"/>
  <c r="H124" i="93"/>
  <c r="G124" i="93"/>
  <c r="D126" i="93"/>
  <c r="K125" i="93"/>
  <c r="E125" i="93"/>
  <c r="F125" i="93" s="1"/>
  <c r="E218" i="92"/>
  <c r="F218" i="92" s="1"/>
  <c r="K218" i="92"/>
  <c r="C218" i="92" s="1"/>
  <c r="D219" i="92"/>
  <c r="H217" i="92"/>
  <c r="G217" i="92"/>
  <c r="D218" i="91"/>
  <c r="K217" i="91"/>
  <c r="C217" i="91" s="1"/>
  <c r="E217" i="91"/>
  <c r="F217" i="91" s="1"/>
  <c r="H216" i="91"/>
  <c r="G216" i="91"/>
  <c r="E126" i="88"/>
  <c r="F126" i="88" s="1"/>
  <c r="D127" i="88"/>
  <c r="K126" i="88"/>
  <c r="H125" i="88"/>
  <c r="G125" i="88"/>
  <c r="H217" i="89"/>
  <c r="G217" i="89"/>
  <c r="D219" i="89"/>
  <c r="K218" i="89"/>
  <c r="C218" i="89" s="1"/>
  <c r="E218" i="89"/>
  <c r="F218" i="89" s="1"/>
  <c r="H216" i="87"/>
  <c r="G216" i="87"/>
  <c r="D218" i="87"/>
  <c r="K217" i="87"/>
  <c r="C217" i="87" s="1"/>
  <c r="E217" i="87"/>
  <c r="F217" i="87" s="1"/>
  <c r="H70" i="97"/>
  <c r="G70" i="97"/>
  <c r="D636" i="61" l="1"/>
  <c r="P635" i="61"/>
  <c r="Q635" i="61" s="1"/>
  <c r="E635" i="61"/>
  <c r="F635" i="61" s="1"/>
  <c r="C635" i="61"/>
  <c r="R634" i="61"/>
  <c r="S634" i="61"/>
  <c r="T634" i="61" s="1"/>
  <c r="U634" i="61" s="1"/>
  <c r="H634" i="61"/>
  <c r="G634" i="61"/>
  <c r="R26" i="95"/>
  <c r="T25" i="95"/>
  <c r="U25" i="95" s="1"/>
  <c r="J38" i="97"/>
  <c r="C37" i="97"/>
  <c r="D29" i="95"/>
  <c r="D29" i="94"/>
  <c r="C219" i="89"/>
  <c r="K30" i="96"/>
  <c r="D31" i="96"/>
  <c r="J147" i="96"/>
  <c r="U36" i="94"/>
  <c r="V36" i="94" s="1"/>
  <c r="S37" i="94"/>
  <c r="R38" i="94"/>
  <c r="T37" i="94"/>
  <c r="H125" i="93"/>
  <c r="G125" i="93"/>
  <c r="D127" i="93"/>
  <c r="K126" i="93"/>
  <c r="E126" i="93"/>
  <c r="F126" i="93" s="1"/>
  <c r="E219" i="92"/>
  <c r="F219" i="92" s="1"/>
  <c r="K219" i="92"/>
  <c r="C219" i="92" s="1"/>
  <c r="D220" i="92"/>
  <c r="H218" i="92"/>
  <c r="G218" i="92"/>
  <c r="H217" i="91"/>
  <c r="G217" i="91"/>
  <c r="D219" i="91"/>
  <c r="E218" i="91"/>
  <c r="F218" i="91" s="1"/>
  <c r="K218" i="91"/>
  <c r="C218" i="91" s="1"/>
  <c r="E127" i="88"/>
  <c r="F127" i="88" s="1"/>
  <c r="D128" i="88"/>
  <c r="K127" i="88"/>
  <c r="H126" i="88"/>
  <c r="G126" i="88"/>
  <c r="H218" i="89"/>
  <c r="G218" i="89"/>
  <c r="D220" i="89"/>
  <c r="K219" i="89"/>
  <c r="E219" i="89"/>
  <c r="F219" i="89" s="1"/>
  <c r="E218" i="87"/>
  <c r="F218" i="87" s="1"/>
  <c r="K218" i="87"/>
  <c r="C218" i="87" s="1"/>
  <c r="D219" i="87"/>
  <c r="H217" i="87"/>
  <c r="G217" i="87"/>
  <c r="P83" i="96"/>
  <c r="P35" i="96"/>
  <c r="P23" i="96"/>
  <c r="P11" i="96"/>
  <c r="P12" i="96" s="1"/>
  <c r="P13" i="96" s="1"/>
  <c r="P14" i="96" s="1"/>
  <c r="H635" i="61" l="1"/>
  <c r="G635" i="61"/>
  <c r="R635" i="61"/>
  <c r="S635" i="61"/>
  <c r="T635" i="61" s="1"/>
  <c r="U635" i="61" s="1"/>
  <c r="D637" i="61"/>
  <c r="P636" i="61"/>
  <c r="Q636" i="61" s="1"/>
  <c r="E636" i="61"/>
  <c r="F636" i="61" s="1"/>
  <c r="C636" i="61"/>
  <c r="J39" i="97"/>
  <c r="C38" i="97"/>
  <c r="R27" i="95"/>
  <c r="T26" i="95"/>
  <c r="U26" i="95" s="1"/>
  <c r="D30" i="94"/>
  <c r="K31" i="96"/>
  <c r="C219" i="91"/>
  <c r="D30" i="95"/>
  <c r="D32" i="96"/>
  <c r="J148" i="96"/>
  <c r="U37" i="94"/>
  <c r="V37" i="94" s="1"/>
  <c r="S38" i="94"/>
  <c r="R39" i="94"/>
  <c r="T38" i="94"/>
  <c r="H126" i="93"/>
  <c r="G126" i="93"/>
  <c r="D128" i="93"/>
  <c r="K127" i="93"/>
  <c r="E127" i="93"/>
  <c r="F127" i="93" s="1"/>
  <c r="E220" i="92"/>
  <c r="F220" i="92" s="1"/>
  <c r="D221" i="92"/>
  <c r="K220" i="92"/>
  <c r="C220" i="92" s="1"/>
  <c r="H219" i="92"/>
  <c r="G219" i="92"/>
  <c r="G218" i="91"/>
  <c r="H218" i="91"/>
  <c r="E219" i="91"/>
  <c r="F219" i="91" s="1"/>
  <c r="D220" i="91"/>
  <c r="K219" i="91"/>
  <c r="E128" i="88"/>
  <c r="F128" i="88" s="1"/>
  <c r="D129" i="88"/>
  <c r="K128" i="88"/>
  <c r="H127" i="88"/>
  <c r="G127" i="88"/>
  <c r="D221" i="89"/>
  <c r="K220" i="89"/>
  <c r="C220" i="89" s="1"/>
  <c r="E220" i="89"/>
  <c r="F220" i="89" s="1"/>
  <c r="H219" i="89"/>
  <c r="G219" i="89"/>
  <c r="D220" i="87"/>
  <c r="K219" i="87"/>
  <c r="C219" i="87" s="1"/>
  <c r="E219" i="87"/>
  <c r="F219" i="87" s="1"/>
  <c r="H218" i="87"/>
  <c r="G218" i="87"/>
  <c r="Q95" i="88"/>
  <c r="Q96" i="88" s="1"/>
  <c r="Q83" i="88"/>
  <c r="N83" i="88"/>
  <c r="N84" i="88" s="1"/>
  <c r="N85" i="88" s="1"/>
  <c r="N86" i="88" s="1"/>
  <c r="N87" i="88" s="1"/>
  <c r="N88" i="88" s="1"/>
  <c r="N89" i="88" s="1"/>
  <c r="N90" i="88" s="1"/>
  <c r="N91" i="88" s="1"/>
  <c r="N92" i="88" s="1"/>
  <c r="N93" i="88" s="1"/>
  <c r="N94" i="88" s="1"/>
  <c r="N95" i="88" s="1"/>
  <c r="N96" i="88" s="1"/>
  <c r="N97" i="88" s="1"/>
  <c r="N98" i="88" s="1"/>
  <c r="N99" i="88" s="1"/>
  <c r="N100" i="88" s="1"/>
  <c r="N101" i="88" s="1"/>
  <c r="N102" i="88" s="1"/>
  <c r="N103" i="88" s="1"/>
  <c r="N104" i="88" s="1"/>
  <c r="N105" i="88" s="1"/>
  <c r="N106" i="88" s="1"/>
  <c r="L83" i="88"/>
  <c r="L84" i="88" s="1"/>
  <c r="L85" i="88" s="1"/>
  <c r="L86" i="88" s="1"/>
  <c r="L87" i="88" s="1"/>
  <c r="L88" i="88" s="1"/>
  <c r="L89" i="88" s="1"/>
  <c r="L90" i="88" s="1"/>
  <c r="L91" i="88" s="1"/>
  <c r="L92" i="88" s="1"/>
  <c r="L93" i="88" s="1"/>
  <c r="L94" i="88" s="1"/>
  <c r="L95" i="88" s="1"/>
  <c r="L96" i="88" s="1"/>
  <c r="L97" i="88" s="1"/>
  <c r="L98" i="88" s="1"/>
  <c r="L99" i="88" s="1"/>
  <c r="L100" i="88" s="1"/>
  <c r="L101" i="88" s="1"/>
  <c r="L102" i="88" s="1"/>
  <c r="L103" i="88" s="1"/>
  <c r="L104" i="88" s="1"/>
  <c r="L105" i="88" s="1"/>
  <c r="L106" i="88" s="1"/>
  <c r="I83" i="88"/>
  <c r="I84" i="88" s="1"/>
  <c r="I85" i="88" s="1"/>
  <c r="I86" i="88" s="1"/>
  <c r="I87" i="88" s="1"/>
  <c r="I88" i="88" s="1"/>
  <c r="I89" i="88" s="1"/>
  <c r="I90" i="88" s="1"/>
  <c r="I91" i="88" s="1"/>
  <c r="I92" i="88" s="1"/>
  <c r="I93" i="88" s="1"/>
  <c r="I94" i="88" s="1"/>
  <c r="I95" i="88" s="1"/>
  <c r="I96" i="88" s="1"/>
  <c r="I97" i="88" s="1"/>
  <c r="I98" i="88" s="1"/>
  <c r="I99" i="88" s="1"/>
  <c r="I100" i="88" s="1"/>
  <c r="I101" i="88" s="1"/>
  <c r="I102" i="88" s="1"/>
  <c r="I103" i="88" s="1"/>
  <c r="I104" i="88" s="1"/>
  <c r="I105" i="88" s="1"/>
  <c r="I106" i="88" s="1"/>
  <c r="E83" i="88"/>
  <c r="F83" i="88" s="1"/>
  <c r="H83" i="88" s="1"/>
  <c r="Q71" i="88"/>
  <c r="Q59" i="88"/>
  <c r="N59" i="88"/>
  <c r="N60" i="88" s="1"/>
  <c r="N61" i="88" s="1"/>
  <c r="N62" i="88" s="1"/>
  <c r="N63" i="88" s="1"/>
  <c r="N64" i="88" s="1"/>
  <c r="N65" i="88" s="1"/>
  <c r="N66" i="88" s="1"/>
  <c r="N67" i="88" s="1"/>
  <c r="N68" i="88" s="1"/>
  <c r="N69" i="88" s="1"/>
  <c r="N70" i="88" s="1"/>
  <c r="N71" i="88" s="1"/>
  <c r="N72" i="88" s="1"/>
  <c r="N73" i="88" s="1"/>
  <c r="N74" i="88" s="1"/>
  <c r="N75" i="88" s="1"/>
  <c r="N76" i="88" s="1"/>
  <c r="N77" i="88" s="1"/>
  <c r="N78" i="88" s="1"/>
  <c r="N79" i="88" s="1"/>
  <c r="N80" i="88" s="1"/>
  <c r="N81" i="88" s="1"/>
  <c r="N82" i="88" s="1"/>
  <c r="L59" i="88"/>
  <c r="L60" i="88" s="1"/>
  <c r="L61" i="88" s="1"/>
  <c r="L62" i="88" s="1"/>
  <c r="L63" i="88" s="1"/>
  <c r="L64" i="88" s="1"/>
  <c r="L65" i="88" s="1"/>
  <c r="L66" i="88" s="1"/>
  <c r="L67" i="88" s="1"/>
  <c r="L68" i="88" s="1"/>
  <c r="L69" i="88" s="1"/>
  <c r="L70" i="88" s="1"/>
  <c r="L71" i="88" s="1"/>
  <c r="L72" i="88" s="1"/>
  <c r="L73" i="88" s="1"/>
  <c r="L74" i="88" s="1"/>
  <c r="L75" i="88" s="1"/>
  <c r="L76" i="88" s="1"/>
  <c r="L77" i="88" s="1"/>
  <c r="L78" i="88" s="1"/>
  <c r="L79" i="88" s="1"/>
  <c r="L80" i="88" s="1"/>
  <c r="L81" i="88" s="1"/>
  <c r="L82" i="88" s="1"/>
  <c r="I59" i="88"/>
  <c r="I60" i="88" s="1"/>
  <c r="I61" i="88" s="1"/>
  <c r="I62" i="88" s="1"/>
  <c r="I63" i="88" s="1"/>
  <c r="I64" i="88" s="1"/>
  <c r="I65" i="88" s="1"/>
  <c r="I66" i="88" s="1"/>
  <c r="I67" i="88" s="1"/>
  <c r="I68" i="88" s="1"/>
  <c r="I69" i="88" s="1"/>
  <c r="I70" i="88" s="1"/>
  <c r="I71" i="88" s="1"/>
  <c r="I72" i="88" s="1"/>
  <c r="I73" i="88" s="1"/>
  <c r="I74" i="88" s="1"/>
  <c r="I75" i="88" s="1"/>
  <c r="I76" i="88" s="1"/>
  <c r="I77" i="88" s="1"/>
  <c r="I78" i="88" s="1"/>
  <c r="I79" i="88" s="1"/>
  <c r="I80" i="88" s="1"/>
  <c r="I81" i="88" s="1"/>
  <c r="I82" i="88" s="1"/>
  <c r="Q47" i="88"/>
  <c r="Q35" i="88"/>
  <c r="N35" i="88"/>
  <c r="N36" i="88" s="1"/>
  <c r="N37" i="88" s="1"/>
  <c r="N38" i="88" s="1"/>
  <c r="N39" i="88" s="1"/>
  <c r="N40" i="88" s="1"/>
  <c r="N41" i="88" s="1"/>
  <c r="N42" i="88" s="1"/>
  <c r="N43" i="88" s="1"/>
  <c r="N44" i="88" s="1"/>
  <c r="N45" i="88" s="1"/>
  <c r="N46" i="88" s="1"/>
  <c r="N47" i="88" s="1"/>
  <c r="N48" i="88" s="1"/>
  <c r="N49" i="88" s="1"/>
  <c r="N50" i="88" s="1"/>
  <c r="N51" i="88" s="1"/>
  <c r="N52" i="88" s="1"/>
  <c r="N53" i="88" s="1"/>
  <c r="N54" i="88" s="1"/>
  <c r="N55" i="88" s="1"/>
  <c r="N56" i="88" s="1"/>
  <c r="N57" i="88" s="1"/>
  <c r="N58" i="88" s="1"/>
  <c r="L35" i="88"/>
  <c r="L36" i="88" s="1"/>
  <c r="L37" i="88" s="1"/>
  <c r="L38" i="88" s="1"/>
  <c r="L39" i="88" s="1"/>
  <c r="L40" i="88" s="1"/>
  <c r="L41" i="88" s="1"/>
  <c r="L42" i="88" s="1"/>
  <c r="L43" i="88" s="1"/>
  <c r="L44" i="88" s="1"/>
  <c r="L45" i="88" s="1"/>
  <c r="L46" i="88" s="1"/>
  <c r="L47" i="88" s="1"/>
  <c r="L48" i="88" s="1"/>
  <c r="L49" i="88" s="1"/>
  <c r="L50" i="88" s="1"/>
  <c r="L51" i="88" s="1"/>
  <c r="L52" i="88" s="1"/>
  <c r="L53" i="88" s="1"/>
  <c r="L54" i="88" s="1"/>
  <c r="L55" i="88" s="1"/>
  <c r="L56" i="88" s="1"/>
  <c r="L57" i="88" s="1"/>
  <c r="L58" i="88" s="1"/>
  <c r="I35" i="88"/>
  <c r="I36" i="88" s="1"/>
  <c r="I37" i="88" s="1"/>
  <c r="I38" i="88" s="1"/>
  <c r="I39" i="88" s="1"/>
  <c r="I40" i="88" s="1"/>
  <c r="I41" i="88" s="1"/>
  <c r="I42" i="88" s="1"/>
  <c r="I43" i="88" s="1"/>
  <c r="I44" i="88" s="1"/>
  <c r="I45" i="88" s="1"/>
  <c r="I46" i="88" s="1"/>
  <c r="I47" i="88" s="1"/>
  <c r="I48" i="88" s="1"/>
  <c r="I49" i="88" s="1"/>
  <c r="I50" i="88" s="1"/>
  <c r="I51" i="88" s="1"/>
  <c r="I52" i="88" s="1"/>
  <c r="I53" i="88" s="1"/>
  <c r="I54" i="88" s="1"/>
  <c r="I55" i="88" s="1"/>
  <c r="I56" i="88" s="1"/>
  <c r="I57" i="88" s="1"/>
  <c r="I58" i="88" s="1"/>
  <c r="D35" i="88"/>
  <c r="D36" i="88" s="1"/>
  <c r="Q23" i="88"/>
  <c r="B12" i="88"/>
  <c r="B13" i="88" s="1"/>
  <c r="B14" i="88" s="1"/>
  <c r="B15" i="88" s="1"/>
  <c r="B16" i="88" s="1"/>
  <c r="B17" i="88" s="1"/>
  <c r="B18" i="88" s="1"/>
  <c r="B19" i="88" s="1"/>
  <c r="B20" i="88" s="1"/>
  <c r="B21" i="88" s="1"/>
  <c r="B22" i="88" s="1"/>
  <c r="B23" i="88" s="1"/>
  <c r="B24" i="88" s="1"/>
  <c r="B25" i="88" s="1"/>
  <c r="B26" i="88" s="1"/>
  <c r="B27" i="88" s="1"/>
  <c r="B28" i="88" s="1"/>
  <c r="B29" i="88" s="1"/>
  <c r="B30" i="88" s="1"/>
  <c r="B31" i="88" s="1"/>
  <c r="B32" i="88" s="1"/>
  <c r="B33" i="88" s="1"/>
  <c r="B34" i="88" s="1"/>
  <c r="B35" i="88" s="1"/>
  <c r="B36" i="88" s="1"/>
  <c r="B37" i="88" s="1"/>
  <c r="B38" i="88" s="1"/>
  <c r="B39" i="88" s="1"/>
  <c r="B40" i="88" s="1"/>
  <c r="B41" i="88" s="1"/>
  <c r="B42" i="88" s="1"/>
  <c r="B43" i="88" s="1"/>
  <c r="B44" i="88" s="1"/>
  <c r="B45" i="88" s="1"/>
  <c r="B46" i="88" s="1"/>
  <c r="B47" i="88" s="1"/>
  <c r="B48" i="88" s="1"/>
  <c r="B49" i="88" s="1"/>
  <c r="B50" i="88" s="1"/>
  <c r="B51" i="88" s="1"/>
  <c r="B52" i="88" s="1"/>
  <c r="B53" i="88" s="1"/>
  <c r="B54" i="88" s="1"/>
  <c r="B55" i="88" s="1"/>
  <c r="B56" i="88" s="1"/>
  <c r="B57" i="88" s="1"/>
  <c r="B58" i="88" s="1"/>
  <c r="B59" i="88" s="1"/>
  <c r="B60" i="88" s="1"/>
  <c r="B61" i="88" s="1"/>
  <c r="B62" i="88" s="1"/>
  <c r="B63" i="88" s="1"/>
  <c r="B64" i="88" s="1"/>
  <c r="B65" i="88" s="1"/>
  <c r="B66" i="88" s="1"/>
  <c r="B67" i="88" s="1"/>
  <c r="B68" i="88" s="1"/>
  <c r="B69" i="88" s="1"/>
  <c r="B70" i="88" s="1"/>
  <c r="B71" i="88" s="1"/>
  <c r="B72" i="88" s="1"/>
  <c r="B73" i="88" s="1"/>
  <c r="B74" i="88" s="1"/>
  <c r="B75" i="88" s="1"/>
  <c r="B76" i="88" s="1"/>
  <c r="B77" i="88" s="1"/>
  <c r="B78" i="88" s="1"/>
  <c r="B79" i="88" s="1"/>
  <c r="B80" i="88" s="1"/>
  <c r="B81" i="88" s="1"/>
  <c r="B82" i="88" s="1"/>
  <c r="B83" i="88" s="1"/>
  <c r="B84" i="88" s="1"/>
  <c r="B85" i="88" s="1"/>
  <c r="B86" i="88" s="1"/>
  <c r="B87" i="88" s="1"/>
  <c r="B88" i="88" s="1"/>
  <c r="B89" i="88" s="1"/>
  <c r="B90" i="88" s="1"/>
  <c r="B91" i="88" s="1"/>
  <c r="B92" i="88" s="1"/>
  <c r="B93" i="88" s="1"/>
  <c r="B94" i="88" s="1"/>
  <c r="B95" i="88" s="1"/>
  <c r="B96" i="88" s="1"/>
  <c r="B97" i="88" s="1"/>
  <c r="B98" i="88" s="1"/>
  <c r="B99" i="88" s="1"/>
  <c r="B100" i="88" s="1"/>
  <c r="B101" i="88" s="1"/>
  <c r="B102" i="88" s="1"/>
  <c r="B103" i="88" s="1"/>
  <c r="B104" i="88" s="1"/>
  <c r="B105" i="88" s="1"/>
  <c r="B106" i="88" s="1"/>
  <c r="B107" i="88" s="1"/>
  <c r="B108" i="88" s="1"/>
  <c r="B109" i="88" s="1"/>
  <c r="B110" i="88" s="1"/>
  <c r="B111" i="88" s="1"/>
  <c r="B112" i="88" s="1"/>
  <c r="B113" i="88" s="1"/>
  <c r="B114" i="88" s="1"/>
  <c r="B115" i="88" s="1"/>
  <c r="B116" i="88" s="1"/>
  <c r="B117" i="88" s="1"/>
  <c r="B118" i="88" s="1"/>
  <c r="B119" i="88" s="1"/>
  <c r="B120" i="88" s="1"/>
  <c r="B121" i="88" s="1"/>
  <c r="B122" i="88" s="1"/>
  <c r="B123" i="88" s="1"/>
  <c r="B124" i="88" s="1"/>
  <c r="B125" i="88" s="1"/>
  <c r="B126" i="88" s="1"/>
  <c r="B127" i="88" s="1"/>
  <c r="B128" i="88" s="1"/>
  <c r="B129" i="88" s="1"/>
  <c r="B130" i="88" s="1"/>
  <c r="Q11" i="88"/>
  <c r="N11" i="88"/>
  <c r="N12" i="88" s="1"/>
  <c r="N13" i="88" s="1"/>
  <c r="N14" i="88" s="1"/>
  <c r="N15" i="88" s="1"/>
  <c r="N16" i="88" s="1"/>
  <c r="N17" i="88" s="1"/>
  <c r="N18" i="88" s="1"/>
  <c r="N19" i="88" s="1"/>
  <c r="N20" i="88" s="1"/>
  <c r="N21" i="88" s="1"/>
  <c r="N22" i="88" s="1"/>
  <c r="N23" i="88" s="1"/>
  <c r="N24" i="88" s="1"/>
  <c r="N25" i="88" s="1"/>
  <c r="N26" i="88" s="1"/>
  <c r="N27" i="88" s="1"/>
  <c r="N28" i="88" s="1"/>
  <c r="N29" i="88" s="1"/>
  <c r="N30" i="88" s="1"/>
  <c r="N31" i="88" s="1"/>
  <c r="N32" i="88" s="1"/>
  <c r="N33" i="88" s="1"/>
  <c r="N34" i="88" s="1"/>
  <c r="L11" i="88"/>
  <c r="L12" i="88" s="1"/>
  <c r="L13" i="88" s="1"/>
  <c r="L14" i="88" s="1"/>
  <c r="L15" i="88" s="1"/>
  <c r="L16" i="88" s="1"/>
  <c r="L17" i="88" s="1"/>
  <c r="L18" i="88" s="1"/>
  <c r="L19" i="88" s="1"/>
  <c r="L20" i="88" s="1"/>
  <c r="L21" i="88" s="1"/>
  <c r="L22" i="88" s="1"/>
  <c r="L23" i="88" s="1"/>
  <c r="L24" i="88" s="1"/>
  <c r="L25" i="88" s="1"/>
  <c r="L26" i="88" s="1"/>
  <c r="L27" i="88" s="1"/>
  <c r="L28" i="88" s="1"/>
  <c r="L29" i="88" s="1"/>
  <c r="L30" i="88" s="1"/>
  <c r="L31" i="88" s="1"/>
  <c r="L32" i="88" s="1"/>
  <c r="L33" i="88" s="1"/>
  <c r="L34" i="88" s="1"/>
  <c r="J11" i="88"/>
  <c r="J12" i="88" s="1"/>
  <c r="J13" i="88" s="1"/>
  <c r="J14" i="88" s="1"/>
  <c r="J15" i="88" s="1"/>
  <c r="J16" i="88" s="1"/>
  <c r="J17" i="88" s="1"/>
  <c r="J18" i="88" s="1"/>
  <c r="J19" i="88" s="1"/>
  <c r="J20" i="88" s="1"/>
  <c r="J21" i="88" s="1"/>
  <c r="J22" i="88" s="1"/>
  <c r="J23" i="88" s="1"/>
  <c r="J24" i="88" s="1"/>
  <c r="J25" i="88" s="1"/>
  <c r="J26" i="88" s="1"/>
  <c r="J27" i="88" s="1"/>
  <c r="J28" i="88" s="1"/>
  <c r="J29" i="88" s="1"/>
  <c r="J30" i="88" s="1"/>
  <c r="J31" i="88" s="1"/>
  <c r="J32" i="88" s="1"/>
  <c r="J33" i="88" s="1"/>
  <c r="J34" i="88" s="1"/>
  <c r="J35" i="88" s="1"/>
  <c r="J36" i="88" s="1"/>
  <c r="J37" i="88" s="1"/>
  <c r="J38" i="88" s="1"/>
  <c r="J39" i="88" s="1"/>
  <c r="J40" i="88" s="1"/>
  <c r="J41" i="88" s="1"/>
  <c r="J42" i="88" s="1"/>
  <c r="J43" i="88" s="1"/>
  <c r="J44" i="88" s="1"/>
  <c r="J45" i="88" s="1"/>
  <c r="J46" i="88" s="1"/>
  <c r="J47" i="88" s="1"/>
  <c r="J48" i="88" s="1"/>
  <c r="J49" i="88" s="1"/>
  <c r="J50" i="88" s="1"/>
  <c r="J51" i="88" s="1"/>
  <c r="J52" i="88" s="1"/>
  <c r="J53" i="88" s="1"/>
  <c r="J54" i="88" s="1"/>
  <c r="J55" i="88" s="1"/>
  <c r="J56" i="88" s="1"/>
  <c r="J57" i="88" s="1"/>
  <c r="J58" i="88" s="1"/>
  <c r="J59" i="88" s="1"/>
  <c r="J60" i="88" s="1"/>
  <c r="J61" i="88" s="1"/>
  <c r="J62" i="88" s="1"/>
  <c r="J63" i="88" s="1"/>
  <c r="J64" i="88" s="1"/>
  <c r="J65" i="88" s="1"/>
  <c r="J66" i="88" s="1"/>
  <c r="J67" i="88" s="1"/>
  <c r="J68" i="88" s="1"/>
  <c r="J69" i="88" s="1"/>
  <c r="J70" i="88" s="1"/>
  <c r="J71" i="88" s="1"/>
  <c r="J72" i="88" s="1"/>
  <c r="J73" i="88" s="1"/>
  <c r="J74" i="88" s="1"/>
  <c r="J75" i="88" s="1"/>
  <c r="J76" i="88" s="1"/>
  <c r="J77" i="88" s="1"/>
  <c r="J78" i="88" s="1"/>
  <c r="J79" i="88" s="1"/>
  <c r="J80" i="88" s="1"/>
  <c r="J81" i="88" s="1"/>
  <c r="J82" i="88" s="1"/>
  <c r="J83" i="88" s="1"/>
  <c r="J84" i="88" s="1"/>
  <c r="J85" i="88" s="1"/>
  <c r="J86" i="88" s="1"/>
  <c r="J87" i="88" s="1"/>
  <c r="J88" i="88" s="1"/>
  <c r="J89" i="88" s="1"/>
  <c r="J90" i="88" s="1"/>
  <c r="J91" i="88" s="1"/>
  <c r="J92" i="88" s="1"/>
  <c r="J93" i="88" s="1"/>
  <c r="J94" i="88" s="1"/>
  <c r="J95" i="88" s="1"/>
  <c r="J96" i="88" s="1"/>
  <c r="J97" i="88" s="1"/>
  <c r="J98" i="88" s="1"/>
  <c r="J99" i="88" s="1"/>
  <c r="J100" i="88" s="1"/>
  <c r="J101" i="88" s="1"/>
  <c r="J102" i="88" s="1"/>
  <c r="J103" i="88" s="1"/>
  <c r="J104" i="88" s="1"/>
  <c r="J105" i="88" s="1"/>
  <c r="J106" i="88" s="1"/>
  <c r="J107" i="88" s="1"/>
  <c r="I11" i="88"/>
  <c r="I12" i="88" s="1"/>
  <c r="I13" i="88" s="1"/>
  <c r="I14" i="88" s="1"/>
  <c r="I15" i="88" s="1"/>
  <c r="I16" i="88" s="1"/>
  <c r="I17" i="88" s="1"/>
  <c r="I18" i="88" s="1"/>
  <c r="I19" i="88" s="1"/>
  <c r="I20" i="88" s="1"/>
  <c r="I21" i="88" s="1"/>
  <c r="I22" i="88" s="1"/>
  <c r="I23" i="88" s="1"/>
  <c r="I24" i="88" s="1"/>
  <c r="I25" i="88" s="1"/>
  <c r="I26" i="88" s="1"/>
  <c r="I27" i="88" s="1"/>
  <c r="I28" i="88" s="1"/>
  <c r="I29" i="88" s="1"/>
  <c r="I30" i="88" s="1"/>
  <c r="I31" i="88" s="1"/>
  <c r="I32" i="88" s="1"/>
  <c r="I33" i="88" s="1"/>
  <c r="I34" i="88" s="1"/>
  <c r="B10" i="88"/>
  <c r="T3" i="88"/>
  <c r="G636" i="61" l="1"/>
  <c r="H636" i="61"/>
  <c r="S636" i="61"/>
  <c r="R636" i="61"/>
  <c r="C637" i="61"/>
  <c r="D638" i="61"/>
  <c r="E637" i="61"/>
  <c r="F637" i="61" s="1"/>
  <c r="P637" i="61"/>
  <c r="Q637" i="61" s="1"/>
  <c r="Q48" i="88"/>
  <c r="P59" i="88"/>
  <c r="P60" i="88" s="1"/>
  <c r="P61" i="88" s="1"/>
  <c r="P62" i="88" s="1"/>
  <c r="P63" i="88" s="1"/>
  <c r="P64" i="88" s="1"/>
  <c r="P65" i="88" s="1"/>
  <c r="P66" i="88" s="1"/>
  <c r="P67" i="88" s="1"/>
  <c r="P68" i="88" s="1"/>
  <c r="P69" i="88" s="1"/>
  <c r="P70" i="88" s="1"/>
  <c r="P71" i="88" s="1"/>
  <c r="P72" i="88" s="1"/>
  <c r="P73" i="88" s="1"/>
  <c r="P74" i="88" s="1"/>
  <c r="P75" i="88" s="1"/>
  <c r="P76" i="88" s="1"/>
  <c r="P77" i="88" s="1"/>
  <c r="P78" i="88" s="1"/>
  <c r="P79" i="88" s="1"/>
  <c r="P80" i="88" s="1"/>
  <c r="P81" i="88" s="1"/>
  <c r="P82" i="88" s="1"/>
  <c r="T27" i="95"/>
  <c r="U27" i="95" s="1"/>
  <c r="R28" i="95"/>
  <c r="P35" i="88"/>
  <c r="P36" i="88" s="1"/>
  <c r="P37" i="88" s="1"/>
  <c r="P38" i="88" s="1"/>
  <c r="P39" i="88" s="1"/>
  <c r="P40" i="88" s="1"/>
  <c r="P41" i="88" s="1"/>
  <c r="P42" i="88" s="1"/>
  <c r="P43" i="88" s="1"/>
  <c r="P44" i="88" s="1"/>
  <c r="P45" i="88" s="1"/>
  <c r="P46" i="88" s="1"/>
  <c r="P47" i="88" s="1"/>
  <c r="P48" i="88" s="1"/>
  <c r="P49" i="88" s="1"/>
  <c r="P50" i="88" s="1"/>
  <c r="P51" i="88" s="1"/>
  <c r="P52" i="88" s="1"/>
  <c r="P53" i="88" s="1"/>
  <c r="P54" i="88" s="1"/>
  <c r="P55" i="88" s="1"/>
  <c r="P56" i="88" s="1"/>
  <c r="P57" i="88" s="1"/>
  <c r="P58" i="88" s="1"/>
  <c r="Q60" i="88"/>
  <c r="Q84" i="88"/>
  <c r="K32" i="96"/>
  <c r="Q12" i="88"/>
  <c r="Q36" i="88"/>
  <c r="Q24" i="88"/>
  <c r="C220" i="91"/>
  <c r="Q72" i="88"/>
  <c r="Q97" i="88"/>
  <c r="J108" i="88"/>
  <c r="C107" i="88"/>
  <c r="C221" i="89"/>
  <c r="J40" i="97"/>
  <c r="C39" i="97"/>
  <c r="D31" i="94"/>
  <c r="D31" i="95"/>
  <c r="D33" i="96"/>
  <c r="J149" i="96"/>
  <c r="S39" i="94"/>
  <c r="U38" i="94"/>
  <c r="V38" i="94" s="1"/>
  <c r="T39" i="94"/>
  <c r="R40" i="94"/>
  <c r="D129" i="93"/>
  <c r="K128" i="93"/>
  <c r="E128" i="93"/>
  <c r="F128" i="93" s="1"/>
  <c r="H127" i="93"/>
  <c r="G127" i="93"/>
  <c r="E221" i="92"/>
  <c r="F221" i="92" s="1"/>
  <c r="K221" i="92"/>
  <c r="C221" i="92" s="1"/>
  <c r="D222" i="92"/>
  <c r="H220" i="92"/>
  <c r="G220" i="92"/>
  <c r="D221" i="91"/>
  <c r="E220" i="91"/>
  <c r="F220" i="91" s="1"/>
  <c r="K220" i="91"/>
  <c r="H219" i="91"/>
  <c r="G219" i="91"/>
  <c r="E129" i="88"/>
  <c r="F129" i="88" s="1"/>
  <c r="D130" i="88"/>
  <c r="K129" i="88"/>
  <c r="H128" i="88"/>
  <c r="G128" i="88"/>
  <c r="H220" i="89"/>
  <c r="G220" i="89"/>
  <c r="D222" i="89"/>
  <c r="K221" i="89"/>
  <c r="E221" i="89"/>
  <c r="F221" i="89" s="1"/>
  <c r="H219" i="87"/>
  <c r="G219" i="87"/>
  <c r="D221" i="87"/>
  <c r="K220" i="87"/>
  <c r="C220" i="87" s="1"/>
  <c r="E220" i="87"/>
  <c r="F220" i="87" s="1"/>
  <c r="D84" i="88"/>
  <c r="D85" i="88" s="1"/>
  <c r="K83" i="88"/>
  <c r="C83" i="88" s="1"/>
  <c r="P83" i="88"/>
  <c r="P84" i="88" s="1"/>
  <c r="P85" i="88" s="1"/>
  <c r="P86" i="88" s="1"/>
  <c r="P87" i="88" s="1"/>
  <c r="P88" i="88" s="1"/>
  <c r="P89" i="88" s="1"/>
  <c r="P90" i="88" s="1"/>
  <c r="P91" i="88" s="1"/>
  <c r="P92" i="88" s="1"/>
  <c r="P93" i="88" s="1"/>
  <c r="P94" i="88" s="1"/>
  <c r="P95" i="88" s="1"/>
  <c r="P96" i="88" s="1"/>
  <c r="P97" i="88" s="1"/>
  <c r="P98" i="88" s="1"/>
  <c r="P99" i="88" s="1"/>
  <c r="P100" i="88" s="1"/>
  <c r="P101" i="88" s="1"/>
  <c r="P102" i="88" s="1"/>
  <c r="P103" i="88" s="1"/>
  <c r="P104" i="88" s="1"/>
  <c r="P105" i="88" s="1"/>
  <c r="P106" i="88" s="1"/>
  <c r="E36" i="88"/>
  <c r="F36" i="88" s="1"/>
  <c r="D37" i="88"/>
  <c r="K36" i="88"/>
  <c r="E35" i="88"/>
  <c r="F35" i="88" s="1"/>
  <c r="P11" i="88"/>
  <c r="P12" i="88" s="1"/>
  <c r="P13" i="88" s="1"/>
  <c r="P14" i="88" s="1"/>
  <c r="P15" i="88" s="1"/>
  <c r="P16" i="88" s="1"/>
  <c r="P17" i="88" s="1"/>
  <c r="P18" i="88" s="1"/>
  <c r="P19" i="88" s="1"/>
  <c r="P20" i="88" s="1"/>
  <c r="P21" i="88" s="1"/>
  <c r="P22" i="88" s="1"/>
  <c r="P23" i="88" s="1"/>
  <c r="P24" i="88" s="1"/>
  <c r="P25" i="88" s="1"/>
  <c r="P26" i="88" s="1"/>
  <c r="P27" i="88" s="1"/>
  <c r="P28" i="88" s="1"/>
  <c r="P29" i="88" s="1"/>
  <c r="P30" i="88" s="1"/>
  <c r="P31" i="88" s="1"/>
  <c r="P32" i="88" s="1"/>
  <c r="P33" i="88" s="1"/>
  <c r="P34" i="88" s="1"/>
  <c r="K35" i="88"/>
  <c r="C35" i="88" s="1"/>
  <c r="G83" i="88"/>
  <c r="R637" i="61" l="1"/>
  <c r="S637" i="61"/>
  <c r="T636" i="61"/>
  <c r="U636" i="61" s="1"/>
  <c r="H637" i="61"/>
  <c r="G637" i="61"/>
  <c r="D639" i="61"/>
  <c r="P638" i="61"/>
  <c r="Q638" i="61" s="1"/>
  <c r="E638" i="61"/>
  <c r="F638" i="61" s="1"/>
  <c r="C638" i="61"/>
  <c r="J109" i="88"/>
  <c r="C108" i="88"/>
  <c r="Q25" i="88"/>
  <c r="K33" i="96"/>
  <c r="D32" i="95"/>
  <c r="Q85" i="88"/>
  <c r="C84" i="88"/>
  <c r="E84" i="88"/>
  <c r="F84" i="88" s="1"/>
  <c r="H84" i="88" s="1"/>
  <c r="K84" i="88"/>
  <c r="D32" i="94"/>
  <c r="Q98" i="88"/>
  <c r="Q37" i="88"/>
  <c r="C36" i="88"/>
  <c r="Q61" i="88"/>
  <c r="Q49" i="88"/>
  <c r="J41" i="97"/>
  <c r="C40" i="97"/>
  <c r="Q73" i="88"/>
  <c r="Q13" i="88"/>
  <c r="R29" i="95"/>
  <c r="T28" i="95"/>
  <c r="U28" i="95" s="1"/>
  <c r="D34" i="96"/>
  <c r="J150" i="96"/>
  <c r="R41" i="94"/>
  <c r="T40" i="94"/>
  <c r="S40" i="94"/>
  <c r="U39" i="94"/>
  <c r="V39" i="94" s="1"/>
  <c r="H128" i="93"/>
  <c r="G128" i="93"/>
  <c r="D130" i="93"/>
  <c r="K129" i="93"/>
  <c r="E129" i="93"/>
  <c r="F129" i="93" s="1"/>
  <c r="E222" i="92"/>
  <c r="F222" i="92" s="1"/>
  <c r="K222" i="92"/>
  <c r="C222" i="92" s="1"/>
  <c r="D223" i="92"/>
  <c r="H221" i="92"/>
  <c r="G221" i="92"/>
  <c r="G220" i="91"/>
  <c r="H220" i="91"/>
  <c r="K221" i="91"/>
  <c r="C221" i="91" s="1"/>
  <c r="E221" i="91"/>
  <c r="F221" i="91" s="1"/>
  <c r="D222" i="91"/>
  <c r="E130" i="88"/>
  <c r="F130" i="88" s="1"/>
  <c r="K130" i="88"/>
  <c r="H129" i="88"/>
  <c r="G129" i="88"/>
  <c r="H221" i="89"/>
  <c r="G221" i="89"/>
  <c r="D223" i="89"/>
  <c r="E222" i="89"/>
  <c r="F222" i="89" s="1"/>
  <c r="K222" i="89"/>
  <c r="C222" i="89" s="1"/>
  <c r="H220" i="87"/>
  <c r="G220" i="87"/>
  <c r="E221" i="87"/>
  <c r="F221" i="87" s="1"/>
  <c r="K221" i="87"/>
  <c r="C221" i="87" s="1"/>
  <c r="D222" i="87"/>
  <c r="H35" i="88"/>
  <c r="G35" i="88"/>
  <c r="D86" i="88"/>
  <c r="K85" i="88"/>
  <c r="E85" i="88"/>
  <c r="F85" i="88" s="1"/>
  <c r="E37" i="88"/>
  <c r="F37" i="88" s="1"/>
  <c r="D38" i="88"/>
  <c r="K37" i="88"/>
  <c r="H36" i="88"/>
  <c r="G36" i="88"/>
  <c r="T637" i="61" l="1"/>
  <c r="U637" i="61" s="1"/>
  <c r="P639" i="61"/>
  <c r="Q639" i="61" s="1"/>
  <c r="E639" i="61"/>
  <c r="F639" i="61" s="1"/>
  <c r="C639" i="61"/>
  <c r="D640" i="61"/>
  <c r="H638" i="61"/>
  <c r="G638" i="61"/>
  <c r="R638" i="61"/>
  <c r="S638" i="61"/>
  <c r="G84" i="88"/>
  <c r="D35" i="96"/>
  <c r="K34" i="96"/>
  <c r="Q74" i="88"/>
  <c r="D33" i="95"/>
  <c r="Q62" i="88"/>
  <c r="Q38" i="88"/>
  <c r="C37" i="88"/>
  <c r="J42" i="97"/>
  <c r="C41" i="97"/>
  <c r="T29" i="95"/>
  <c r="U29" i="95" s="1"/>
  <c r="R30" i="95"/>
  <c r="Q26" i="88"/>
  <c r="Q14" i="88"/>
  <c r="Q86" i="88"/>
  <c r="C85" i="88"/>
  <c r="J110" i="88"/>
  <c r="C109" i="88"/>
  <c r="Q99" i="88"/>
  <c r="Q50" i="88"/>
  <c r="D33" i="94"/>
  <c r="J151" i="96"/>
  <c r="U40" i="94"/>
  <c r="V40" i="94" s="1"/>
  <c r="S41" i="94"/>
  <c r="R42" i="94"/>
  <c r="T41" i="94"/>
  <c r="K130" i="93"/>
  <c r="E130" i="93"/>
  <c r="F130" i="93" s="1"/>
  <c r="H129" i="93"/>
  <c r="G129" i="93"/>
  <c r="E223" i="92"/>
  <c r="F223" i="92" s="1"/>
  <c r="K223" i="92"/>
  <c r="C223" i="92" s="1"/>
  <c r="D224" i="92"/>
  <c r="H222" i="92"/>
  <c r="G222" i="92"/>
  <c r="D223" i="91"/>
  <c r="K222" i="91"/>
  <c r="C222" i="91" s="1"/>
  <c r="E222" i="91"/>
  <c r="F222" i="91" s="1"/>
  <c r="H221" i="91"/>
  <c r="G221" i="91"/>
  <c r="H130" i="88"/>
  <c r="G130" i="88"/>
  <c r="H222" i="89"/>
  <c r="G222" i="89"/>
  <c r="D224" i="89"/>
  <c r="E223" i="89"/>
  <c r="F223" i="89" s="1"/>
  <c r="K223" i="89"/>
  <c r="C223" i="89" s="1"/>
  <c r="D223" i="87"/>
  <c r="K222" i="87"/>
  <c r="C222" i="87" s="1"/>
  <c r="E222" i="87"/>
  <c r="F222" i="87" s="1"/>
  <c r="H221" i="87"/>
  <c r="G221" i="87"/>
  <c r="H37" i="88"/>
  <c r="G37" i="88"/>
  <c r="E86" i="88"/>
  <c r="F86" i="88" s="1"/>
  <c r="D87" i="88"/>
  <c r="K86" i="88"/>
  <c r="D39" i="88"/>
  <c r="K38" i="88"/>
  <c r="E38" i="88"/>
  <c r="F38" i="88" s="1"/>
  <c r="G85" i="88"/>
  <c r="H85" i="88"/>
  <c r="J83" i="96"/>
  <c r="J84" i="96" s="1"/>
  <c r="J85" i="96" s="1"/>
  <c r="J86" i="96" s="1"/>
  <c r="J87" i="96" s="1"/>
  <c r="J88" i="96" s="1"/>
  <c r="J89" i="96" s="1"/>
  <c r="J90" i="96" s="1"/>
  <c r="J91" i="96" s="1"/>
  <c r="J92" i="96" s="1"/>
  <c r="J93" i="96" s="1"/>
  <c r="J94" i="96" s="1"/>
  <c r="J95" i="96" s="1"/>
  <c r="J96" i="96" s="1"/>
  <c r="J97" i="96" s="1"/>
  <c r="J98" i="96" s="1"/>
  <c r="J99" i="96" s="1"/>
  <c r="J100" i="96" s="1"/>
  <c r="J101" i="96" s="1"/>
  <c r="J102" i="96" s="1"/>
  <c r="J103" i="96" s="1"/>
  <c r="J104" i="96" s="1"/>
  <c r="J105" i="96" s="1"/>
  <c r="J106" i="96" s="1"/>
  <c r="J107" i="96" s="1"/>
  <c r="J108" i="96" s="1"/>
  <c r="J109" i="96" s="1"/>
  <c r="J110" i="96" s="1"/>
  <c r="J111" i="96" s="1"/>
  <c r="J112" i="96" s="1"/>
  <c r="J113" i="96" s="1"/>
  <c r="J114" i="96" s="1"/>
  <c r="J115" i="96" s="1"/>
  <c r="J116" i="96" s="1"/>
  <c r="J117" i="96" s="1"/>
  <c r="J118" i="96" s="1"/>
  <c r="J119" i="96" s="1"/>
  <c r="J120" i="96" s="1"/>
  <c r="J121" i="96" s="1"/>
  <c r="J122" i="96" s="1"/>
  <c r="J123" i="96" s="1"/>
  <c r="J124" i="96" s="1"/>
  <c r="J125" i="96" s="1"/>
  <c r="J126" i="96" s="1"/>
  <c r="J127" i="96" s="1"/>
  <c r="J128" i="96" s="1"/>
  <c r="J129" i="96" s="1"/>
  <c r="J130" i="96" s="1"/>
  <c r="I83" i="96"/>
  <c r="I84" i="96" s="1"/>
  <c r="I85" i="96" s="1"/>
  <c r="I86" i="96" s="1"/>
  <c r="I87" i="96" s="1"/>
  <c r="I88" i="96" s="1"/>
  <c r="I89" i="96" s="1"/>
  <c r="I90" i="96" s="1"/>
  <c r="I91" i="96" s="1"/>
  <c r="I92" i="96" s="1"/>
  <c r="I93" i="96" s="1"/>
  <c r="I94" i="96" s="1"/>
  <c r="I95" i="96" s="1"/>
  <c r="I96" i="96" s="1"/>
  <c r="I97" i="96" s="1"/>
  <c r="I98" i="96" s="1"/>
  <c r="I99" i="96" s="1"/>
  <c r="I100" i="96" s="1"/>
  <c r="I101" i="96" s="1"/>
  <c r="I102" i="96" s="1"/>
  <c r="I103" i="96" s="1"/>
  <c r="I104" i="96" s="1"/>
  <c r="I105" i="96" s="1"/>
  <c r="I106" i="96" s="1"/>
  <c r="I107" i="96" s="1"/>
  <c r="I108" i="96" s="1"/>
  <c r="I109" i="96" s="1"/>
  <c r="I110" i="96" s="1"/>
  <c r="I111" i="96" s="1"/>
  <c r="I112" i="96" s="1"/>
  <c r="I113" i="96" s="1"/>
  <c r="I114" i="96" s="1"/>
  <c r="I115" i="96" s="1"/>
  <c r="I116" i="96" s="1"/>
  <c r="I117" i="96" s="1"/>
  <c r="I118" i="96" s="1"/>
  <c r="I119" i="96" s="1"/>
  <c r="I120" i="96" s="1"/>
  <c r="I121" i="96" s="1"/>
  <c r="I122" i="96" s="1"/>
  <c r="I123" i="96" s="1"/>
  <c r="I124" i="96" s="1"/>
  <c r="I125" i="96" s="1"/>
  <c r="I126" i="96" s="1"/>
  <c r="I127" i="96" s="1"/>
  <c r="I128" i="96" s="1"/>
  <c r="I129" i="96" s="1"/>
  <c r="I130" i="96" s="1"/>
  <c r="J35" i="96"/>
  <c r="J36" i="96" s="1"/>
  <c r="J37" i="96" s="1"/>
  <c r="J38" i="96" s="1"/>
  <c r="J39" i="96" s="1"/>
  <c r="J40" i="96" s="1"/>
  <c r="J41" i="96" s="1"/>
  <c r="J42" i="96" s="1"/>
  <c r="J43" i="96" s="1"/>
  <c r="J44" i="96" s="1"/>
  <c r="J45" i="96" s="1"/>
  <c r="J46" i="96" s="1"/>
  <c r="J47" i="96" s="1"/>
  <c r="J48" i="96" s="1"/>
  <c r="J49" i="96" s="1"/>
  <c r="J50" i="96" s="1"/>
  <c r="J51" i="96" s="1"/>
  <c r="J52" i="96" s="1"/>
  <c r="J53" i="96" s="1"/>
  <c r="J54" i="96" s="1"/>
  <c r="J55" i="96" s="1"/>
  <c r="J56" i="96" s="1"/>
  <c r="J57" i="96" s="1"/>
  <c r="J58" i="96" s="1"/>
  <c r="J59" i="96" s="1"/>
  <c r="J60" i="96" s="1"/>
  <c r="J61" i="96" s="1"/>
  <c r="J62" i="96" s="1"/>
  <c r="J63" i="96" s="1"/>
  <c r="J64" i="96" s="1"/>
  <c r="J65" i="96" s="1"/>
  <c r="J66" i="96" s="1"/>
  <c r="J67" i="96" s="1"/>
  <c r="J68" i="96" s="1"/>
  <c r="J69" i="96" s="1"/>
  <c r="J70" i="96" s="1"/>
  <c r="J71" i="96" s="1"/>
  <c r="J72" i="96" s="1"/>
  <c r="J73" i="96" s="1"/>
  <c r="J74" i="96" s="1"/>
  <c r="J75" i="96" s="1"/>
  <c r="J76" i="96" s="1"/>
  <c r="J77" i="96" s="1"/>
  <c r="J78" i="96" s="1"/>
  <c r="J79" i="96" s="1"/>
  <c r="J80" i="96" s="1"/>
  <c r="J81" i="96" s="1"/>
  <c r="J82" i="96" s="1"/>
  <c r="I35" i="96"/>
  <c r="I36" i="96" s="1"/>
  <c r="I37" i="96" s="1"/>
  <c r="I38" i="96" s="1"/>
  <c r="I39" i="96" s="1"/>
  <c r="I40" i="96" s="1"/>
  <c r="I41" i="96" s="1"/>
  <c r="I42" i="96" s="1"/>
  <c r="I43" i="96" s="1"/>
  <c r="I44" i="96" s="1"/>
  <c r="I45" i="96" s="1"/>
  <c r="I46" i="96" s="1"/>
  <c r="I47" i="96" s="1"/>
  <c r="I48" i="96" s="1"/>
  <c r="I49" i="96" s="1"/>
  <c r="I50" i="96" s="1"/>
  <c r="I51" i="96" s="1"/>
  <c r="I52" i="96" s="1"/>
  <c r="I53" i="96" s="1"/>
  <c r="I54" i="96" s="1"/>
  <c r="I55" i="96" s="1"/>
  <c r="I56" i="96" s="1"/>
  <c r="I57" i="96" s="1"/>
  <c r="I58" i="96" s="1"/>
  <c r="I59" i="96" s="1"/>
  <c r="I60" i="96" s="1"/>
  <c r="I61" i="96" s="1"/>
  <c r="I62" i="96" s="1"/>
  <c r="I63" i="96" s="1"/>
  <c r="I64" i="96" s="1"/>
  <c r="I65" i="96" s="1"/>
  <c r="I66" i="96" s="1"/>
  <c r="I67" i="96" s="1"/>
  <c r="I68" i="96" s="1"/>
  <c r="I69" i="96" s="1"/>
  <c r="I70" i="96" s="1"/>
  <c r="I71" i="96" s="1"/>
  <c r="I72" i="96" s="1"/>
  <c r="I73" i="96" s="1"/>
  <c r="I74" i="96" s="1"/>
  <c r="I75" i="96" s="1"/>
  <c r="I76" i="96" s="1"/>
  <c r="I77" i="96" s="1"/>
  <c r="I78" i="96" s="1"/>
  <c r="I79" i="96" s="1"/>
  <c r="I80" i="96" s="1"/>
  <c r="I81" i="96" s="1"/>
  <c r="I82" i="96" s="1"/>
  <c r="J23" i="96"/>
  <c r="C23" i="96" s="1"/>
  <c r="I23" i="96"/>
  <c r="I24" i="96" s="1"/>
  <c r="I25" i="96" s="1"/>
  <c r="I26" i="96" s="1"/>
  <c r="I27" i="96" s="1"/>
  <c r="I28" i="96" s="1"/>
  <c r="I29" i="96" s="1"/>
  <c r="I30" i="96" s="1"/>
  <c r="I31" i="96" s="1"/>
  <c r="I32" i="96" s="1"/>
  <c r="I33" i="96" s="1"/>
  <c r="I34" i="96" s="1"/>
  <c r="J11" i="96"/>
  <c r="I11" i="96"/>
  <c r="I83" i="95"/>
  <c r="I84" i="95" s="1"/>
  <c r="I85" i="95" s="1"/>
  <c r="I86" i="95" s="1"/>
  <c r="I87" i="95" s="1"/>
  <c r="I88" i="95" s="1"/>
  <c r="I89" i="95" s="1"/>
  <c r="I90" i="95" s="1"/>
  <c r="I91" i="95" s="1"/>
  <c r="I92" i="95" s="1"/>
  <c r="I93" i="95" s="1"/>
  <c r="I94" i="95" s="1"/>
  <c r="I95" i="95" s="1"/>
  <c r="I96" i="95" s="1"/>
  <c r="I97" i="95" s="1"/>
  <c r="I98" i="95" s="1"/>
  <c r="I99" i="95" s="1"/>
  <c r="I100" i="95" s="1"/>
  <c r="I101" i="95" s="1"/>
  <c r="I102" i="95" s="1"/>
  <c r="I103" i="95" s="1"/>
  <c r="I104" i="95" s="1"/>
  <c r="I105" i="95" s="1"/>
  <c r="I106" i="95" s="1"/>
  <c r="I107" i="95" s="1"/>
  <c r="I108" i="95" s="1"/>
  <c r="I109" i="95" s="1"/>
  <c r="I110" i="95" s="1"/>
  <c r="I111" i="95" s="1"/>
  <c r="I112" i="95" s="1"/>
  <c r="I113" i="95" s="1"/>
  <c r="I114" i="95" s="1"/>
  <c r="I115" i="95" s="1"/>
  <c r="I116" i="95" s="1"/>
  <c r="I117" i="95" s="1"/>
  <c r="I118" i="95" s="1"/>
  <c r="I119" i="95" s="1"/>
  <c r="I120" i="95" s="1"/>
  <c r="I121" i="95" s="1"/>
  <c r="I122" i="95" s="1"/>
  <c r="I123" i="95" s="1"/>
  <c r="I124" i="95" s="1"/>
  <c r="I125" i="95" s="1"/>
  <c r="I126" i="95" s="1"/>
  <c r="I127" i="95" s="1"/>
  <c r="I128" i="95" s="1"/>
  <c r="I129" i="95" s="1"/>
  <c r="I130" i="95" s="1"/>
  <c r="I131" i="95" s="1"/>
  <c r="I132" i="95" s="1"/>
  <c r="I133" i="95" s="1"/>
  <c r="I134" i="95" s="1"/>
  <c r="I135" i="95" s="1"/>
  <c r="I136" i="95" s="1"/>
  <c r="I137" i="95" s="1"/>
  <c r="I138" i="95" s="1"/>
  <c r="I139" i="95" s="1"/>
  <c r="I140" i="95" s="1"/>
  <c r="I141" i="95" s="1"/>
  <c r="I142" i="95" s="1"/>
  <c r="I143" i="95" s="1"/>
  <c r="I144" i="95" s="1"/>
  <c r="I145" i="95" s="1"/>
  <c r="I146" i="95" s="1"/>
  <c r="I147" i="95" s="1"/>
  <c r="I148" i="95" s="1"/>
  <c r="I149" i="95" s="1"/>
  <c r="I150" i="95" s="1"/>
  <c r="I151" i="95" s="1"/>
  <c r="I152" i="95" s="1"/>
  <c r="I153" i="95" s="1"/>
  <c r="I154" i="95" s="1"/>
  <c r="I155" i="95" s="1"/>
  <c r="I156" i="95" s="1"/>
  <c r="I157" i="95" s="1"/>
  <c r="I158" i="95" s="1"/>
  <c r="I159" i="95" s="1"/>
  <c r="I160" i="95" s="1"/>
  <c r="I161" i="95" s="1"/>
  <c r="I162" i="95" s="1"/>
  <c r="I163" i="95" s="1"/>
  <c r="I164" i="95" s="1"/>
  <c r="I165" i="95" s="1"/>
  <c r="I166" i="95" s="1"/>
  <c r="I167" i="95" s="1"/>
  <c r="I168" i="95" s="1"/>
  <c r="I169" i="95" s="1"/>
  <c r="I170" i="95" s="1"/>
  <c r="I171" i="95" s="1"/>
  <c r="I172" i="95" s="1"/>
  <c r="I173" i="95" s="1"/>
  <c r="I174" i="95" s="1"/>
  <c r="I175" i="95" s="1"/>
  <c r="I176" i="95" s="1"/>
  <c r="I177" i="95" s="1"/>
  <c r="I178" i="95" s="1"/>
  <c r="I179" i="95" s="1"/>
  <c r="I180" i="95" s="1"/>
  <c r="I181" i="95" s="1"/>
  <c r="I182" i="95" s="1"/>
  <c r="I183" i="95" s="1"/>
  <c r="I184" i="95" s="1"/>
  <c r="I185" i="95" s="1"/>
  <c r="I186" i="95" s="1"/>
  <c r="I187" i="95" s="1"/>
  <c r="I188" i="95" s="1"/>
  <c r="I189" i="95" s="1"/>
  <c r="I190" i="95" s="1"/>
  <c r="I191" i="95" s="1"/>
  <c r="I192" i="95" s="1"/>
  <c r="I193" i="95" s="1"/>
  <c r="I194" i="95" s="1"/>
  <c r="I195" i="95" s="1"/>
  <c r="I196" i="95" s="1"/>
  <c r="I197" i="95" s="1"/>
  <c r="I198" i="95" s="1"/>
  <c r="I199" i="95" s="1"/>
  <c r="I200" i="95" s="1"/>
  <c r="I201" i="95" s="1"/>
  <c r="I202" i="95" s="1"/>
  <c r="I203" i="95" s="1"/>
  <c r="I204" i="95" s="1"/>
  <c r="I205" i="95" s="1"/>
  <c r="I206" i="95" s="1"/>
  <c r="I207" i="95" s="1"/>
  <c r="I208" i="95" s="1"/>
  <c r="I209" i="95" s="1"/>
  <c r="I210" i="95" s="1"/>
  <c r="I211" i="95" s="1"/>
  <c r="I212" i="95" s="1"/>
  <c r="I213" i="95" s="1"/>
  <c r="I214" i="95" s="1"/>
  <c r="I215" i="95" s="1"/>
  <c r="I216" i="95" s="1"/>
  <c r="I217" i="95" s="1"/>
  <c r="I218" i="95" s="1"/>
  <c r="I219" i="95" s="1"/>
  <c r="I220" i="95" s="1"/>
  <c r="I221" i="95" s="1"/>
  <c r="I222" i="95" s="1"/>
  <c r="I223" i="95" s="1"/>
  <c r="I224" i="95" s="1"/>
  <c r="I225" i="95" s="1"/>
  <c r="I226" i="95" s="1"/>
  <c r="I227" i="95" s="1"/>
  <c r="I228" i="95" s="1"/>
  <c r="I229" i="95" s="1"/>
  <c r="I230" i="95" s="1"/>
  <c r="I231" i="95" s="1"/>
  <c r="I232" i="95" s="1"/>
  <c r="I233" i="95" s="1"/>
  <c r="I234" i="95" s="1"/>
  <c r="I235" i="95" s="1"/>
  <c r="I236" i="95" s="1"/>
  <c r="I237" i="95" s="1"/>
  <c r="I238" i="95" s="1"/>
  <c r="I239" i="95" s="1"/>
  <c r="I240" i="95" s="1"/>
  <c r="I241" i="95" s="1"/>
  <c r="I242" i="95" s="1"/>
  <c r="I243" i="95" s="1"/>
  <c r="I244" i="95" s="1"/>
  <c r="I245" i="95" s="1"/>
  <c r="I246" i="95" s="1"/>
  <c r="I247" i="95" s="1"/>
  <c r="I248" i="95" s="1"/>
  <c r="I249" i="95" s="1"/>
  <c r="I250" i="95" s="1"/>
  <c r="I251" i="95" s="1"/>
  <c r="I252" i="95" s="1"/>
  <c r="I253" i="95" s="1"/>
  <c r="I254" i="95" s="1"/>
  <c r="I255" i="95" s="1"/>
  <c r="I256" i="95" s="1"/>
  <c r="I257" i="95" s="1"/>
  <c r="I258" i="95" s="1"/>
  <c r="I259" i="95" s="1"/>
  <c r="I260" i="95" s="1"/>
  <c r="I261" i="95" s="1"/>
  <c r="I262" i="95" s="1"/>
  <c r="I263" i="95" s="1"/>
  <c r="I264" i="95" s="1"/>
  <c r="I265" i="95" s="1"/>
  <c r="I266" i="95" s="1"/>
  <c r="I267" i="95" s="1"/>
  <c r="I268" i="95" s="1"/>
  <c r="I269" i="95" s="1"/>
  <c r="I270" i="95" s="1"/>
  <c r="I271" i="95" s="1"/>
  <c r="I272" i="95" s="1"/>
  <c r="I273" i="95" s="1"/>
  <c r="I274" i="95" s="1"/>
  <c r="I275" i="95" s="1"/>
  <c r="I276" i="95" s="1"/>
  <c r="I277" i="95" s="1"/>
  <c r="I278" i="95" s="1"/>
  <c r="I279" i="95" s="1"/>
  <c r="I280" i="95" s="1"/>
  <c r="I281" i="95" s="1"/>
  <c r="I282" i="95" s="1"/>
  <c r="I283" i="95" s="1"/>
  <c r="I284" i="95" s="1"/>
  <c r="I285" i="95" s="1"/>
  <c r="I286" i="95" s="1"/>
  <c r="I287" i="95" s="1"/>
  <c r="I288" i="95" s="1"/>
  <c r="I289" i="95" s="1"/>
  <c r="I290" i="95" s="1"/>
  <c r="I291" i="95" s="1"/>
  <c r="I292" i="95" s="1"/>
  <c r="I293" i="95" s="1"/>
  <c r="I294" i="95" s="1"/>
  <c r="I295" i="95" s="1"/>
  <c r="I296" i="95" s="1"/>
  <c r="I297" i="95" s="1"/>
  <c r="I298" i="95" s="1"/>
  <c r="I59" i="95"/>
  <c r="I60" i="95" s="1"/>
  <c r="I61" i="95" s="1"/>
  <c r="I62" i="95" s="1"/>
  <c r="I63" i="95" s="1"/>
  <c r="I64" i="95" s="1"/>
  <c r="I65" i="95" s="1"/>
  <c r="I66" i="95" s="1"/>
  <c r="I67" i="95" s="1"/>
  <c r="I68" i="95" s="1"/>
  <c r="I69" i="95" s="1"/>
  <c r="I70" i="95" s="1"/>
  <c r="I71" i="95" s="1"/>
  <c r="I72" i="95" s="1"/>
  <c r="I73" i="95" s="1"/>
  <c r="I74" i="95" s="1"/>
  <c r="I75" i="95" s="1"/>
  <c r="I76" i="95" s="1"/>
  <c r="I77" i="95" s="1"/>
  <c r="I78" i="95" s="1"/>
  <c r="I79" i="95" s="1"/>
  <c r="I80" i="95" s="1"/>
  <c r="I81" i="95" s="1"/>
  <c r="I82" i="95" s="1"/>
  <c r="I35" i="95"/>
  <c r="I36" i="95" s="1"/>
  <c r="I37" i="95" s="1"/>
  <c r="I38" i="95" s="1"/>
  <c r="I39" i="95" s="1"/>
  <c r="I40" i="95" s="1"/>
  <c r="I41" i="95" s="1"/>
  <c r="I42" i="95" s="1"/>
  <c r="I43" i="95" s="1"/>
  <c r="I44" i="95" s="1"/>
  <c r="I45" i="95" s="1"/>
  <c r="I46" i="95" s="1"/>
  <c r="I47" i="95" s="1"/>
  <c r="I48" i="95" s="1"/>
  <c r="I49" i="95" s="1"/>
  <c r="I50" i="95" s="1"/>
  <c r="I51" i="95" s="1"/>
  <c r="I52" i="95" s="1"/>
  <c r="I53" i="95" s="1"/>
  <c r="I54" i="95" s="1"/>
  <c r="I55" i="95" s="1"/>
  <c r="I56" i="95" s="1"/>
  <c r="I57" i="95" s="1"/>
  <c r="I58" i="95" s="1"/>
  <c r="I11" i="95"/>
  <c r="J47" i="94"/>
  <c r="J48" i="94" s="1"/>
  <c r="J49" i="94" s="1"/>
  <c r="J50" i="94" s="1"/>
  <c r="J51" i="94" s="1"/>
  <c r="J52" i="94" s="1"/>
  <c r="J53" i="94" s="1"/>
  <c r="J54" i="94" s="1"/>
  <c r="J55" i="94" s="1"/>
  <c r="J56" i="94" s="1"/>
  <c r="J57" i="94" s="1"/>
  <c r="J58" i="94" s="1"/>
  <c r="I47" i="94"/>
  <c r="I48" i="94" s="1"/>
  <c r="I49" i="94" s="1"/>
  <c r="I50" i="94" s="1"/>
  <c r="I51" i="94" s="1"/>
  <c r="I52" i="94" s="1"/>
  <c r="I53" i="94" s="1"/>
  <c r="I54" i="94" s="1"/>
  <c r="I55" i="94" s="1"/>
  <c r="I56" i="94" s="1"/>
  <c r="I57" i="94" s="1"/>
  <c r="I58" i="94" s="1"/>
  <c r="J35" i="94"/>
  <c r="I35" i="94"/>
  <c r="I36" i="94" s="1"/>
  <c r="I37" i="94" s="1"/>
  <c r="I38" i="94" s="1"/>
  <c r="I39" i="94" s="1"/>
  <c r="I40" i="94" s="1"/>
  <c r="I41" i="94" s="1"/>
  <c r="I42" i="94" s="1"/>
  <c r="I43" i="94" s="1"/>
  <c r="I44" i="94" s="1"/>
  <c r="I45" i="94" s="1"/>
  <c r="I46" i="94" s="1"/>
  <c r="J23" i="94"/>
  <c r="J24" i="94" s="1"/>
  <c r="I23" i="94"/>
  <c r="B12" i="94"/>
  <c r="B13" i="94" s="1"/>
  <c r="B14" i="94" s="1"/>
  <c r="B15" i="94" s="1"/>
  <c r="B16" i="94" s="1"/>
  <c r="B17" i="94" s="1"/>
  <c r="B18" i="94" s="1"/>
  <c r="B19" i="94" s="1"/>
  <c r="B20" i="94" s="1"/>
  <c r="B21" i="94" s="1"/>
  <c r="B22" i="94" s="1"/>
  <c r="B23" i="94" s="1"/>
  <c r="B24" i="94" s="1"/>
  <c r="B25" i="94" s="1"/>
  <c r="B26" i="94" s="1"/>
  <c r="B27" i="94" s="1"/>
  <c r="B28" i="94" s="1"/>
  <c r="B29" i="94" s="1"/>
  <c r="B30" i="94" s="1"/>
  <c r="B31" i="94" s="1"/>
  <c r="B32" i="94" s="1"/>
  <c r="B33" i="94" s="1"/>
  <c r="B34" i="94" s="1"/>
  <c r="B35" i="94" s="1"/>
  <c r="B36" i="94" s="1"/>
  <c r="B37" i="94" s="1"/>
  <c r="B38" i="94" s="1"/>
  <c r="B39" i="94" s="1"/>
  <c r="B40" i="94" s="1"/>
  <c r="B41" i="94" s="1"/>
  <c r="B42" i="94" s="1"/>
  <c r="B43" i="94" s="1"/>
  <c r="B44" i="94" s="1"/>
  <c r="B45" i="94" s="1"/>
  <c r="B46" i="94" s="1"/>
  <c r="B47" i="94" s="1"/>
  <c r="B48" i="94" s="1"/>
  <c r="B49" i="94" s="1"/>
  <c r="B50" i="94" s="1"/>
  <c r="B51" i="94" s="1"/>
  <c r="B52" i="94" s="1"/>
  <c r="B53" i="94" s="1"/>
  <c r="B54" i="94" s="1"/>
  <c r="B55" i="94" s="1"/>
  <c r="B56" i="94" s="1"/>
  <c r="B57" i="94" s="1"/>
  <c r="B58" i="94" s="1"/>
  <c r="B59" i="94" s="1"/>
  <c r="B60" i="94" s="1"/>
  <c r="B61" i="94" s="1"/>
  <c r="B62" i="94" s="1"/>
  <c r="B63" i="94" s="1"/>
  <c r="B64" i="94" s="1"/>
  <c r="B65" i="94" s="1"/>
  <c r="B66" i="94" s="1"/>
  <c r="B67" i="94" s="1"/>
  <c r="B68" i="94" s="1"/>
  <c r="B69" i="94" s="1"/>
  <c r="B70" i="94" s="1"/>
  <c r="B71" i="94" s="1"/>
  <c r="B72" i="94" s="1"/>
  <c r="B73" i="94" s="1"/>
  <c r="B74" i="94" s="1"/>
  <c r="B75" i="94" s="1"/>
  <c r="B76" i="94" s="1"/>
  <c r="B77" i="94" s="1"/>
  <c r="B78" i="94" s="1"/>
  <c r="B79" i="94" s="1"/>
  <c r="B80" i="94" s="1"/>
  <c r="B81" i="94" s="1"/>
  <c r="B82" i="94" s="1"/>
  <c r="B83" i="94" s="1"/>
  <c r="B84" i="94" s="1"/>
  <c r="B85" i="94" s="1"/>
  <c r="B86" i="94" s="1"/>
  <c r="B87" i="94" s="1"/>
  <c r="B88" i="94" s="1"/>
  <c r="B89" i="94" s="1"/>
  <c r="B90" i="94" s="1"/>
  <c r="B91" i="94" s="1"/>
  <c r="B92" i="94" s="1"/>
  <c r="B93" i="94" s="1"/>
  <c r="B94" i="94" s="1"/>
  <c r="B95" i="94" s="1"/>
  <c r="B96" i="94" s="1"/>
  <c r="B97" i="94" s="1"/>
  <c r="B98" i="94" s="1"/>
  <c r="B99" i="94" s="1"/>
  <c r="B100" i="94" s="1"/>
  <c r="B101" i="94" s="1"/>
  <c r="B102" i="94" s="1"/>
  <c r="B103" i="94" s="1"/>
  <c r="B104" i="94" s="1"/>
  <c r="B105" i="94" s="1"/>
  <c r="B106" i="94" s="1"/>
  <c r="B107" i="94" s="1"/>
  <c r="B108" i="94" s="1"/>
  <c r="B109" i="94" s="1"/>
  <c r="B110" i="94" s="1"/>
  <c r="B111" i="94" s="1"/>
  <c r="B112" i="94" s="1"/>
  <c r="B113" i="94" s="1"/>
  <c r="B114" i="94" s="1"/>
  <c r="B115" i="94" s="1"/>
  <c r="B116" i="94" s="1"/>
  <c r="B117" i="94" s="1"/>
  <c r="B118" i="94" s="1"/>
  <c r="B119" i="94" s="1"/>
  <c r="B120" i="94" s="1"/>
  <c r="B121" i="94" s="1"/>
  <c r="B122" i="94" s="1"/>
  <c r="B123" i="94" s="1"/>
  <c r="B124" i="94" s="1"/>
  <c r="B125" i="94" s="1"/>
  <c r="B126" i="94" s="1"/>
  <c r="B127" i="94" s="1"/>
  <c r="B128" i="94" s="1"/>
  <c r="B129" i="94" s="1"/>
  <c r="B130" i="94" s="1"/>
  <c r="B131" i="94" s="1"/>
  <c r="B132" i="94" s="1"/>
  <c r="B133" i="94" s="1"/>
  <c r="B134" i="94" s="1"/>
  <c r="B135" i="94" s="1"/>
  <c r="B136" i="94" s="1"/>
  <c r="B137" i="94" s="1"/>
  <c r="B138" i="94" s="1"/>
  <c r="B139" i="94" s="1"/>
  <c r="B140" i="94" s="1"/>
  <c r="B141" i="94" s="1"/>
  <c r="B142" i="94" s="1"/>
  <c r="B143" i="94" s="1"/>
  <c r="B144" i="94" s="1"/>
  <c r="B145" i="94" s="1"/>
  <c r="B146" i="94" s="1"/>
  <c r="B147" i="94" s="1"/>
  <c r="B148" i="94" s="1"/>
  <c r="B149" i="94" s="1"/>
  <c r="B150" i="94" s="1"/>
  <c r="B151" i="94" s="1"/>
  <c r="B152" i="94" s="1"/>
  <c r="B153" i="94" s="1"/>
  <c r="B154" i="94" s="1"/>
  <c r="J11" i="94"/>
  <c r="I11" i="94"/>
  <c r="I12" i="94" s="1"/>
  <c r="I13" i="94" s="1"/>
  <c r="I14" i="94" s="1"/>
  <c r="I15" i="94" s="1"/>
  <c r="I16" i="94" s="1"/>
  <c r="I17" i="94" s="1"/>
  <c r="I18" i="94" s="1"/>
  <c r="I19" i="94" s="1"/>
  <c r="I20" i="94" s="1"/>
  <c r="I21" i="94" s="1"/>
  <c r="I22" i="94" s="1"/>
  <c r="P84" i="96"/>
  <c r="P85" i="96" s="1"/>
  <c r="P86" i="96" s="1"/>
  <c r="P87" i="96" s="1"/>
  <c r="P88" i="96" s="1"/>
  <c r="P89" i="96" s="1"/>
  <c r="P90" i="96" s="1"/>
  <c r="P91" i="96" s="1"/>
  <c r="P92" i="96" s="1"/>
  <c r="P93" i="96" s="1"/>
  <c r="P94" i="96" s="1"/>
  <c r="P95" i="96" s="1"/>
  <c r="P96" i="96" s="1"/>
  <c r="P97" i="96" s="1"/>
  <c r="P98" i="96" s="1"/>
  <c r="P99" i="96" s="1"/>
  <c r="P100" i="96" s="1"/>
  <c r="P101" i="96" s="1"/>
  <c r="P102" i="96" s="1"/>
  <c r="P103" i="96" s="1"/>
  <c r="P104" i="96" s="1"/>
  <c r="P105" i="96" s="1"/>
  <c r="P106" i="96" s="1"/>
  <c r="P107" i="96" s="1"/>
  <c r="P108" i="96" s="1"/>
  <c r="P109" i="96" s="1"/>
  <c r="P110" i="96" s="1"/>
  <c r="P111" i="96" s="1"/>
  <c r="P112" i="96" s="1"/>
  <c r="P113" i="96" s="1"/>
  <c r="P114" i="96" s="1"/>
  <c r="P115" i="96" s="1"/>
  <c r="P116" i="96" s="1"/>
  <c r="P117" i="96" s="1"/>
  <c r="P118" i="96" s="1"/>
  <c r="P119" i="96" s="1"/>
  <c r="P120" i="96" s="1"/>
  <c r="P121" i="96" s="1"/>
  <c r="P122" i="96" s="1"/>
  <c r="P123" i="96" s="1"/>
  <c r="P124" i="96" s="1"/>
  <c r="P125" i="96" s="1"/>
  <c r="P126" i="96" s="1"/>
  <c r="P127" i="96" s="1"/>
  <c r="P128" i="96" s="1"/>
  <c r="P129" i="96" s="1"/>
  <c r="P130" i="96" s="1"/>
  <c r="N83" i="96"/>
  <c r="O83" i="96" s="1"/>
  <c r="O84" i="96" s="1"/>
  <c r="O85" i="96" s="1"/>
  <c r="O86" i="96" s="1"/>
  <c r="O87" i="96" s="1"/>
  <c r="O88" i="96" s="1"/>
  <c r="O89" i="96" s="1"/>
  <c r="O90" i="96" s="1"/>
  <c r="O91" i="96" s="1"/>
  <c r="O92" i="96" s="1"/>
  <c r="O93" i="96" s="1"/>
  <c r="O94" i="96" s="1"/>
  <c r="O95" i="96" s="1"/>
  <c r="O96" i="96" s="1"/>
  <c r="O97" i="96" s="1"/>
  <c r="O98" i="96" s="1"/>
  <c r="O99" i="96" s="1"/>
  <c r="O100" i="96" s="1"/>
  <c r="O101" i="96" s="1"/>
  <c r="O102" i="96" s="1"/>
  <c r="O103" i="96" s="1"/>
  <c r="O104" i="96" s="1"/>
  <c r="O105" i="96" s="1"/>
  <c r="O106" i="96" s="1"/>
  <c r="O107" i="96" s="1"/>
  <c r="O108" i="96" s="1"/>
  <c r="O109" i="96" s="1"/>
  <c r="O110" i="96" s="1"/>
  <c r="O111" i="96" s="1"/>
  <c r="O112" i="96" s="1"/>
  <c r="O113" i="96" s="1"/>
  <c r="O114" i="96" s="1"/>
  <c r="O115" i="96" s="1"/>
  <c r="O116" i="96" s="1"/>
  <c r="O117" i="96" s="1"/>
  <c r="O118" i="96" s="1"/>
  <c r="O119" i="96" s="1"/>
  <c r="O120" i="96" s="1"/>
  <c r="O121" i="96" s="1"/>
  <c r="O122" i="96" s="1"/>
  <c r="O123" i="96" s="1"/>
  <c r="O124" i="96" s="1"/>
  <c r="O125" i="96" s="1"/>
  <c r="O126" i="96" s="1"/>
  <c r="O127" i="96" s="1"/>
  <c r="O128" i="96" s="1"/>
  <c r="O129" i="96" s="1"/>
  <c r="O130" i="96" s="1"/>
  <c r="L83" i="96"/>
  <c r="L84" i="96" s="1"/>
  <c r="L85" i="96" s="1"/>
  <c r="L86" i="96" s="1"/>
  <c r="L87" i="96" s="1"/>
  <c r="L88" i="96" s="1"/>
  <c r="L89" i="96" s="1"/>
  <c r="L90" i="96" s="1"/>
  <c r="L91" i="96" s="1"/>
  <c r="L92" i="96" s="1"/>
  <c r="L93" i="96" s="1"/>
  <c r="L94" i="96" s="1"/>
  <c r="L95" i="96" s="1"/>
  <c r="L96" i="96" s="1"/>
  <c r="L97" i="96" s="1"/>
  <c r="L98" i="96" s="1"/>
  <c r="L99" i="96" s="1"/>
  <c r="L100" i="96" s="1"/>
  <c r="L101" i="96" s="1"/>
  <c r="L102" i="96" s="1"/>
  <c r="L103" i="96" s="1"/>
  <c r="L104" i="96" s="1"/>
  <c r="L105" i="96" s="1"/>
  <c r="L106" i="96" s="1"/>
  <c r="L107" i="96" s="1"/>
  <c r="L108" i="96" s="1"/>
  <c r="L109" i="96" s="1"/>
  <c r="L110" i="96" s="1"/>
  <c r="L111" i="96" s="1"/>
  <c r="L112" i="96" s="1"/>
  <c r="L113" i="96" s="1"/>
  <c r="L114" i="96" s="1"/>
  <c r="L115" i="96" s="1"/>
  <c r="L116" i="96" s="1"/>
  <c r="L117" i="96" s="1"/>
  <c r="L118" i="96" s="1"/>
  <c r="L119" i="96" s="1"/>
  <c r="L120" i="96" s="1"/>
  <c r="L121" i="96" s="1"/>
  <c r="L122" i="96" s="1"/>
  <c r="L123" i="96" s="1"/>
  <c r="L124" i="96" s="1"/>
  <c r="L125" i="96" s="1"/>
  <c r="L126" i="96" s="1"/>
  <c r="L127" i="96" s="1"/>
  <c r="L128" i="96" s="1"/>
  <c r="L129" i="96" s="1"/>
  <c r="L130" i="96" s="1"/>
  <c r="P36" i="96"/>
  <c r="P37" i="96" s="1"/>
  <c r="P38" i="96" s="1"/>
  <c r="P39" i="96" s="1"/>
  <c r="P40" i="96" s="1"/>
  <c r="P41" i="96" s="1"/>
  <c r="P42" i="96" s="1"/>
  <c r="P43" i="96" s="1"/>
  <c r="P44" i="96" s="1"/>
  <c r="P45" i="96" s="1"/>
  <c r="P46" i="96" s="1"/>
  <c r="P47" i="96" s="1"/>
  <c r="P48" i="96" s="1"/>
  <c r="P49" i="96" s="1"/>
  <c r="P50" i="96" s="1"/>
  <c r="P51" i="96" s="1"/>
  <c r="P52" i="96" s="1"/>
  <c r="P53" i="96" s="1"/>
  <c r="P54" i="96" s="1"/>
  <c r="P55" i="96" s="1"/>
  <c r="P56" i="96" s="1"/>
  <c r="P57" i="96" s="1"/>
  <c r="P58" i="96" s="1"/>
  <c r="P59" i="96" s="1"/>
  <c r="P60" i="96" s="1"/>
  <c r="P61" i="96" s="1"/>
  <c r="P62" i="96" s="1"/>
  <c r="P63" i="96" s="1"/>
  <c r="P64" i="96" s="1"/>
  <c r="P65" i="96" s="1"/>
  <c r="P66" i="96" s="1"/>
  <c r="P67" i="96" s="1"/>
  <c r="P68" i="96" s="1"/>
  <c r="P69" i="96" s="1"/>
  <c r="P70" i="96" s="1"/>
  <c r="P71" i="96" s="1"/>
  <c r="P72" i="96" s="1"/>
  <c r="P73" i="96" s="1"/>
  <c r="P74" i="96" s="1"/>
  <c r="P75" i="96" s="1"/>
  <c r="P76" i="96" s="1"/>
  <c r="P77" i="96" s="1"/>
  <c r="P78" i="96" s="1"/>
  <c r="P79" i="96" s="1"/>
  <c r="P80" i="96" s="1"/>
  <c r="P81" i="96" s="1"/>
  <c r="P82" i="96" s="1"/>
  <c r="N35" i="96"/>
  <c r="O35" i="96" s="1"/>
  <c r="O36" i="96" s="1"/>
  <c r="O37" i="96" s="1"/>
  <c r="O38" i="96" s="1"/>
  <c r="O39" i="96" s="1"/>
  <c r="O40" i="96" s="1"/>
  <c r="O41" i="96" s="1"/>
  <c r="O42" i="96" s="1"/>
  <c r="O43" i="96" s="1"/>
  <c r="O44" i="96" s="1"/>
  <c r="O45" i="96" s="1"/>
  <c r="O46" i="96" s="1"/>
  <c r="O47" i="96" s="1"/>
  <c r="O48" i="96" s="1"/>
  <c r="O49" i="96" s="1"/>
  <c r="O50" i="96" s="1"/>
  <c r="O51" i="96" s="1"/>
  <c r="O52" i="96" s="1"/>
  <c r="O53" i="96" s="1"/>
  <c r="O54" i="96" s="1"/>
  <c r="O55" i="96" s="1"/>
  <c r="O56" i="96" s="1"/>
  <c r="O57" i="96" s="1"/>
  <c r="O58" i="96" s="1"/>
  <c r="O59" i="96" s="1"/>
  <c r="O60" i="96" s="1"/>
  <c r="O61" i="96" s="1"/>
  <c r="O62" i="96" s="1"/>
  <c r="O63" i="96" s="1"/>
  <c r="O64" i="96" s="1"/>
  <c r="O65" i="96" s="1"/>
  <c r="O66" i="96" s="1"/>
  <c r="O67" i="96" s="1"/>
  <c r="O68" i="96" s="1"/>
  <c r="O69" i="96" s="1"/>
  <c r="O70" i="96" s="1"/>
  <c r="O71" i="96" s="1"/>
  <c r="O72" i="96" s="1"/>
  <c r="O73" i="96" s="1"/>
  <c r="O74" i="96" s="1"/>
  <c r="O75" i="96" s="1"/>
  <c r="O76" i="96" s="1"/>
  <c r="O77" i="96" s="1"/>
  <c r="O78" i="96" s="1"/>
  <c r="O79" i="96" s="1"/>
  <c r="O80" i="96" s="1"/>
  <c r="O81" i="96" s="1"/>
  <c r="O82" i="96" s="1"/>
  <c r="L35" i="96"/>
  <c r="L36" i="96" s="1"/>
  <c r="L37" i="96" s="1"/>
  <c r="L38" i="96" s="1"/>
  <c r="L39" i="96" s="1"/>
  <c r="L40" i="96" s="1"/>
  <c r="L41" i="96" s="1"/>
  <c r="L42" i="96" s="1"/>
  <c r="L43" i="96" s="1"/>
  <c r="L44" i="96" s="1"/>
  <c r="L45" i="96" s="1"/>
  <c r="L46" i="96" s="1"/>
  <c r="L47" i="96" s="1"/>
  <c r="L48" i="96" s="1"/>
  <c r="L49" i="96" s="1"/>
  <c r="L50" i="96" s="1"/>
  <c r="L51" i="96" s="1"/>
  <c r="L52" i="96" s="1"/>
  <c r="L53" i="96" s="1"/>
  <c r="L54" i="96" s="1"/>
  <c r="L55" i="96" s="1"/>
  <c r="L56" i="96" s="1"/>
  <c r="L57" i="96" s="1"/>
  <c r="L58" i="96" s="1"/>
  <c r="L59" i="96" s="1"/>
  <c r="L60" i="96" s="1"/>
  <c r="L61" i="96" s="1"/>
  <c r="L62" i="96" s="1"/>
  <c r="L63" i="96" s="1"/>
  <c r="L64" i="96" s="1"/>
  <c r="L65" i="96" s="1"/>
  <c r="L66" i="96" s="1"/>
  <c r="L67" i="96" s="1"/>
  <c r="L68" i="96" s="1"/>
  <c r="L69" i="96" s="1"/>
  <c r="L70" i="96" s="1"/>
  <c r="L71" i="96" s="1"/>
  <c r="L72" i="96" s="1"/>
  <c r="L73" i="96" s="1"/>
  <c r="L74" i="96" s="1"/>
  <c r="L75" i="96" s="1"/>
  <c r="L76" i="96" s="1"/>
  <c r="L77" i="96" s="1"/>
  <c r="L78" i="96" s="1"/>
  <c r="L79" i="96" s="1"/>
  <c r="L80" i="96" s="1"/>
  <c r="L81" i="96" s="1"/>
  <c r="L82" i="96" s="1"/>
  <c r="P24" i="96"/>
  <c r="P25" i="96" s="1"/>
  <c r="P26" i="96" s="1"/>
  <c r="P27" i="96" s="1"/>
  <c r="P28" i="96" s="1"/>
  <c r="P29" i="96" s="1"/>
  <c r="P30" i="96" s="1"/>
  <c r="P31" i="96" s="1"/>
  <c r="P32" i="96" s="1"/>
  <c r="P33" i="96" s="1"/>
  <c r="P34" i="96" s="1"/>
  <c r="N23" i="96"/>
  <c r="O23" i="96" s="1"/>
  <c r="O24" i="96" s="1"/>
  <c r="O25" i="96" s="1"/>
  <c r="O26" i="96" s="1"/>
  <c r="O27" i="96" s="1"/>
  <c r="O28" i="96" s="1"/>
  <c r="O29" i="96" s="1"/>
  <c r="O30" i="96" s="1"/>
  <c r="O31" i="96" s="1"/>
  <c r="O32" i="96" s="1"/>
  <c r="O33" i="96" s="1"/>
  <c r="O34" i="96" s="1"/>
  <c r="L23" i="96"/>
  <c r="L24" i="96" s="1"/>
  <c r="L25" i="96" s="1"/>
  <c r="L26" i="96" s="1"/>
  <c r="L27" i="96" s="1"/>
  <c r="L28" i="96" s="1"/>
  <c r="L29" i="96" s="1"/>
  <c r="L30" i="96" s="1"/>
  <c r="L31" i="96" s="1"/>
  <c r="L32" i="96" s="1"/>
  <c r="L33" i="96" s="1"/>
  <c r="L34" i="96" s="1"/>
  <c r="P15" i="96"/>
  <c r="P16" i="96" s="1"/>
  <c r="P17" i="96" s="1"/>
  <c r="P18" i="96" s="1"/>
  <c r="P19" i="96" s="1"/>
  <c r="P20" i="96" s="1"/>
  <c r="P21" i="96" s="1"/>
  <c r="P22" i="96" s="1"/>
  <c r="N11" i="96"/>
  <c r="N12" i="96" s="1"/>
  <c r="N13" i="96" s="1"/>
  <c r="N14" i="96" s="1"/>
  <c r="L11" i="96"/>
  <c r="B10" i="96"/>
  <c r="N83" i="95"/>
  <c r="N84" i="95" s="1"/>
  <c r="N85" i="95" s="1"/>
  <c r="N86" i="95" s="1"/>
  <c r="N87" i="95" s="1"/>
  <c r="N88" i="95" s="1"/>
  <c r="N89" i="95" s="1"/>
  <c r="N90" i="95" s="1"/>
  <c r="N91" i="95" s="1"/>
  <c r="N92" i="95" s="1"/>
  <c r="N93" i="95" s="1"/>
  <c r="N94" i="95" s="1"/>
  <c r="N95" i="95" s="1"/>
  <c r="N96" i="95" s="1"/>
  <c r="N97" i="95" s="1"/>
  <c r="N98" i="95" s="1"/>
  <c r="N99" i="95" s="1"/>
  <c r="N100" i="95" s="1"/>
  <c r="N101" i="95" s="1"/>
  <c r="N102" i="95" s="1"/>
  <c r="N103" i="95" s="1"/>
  <c r="N104" i="95" s="1"/>
  <c r="N105" i="95" s="1"/>
  <c r="N106" i="95" s="1"/>
  <c r="L83" i="95"/>
  <c r="L84" i="95" s="1"/>
  <c r="L85" i="95" s="1"/>
  <c r="L86" i="95" s="1"/>
  <c r="L87" i="95" s="1"/>
  <c r="L88" i="95" s="1"/>
  <c r="L89" i="95" s="1"/>
  <c r="L90" i="95" s="1"/>
  <c r="L91" i="95" s="1"/>
  <c r="L92" i="95" s="1"/>
  <c r="L93" i="95" s="1"/>
  <c r="L94" i="95" s="1"/>
  <c r="L95" i="95" s="1"/>
  <c r="L96" i="95" s="1"/>
  <c r="L97" i="95" s="1"/>
  <c r="L98" i="95" s="1"/>
  <c r="L99" i="95" s="1"/>
  <c r="L100" i="95" s="1"/>
  <c r="L101" i="95" s="1"/>
  <c r="L102" i="95" s="1"/>
  <c r="L103" i="95" s="1"/>
  <c r="L104" i="95" s="1"/>
  <c r="L105" i="95" s="1"/>
  <c r="L106" i="95" s="1"/>
  <c r="N59" i="95"/>
  <c r="L59" i="95"/>
  <c r="L60" i="95" s="1"/>
  <c r="L61" i="95" s="1"/>
  <c r="L62" i="95" s="1"/>
  <c r="L63" i="95" s="1"/>
  <c r="L64" i="95" s="1"/>
  <c r="L65" i="95" s="1"/>
  <c r="L66" i="95" s="1"/>
  <c r="L67" i="95" s="1"/>
  <c r="L68" i="95" s="1"/>
  <c r="L69" i="95" s="1"/>
  <c r="L70" i="95" s="1"/>
  <c r="L71" i="95" s="1"/>
  <c r="L72" i="95" s="1"/>
  <c r="L73" i="95" s="1"/>
  <c r="L74" i="95" s="1"/>
  <c r="L75" i="95" s="1"/>
  <c r="L76" i="95" s="1"/>
  <c r="L77" i="95" s="1"/>
  <c r="L78" i="95" s="1"/>
  <c r="L79" i="95" s="1"/>
  <c r="L80" i="95" s="1"/>
  <c r="L81" i="95" s="1"/>
  <c r="L82" i="95" s="1"/>
  <c r="N35" i="95"/>
  <c r="O35" i="95" s="1"/>
  <c r="O36" i="95" s="1"/>
  <c r="O37" i="95" s="1"/>
  <c r="O38" i="95" s="1"/>
  <c r="O39" i="95" s="1"/>
  <c r="O40" i="95" s="1"/>
  <c r="O41" i="95" s="1"/>
  <c r="O42" i="95" s="1"/>
  <c r="O43" i="95" s="1"/>
  <c r="O44" i="95" s="1"/>
  <c r="O45" i="95" s="1"/>
  <c r="O46" i="95" s="1"/>
  <c r="O47" i="95" s="1"/>
  <c r="O48" i="95" s="1"/>
  <c r="O49" i="95" s="1"/>
  <c r="O50" i="95" s="1"/>
  <c r="O51" i="95" s="1"/>
  <c r="O52" i="95" s="1"/>
  <c r="O53" i="95" s="1"/>
  <c r="O54" i="95" s="1"/>
  <c r="O55" i="95" s="1"/>
  <c r="O56" i="95" s="1"/>
  <c r="O57" i="95" s="1"/>
  <c r="O58" i="95" s="1"/>
  <c r="L35" i="95"/>
  <c r="L36" i="95" s="1"/>
  <c r="L37" i="95" s="1"/>
  <c r="L38" i="95" s="1"/>
  <c r="L39" i="95" s="1"/>
  <c r="L40" i="95" s="1"/>
  <c r="L41" i="95" s="1"/>
  <c r="L42" i="95" s="1"/>
  <c r="L43" i="95" s="1"/>
  <c r="L44" i="95" s="1"/>
  <c r="L45" i="95" s="1"/>
  <c r="L46" i="95" s="1"/>
  <c r="L47" i="95" s="1"/>
  <c r="L48" i="95" s="1"/>
  <c r="L49" i="95" s="1"/>
  <c r="L50" i="95" s="1"/>
  <c r="L51" i="95" s="1"/>
  <c r="L52" i="95" s="1"/>
  <c r="L53" i="95" s="1"/>
  <c r="L54" i="95" s="1"/>
  <c r="L55" i="95" s="1"/>
  <c r="L56" i="95" s="1"/>
  <c r="L57" i="95" s="1"/>
  <c r="L58" i="95" s="1"/>
  <c r="J12" i="95"/>
  <c r="N11" i="95"/>
  <c r="N12" i="95" s="1"/>
  <c r="N13" i="95" s="1"/>
  <c r="N14" i="95" s="1"/>
  <c r="N15" i="95" s="1"/>
  <c r="N16" i="95" s="1"/>
  <c r="N17" i="95" s="1"/>
  <c r="N18" i="95" s="1"/>
  <c r="N19" i="95" s="1"/>
  <c r="N20" i="95" s="1"/>
  <c r="N21" i="95" s="1"/>
  <c r="N22" i="95" s="1"/>
  <c r="N23" i="95" s="1"/>
  <c r="N24" i="95" s="1"/>
  <c r="N25" i="95" s="1"/>
  <c r="N26" i="95" s="1"/>
  <c r="N27" i="95" s="1"/>
  <c r="N28" i="95" s="1"/>
  <c r="N29" i="95" s="1"/>
  <c r="N30" i="95" s="1"/>
  <c r="N31" i="95" s="1"/>
  <c r="N32" i="95" s="1"/>
  <c r="N33" i="95" s="1"/>
  <c r="N34" i="95" s="1"/>
  <c r="L11" i="95"/>
  <c r="L12" i="95" s="1"/>
  <c r="L13" i="95" s="1"/>
  <c r="L14" i="95" s="1"/>
  <c r="L15" i="95" s="1"/>
  <c r="L16" i="95" s="1"/>
  <c r="L17" i="95" s="1"/>
  <c r="L18" i="95" s="1"/>
  <c r="L19" i="95" s="1"/>
  <c r="L20" i="95" s="1"/>
  <c r="L21" i="95" s="1"/>
  <c r="L22" i="95" s="1"/>
  <c r="L23" i="95" s="1"/>
  <c r="L24" i="95" s="1"/>
  <c r="L25" i="95" s="1"/>
  <c r="L26" i="95" s="1"/>
  <c r="L27" i="95" s="1"/>
  <c r="L28" i="95" s="1"/>
  <c r="L29" i="95" s="1"/>
  <c r="L30" i="95" s="1"/>
  <c r="L31" i="95" s="1"/>
  <c r="L32" i="95" s="1"/>
  <c r="L33" i="95" s="1"/>
  <c r="L34" i="95" s="1"/>
  <c r="B10" i="95"/>
  <c r="N47" i="94"/>
  <c r="L47" i="94"/>
  <c r="L48" i="94" s="1"/>
  <c r="L49" i="94" s="1"/>
  <c r="L50" i="94" s="1"/>
  <c r="L51" i="94" s="1"/>
  <c r="L52" i="94" s="1"/>
  <c r="L53" i="94" s="1"/>
  <c r="L54" i="94" s="1"/>
  <c r="L55" i="94" s="1"/>
  <c r="L56" i="94" s="1"/>
  <c r="L57" i="94" s="1"/>
  <c r="L58" i="94" s="1"/>
  <c r="N35" i="94"/>
  <c r="L35" i="94"/>
  <c r="L36" i="94" s="1"/>
  <c r="L37" i="94" s="1"/>
  <c r="L38" i="94" s="1"/>
  <c r="L39" i="94" s="1"/>
  <c r="L40" i="94" s="1"/>
  <c r="L41" i="94" s="1"/>
  <c r="L42" i="94" s="1"/>
  <c r="L43" i="94" s="1"/>
  <c r="L44" i="94" s="1"/>
  <c r="L45" i="94" s="1"/>
  <c r="L46" i="94" s="1"/>
  <c r="J36" i="94"/>
  <c r="J37" i="94" s="1"/>
  <c r="J38" i="94" s="1"/>
  <c r="J39" i="94" s="1"/>
  <c r="J40" i="94" s="1"/>
  <c r="J41" i="94" s="1"/>
  <c r="J42" i="94" s="1"/>
  <c r="J43" i="94" s="1"/>
  <c r="J44" i="94" s="1"/>
  <c r="J45" i="94" s="1"/>
  <c r="J46" i="94" s="1"/>
  <c r="N23" i="94"/>
  <c r="N24" i="94" s="1"/>
  <c r="N25" i="94" s="1"/>
  <c r="N26" i="94" s="1"/>
  <c r="N27" i="94" s="1"/>
  <c r="N28" i="94" s="1"/>
  <c r="N29" i="94" s="1"/>
  <c r="N30" i="94" s="1"/>
  <c r="N31" i="94" s="1"/>
  <c r="N32" i="94" s="1"/>
  <c r="N33" i="94" s="1"/>
  <c r="N34" i="94" s="1"/>
  <c r="L23" i="94"/>
  <c r="L24" i="94" s="1"/>
  <c r="L25" i="94" s="1"/>
  <c r="L26" i="94" s="1"/>
  <c r="L27" i="94" s="1"/>
  <c r="L28" i="94" s="1"/>
  <c r="L29" i="94" s="1"/>
  <c r="L30" i="94" s="1"/>
  <c r="L31" i="94" s="1"/>
  <c r="L32" i="94" s="1"/>
  <c r="L33" i="94" s="1"/>
  <c r="L34" i="94" s="1"/>
  <c r="K24" i="94"/>
  <c r="I24" i="94"/>
  <c r="I25" i="94" s="1"/>
  <c r="I26" i="94" s="1"/>
  <c r="I27" i="94" s="1"/>
  <c r="I28" i="94" s="1"/>
  <c r="I29" i="94" s="1"/>
  <c r="I30" i="94" s="1"/>
  <c r="I31" i="94" s="1"/>
  <c r="I32" i="94" s="1"/>
  <c r="I33" i="94" s="1"/>
  <c r="I34" i="94" s="1"/>
  <c r="N11" i="94"/>
  <c r="P11" i="94" s="1"/>
  <c r="P12" i="94" s="1"/>
  <c r="P13" i="94" s="1"/>
  <c r="P14" i="94" s="1"/>
  <c r="P15" i="94" s="1"/>
  <c r="P16" i="94" s="1"/>
  <c r="P17" i="94" s="1"/>
  <c r="P18" i="94" s="1"/>
  <c r="P19" i="94" s="1"/>
  <c r="P20" i="94" s="1"/>
  <c r="P21" i="94" s="1"/>
  <c r="P22" i="94" s="1"/>
  <c r="L11" i="94"/>
  <c r="L12" i="94" s="1"/>
  <c r="L13" i="94" s="1"/>
  <c r="L14" i="94" s="1"/>
  <c r="L15" i="94" s="1"/>
  <c r="L16" i="94" s="1"/>
  <c r="L17" i="94" s="1"/>
  <c r="L18" i="94" s="1"/>
  <c r="L19" i="94" s="1"/>
  <c r="L20" i="94" s="1"/>
  <c r="L21" i="94" s="1"/>
  <c r="L22" i="94" s="1"/>
  <c r="K11" i="94"/>
  <c r="B10" i="94"/>
  <c r="L11" i="82"/>
  <c r="L12" i="82" s="1"/>
  <c r="L13" i="82" s="1"/>
  <c r="L14" i="82" s="1"/>
  <c r="L15" i="82" s="1"/>
  <c r="L16" i="82" s="1"/>
  <c r="L17" i="82" s="1"/>
  <c r="L18" i="82" s="1"/>
  <c r="L19" i="82" s="1"/>
  <c r="L20" i="82" s="1"/>
  <c r="L21" i="82" s="1"/>
  <c r="L22" i="82" s="1"/>
  <c r="L23" i="82" s="1"/>
  <c r="L24" i="82" s="1"/>
  <c r="L25" i="82" s="1"/>
  <c r="L26" i="82" s="1"/>
  <c r="L27" i="82" s="1"/>
  <c r="L28" i="82" s="1"/>
  <c r="L29" i="82" s="1"/>
  <c r="L30" i="82" s="1"/>
  <c r="L31" i="82" s="1"/>
  <c r="L32" i="82" s="1"/>
  <c r="L33" i="82" s="1"/>
  <c r="L34" i="82" s="1"/>
  <c r="L35" i="82" s="1"/>
  <c r="L36" i="82" s="1"/>
  <c r="L37" i="82" s="1"/>
  <c r="L38" i="82" s="1"/>
  <c r="L39" i="82" s="1"/>
  <c r="L40" i="82" s="1"/>
  <c r="L41" i="82" s="1"/>
  <c r="L42" i="82" s="1"/>
  <c r="L43" i="82" s="1"/>
  <c r="L44" i="82" s="1"/>
  <c r="L45" i="82" s="1"/>
  <c r="L46" i="82" s="1"/>
  <c r="T638" i="61" l="1"/>
  <c r="U638" i="61" s="1"/>
  <c r="C640" i="61"/>
  <c r="P640" i="61"/>
  <c r="Q640" i="61" s="1"/>
  <c r="E640" i="61"/>
  <c r="F640" i="61" s="1"/>
  <c r="G639" i="61"/>
  <c r="H639" i="61"/>
  <c r="S639" i="61"/>
  <c r="R639" i="61"/>
  <c r="J25" i="94"/>
  <c r="C24" i="94"/>
  <c r="J12" i="96"/>
  <c r="C12" i="96" s="1"/>
  <c r="Q51" i="88"/>
  <c r="J43" i="97"/>
  <c r="C42" i="97"/>
  <c r="D34" i="95"/>
  <c r="Q15" i="88"/>
  <c r="Q100" i="88"/>
  <c r="Q39" i="88"/>
  <c r="C38" i="88"/>
  <c r="Q75" i="88"/>
  <c r="J12" i="94"/>
  <c r="C11" i="94"/>
  <c r="Q27" i="88"/>
  <c r="C224" i="92"/>
  <c r="R31" i="95"/>
  <c r="T30" i="95"/>
  <c r="U30" i="95" s="1"/>
  <c r="J111" i="88"/>
  <c r="C110" i="88"/>
  <c r="D34" i="94"/>
  <c r="Q63" i="88"/>
  <c r="D36" i="96"/>
  <c r="K35" i="96"/>
  <c r="C35" i="96" s="1"/>
  <c r="Q87" i="88"/>
  <c r="C86" i="88"/>
  <c r="J13" i="96"/>
  <c r="C13" i="96" s="1"/>
  <c r="L12" i="96"/>
  <c r="L13" i="96" s="1"/>
  <c r="L14" i="96" s="1"/>
  <c r="L15" i="96" s="1"/>
  <c r="L16" i="96" s="1"/>
  <c r="L17" i="96" s="1"/>
  <c r="L18" i="96" s="1"/>
  <c r="L19" i="96" s="1"/>
  <c r="L20" i="96" s="1"/>
  <c r="L21" i="96" s="1"/>
  <c r="L22" i="96" s="1"/>
  <c r="I12" i="96"/>
  <c r="I13" i="96" s="1"/>
  <c r="I14" i="96" s="1"/>
  <c r="I15" i="96" s="1"/>
  <c r="I16" i="96" s="1"/>
  <c r="I17" i="96" s="1"/>
  <c r="I18" i="96" s="1"/>
  <c r="I19" i="96" s="1"/>
  <c r="I20" i="96" s="1"/>
  <c r="I21" i="96" s="1"/>
  <c r="I22" i="96" s="1"/>
  <c r="J24" i="96"/>
  <c r="C24" i="96" s="1"/>
  <c r="J152" i="96"/>
  <c r="T42" i="94"/>
  <c r="R43" i="94"/>
  <c r="U41" i="94"/>
  <c r="V41" i="94" s="1"/>
  <c r="S42" i="94"/>
  <c r="H130" i="93"/>
  <c r="G130" i="93"/>
  <c r="E224" i="92"/>
  <c r="F224" i="92" s="1"/>
  <c r="D225" i="92"/>
  <c r="K224" i="92"/>
  <c r="H223" i="92"/>
  <c r="G223" i="92"/>
  <c r="H222" i="91"/>
  <c r="G222" i="91"/>
  <c r="D224" i="91"/>
  <c r="E223" i="91"/>
  <c r="F223" i="91" s="1"/>
  <c r="K223" i="91"/>
  <c r="C223" i="91" s="1"/>
  <c r="H223" i="89"/>
  <c r="G223" i="89"/>
  <c r="D225" i="89"/>
  <c r="E224" i="89"/>
  <c r="F224" i="89" s="1"/>
  <c r="K224" i="89"/>
  <c r="C224" i="89" s="1"/>
  <c r="H222" i="87"/>
  <c r="G222" i="87"/>
  <c r="K223" i="87"/>
  <c r="C223" i="87" s="1"/>
  <c r="E223" i="87"/>
  <c r="F223" i="87" s="1"/>
  <c r="D224" i="87"/>
  <c r="G38" i="88"/>
  <c r="H38" i="88"/>
  <c r="E87" i="88"/>
  <c r="F87" i="88" s="1"/>
  <c r="D88" i="88"/>
  <c r="K87" i="88"/>
  <c r="H86" i="88"/>
  <c r="G86" i="88"/>
  <c r="D40" i="88"/>
  <c r="K39" i="88"/>
  <c r="E39" i="88"/>
  <c r="F39" i="88" s="1"/>
  <c r="N36" i="96"/>
  <c r="N37" i="96" s="1"/>
  <c r="N38" i="96" s="1"/>
  <c r="N39" i="96" s="1"/>
  <c r="N40" i="96" s="1"/>
  <c r="N41" i="96" s="1"/>
  <c r="N42" i="96" s="1"/>
  <c r="N43" i="96" s="1"/>
  <c r="N44" i="96" s="1"/>
  <c r="N45" i="96" s="1"/>
  <c r="N46" i="96" s="1"/>
  <c r="N47" i="96" s="1"/>
  <c r="N48" i="96" s="1"/>
  <c r="N49" i="96" s="1"/>
  <c r="N50" i="96" s="1"/>
  <c r="N51" i="96" s="1"/>
  <c r="N52" i="96" s="1"/>
  <c r="N53" i="96" s="1"/>
  <c r="N54" i="96" s="1"/>
  <c r="N55" i="96" s="1"/>
  <c r="N56" i="96" s="1"/>
  <c r="N57" i="96" s="1"/>
  <c r="N58" i="96" s="1"/>
  <c r="N59" i="96" s="1"/>
  <c r="N60" i="96" s="1"/>
  <c r="N61" i="96" s="1"/>
  <c r="N62" i="96" s="1"/>
  <c r="N63" i="96" s="1"/>
  <c r="N64" i="96" s="1"/>
  <c r="N65" i="96" s="1"/>
  <c r="N66" i="96" s="1"/>
  <c r="N67" i="96" s="1"/>
  <c r="N68" i="96" s="1"/>
  <c r="N69" i="96" s="1"/>
  <c r="N70" i="96" s="1"/>
  <c r="N71" i="96" s="1"/>
  <c r="N72" i="96" s="1"/>
  <c r="N73" i="96" s="1"/>
  <c r="N74" i="96" s="1"/>
  <c r="N75" i="96" s="1"/>
  <c r="N76" i="96" s="1"/>
  <c r="N77" i="96" s="1"/>
  <c r="N78" i="96" s="1"/>
  <c r="N79" i="96" s="1"/>
  <c r="N80" i="96" s="1"/>
  <c r="N81" i="96" s="1"/>
  <c r="N82" i="96" s="1"/>
  <c r="N24" i="96"/>
  <c r="N25" i="96" s="1"/>
  <c r="N26" i="96" s="1"/>
  <c r="N27" i="96" s="1"/>
  <c r="N28" i="96" s="1"/>
  <c r="N29" i="96" s="1"/>
  <c r="N30" i="96" s="1"/>
  <c r="N31" i="96" s="1"/>
  <c r="N32" i="96" s="1"/>
  <c r="N33" i="96" s="1"/>
  <c r="N34" i="96" s="1"/>
  <c r="N84" i="96"/>
  <c r="N85" i="96" s="1"/>
  <c r="N86" i="96" s="1"/>
  <c r="N87" i="96" s="1"/>
  <c r="N88" i="96" s="1"/>
  <c r="N89" i="96" s="1"/>
  <c r="N90" i="96" s="1"/>
  <c r="N91" i="96" s="1"/>
  <c r="N92" i="96" s="1"/>
  <c r="N93" i="96" s="1"/>
  <c r="N94" i="96" s="1"/>
  <c r="N95" i="96" s="1"/>
  <c r="N96" i="96" s="1"/>
  <c r="N97" i="96" s="1"/>
  <c r="N98" i="96" s="1"/>
  <c r="N99" i="96" s="1"/>
  <c r="N100" i="96" s="1"/>
  <c r="N101" i="96" s="1"/>
  <c r="N102" i="96" s="1"/>
  <c r="N103" i="96" s="1"/>
  <c r="N104" i="96" s="1"/>
  <c r="N105" i="96" s="1"/>
  <c r="N106" i="96" s="1"/>
  <c r="N107" i="96" s="1"/>
  <c r="N108" i="96" s="1"/>
  <c r="N109" i="96" s="1"/>
  <c r="N110" i="96" s="1"/>
  <c r="N111" i="96" s="1"/>
  <c r="N112" i="96" s="1"/>
  <c r="N113" i="96" s="1"/>
  <c r="N114" i="96" s="1"/>
  <c r="N115" i="96" s="1"/>
  <c r="N116" i="96" s="1"/>
  <c r="N117" i="96" s="1"/>
  <c r="N118" i="96" s="1"/>
  <c r="N119" i="96" s="1"/>
  <c r="N120" i="96" s="1"/>
  <c r="N121" i="96" s="1"/>
  <c r="N122" i="96" s="1"/>
  <c r="N123" i="96" s="1"/>
  <c r="N124" i="96" s="1"/>
  <c r="N125" i="96" s="1"/>
  <c r="N126" i="96" s="1"/>
  <c r="N127" i="96" s="1"/>
  <c r="N128" i="96" s="1"/>
  <c r="N129" i="96" s="1"/>
  <c r="N130" i="96" s="1"/>
  <c r="E11" i="96"/>
  <c r="F11" i="96" s="1"/>
  <c r="G11" i="96" s="1"/>
  <c r="E11" i="95"/>
  <c r="F11" i="95" s="1"/>
  <c r="H11" i="95" s="1"/>
  <c r="K11" i="95"/>
  <c r="N36" i="95"/>
  <c r="N37" i="95" s="1"/>
  <c r="N38" i="95" s="1"/>
  <c r="N39" i="95" s="1"/>
  <c r="N40" i="95" s="1"/>
  <c r="N41" i="95" s="1"/>
  <c r="N42" i="95" s="1"/>
  <c r="N43" i="95" s="1"/>
  <c r="N44" i="95" s="1"/>
  <c r="N45" i="95" s="1"/>
  <c r="N46" i="95" s="1"/>
  <c r="N47" i="95" s="1"/>
  <c r="N48" i="95" s="1"/>
  <c r="N49" i="95" s="1"/>
  <c r="N50" i="95" s="1"/>
  <c r="N51" i="95" s="1"/>
  <c r="N52" i="95" s="1"/>
  <c r="N53" i="95" s="1"/>
  <c r="N54" i="95" s="1"/>
  <c r="N55" i="95" s="1"/>
  <c r="N56" i="95" s="1"/>
  <c r="N57" i="95" s="1"/>
  <c r="N58" i="95" s="1"/>
  <c r="O83" i="95"/>
  <c r="O84" i="95" s="1"/>
  <c r="O85" i="95" s="1"/>
  <c r="O86" i="95" s="1"/>
  <c r="O87" i="95" s="1"/>
  <c r="O88" i="95" s="1"/>
  <c r="O89" i="95" s="1"/>
  <c r="O90" i="95" s="1"/>
  <c r="O91" i="95" s="1"/>
  <c r="O92" i="95" s="1"/>
  <c r="O93" i="95" s="1"/>
  <c r="O94" i="95" s="1"/>
  <c r="O95" i="95" s="1"/>
  <c r="O96" i="95" s="1"/>
  <c r="O97" i="95" s="1"/>
  <c r="O98" i="95" s="1"/>
  <c r="O99" i="95" s="1"/>
  <c r="O100" i="95" s="1"/>
  <c r="O101" i="95" s="1"/>
  <c r="O102" i="95" s="1"/>
  <c r="O103" i="95" s="1"/>
  <c r="O104" i="95" s="1"/>
  <c r="O105" i="95" s="1"/>
  <c r="O106" i="95" s="1"/>
  <c r="I12" i="95"/>
  <c r="I13" i="95" s="1"/>
  <c r="I14" i="95" s="1"/>
  <c r="I15" i="95" s="1"/>
  <c r="I16" i="95" s="1"/>
  <c r="I17" i="95" s="1"/>
  <c r="I18" i="95" s="1"/>
  <c r="I19" i="95" s="1"/>
  <c r="I20" i="95" s="1"/>
  <c r="I21" i="95" s="1"/>
  <c r="I22" i="95" s="1"/>
  <c r="I23" i="95" s="1"/>
  <c r="I24" i="95" s="1"/>
  <c r="I25" i="95" s="1"/>
  <c r="I26" i="95" s="1"/>
  <c r="I27" i="95" s="1"/>
  <c r="I28" i="95" s="1"/>
  <c r="I29" i="95" s="1"/>
  <c r="I30" i="95" s="1"/>
  <c r="I31" i="95" s="1"/>
  <c r="I32" i="95" s="1"/>
  <c r="I33" i="95" s="1"/>
  <c r="I34" i="95" s="1"/>
  <c r="J13" i="95"/>
  <c r="E23" i="94"/>
  <c r="F23" i="94" s="1"/>
  <c r="H23" i="94" s="1"/>
  <c r="N48" i="94"/>
  <c r="N49" i="94" s="1"/>
  <c r="N50" i="94" s="1"/>
  <c r="N51" i="94" s="1"/>
  <c r="N52" i="94" s="1"/>
  <c r="N53" i="94" s="1"/>
  <c r="N54" i="94" s="1"/>
  <c r="N55" i="94" s="1"/>
  <c r="N56" i="94" s="1"/>
  <c r="N57" i="94" s="1"/>
  <c r="N58" i="94" s="1"/>
  <c r="P47" i="94"/>
  <c r="P48" i="94" s="1"/>
  <c r="P49" i="94" s="1"/>
  <c r="P50" i="94" s="1"/>
  <c r="P51" i="94" s="1"/>
  <c r="P52" i="94" s="1"/>
  <c r="P53" i="94" s="1"/>
  <c r="P54" i="94" s="1"/>
  <c r="P55" i="94" s="1"/>
  <c r="P56" i="94" s="1"/>
  <c r="P57" i="94" s="1"/>
  <c r="P58" i="94" s="1"/>
  <c r="N60" i="95"/>
  <c r="N61" i="95" s="1"/>
  <c r="N62" i="95" s="1"/>
  <c r="N63" i="95" s="1"/>
  <c r="N64" i="95" s="1"/>
  <c r="N65" i="95" s="1"/>
  <c r="N66" i="95" s="1"/>
  <c r="N67" i="95" s="1"/>
  <c r="N68" i="95" s="1"/>
  <c r="N69" i="95" s="1"/>
  <c r="N70" i="95" s="1"/>
  <c r="N71" i="95" s="1"/>
  <c r="N72" i="95" s="1"/>
  <c r="N73" i="95" s="1"/>
  <c r="N74" i="95" s="1"/>
  <c r="N75" i="95" s="1"/>
  <c r="N76" i="95" s="1"/>
  <c r="N77" i="95" s="1"/>
  <c r="N78" i="95" s="1"/>
  <c r="N79" i="95" s="1"/>
  <c r="N80" i="95" s="1"/>
  <c r="N81" i="95" s="1"/>
  <c r="N82" i="95" s="1"/>
  <c r="O59" i="95"/>
  <c r="O60" i="95" s="1"/>
  <c r="O61" i="95" s="1"/>
  <c r="O62" i="95" s="1"/>
  <c r="O63" i="95" s="1"/>
  <c r="O64" i="95" s="1"/>
  <c r="O65" i="95" s="1"/>
  <c r="O66" i="95" s="1"/>
  <c r="O67" i="95" s="1"/>
  <c r="O68" i="95" s="1"/>
  <c r="O69" i="95" s="1"/>
  <c r="O70" i="95" s="1"/>
  <c r="O71" i="95" s="1"/>
  <c r="O72" i="95" s="1"/>
  <c r="O73" i="95" s="1"/>
  <c r="O74" i="95" s="1"/>
  <c r="O75" i="95" s="1"/>
  <c r="O76" i="95" s="1"/>
  <c r="O77" i="95" s="1"/>
  <c r="O78" i="95" s="1"/>
  <c r="O79" i="95" s="1"/>
  <c r="O80" i="95" s="1"/>
  <c r="O81" i="95" s="1"/>
  <c r="O82" i="95" s="1"/>
  <c r="N15" i="96"/>
  <c r="N16" i="96" s="1"/>
  <c r="N17" i="96" s="1"/>
  <c r="N18" i="96" s="1"/>
  <c r="N19" i="96" s="1"/>
  <c r="N20" i="96" s="1"/>
  <c r="N21" i="96" s="1"/>
  <c r="N22" i="96" s="1"/>
  <c r="O11" i="96"/>
  <c r="K11" i="96"/>
  <c r="C11" i="96" s="1"/>
  <c r="O11" i="95"/>
  <c r="O12" i="95" s="1"/>
  <c r="O13" i="95" s="1"/>
  <c r="O14" i="95" s="1"/>
  <c r="O15" i="95" s="1"/>
  <c r="O16" i="95" s="1"/>
  <c r="O17" i="95" s="1"/>
  <c r="O18" i="95" s="1"/>
  <c r="O19" i="95" s="1"/>
  <c r="O20" i="95" s="1"/>
  <c r="O21" i="95" s="1"/>
  <c r="O22" i="95" s="1"/>
  <c r="O23" i="95" s="1"/>
  <c r="O24" i="95" s="1"/>
  <c r="O25" i="95" s="1"/>
  <c r="O26" i="95" s="1"/>
  <c r="O27" i="95" s="1"/>
  <c r="O28" i="95" s="1"/>
  <c r="O29" i="95" s="1"/>
  <c r="O30" i="95" s="1"/>
  <c r="O31" i="95" s="1"/>
  <c r="O32" i="95" s="1"/>
  <c r="O33" i="95" s="1"/>
  <c r="O34" i="95" s="1"/>
  <c r="E23" i="96"/>
  <c r="F23" i="96" s="1"/>
  <c r="N12" i="94"/>
  <c r="N13" i="94" s="1"/>
  <c r="N14" i="94" s="1"/>
  <c r="N15" i="94" s="1"/>
  <c r="N16" i="94" s="1"/>
  <c r="N17" i="94" s="1"/>
  <c r="N18" i="94" s="1"/>
  <c r="N19" i="94" s="1"/>
  <c r="N20" i="94" s="1"/>
  <c r="N21" i="94" s="1"/>
  <c r="N22" i="94" s="1"/>
  <c r="K23" i="94"/>
  <c r="C23" i="94" s="1"/>
  <c r="E11" i="94"/>
  <c r="F11" i="94" s="1"/>
  <c r="E24" i="94"/>
  <c r="F24" i="94" s="1"/>
  <c r="P23" i="94"/>
  <c r="P24" i="94" s="1"/>
  <c r="P25" i="94" s="1"/>
  <c r="P26" i="94" s="1"/>
  <c r="P27" i="94" s="1"/>
  <c r="P28" i="94" s="1"/>
  <c r="P29" i="94" s="1"/>
  <c r="P30" i="94" s="1"/>
  <c r="P31" i="94" s="1"/>
  <c r="P32" i="94" s="1"/>
  <c r="P33" i="94" s="1"/>
  <c r="P34" i="94" s="1"/>
  <c r="N36" i="94"/>
  <c r="N37" i="94" s="1"/>
  <c r="N38" i="94" s="1"/>
  <c r="N39" i="94" s="1"/>
  <c r="N40" i="94" s="1"/>
  <c r="N41" i="94" s="1"/>
  <c r="N42" i="94" s="1"/>
  <c r="N43" i="94" s="1"/>
  <c r="N44" i="94" s="1"/>
  <c r="N45" i="94" s="1"/>
  <c r="N46" i="94" s="1"/>
  <c r="P35" i="94"/>
  <c r="P36" i="94" s="1"/>
  <c r="P37" i="94" s="1"/>
  <c r="P38" i="94" s="1"/>
  <c r="P39" i="94" s="1"/>
  <c r="P40" i="94" s="1"/>
  <c r="P41" i="94" s="1"/>
  <c r="P42" i="94" s="1"/>
  <c r="P43" i="94" s="1"/>
  <c r="P44" i="94" s="1"/>
  <c r="P45" i="94" s="1"/>
  <c r="P46" i="94" s="1"/>
  <c r="T10" i="93"/>
  <c r="L11" i="93"/>
  <c r="L12" i="93" s="1"/>
  <c r="L13" i="93" s="1"/>
  <c r="L14" i="93" s="1"/>
  <c r="L15" i="93" s="1"/>
  <c r="L16" i="93" s="1"/>
  <c r="L17" i="93" s="1"/>
  <c r="L18" i="93" s="1"/>
  <c r="L19" i="93" s="1"/>
  <c r="L20" i="93" s="1"/>
  <c r="L21" i="93" s="1"/>
  <c r="L22" i="93" s="1"/>
  <c r="L23" i="93" s="1"/>
  <c r="L24" i="93" s="1"/>
  <c r="L25" i="93" s="1"/>
  <c r="L26" i="93" s="1"/>
  <c r="L27" i="93" s="1"/>
  <c r="L28" i="93" s="1"/>
  <c r="L29" i="93" s="1"/>
  <c r="L30" i="93" s="1"/>
  <c r="L31" i="93" s="1"/>
  <c r="L32" i="93" s="1"/>
  <c r="L33" i="93" s="1"/>
  <c r="L34" i="93" s="1"/>
  <c r="L35" i="93" s="1"/>
  <c r="L36" i="93" s="1"/>
  <c r="L37" i="93" s="1"/>
  <c r="L38" i="93" s="1"/>
  <c r="L39" i="93" s="1"/>
  <c r="L40" i="93" s="1"/>
  <c r="L41" i="93" s="1"/>
  <c r="L42" i="93" s="1"/>
  <c r="L43" i="93" s="1"/>
  <c r="L44" i="93" s="1"/>
  <c r="L45" i="93" s="1"/>
  <c r="L46" i="93" s="1"/>
  <c r="L47" i="93" s="1"/>
  <c r="L48" i="93" s="1"/>
  <c r="L49" i="93" s="1"/>
  <c r="L50" i="93" s="1"/>
  <c r="L51" i="93" s="1"/>
  <c r="L52" i="93" s="1"/>
  <c r="L53" i="93" s="1"/>
  <c r="L54" i="93" s="1"/>
  <c r="L55" i="93" s="1"/>
  <c r="L56" i="93" s="1"/>
  <c r="L57" i="93" s="1"/>
  <c r="L58" i="93" s="1"/>
  <c r="L59" i="93" s="1"/>
  <c r="L60" i="93" s="1"/>
  <c r="L61" i="93" s="1"/>
  <c r="L62" i="93" s="1"/>
  <c r="L63" i="93" s="1"/>
  <c r="L64" i="93" s="1"/>
  <c r="L65" i="93" s="1"/>
  <c r="L66" i="93" s="1"/>
  <c r="L67" i="93" s="1"/>
  <c r="L68" i="93" s="1"/>
  <c r="L69" i="93" s="1"/>
  <c r="L70" i="93" s="1"/>
  <c r="L71" i="93" s="1"/>
  <c r="L72" i="93" s="1"/>
  <c r="L73" i="93" s="1"/>
  <c r="L74" i="93" s="1"/>
  <c r="L75" i="93" s="1"/>
  <c r="L76" i="93" s="1"/>
  <c r="L77" i="93" s="1"/>
  <c r="L78" i="93" s="1"/>
  <c r="L79" i="93" s="1"/>
  <c r="L80" i="93" s="1"/>
  <c r="L81" i="93" s="1"/>
  <c r="L82" i="93" s="1"/>
  <c r="L83" i="93" s="1"/>
  <c r="L84" i="93" s="1"/>
  <c r="L85" i="93" s="1"/>
  <c r="L86" i="93" s="1"/>
  <c r="L87" i="93" s="1"/>
  <c r="L88" i="93" s="1"/>
  <c r="L89" i="93" s="1"/>
  <c r="L90" i="93" s="1"/>
  <c r="L91" i="93" s="1"/>
  <c r="L92" i="93" s="1"/>
  <c r="L93" i="93" s="1"/>
  <c r="L94" i="93" s="1"/>
  <c r="L95" i="93" s="1"/>
  <c r="L96" i="93" s="1"/>
  <c r="L97" i="93" s="1"/>
  <c r="L98" i="93" s="1"/>
  <c r="L99" i="93" s="1"/>
  <c r="L100" i="93" s="1"/>
  <c r="L101" i="93" s="1"/>
  <c r="L102" i="93" s="1"/>
  <c r="L103" i="93" s="1"/>
  <c r="L104" i="93" s="1"/>
  <c r="L105" i="93" s="1"/>
  <c r="L106" i="93" s="1"/>
  <c r="L107" i="93" s="1"/>
  <c r="L108" i="93" s="1"/>
  <c r="L109" i="93" s="1"/>
  <c r="L110" i="93" s="1"/>
  <c r="L111" i="93" s="1"/>
  <c r="L112" i="93" s="1"/>
  <c r="L113" i="93" s="1"/>
  <c r="L114" i="93" s="1"/>
  <c r="L115" i="93" s="1"/>
  <c r="L116" i="93" s="1"/>
  <c r="L117" i="93" s="1"/>
  <c r="L118" i="93" s="1"/>
  <c r="L119" i="93" s="1"/>
  <c r="L120" i="93" s="1"/>
  <c r="L121" i="93" s="1"/>
  <c r="L122" i="93" s="1"/>
  <c r="L123" i="93" s="1"/>
  <c r="L124" i="93" s="1"/>
  <c r="L125" i="93" s="1"/>
  <c r="L126" i="93" s="1"/>
  <c r="L127" i="93" s="1"/>
  <c r="L128" i="93" s="1"/>
  <c r="L129" i="93" s="1"/>
  <c r="L130" i="93" s="1"/>
  <c r="J11" i="93"/>
  <c r="J12" i="93" s="1"/>
  <c r="J13" i="93" s="1"/>
  <c r="J14" i="93" s="1"/>
  <c r="J15" i="93" s="1"/>
  <c r="J16" i="93" s="1"/>
  <c r="J17" i="93" s="1"/>
  <c r="J18" i="93" s="1"/>
  <c r="J19" i="93" s="1"/>
  <c r="J20" i="93" s="1"/>
  <c r="J21" i="93" s="1"/>
  <c r="J22" i="93" s="1"/>
  <c r="J23" i="93" s="1"/>
  <c r="J24" i="93" s="1"/>
  <c r="J25" i="93" s="1"/>
  <c r="J26" i="93" s="1"/>
  <c r="J27" i="93" s="1"/>
  <c r="J28" i="93" s="1"/>
  <c r="J29" i="93" s="1"/>
  <c r="J30" i="93" s="1"/>
  <c r="J31" i="93" s="1"/>
  <c r="J32" i="93" s="1"/>
  <c r="J33" i="93" s="1"/>
  <c r="J34" i="93" s="1"/>
  <c r="J35" i="93" s="1"/>
  <c r="J36" i="93" s="1"/>
  <c r="J37" i="93" s="1"/>
  <c r="J38" i="93" s="1"/>
  <c r="J39" i="93" s="1"/>
  <c r="J40" i="93" s="1"/>
  <c r="J41" i="93" s="1"/>
  <c r="J42" i="93" s="1"/>
  <c r="J43" i="93" s="1"/>
  <c r="J44" i="93" s="1"/>
  <c r="J45" i="93" s="1"/>
  <c r="J46" i="93" s="1"/>
  <c r="J47" i="93" s="1"/>
  <c r="J48" i="93" s="1"/>
  <c r="J49" i="93" s="1"/>
  <c r="J50" i="93" s="1"/>
  <c r="J51" i="93" s="1"/>
  <c r="J52" i="93" s="1"/>
  <c r="J53" i="93" s="1"/>
  <c r="J54" i="93" s="1"/>
  <c r="J55" i="93" s="1"/>
  <c r="J56" i="93" s="1"/>
  <c r="J57" i="93" s="1"/>
  <c r="J58" i="93" s="1"/>
  <c r="J59" i="93" s="1"/>
  <c r="J60" i="93" s="1"/>
  <c r="J61" i="93" s="1"/>
  <c r="J62" i="93" s="1"/>
  <c r="J63" i="93" s="1"/>
  <c r="J64" i="93" s="1"/>
  <c r="J65" i="93" s="1"/>
  <c r="J66" i="93" s="1"/>
  <c r="J67" i="93" s="1"/>
  <c r="J68" i="93" s="1"/>
  <c r="J69" i="93" s="1"/>
  <c r="J70" i="93" s="1"/>
  <c r="J71" i="93" s="1"/>
  <c r="J72" i="93" s="1"/>
  <c r="J73" i="93" s="1"/>
  <c r="J74" i="93" s="1"/>
  <c r="J75" i="93" s="1"/>
  <c r="J76" i="93" s="1"/>
  <c r="J77" i="93" s="1"/>
  <c r="J78" i="93" s="1"/>
  <c r="J79" i="93" s="1"/>
  <c r="J80" i="93" s="1"/>
  <c r="J81" i="93" s="1"/>
  <c r="J82" i="93" s="1"/>
  <c r="J83" i="93" s="1"/>
  <c r="J84" i="93" s="1"/>
  <c r="J85" i="93" s="1"/>
  <c r="J86" i="93" s="1"/>
  <c r="J87" i="93" s="1"/>
  <c r="J88" i="93" s="1"/>
  <c r="J89" i="93" s="1"/>
  <c r="J90" i="93" s="1"/>
  <c r="J91" i="93" s="1"/>
  <c r="J92" i="93" s="1"/>
  <c r="J93" i="93" s="1"/>
  <c r="J94" i="93" s="1"/>
  <c r="J95" i="93" s="1"/>
  <c r="J96" i="93" s="1"/>
  <c r="J97" i="93" s="1"/>
  <c r="J98" i="93" s="1"/>
  <c r="J99" i="93" s="1"/>
  <c r="J100" i="93" s="1"/>
  <c r="J101" i="93" s="1"/>
  <c r="J102" i="93" s="1"/>
  <c r="J103" i="93" s="1"/>
  <c r="J104" i="93" s="1"/>
  <c r="J105" i="93" s="1"/>
  <c r="J106" i="93" s="1"/>
  <c r="J107" i="93" s="1"/>
  <c r="N155" i="92"/>
  <c r="P155" i="92" s="1"/>
  <c r="L155" i="92"/>
  <c r="L156" i="92" s="1"/>
  <c r="L157" i="92" s="1"/>
  <c r="L158" i="92" s="1"/>
  <c r="L159" i="92" s="1"/>
  <c r="L160" i="92" s="1"/>
  <c r="L161" i="92" s="1"/>
  <c r="L162" i="92" s="1"/>
  <c r="L163" i="92" s="1"/>
  <c r="L164" i="92" s="1"/>
  <c r="L165" i="92" s="1"/>
  <c r="L166" i="92" s="1"/>
  <c r="L167" i="92" s="1"/>
  <c r="L168" i="92" s="1"/>
  <c r="L169" i="92" s="1"/>
  <c r="L170" i="92" s="1"/>
  <c r="L171" i="92" s="1"/>
  <c r="L172" i="92" s="1"/>
  <c r="L173" i="92" s="1"/>
  <c r="L174" i="92" s="1"/>
  <c r="L175" i="92" s="1"/>
  <c r="L176" i="92" s="1"/>
  <c r="L177" i="92" s="1"/>
  <c r="L178" i="92" s="1"/>
  <c r="L179" i="92" s="1"/>
  <c r="L180" i="92" s="1"/>
  <c r="L181" i="92" s="1"/>
  <c r="L182" i="92" s="1"/>
  <c r="L183" i="92" s="1"/>
  <c r="L184" i="92" s="1"/>
  <c r="L185" i="92" s="1"/>
  <c r="L186" i="92" s="1"/>
  <c r="L187" i="92" s="1"/>
  <c r="L188" i="92" s="1"/>
  <c r="L189" i="92" s="1"/>
  <c r="L190" i="92" s="1"/>
  <c r="L191" i="92" s="1"/>
  <c r="L192" i="92" s="1"/>
  <c r="L193" i="92" s="1"/>
  <c r="L194" i="92" s="1"/>
  <c r="L195" i="92" s="1"/>
  <c r="L196" i="92" s="1"/>
  <c r="L197" i="92" s="1"/>
  <c r="L198" i="92" s="1"/>
  <c r="L199" i="92" s="1"/>
  <c r="L200" i="92" s="1"/>
  <c r="L201" i="92" s="1"/>
  <c r="L202" i="92" s="1"/>
  <c r="J155" i="92"/>
  <c r="I155" i="92"/>
  <c r="I156" i="92" s="1"/>
  <c r="I157" i="92" s="1"/>
  <c r="I158" i="92" s="1"/>
  <c r="I159" i="92" s="1"/>
  <c r="I160" i="92" s="1"/>
  <c r="I161" i="92" s="1"/>
  <c r="I162" i="92" s="1"/>
  <c r="I163" i="92" s="1"/>
  <c r="I164" i="92" s="1"/>
  <c r="I165" i="92" s="1"/>
  <c r="I166" i="92" s="1"/>
  <c r="I167" i="92" s="1"/>
  <c r="I168" i="92" s="1"/>
  <c r="I169" i="92" s="1"/>
  <c r="I170" i="92" s="1"/>
  <c r="I171" i="92" s="1"/>
  <c r="I172" i="92" s="1"/>
  <c r="I173" i="92" s="1"/>
  <c r="I174" i="92" s="1"/>
  <c r="I175" i="92" s="1"/>
  <c r="I176" i="92" s="1"/>
  <c r="I177" i="92" s="1"/>
  <c r="I178" i="92" s="1"/>
  <c r="I179" i="92" s="1"/>
  <c r="I180" i="92" s="1"/>
  <c r="I181" i="92" s="1"/>
  <c r="I182" i="92" s="1"/>
  <c r="I183" i="92" s="1"/>
  <c r="I184" i="92" s="1"/>
  <c r="I185" i="92" s="1"/>
  <c r="I186" i="92" s="1"/>
  <c r="I187" i="92" s="1"/>
  <c r="I188" i="92" s="1"/>
  <c r="I189" i="92" s="1"/>
  <c r="I190" i="92" s="1"/>
  <c r="I191" i="92" s="1"/>
  <c r="I192" i="92" s="1"/>
  <c r="I193" i="92" s="1"/>
  <c r="I194" i="92" s="1"/>
  <c r="I195" i="92" s="1"/>
  <c r="I196" i="92" s="1"/>
  <c r="I197" i="92" s="1"/>
  <c r="I198" i="92" s="1"/>
  <c r="I199" i="92" s="1"/>
  <c r="I200" i="92" s="1"/>
  <c r="I201" i="92" s="1"/>
  <c r="I202" i="92" s="1"/>
  <c r="E155" i="92"/>
  <c r="F155" i="92" s="1"/>
  <c r="N107" i="92"/>
  <c r="P107" i="92" s="1"/>
  <c r="L107" i="92"/>
  <c r="L108" i="92" s="1"/>
  <c r="L109" i="92" s="1"/>
  <c r="L110" i="92" s="1"/>
  <c r="L111" i="92" s="1"/>
  <c r="L112" i="92" s="1"/>
  <c r="L113" i="92" s="1"/>
  <c r="L114" i="92" s="1"/>
  <c r="L115" i="92" s="1"/>
  <c r="L116" i="92" s="1"/>
  <c r="L117" i="92" s="1"/>
  <c r="L118" i="92" s="1"/>
  <c r="L119" i="92" s="1"/>
  <c r="L120" i="92" s="1"/>
  <c r="L121" i="92" s="1"/>
  <c r="L122" i="92" s="1"/>
  <c r="L123" i="92" s="1"/>
  <c r="L124" i="92" s="1"/>
  <c r="L125" i="92" s="1"/>
  <c r="L126" i="92" s="1"/>
  <c r="L127" i="92" s="1"/>
  <c r="L128" i="92" s="1"/>
  <c r="L129" i="92" s="1"/>
  <c r="L130" i="92" s="1"/>
  <c r="L131" i="92" s="1"/>
  <c r="L132" i="92" s="1"/>
  <c r="L133" i="92" s="1"/>
  <c r="L134" i="92" s="1"/>
  <c r="L135" i="92" s="1"/>
  <c r="L136" i="92" s="1"/>
  <c r="L137" i="92" s="1"/>
  <c r="L138" i="92" s="1"/>
  <c r="L139" i="92" s="1"/>
  <c r="L140" i="92" s="1"/>
  <c r="L141" i="92" s="1"/>
  <c r="L142" i="92" s="1"/>
  <c r="L143" i="92" s="1"/>
  <c r="L144" i="92" s="1"/>
  <c r="L145" i="92" s="1"/>
  <c r="L146" i="92" s="1"/>
  <c r="L147" i="92" s="1"/>
  <c r="L148" i="92" s="1"/>
  <c r="L149" i="92" s="1"/>
  <c r="L150" i="92" s="1"/>
  <c r="L151" i="92" s="1"/>
  <c r="L152" i="92" s="1"/>
  <c r="L153" i="92" s="1"/>
  <c r="L154" i="92" s="1"/>
  <c r="J107" i="92"/>
  <c r="I107" i="92"/>
  <c r="I108" i="92" s="1"/>
  <c r="I109" i="92" s="1"/>
  <c r="I110" i="92" s="1"/>
  <c r="I111" i="92" s="1"/>
  <c r="I112" i="92" s="1"/>
  <c r="I113" i="92" s="1"/>
  <c r="I114" i="92" s="1"/>
  <c r="I115" i="92" s="1"/>
  <c r="I116" i="92" s="1"/>
  <c r="I117" i="92" s="1"/>
  <c r="I118" i="92" s="1"/>
  <c r="I119" i="92" s="1"/>
  <c r="I120" i="92" s="1"/>
  <c r="I121" i="92" s="1"/>
  <c r="I122" i="92" s="1"/>
  <c r="I123" i="92" s="1"/>
  <c r="I124" i="92" s="1"/>
  <c r="I125" i="92" s="1"/>
  <c r="I126" i="92" s="1"/>
  <c r="I127" i="92" s="1"/>
  <c r="I128" i="92" s="1"/>
  <c r="I129" i="92" s="1"/>
  <c r="I130" i="92" s="1"/>
  <c r="I131" i="92" s="1"/>
  <c r="I132" i="92" s="1"/>
  <c r="I133" i="92" s="1"/>
  <c r="I134" i="92" s="1"/>
  <c r="I135" i="92" s="1"/>
  <c r="I136" i="92" s="1"/>
  <c r="I137" i="92" s="1"/>
  <c r="I138" i="92" s="1"/>
  <c r="I139" i="92" s="1"/>
  <c r="I140" i="92" s="1"/>
  <c r="I141" i="92" s="1"/>
  <c r="I142" i="92" s="1"/>
  <c r="I143" i="92" s="1"/>
  <c r="I144" i="92" s="1"/>
  <c r="I145" i="92" s="1"/>
  <c r="I146" i="92" s="1"/>
  <c r="I147" i="92" s="1"/>
  <c r="I148" i="92" s="1"/>
  <c r="I149" i="92" s="1"/>
  <c r="I150" i="92" s="1"/>
  <c r="I151" i="92" s="1"/>
  <c r="I152" i="92" s="1"/>
  <c r="I153" i="92" s="1"/>
  <c r="I154" i="92" s="1"/>
  <c r="N59" i="92"/>
  <c r="P59" i="92" s="1"/>
  <c r="L59" i="92"/>
  <c r="J59" i="92"/>
  <c r="I59" i="92"/>
  <c r="I60" i="92" s="1"/>
  <c r="I61" i="92" s="1"/>
  <c r="I62" i="92" s="1"/>
  <c r="I63" i="92" s="1"/>
  <c r="I64" i="92" s="1"/>
  <c r="I65" i="92" s="1"/>
  <c r="I66" i="92" s="1"/>
  <c r="I67" i="92" s="1"/>
  <c r="I68" i="92" s="1"/>
  <c r="I69" i="92" s="1"/>
  <c r="I70" i="92" s="1"/>
  <c r="I71" i="92" s="1"/>
  <c r="I72" i="92" s="1"/>
  <c r="I73" i="92" s="1"/>
  <c r="I74" i="92" s="1"/>
  <c r="I75" i="92" s="1"/>
  <c r="I76" i="92" s="1"/>
  <c r="I77" i="92" s="1"/>
  <c r="I78" i="92" s="1"/>
  <c r="I79" i="92" s="1"/>
  <c r="I80" i="92" s="1"/>
  <c r="I81" i="92" s="1"/>
  <c r="I82" i="92" s="1"/>
  <c r="I83" i="92" s="1"/>
  <c r="I84" i="92" s="1"/>
  <c r="I85" i="92" s="1"/>
  <c r="I86" i="92" s="1"/>
  <c r="I87" i="92" s="1"/>
  <c r="I88" i="92" s="1"/>
  <c r="I89" i="92" s="1"/>
  <c r="I90" i="92" s="1"/>
  <c r="I91" i="92" s="1"/>
  <c r="I92" i="92" s="1"/>
  <c r="I93" i="92" s="1"/>
  <c r="I94" i="92" s="1"/>
  <c r="I95" i="92" s="1"/>
  <c r="I96" i="92" s="1"/>
  <c r="I97" i="92" s="1"/>
  <c r="I98" i="92" s="1"/>
  <c r="I99" i="92" s="1"/>
  <c r="I100" i="92" s="1"/>
  <c r="I101" i="92" s="1"/>
  <c r="I102" i="92" s="1"/>
  <c r="I103" i="92" s="1"/>
  <c r="I104" i="92" s="1"/>
  <c r="I105" i="92" s="1"/>
  <c r="I106" i="92" s="1"/>
  <c r="D59" i="92"/>
  <c r="N11" i="92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P24" i="92" s="1"/>
  <c r="P25" i="92" s="1"/>
  <c r="P26" i="92" s="1"/>
  <c r="P27" i="92" s="1"/>
  <c r="P28" i="92" s="1"/>
  <c r="P29" i="92" s="1"/>
  <c r="P30" i="92" s="1"/>
  <c r="P31" i="92" s="1"/>
  <c r="P32" i="92" s="1"/>
  <c r="P33" i="92" s="1"/>
  <c r="P34" i="92" s="1"/>
  <c r="P35" i="92" s="1"/>
  <c r="P36" i="92" s="1"/>
  <c r="P37" i="92" s="1"/>
  <c r="P38" i="92" s="1"/>
  <c r="P39" i="92" s="1"/>
  <c r="P40" i="92" s="1"/>
  <c r="P41" i="92" s="1"/>
  <c r="P42" i="92" s="1"/>
  <c r="P43" i="92" s="1"/>
  <c r="P44" i="92" s="1"/>
  <c r="P45" i="92" s="1"/>
  <c r="P46" i="92" s="1"/>
  <c r="P47" i="92" s="1"/>
  <c r="P48" i="92" s="1"/>
  <c r="P49" i="92" s="1"/>
  <c r="P50" i="92" s="1"/>
  <c r="P51" i="92" s="1"/>
  <c r="P52" i="92" s="1"/>
  <c r="P53" i="92" s="1"/>
  <c r="P54" i="92" s="1"/>
  <c r="P55" i="92" s="1"/>
  <c r="P56" i="92" s="1"/>
  <c r="P57" i="92" s="1"/>
  <c r="P58" i="92" s="1"/>
  <c r="L11" i="92"/>
  <c r="J11" i="92"/>
  <c r="I11" i="92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I24" i="92" s="1"/>
  <c r="I25" i="92" s="1"/>
  <c r="I26" i="92" s="1"/>
  <c r="I27" i="92" s="1"/>
  <c r="I28" i="92" s="1"/>
  <c r="I29" i="92" s="1"/>
  <c r="I30" i="92" s="1"/>
  <c r="I31" i="92" s="1"/>
  <c r="I32" i="92" s="1"/>
  <c r="I33" i="92" s="1"/>
  <c r="I34" i="92" s="1"/>
  <c r="I35" i="92" s="1"/>
  <c r="I36" i="92" s="1"/>
  <c r="I37" i="92" s="1"/>
  <c r="I38" i="92" s="1"/>
  <c r="I39" i="92" s="1"/>
  <c r="I40" i="92" s="1"/>
  <c r="I41" i="92" s="1"/>
  <c r="I42" i="92" s="1"/>
  <c r="I43" i="92" s="1"/>
  <c r="I44" i="92" s="1"/>
  <c r="I45" i="92" s="1"/>
  <c r="I46" i="92" s="1"/>
  <c r="I47" i="92" s="1"/>
  <c r="I48" i="92" s="1"/>
  <c r="I49" i="92" s="1"/>
  <c r="I50" i="92" s="1"/>
  <c r="I51" i="92" s="1"/>
  <c r="I52" i="92" s="1"/>
  <c r="I53" i="92" s="1"/>
  <c r="I54" i="92" s="1"/>
  <c r="I55" i="92" s="1"/>
  <c r="I56" i="92" s="1"/>
  <c r="I57" i="92" s="1"/>
  <c r="I58" i="92" s="1"/>
  <c r="N155" i="91"/>
  <c r="P155" i="91" s="1"/>
  <c r="L155" i="91"/>
  <c r="L156" i="91" s="1"/>
  <c r="L157" i="91" s="1"/>
  <c r="L158" i="91" s="1"/>
  <c r="L159" i="91" s="1"/>
  <c r="L160" i="91" s="1"/>
  <c r="L161" i="91" s="1"/>
  <c r="L162" i="91" s="1"/>
  <c r="L163" i="91" s="1"/>
  <c r="L164" i="91" s="1"/>
  <c r="L165" i="91" s="1"/>
  <c r="L166" i="91" s="1"/>
  <c r="L167" i="91" s="1"/>
  <c r="L168" i="91" s="1"/>
  <c r="L169" i="91" s="1"/>
  <c r="L170" i="91" s="1"/>
  <c r="L171" i="91" s="1"/>
  <c r="L172" i="91" s="1"/>
  <c r="L173" i="91" s="1"/>
  <c r="L174" i="91" s="1"/>
  <c r="L175" i="91" s="1"/>
  <c r="L176" i="91" s="1"/>
  <c r="L177" i="91" s="1"/>
  <c r="L178" i="91" s="1"/>
  <c r="L179" i="91" s="1"/>
  <c r="L180" i="91" s="1"/>
  <c r="L181" i="91" s="1"/>
  <c r="L182" i="91" s="1"/>
  <c r="L183" i="91" s="1"/>
  <c r="L184" i="91" s="1"/>
  <c r="L185" i="91" s="1"/>
  <c r="L186" i="91" s="1"/>
  <c r="L187" i="91" s="1"/>
  <c r="L188" i="91" s="1"/>
  <c r="L189" i="91" s="1"/>
  <c r="L190" i="91" s="1"/>
  <c r="L191" i="91" s="1"/>
  <c r="L192" i="91" s="1"/>
  <c r="L193" i="91" s="1"/>
  <c r="L194" i="91" s="1"/>
  <c r="L195" i="91" s="1"/>
  <c r="L196" i="91" s="1"/>
  <c r="L197" i="91" s="1"/>
  <c r="L198" i="91" s="1"/>
  <c r="L199" i="91" s="1"/>
  <c r="L200" i="91" s="1"/>
  <c r="L201" i="91" s="1"/>
  <c r="L202" i="91" s="1"/>
  <c r="J155" i="91"/>
  <c r="I155" i="91"/>
  <c r="K155" i="91"/>
  <c r="N107" i="91"/>
  <c r="P107" i="91" s="1"/>
  <c r="L107" i="91"/>
  <c r="L108" i="91" s="1"/>
  <c r="L109" i="91" s="1"/>
  <c r="L110" i="91" s="1"/>
  <c r="L111" i="91" s="1"/>
  <c r="L112" i="91" s="1"/>
  <c r="L113" i="91" s="1"/>
  <c r="L114" i="91" s="1"/>
  <c r="L115" i="91" s="1"/>
  <c r="L116" i="91" s="1"/>
  <c r="L117" i="91" s="1"/>
  <c r="L118" i="91" s="1"/>
  <c r="L119" i="91" s="1"/>
  <c r="L120" i="91" s="1"/>
  <c r="L121" i="91" s="1"/>
  <c r="L122" i="91" s="1"/>
  <c r="L123" i="91" s="1"/>
  <c r="L124" i="91" s="1"/>
  <c r="L125" i="91" s="1"/>
  <c r="L126" i="91" s="1"/>
  <c r="L127" i="91" s="1"/>
  <c r="L128" i="91" s="1"/>
  <c r="L129" i="91" s="1"/>
  <c r="L130" i="91" s="1"/>
  <c r="L131" i="91" s="1"/>
  <c r="L132" i="91" s="1"/>
  <c r="L133" i="91" s="1"/>
  <c r="L134" i="91" s="1"/>
  <c r="L135" i="91" s="1"/>
  <c r="L136" i="91" s="1"/>
  <c r="L137" i="91" s="1"/>
  <c r="L138" i="91" s="1"/>
  <c r="L139" i="91" s="1"/>
  <c r="L140" i="91" s="1"/>
  <c r="L141" i="91" s="1"/>
  <c r="L142" i="91" s="1"/>
  <c r="L143" i="91" s="1"/>
  <c r="L144" i="91" s="1"/>
  <c r="L145" i="91" s="1"/>
  <c r="L146" i="91" s="1"/>
  <c r="L147" i="91" s="1"/>
  <c r="L148" i="91" s="1"/>
  <c r="L149" i="91" s="1"/>
  <c r="L150" i="91" s="1"/>
  <c r="L151" i="91" s="1"/>
  <c r="L152" i="91" s="1"/>
  <c r="L153" i="91" s="1"/>
  <c r="L154" i="91" s="1"/>
  <c r="J107" i="91"/>
  <c r="J108" i="91" s="1"/>
  <c r="J109" i="91" s="1"/>
  <c r="J110" i="91" s="1"/>
  <c r="J111" i="91" s="1"/>
  <c r="J112" i="91" s="1"/>
  <c r="J113" i="91" s="1"/>
  <c r="J114" i="91" s="1"/>
  <c r="J115" i="91" s="1"/>
  <c r="J116" i="91" s="1"/>
  <c r="J117" i="91" s="1"/>
  <c r="J118" i="91" s="1"/>
  <c r="J119" i="91" s="1"/>
  <c r="J120" i="91" s="1"/>
  <c r="J121" i="91" s="1"/>
  <c r="J122" i="91" s="1"/>
  <c r="I107" i="91"/>
  <c r="I108" i="91" s="1"/>
  <c r="I109" i="91" s="1"/>
  <c r="I110" i="91" s="1"/>
  <c r="I111" i="91" s="1"/>
  <c r="I112" i="91" s="1"/>
  <c r="I113" i="91" s="1"/>
  <c r="I114" i="91" s="1"/>
  <c r="I115" i="91" s="1"/>
  <c r="I116" i="91" s="1"/>
  <c r="I117" i="91" s="1"/>
  <c r="I118" i="91" s="1"/>
  <c r="I119" i="91" s="1"/>
  <c r="I120" i="91" s="1"/>
  <c r="I121" i="91" s="1"/>
  <c r="I122" i="91" s="1"/>
  <c r="I123" i="91" s="1"/>
  <c r="I124" i="91" s="1"/>
  <c r="I125" i="91" s="1"/>
  <c r="I126" i="91" s="1"/>
  <c r="I127" i="91" s="1"/>
  <c r="I128" i="91" s="1"/>
  <c r="I129" i="91" s="1"/>
  <c r="I130" i="91" s="1"/>
  <c r="I131" i="91" s="1"/>
  <c r="I132" i="91" s="1"/>
  <c r="I133" i="91" s="1"/>
  <c r="I134" i="91" s="1"/>
  <c r="I135" i="91" s="1"/>
  <c r="I136" i="91" s="1"/>
  <c r="I137" i="91" s="1"/>
  <c r="I138" i="91" s="1"/>
  <c r="I139" i="91" s="1"/>
  <c r="I140" i="91" s="1"/>
  <c r="I141" i="91" s="1"/>
  <c r="I142" i="91" s="1"/>
  <c r="I143" i="91" s="1"/>
  <c r="I144" i="91" s="1"/>
  <c r="I145" i="91" s="1"/>
  <c r="I146" i="91" s="1"/>
  <c r="I147" i="91" s="1"/>
  <c r="I148" i="91" s="1"/>
  <c r="I149" i="91" s="1"/>
  <c r="I150" i="91" s="1"/>
  <c r="I151" i="91" s="1"/>
  <c r="I152" i="91" s="1"/>
  <c r="I153" i="91" s="1"/>
  <c r="I154" i="91" s="1"/>
  <c r="N59" i="91"/>
  <c r="P59" i="91" s="1"/>
  <c r="P60" i="91" s="1"/>
  <c r="P61" i="91" s="1"/>
  <c r="P62" i="91" s="1"/>
  <c r="P63" i="91" s="1"/>
  <c r="P64" i="91" s="1"/>
  <c r="P65" i="91" s="1"/>
  <c r="P66" i="91" s="1"/>
  <c r="P67" i="91" s="1"/>
  <c r="P68" i="91" s="1"/>
  <c r="P69" i="91" s="1"/>
  <c r="P70" i="91" s="1"/>
  <c r="P71" i="91" s="1"/>
  <c r="P72" i="91" s="1"/>
  <c r="P73" i="91" s="1"/>
  <c r="P74" i="91" s="1"/>
  <c r="P75" i="91" s="1"/>
  <c r="P76" i="91" s="1"/>
  <c r="P77" i="91" s="1"/>
  <c r="P78" i="91" s="1"/>
  <c r="P79" i="91" s="1"/>
  <c r="P80" i="91" s="1"/>
  <c r="P81" i="91" s="1"/>
  <c r="P82" i="91" s="1"/>
  <c r="P83" i="91" s="1"/>
  <c r="P84" i="91" s="1"/>
  <c r="P85" i="91" s="1"/>
  <c r="P86" i="91" s="1"/>
  <c r="P87" i="91" s="1"/>
  <c r="P88" i="91" s="1"/>
  <c r="P89" i="91" s="1"/>
  <c r="P90" i="91" s="1"/>
  <c r="P91" i="91" s="1"/>
  <c r="P92" i="91" s="1"/>
  <c r="P93" i="91" s="1"/>
  <c r="P94" i="91" s="1"/>
  <c r="P95" i="91" s="1"/>
  <c r="P96" i="91" s="1"/>
  <c r="P97" i="91" s="1"/>
  <c r="P98" i="91" s="1"/>
  <c r="P99" i="91" s="1"/>
  <c r="P100" i="91" s="1"/>
  <c r="P101" i="91" s="1"/>
  <c r="P102" i="91" s="1"/>
  <c r="P103" i="91" s="1"/>
  <c r="P104" i="91" s="1"/>
  <c r="P105" i="91" s="1"/>
  <c r="P106" i="91" s="1"/>
  <c r="L59" i="91"/>
  <c r="L60" i="91" s="1"/>
  <c r="L61" i="91" s="1"/>
  <c r="L62" i="91" s="1"/>
  <c r="L63" i="91" s="1"/>
  <c r="L64" i="91" s="1"/>
  <c r="L65" i="91" s="1"/>
  <c r="L66" i="91" s="1"/>
  <c r="L67" i="91" s="1"/>
  <c r="L68" i="91" s="1"/>
  <c r="L69" i="91" s="1"/>
  <c r="L70" i="91" s="1"/>
  <c r="L71" i="91" s="1"/>
  <c r="L72" i="91" s="1"/>
  <c r="L73" i="91" s="1"/>
  <c r="L74" i="91" s="1"/>
  <c r="L75" i="91" s="1"/>
  <c r="L76" i="91" s="1"/>
  <c r="L77" i="91" s="1"/>
  <c r="L78" i="91" s="1"/>
  <c r="L79" i="91" s="1"/>
  <c r="L80" i="91" s="1"/>
  <c r="L81" i="91" s="1"/>
  <c r="L82" i="91" s="1"/>
  <c r="L83" i="91" s="1"/>
  <c r="L84" i="91" s="1"/>
  <c r="L85" i="91" s="1"/>
  <c r="L86" i="91" s="1"/>
  <c r="L87" i="91" s="1"/>
  <c r="L88" i="91" s="1"/>
  <c r="L89" i="91" s="1"/>
  <c r="L90" i="91" s="1"/>
  <c r="L91" i="91" s="1"/>
  <c r="L92" i="91" s="1"/>
  <c r="L93" i="91" s="1"/>
  <c r="L94" i="91" s="1"/>
  <c r="L95" i="91" s="1"/>
  <c r="L96" i="91" s="1"/>
  <c r="L97" i="91" s="1"/>
  <c r="L98" i="91" s="1"/>
  <c r="L99" i="91" s="1"/>
  <c r="L100" i="91" s="1"/>
  <c r="L101" i="91" s="1"/>
  <c r="L102" i="91" s="1"/>
  <c r="L103" i="91" s="1"/>
  <c r="L104" i="91" s="1"/>
  <c r="L105" i="91" s="1"/>
  <c r="L106" i="91" s="1"/>
  <c r="J59" i="91"/>
  <c r="I59" i="91"/>
  <c r="I60" i="91" s="1"/>
  <c r="I61" i="91" s="1"/>
  <c r="I62" i="91" s="1"/>
  <c r="I63" i="91" s="1"/>
  <c r="I64" i="91" s="1"/>
  <c r="I65" i="91" s="1"/>
  <c r="I66" i="91" s="1"/>
  <c r="I67" i="91" s="1"/>
  <c r="I68" i="91" s="1"/>
  <c r="I69" i="91" s="1"/>
  <c r="I70" i="91" s="1"/>
  <c r="I71" i="91" s="1"/>
  <c r="I72" i="91" s="1"/>
  <c r="I73" i="91" s="1"/>
  <c r="I74" i="91" s="1"/>
  <c r="I75" i="91" s="1"/>
  <c r="I76" i="91" s="1"/>
  <c r="I77" i="91" s="1"/>
  <c r="I78" i="91" s="1"/>
  <c r="I79" i="91" s="1"/>
  <c r="I80" i="91" s="1"/>
  <c r="I81" i="91" s="1"/>
  <c r="I82" i="91" s="1"/>
  <c r="I83" i="91" s="1"/>
  <c r="I84" i="91" s="1"/>
  <c r="I85" i="91" s="1"/>
  <c r="I86" i="91" s="1"/>
  <c r="I87" i="91" s="1"/>
  <c r="I88" i="91" s="1"/>
  <c r="I89" i="91" s="1"/>
  <c r="I90" i="91" s="1"/>
  <c r="I91" i="91" s="1"/>
  <c r="I92" i="91" s="1"/>
  <c r="I93" i="91" s="1"/>
  <c r="I94" i="91" s="1"/>
  <c r="I95" i="91" s="1"/>
  <c r="I96" i="91" s="1"/>
  <c r="I97" i="91" s="1"/>
  <c r="I98" i="91" s="1"/>
  <c r="I99" i="91" s="1"/>
  <c r="I100" i="91" s="1"/>
  <c r="I101" i="91" s="1"/>
  <c r="I102" i="91" s="1"/>
  <c r="I103" i="91" s="1"/>
  <c r="I104" i="91" s="1"/>
  <c r="I105" i="91" s="1"/>
  <c r="I106" i="91" s="1"/>
  <c r="D59" i="91"/>
  <c r="N11" i="91"/>
  <c r="P11" i="91" s="1"/>
  <c r="L11" i="91"/>
  <c r="L12" i="91" s="1"/>
  <c r="L13" i="91" s="1"/>
  <c r="L14" i="91" s="1"/>
  <c r="L15" i="91" s="1"/>
  <c r="L16" i="91" s="1"/>
  <c r="L17" i="91" s="1"/>
  <c r="L18" i="91" s="1"/>
  <c r="L19" i="91" s="1"/>
  <c r="L20" i="91" s="1"/>
  <c r="L21" i="91" s="1"/>
  <c r="L22" i="91" s="1"/>
  <c r="L23" i="91" s="1"/>
  <c r="L24" i="91" s="1"/>
  <c r="L25" i="91" s="1"/>
  <c r="L26" i="91" s="1"/>
  <c r="L27" i="91" s="1"/>
  <c r="L28" i="91" s="1"/>
  <c r="L29" i="91" s="1"/>
  <c r="L30" i="91" s="1"/>
  <c r="L31" i="91" s="1"/>
  <c r="L32" i="91" s="1"/>
  <c r="L33" i="91" s="1"/>
  <c r="L34" i="91" s="1"/>
  <c r="L35" i="91" s="1"/>
  <c r="L36" i="91" s="1"/>
  <c r="L37" i="91" s="1"/>
  <c r="L38" i="91" s="1"/>
  <c r="L39" i="91" s="1"/>
  <c r="L40" i="91" s="1"/>
  <c r="L41" i="91" s="1"/>
  <c r="L42" i="91" s="1"/>
  <c r="L43" i="91" s="1"/>
  <c r="L44" i="91" s="1"/>
  <c r="L45" i="91" s="1"/>
  <c r="L46" i="91" s="1"/>
  <c r="L47" i="91" s="1"/>
  <c r="L48" i="91" s="1"/>
  <c r="L49" i="91" s="1"/>
  <c r="L50" i="91" s="1"/>
  <c r="L51" i="91" s="1"/>
  <c r="L52" i="91" s="1"/>
  <c r="L53" i="91" s="1"/>
  <c r="L54" i="91" s="1"/>
  <c r="L55" i="91" s="1"/>
  <c r="L56" i="91" s="1"/>
  <c r="L57" i="91" s="1"/>
  <c r="L58" i="91" s="1"/>
  <c r="J11" i="91"/>
  <c r="J12" i="91" s="1"/>
  <c r="J13" i="91" s="1"/>
  <c r="J14" i="91" s="1"/>
  <c r="J15" i="91" s="1"/>
  <c r="J16" i="91" s="1"/>
  <c r="J17" i="91" s="1"/>
  <c r="J18" i="91" s="1"/>
  <c r="J19" i="91" s="1"/>
  <c r="J20" i="91" s="1"/>
  <c r="J21" i="91" s="1"/>
  <c r="J22" i="91" s="1"/>
  <c r="J23" i="91" s="1"/>
  <c r="J24" i="91" s="1"/>
  <c r="J25" i="91" s="1"/>
  <c r="J26" i="91" s="1"/>
  <c r="I11" i="91"/>
  <c r="I12" i="91" s="1"/>
  <c r="I13" i="91" s="1"/>
  <c r="I14" i="91" s="1"/>
  <c r="I15" i="91" s="1"/>
  <c r="I16" i="91" s="1"/>
  <c r="I17" i="91" s="1"/>
  <c r="I18" i="91" s="1"/>
  <c r="I19" i="91" s="1"/>
  <c r="I20" i="91" s="1"/>
  <c r="I21" i="91" s="1"/>
  <c r="I22" i="91" s="1"/>
  <c r="I23" i="91" s="1"/>
  <c r="I24" i="91" s="1"/>
  <c r="I25" i="91" s="1"/>
  <c r="I26" i="91" s="1"/>
  <c r="I27" i="91" s="1"/>
  <c r="I28" i="91" s="1"/>
  <c r="I29" i="91" s="1"/>
  <c r="I30" i="91" s="1"/>
  <c r="I31" i="91" s="1"/>
  <c r="I32" i="91" s="1"/>
  <c r="I33" i="91" s="1"/>
  <c r="I34" i="91" s="1"/>
  <c r="I35" i="91" s="1"/>
  <c r="I36" i="91" s="1"/>
  <c r="I37" i="91" s="1"/>
  <c r="I38" i="91" s="1"/>
  <c r="I39" i="91" s="1"/>
  <c r="I40" i="91" s="1"/>
  <c r="I41" i="91" s="1"/>
  <c r="I42" i="91" s="1"/>
  <c r="I43" i="91" s="1"/>
  <c r="I44" i="91" s="1"/>
  <c r="I45" i="91" s="1"/>
  <c r="I46" i="91" s="1"/>
  <c r="I47" i="91" s="1"/>
  <c r="I48" i="91" s="1"/>
  <c r="I49" i="91" s="1"/>
  <c r="I50" i="91" s="1"/>
  <c r="I51" i="91" s="1"/>
  <c r="I52" i="91" s="1"/>
  <c r="I53" i="91" s="1"/>
  <c r="I54" i="91" s="1"/>
  <c r="I55" i="91" s="1"/>
  <c r="I56" i="91" s="1"/>
  <c r="I57" i="91" s="1"/>
  <c r="I58" i="91" s="1"/>
  <c r="Q95" i="93"/>
  <c r="Q83" i="93"/>
  <c r="P83" i="93"/>
  <c r="P84" i="93" s="1"/>
  <c r="P85" i="93" s="1"/>
  <c r="P86" i="93" s="1"/>
  <c r="P87" i="93" s="1"/>
  <c r="P88" i="93" s="1"/>
  <c r="P89" i="93" s="1"/>
  <c r="P90" i="93" s="1"/>
  <c r="P91" i="93" s="1"/>
  <c r="P92" i="93" s="1"/>
  <c r="P93" i="93" s="1"/>
  <c r="P94" i="93" s="1"/>
  <c r="P95" i="93" s="1"/>
  <c r="P96" i="93" s="1"/>
  <c r="P97" i="93" s="1"/>
  <c r="P98" i="93" s="1"/>
  <c r="P99" i="93" s="1"/>
  <c r="P100" i="93" s="1"/>
  <c r="P101" i="93" s="1"/>
  <c r="P102" i="93" s="1"/>
  <c r="P103" i="93" s="1"/>
  <c r="P104" i="93" s="1"/>
  <c r="P105" i="93" s="1"/>
  <c r="P106" i="93" s="1"/>
  <c r="O83" i="93"/>
  <c r="O84" i="93" s="1"/>
  <c r="O85" i="93" s="1"/>
  <c r="O86" i="93" s="1"/>
  <c r="O87" i="93" s="1"/>
  <c r="O88" i="93" s="1"/>
  <c r="O89" i="93" s="1"/>
  <c r="O90" i="93" s="1"/>
  <c r="O91" i="93" s="1"/>
  <c r="O92" i="93" s="1"/>
  <c r="O93" i="93" s="1"/>
  <c r="O94" i="93" s="1"/>
  <c r="O95" i="93" s="1"/>
  <c r="O96" i="93" s="1"/>
  <c r="O97" i="93" s="1"/>
  <c r="O98" i="93" s="1"/>
  <c r="O99" i="93" s="1"/>
  <c r="O100" i="93" s="1"/>
  <c r="O101" i="93" s="1"/>
  <c r="O102" i="93" s="1"/>
  <c r="O103" i="93" s="1"/>
  <c r="O104" i="93" s="1"/>
  <c r="O105" i="93" s="1"/>
  <c r="O106" i="93" s="1"/>
  <c r="N83" i="93"/>
  <c r="N84" i="93" s="1"/>
  <c r="N85" i="93" s="1"/>
  <c r="N86" i="93" s="1"/>
  <c r="N87" i="93" s="1"/>
  <c r="N88" i="93" s="1"/>
  <c r="N89" i="93" s="1"/>
  <c r="N90" i="93" s="1"/>
  <c r="N91" i="93" s="1"/>
  <c r="N92" i="93" s="1"/>
  <c r="N93" i="93" s="1"/>
  <c r="N94" i="93" s="1"/>
  <c r="N95" i="93" s="1"/>
  <c r="N96" i="93" s="1"/>
  <c r="N97" i="93" s="1"/>
  <c r="N98" i="93" s="1"/>
  <c r="N99" i="93" s="1"/>
  <c r="N100" i="93" s="1"/>
  <c r="N101" i="93" s="1"/>
  <c r="N102" i="93" s="1"/>
  <c r="N103" i="93" s="1"/>
  <c r="N104" i="93" s="1"/>
  <c r="N105" i="93" s="1"/>
  <c r="N106" i="93" s="1"/>
  <c r="Q71" i="93"/>
  <c r="Q59" i="93"/>
  <c r="P59" i="93"/>
  <c r="P60" i="93" s="1"/>
  <c r="P61" i="93" s="1"/>
  <c r="P62" i="93" s="1"/>
  <c r="P63" i="93" s="1"/>
  <c r="P64" i="93" s="1"/>
  <c r="P65" i="93" s="1"/>
  <c r="P66" i="93" s="1"/>
  <c r="P67" i="93" s="1"/>
  <c r="P68" i="93" s="1"/>
  <c r="P69" i="93" s="1"/>
  <c r="P70" i="93" s="1"/>
  <c r="P71" i="93" s="1"/>
  <c r="P72" i="93" s="1"/>
  <c r="P73" i="93" s="1"/>
  <c r="P74" i="93" s="1"/>
  <c r="P75" i="93" s="1"/>
  <c r="P76" i="93" s="1"/>
  <c r="P77" i="93" s="1"/>
  <c r="P78" i="93" s="1"/>
  <c r="P79" i="93" s="1"/>
  <c r="P80" i="93" s="1"/>
  <c r="P81" i="93" s="1"/>
  <c r="P82" i="93" s="1"/>
  <c r="O59" i="93"/>
  <c r="O60" i="93" s="1"/>
  <c r="O61" i="93" s="1"/>
  <c r="O62" i="93" s="1"/>
  <c r="O63" i="93" s="1"/>
  <c r="O64" i="93" s="1"/>
  <c r="O65" i="93" s="1"/>
  <c r="O66" i="93" s="1"/>
  <c r="O67" i="93" s="1"/>
  <c r="O68" i="93" s="1"/>
  <c r="O69" i="93" s="1"/>
  <c r="O70" i="93" s="1"/>
  <c r="O71" i="93" s="1"/>
  <c r="O72" i="93" s="1"/>
  <c r="O73" i="93" s="1"/>
  <c r="O74" i="93" s="1"/>
  <c r="O75" i="93" s="1"/>
  <c r="O76" i="93" s="1"/>
  <c r="O77" i="93" s="1"/>
  <c r="O78" i="93" s="1"/>
  <c r="O79" i="93" s="1"/>
  <c r="O80" i="93" s="1"/>
  <c r="O81" i="93" s="1"/>
  <c r="O82" i="93" s="1"/>
  <c r="N59" i="93"/>
  <c r="N60" i="93" s="1"/>
  <c r="N61" i="93" s="1"/>
  <c r="N62" i="93" s="1"/>
  <c r="N63" i="93" s="1"/>
  <c r="N64" i="93" s="1"/>
  <c r="N65" i="93" s="1"/>
  <c r="N66" i="93" s="1"/>
  <c r="N67" i="93" s="1"/>
  <c r="N68" i="93" s="1"/>
  <c r="N69" i="93" s="1"/>
  <c r="N70" i="93" s="1"/>
  <c r="N71" i="93" s="1"/>
  <c r="N72" i="93" s="1"/>
  <c r="N73" i="93" s="1"/>
  <c r="N74" i="93" s="1"/>
  <c r="N75" i="93" s="1"/>
  <c r="N76" i="93" s="1"/>
  <c r="N77" i="93" s="1"/>
  <c r="N78" i="93" s="1"/>
  <c r="N79" i="93" s="1"/>
  <c r="N80" i="93" s="1"/>
  <c r="N81" i="93" s="1"/>
  <c r="N82" i="93" s="1"/>
  <c r="D58" i="93"/>
  <c r="K58" i="93" s="1"/>
  <c r="D57" i="93"/>
  <c r="D56" i="93"/>
  <c r="K56" i="93" s="1"/>
  <c r="D55" i="93"/>
  <c r="D54" i="93"/>
  <c r="K54" i="93" s="1"/>
  <c r="D53" i="93"/>
  <c r="D52" i="93"/>
  <c r="K52" i="93" s="1"/>
  <c r="D51" i="93"/>
  <c r="D50" i="93"/>
  <c r="K50" i="93" s="1"/>
  <c r="D49" i="93"/>
  <c r="D48" i="93"/>
  <c r="K48" i="93" s="1"/>
  <c r="Q47" i="93"/>
  <c r="D47" i="93"/>
  <c r="D46" i="93"/>
  <c r="K46" i="93" s="1"/>
  <c r="D45" i="93"/>
  <c r="D44" i="93"/>
  <c r="K44" i="93" s="1"/>
  <c r="D43" i="93"/>
  <c r="D42" i="93"/>
  <c r="K42" i="93" s="1"/>
  <c r="D41" i="93"/>
  <c r="D40" i="93"/>
  <c r="K40" i="93" s="1"/>
  <c r="D39" i="93"/>
  <c r="D38" i="93"/>
  <c r="E38" i="93" s="1"/>
  <c r="F38" i="93" s="1"/>
  <c r="D37" i="93"/>
  <c r="E37" i="93" s="1"/>
  <c r="F37" i="93" s="1"/>
  <c r="D36" i="93"/>
  <c r="K36" i="93" s="1"/>
  <c r="Q35" i="93"/>
  <c r="P35" i="93"/>
  <c r="P36" i="93" s="1"/>
  <c r="P37" i="93" s="1"/>
  <c r="P38" i="93" s="1"/>
  <c r="P39" i="93" s="1"/>
  <c r="P40" i="93" s="1"/>
  <c r="P41" i="93" s="1"/>
  <c r="P42" i="93" s="1"/>
  <c r="P43" i="93" s="1"/>
  <c r="P44" i="93" s="1"/>
  <c r="P45" i="93" s="1"/>
  <c r="P46" i="93" s="1"/>
  <c r="P47" i="93" s="1"/>
  <c r="P48" i="93" s="1"/>
  <c r="P49" i="93" s="1"/>
  <c r="P50" i="93" s="1"/>
  <c r="P51" i="93" s="1"/>
  <c r="P52" i="93" s="1"/>
  <c r="P53" i="93" s="1"/>
  <c r="P54" i="93" s="1"/>
  <c r="P55" i="93" s="1"/>
  <c r="P56" i="93" s="1"/>
  <c r="P57" i="93" s="1"/>
  <c r="P58" i="93" s="1"/>
  <c r="O35" i="93"/>
  <c r="O36" i="93" s="1"/>
  <c r="O37" i="93" s="1"/>
  <c r="O38" i="93" s="1"/>
  <c r="O39" i="93" s="1"/>
  <c r="O40" i="93" s="1"/>
  <c r="O41" i="93" s="1"/>
  <c r="O42" i="93" s="1"/>
  <c r="O43" i="93" s="1"/>
  <c r="O44" i="93" s="1"/>
  <c r="O45" i="93" s="1"/>
  <c r="O46" i="93" s="1"/>
  <c r="O47" i="93" s="1"/>
  <c r="O48" i="93" s="1"/>
  <c r="O49" i="93" s="1"/>
  <c r="O50" i="93" s="1"/>
  <c r="O51" i="93" s="1"/>
  <c r="O52" i="93" s="1"/>
  <c r="O53" i="93" s="1"/>
  <c r="O54" i="93" s="1"/>
  <c r="O55" i="93" s="1"/>
  <c r="O56" i="93" s="1"/>
  <c r="O57" i="93" s="1"/>
  <c r="O58" i="93" s="1"/>
  <c r="N35" i="93"/>
  <c r="N36" i="93" s="1"/>
  <c r="N37" i="93" s="1"/>
  <c r="N38" i="93" s="1"/>
  <c r="N39" i="93" s="1"/>
  <c r="N40" i="93" s="1"/>
  <c r="N41" i="93" s="1"/>
  <c r="N42" i="93" s="1"/>
  <c r="N43" i="93" s="1"/>
  <c r="N44" i="93" s="1"/>
  <c r="N45" i="93" s="1"/>
  <c r="N46" i="93" s="1"/>
  <c r="N47" i="93" s="1"/>
  <c r="N48" i="93" s="1"/>
  <c r="N49" i="93" s="1"/>
  <c r="N50" i="93" s="1"/>
  <c r="N51" i="93" s="1"/>
  <c r="N52" i="93" s="1"/>
  <c r="N53" i="93" s="1"/>
  <c r="N54" i="93" s="1"/>
  <c r="N55" i="93" s="1"/>
  <c r="N56" i="93" s="1"/>
  <c r="N57" i="93" s="1"/>
  <c r="N58" i="93" s="1"/>
  <c r="D35" i="93"/>
  <c r="Q23" i="93"/>
  <c r="Q12" i="93"/>
  <c r="P11" i="93"/>
  <c r="P12" i="93" s="1"/>
  <c r="P13" i="93" s="1"/>
  <c r="P14" i="93" s="1"/>
  <c r="P15" i="93" s="1"/>
  <c r="P16" i="93" s="1"/>
  <c r="P17" i="93" s="1"/>
  <c r="P18" i="93" s="1"/>
  <c r="P19" i="93" s="1"/>
  <c r="P20" i="93" s="1"/>
  <c r="P21" i="93" s="1"/>
  <c r="P22" i="93" s="1"/>
  <c r="P23" i="93" s="1"/>
  <c r="P24" i="93" s="1"/>
  <c r="P25" i="93" s="1"/>
  <c r="P26" i="93" s="1"/>
  <c r="P27" i="93" s="1"/>
  <c r="P28" i="93" s="1"/>
  <c r="P29" i="93" s="1"/>
  <c r="P30" i="93" s="1"/>
  <c r="P31" i="93" s="1"/>
  <c r="P32" i="93" s="1"/>
  <c r="P33" i="93" s="1"/>
  <c r="P34" i="93" s="1"/>
  <c r="O11" i="93"/>
  <c r="O12" i="93" s="1"/>
  <c r="O13" i="93" s="1"/>
  <c r="O14" i="93" s="1"/>
  <c r="O15" i="93" s="1"/>
  <c r="O16" i="93" s="1"/>
  <c r="O17" i="93" s="1"/>
  <c r="O18" i="93" s="1"/>
  <c r="O19" i="93" s="1"/>
  <c r="O20" i="93" s="1"/>
  <c r="O21" i="93" s="1"/>
  <c r="O22" i="93" s="1"/>
  <c r="O23" i="93" s="1"/>
  <c r="O24" i="93" s="1"/>
  <c r="O25" i="93" s="1"/>
  <c r="O26" i="93" s="1"/>
  <c r="O27" i="93" s="1"/>
  <c r="O28" i="93" s="1"/>
  <c r="O29" i="93" s="1"/>
  <c r="O30" i="93" s="1"/>
  <c r="O31" i="93" s="1"/>
  <c r="O32" i="93" s="1"/>
  <c r="O33" i="93" s="1"/>
  <c r="O34" i="93" s="1"/>
  <c r="N11" i="93"/>
  <c r="N12" i="93" s="1"/>
  <c r="N13" i="93" s="1"/>
  <c r="N14" i="93" s="1"/>
  <c r="N15" i="93" s="1"/>
  <c r="N16" i="93" s="1"/>
  <c r="N17" i="93" s="1"/>
  <c r="N18" i="93" s="1"/>
  <c r="N19" i="93" s="1"/>
  <c r="N20" i="93" s="1"/>
  <c r="N21" i="93" s="1"/>
  <c r="N22" i="93" s="1"/>
  <c r="N23" i="93" s="1"/>
  <c r="N24" i="93" s="1"/>
  <c r="N25" i="93" s="1"/>
  <c r="N26" i="93" s="1"/>
  <c r="N27" i="93" s="1"/>
  <c r="N28" i="93" s="1"/>
  <c r="N29" i="93" s="1"/>
  <c r="N30" i="93" s="1"/>
  <c r="N31" i="93" s="1"/>
  <c r="N32" i="93" s="1"/>
  <c r="N33" i="93" s="1"/>
  <c r="N34" i="93" s="1"/>
  <c r="I11" i="93"/>
  <c r="I12" i="93" s="1"/>
  <c r="I13" i="93" s="1"/>
  <c r="I14" i="93" s="1"/>
  <c r="I15" i="93" s="1"/>
  <c r="I16" i="93" s="1"/>
  <c r="I17" i="93" s="1"/>
  <c r="I18" i="93" s="1"/>
  <c r="I19" i="93" s="1"/>
  <c r="I20" i="93" s="1"/>
  <c r="I21" i="93" s="1"/>
  <c r="I22" i="93" s="1"/>
  <c r="I23" i="93" s="1"/>
  <c r="I24" i="93" s="1"/>
  <c r="I25" i="93" s="1"/>
  <c r="I26" i="93" s="1"/>
  <c r="I27" i="93" s="1"/>
  <c r="I28" i="93" s="1"/>
  <c r="I29" i="93" s="1"/>
  <c r="I30" i="93" s="1"/>
  <c r="I31" i="93" s="1"/>
  <c r="I32" i="93" s="1"/>
  <c r="I33" i="93" s="1"/>
  <c r="I34" i="93" s="1"/>
  <c r="I35" i="93" s="1"/>
  <c r="I36" i="93" s="1"/>
  <c r="I37" i="93" s="1"/>
  <c r="I38" i="93" s="1"/>
  <c r="I39" i="93" s="1"/>
  <c r="I40" i="93" s="1"/>
  <c r="I41" i="93" s="1"/>
  <c r="I42" i="93" s="1"/>
  <c r="I43" i="93" s="1"/>
  <c r="I44" i="93" s="1"/>
  <c r="I45" i="93" s="1"/>
  <c r="I46" i="93" s="1"/>
  <c r="I47" i="93" s="1"/>
  <c r="I48" i="93" s="1"/>
  <c r="I49" i="93" s="1"/>
  <c r="I50" i="93" s="1"/>
  <c r="I51" i="93" s="1"/>
  <c r="I52" i="93" s="1"/>
  <c r="I53" i="93" s="1"/>
  <c r="I54" i="93" s="1"/>
  <c r="I55" i="93" s="1"/>
  <c r="I56" i="93" s="1"/>
  <c r="I57" i="93" s="1"/>
  <c r="I58" i="93" s="1"/>
  <c r="I59" i="93" s="1"/>
  <c r="I60" i="93" s="1"/>
  <c r="I61" i="93" s="1"/>
  <c r="I62" i="93" s="1"/>
  <c r="I63" i="93" s="1"/>
  <c r="I64" i="93" s="1"/>
  <c r="I65" i="93" s="1"/>
  <c r="I66" i="93" s="1"/>
  <c r="I67" i="93" s="1"/>
  <c r="I68" i="93" s="1"/>
  <c r="I69" i="93" s="1"/>
  <c r="I70" i="93" s="1"/>
  <c r="I71" i="93" s="1"/>
  <c r="I72" i="93" s="1"/>
  <c r="I73" i="93" s="1"/>
  <c r="I74" i="93" s="1"/>
  <c r="I75" i="93" s="1"/>
  <c r="I76" i="93" s="1"/>
  <c r="I77" i="93" s="1"/>
  <c r="I78" i="93" s="1"/>
  <c r="I79" i="93" s="1"/>
  <c r="I80" i="93" s="1"/>
  <c r="I81" i="93" s="1"/>
  <c r="I82" i="93" s="1"/>
  <c r="I83" i="93" s="1"/>
  <c r="I84" i="93" s="1"/>
  <c r="I85" i="93" s="1"/>
  <c r="I86" i="93" s="1"/>
  <c r="I87" i="93" s="1"/>
  <c r="I88" i="93" s="1"/>
  <c r="I89" i="93" s="1"/>
  <c r="I90" i="93" s="1"/>
  <c r="I91" i="93" s="1"/>
  <c r="I92" i="93" s="1"/>
  <c r="I93" i="93" s="1"/>
  <c r="I94" i="93" s="1"/>
  <c r="I95" i="93" s="1"/>
  <c r="I96" i="93" s="1"/>
  <c r="I97" i="93" s="1"/>
  <c r="I98" i="93" s="1"/>
  <c r="I99" i="93" s="1"/>
  <c r="I100" i="93" s="1"/>
  <c r="I101" i="93" s="1"/>
  <c r="I102" i="93" s="1"/>
  <c r="I103" i="93" s="1"/>
  <c r="I104" i="93" s="1"/>
  <c r="I105" i="93" s="1"/>
  <c r="I106" i="93" s="1"/>
  <c r="I107" i="93" s="1"/>
  <c r="I108" i="93" s="1"/>
  <c r="I109" i="93" s="1"/>
  <c r="I110" i="93" s="1"/>
  <c r="I111" i="93" s="1"/>
  <c r="I112" i="93" s="1"/>
  <c r="I113" i="93" s="1"/>
  <c r="I114" i="93" s="1"/>
  <c r="I115" i="93" s="1"/>
  <c r="I116" i="93" s="1"/>
  <c r="I117" i="93" s="1"/>
  <c r="I118" i="93" s="1"/>
  <c r="I119" i="93" s="1"/>
  <c r="I120" i="93" s="1"/>
  <c r="I121" i="93" s="1"/>
  <c r="I122" i="93" s="1"/>
  <c r="I123" i="93" s="1"/>
  <c r="I124" i="93" s="1"/>
  <c r="I125" i="93" s="1"/>
  <c r="I126" i="93" s="1"/>
  <c r="I127" i="93" s="1"/>
  <c r="I128" i="93" s="1"/>
  <c r="I129" i="93" s="1"/>
  <c r="I130" i="93" s="1"/>
  <c r="B12" i="93"/>
  <c r="B13" i="93" s="1"/>
  <c r="B14" i="93" s="1"/>
  <c r="B15" i="93" s="1"/>
  <c r="B16" i="93" s="1"/>
  <c r="B17" i="93" s="1"/>
  <c r="B18" i="93" s="1"/>
  <c r="B19" i="93" s="1"/>
  <c r="B20" i="93" s="1"/>
  <c r="B21" i="93" s="1"/>
  <c r="B22" i="93" s="1"/>
  <c r="B23" i="93" s="1"/>
  <c r="B24" i="93" s="1"/>
  <c r="B25" i="93" s="1"/>
  <c r="B26" i="93" s="1"/>
  <c r="B27" i="93" s="1"/>
  <c r="B28" i="93" s="1"/>
  <c r="B29" i="93" s="1"/>
  <c r="B30" i="93" s="1"/>
  <c r="B31" i="93" s="1"/>
  <c r="B32" i="93" s="1"/>
  <c r="B33" i="93" s="1"/>
  <c r="B34" i="93" s="1"/>
  <c r="B35" i="93" s="1"/>
  <c r="B36" i="93" s="1"/>
  <c r="B37" i="93" s="1"/>
  <c r="B38" i="93" s="1"/>
  <c r="B39" i="93" s="1"/>
  <c r="B40" i="93" s="1"/>
  <c r="B41" i="93" s="1"/>
  <c r="B42" i="93" s="1"/>
  <c r="B43" i="93" s="1"/>
  <c r="B44" i="93" s="1"/>
  <c r="B45" i="93" s="1"/>
  <c r="B46" i="93" s="1"/>
  <c r="B47" i="93" s="1"/>
  <c r="B48" i="93" s="1"/>
  <c r="B49" i="93" s="1"/>
  <c r="B50" i="93" s="1"/>
  <c r="B51" i="93" s="1"/>
  <c r="B52" i="93" s="1"/>
  <c r="B53" i="93" s="1"/>
  <c r="B54" i="93" s="1"/>
  <c r="B55" i="93" s="1"/>
  <c r="B56" i="93" s="1"/>
  <c r="B57" i="93" s="1"/>
  <c r="B58" i="93" s="1"/>
  <c r="B59" i="93" s="1"/>
  <c r="B60" i="93" s="1"/>
  <c r="B61" i="93" s="1"/>
  <c r="B62" i="93" s="1"/>
  <c r="B63" i="93" s="1"/>
  <c r="B64" i="93" s="1"/>
  <c r="B65" i="93" s="1"/>
  <c r="B66" i="93" s="1"/>
  <c r="B67" i="93" s="1"/>
  <c r="B68" i="93" s="1"/>
  <c r="B69" i="93" s="1"/>
  <c r="B70" i="93" s="1"/>
  <c r="B71" i="93" s="1"/>
  <c r="B72" i="93" s="1"/>
  <c r="B73" i="93" s="1"/>
  <c r="B74" i="93" s="1"/>
  <c r="B75" i="93" s="1"/>
  <c r="B76" i="93" s="1"/>
  <c r="B77" i="93" s="1"/>
  <c r="B78" i="93" s="1"/>
  <c r="B79" i="93" s="1"/>
  <c r="B80" i="93" s="1"/>
  <c r="B81" i="93" s="1"/>
  <c r="B82" i="93" s="1"/>
  <c r="B83" i="93" s="1"/>
  <c r="B84" i="93" s="1"/>
  <c r="B85" i="93" s="1"/>
  <c r="B86" i="93" s="1"/>
  <c r="B87" i="93" s="1"/>
  <c r="B88" i="93" s="1"/>
  <c r="B89" i="93" s="1"/>
  <c r="B90" i="93" s="1"/>
  <c r="B91" i="93" s="1"/>
  <c r="B92" i="93" s="1"/>
  <c r="B93" i="93" s="1"/>
  <c r="B94" i="93" s="1"/>
  <c r="B95" i="93" s="1"/>
  <c r="B96" i="93" s="1"/>
  <c r="B97" i="93" s="1"/>
  <c r="B98" i="93" s="1"/>
  <c r="B99" i="93" s="1"/>
  <c r="B100" i="93" s="1"/>
  <c r="B101" i="93" s="1"/>
  <c r="B102" i="93" s="1"/>
  <c r="B103" i="93" s="1"/>
  <c r="B104" i="93" s="1"/>
  <c r="B105" i="93" s="1"/>
  <c r="B106" i="93" s="1"/>
  <c r="B107" i="93" s="1"/>
  <c r="B108" i="93" s="1"/>
  <c r="B109" i="93" s="1"/>
  <c r="B110" i="93" s="1"/>
  <c r="B111" i="93" s="1"/>
  <c r="B112" i="93" s="1"/>
  <c r="B113" i="93" s="1"/>
  <c r="B114" i="93" s="1"/>
  <c r="B115" i="93" s="1"/>
  <c r="B116" i="93" s="1"/>
  <c r="B117" i="93" s="1"/>
  <c r="B118" i="93" s="1"/>
  <c r="B119" i="93" s="1"/>
  <c r="B120" i="93" s="1"/>
  <c r="B121" i="93" s="1"/>
  <c r="B122" i="93" s="1"/>
  <c r="B123" i="93" s="1"/>
  <c r="B124" i="93" s="1"/>
  <c r="B125" i="93" s="1"/>
  <c r="B126" i="93" s="1"/>
  <c r="B127" i="93" s="1"/>
  <c r="B128" i="93" s="1"/>
  <c r="B129" i="93" s="1"/>
  <c r="B130" i="93" s="1"/>
  <c r="T9" i="93"/>
  <c r="B10" i="93"/>
  <c r="T8" i="93"/>
  <c r="T7" i="93"/>
  <c r="T6" i="93"/>
  <c r="T5" i="93"/>
  <c r="T4" i="93"/>
  <c r="T3" i="93"/>
  <c r="T2" i="93"/>
  <c r="Q155" i="92"/>
  <c r="Q156" i="92" s="1"/>
  <c r="Q157" i="92" s="1"/>
  <c r="Q158" i="92" s="1"/>
  <c r="Q159" i="92" s="1"/>
  <c r="Q160" i="92" s="1"/>
  <c r="Q161" i="92" s="1"/>
  <c r="Q162" i="92" s="1"/>
  <c r="Q163" i="92" s="1"/>
  <c r="Q164" i="92" s="1"/>
  <c r="Q165" i="92" s="1"/>
  <c r="Q166" i="92" s="1"/>
  <c r="Q167" i="92" s="1"/>
  <c r="Q168" i="92" s="1"/>
  <c r="Q169" i="92" s="1"/>
  <c r="Q170" i="92" s="1"/>
  <c r="Q171" i="92" s="1"/>
  <c r="Q172" i="92" s="1"/>
  <c r="Q173" i="92" s="1"/>
  <c r="Q174" i="92" s="1"/>
  <c r="Q175" i="92" s="1"/>
  <c r="Q176" i="92" s="1"/>
  <c r="Q177" i="92" s="1"/>
  <c r="Q178" i="92" s="1"/>
  <c r="Q179" i="92" s="1"/>
  <c r="Q180" i="92" s="1"/>
  <c r="Q181" i="92" s="1"/>
  <c r="Q182" i="92" s="1"/>
  <c r="Q183" i="92" s="1"/>
  <c r="Q184" i="92" s="1"/>
  <c r="Q185" i="92" s="1"/>
  <c r="Q186" i="92" s="1"/>
  <c r="Q187" i="92" s="1"/>
  <c r="Q188" i="92" s="1"/>
  <c r="Q189" i="92" s="1"/>
  <c r="Q190" i="92" s="1"/>
  <c r="Q191" i="92" s="1"/>
  <c r="Q192" i="92" s="1"/>
  <c r="Q193" i="92" s="1"/>
  <c r="Q194" i="92" s="1"/>
  <c r="Q195" i="92" s="1"/>
  <c r="Q196" i="92" s="1"/>
  <c r="Q197" i="92" s="1"/>
  <c r="Q198" i="92" s="1"/>
  <c r="Q199" i="92" s="1"/>
  <c r="Q200" i="92" s="1"/>
  <c r="Q201" i="92" s="1"/>
  <c r="Q202" i="92" s="1"/>
  <c r="Q107" i="92"/>
  <c r="Q108" i="92" s="1"/>
  <c r="Q109" i="92" s="1"/>
  <c r="Q110" i="92" s="1"/>
  <c r="Q111" i="92" s="1"/>
  <c r="Q112" i="92" s="1"/>
  <c r="Q113" i="92" s="1"/>
  <c r="Q114" i="92" s="1"/>
  <c r="Q115" i="92" s="1"/>
  <c r="Q116" i="92" s="1"/>
  <c r="Q117" i="92" s="1"/>
  <c r="Q118" i="92" s="1"/>
  <c r="Q119" i="92" s="1"/>
  <c r="Q120" i="92" s="1"/>
  <c r="Q121" i="92" s="1"/>
  <c r="Q122" i="92" s="1"/>
  <c r="Q123" i="92" s="1"/>
  <c r="Q124" i="92" s="1"/>
  <c r="Q125" i="92" s="1"/>
  <c r="Q126" i="92" s="1"/>
  <c r="Q127" i="92" s="1"/>
  <c r="Q128" i="92" s="1"/>
  <c r="Q129" i="92" s="1"/>
  <c r="Q130" i="92" s="1"/>
  <c r="Q131" i="92" s="1"/>
  <c r="Q132" i="92" s="1"/>
  <c r="Q133" i="92" s="1"/>
  <c r="Q134" i="92" s="1"/>
  <c r="Q135" i="92" s="1"/>
  <c r="Q136" i="92" s="1"/>
  <c r="Q137" i="92" s="1"/>
  <c r="Q138" i="92" s="1"/>
  <c r="Q139" i="92" s="1"/>
  <c r="Q140" i="92" s="1"/>
  <c r="Q141" i="92" s="1"/>
  <c r="Q142" i="92" s="1"/>
  <c r="Q143" i="92" s="1"/>
  <c r="Q144" i="92" s="1"/>
  <c r="Q145" i="92" s="1"/>
  <c r="Q146" i="92" s="1"/>
  <c r="Q147" i="92" s="1"/>
  <c r="Q148" i="92" s="1"/>
  <c r="Q149" i="92" s="1"/>
  <c r="Q150" i="92" s="1"/>
  <c r="Q151" i="92" s="1"/>
  <c r="Q152" i="92" s="1"/>
  <c r="Q153" i="92" s="1"/>
  <c r="Q154" i="92" s="1"/>
  <c r="Q59" i="92"/>
  <c r="Q60" i="92" s="1"/>
  <c r="Q61" i="92" s="1"/>
  <c r="Q62" i="92" s="1"/>
  <c r="Q63" i="92" s="1"/>
  <c r="Q64" i="92" s="1"/>
  <c r="Q65" i="92" s="1"/>
  <c r="Q66" i="92" s="1"/>
  <c r="Q67" i="92" s="1"/>
  <c r="Q68" i="92" s="1"/>
  <c r="Q69" i="92" s="1"/>
  <c r="Q70" i="92" s="1"/>
  <c r="Q71" i="92" s="1"/>
  <c r="Q72" i="92" s="1"/>
  <c r="Q73" i="92" s="1"/>
  <c r="Q74" i="92" s="1"/>
  <c r="Q75" i="92" s="1"/>
  <c r="Q76" i="92" s="1"/>
  <c r="Q77" i="92" s="1"/>
  <c r="Q78" i="92" s="1"/>
  <c r="Q79" i="92" s="1"/>
  <c r="Q80" i="92" s="1"/>
  <c r="Q81" i="92" s="1"/>
  <c r="Q82" i="92" s="1"/>
  <c r="Q83" i="92" s="1"/>
  <c r="Q84" i="92" s="1"/>
  <c r="Q85" i="92" s="1"/>
  <c r="Q86" i="92" s="1"/>
  <c r="Q87" i="92" s="1"/>
  <c r="Q88" i="92" s="1"/>
  <c r="Q89" i="92" s="1"/>
  <c r="Q90" i="92" s="1"/>
  <c r="Q91" i="92" s="1"/>
  <c r="Q92" i="92" s="1"/>
  <c r="Q93" i="92" s="1"/>
  <c r="Q94" i="92" s="1"/>
  <c r="Q95" i="92" s="1"/>
  <c r="Q96" i="92" s="1"/>
  <c r="Q97" i="92" s="1"/>
  <c r="Q98" i="92" s="1"/>
  <c r="Q99" i="92" s="1"/>
  <c r="Q100" i="92" s="1"/>
  <c r="Q101" i="92" s="1"/>
  <c r="Q102" i="92" s="1"/>
  <c r="Q103" i="92" s="1"/>
  <c r="Q104" i="92" s="1"/>
  <c r="Q105" i="92" s="1"/>
  <c r="Q106" i="92" s="1"/>
  <c r="Q11" i="92"/>
  <c r="Q12" i="92" s="1"/>
  <c r="Q13" i="92" s="1"/>
  <c r="Q14" i="92" s="1"/>
  <c r="Q15" i="92" s="1"/>
  <c r="Q16" i="92" s="1"/>
  <c r="Q17" i="92" s="1"/>
  <c r="Q18" i="92" s="1"/>
  <c r="Q19" i="92" s="1"/>
  <c r="Q20" i="92" s="1"/>
  <c r="Q21" i="92" s="1"/>
  <c r="Q22" i="92" s="1"/>
  <c r="Q23" i="92" s="1"/>
  <c r="Q24" i="92" s="1"/>
  <c r="Q25" i="92" s="1"/>
  <c r="Q26" i="92" s="1"/>
  <c r="Q27" i="92" s="1"/>
  <c r="Q28" i="92" s="1"/>
  <c r="Q29" i="92" s="1"/>
  <c r="Q30" i="92" s="1"/>
  <c r="Q31" i="92" s="1"/>
  <c r="Q32" i="92" s="1"/>
  <c r="Q33" i="92" s="1"/>
  <c r="Q34" i="92" s="1"/>
  <c r="Q35" i="92" s="1"/>
  <c r="Q36" i="92" s="1"/>
  <c r="Q37" i="92" s="1"/>
  <c r="Q38" i="92" s="1"/>
  <c r="Q39" i="92" s="1"/>
  <c r="Q40" i="92" s="1"/>
  <c r="Q41" i="92" s="1"/>
  <c r="Q42" i="92" s="1"/>
  <c r="Q43" i="92" s="1"/>
  <c r="Q44" i="92" s="1"/>
  <c r="Q45" i="92" s="1"/>
  <c r="Q46" i="92" s="1"/>
  <c r="Q47" i="92" s="1"/>
  <c r="Q48" i="92" s="1"/>
  <c r="Q49" i="92" s="1"/>
  <c r="Q50" i="92" s="1"/>
  <c r="Q51" i="92" s="1"/>
  <c r="Q52" i="92" s="1"/>
  <c r="Q53" i="92" s="1"/>
  <c r="Q54" i="92" s="1"/>
  <c r="Q55" i="92" s="1"/>
  <c r="Q56" i="92" s="1"/>
  <c r="Q57" i="92" s="1"/>
  <c r="Q58" i="92" s="1"/>
  <c r="B12" i="92"/>
  <c r="B13" i="92" s="1"/>
  <c r="B14" i="92" s="1"/>
  <c r="B15" i="92" s="1"/>
  <c r="B16" i="92" s="1"/>
  <c r="B17" i="92" s="1"/>
  <c r="B18" i="92" s="1"/>
  <c r="B19" i="92" s="1"/>
  <c r="B20" i="92" s="1"/>
  <c r="B21" i="92" s="1"/>
  <c r="B22" i="92" s="1"/>
  <c r="B23" i="92" s="1"/>
  <c r="B24" i="92" s="1"/>
  <c r="B25" i="92" s="1"/>
  <c r="B26" i="92" s="1"/>
  <c r="B27" i="92" s="1"/>
  <c r="B28" i="92" s="1"/>
  <c r="B29" i="92" s="1"/>
  <c r="B30" i="92" s="1"/>
  <c r="B31" i="92" s="1"/>
  <c r="B32" i="92" s="1"/>
  <c r="B33" i="92" s="1"/>
  <c r="B34" i="92" s="1"/>
  <c r="B35" i="92" s="1"/>
  <c r="B36" i="92" s="1"/>
  <c r="B37" i="92" s="1"/>
  <c r="B38" i="92" s="1"/>
  <c r="B39" i="92" s="1"/>
  <c r="B40" i="92" s="1"/>
  <c r="B41" i="92" s="1"/>
  <c r="B42" i="92" s="1"/>
  <c r="B43" i="92" s="1"/>
  <c r="B44" i="92" s="1"/>
  <c r="B45" i="92" s="1"/>
  <c r="B46" i="92" s="1"/>
  <c r="B47" i="92" s="1"/>
  <c r="B48" i="92" s="1"/>
  <c r="B49" i="92" s="1"/>
  <c r="B50" i="92" s="1"/>
  <c r="B51" i="92" s="1"/>
  <c r="B52" i="92" s="1"/>
  <c r="B53" i="92" s="1"/>
  <c r="B54" i="92" s="1"/>
  <c r="B55" i="92" s="1"/>
  <c r="B56" i="92" s="1"/>
  <c r="B57" i="92" s="1"/>
  <c r="B58" i="92" s="1"/>
  <c r="B59" i="92" s="1"/>
  <c r="B60" i="92" s="1"/>
  <c r="B61" i="92" s="1"/>
  <c r="B62" i="92" s="1"/>
  <c r="B63" i="92" s="1"/>
  <c r="B64" i="92" s="1"/>
  <c r="B65" i="92" s="1"/>
  <c r="B66" i="92" s="1"/>
  <c r="B67" i="92" s="1"/>
  <c r="B68" i="92" s="1"/>
  <c r="B69" i="92" s="1"/>
  <c r="B70" i="92" s="1"/>
  <c r="B71" i="92" s="1"/>
  <c r="B72" i="92" s="1"/>
  <c r="B73" i="92" s="1"/>
  <c r="B74" i="92" s="1"/>
  <c r="B75" i="92" s="1"/>
  <c r="B76" i="92" s="1"/>
  <c r="B77" i="92" s="1"/>
  <c r="B78" i="92" s="1"/>
  <c r="B79" i="92" s="1"/>
  <c r="B80" i="92" s="1"/>
  <c r="B81" i="92" s="1"/>
  <c r="B82" i="92" s="1"/>
  <c r="B83" i="92" s="1"/>
  <c r="B84" i="92" s="1"/>
  <c r="B85" i="92" s="1"/>
  <c r="B86" i="92" s="1"/>
  <c r="B87" i="92" s="1"/>
  <c r="B88" i="92" s="1"/>
  <c r="B89" i="92" s="1"/>
  <c r="B90" i="92" s="1"/>
  <c r="B91" i="92" s="1"/>
  <c r="B92" i="92" s="1"/>
  <c r="B93" i="92" s="1"/>
  <c r="B94" i="92" s="1"/>
  <c r="B95" i="92" s="1"/>
  <c r="B96" i="92" s="1"/>
  <c r="B97" i="92" s="1"/>
  <c r="B98" i="92" s="1"/>
  <c r="B99" i="92" s="1"/>
  <c r="B100" i="92" s="1"/>
  <c r="B101" i="92" s="1"/>
  <c r="B102" i="92" s="1"/>
  <c r="B103" i="92" s="1"/>
  <c r="B104" i="92" s="1"/>
  <c r="B105" i="92" s="1"/>
  <c r="B106" i="92" s="1"/>
  <c r="B107" i="92" s="1"/>
  <c r="B108" i="92" s="1"/>
  <c r="B109" i="92" s="1"/>
  <c r="B110" i="92" s="1"/>
  <c r="B111" i="92" s="1"/>
  <c r="B112" i="92" s="1"/>
  <c r="B113" i="92" s="1"/>
  <c r="B114" i="92" s="1"/>
  <c r="B115" i="92" s="1"/>
  <c r="B116" i="92" s="1"/>
  <c r="B117" i="92" s="1"/>
  <c r="B118" i="92" s="1"/>
  <c r="B119" i="92" s="1"/>
  <c r="B120" i="92" s="1"/>
  <c r="B121" i="92" s="1"/>
  <c r="B122" i="92" s="1"/>
  <c r="B123" i="92" s="1"/>
  <c r="B124" i="92" s="1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B173" i="92" s="1"/>
  <c r="B174" i="92" s="1"/>
  <c r="B175" i="92" s="1"/>
  <c r="B176" i="92" s="1"/>
  <c r="B177" i="92" s="1"/>
  <c r="B178" i="92" s="1"/>
  <c r="B179" i="92" s="1"/>
  <c r="B180" i="92" s="1"/>
  <c r="B181" i="92" s="1"/>
  <c r="B182" i="92" s="1"/>
  <c r="B183" i="92" s="1"/>
  <c r="B184" i="92" s="1"/>
  <c r="B185" i="92" s="1"/>
  <c r="B186" i="92" s="1"/>
  <c r="B187" i="92" s="1"/>
  <c r="B188" i="92" s="1"/>
  <c r="B189" i="92" s="1"/>
  <c r="B190" i="92" s="1"/>
  <c r="B191" i="92" s="1"/>
  <c r="B192" i="92" s="1"/>
  <c r="B193" i="92" s="1"/>
  <c r="B194" i="92" s="1"/>
  <c r="B195" i="92" s="1"/>
  <c r="B196" i="92" s="1"/>
  <c r="B197" i="92" s="1"/>
  <c r="B198" i="92" s="1"/>
  <c r="B199" i="92" s="1"/>
  <c r="B200" i="92" s="1"/>
  <c r="B201" i="92" s="1"/>
  <c r="B202" i="92" s="1"/>
  <c r="B203" i="92" s="1"/>
  <c r="B204" i="92" s="1"/>
  <c r="B205" i="92" s="1"/>
  <c r="B206" i="92" s="1"/>
  <c r="B207" i="92" s="1"/>
  <c r="B208" i="92" s="1"/>
  <c r="B209" i="92" s="1"/>
  <c r="B210" i="92" s="1"/>
  <c r="B211" i="92" s="1"/>
  <c r="B212" i="92" s="1"/>
  <c r="B213" i="92" s="1"/>
  <c r="B214" i="92" s="1"/>
  <c r="B215" i="92" s="1"/>
  <c r="B216" i="92" s="1"/>
  <c r="B217" i="92" s="1"/>
  <c r="B218" i="92" s="1"/>
  <c r="B219" i="92" s="1"/>
  <c r="B220" i="92" s="1"/>
  <c r="B221" i="92" s="1"/>
  <c r="B222" i="92" s="1"/>
  <c r="B223" i="92" s="1"/>
  <c r="B224" i="92" s="1"/>
  <c r="B225" i="92" s="1"/>
  <c r="B226" i="92" s="1"/>
  <c r="B227" i="92" s="1"/>
  <c r="B228" i="92" s="1"/>
  <c r="B229" i="92" s="1"/>
  <c r="B230" i="92" s="1"/>
  <c r="B231" i="92" s="1"/>
  <c r="B232" i="92" s="1"/>
  <c r="B233" i="92" s="1"/>
  <c r="B234" i="92" s="1"/>
  <c r="B235" i="92" s="1"/>
  <c r="B236" i="92" s="1"/>
  <c r="B237" i="92" s="1"/>
  <c r="B238" i="92" s="1"/>
  <c r="B239" i="92" s="1"/>
  <c r="B240" i="92" s="1"/>
  <c r="B241" i="92" s="1"/>
  <c r="B242" i="92" s="1"/>
  <c r="B243" i="92" s="1"/>
  <c r="B244" i="92" s="1"/>
  <c r="B245" i="92" s="1"/>
  <c r="B246" i="92" s="1"/>
  <c r="B247" i="92" s="1"/>
  <c r="B248" i="92" s="1"/>
  <c r="B249" i="92" s="1"/>
  <c r="B250" i="92" s="1"/>
  <c r="B10" i="92"/>
  <c r="J171" i="91"/>
  <c r="J172" i="91" s="1"/>
  <c r="J173" i="91" s="1"/>
  <c r="J174" i="91" s="1"/>
  <c r="J175" i="91" s="1"/>
  <c r="J176" i="91" s="1"/>
  <c r="J177" i="91" s="1"/>
  <c r="J178" i="91" s="1"/>
  <c r="J179" i="91" s="1"/>
  <c r="J180" i="91" s="1"/>
  <c r="J181" i="91" s="1"/>
  <c r="J182" i="91" s="1"/>
  <c r="J183" i="91" s="1"/>
  <c r="J184" i="91" s="1"/>
  <c r="J185" i="91" s="1"/>
  <c r="J186" i="91" s="1"/>
  <c r="J187" i="91" s="1"/>
  <c r="J188" i="91" s="1"/>
  <c r="J189" i="91" s="1"/>
  <c r="J190" i="91" s="1"/>
  <c r="J191" i="91" s="1"/>
  <c r="J192" i="91" s="1"/>
  <c r="J193" i="91" s="1"/>
  <c r="J194" i="91" s="1"/>
  <c r="J195" i="91" s="1"/>
  <c r="J196" i="91" s="1"/>
  <c r="J197" i="91" s="1"/>
  <c r="J198" i="91" s="1"/>
  <c r="J199" i="91" s="1"/>
  <c r="J200" i="91" s="1"/>
  <c r="J201" i="91" s="1"/>
  <c r="J202" i="91" s="1"/>
  <c r="I156" i="91"/>
  <c r="I157" i="91" s="1"/>
  <c r="I158" i="91" s="1"/>
  <c r="I159" i="91" s="1"/>
  <c r="I160" i="91" s="1"/>
  <c r="I161" i="91" s="1"/>
  <c r="I162" i="91" s="1"/>
  <c r="I163" i="91" s="1"/>
  <c r="I164" i="91" s="1"/>
  <c r="I165" i="91" s="1"/>
  <c r="I166" i="91" s="1"/>
  <c r="I167" i="91" s="1"/>
  <c r="I168" i="91" s="1"/>
  <c r="I169" i="91" s="1"/>
  <c r="I170" i="91" s="1"/>
  <c r="I171" i="91" s="1"/>
  <c r="I172" i="91" s="1"/>
  <c r="I173" i="91" s="1"/>
  <c r="I174" i="91" s="1"/>
  <c r="I175" i="91" s="1"/>
  <c r="I176" i="91" s="1"/>
  <c r="I177" i="91" s="1"/>
  <c r="I178" i="91" s="1"/>
  <c r="I179" i="91" s="1"/>
  <c r="I180" i="91" s="1"/>
  <c r="I181" i="91" s="1"/>
  <c r="I182" i="91" s="1"/>
  <c r="I183" i="91" s="1"/>
  <c r="I184" i="91" s="1"/>
  <c r="I185" i="91" s="1"/>
  <c r="I186" i="91" s="1"/>
  <c r="I187" i="91" s="1"/>
  <c r="I188" i="91" s="1"/>
  <c r="I189" i="91" s="1"/>
  <c r="I190" i="91" s="1"/>
  <c r="I191" i="91" s="1"/>
  <c r="I192" i="91" s="1"/>
  <c r="I193" i="91" s="1"/>
  <c r="I194" i="91" s="1"/>
  <c r="I195" i="91" s="1"/>
  <c r="I196" i="91" s="1"/>
  <c r="I197" i="91" s="1"/>
  <c r="I198" i="91" s="1"/>
  <c r="I199" i="91" s="1"/>
  <c r="I200" i="91" s="1"/>
  <c r="I201" i="91" s="1"/>
  <c r="I202" i="91" s="1"/>
  <c r="J123" i="91"/>
  <c r="J124" i="91" s="1"/>
  <c r="J125" i="91" s="1"/>
  <c r="J126" i="91" s="1"/>
  <c r="J127" i="91" s="1"/>
  <c r="J128" i="91" s="1"/>
  <c r="J129" i="91" s="1"/>
  <c r="J130" i="91" s="1"/>
  <c r="J131" i="91" s="1"/>
  <c r="J132" i="91" s="1"/>
  <c r="J133" i="91" s="1"/>
  <c r="J134" i="91" s="1"/>
  <c r="J135" i="91" s="1"/>
  <c r="J136" i="91" s="1"/>
  <c r="J137" i="91" s="1"/>
  <c r="J138" i="91" s="1"/>
  <c r="J139" i="91" s="1"/>
  <c r="J140" i="91" s="1"/>
  <c r="J141" i="91" s="1"/>
  <c r="J142" i="91" s="1"/>
  <c r="J143" i="91" s="1"/>
  <c r="J144" i="91" s="1"/>
  <c r="J145" i="91" s="1"/>
  <c r="J146" i="91" s="1"/>
  <c r="J147" i="91" s="1"/>
  <c r="J148" i="91" s="1"/>
  <c r="J149" i="91" s="1"/>
  <c r="J150" i="91" s="1"/>
  <c r="J151" i="91" s="1"/>
  <c r="J152" i="91" s="1"/>
  <c r="J153" i="91" s="1"/>
  <c r="J154" i="91" s="1"/>
  <c r="J75" i="91"/>
  <c r="J76" i="91" s="1"/>
  <c r="J77" i="91" s="1"/>
  <c r="J78" i="91" s="1"/>
  <c r="J79" i="91" s="1"/>
  <c r="J80" i="91" s="1"/>
  <c r="J81" i="91" s="1"/>
  <c r="J82" i="91" s="1"/>
  <c r="J83" i="91" s="1"/>
  <c r="J84" i="91" s="1"/>
  <c r="J85" i="91" s="1"/>
  <c r="J86" i="91" s="1"/>
  <c r="J87" i="91" s="1"/>
  <c r="J88" i="91" s="1"/>
  <c r="J89" i="91" s="1"/>
  <c r="J90" i="91" s="1"/>
  <c r="J91" i="91" s="1"/>
  <c r="J92" i="91" s="1"/>
  <c r="J93" i="91" s="1"/>
  <c r="J94" i="91" s="1"/>
  <c r="J95" i="91" s="1"/>
  <c r="J96" i="91" s="1"/>
  <c r="J97" i="91" s="1"/>
  <c r="J98" i="91" s="1"/>
  <c r="J99" i="91" s="1"/>
  <c r="J100" i="91" s="1"/>
  <c r="J101" i="91" s="1"/>
  <c r="J102" i="91" s="1"/>
  <c r="J103" i="91" s="1"/>
  <c r="J104" i="91" s="1"/>
  <c r="J105" i="91" s="1"/>
  <c r="J106" i="91" s="1"/>
  <c r="J27" i="91"/>
  <c r="J28" i="91" s="1"/>
  <c r="J29" i="91" s="1"/>
  <c r="J30" i="91" s="1"/>
  <c r="J31" i="91" s="1"/>
  <c r="J32" i="91" s="1"/>
  <c r="J33" i="91" s="1"/>
  <c r="J34" i="91" s="1"/>
  <c r="J35" i="91" s="1"/>
  <c r="J36" i="91" s="1"/>
  <c r="J37" i="91" s="1"/>
  <c r="J38" i="91" s="1"/>
  <c r="J39" i="91" s="1"/>
  <c r="J40" i="91" s="1"/>
  <c r="J41" i="91" s="1"/>
  <c r="J42" i="91" s="1"/>
  <c r="J43" i="91" s="1"/>
  <c r="J44" i="91" s="1"/>
  <c r="J45" i="91" s="1"/>
  <c r="J46" i="91" s="1"/>
  <c r="J47" i="91" s="1"/>
  <c r="J48" i="91" s="1"/>
  <c r="J49" i="91" s="1"/>
  <c r="J50" i="91" s="1"/>
  <c r="J51" i="91" s="1"/>
  <c r="J52" i="91" s="1"/>
  <c r="J53" i="91" s="1"/>
  <c r="J54" i="91" s="1"/>
  <c r="J55" i="91" s="1"/>
  <c r="J56" i="91" s="1"/>
  <c r="J57" i="91" s="1"/>
  <c r="J58" i="91" s="1"/>
  <c r="B12" i="91"/>
  <c r="B13" i="91" s="1"/>
  <c r="B14" i="91" s="1"/>
  <c r="B15" i="91" s="1"/>
  <c r="B16" i="91" s="1"/>
  <c r="B17" i="91" s="1"/>
  <c r="B18" i="91" s="1"/>
  <c r="B19" i="91" s="1"/>
  <c r="B20" i="91" s="1"/>
  <c r="B21" i="91" s="1"/>
  <c r="B22" i="91" s="1"/>
  <c r="B23" i="91" s="1"/>
  <c r="B24" i="91" s="1"/>
  <c r="B25" i="91" s="1"/>
  <c r="B26" i="91" s="1"/>
  <c r="B27" i="91" s="1"/>
  <c r="B28" i="91" s="1"/>
  <c r="B29" i="91" s="1"/>
  <c r="B30" i="91" s="1"/>
  <c r="B31" i="91" s="1"/>
  <c r="B32" i="91" s="1"/>
  <c r="B33" i="91" s="1"/>
  <c r="B34" i="91" s="1"/>
  <c r="B35" i="91" s="1"/>
  <c r="B36" i="91" s="1"/>
  <c r="B37" i="91" s="1"/>
  <c r="B38" i="91" s="1"/>
  <c r="B39" i="91" s="1"/>
  <c r="B40" i="91" s="1"/>
  <c r="B41" i="91" s="1"/>
  <c r="B42" i="91" s="1"/>
  <c r="B43" i="91" s="1"/>
  <c r="B44" i="91" s="1"/>
  <c r="B45" i="91" s="1"/>
  <c r="B46" i="91" s="1"/>
  <c r="B47" i="91" s="1"/>
  <c r="B48" i="91" s="1"/>
  <c r="B49" i="91" s="1"/>
  <c r="B50" i="91" s="1"/>
  <c r="B51" i="91" s="1"/>
  <c r="B52" i="91" s="1"/>
  <c r="B53" i="91" s="1"/>
  <c r="B54" i="91" s="1"/>
  <c r="B55" i="91" s="1"/>
  <c r="B56" i="91" s="1"/>
  <c r="B57" i="91" s="1"/>
  <c r="B58" i="91" s="1"/>
  <c r="B59" i="91" s="1"/>
  <c r="B60" i="91" s="1"/>
  <c r="B61" i="91" s="1"/>
  <c r="B62" i="91" s="1"/>
  <c r="B63" i="91" s="1"/>
  <c r="B64" i="91" s="1"/>
  <c r="B65" i="91" s="1"/>
  <c r="B66" i="91" s="1"/>
  <c r="B67" i="91" s="1"/>
  <c r="B68" i="91" s="1"/>
  <c r="B69" i="91" s="1"/>
  <c r="B70" i="91" s="1"/>
  <c r="B71" i="91" s="1"/>
  <c r="B72" i="91" s="1"/>
  <c r="B73" i="91" s="1"/>
  <c r="B74" i="91" s="1"/>
  <c r="B75" i="91" s="1"/>
  <c r="B76" i="91" s="1"/>
  <c r="B77" i="91" s="1"/>
  <c r="B78" i="91" s="1"/>
  <c r="B79" i="91" s="1"/>
  <c r="B80" i="91" s="1"/>
  <c r="B81" i="91" s="1"/>
  <c r="B82" i="91" s="1"/>
  <c r="B83" i="91" s="1"/>
  <c r="B84" i="91" s="1"/>
  <c r="B85" i="91" s="1"/>
  <c r="B86" i="91" s="1"/>
  <c r="B87" i="91" s="1"/>
  <c r="B88" i="91" s="1"/>
  <c r="B89" i="91" s="1"/>
  <c r="B90" i="91" s="1"/>
  <c r="B91" i="91" s="1"/>
  <c r="B92" i="91" s="1"/>
  <c r="B93" i="91" s="1"/>
  <c r="B94" i="91" s="1"/>
  <c r="B95" i="91" s="1"/>
  <c r="B96" i="91" s="1"/>
  <c r="B97" i="91" s="1"/>
  <c r="B98" i="91" s="1"/>
  <c r="B99" i="91" s="1"/>
  <c r="B100" i="91" s="1"/>
  <c r="B101" i="91" s="1"/>
  <c r="B102" i="91" s="1"/>
  <c r="B103" i="91" s="1"/>
  <c r="B104" i="91" s="1"/>
  <c r="B105" i="91" s="1"/>
  <c r="B106" i="91" s="1"/>
  <c r="B107" i="91" s="1"/>
  <c r="B108" i="91" s="1"/>
  <c r="B109" i="91" s="1"/>
  <c r="B110" i="91" s="1"/>
  <c r="B111" i="91" s="1"/>
  <c r="B112" i="91" s="1"/>
  <c r="B113" i="91" s="1"/>
  <c r="B114" i="91" s="1"/>
  <c r="B115" i="91" s="1"/>
  <c r="B116" i="91" s="1"/>
  <c r="B117" i="91" s="1"/>
  <c r="B118" i="91" s="1"/>
  <c r="B119" i="91" s="1"/>
  <c r="B120" i="91" s="1"/>
  <c r="B121" i="91" s="1"/>
  <c r="B122" i="91" s="1"/>
  <c r="B123" i="91" s="1"/>
  <c r="B124" i="91" s="1"/>
  <c r="B125" i="91" s="1"/>
  <c r="B126" i="91" s="1"/>
  <c r="B127" i="91" s="1"/>
  <c r="B128" i="91" s="1"/>
  <c r="B129" i="91" s="1"/>
  <c r="B130" i="91" s="1"/>
  <c r="B131" i="91" s="1"/>
  <c r="B132" i="91" s="1"/>
  <c r="B133" i="91" s="1"/>
  <c r="B134" i="91" s="1"/>
  <c r="B135" i="91" s="1"/>
  <c r="B136" i="91" s="1"/>
  <c r="B137" i="91" s="1"/>
  <c r="B138" i="91" s="1"/>
  <c r="B139" i="91" s="1"/>
  <c r="B140" i="91" s="1"/>
  <c r="B141" i="91" s="1"/>
  <c r="B142" i="91" s="1"/>
  <c r="B143" i="91" s="1"/>
  <c r="B144" i="91" s="1"/>
  <c r="B145" i="91" s="1"/>
  <c r="B146" i="91" s="1"/>
  <c r="B147" i="91" s="1"/>
  <c r="B148" i="91" s="1"/>
  <c r="B149" i="91" s="1"/>
  <c r="B150" i="91" s="1"/>
  <c r="B151" i="91" s="1"/>
  <c r="B152" i="91" s="1"/>
  <c r="B153" i="91" s="1"/>
  <c r="B154" i="91" s="1"/>
  <c r="B155" i="91" s="1"/>
  <c r="B156" i="91" s="1"/>
  <c r="B157" i="91" s="1"/>
  <c r="B158" i="91" s="1"/>
  <c r="B159" i="91" s="1"/>
  <c r="B160" i="91" s="1"/>
  <c r="B161" i="91" s="1"/>
  <c r="B162" i="91" s="1"/>
  <c r="B163" i="91" s="1"/>
  <c r="B164" i="91" s="1"/>
  <c r="B165" i="91" s="1"/>
  <c r="B166" i="91" s="1"/>
  <c r="B167" i="91" s="1"/>
  <c r="B168" i="91" s="1"/>
  <c r="B169" i="91" s="1"/>
  <c r="B170" i="91" s="1"/>
  <c r="B171" i="91" s="1"/>
  <c r="B172" i="91" s="1"/>
  <c r="B173" i="91" s="1"/>
  <c r="B174" i="91" s="1"/>
  <c r="B175" i="91" s="1"/>
  <c r="B176" i="91" s="1"/>
  <c r="B177" i="91" s="1"/>
  <c r="B178" i="91" s="1"/>
  <c r="B179" i="91" s="1"/>
  <c r="B180" i="91" s="1"/>
  <c r="B181" i="91" s="1"/>
  <c r="B182" i="91" s="1"/>
  <c r="B183" i="91" s="1"/>
  <c r="B184" i="91" s="1"/>
  <c r="B185" i="91" s="1"/>
  <c r="B186" i="91" s="1"/>
  <c r="B187" i="91" s="1"/>
  <c r="B188" i="91" s="1"/>
  <c r="B189" i="91" s="1"/>
  <c r="B190" i="91" s="1"/>
  <c r="B191" i="91" s="1"/>
  <c r="B192" i="91" s="1"/>
  <c r="B193" i="91" s="1"/>
  <c r="B194" i="91" s="1"/>
  <c r="B195" i="91" s="1"/>
  <c r="B196" i="91" s="1"/>
  <c r="B197" i="91" s="1"/>
  <c r="B198" i="91" s="1"/>
  <c r="B199" i="91" s="1"/>
  <c r="B200" i="91" s="1"/>
  <c r="B201" i="91" s="1"/>
  <c r="B202" i="91" s="1"/>
  <c r="B203" i="91" s="1"/>
  <c r="B204" i="91" s="1"/>
  <c r="B205" i="91" s="1"/>
  <c r="B206" i="91" s="1"/>
  <c r="B207" i="91" s="1"/>
  <c r="B208" i="91" s="1"/>
  <c r="B209" i="91" s="1"/>
  <c r="B210" i="91" s="1"/>
  <c r="B211" i="91" s="1"/>
  <c r="B212" i="91" s="1"/>
  <c r="B213" i="91" s="1"/>
  <c r="B214" i="91" s="1"/>
  <c r="B215" i="91" s="1"/>
  <c r="B216" i="91" s="1"/>
  <c r="B217" i="91" s="1"/>
  <c r="B218" i="91" s="1"/>
  <c r="B219" i="91" s="1"/>
  <c r="B220" i="91" s="1"/>
  <c r="B221" i="91" s="1"/>
  <c r="B222" i="91" s="1"/>
  <c r="B223" i="91" s="1"/>
  <c r="B224" i="91" s="1"/>
  <c r="B225" i="91" s="1"/>
  <c r="B226" i="91" s="1"/>
  <c r="B227" i="91" s="1"/>
  <c r="B228" i="91" s="1"/>
  <c r="B229" i="91" s="1"/>
  <c r="B230" i="91" s="1"/>
  <c r="B231" i="91" s="1"/>
  <c r="B232" i="91" s="1"/>
  <c r="B233" i="91" s="1"/>
  <c r="B234" i="91" s="1"/>
  <c r="B235" i="91" s="1"/>
  <c r="B236" i="91" s="1"/>
  <c r="B237" i="91" s="1"/>
  <c r="B238" i="91" s="1"/>
  <c r="B239" i="91" s="1"/>
  <c r="B240" i="91" s="1"/>
  <c r="B241" i="91" s="1"/>
  <c r="B242" i="91" s="1"/>
  <c r="B243" i="91" s="1"/>
  <c r="B244" i="91" s="1"/>
  <c r="B245" i="91" s="1"/>
  <c r="B246" i="91" s="1"/>
  <c r="B247" i="91" s="1"/>
  <c r="B248" i="91" s="1"/>
  <c r="B249" i="91" s="1"/>
  <c r="B250" i="91" s="1"/>
  <c r="B10" i="91"/>
  <c r="N155" i="89"/>
  <c r="P155" i="89" s="1"/>
  <c r="L155" i="89"/>
  <c r="J155" i="89"/>
  <c r="I155" i="89"/>
  <c r="E155" i="89"/>
  <c r="F155" i="89" s="1"/>
  <c r="N107" i="89"/>
  <c r="P107" i="89" s="1"/>
  <c r="L107" i="89"/>
  <c r="J107" i="89"/>
  <c r="J108" i="89" s="1"/>
  <c r="J109" i="89" s="1"/>
  <c r="J110" i="89" s="1"/>
  <c r="J111" i="89" s="1"/>
  <c r="J112" i="89" s="1"/>
  <c r="J113" i="89" s="1"/>
  <c r="J114" i="89" s="1"/>
  <c r="J115" i="89" s="1"/>
  <c r="J116" i="89" s="1"/>
  <c r="J117" i="89" s="1"/>
  <c r="J118" i="89" s="1"/>
  <c r="J119" i="89" s="1"/>
  <c r="J120" i="89" s="1"/>
  <c r="J121" i="89" s="1"/>
  <c r="J122" i="89" s="1"/>
  <c r="J123" i="89" s="1"/>
  <c r="J124" i="89" s="1"/>
  <c r="J125" i="89" s="1"/>
  <c r="J126" i="89" s="1"/>
  <c r="J127" i="89" s="1"/>
  <c r="J128" i="89" s="1"/>
  <c r="J129" i="89" s="1"/>
  <c r="J130" i="89" s="1"/>
  <c r="J131" i="89" s="1"/>
  <c r="J132" i="89" s="1"/>
  <c r="J133" i="89" s="1"/>
  <c r="J134" i="89" s="1"/>
  <c r="J135" i="89" s="1"/>
  <c r="J136" i="89" s="1"/>
  <c r="J137" i="89" s="1"/>
  <c r="J138" i="89" s="1"/>
  <c r="J139" i="89" s="1"/>
  <c r="J140" i="89" s="1"/>
  <c r="J141" i="89" s="1"/>
  <c r="J142" i="89" s="1"/>
  <c r="J143" i="89" s="1"/>
  <c r="J144" i="89" s="1"/>
  <c r="J145" i="89" s="1"/>
  <c r="J146" i="89" s="1"/>
  <c r="J147" i="89" s="1"/>
  <c r="J148" i="89" s="1"/>
  <c r="J149" i="89" s="1"/>
  <c r="J150" i="89" s="1"/>
  <c r="J151" i="89" s="1"/>
  <c r="J152" i="89" s="1"/>
  <c r="J153" i="89" s="1"/>
  <c r="J154" i="89" s="1"/>
  <c r="I107" i="89"/>
  <c r="N59" i="89"/>
  <c r="P59" i="89" s="1"/>
  <c r="L59" i="89"/>
  <c r="J59" i="89"/>
  <c r="I59" i="89"/>
  <c r="D59" i="89"/>
  <c r="N11" i="89"/>
  <c r="P11" i="89" s="1"/>
  <c r="L11" i="89"/>
  <c r="L12" i="89" s="1"/>
  <c r="L13" i="89" s="1"/>
  <c r="L14" i="89" s="1"/>
  <c r="L15" i="89" s="1"/>
  <c r="L16" i="89" s="1"/>
  <c r="L17" i="89" s="1"/>
  <c r="L18" i="89" s="1"/>
  <c r="L19" i="89" s="1"/>
  <c r="L20" i="89" s="1"/>
  <c r="L21" i="89" s="1"/>
  <c r="L22" i="89" s="1"/>
  <c r="L23" i="89" s="1"/>
  <c r="L24" i="89" s="1"/>
  <c r="L25" i="89" s="1"/>
  <c r="L26" i="89" s="1"/>
  <c r="L27" i="89" s="1"/>
  <c r="L28" i="89" s="1"/>
  <c r="L29" i="89" s="1"/>
  <c r="L30" i="89" s="1"/>
  <c r="L31" i="89" s="1"/>
  <c r="L32" i="89" s="1"/>
  <c r="L33" i="89" s="1"/>
  <c r="L34" i="89" s="1"/>
  <c r="L35" i="89" s="1"/>
  <c r="L36" i="89" s="1"/>
  <c r="L37" i="89" s="1"/>
  <c r="L38" i="89" s="1"/>
  <c r="L39" i="89" s="1"/>
  <c r="L40" i="89" s="1"/>
  <c r="L41" i="89" s="1"/>
  <c r="L42" i="89" s="1"/>
  <c r="L43" i="89" s="1"/>
  <c r="L44" i="89" s="1"/>
  <c r="L45" i="89" s="1"/>
  <c r="L46" i="89" s="1"/>
  <c r="L47" i="89" s="1"/>
  <c r="L48" i="89" s="1"/>
  <c r="L49" i="89" s="1"/>
  <c r="L50" i="89" s="1"/>
  <c r="L51" i="89" s="1"/>
  <c r="L52" i="89" s="1"/>
  <c r="L53" i="89" s="1"/>
  <c r="L54" i="89" s="1"/>
  <c r="L55" i="89" s="1"/>
  <c r="L56" i="89" s="1"/>
  <c r="L57" i="89" s="1"/>
  <c r="L58" i="89" s="1"/>
  <c r="J11" i="89"/>
  <c r="I11" i="89"/>
  <c r="I12" i="89" s="1"/>
  <c r="I13" i="89" s="1"/>
  <c r="I14" i="89" s="1"/>
  <c r="I15" i="89" s="1"/>
  <c r="I16" i="89" s="1"/>
  <c r="I17" i="89" s="1"/>
  <c r="I18" i="89" s="1"/>
  <c r="I19" i="89" s="1"/>
  <c r="I20" i="89" s="1"/>
  <c r="I21" i="89" s="1"/>
  <c r="I22" i="89" s="1"/>
  <c r="I23" i="89" s="1"/>
  <c r="I24" i="89" s="1"/>
  <c r="I25" i="89" s="1"/>
  <c r="I26" i="89" s="1"/>
  <c r="I27" i="89" s="1"/>
  <c r="I28" i="89" s="1"/>
  <c r="I29" i="89" s="1"/>
  <c r="I30" i="89" s="1"/>
  <c r="I31" i="89" s="1"/>
  <c r="I32" i="89" s="1"/>
  <c r="I33" i="89" s="1"/>
  <c r="I34" i="89" s="1"/>
  <c r="I35" i="89" s="1"/>
  <c r="I36" i="89" s="1"/>
  <c r="I37" i="89" s="1"/>
  <c r="I38" i="89" s="1"/>
  <c r="I39" i="89" s="1"/>
  <c r="I40" i="89" s="1"/>
  <c r="I41" i="89" s="1"/>
  <c r="I42" i="89" s="1"/>
  <c r="I43" i="89" s="1"/>
  <c r="I44" i="89" s="1"/>
  <c r="I45" i="89" s="1"/>
  <c r="I46" i="89" s="1"/>
  <c r="I47" i="89" s="1"/>
  <c r="I48" i="89" s="1"/>
  <c r="I49" i="89" s="1"/>
  <c r="I50" i="89" s="1"/>
  <c r="I51" i="89" s="1"/>
  <c r="I52" i="89" s="1"/>
  <c r="I53" i="89" s="1"/>
  <c r="I54" i="89" s="1"/>
  <c r="I55" i="89" s="1"/>
  <c r="I56" i="89" s="1"/>
  <c r="I57" i="89" s="1"/>
  <c r="I58" i="89" s="1"/>
  <c r="N59" i="87"/>
  <c r="P59" i="87" s="1"/>
  <c r="L59" i="87"/>
  <c r="J59" i="87"/>
  <c r="I59" i="87"/>
  <c r="N155" i="87"/>
  <c r="P155" i="87" s="1"/>
  <c r="L155" i="87"/>
  <c r="L156" i="87" s="1"/>
  <c r="L157" i="87" s="1"/>
  <c r="L158" i="87" s="1"/>
  <c r="L159" i="87" s="1"/>
  <c r="L160" i="87" s="1"/>
  <c r="L161" i="87" s="1"/>
  <c r="L162" i="87" s="1"/>
  <c r="L163" i="87" s="1"/>
  <c r="L164" i="87" s="1"/>
  <c r="L165" i="87" s="1"/>
  <c r="L166" i="87" s="1"/>
  <c r="J155" i="87"/>
  <c r="I155" i="87"/>
  <c r="I156" i="87" s="1"/>
  <c r="I157" i="87" s="1"/>
  <c r="I158" i="87" s="1"/>
  <c r="I159" i="87" s="1"/>
  <c r="I160" i="87" s="1"/>
  <c r="I161" i="87" s="1"/>
  <c r="I162" i="87" s="1"/>
  <c r="I163" i="87" s="1"/>
  <c r="I164" i="87" s="1"/>
  <c r="I165" i="87" s="1"/>
  <c r="I166" i="87" s="1"/>
  <c r="E155" i="87"/>
  <c r="F155" i="87" s="1"/>
  <c r="N107" i="87"/>
  <c r="P107" i="87" s="1"/>
  <c r="L107" i="87"/>
  <c r="L108" i="87" s="1"/>
  <c r="L109" i="87" s="1"/>
  <c r="L110" i="87" s="1"/>
  <c r="L111" i="87" s="1"/>
  <c r="L112" i="87" s="1"/>
  <c r="L113" i="87" s="1"/>
  <c r="L114" i="87" s="1"/>
  <c r="L115" i="87" s="1"/>
  <c r="L116" i="87" s="1"/>
  <c r="L117" i="87" s="1"/>
  <c r="L118" i="87" s="1"/>
  <c r="J107" i="87"/>
  <c r="J108" i="87" s="1"/>
  <c r="J109" i="87" s="1"/>
  <c r="J110" i="87" s="1"/>
  <c r="J111" i="87" s="1"/>
  <c r="J112" i="87" s="1"/>
  <c r="J113" i="87" s="1"/>
  <c r="J114" i="87" s="1"/>
  <c r="J115" i="87" s="1"/>
  <c r="J116" i="87" s="1"/>
  <c r="J117" i="87" s="1"/>
  <c r="J118" i="87" s="1"/>
  <c r="J119" i="87" s="1"/>
  <c r="J120" i="87" s="1"/>
  <c r="J121" i="87" s="1"/>
  <c r="J122" i="87" s="1"/>
  <c r="J123" i="87" s="1"/>
  <c r="J124" i="87" s="1"/>
  <c r="J125" i="87" s="1"/>
  <c r="J126" i="87" s="1"/>
  <c r="J127" i="87" s="1"/>
  <c r="J128" i="87" s="1"/>
  <c r="J129" i="87" s="1"/>
  <c r="J130" i="87" s="1"/>
  <c r="J131" i="87" s="1"/>
  <c r="J132" i="87" s="1"/>
  <c r="J133" i="87" s="1"/>
  <c r="J134" i="87" s="1"/>
  <c r="J135" i="87" s="1"/>
  <c r="J136" i="87" s="1"/>
  <c r="J137" i="87" s="1"/>
  <c r="J138" i="87" s="1"/>
  <c r="J139" i="87" s="1"/>
  <c r="J140" i="87" s="1"/>
  <c r="J141" i="87" s="1"/>
  <c r="J142" i="87" s="1"/>
  <c r="J143" i="87" s="1"/>
  <c r="J144" i="87" s="1"/>
  <c r="J145" i="87" s="1"/>
  <c r="J146" i="87" s="1"/>
  <c r="J147" i="87" s="1"/>
  <c r="J148" i="87" s="1"/>
  <c r="J149" i="87" s="1"/>
  <c r="J150" i="87" s="1"/>
  <c r="J151" i="87" s="1"/>
  <c r="J152" i="87" s="1"/>
  <c r="J153" i="87" s="1"/>
  <c r="J154" i="87" s="1"/>
  <c r="I107" i="87"/>
  <c r="I108" i="87" s="1"/>
  <c r="I109" i="87" s="1"/>
  <c r="I110" i="87" s="1"/>
  <c r="I111" i="87" s="1"/>
  <c r="I112" i="87" s="1"/>
  <c r="I113" i="87" s="1"/>
  <c r="I114" i="87" s="1"/>
  <c r="I115" i="87" s="1"/>
  <c r="I116" i="87" s="1"/>
  <c r="I117" i="87" s="1"/>
  <c r="I118" i="87" s="1"/>
  <c r="N11" i="87"/>
  <c r="P11" i="87" s="1"/>
  <c r="L11" i="87"/>
  <c r="L12" i="87" s="1"/>
  <c r="L13" i="87" s="1"/>
  <c r="L14" i="87" s="1"/>
  <c r="L15" i="87" s="1"/>
  <c r="L16" i="87" s="1"/>
  <c r="L17" i="87" s="1"/>
  <c r="L18" i="87" s="1"/>
  <c r="L19" i="87" s="1"/>
  <c r="L20" i="87" s="1"/>
  <c r="L21" i="87" s="1"/>
  <c r="L22" i="87" s="1"/>
  <c r="L23" i="87" s="1"/>
  <c r="L24" i="87" s="1"/>
  <c r="L25" i="87" s="1"/>
  <c r="L26" i="87" s="1"/>
  <c r="L27" i="87" s="1"/>
  <c r="L28" i="87" s="1"/>
  <c r="L29" i="87" s="1"/>
  <c r="L30" i="87" s="1"/>
  <c r="L31" i="87" s="1"/>
  <c r="L32" i="87" s="1"/>
  <c r="L33" i="87" s="1"/>
  <c r="L34" i="87" s="1"/>
  <c r="L35" i="87" s="1"/>
  <c r="L36" i="87" s="1"/>
  <c r="L37" i="87" s="1"/>
  <c r="L38" i="87" s="1"/>
  <c r="L39" i="87" s="1"/>
  <c r="L40" i="87" s="1"/>
  <c r="L41" i="87" s="1"/>
  <c r="L42" i="87" s="1"/>
  <c r="L43" i="87" s="1"/>
  <c r="L44" i="87" s="1"/>
  <c r="L45" i="87" s="1"/>
  <c r="L46" i="87" s="1"/>
  <c r="L47" i="87" s="1"/>
  <c r="L48" i="87" s="1"/>
  <c r="L49" i="87" s="1"/>
  <c r="L50" i="87" s="1"/>
  <c r="L51" i="87" s="1"/>
  <c r="L52" i="87" s="1"/>
  <c r="L53" i="87" s="1"/>
  <c r="L54" i="87" s="1"/>
  <c r="L55" i="87" s="1"/>
  <c r="L56" i="87" s="1"/>
  <c r="L57" i="87" s="1"/>
  <c r="L58" i="87" s="1"/>
  <c r="J11" i="87"/>
  <c r="I11" i="87"/>
  <c r="I12" i="87" s="1"/>
  <c r="I13" i="87" s="1"/>
  <c r="I14" i="87" s="1"/>
  <c r="I15" i="87" s="1"/>
  <c r="I16" i="87" s="1"/>
  <c r="I17" i="87" s="1"/>
  <c r="I18" i="87" s="1"/>
  <c r="I19" i="87" s="1"/>
  <c r="I20" i="87" s="1"/>
  <c r="I21" i="87" s="1"/>
  <c r="I22" i="87" s="1"/>
  <c r="I23" i="87" s="1"/>
  <c r="I24" i="87" s="1"/>
  <c r="I25" i="87" s="1"/>
  <c r="I26" i="87" s="1"/>
  <c r="I27" i="87" s="1"/>
  <c r="I28" i="87" s="1"/>
  <c r="I29" i="87" s="1"/>
  <c r="I30" i="87" s="1"/>
  <c r="I31" i="87" s="1"/>
  <c r="I32" i="87" s="1"/>
  <c r="I33" i="87" s="1"/>
  <c r="I34" i="87" s="1"/>
  <c r="I35" i="87" s="1"/>
  <c r="I36" i="87" s="1"/>
  <c r="I37" i="87" s="1"/>
  <c r="I38" i="87" s="1"/>
  <c r="I39" i="87" s="1"/>
  <c r="I40" i="87" s="1"/>
  <c r="I41" i="87" s="1"/>
  <c r="I42" i="87" s="1"/>
  <c r="I43" i="87" s="1"/>
  <c r="I44" i="87" s="1"/>
  <c r="I45" i="87" s="1"/>
  <c r="I46" i="87" s="1"/>
  <c r="I47" i="87" s="1"/>
  <c r="I48" i="87" s="1"/>
  <c r="I49" i="87" s="1"/>
  <c r="I50" i="87" s="1"/>
  <c r="I51" i="87" s="1"/>
  <c r="I52" i="87" s="1"/>
  <c r="I53" i="87" s="1"/>
  <c r="I54" i="87" s="1"/>
  <c r="I55" i="87" s="1"/>
  <c r="I56" i="87" s="1"/>
  <c r="I57" i="87" s="1"/>
  <c r="I58" i="87" s="1"/>
  <c r="Q202" i="89"/>
  <c r="Q201" i="89"/>
  <c r="Q200" i="89"/>
  <c r="Q199" i="89"/>
  <c r="Q198" i="89"/>
  <c r="Q197" i="89"/>
  <c r="Q196" i="89"/>
  <c r="Q195" i="89"/>
  <c r="Q194" i="89"/>
  <c r="Q193" i="89"/>
  <c r="Q192" i="89"/>
  <c r="Q191" i="89"/>
  <c r="Q190" i="89"/>
  <c r="Q189" i="89"/>
  <c r="Q188" i="89"/>
  <c r="Q187" i="89"/>
  <c r="Q186" i="89"/>
  <c r="Q185" i="89"/>
  <c r="Q184" i="89"/>
  <c r="Q183" i="89"/>
  <c r="Q182" i="89"/>
  <c r="Q181" i="89"/>
  <c r="Q180" i="89"/>
  <c r="Q179" i="89"/>
  <c r="Q178" i="89"/>
  <c r="Q177" i="89"/>
  <c r="Q176" i="89"/>
  <c r="Q175" i="89"/>
  <c r="Q174" i="89"/>
  <c r="Q173" i="89"/>
  <c r="Q172" i="89"/>
  <c r="Q171" i="89"/>
  <c r="Q170" i="89"/>
  <c r="Q169" i="89"/>
  <c r="Q168" i="89"/>
  <c r="Q167" i="89"/>
  <c r="Q166" i="89"/>
  <c r="Q165" i="89"/>
  <c r="Q164" i="89"/>
  <c r="Q163" i="89"/>
  <c r="Q162" i="89"/>
  <c r="Q161" i="89"/>
  <c r="Q160" i="89"/>
  <c r="Q159" i="89"/>
  <c r="Q158" i="89"/>
  <c r="Q157" i="89"/>
  <c r="Q156" i="89"/>
  <c r="Q155" i="89"/>
  <c r="Q154" i="89"/>
  <c r="Q153" i="89"/>
  <c r="Q152" i="89"/>
  <c r="Q151" i="89"/>
  <c r="Q150" i="89"/>
  <c r="Q149" i="89"/>
  <c r="Q148" i="89"/>
  <c r="Q147" i="89"/>
  <c r="Q146" i="89"/>
  <c r="Q145" i="89"/>
  <c r="Q144" i="89"/>
  <c r="Q143" i="89"/>
  <c r="Q142" i="89"/>
  <c r="Q141" i="89"/>
  <c r="Q140" i="89"/>
  <c r="Q139" i="89"/>
  <c r="Q138" i="89"/>
  <c r="Q137" i="89"/>
  <c r="Q136" i="89"/>
  <c r="Q135" i="89"/>
  <c r="Q134" i="89"/>
  <c r="Q133" i="89"/>
  <c r="Q132" i="89"/>
  <c r="Q131" i="89"/>
  <c r="Q130" i="89"/>
  <c r="Q129" i="89"/>
  <c r="Q128" i="89"/>
  <c r="Q127" i="89"/>
  <c r="Q126" i="89"/>
  <c r="Q125" i="89"/>
  <c r="Q124" i="89"/>
  <c r="Q123" i="89"/>
  <c r="Q122" i="89"/>
  <c r="Q121" i="89"/>
  <c r="Q120" i="89"/>
  <c r="Q119" i="89"/>
  <c r="Q118" i="89"/>
  <c r="Q117" i="89"/>
  <c r="Q116" i="89"/>
  <c r="Q115" i="89"/>
  <c r="Q114" i="89"/>
  <c r="Q113" i="89"/>
  <c r="Q112" i="89"/>
  <c r="Q111" i="89"/>
  <c r="Q110" i="89"/>
  <c r="Q109" i="89"/>
  <c r="Q108" i="89"/>
  <c r="Q107" i="89"/>
  <c r="Q106" i="89"/>
  <c r="D106" i="89"/>
  <c r="Q105" i="89"/>
  <c r="D105" i="89"/>
  <c r="Q104" i="89"/>
  <c r="D104" i="89"/>
  <c r="Q103" i="89"/>
  <c r="D103" i="89"/>
  <c r="Q102" i="89"/>
  <c r="D102" i="89"/>
  <c r="Q101" i="89"/>
  <c r="D101" i="89"/>
  <c r="Q100" i="89"/>
  <c r="D100" i="89"/>
  <c r="Q99" i="89"/>
  <c r="D99" i="89"/>
  <c r="Q98" i="89"/>
  <c r="D98" i="89"/>
  <c r="Q97" i="89"/>
  <c r="D97" i="89"/>
  <c r="Q96" i="89"/>
  <c r="D96" i="89"/>
  <c r="Q95" i="89"/>
  <c r="D95" i="89"/>
  <c r="Q94" i="89"/>
  <c r="D94" i="89"/>
  <c r="Q93" i="89"/>
  <c r="D93" i="89"/>
  <c r="Q92" i="89"/>
  <c r="D92" i="89"/>
  <c r="Q91" i="89"/>
  <c r="D91" i="89"/>
  <c r="Q90" i="89"/>
  <c r="D90" i="89"/>
  <c r="Q89" i="89"/>
  <c r="D89" i="89"/>
  <c r="Q88" i="89"/>
  <c r="D88" i="89"/>
  <c r="Q87" i="89"/>
  <c r="D87" i="89"/>
  <c r="Q86" i="89"/>
  <c r="D86" i="89"/>
  <c r="Q85" i="89"/>
  <c r="D85" i="89"/>
  <c r="Q84" i="89"/>
  <c r="D84" i="89"/>
  <c r="Q83" i="89"/>
  <c r="D83" i="89"/>
  <c r="Q82" i="89"/>
  <c r="D82" i="89"/>
  <c r="Q81" i="89"/>
  <c r="D81" i="89"/>
  <c r="Q80" i="89"/>
  <c r="D80" i="89"/>
  <c r="Q79" i="89"/>
  <c r="D79" i="89"/>
  <c r="Q78" i="89"/>
  <c r="D78" i="89"/>
  <c r="Q77" i="89"/>
  <c r="D77" i="89"/>
  <c r="Q76" i="89"/>
  <c r="D76" i="89"/>
  <c r="Q75" i="89"/>
  <c r="D75" i="89"/>
  <c r="Q74" i="89"/>
  <c r="D74" i="89"/>
  <c r="Q73" i="89"/>
  <c r="D73" i="89"/>
  <c r="Q72" i="89"/>
  <c r="D72" i="89"/>
  <c r="Q71" i="89"/>
  <c r="D71" i="89"/>
  <c r="Q70" i="89"/>
  <c r="D70" i="89"/>
  <c r="Q69" i="89"/>
  <c r="D69" i="89"/>
  <c r="Q68" i="89"/>
  <c r="D68" i="89"/>
  <c r="Q67" i="89"/>
  <c r="D67" i="89"/>
  <c r="Q66" i="89"/>
  <c r="D66" i="89"/>
  <c r="Q65" i="89"/>
  <c r="D65" i="89"/>
  <c r="Q64" i="89"/>
  <c r="D64" i="89"/>
  <c r="Q63" i="89"/>
  <c r="D63" i="89"/>
  <c r="Q62" i="89"/>
  <c r="D62" i="89"/>
  <c r="Q61" i="89"/>
  <c r="D61" i="89"/>
  <c r="Q60" i="89"/>
  <c r="D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B12" i="89"/>
  <c r="B13" i="89" s="1"/>
  <c r="B14" i="89" s="1"/>
  <c r="B15" i="89" s="1"/>
  <c r="B16" i="89" s="1"/>
  <c r="B17" i="89" s="1"/>
  <c r="B18" i="89" s="1"/>
  <c r="B19" i="89" s="1"/>
  <c r="B20" i="89" s="1"/>
  <c r="B21" i="89" s="1"/>
  <c r="B22" i="89" s="1"/>
  <c r="B23" i="89" s="1"/>
  <c r="B24" i="89" s="1"/>
  <c r="B25" i="89" s="1"/>
  <c r="B26" i="89" s="1"/>
  <c r="B27" i="89" s="1"/>
  <c r="B28" i="89" s="1"/>
  <c r="B29" i="89" s="1"/>
  <c r="B30" i="89" s="1"/>
  <c r="B31" i="89" s="1"/>
  <c r="B32" i="89" s="1"/>
  <c r="B33" i="89" s="1"/>
  <c r="B34" i="89" s="1"/>
  <c r="B35" i="89" s="1"/>
  <c r="B36" i="89" s="1"/>
  <c r="B37" i="89" s="1"/>
  <c r="B38" i="89" s="1"/>
  <c r="B39" i="89" s="1"/>
  <c r="B40" i="89" s="1"/>
  <c r="B41" i="89" s="1"/>
  <c r="B42" i="89" s="1"/>
  <c r="B43" i="89" s="1"/>
  <c r="B44" i="89" s="1"/>
  <c r="B45" i="89" s="1"/>
  <c r="B46" i="89" s="1"/>
  <c r="B47" i="89" s="1"/>
  <c r="B48" i="89" s="1"/>
  <c r="B49" i="89" s="1"/>
  <c r="B50" i="89" s="1"/>
  <c r="B51" i="89" s="1"/>
  <c r="B52" i="89" s="1"/>
  <c r="B53" i="89" s="1"/>
  <c r="B54" i="89" s="1"/>
  <c r="B55" i="89" s="1"/>
  <c r="B56" i="89" s="1"/>
  <c r="B57" i="89" s="1"/>
  <c r="B58" i="89" s="1"/>
  <c r="B59" i="89" s="1"/>
  <c r="B60" i="89" s="1"/>
  <c r="B61" i="89" s="1"/>
  <c r="B62" i="89" s="1"/>
  <c r="B63" i="89" s="1"/>
  <c r="B64" i="89" s="1"/>
  <c r="B65" i="89" s="1"/>
  <c r="B66" i="89" s="1"/>
  <c r="B67" i="89" s="1"/>
  <c r="B68" i="89" s="1"/>
  <c r="B69" i="89" s="1"/>
  <c r="B70" i="89" s="1"/>
  <c r="B71" i="89" s="1"/>
  <c r="B72" i="89" s="1"/>
  <c r="B73" i="89" s="1"/>
  <c r="B74" i="89" s="1"/>
  <c r="B75" i="89" s="1"/>
  <c r="B76" i="89" s="1"/>
  <c r="B77" i="89" s="1"/>
  <c r="B78" i="89" s="1"/>
  <c r="B79" i="89" s="1"/>
  <c r="B80" i="89" s="1"/>
  <c r="B81" i="89" s="1"/>
  <c r="B82" i="89" s="1"/>
  <c r="B83" i="89" s="1"/>
  <c r="B84" i="89" s="1"/>
  <c r="B85" i="89" s="1"/>
  <c r="B86" i="89" s="1"/>
  <c r="B87" i="89" s="1"/>
  <c r="B88" i="89" s="1"/>
  <c r="B89" i="89" s="1"/>
  <c r="B90" i="89" s="1"/>
  <c r="B91" i="89" s="1"/>
  <c r="B92" i="89" s="1"/>
  <c r="B93" i="89" s="1"/>
  <c r="B94" i="89" s="1"/>
  <c r="B95" i="89" s="1"/>
  <c r="B96" i="89" s="1"/>
  <c r="B97" i="89" s="1"/>
  <c r="B98" i="89" s="1"/>
  <c r="B99" i="89" s="1"/>
  <c r="B100" i="89" s="1"/>
  <c r="B101" i="89" s="1"/>
  <c r="B102" i="89" s="1"/>
  <c r="B103" i="89" s="1"/>
  <c r="B104" i="89" s="1"/>
  <c r="B105" i="89" s="1"/>
  <c r="B106" i="89" s="1"/>
  <c r="B107" i="89" s="1"/>
  <c r="B108" i="89" s="1"/>
  <c r="B109" i="89" s="1"/>
  <c r="B110" i="89" s="1"/>
  <c r="B111" i="89" s="1"/>
  <c r="B112" i="89" s="1"/>
  <c r="B113" i="89" s="1"/>
  <c r="B114" i="89" s="1"/>
  <c r="B115" i="89" s="1"/>
  <c r="B116" i="89" s="1"/>
  <c r="B117" i="89" s="1"/>
  <c r="B118" i="89" s="1"/>
  <c r="B119" i="89" s="1"/>
  <c r="B120" i="89" s="1"/>
  <c r="B121" i="89" s="1"/>
  <c r="B122" i="89" s="1"/>
  <c r="B123" i="89" s="1"/>
  <c r="B124" i="89" s="1"/>
  <c r="B125" i="89" s="1"/>
  <c r="B126" i="89" s="1"/>
  <c r="B127" i="89" s="1"/>
  <c r="B128" i="89" s="1"/>
  <c r="B129" i="89" s="1"/>
  <c r="B130" i="89" s="1"/>
  <c r="B131" i="89" s="1"/>
  <c r="B132" i="89" s="1"/>
  <c r="B133" i="89" s="1"/>
  <c r="B134" i="89" s="1"/>
  <c r="B135" i="89" s="1"/>
  <c r="B136" i="89" s="1"/>
  <c r="B137" i="89" s="1"/>
  <c r="B138" i="89" s="1"/>
  <c r="B139" i="89" s="1"/>
  <c r="B140" i="89" s="1"/>
  <c r="B141" i="89" s="1"/>
  <c r="B142" i="89" s="1"/>
  <c r="B143" i="89" s="1"/>
  <c r="B144" i="89" s="1"/>
  <c r="B145" i="89" s="1"/>
  <c r="B146" i="89" s="1"/>
  <c r="B147" i="89" s="1"/>
  <c r="B148" i="89" s="1"/>
  <c r="B149" i="89" s="1"/>
  <c r="B150" i="89" s="1"/>
  <c r="B151" i="89" s="1"/>
  <c r="B152" i="89" s="1"/>
  <c r="B153" i="89" s="1"/>
  <c r="B154" i="89" s="1"/>
  <c r="B155" i="89" s="1"/>
  <c r="B156" i="89" s="1"/>
  <c r="B157" i="89" s="1"/>
  <c r="B158" i="89" s="1"/>
  <c r="B159" i="89" s="1"/>
  <c r="B160" i="89" s="1"/>
  <c r="B161" i="89" s="1"/>
  <c r="B162" i="89" s="1"/>
  <c r="B163" i="89" s="1"/>
  <c r="B164" i="89" s="1"/>
  <c r="B165" i="89" s="1"/>
  <c r="B166" i="89" s="1"/>
  <c r="B167" i="89" s="1"/>
  <c r="B168" i="89" s="1"/>
  <c r="B169" i="89" s="1"/>
  <c r="B170" i="89" s="1"/>
  <c r="B171" i="89" s="1"/>
  <c r="B172" i="89" s="1"/>
  <c r="B173" i="89" s="1"/>
  <c r="B174" i="89" s="1"/>
  <c r="B175" i="89" s="1"/>
  <c r="B176" i="89" s="1"/>
  <c r="B177" i="89" s="1"/>
  <c r="B178" i="89" s="1"/>
  <c r="B179" i="89" s="1"/>
  <c r="B180" i="89" s="1"/>
  <c r="B181" i="89" s="1"/>
  <c r="B182" i="89" s="1"/>
  <c r="B183" i="89" s="1"/>
  <c r="B184" i="89" s="1"/>
  <c r="B185" i="89" s="1"/>
  <c r="B186" i="89" s="1"/>
  <c r="B187" i="89" s="1"/>
  <c r="B188" i="89" s="1"/>
  <c r="B189" i="89" s="1"/>
  <c r="B190" i="89" s="1"/>
  <c r="B191" i="89" s="1"/>
  <c r="B192" i="89" s="1"/>
  <c r="B193" i="89" s="1"/>
  <c r="B194" i="89" s="1"/>
  <c r="B195" i="89" s="1"/>
  <c r="B196" i="89" s="1"/>
  <c r="B197" i="89" s="1"/>
  <c r="B198" i="89" s="1"/>
  <c r="B199" i="89" s="1"/>
  <c r="B200" i="89" s="1"/>
  <c r="B201" i="89" s="1"/>
  <c r="B202" i="89" s="1"/>
  <c r="B203" i="89" s="1"/>
  <c r="B204" i="89" s="1"/>
  <c r="B205" i="89" s="1"/>
  <c r="B206" i="89" s="1"/>
  <c r="B207" i="89" s="1"/>
  <c r="B208" i="89" s="1"/>
  <c r="B209" i="89" s="1"/>
  <c r="B210" i="89" s="1"/>
  <c r="B211" i="89" s="1"/>
  <c r="B212" i="89" s="1"/>
  <c r="B213" i="89" s="1"/>
  <c r="B214" i="89" s="1"/>
  <c r="B215" i="89" s="1"/>
  <c r="B216" i="89" s="1"/>
  <c r="B217" i="89" s="1"/>
  <c r="B218" i="89" s="1"/>
  <c r="B219" i="89" s="1"/>
  <c r="B220" i="89" s="1"/>
  <c r="B221" i="89" s="1"/>
  <c r="B222" i="89" s="1"/>
  <c r="B223" i="89" s="1"/>
  <c r="B224" i="89" s="1"/>
  <c r="B225" i="89" s="1"/>
  <c r="B226" i="89" s="1"/>
  <c r="B227" i="89" s="1"/>
  <c r="B228" i="89" s="1"/>
  <c r="B229" i="89" s="1"/>
  <c r="B230" i="89" s="1"/>
  <c r="B231" i="89" s="1"/>
  <c r="B232" i="89" s="1"/>
  <c r="B233" i="89" s="1"/>
  <c r="B234" i="89" s="1"/>
  <c r="B235" i="89" s="1"/>
  <c r="B236" i="89" s="1"/>
  <c r="B237" i="89" s="1"/>
  <c r="B238" i="89" s="1"/>
  <c r="B239" i="89" s="1"/>
  <c r="B240" i="89" s="1"/>
  <c r="B241" i="89" s="1"/>
  <c r="B242" i="89" s="1"/>
  <c r="B243" i="89" s="1"/>
  <c r="B244" i="89" s="1"/>
  <c r="B245" i="89" s="1"/>
  <c r="B246" i="89" s="1"/>
  <c r="B247" i="89" s="1"/>
  <c r="B248" i="89" s="1"/>
  <c r="B249" i="89" s="1"/>
  <c r="B250" i="89" s="1"/>
  <c r="B10" i="89"/>
  <c r="Q202" i="87"/>
  <c r="Q201" i="87"/>
  <c r="Q200" i="87"/>
  <c r="Q199" i="87"/>
  <c r="Q198" i="87"/>
  <c r="Q197" i="87"/>
  <c r="Q196" i="87"/>
  <c r="Q195" i="87"/>
  <c r="Q194" i="87"/>
  <c r="Q193" i="87"/>
  <c r="Q192" i="87"/>
  <c r="Q191" i="87"/>
  <c r="Q190" i="87"/>
  <c r="Q189" i="87"/>
  <c r="Q188" i="87"/>
  <c r="Q187" i="87"/>
  <c r="Q186" i="87"/>
  <c r="Q185" i="87"/>
  <c r="Q184" i="87"/>
  <c r="Q183" i="87"/>
  <c r="Q182" i="87"/>
  <c r="Q181" i="87"/>
  <c r="Q180" i="87"/>
  <c r="Q179" i="87"/>
  <c r="Q178" i="87"/>
  <c r="Q177" i="87"/>
  <c r="Q176" i="87"/>
  <c r="Q175" i="87"/>
  <c r="Q174" i="87"/>
  <c r="Q173" i="87"/>
  <c r="Q172" i="87"/>
  <c r="Q171" i="87"/>
  <c r="Q170" i="87"/>
  <c r="Q169" i="87"/>
  <c r="Q168" i="87"/>
  <c r="Q167" i="87"/>
  <c r="Q166" i="87"/>
  <c r="Q165" i="87"/>
  <c r="Q164" i="87"/>
  <c r="Q163" i="87"/>
  <c r="Q162" i="87"/>
  <c r="Q161" i="87"/>
  <c r="Q160" i="87"/>
  <c r="Q159" i="87"/>
  <c r="Q158" i="87"/>
  <c r="Q157" i="87"/>
  <c r="Q156" i="87"/>
  <c r="Q155" i="87"/>
  <c r="Q154" i="87"/>
  <c r="Q153" i="87"/>
  <c r="Q152" i="87"/>
  <c r="Q151" i="87"/>
  <c r="Q150" i="87"/>
  <c r="Q149" i="87"/>
  <c r="Q148" i="87"/>
  <c r="Q147" i="87"/>
  <c r="Q146" i="87"/>
  <c r="Q145" i="87"/>
  <c r="Q144" i="87"/>
  <c r="Q143" i="87"/>
  <c r="Q142" i="87"/>
  <c r="Q141" i="87"/>
  <c r="Q140" i="87"/>
  <c r="Q139" i="87"/>
  <c r="Q138" i="87"/>
  <c r="Q137" i="87"/>
  <c r="Q136" i="87"/>
  <c r="Q135" i="87"/>
  <c r="Q134" i="87"/>
  <c r="Q133" i="87"/>
  <c r="Q132" i="87"/>
  <c r="Q131" i="87"/>
  <c r="Q130" i="87"/>
  <c r="Q129" i="87"/>
  <c r="Q128" i="87"/>
  <c r="Q127" i="87"/>
  <c r="Q126" i="87"/>
  <c r="Q125" i="87"/>
  <c r="Q124" i="87"/>
  <c r="Q123" i="87"/>
  <c r="Q122" i="87"/>
  <c r="Q121" i="87"/>
  <c r="Q120" i="87"/>
  <c r="Q119" i="87"/>
  <c r="Q118" i="87"/>
  <c r="Q117" i="87"/>
  <c r="Q116" i="87"/>
  <c r="Q115" i="87"/>
  <c r="Q114" i="87"/>
  <c r="Q113" i="87"/>
  <c r="Q112" i="87"/>
  <c r="Q111" i="87"/>
  <c r="Q110" i="87"/>
  <c r="Q109" i="87"/>
  <c r="Q108" i="87"/>
  <c r="Q107" i="87"/>
  <c r="Q106" i="87"/>
  <c r="D106" i="87"/>
  <c r="Q105" i="87"/>
  <c r="D105" i="87"/>
  <c r="Q104" i="87"/>
  <c r="D104" i="87"/>
  <c r="Q103" i="87"/>
  <c r="D103" i="87"/>
  <c r="Q102" i="87"/>
  <c r="D102" i="87"/>
  <c r="Q101" i="87"/>
  <c r="D101" i="87"/>
  <c r="Q100" i="87"/>
  <c r="D100" i="87"/>
  <c r="Q99" i="87"/>
  <c r="D99" i="87"/>
  <c r="Q98" i="87"/>
  <c r="D98" i="87"/>
  <c r="Q97" i="87"/>
  <c r="D97" i="87"/>
  <c r="Q96" i="87"/>
  <c r="D96" i="87"/>
  <c r="Q95" i="87"/>
  <c r="D95" i="87"/>
  <c r="Q94" i="87"/>
  <c r="D94" i="87"/>
  <c r="Q93" i="87"/>
  <c r="D93" i="87"/>
  <c r="Q92" i="87"/>
  <c r="D92" i="87"/>
  <c r="Q91" i="87"/>
  <c r="D91" i="87"/>
  <c r="Q90" i="87"/>
  <c r="D90" i="87"/>
  <c r="Q89" i="87"/>
  <c r="D89" i="87"/>
  <c r="Q88" i="87"/>
  <c r="D88" i="87"/>
  <c r="Q87" i="87"/>
  <c r="D87" i="87"/>
  <c r="Q86" i="87"/>
  <c r="D86" i="87"/>
  <c r="Q85" i="87"/>
  <c r="D85" i="87"/>
  <c r="Q84" i="87"/>
  <c r="D84" i="87"/>
  <c r="Q83" i="87"/>
  <c r="D83" i="87"/>
  <c r="Q82" i="87"/>
  <c r="D82" i="87"/>
  <c r="Q81" i="87"/>
  <c r="D81" i="87"/>
  <c r="Q80" i="87"/>
  <c r="D80" i="87"/>
  <c r="Q79" i="87"/>
  <c r="D79" i="87"/>
  <c r="Q78" i="87"/>
  <c r="D78" i="87"/>
  <c r="Q77" i="87"/>
  <c r="D77" i="87"/>
  <c r="Q76" i="87"/>
  <c r="D76" i="87"/>
  <c r="Q75" i="87"/>
  <c r="D75" i="87"/>
  <c r="Q74" i="87"/>
  <c r="D74" i="87"/>
  <c r="Q73" i="87"/>
  <c r="D73" i="87"/>
  <c r="Q72" i="87"/>
  <c r="D72" i="87"/>
  <c r="Q71" i="87"/>
  <c r="D71" i="87"/>
  <c r="Q70" i="87"/>
  <c r="D70" i="87"/>
  <c r="Q69" i="87"/>
  <c r="D69" i="87"/>
  <c r="Q68" i="87"/>
  <c r="D68" i="87"/>
  <c r="Q67" i="87"/>
  <c r="D67" i="87"/>
  <c r="Q66" i="87"/>
  <c r="D66" i="87"/>
  <c r="Q65" i="87"/>
  <c r="D65" i="87"/>
  <c r="Q64" i="87"/>
  <c r="D64" i="87"/>
  <c r="Q63" i="87"/>
  <c r="D63" i="87"/>
  <c r="Q62" i="87"/>
  <c r="D62" i="87"/>
  <c r="Q61" i="87"/>
  <c r="D61" i="87"/>
  <c r="Q60" i="87"/>
  <c r="D60" i="87"/>
  <c r="Q59" i="87"/>
  <c r="D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B12" i="87"/>
  <c r="B13" i="87" s="1"/>
  <c r="B14" i="87" s="1"/>
  <c r="B15" i="87" s="1"/>
  <c r="B16" i="87" s="1"/>
  <c r="B17" i="87" s="1"/>
  <c r="B18" i="87" s="1"/>
  <c r="B19" i="87" s="1"/>
  <c r="B20" i="87" s="1"/>
  <c r="B21" i="87" s="1"/>
  <c r="B22" i="87" s="1"/>
  <c r="B23" i="87" s="1"/>
  <c r="B24" i="87" s="1"/>
  <c r="B25" i="87" s="1"/>
  <c r="B26" i="87" s="1"/>
  <c r="B27" i="87" s="1"/>
  <c r="B28" i="87" s="1"/>
  <c r="B29" i="87" s="1"/>
  <c r="B30" i="87" s="1"/>
  <c r="B31" i="87" s="1"/>
  <c r="B32" i="87" s="1"/>
  <c r="B33" i="87" s="1"/>
  <c r="B34" i="87" s="1"/>
  <c r="B35" i="87" s="1"/>
  <c r="B36" i="87" s="1"/>
  <c r="B37" i="87" s="1"/>
  <c r="B38" i="87" s="1"/>
  <c r="B39" i="87" s="1"/>
  <c r="B40" i="87" s="1"/>
  <c r="B41" i="87" s="1"/>
  <c r="B42" i="87" s="1"/>
  <c r="B43" i="87" s="1"/>
  <c r="B44" i="87" s="1"/>
  <c r="B45" i="87" s="1"/>
  <c r="B46" i="87" s="1"/>
  <c r="B47" i="87" s="1"/>
  <c r="B48" i="87" s="1"/>
  <c r="B49" i="87" s="1"/>
  <c r="B50" i="87" s="1"/>
  <c r="B51" i="87" s="1"/>
  <c r="B52" i="87" s="1"/>
  <c r="B53" i="87" s="1"/>
  <c r="B54" i="87" s="1"/>
  <c r="B55" i="87" s="1"/>
  <c r="B56" i="87" s="1"/>
  <c r="B57" i="87" s="1"/>
  <c r="B58" i="87" s="1"/>
  <c r="B59" i="87" s="1"/>
  <c r="B60" i="87" s="1"/>
  <c r="B61" i="87" s="1"/>
  <c r="B62" i="87" s="1"/>
  <c r="B63" i="87" s="1"/>
  <c r="B64" i="87" s="1"/>
  <c r="B65" i="87" s="1"/>
  <c r="B66" i="87" s="1"/>
  <c r="B67" i="87" s="1"/>
  <c r="B68" i="87" s="1"/>
  <c r="B69" i="87" s="1"/>
  <c r="B70" i="87" s="1"/>
  <c r="B71" i="87" s="1"/>
  <c r="B72" i="87" s="1"/>
  <c r="B73" i="87" s="1"/>
  <c r="B74" i="87" s="1"/>
  <c r="B75" i="87" s="1"/>
  <c r="B76" i="87" s="1"/>
  <c r="B77" i="87" s="1"/>
  <c r="B78" i="87" s="1"/>
  <c r="B79" i="87" s="1"/>
  <c r="B80" i="87" s="1"/>
  <c r="B81" i="87" s="1"/>
  <c r="B82" i="87" s="1"/>
  <c r="B83" i="87" s="1"/>
  <c r="B84" i="87" s="1"/>
  <c r="B85" i="87" s="1"/>
  <c r="B86" i="87" s="1"/>
  <c r="B87" i="87" s="1"/>
  <c r="B88" i="87" s="1"/>
  <c r="B89" i="87" s="1"/>
  <c r="B90" i="87" s="1"/>
  <c r="B91" i="87" s="1"/>
  <c r="B92" i="87" s="1"/>
  <c r="B93" i="87" s="1"/>
  <c r="B94" i="87" s="1"/>
  <c r="B95" i="87" s="1"/>
  <c r="B96" i="87" s="1"/>
  <c r="B97" i="87" s="1"/>
  <c r="B98" i="87" s="1"/>
  <c r="B99" i="87" s="1"/>
  <c r="B100" i="87" s="1"/>
  <c r="B101" i="87" s="1"/>
  <c r="B102" i="87" s="1"/>
  <c r="B103" i="87" s="1"/>
  <c r="B104" i="87" s="1"/>
  <c r="B105" i="87" s="1"/>
  <c r="B106" i="87" s="1"/>
  <c r="B107" i="87" s="1"/>
  <c r="B108" i="87" s="1"/>
  <c r="B109" i="87" s="1"/>
  <c r="B110" i="87" s="1"/>
  <c r="B111" i="87" s="1"/>
  <c r="B112" i="87" s="1"/>
  <c r="B113" i="87" s="1"/>
  <c r="B114" i="87" s="1"/>
  <c r="B115" i="87" s="1"/>
  <c r="B116" i="87" s="1"/>
  <c r="B117" i="87" s="1"/>
  <c r="B118" i="87" s="1"/>
  <c r="B119" i="87" s="1"/>
  <c r="B120" i="87" s="1"/>
  <c r="B121" i="87" s="1"/>
  <c r="B122" i="87" s="1"/>
  <c r="B123" i="87" s="1"/>
  <c r="B124" i="87" s="1"/>
  <c r="B125" i="87" s="1"/>
  <c r="B126" i="87" s="1"/>
  <c r="B127" i="87" s="1"/>
  <c r="B128" i="87" s="1"/>
  <c r="B129" i="87" s="1"/>
  <c r="B130" i="87" s="1"/>
  <c r="B131" i="87" s="1"/>
  <c r="B132" i="87" s="1"/>
  <c r="B133" i="87" s="1"/>
  <c r="B134" i="87" s="1"/>
  <c r="B135" i="87" s="1"/>
  <c r="B136" i="87" s="1"/>
  <c r="B137" i="87" s="1"/>
  <c r="B138" i="87" s="1"/>
  <c r="B139" i="87" s="1"/>
  <c r="B140" i="87" s="1"/>
  <c r="B141" i="87" s="1"/>
  <c r="B142" i="87" s="1"/>
  <c r="B143" i="87" s="1"/>
  <c r="B144" i="87" s="1"/>
  <c r="B145" i="87" s="1"/>
  <c r="B146" i="87" s="1"/>
  <c r="B147" i="87" s="1"/>
  <c r="B148" i="87" s="1"/>
  <c r="B149" i="87" s="1"/>
  <c r="B150" i="87" s="1"/>
  <c r="B151" i="87" s="1"/>
  <c r="B152" i="87" s="1"/>
  <c r="B153" i="87" s="1"/>
  <c r="B154" i="87" s="1"/>
  <c r="B155" i="87" s="1"/>
  <c r="B156" i="87" s="1"/>
  <c r="B157" i="87" s="1"/>
  <c r="B158" i="87" s="1"/>
  <c r="B159" i="87" s="1"/>
  <c r="B160" i="87" s="1"/>
  <c r="B161" i="87" s="1"/>
  <c r="B162" i="87" s="1"/>
  <c r="B163" i="87" s="1"/>
  <c r="B164" i="87" s="1"/>
  <c r="B165" i="87" s="1"/>
  <c r="B166" i="87" s="1"/>
  <c r="B167" i="87" s="1"/>
  <c r="B168" i="87" s="1"/>
  <c r="B169" i="87" s="1"/>
  <c r="B170" i="87" s="1"/>
  <c r="B171" i="87" s="1"/>
  <c r="B172" i="87" s="1"/>
  <c r="B173" i="87" s="1"/>
  <c r="B174" i="87" s="1"/>
  <c r="B175" i="87" s="1"/>
  <c r="B176" i="87" s="1"/>
  <c r="B177" i="87" s="1"/>
  <c r="B178" i="87" s="1"/>
  <c r="B179" i="87" s="1"/>
  <c r="B180" i="87" s="1"/>
  <c r="B181" i="87" s="1"/>
  <c r="B182" i="87" s="1"/>
  <c r="B183" i="87" s="1"/>
  <c r="B184" i="87" s="1"/>
  <c r="B185" i="87" s="1"/>
  <c r="B186" i="87" s="1"/>
  <c r="B187" i="87" s="1"/>
  <c r="B188" i="87" s="1"/>
  <c r="B189" i="87" s="1"/>
  <c r="B190" i="87" s="1"/>
  <c r="B191" i="87" s="1"/>
  <c r="B192" i="87" s="1"/>
  <c r="B193" i="87" s="1"/>
  <c r="B194" i="87" s="1"/>
  <c r="B195" i="87" s="1"/>
  <c r="B196" i="87" s="1"/>
  <c r="B197" i="87" s="1"/>
  <c r="B198" i="87" s="1"/>
  <c r="B199" i="87" s="1"/>
  <c r="B200" i="87" s="1"/>
  <c r="B201" i="87" s="1"/>
  <c r="B202" i="87" s="1"/>
  <c r="B203" i="87" s="1"/>
  <c r="B204" i="87" s="1"/>
  <c r="B205" i="87" s="1"/>
  <c r="B206" i="87" s="1"/>
  <c r="B207" i="87" s="1"/>
  <c r="B208" i="87" s="1"/>
  <c r="B209" i="87" s="1"/>
  <c r="B210" i="87" s="1"/>
  <c r="B211" i="87" s="1"/>
  <c r="B212" i="87" s="1"/>
  <c r="B213" i="87" s="1"/>
  <c r="B214" i="87" s="1"/>
  <c r="B215" i="87" s="1"/>
  <c r="B216" i="87" s="1"/>
  <c r="B217" i="87" s="1"/>
  <c r="B218" i="87" s="1"/>
  <c r="B219" i="87" s="1"/>
  <c r="B220" i="87" s="1"/>
  <c r="B221" i="87" s="1"/>
  <c r="B222" i="87" s="1"/>
  <c r="B223" i="87" s="1"/>
  <c r="B224" i="87" s="1"/>
  <c r="B225" i="87" s="1"/>
  <c r="B226" i="87" s="1"/>
  <c r="B227" i="87" s="1"/>
  <c r="B228" i="87" s="1"/>
  <c r="B229" i="87" s="1"/>
  <c r="B230" i="87" s="1"/>
  <c r="B231" i="87" s="1"/>
  <c r="B232" i="87" s="1"/>
  <c r="B233" i="87" s="1"/>
  <c r="B234" i="87" s="1"/>
  <c r="B235" i="87" s="1"/>
  <c r="B236" i="87" s="1"/>
  <c r="B237" i="87" s="1"/>
  <c r="B238" i="87" s="1"/>
  <c r="B239" i="87" s="1"/>
  <c r="B240" i="87" s="1"/>
  <c r="B241" i="87" s="1"/>
  <c r="B242" i="87" s="1"/>
  <c r="B243" i="87" s="1"/>
  <c r="B244" i="87" s="1"/>
  <c r="B245" i="87" s="1"/>
  <c r="B246" i="87" s="1"/>
  <c r="B247" i="87" s="1"/>
  <c r="B248" i="87" s="1"/>
  <c r="B249" i="87" s="1"/>
  <c r="B250" i="87" s="1"/>
  <c r="B10" i="87"/>
  <c r="J113" i="56"/>
  <c r="J114" i="56" s="1"/>
  <c r="J115" i="56" s="1"/>
  <c r="J116" i="56" s="1"/>
  <c r="J117" i="56" s="1"/>
  <c r="J118" i="56" s="1"/>
  <c r="J107" i="56"/>
  <c r="J108" i="56" s="1"/>
  <c r="J109" i="56" s="1"/>
  <c r="J110" i="56" s="1"/>
  <c r="J111" i="56" s="1"/>
  <c r="J112" i="56" s="1"/>
  <c r="J106" i="56"/>
  <c r="J105" i="56"/>
  <c r="J104" i="56"/>
  <c r="J103" i="56"/>
  <c r="J102" i="56"/>
  <c r="J101" i="56"/>
  <c r="J95" i="56"/>
  <c r="J96" i="56" s="1"/>
  <c r="J97" i="56" s="1"/>
  <c r="J98" i="56" s="1"/>
  <c r="J99" i="56" s="1"/>
  <c r="J100" i="56" s="1"/>
  <c r="J89" i="56"/>
  <c r="J90" i="56" s="1"/>
  <c r="J91" i="56" s="1"/>
  <c r="J92" i="56" s="1"/>
  <c r="J93" i="56" s="1"/>
  <c r="J94" i="56" s="1"/>
  <c r="J88" i="56"/>
  <c r="J87" i="56"/>
  <c r="J86" i="56"/>
  <c r="J85" i="56"/>
  <c r="J84" i="56"/>
  <c r="J83" i="56"/>
  <c r="J77" i="56"/>
  <c r="J78" i="56" s="1"/>
  <c r="J79" i="56" s="1"/>
  <c r="J80" i="56" s="1"/>
  <c r="J81" i="56" s="1"/>
  <c r="J82" i="56" s="1"/>
  <c r="J71" i="56"/>
  <c r="J72" i="56" s="1"/>
  <c r="J73" i="56" s="1"/>
  <c r="J74" i="56" s="1"/>
  <c r="J75" i="56" s="1"/>
  <c r="J76" i="56" s="1"/>
  <c r="J70" i="56"/>
  <c r="J69" i="56"/>
  <c r="J68" i="56"/>
  <c r="J67" i="56"/>
  <c r="J66" i="56"/>
  <c r="J65" i="56"/>
  <c r="J59" i="56"/>
  <c r="J60" i="56" s="1"/>
  <c r="J61" i="56" s="1"/>
  <c r="J62" i="56" s="1"/>
  <c r="J63" i="56" s="1"/>
  <c r="J64" i="56" s="1"/>
  <c r="J53" i="56"/>
  <c r="J54" i="56" s="1"/>
  <c r="J55" i="56" s="1"/>
  <c r="J56" i="56" s="1"/>
  <c r="J57" i="56" s="1"/>
  <c r="J58" i="56" s="1"/>
  <c r="J52" i="56"/>
  <c r="J51" i="56"/>
  <c r="J50" i="56"/>
  <c r="J49" i="56"/>
  <c r="J48" i="56"/>
  <c r="J47" i="56"/>
  <c r="M29" i="56"/>
  <c r="J41" i="56"/>
  <c r="J42" i="56" s="1"/>
  <c r="J43" i="56" s="1"/>
  <c r="J44" i="56" s="1"/>
  <c r="J45" i="56" s="1"/>
  <c r="J46" i="56" s="1"/>
  <c r="J35" i="56"/>
  <c r="J36" i="56" s="1"/>
  <c r="J37" i="56" s="1"/>
  <c r="J38" i="56" s="1"/>
  <c r="J39" i="56" s="1"/>
  <c r="J40" i="56" s="1"/>
  <c r="J34" i="56"/>
  <c r="J33" i="56"/>
  <c r="J32" i="56"/>
  <c r="J31" i="56"/>
  <c r="J30" i="56"/>
  <c r="J29" i="56"/>
  <c r="J23" i="56"/>
  <c r="J24" i="56" s="1"/>
  <c r="J25" i="56" s="1"/>
  <c r="J26" i="56" s="1"/>
  <c r="J27" i="56" s="1"/>
  <c r="J28" i="56" s="1"/>
  <c r="J17" i="56"/>
  <c r="J18" i="56" s="1"/>
  <c r="J19" i="56" s="1"/>
  <c r="J20" i="56" s="1"/>
  <c r="J21" i="56" s="1"/>
  <c r="J22" i="56" s="1"/>
  <c r="M11" i="86"/>
  <c r="M12" i="86" s="1"/>
  <c r="M13" i="86" s="1"/>
  <c r="M14" i="86" s="1"/>
  <c r="M15" i="86" s="1"/>
  <c r="M16" i="86" s="1"/>
  <c r="M17" i="86" s="1"/>
  <c r="M18" i="86" s="1"/>
  <c r="M19" i="86" s="1"/>
  <c r="M20" i="86" s="1"/>
  <c r="M21" i="86" s="1"/>
  <c r="M22" i="86" s="1"/>
  <c r="M23" i="86" s="1"/>
  <c r="M24" i="86" s="1"/>
  <c r="M25" i="86" s="1"/>
  <c r="M26" i="86" s="1"/>
  <c r="M27" i="86" s="1"/>
  <c r="M28" i="86" s="1"/>
  <c r="J28" i="86"/>
  <c r="J27" i="86"/>
  <c r="J26" i="86"/>
  <c r="J25" i="86"/>
  <c r="J24" i="86"/>
  <c r="J23" i="86"/>
  <c r="J22" i="86"/>
  <c r="J21" i="86"/>
  <c r="J20" i="86"/>
  <c r="J19" i="86"/>
  <c r="J18" i="86"/>
  <c r="J17" i="86"/>
  <c r="J16" i="86"/>
  <c r="J15" i="86"/>
  <c r="J14" i="86"/>
  <c r="J13" i="86"/>
  <c r="J12" i="86"/>
  <c r="B12" i="86"/>
  <c r="B13" i="86" s="1"/>
  <c r="B14" i="86" s="1"/>
  <c r="B15" i="86" s="1"/>
  <c r="B16" i="86" s="1"/>
  <c r="B17" i="86" s="1"/>
  <c r="B18" i="86" s="1"/>
  <c r="B19" i="86" s="1"/>
  <c r="B20" i="86" s="1"/>
  <c r="B21" i="86" s="1"/>
  <c r="B22" i="86" s="1"/>
  <c r="B23" i="86" s="1"/>
  <c r="B24" i="86" s="1"/>
  <c r="B25" i="86" s="1"/>
  <c r="B26" i="86" s="1"/>
  <c r="B27" i="86" s="1"/>
  <c r="B28" i="86" s="1"/>
  <c r="N11" i="86"/>
  <c r="N12" i="86" s="1"/>
  <c r="N13" i="86" s="1"/>
  <c r="N14" i="86" s="1"/>
  <c r="N15" i="86" s="1"/>
  <c r="N16" i="86" s="1"/>
  <c r="N17" i="86" s="1"/>
  <c r="L11" i="86"/>
  <c r="L12" i="86" s="1"/>
  <c r="L13" i="86" s="1"/>
  <c r="L14" i="86" s="1"/>
  <c r="L15" i="86" s="1"/>
  <c r="L16" i="86" s="1"/>
  <c r="J11" i="86"/>
  <c r="I11" i="86"/>
  <c r="I12" i="86" s="1"/>
  <c r="I13" i="86" s="1"/>
  <c r="I14" i="86" s="1"/>
  <c r="I15" i="86" s="1"/>
  <c r="I16" i="86" s="1"/>
  <c r="I17" i="86" s="1"/>
  <c r="F11" i="86"/>
  <c r="B10" i="86"/>
  <c r="J29" i="54"/>
  <c r="J30" i="54" s="1"/>
  <c r="J31" i="54" s="1"/>
  <c r="J32" i="54" s="1"/>
  <c r="J33" i="54" s="1"/>
  <c r="J34" i="54" s="1"/>
  <c r="J23" i="54"/>
  <c r="J24" i="54" s="1"/>
  <c r="J25" i="54" s="1"/>
  <c r="J26" i="54" s="1"/>
  <c r="J27" i="54" s="1"/>
  <c r="J28" i="54" s="1"/>
  <c r="M155" i="53"/>
  <c r="M156" i="53" s="1"/>
  <c r="M157" i="53" s="1"/>
  <c r="M158" i="53" s="1"/>
  <c r="M159" i="53" s="1"/>
  <c r="M160" i="53" s="1"/>
  <c r="M161" i="53" s="1"/>
  <c r="M162" i="53" s="1"/>
  <c r="M163" i="53" s="1"/>
  <c r="M164" i="53" s="1"/>
  <c r="M165" i="53" s="1"/>
  <c r="M166" i="53" s="1"/>
  <c r="M167" i="53" s="1"/>
  <c r="M168" i="53" s="1"/>
  <c r="M169" i="53" s="1"/>
  <c r="M170" i="53" s="1"/>
  <c r="M171" i="53" s="1"/>
  <c r="M172" i="53" s="1"/>
  <c r="M173" i="53" s="1"/>
  <c r="M174" i="53" s="1"/>
  <c r="M175" i="53" s="1"/>
  <c r="M176" i="53" s="1"/>
  <c r="M177" i="53" s="1"/>
  <c r="M178" i="53" s="1"/>
  <c r="M179" i="53" s="1"/>
  <c r="M180" i="53" s="1"/>
  <c r="M181" i="53" s="1"/>
  <c r="M182" i="53" s="1"/>
  <c r="M183" i="53" s="1"/>
  <c r="M184" i="53" s="1"/>
  <c r="M185" i="53" s="1"/>
  <c r="M186" i="53" s="1"/>
  <c r="M187" i="53" s="1"/>
  <c r="M188" i="53" s="1"/>
  <c r="M189" i="53" s="1"/>
  <c r="M190" i="53" s="1"/>
  <c r="M191" i="53" s="1"/>
  <c r="M192" i="53" s="1"/>
  <c r="M193" i="53" s="1"/>
  <c r="M194" i="53" s="1"/>
  <c r="M195" i="53" s="1"/>
  <c r="M196" i="53" s="1"/>
  <c r="M197" i="53" s="1"/>
  <c r="M198" i="53" s="1"/>
  <c r="M199" i="53" s="1"/>
  <c r="M200" i="53" s="1"/>
  <c r="M201" i="53" s="1"/>
  <c r="M202" i="53" s="1"/>
  <c r="M203" i="53" s="1"/>
  <c r="M204" i="53" s="1"/>
  <c r="M205" i="53" s="1"/>
  <c r="M206" i="53" s="1"/>
  <c r="M207" i="53" s="1"/>
  <c r="M208" i="53" s="1"/>
  <c r="M209" i="53" s="1"/>
  <c r="M210" i="53" s="1"/>
  <c r="M211" i="53" s="1"/>
  <c r="M212" i="53" s="1"/>
  <c r="M213" i="53" s="1"/>
  <c r="M214" i="53" s="1"/>
  <c r="M215" i="53" s="1"/>
  <c r="M216" i="53" s="1"/>
  <c r="M217" i="53" s="1"/>
  <c r="M218" i="53" s="1"/>
  <c r="M219" i="53" s="1"/>
  <c r="M220" i="53" s="1"/>
  <c r="M221" i="53" s="1"/>
  <c r="M222" i="53" s="1"/>
  <c r="M223" i="53" s="1"/>
  <c r="M224" i="53" s="1"/>
  <c r="M225" i="53" s="1"/>
  <c r="M226" i="53" s="1"/>
  <c r="L155" i="53"/>
  <c r="L156" i="53" s="1"/>
  <c r="L157" i="53" s="1"/>
  <c r="L158" i="53" s="1"/>
  <c r="L159" i="53" s="1"/>
  <c r="L160" i="53" s="1"/>
  <c r="L161" i="53" s="1"/>
  <c r="L162" i="53" s="1"/>
  <c r="L163" i="53" s="1"/>
  <c r="L164" i="53" s="1"/>
  <c r="L165" i="53" s="1"/>
  <c r="L166" i="53" s="1"/>
  <c r="L167" i="53" s="1"/>
  <c r="L168" i="53" s="1"/>
  <c r="L169" i="53" s="1"/>
  <c r="L170" i="53" s="1"/>
  <c r="L171" i="53" s="1"/>
  <c r="L172" i="53" s="1"/>
  <c r="L173" i="53" s="1"/>
  <c r="L174" i="53" s="1"/>
  <c r="L175" i="53" s="1"/>
  <c r="L176" i="53" s="1"/>
  <c r="L177" i="53" s="1"/>
  <c r="L178" i="53" s="1"/>
  <c r="L179" i="53" s="1"/>
  <c r="L180" i="53" s="1"/>
  <c r="L181" i="53" s="1"/>
  <c r="L182" i="53" s="1"/>
  <c r="L183" i="53" s="1"/>
  <c r="L184" i="53" s="1"/>
  <c r="L185" i="53" s="1"/>
  <c r="L186" i="53" s="1"/>
  <c r="L187" i="53" s="1"/>
  <c r="L188" i="53" s="1"/>
  <c r="L189" i="53" s="1"/>
  <c r="L190" i="53" s="1"/>
  <c r="L191" i="53" s="1"/>
  <c r="L192" i="53" s="1"/>
  <c r="L193" i="53" s="1"/>
  <c r="L194" i="53" s="1"/>
  <c r="L195" i="53" s="1"/>
  <c r="L196" i="53" s="1"/>
  <c r="L197" i="53" s="1"/>
  <c r="L198" i="53" s="1"/>
  <c r="L199" i="53" s="1"/>
  <c r="L200" i="53" s="1"/>
  <c r="L201" i="53" s="1"/>
  <c r="L202" i="53" s="1"/>
  <c r="L203" i="53" s="1"/>
  <c r="L204" i="53" s="1"/>
  <c r="L205" i="53" s="1"/>
  <c r="L206" i="53" s="1"/>
  <c r="L207" i="53" s="1"/>
  <c r="L208" i="53" s="1"/>
  <c r="L209" i="53" s="1"/>
  <c r="L210" i="53" s="1"/>
  <c r="L211" i="53" s="1"/>
  <c r="L212" i="53" s="1"/>
  <c r="L213" i="53" s="1"/>
  <c r="L214" i="53" s="1"/>
  <c r="L215" i="53" s="1"/>
  <c r="L216" i="53" s="1"/>
  <c r="L217" i="53" s="1"/>
  <c r="L218" i="53" s="1"/>
  <c r="L219" i="53" s="1"/>
  <c r="L220" i="53" s="1"/>
  <c r="L221" i="53" s="1"/>
  <c r="L222" i="53" s="1"/>
  <c r="L223" i="53" s="1"/>
  <c r="L224" i="53" s="1"/>
  <c r="L225" i="53" s="1"/>
  <c r="L226" i="53" s="1"/>
  <c r="I155" i="53"/>
  <c r="I156" i="53" s="1"/>
  <c r="I157" i="53" s="1"/>
  <c r="I158" i="53" s="1"/>
  <c r="I159" i="53" s="1"/>
  <c r="I160" i="53" s="1"/>
  <c r="I161" i="53" s="1"/>
  <c r="I162" i="53" s="1"/>
  <c r="I163" i="53" s="1"/>
  <c r="I164" i="53" s="1"/>
  <c r="I165" i="53" s="1"/>
  <c r="I166" i="53" s="1"/>
  <c r="I167" i="53" s="1"/>
  <c r="I168" i="53" s="1"/>
  <c r="I169" i="53" s="1"/>
  <c r="I170" i="53" s="1"/>
  <c r="I171" i="53" s="1"/>
  <c r="I172" i="53" s="1"/>
  <c r="I173" i="53" s="1"/>
  <c r="I174" i="53" s="1"/>
  <c r="I175" i="53" s="1"/>
  <c r="I176" i="53" s="1"/>
  <c r="I177" i="53" s="1"/>
  <c r="I178" i="53" s="1"/>
  <c r="I179" i="53" s="1"/>
  <c r="I180" i="53" s="1"/>
  <c r="I181" i="53" s="1"/>
  <c r="I182" i="53" s="1"/>
  <c r="I183" i="53" s="1"/>
  <c r="I184" i="53" s="1"/>
  <c r="I185" i="53" s="1"/>
  <c r="I186" i="53" s="1"/>
  <c r="I187" i="53" s="1"/>
  <c r="I188" i="53" s="1"/>
  <c r="I189" i="53" s="1"/>
  <c r="I190" i="53" s="1"/>
  <c r="I191" i="53" s="1"/>
  <c r="I192" i="53" s="1"/>
  <c r="I193" i="53" s="1"/>
  <c r="I194" i="53" s="1"/>
  <c r="I195" i="53" s="1"/>
  <c r="I196" i="53" s="1"/>
  <c r="I197" i="53" s="1"/>
  <c r="I198" i="53" s="1"/>
  <c r="I199" i="53" s="1"/>
  <c r="I200" i="53" s="1"/>
  <c r="I201" i="53" s="1"/>
  <c r="I202" i="53" s="1"/>
  <c r="I203" i="53" s="1"/>
  <c r="I204" i="53" s="1"/>
  <c r="I205" i="53" s="1"/>
  <c r="I206" i="53" s="1"/>
  <c r="I207" i="53" s="1"/>
  <c r="I208" i="53" s="1"/>
  <c r="I209" i="53" s="1"/>
  <c r="I210" i="53" s="1"/>
  <c r="I211" i="53" s="1"/>
  <c r="I212" i="53" s="1"/>
  <c r="I213" i="53" s="1"/>
  <c r="I214" i="53" s="1"/>
  <c r="I215" i="53" s="1"/>
  <c r="I216" i="53" s="1"/>
  <c r="I217" i="53" s="1"/>
  <c r="I218" i="53" s="1"/>
  <c r="I219" i="53" s="1"/>
  <c r="I220" i="53" s="1"/>
  <c r="I221" i="53" s="1"/>
  <c r="I222" i="53" s="1"/>
  <c r="I223" i="53" s="1"/>
  <c r="I224" i="53" s="1"/>
  <c r="I225" i="53" s="1"/>
  <c r="I226" i="53" s="1"/>
  <c r="F155" i="53"/>
  <c r="M83" i="53"/>
  <c r="L83" i="53"/>
  <c r="L84" i="53" s="1"/>
  <c r="L85" i="53" s="1"/>
  <c r="L86" i="53" s="1"/>
  <c r="L87" i="53" s="1"/>
  <c r="L88" i="53" s="1"/>
  <c r="L89" i="53" s="1"/>
  <c r="L90" i="53" s="1"/>
  <c r="L91" i="53" s="1"/>
  <c r="L92" i="53" s="1"/>
  <c r="L93" i="53" s="1"/>
  <c r="L94" i="53" s="1"/>
  <c r="L95" i="53" s="1"/>
  <c r="L96" i="53" s="1"/>
  <c r="L97" i="53" s="1"/>
  <c r="L98" i="53" s="1"/>
  <c r="L99" i="53" s="1"/>
  <c r="L100" i="53" s="1"/>
  <c r="L101" i="53" s="1"/>
  <c r="L102" i="53" s="1"/>
  <c r="L103" i="53" s="1"/>
  <c r="L104" i="53" s="1"/>
  <c r="L105" i="53" s="1"/>
  <c r="L106" i="53" s="1"/>
  <c r="L107" i="53" s="1"/>
  <c r="L108" i="53" s="1"/>
  <c r="L109" i="53" s="1"/>
  <c r="L110" i="53" s="1"/>
  <c r="L111" i="53" s="1"/>
  <c r="L112" i="53" s="1"/>
  <c r="L113" i="53" s="1"/>
  <c r="L114" i="53" s="1"/>
  <c r="L115" i="53" s="1"/>
  <c r="L116" i="53" s="1"/>
  <c r="L117" i="53" s="1"/>
  <c r="L118" i="53" s="1"/>
  <c r="L119" i="53" s="1"/>
  <c r="L120" i="53" s="1"/>
  <c r="L121" i="53" s="1"/>
  <c r="L122" i="53" s="1"/>
  <c r="L123" i="53" s="1"/>
  <c r="L124" i="53" s="1"/>
  <c r="L125" i="53" s="1"/>
  <c r="L126" i="53" s="1"/>
  <c r="L127" i="53" s="1"/>
  <c r="L128" i="53" s="1"/>
  <c r="L129" i="53" s="1"/>
  <c r="L130" i="53" s="1"/>
  <c r="L131" i="53" s="1"/>
  <c r="L132" i="53" s="1"/>
  <c r="L133" i="53" s="1"/>
  <c r="L134" i="53" s="1"/>
  <c r="L135" i="53" s="1"/>
  <c r="L136" i="53" s="1"/>
  <c r="L137" i="53" s="1"/>
  <c r="L138" i="53" s="1"/>
  <c r="L139" i="53" s="1"/>
  <c r="L140" i="53" s="1"/>
  <c r="L141" i="53" s="1"/>
  <c r="L142" i="53" s="1"/>
  <c r="L143" i="53" s="1"/>
  <c r="L144" i="53" s="1"/>
  <c r="L145" i="53" s="1"/>
  <c r="L146" i="53" s="1"/>
  <c r="L147" i="53" s="1"/>
  <c r="L148" i="53" s="1"/>
  <c r="L149" i="53" s="1"/>
  <c r="L150" i="53" s="1"/>
  <c r="L151" i="53" s="1"/>
  <c r="L152" i="53" s="1"/>
  <c r="L153" i="53" s="1"/>
  <c r="L154" i="53" s="1"/>
  <c r="I83" i="53"/>
  <c r="I84" i="53" s="1"/>
  <c r="I85" i="53" s="1"/>
  <c r="I86" i="53" s="1"/>
  <c r="I87" i="53" s="1"/>
  <c r="I88" i="53" s="1"/>
  <c r="I89" i="53" s="1"/>
  <c r="I90" i="53" s="1"/>
  <c r="I91" i="53" s="1"/>
  <c r="I92" i="53" s="1"/>
  <c r="I93" i="53" s="1"/>
  <c r="I94" i="53" s="1"/>
  <c r="I95" i="53" s="1"/>
  <c r="I96" i="53" s="1"/>
  <c r="I97" i="53" s="1"/>
  <c r="I98" i="53" s="1"/>
  <c r="I99" i="53" s="1"/>
  <c r="I100" i="53" s="1"/>
  <c r="I101" i="53" s="1"/>
  <c r="I102" i="53" s="1"/>
  <c r="I103" i="53" s="1"/>
  <c r="I104" i="53" s="1"/>
  <c r="I105" i="53" s="1"/>
  <c r="I106" i="53" s="1"/>
  <c r="I107" i="53" s="1"/>
  <c r="I108" i="53" s="1"/>
  <c r="I109" i="53" s="1"/>
  <c r="I110" i="53" s="1"/>
  <c r="I111" i="53" s="1"/>
  <c r="I112" i="53" s="1"/>
  <c r="I113" i="53" s="1"/>
  <c r="I114" i="53" s="1"/>
  <c r="I115" i="53" s="1"/>
  <c r="I116" i="53" s="1"/>
  <c r="I117" i="53" s="1"/>
  <c r="I118" i="53" s="1"/>
  <c r="I119" i="53" s="1"/>
  <c r="I120" i="53" s="1"/>
  <c r="I121" i="53" s="1"/>
  <c r="I122" i="53" s="1"/>
  <c r="I123" i="53" s="1"/>
  <c r="I124" i="53" s="1"/>
  <c r="I125" i="53" s="1"/>
  <c r="I126" i="53" s="1"/>
  <c r="I127" i="53" s="1"/>
  <c r="I128" i="53" s="1"/>
  <c r="I129" i="53" s="1"/>
  <c r="I130" i="53" s="1"/>
  <c r="I131" i="53" s="1"/>
  <c r="I132" i="53" s="1"/>
  <c r="I133" i="53" s="1"/>
  <c r="I134" i="53" s="1"/>
  <c r="I135" i="53" s="1"/>
  <c r="I136" i="53" s="1"/>
  <c r="I137" i="53" s="1"/>
  <c r="I138" i="53" s="1"/>
  <c r="I139" i="53" s="1"/>
  <c r="I140" i="53" s="1"/>
  <c r="I141" i="53" s="1"/>
  <c r="I142" i="53" s="1"/>
  <c r="I143" i="53" s="1"/>
  <c r="I144" i="53" s="1"/>
  <c r="I145" i="53" s="1"/>
  <c r="I146" i="53" s="1"/>
  <c r="I147" i="53" s="1"/>
  <c r="I148" i="53" s="1"/>
  <c r="I149" i="53" s="1"/>
  <c r="I150" i="53" s="1"/>
  <c r="I151" i="53" s="1"/>
  <c r="I152" i="53" s="1"/>
  <c r="I153" i="53" s="1"/>
  <c r="I154" i="53" s="1"/>
  <c r="F83" i="53"/>
  <c r="F84" i="53" s="1"/>
  <c r="H84" i="53" s="1"/>
  <c r="J17" i="53"/>
  <c r="J23" i="53" s="1"/>
  <c r="J29" i="53" s="1"/>
  <c r="J35" i="53" s="1"/>
  <c r="J41" i="53" s="1"/>
  <c r="J47" i="53" s="1"/>
  <c r="J53" i="53" s="1"/>
  <c r="J59" i="53" s="1"/>
  <c r="J65" i="53" s="1"/>
  <c r="J71" i="53" s="1"/>
  <c r="J77" i="53" s="1"/>
  <c r="J83" i="53" s="1"/>
  <c r="J89" i="53" s="1"/>
  <c r="J95" i="53" s="1"/>
  <c r="J101" i="53" s="1"/>
  <c r="J107" i="53" s="1"/>
  <c r="J113" i="53" s="1"/>
  <c r="J119" i="53" s="1"/>
  <c r="J125" i="53" s="1"/>
  <c r="J131" i="53" s="1"/>
  <c r="J137" i="53" s="1"/>
  <c r="J143" i="53" s="1"/>
  <c r="J149" i="53" s="1"/>
  <c r="J155" i="53" s="1"/>
  <c r="J161" i="53" s="1"/>
  <c r="J167" i="53" s="1"/>
  <c r="J173" i="53" s="1"/>
  <c r="J179" i="53" s="1"/>
  <c r="J185" i="53" s="1"/>
  <c r="J191" i="53" s="1"/>
  <c r="J197" i="53" s="1"/>
  <c r="J203" i="53" s="1"/>
  <c r="J209" i="53" s="1"/>
  <c r="J215" i="53" s="1"/>
  <c r="J221" i="53" s="1"/>
  <c r="J12" i="53"/>
  <c r="J13" i="53" s="1"/>
  <c r="J11" i="63"/>
  <c r="J12" i="63" s="1"/>
  <c r="J13" i="63" s="1"/>
  <c r="J14" i="63" s="1"/>
  <c r="J15" i="63" s="1"/>
  <c r="J16" i="63" s="1"/>
  <c r="J17" i="63" s="1"/>
  <c r="J18" i="63" s="1"/>
  <c r="J19" i="63" s="1"/>
  <c r="J20" i="63" s="1"/>
  <c r="J21" i="63" s="1"/>
  <c r="J22" i="63" s="1"/>
  <c r="J23" i="63" s="1"/>
  <c r="J24" i="63" s="1"/>
  <c r="J25" i="63" s="1"/>
  <c r="J26" i="63" s="1"/>
  <c r="J27" i="63" s="1"/>
  <c r="J28" i="63" s="1"/>
  <c r="J29" i="63" s="1"/>
  <c r="J30" i="63" s="1"/>
  <c r="J31" i="63" s="1"/>
  <c r="J32" i="63" s="1"/>
  <c r="J33" i="63" s="1"/>
  <c r="J34" i="63" s="1"/>
  <c r="J35" i="63" s="1"/>
  <c r="J36" i="63" s="1"/>
  <c r="J37" i="63" s="1"/>
  <c r="J38" i="63" s="1"/>
  <c r="J39" i="63" s="1"/>
  <c r="J40" i="63" s="1"/>
  <c r="J41" i="63" s="1"/>
  <c r="J42" i="63" s="1"/>
  <c r="J43" i="63" s="1"/>
  <c r="J44" i="63" s="1"/>
  <c r="J45" i="63" s="1"/>
  <c r="J46" i="63" s="1"/>
  <c r="J47" i="63" s="1"/>
  <c r="J48" i="63" s="1"/>
  <c r="J49" i="63" s="1"/>
  <c r="J50" i="63" s="1"/>
  <c r="J51" i="63" s="1"/>
  <c r="J52" i="63" s="1"/>
  <c r="J53" i="63" s="1"/>
  <c r="J54" i="63" s="1"/>
  <c r="J55" i="63" s="1"/>
  <c r="J56" i="63" s="1"/>
  <c r="J57" i="63" s="1"/>
  <c r="J58" i="63" s="1"/>
  <c r="J11" i="50"/>
  <c r="M36" i="49"/>
  <c r="M37" i="49"/>
  <c r="M38" i="49"/>
  <c r="O38" i="49" s="1"/>
  <c r="M39" i="49"/>
  <c r="O39" i="49" s="1"/>
  <c r="M40" i="49"/>
  <c r="O40" i="49" s="1"/>
  <c r="M41" i="49"/>
  <c r="O41" i="49" s="1"/>
  <c r="M42" i="49"/>
  <c r="O42" i="49" s="1"/>
  <c r="M43" i="49"/>
  <c r="O43" i="49" s="1"/>
  <c r="M44" i="49"/>
  <c r="O44" i="49" s="1"/>
  <c r="M45" i="49"/>
  <c r="O45" i="49" s="1"/>
  <c r="M46" i="49"/>
  <c r="O46" i="49" s="1"/>
  <c r="M35" i="49"/>
  <c r="M24" i="49"/>
  <c r="M25" i="49"/>
  <c r="M26" i="49"/>
  <c r="O26" i="49" s="1"/>
  <c r="M27" i="49"/>
  <c r="O27" i="49" s="1"/>
  <c r="M28" i="49"/>
  <c r="O28" i="49" s="1"/>
  <c r="M29" i="49"/>
  <c r="O29" i="49" s="1"/>
  <c r="M30" i="49"/>
  <c r="O30" i="49" s="1"/>
  <c r="M31" i="49"/>
  <c r="O31" i="49" s="1"/>
  <c r="M32" i="49"/>
  <c r="O32" i="49" s="1"/>
  <c r="M33" i="49"/>
  <c r="O33" i="49" s="1"/>
  <c r="M34" i="49"/>
  <c r="O34" i="49" s="1"/>
  <c r="M23" i="49"/>
  <c r="M12" i="49"/>
  <c r="M13" i="49"/>
  <c r="M14" i="49"/>
  <c r="O14" i="49" s="1"/>
  <c r="M15" i="49"/>
  <c r="O15" i="49" s="1"/>
  <c r="M16" i="49"/>
  <c r="O16" i="49" s="1"/>
  <c r="M17" i="49"/>
  <c r="O17" i="49" s="1"/>
  <c r="M18" i="49"/>
  <c r="O18" i="49" s="1"/>
  <c r="M19" i="49"/>
  <c r="O19" i="49" s="1"/>
  <c r="M20" i="49"/>
  <c r="O20" i="49" s="1"/>
  <c r="M21" i="49"/>
  <c r="O21" i="49" s="1"/>
  <c r="M22" i="49"/>
  <c r="O22" i="49" s="1"/>
  <c r="M11" i="49"/>
  <c r="G46" i="49"/>
  <c r="F46" i="49"/>
  <c r="G45" i="49"/>
  <c r="F45" i="49"/>
  <c r="G44" i="49"/>
  <c r="F44" i="49"/>
  <c r="G43" i="49"/>
  <c r="F43" i="49"/>
  <c r="G42" i="49"/>
  <c r="F42" i="49"/>
  <c r="G41" i="49"/>
  <c r="F41" i="49"/>
  <c r="G40" i="49"/>
  <c r="F40" i="49"/>
  <c r="G39" i="49"/>
  <c r="F39" i="49"/>
  <c r="G38" i="49"/>
  <c r="F38" i="49"/>
  <c r="G37" i="49"/>
  <c r="F37" i="49"/>
  <c r="G36" i="49"/>
  <c r="F36" i="49"/>
  <c r="G35" i="49"/>
  <c r="F35" i="49"/>
  <c r="G34" i="49"/>
  <c r="F34" i="49"/>
  <c r="G33" i="49"/>
  <c r="F33" i="49"/>
  <c r="G32" i="49"/>
  <c r="F32" i="49"/>
  <c r="G31" i="49"/>
  <c r="F31" i="49"/>
  <c r="G30" i="49"/>
  <c r="F30" i="49"/>
  <c r="G29" i="49"/>
  <c r="F29" i="49"/>
  <c r="G28" i="49"/>
  <c r="F28" i="49"/>
  <c r="G27" i="49"/>
  <c r="F27" i="49"/>
  <c r="G26" i="49"/>
  <c r="F26" i="49"/>
  <c r="G25" i="49"/>
  <c r="F25" i="49"/>
  <c r="G24" i="49"/>
  <c r="F24" i="49"/>
  <c r="G23" i="49"/>
  <c r="F23" i="49"/>
  <c r="G22" i="49"/>
  <c r="F22" i="49"/>
  <c r="G21" i="49"/>
  <c r="F21" i="49"/>
  <c r="G20" i="49"/>
  <c r="F20" i="49"/>
  <c r="G19" i="49"/>
  <c r="F19" i="49"/>
  <c r="G18" i="49"/>
  <c r="F18" i="49"/>
  <c r="G17" i="49"/>
  <c r="F17" i="49"/>
  <c r="G16" i="49"/>
  <c r="F16" i="49"/>
  <c r="G15" i="49"/>
  <c r="F15" i="49"/>
  <c r="G14" i="49"/>
  <c r="F14" i="49"/>
  <c r="G13" i="49"/>
  <c r="F13" i="49"/>
  <c r="G12" i="49"/>
  <c r="F12" i="49"/>
  <c r="G11" i="49"/>
  <c r="F11" i="49"/>
  <c r="B12" i="49"/>
  <c r="B13" i="49" s="1"/>
  <c r="B14" i="49" s="1"/>
  <c r="B15" i="49" s="1"/>
  <c r="B16" i="49" s="1"/>
  <c r="B17" i="49" s="1"/>
  <c r="B18" i="49" s="1"/>
  <c r="B19" i="49" s="1"/>
  <c r="B20" i="49" s="1"/>
  <c r="B21" i="49" s="1"/>
  <c r="B22" i="49" s="1"/>
  <c r="B23" i="49" s="1"/>
  <c r="B24" i="49" s="1"/>
  <c r="B25" i="49" s="1"/>
  <c r="B26" i="49" s="1"/>
  <c r="B27" i="49" s="1"/>
  <c r="B28" i="49" s="1"/>
  <c r="B29" i="49" s="1"/>
  <c r="B30" i="49" s="1"/>
  <c r="B31" i="49" s="1"/>
  <c r="B32" i="49" s="1"/>
  <c r="B33" i="49" s="1"/>
  <c r="B34" i="49" s="1"/>
  <c r="B35" i="49" s="1"/>
  <c r="B36" i="49" s="1"/>
  <c r="B37" i="49" s="1"/>
  <c r="B38" i="49" s="1"/>
  <c r="B39" i="49" s="1"/>
  <c r="B40" i="49" s="1"/>
  <c r="B41" i="49" s="1"/>
  <c r="B42" i="49" s="1"/>
  <c r="B43" i="49" s="1"/>
  <c r="B44" i="49" s="1"/>
  <c r="B45" i="49" s="1"/>
  <c r="B46" i="49" s="1"/>
  <c r="N21" i="49"/>
  <c r="N22" i="49" s="1"/>
  <c r="N23" i="49" s="1"/>
  <c r="N24" i="49" s="1"/>
  <c r="N25" i="49" s="1"/>
  <c r="N26" i="49" s="1"/>
  <c r="N27" i="49" s="1"/>
  <c r="N28" i="49" s="1"/>
  <c r="N29" i="49" s="1"/>
  <c r="N30" i="49" s="1"/>
  <c r="N31" i="49" s="1"/>
  <c r="N32" i="49" s="1"/>
  <c r="N33" i="49" s="1"/>
  <c r="N34" i="49" s="1"/>
  <c r="N35" i="49" s="1"/>
  <c r="N36" i="49" s="1"/>
  <c r="N37" i="49" s="1"/>
  <c r="N38" i="49" s="1"/>
  <c r="N39" i="49" s="1"/>
  <c r="N40" i="49" s="1"/>
  <c r="N41" i="49" s="1"/>
  <c r="N42" i="49" s="1"/>
  <c r="N43" i="49" s="1"/>
  <c r="N44" i="49" s="1"/>
  <c r="N45" i="49" s="1"/>
  <c r="N46" i="49" s="1"/>
  <c r="N18" i="49"/>
  <c r="N19" i="49" s="1"/>
  <c r="N15" i="49"/>
  <c r="N16" i="49" s="1"/>
  <c r="N47" i="48"/>
  <c r="P47" i="48" s="1"/>
  <c r="P48" i="48" s="1"/>
  <c r="P49" i="48" s="1"/>
  <c r="P50" i="48" s="1"/>
  <c r="P51" i="48" s="1"/>
  <c r="P52" i="48" s="1"/>
  <c r="P53" i="48" s="1"/>
  <c r="P54" i="48" s="1"/>
  <c r="P55" i="48" s="1"/>
  <c r="P56" i="48" s="1"/>
  <c r="P57" i="48" s="1"/>
  <c r="P58" i="48" s="1"/>
  <c r="L47" i="48"/>
  <c r="L48" i="48" s="1"/>
  <c r="L49" i="48" s="1"/>
  <c r="L50" i="48" s="1"/>
  <c r="L51" i="48" s="1"/>
  <c r="L52" i="48" s="1"/>
  <c r="L53" i="48" s="1"/>
  <c r="L54" i="48" s="1"/>
  <c r="L55" i="48" s="1"/>
  <c r="L56" i="48" s="1"/>
  <c r="L57" i="48" s="1"/>
  <c r="L58" i="48" s="1"/>
  <c r="J47" i="48"/>
  <c r="J48" i="48" s="1"/>
  <c r="J49" i="48" s="1"/>
  <c r="J50" i="48" s="1"/>
  <c r="J51" i="48" s="1"/>
  <c r="J52" i="48" s="1"/>
  <c r="J53" i="48" s="1"/>
  <c r="J54" i="48" s="1"/>
  <c r="J55" i="48" s="1"/>
  <c r="J56" i="48" s="1"/>
  <c r="J57" i="48" s="1"/>
  <c r="J58" i="48" s="1"/>
  <c r="I47" i="48"/>
  <c r="I48" i="48" s="1"/>
  <c r="I49" i="48" s="1"/>
  <c r="I50" i="48" s="1"/>
  <c r="I51" i="48" s="1"/>
  <c r="I52" i="48" s="1"/>
  <c r="I53" i="48" s="1"/>
  <c r="I54" i="48" s="1"/>
  <c r="I55" i="48" s="1"/>
  <c r="I56" i="48" s="1"/>
  <c r="I57" i="48" s="1"/>
  <c r="I58" i="48" s="1"/>
  <c r="N35" i="48"/>
  <c r="P35" i="48" s="1"/>
  <c r="P36" i="48" s="1"/>
  <c r="P37" i="48" s="1"/>
  <c r="P38" i="48" s="1"/>
  <c r="P39" i="48" s="1"/>
  <c r="P40" i="48" s="1"/>
  <c r="P41" i="48" s="1"/>
  <c r="P42" i="48" s="1"/>
  <c r="P43" i="48" s="1"/>
  <c r="P44" i="48" s="1"/>
  <c r="P45" i="48" s="1"/>
  <c r="P46" i="48" s="1"/>
  <c r="L35" i="48"/>
  <c r="L36" i="48" s="1"/>
  <c r="L37" i="48" s="1"/>
  <c r="L38" i="48" s="1"/>
  <c r="L39" i="48" s="1"/>
  <c r="L40" i="48" s="1"/>
  <c r="L41" i="48" s="1"/>
  <c r="L42" i="48" s="1"/>
  <c r="L43" i="48" s="1"/>
  <c r="L44" i="48" s="1"/>
  <c r="L45" i="48" s="1"/>
  <c r="L46" i="48" s="1"/>
  <c r="J35" i="48"/>
  <c r="J36" i="48" s="1"/>
  <c r="J37" i="48" s="1"/>
  <c r="J38" i="48" s="1"/>
  <c r="J39" i="48" s="1"/>
  <c r="J40" i="48" s="1"/>
  <c r="J41" i="48" s="1"/>
  <c r="J42" i="48" s="1"/>
  <c r="J43" i="48" s="1"/>
  <c r="J44" i="48" s="1"/>
  <c r="J45" i="48" s="1"/>
  <c r="J46" i="48" s="1"/>
  <c r="I35" i="48"/>
  <c r="I36" i="48" s="1"/>
  <c r="I37" i="48" s="1"/>
  <c r="I38" i="48" s="1"/>
  <c r="I39" i="48" s="1"/>
  <c r="I40" i="48" s="1"/>
  <c r="I41" i="48" s="1"/>
  <c r="I42" i="48" s="1"/>
  <c r="I43" i="48" s="1"/>
  <c r="I44" i="48" s="1"/>
  <c r="I45" i="48" s="1"/>
  <c r="I46" i="48" s="1"/>
  <c r="N23" i="48"/>
  <c r="P23" i="48" s="1"/>
  <c r="P24" i="48" s="1"/>
  <c r="P25" i="48" s="1"/>
  <c r="P26" i="48" s="1"/>
  <c r="P27" i="48" s="1"/>
  <c r="P28" i="48" s="1"/>
  <c r="P29" i="48" s="1"/>
  <c r="P30" i="48" s="1"/>
  <c r="P31" i="48" s="1"/>
  <c r="P32" i="48" s="1"/>
  <c r="P33" i="48" s="1"/>
  <c r="P34" i="48" s="1"/>
  <c r="L23" i="48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J23" i="48"/>
  <c r="J24" i="48" s="1"/>
  <c r="J25" i="48" s="1"/>
  <c r="J26" i="48" s="1"/>
  <c r="J27" i="48" s="1"/>
  <c r="J28" i="48" s="1"/>
  <c r="J29" i="48" s="1"/>
  <c r="J30" i="48" s="1"/>
  <c r="J31" i="48" s="1"/>
  <c r="J32" i="48" s="1"/>
  <c r="J33" i="48" s="1"/>
  <c r="J34" i="48" s="1"/>
  <c r="I23" i="48"/>
  <c r="I24" i="48" s="1"/>
  <c r="I25" i="48" s="1"/>
  <c r="I26" i="48" s="1"/>
  <c r="I27" i="48" s="1"/>
  <c r="I28" i="48" s="1"/>
  <c r="I29" i="48" s="1"/>
  <c r="I30" i="48" s="1"/>
  <c r="I31" i="48" s="1"/>
  <c r="I32" i="48" s="1"/>
  <c r="I33" i="48" s="1"/>
  <c r="I34" i="48" s="1"/>
  <c r="J11" i="48"/>
  <c r="Q48" i="46"/>
  <c r="Q49" i="46" s="1"/>
  <c r="Q50" i="46" s="1"/>
  <c r="Q51" i="46" s="1"/>
  <c r="Q52" i="46" s="1"/>
  <c r="Q53" i="46" s="1"/>
  <c r="Q54" i="46" s="1"/>
  <c r="Q55" i="46" s="1"/>
  <c r="Q56" i="46" s="1"/>
  <c r="Q57" i="46" s="1"/>
  <c r="Q58" i="46" s="1"/>
  <c r="N47" i="46"/>
  <c r="P47" i="46" s="1"/>
  <c r="P48" i="46" s="1"/>
  <c r="P49" i="46" s="1"/>
  <c r="P50" i="46" s="1"/>
  <c r="P51" i="46" s="1"/>
  <c r="P52" i="46" s="1"/>
  <c r="P53" i="46" s="1"/>
  <c r="P54" i="46" s="1"/>
  <c r="P55" i="46" s="1"/>
  <c r="P56" i="46" s="1"/>
  <c r="P57" i="46" s="1"/>
  <c r="P58" i="46" s="1"/>
  <c r="L47" i="46"/>
  <c r="L48" i="46" s="1"/>
  <c r="L49" i="46" s="1"/>
  <c r="L50" i="46" s="1"/>
  <c r="L51" i="46" s="1"/>
  <c r="L52" i="46" s="1"/>
  <c r="L53" i="46" s="1"/>
  <c r="L54" i="46" s="1"/>
  <c r="L55" i="46" s="1"/>
  <c r="L56" i="46" s="1"/>
  <c r="L57" i="46" s="1"/>
  <c r="L58" i="46" s="1"/>
  <c r="J47" i="46"/>
  <c r="I47" i="46"/>
  <c r="I48" i="46" s="1"/>
  <c r="I49" i="46" s="1"/>
  <c r="I50" i="46" s="1"/>
  <c r="I51" i="46" s="1"/>
  <c r="I52" i="46" s="1"/>
  <c r="I53" i="46" s="1"/>
  <c r="I54" i="46" s="1"/>
  <c r="I55" i="46" s="1"/>
  <c r="I56" i="46" s="1"/>
  <c r="I57" i="46" s="1"/>
  <c r="I58" i="46" s="1"/>
  <c r="Q36" i="46"/>
  <c r="Q37" i="46" s="1"/>
  <c r="Q38" i="46" s="1"/>
  <c r="Q39" i="46" s="1"/>
  <c r="Q40" i="46" s="1"/>
  <c r="Q41" i="46" s="1"/>
  <c r="Q42" i="46" s="1"/>
  <c r="Q43" i="46" s="1"/>
  <c r="Q44" i="46" s="1"/>
  <c r="Q45" i="46" s="1"/>
  <c r="Q46" i="46" s="1"/>
  <c r="N35" i="46"/>
  <c r="P35" i="46" s="1"/>
  <c r="P36" i="46" s="1"/>
  <c r="P37" i="46" s="1"/>
  <c r="P38" i="46" s="1"/>
  <c r="P39" i="46" s="1"/>
  <c r="P40" i="46" s="1"/>
  <c r="P41" i="46" s="1"/>
  <c r="P42" i="46" s="1"/>
  <c r="P43" i="46" s="1"/>
  <c r="P44" i="46" s="1"/>
  <c r="P45" i="46" s="1"/>
  <c r="P46" i="46" s="1"/>
  <c r="L35" i="46"/>
  <c r="L36" i="46" s="1"/>
  <c r="L37" i="46" s="1"/>
  <c r="L38" i="46" s="1"/>
  <c r="L39" i="46" s="1"/>
  <c r="L40" i="46" s="1"/>
  <c r="L41" i="46" s="1"/>
  <c r="L42" i="46" s="1"/>
  <c r="L43" i="46" s="1"/>
  <c r="L44" i="46" s="1"/>
  <c r="L45" i="46" s="1"/>
  <c r="L46" i="46" s="1"/>
  <c r="J35" i="46"/>
  <c r="J36" i="46" s="1"/>
  <c r="J37" i="46" s="1"/>
  <c r="J38" i="46" s="1"/>
  <c r="J39" i="46" s="1"/>
  <c r="J40" i="46" s="1"/>
  <c r="J41" i="46" s="1"/>
  <c r="J42" i="46" s="1"/>
  <c r="J43" i="46" s="1"/>
  <c r="J44" i="46" s="1"/>
  <c r="J45" i="46" s="1"/>
  <c r="J46" i="46" s="1"/>
  <c r="I35" i="46"/>
  <c r="I36" i="46" s="1"/>
  <c r="I37" i="46" s="1"/>
  <c r="I38" i="46" s="1"/>
  <c r="I39" i="46" s="1"/>
  <c r="I40" i="46" s="1"/>
  <c r="I41" i="46" s="1"/>
  <c r="I42" i="46" s="1"/>
  <c r="I43" i="46" s="1"/>
  <c r="I44" i="46" s="1"/>
  <c r="I45" i="46" s="1"/>
  <c r="I46" i="46" s="1"/>
  <c r="Q24" i="46"/>
  <c r="Q25" i="46" s="1"/>
  <c r="Q26" i="46" s="1"/>
  <c r="Q27" i="46" s="1"/>
  <c r="Q28" i="46" s="1"/>
  <c r="Q29" i="46" s="1"/>
  <c r="Q30" i="46" s="1"/>
  <c r="Q31" i="46" s="1"/>
  <c r="Q32" i="46" s="1"/>
  <c r="Q33" i="46" s="1"/>
  <c r="Q34" i="46" s="1"/>
  <c r="N23" i="46"/>
  <c r="N24" i="46" s="1"/>
  <c r="N25" i="46" s="1"/>
  <c r="N26" i="46" s="1"/>
  <c r="N27" i="46" s="1"/>
  <c r="N28" i="46" s="1"/>
  <c r="N29" i="46" s="1"/>
  <c r="N30" i="46" s="1"/>
  <c r="N31" i="46" s="1"/>
  <c r="N32" i="46" s="1"/>
  <c r="N33" i="46" s="1"/>
  <c r="N34" i="46" s="1"/>
  <c r="L23" i="46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J23" i="46"/>
  <c r="J24" i="46" s="1"/>
  <c r="J25" i="46" s="1"/>
  <c r="J26" i="46" s="1"/>
  <c r="J27" i="46" s="1"/>
  <c r="J28" i="46" s="1"/>
  <c r="J29" i="46" s="1"/>
  <c r="J30" i="46" s="1"/>
  <c r="J31" i="46" s="1"/>
  <c r="J32" i="46" s="1"/>
  <c r="J33" i="46" s="1"/>
  <c r="J34" i="46" s="1"/>
  <c r="I23" i="46"/>
  <c r="I24" i="46" s="1"/>
  <c r="I25" i="46" s="1"/>
  <c r="I26" i="46" s="1"/>
  <c r="I27" i="46" s="1"/>
  <c r="I28" i="46" s="1"/>
  <c r="I29" i="46" s="1"/>
  <c r="I30" i="46" s="1"/>
  <c r="I31" i="46" s="1"/>
  <c r="I32" i="46" s="1"/>
  <c r="I33" i="46" s="1"/>
  <c r="I34" i="46" s="1"/>
  <c r="J11" i="46"/>
  <c r="Q48" i="45"/>
  <c r="Q49" i="45" s="1"/>
  <c r="Q50" i="45" s="1"/>
  <c r="Q51" i="45" s="1"/>
  <c r="Q52" i="45" s="1"/>
  <c r="Q53" i="45" s="1"/>
  <c r="Q54" i="45" s="1"/>
  <c r="Q55" i="45" s="1"/>
  <c r="Q56" i="45" s="1"/>
  <c r="Q57" i="45" s="1"/>
  <c r="Q58" i="45" s="1"/>
  <c r="N47" i="45"/>
  <c r="P47" i="45" s="1"/>
  <c r="P48" i="45" s="1"/>
  <c r="P49" i="45" s="1"/>
  <c r="P50" i="45" s="1"/>
  <c r="P51" i="45" s="1"/>
  <c r="P52" i="45" s="1"/>
  <c r="P53" i="45" s="1"/>
  <c r="P54" i="45" s="1"/>
  <c r="P55" i="45" s="1"/>
  <c r="P56" i="45" s="1"/>
  <c r="P57" i="45" s="1"/>
  <c r="P58" i="45" s="1"/>
  <c r="L47" i="45"/>
  <c r="L48" i="45" s="1"/>
  <c r="L49" i="45" s="1"/>
  <c r="L50" i="45" s="1"/>
  <c r="L51" i="45" s="1"/>
  <c r="L52" i="45" s="1"/>
  <c r="L53" i="45" s="1"/>
  <c r="L54" i="45" s="1"/>
  <c r="L55" i="45" s="1"/>
  <c r="L56" i="45" s="1"/>
  <c r="L57" i="45" s="1"/>
  <c r="L58" i="45" s="1"/>
  <c r="J47" i="45"/>
  <c r="I47" i="45"/>
  <c r="I48" i="45" s="1"/>
  <c r="I49" i="45" s="1"/>
  <c r="I50" i="45" s="1"/>
  <c r="I51" i="45" s="1"/>
  <c r="I52" i="45" s="1"/>
  <c r="I53" i="45" s="1"/>
  <c r="I54" i="45" s="1"/>
  <c r="I55" i="45" s="1"/>
  <c r="I56" i="45" s="1"/>
  <c r="I57" i="45" s="1"/>
  <c r="I58" i="45" s="1"/>
  <c r="Q36" i="45"/>
  <c r="Q37" i="45" s="1"/>
  <c r="Q38" i="45" s="1"/>
  <c r="Q39" i="45" s="1"/>
  <c r="Q40" i="45" s="1"/>
  <c r="Q41" i="45" s="1"/>
  <c r="Q42" i="45" s="1"/>
  <c r="Q43" i="45" s="1"/>
  <c r="Q44" i="45" s="1"/>
  <c r="Q45" i="45" s="1"/>
  <c r="Q46" i="45" s="1"/>
  <c r="N35" i="45"/>
  <c r="L35" i="45"/>
  <c r="L36" i="45" s="1"/>
  <c r="L37" i="45" s="1"/>
  <c r="L38" i="45" s="1"/>
  <c r="L39" i="45" s="1"/>
  <c r="L40" i="45" s="1"/>
  <c r="L41" i="45" s="1"/>
  <c r="L42" i="45" s="1"/>
  <c r="L43" i="45" s="1"/>
  <c r="L44" i="45" s="1"/>
  <c r="L45" i="45" s="1"/>
  <c r="L46" i="45" s="1"/>
  <c r="J35" i="45"/>
  <c r="J36" i="45" s="1"/>
  <c r="J37" i="45" s="1"/>
  <c r="J38" i="45" s="1"/>
  <c r="J39" i="45" s="1"/>
  <c r="J40" i="45" s="1"/>
  <c r="J41" i="45" s="1"/>
  <c r="J42" i="45" s="1"/>
  <c r="J43" i="45" s="1"/>
  <c r="J44" i="45" s="1"/>
  <c r="J45" i="45" s="1"/>
  <c r="J46" i="45" s="1"/>
  <c r="I35" i="45"/>
  <c r="I36" i="45" s="1"/>
  <c r="I37" i="45" s="1"/>
  <c r="I38" i="45" s="1"/>
  <c r="I39" i="45" s="1"/>
  <c r="I40" i="45" s="1"/>
  <c r="I41" i="45" s="1"/>
  <c r="I42" i="45" s="1"/>
  <c r="I43" i="45" s="1"/>
  <c r="I44" i="45" s="1"/>
  <c r="I45" i="45" s="1"/>
  <c r="I46" i="45" s="1"/>
  <c r="J23" i="45"/>
  <c r="T639" i="61" l="1"/>
  <c r="U639" i="61" s="1"/>
  <c r="H640" i="61"/>
  <c r="G640" i="61"/>
  <c r="R640" i="61"/>
  <c r="S640" i="61"/>
  <c r="T640" i="61" s="1"/>
  <c r="U640" i="61" s="1"/>
  <c r="K74" i="87"/>
  <c r="K78" i="87"/>
  <c r="K82" i="87"/>
  <c r="K86" i="87"/>
  <c r="K94" i="87"/>
  <c r="E102" i="87"/>
  <c r="F102" i="87" s="1"/>
  <c r="H102" i="87" s="1"/>
  <c r="E106" i="87"/>
  <c r="F106" i="87" s="1"/>
  <c r="K59" i="89"/>
  <c r="C59" i="89"/>
  <c r="Q84" i="93"/>
  <c r="K59" i="92"/>
  <c r="C59" i="92" s="1"/>
  <c r="D35" i="94"/>
  <c r="J44" i="97"/>
  <c r="C43" i="97"/>
  <c r="E62" i="89"/>
  <c r="F62" i="89" s="1"/>
  <c r="H62" i="89" s="1"/>
  <c r="K66" i="89"/>
  <c r="E70" i="89"/>
  <c r="F70" i="89" s="1"/>
  <c r="H70" i="89" s="1"/>
  <c r="K86" i="89"/>
  <c r="K90" i="89"/>
  <c r="K94" i="89"/>
  <c r="Q13" i="93"/>
  <c r="Q96" i="93"/>
  <c r="C155" i="91"/>
  <c r="C225" i="89"/>
  <c r="Q28" i="88"/>
  <c r="Q101" i="88"/>
  <c r="J12" i="48"/>
  <c r="J13" i="48" s="1"/>
  <c r="J14" i="48" s="1"/>
  <c r="J15" i="48" s="1"/>
  <c r="J16" i="48" s="1"/>
  <c r="J17" i="48" s="1"/>
  <c r="J18" i="48" s="1"/>
  <c r="J19" i="48" s="1"/>
  <c r="J20" i="48" s="1"/>
  <c r="J21" i="48" s="1"/>
  <c r="J22" i="48" s="1"/>
  <c r="E59" i="87"/>
  <c r="F59" i="87" s="1"/>
  <c r="H59" i="87" s="1"/>
  <c r="K75" i="87"/>
  <c r="K79" i="87"/>
  <c r="K83" i="87"/>
  <c r="K87" i="87"/>
  <c r="E91" i="87"/>
  <c r="F91" i="87" s="1"/>
  <c r="K95" i="87"/>
  <c r="E99" i="87"/>
  <c r="F99" i="87" s="1"/>
  <c r="H99" i="87" s="1"/>
  <c r="E103" i="87"/>
  <c r="F103" i="87" s="1"/>
  <c r="Q24" i="93"/>
  <c r="Q52" i="88"/>
  <c r="M47" i="56"/>
  <c r="E63" i="89"/>
  <c r="F63" i="89" s="1"/>
  <c r="H63" i="89" s="1"/>
  <c r="K67" i="89"/>
  <c r="E71" i="89"/>
  <c r="F71" i="89" s="1"/>
  <c r="H71" i="89" s="1"/>
  <c r="K87" i="89"/>
  <c r="K91" i="89"/>
  <c r="K95" i="89"/>
  <c r="Q60" i="93"/>
  <c r="J156" i="92"/>
  <c r="J157" i="92" s="1"/>
  <c r="J158" i="92" s="1"/>
  <c r="J159" i="92" s="1"/>
  <c r="J160" i="92" s="1"/>
  <c r="J161" i="92" s="1"/>
  <c r="J162" i="92" s="1"/>
  <c r="J163" i="92" s="1"/>
  <c r="J164" i="92" s="1"/>
  <c r="J165" i="92" s="1"/>
  <c r="J166" i="92" s="1"/>
  <c r="J167" i="92" s="1"/>
  <c r="J168" i="92" s="1"/>
  <c r="J169" i="92" s="1"/>
  <c r="J170" i="92" s="1"/>
  <c r="J171" i="92" s="1"/>
  <c r="J172" i="92" s="1"/>
  <c r="J173" i="92" s="1"/>
  <c r="J174" i="92" s="1"/>
  <c r="J175" i="92" s="1"/>
  <c r="J176" i="92" s="1"/>
  <c r="J177" i="92" s="1"/>
  <c r="J178" i="92" s="1"/>
  <c r="J179" i="92" s="1"/>
  <c r="J180" i="92" s="1"/>
  <c r="J181" i="92" s="1"/>
  <c r="J182" i="92" s="1"/>
  <c r="J183" i="92" s="1"/>
  <c r="J184" i="92" s="1"/>
  <c r="J185" i="92" s="1"/>
  <c r="J186" i="92" s="1"/>
  <c r="J187" i="92" s="1"/>
  <c r="J188" i="92" s="1"/>
  <c r="J189" i="92" s="1"/>
  <c r="J190" i="92" s="1"/>
  <c r="J191" i="92" s="1"/>
  <c r="J192" i="92" s="1"/>
  <c r="J193" i="92" s="1"/>
  <c r="J194" i="92" s="1"/>
  <c r="J195" i="92" s="1"/>
  <c r="J196" i="92" s="1"/>
  <c r="J197" i="92" s="1"/>
  <c r="J198" i="92" s="1"/>
  <c r="J199" i="92" s="1"/>
  <c r="J200" i="92" s="1"/>
  <c r="J201" i="92" s="1"/>
  <c r="J202" i="92" s="1"/>
  <c r="C155" i="92"/>
  <c r="J112" i="88"/>
  <c r="C111" i="88"/>
  <c r="J13" i="94"/>
  <c r="Q16" i="88"/>
  <c r="K72" i="87"/>
  <c r="K76" i="87"/>
  <c r="K80" i="87"/>
  <c r="K88" i="87"/>
  <c r="Q48" i="93"/>
  <c r="Q72" i="93"/>
  <c r="D37" i="96"/>
  <c r="K36" i="96"/>
  <c r="C36" i="96" s="1"/>
  <c r="J48" i="45"/>
  <c r="J49" i="45" s="1"/>
  <c r="J50" i="45" s="1"/>
  <c r="J51" i="45" s="1"/>
  <c r="J52" i="45" s="1"/>
  <c r="J53" i="45" s="1"/>
  <c r="J54" i="45" s="1"/>
  <c r="J55" i="45" s="1"/>
  <c r="J56" i="45" s="1"/>
  <c r="J57" i="45" s="1"/>
  <c r="J58" i="45" s="1"/>
  <c r="J48" i="46"/>
  <c r="J49" i="46" s="1"/>
  <c r="J50" i="46" s="1"/>
  <c r="J51" i="46" s="1"/>
  <c r="J52" i="46" s="1"/>
  <c r="J53" i="46" s="1"/>
  <c r="J54" i="46" s="1"/>
  <c r="J55" i="46" s="1"/>
  <c r="J56" i="46" s="1"/>
  <c r="J57" i="46" s="1"/>
  <c r="J58" i="46" s="1"/>
  <c r="E60" i="89"/>
  <c r="F60" i="89" s="1"/>
  <c r="E64" i="89"/>
  <c r="F64" i="89" s="1"/>
  <c r="H64" i="89" s="1"/>
  <c r="E68" i="89"/>
  <c r="F68" i="89" s="1"/>
  <c r="H68" i="89" s="1"/>
  <c r="K84" i="89"/>
  <c r="E88" i="89"/>
  <c r="F88" i="89" s="1"/>
  <c r="H88" i="89" s="1"/>
  <c r="E92" i="89"/>
  <c r="F92" i="89" s="1"/>
  <c r="H92" i="89" s="1"/>
  <c r="Q76" i="88"/>
  <c r="K73" i="87"/>
  <c r="K81" i="87"/>
  <c r="C81" i="87" s="1"/>
  <c r="E89" i="87"/>
  <c r="F89" i="87" s="1"/>
  <c r="H89" i="87" s="1"/>
  <c r="E93" i="87"/>
  <c r="F93" i="87" s="1"/>
  <c r="H93" i="87" s="1"/>
  <c r="E97" i="87"/>
  <c r="F97" i="87" s="1"/>
  <c r="G97" i="87" s="1"/>
  <c r="E101" i="87"/>
  <c r="F101" i="87" s="1"/>
  <c r="H101" i="87" s="1"/>
  <c r="E105" i="87"/>
  <c r="F105" i="87" s="1"/>
  <c r="E59" i="91"/>
  <c r="F59" i="91" s="1"/>
  <c r="G59" i="91" s="1"/>
  <c r="J108" i="93"/>
  <c r="C107" i="93"/>
  <c r="Q64" i="88"/>
  <c r="R32" i="95"/>
  <c r="T31" i="95"/>
  <c r="U31" i="95" s="1"/>
  <c r="D35" i="95"/>
  <c r="K61" i="89"/>
  <c r="E65" i="89"/>
  <c r="F65" i="89" s="1"/>
  <c r="G65" i="89" s="1"/>
  <c r="K69" i="89"/>
  <c r="E85" i="89"/>
  <c r="F85" i="89" s="1"/>
  <c r="K89" i="89"/>
  <c r="E93" i="89"/>
  <c r="F93" i="89" s="1"/>
  <c r="G93" i="89" s="1"/>
  <c r="Q36" i="93"/>
  <c r="Q88" i="88"/>
  <c r="C87" i="88"/>
  <c r="Q40" i="88"/>
  <c r="C39" i="88"/>
  <c r="J26" i="94"/>
  <c r="O12" i="96"/>
  <c r="O13" i="96" s="1"/>
  <c r="O14" i="96" s="1"/>
  <c r="O15" i="96" s="1"/>
  <c r="O16" i="96" s="1"/>
  <c r="O17" i="96" s="1"/>
  <c r="O18" i="96" s="1"/>
  <c r="O19" i="96" s="1"/>
  <c r="O20" i="96" s="1"/>
  <c r="O21" i="96" s="1"/>
  <c r="O22" i="96" s="1"/>
  <c r="J14" i="96"/>
  <c r="C14" i="96" s="1"/>
  <c r="J25" i="96"/>
  <c r="C25" i="96" s="1"/>
  <c r="J153" i="96"/>
  <c r="U42" i="94"/>
  <c r="V42" i="94" s="1"/>
  <c r="S43" i="94"/>
  <c r="R44" i="94"/>
  <c r="T43" i="94"/>
  <c r="E225" i="92"/>
  <c r="F225" i="92" s="1"/>
  <c r="D226" i="92"/>
  <c r="K225" i="92"/>
  <c r="C225" i="92" s="1"/>
  <c r="H224" i="92"/>
  <c r="G224" i="92"/>
  <c r="E224" i="91"/>
  <c r="F224" i="91" s="1"/>
  <c r="D225" i="91"/>
  <c r="K224" i="91"/>
  <c r="C224" i="91" s="1"/>
  <c r="H223" i="91"/>
  <c r="G223" i="91"/>
  <c r="H224" i="89"/>
  <c r="G224" i="89"/>
  <c r="D226" i="89"/>
  <c r="E225" i="89"/>
  <c r="F225" i="89" s="1"/>
  <c r="K225" i="89"/>
  <c r="K224" i="87"/>
  <c r="C224" i="87" s="1"/>
  <c r="E224" i="87"/>
  <c r="F224" i="87" s="1"/>
  <c r="D225" i="87"/>
  <c r="H223" i="87"/>
  <c r="G223" i="87"/>
  <c r="J19" i="53"/>
  <c r="J25" i="53" s="1"/>
  <c r="J31" i="53" s="1"/>
  <c r="J37" i="53" s="1"/>
  <c r="J43" i="53" s="1"/>
  <c r="J49" i="53" s="1"/>
  <c r="J55" i="53" s="1"/>
  <c r="J61" i="53" s="1"/>
  <c r="J67" i="53" s="1"/>
  <c r="J73" i="53" s="1"/>
  <c r="J79" i="53" s="1"/>
  <c r="J85" i="53" s="1"/>
  <c r="J91" i="53" s="1"/>
  <c r="J97" i="53" s="1"/>
  <c r="J103" i="53" s="1"/>
  <c r="J109" i="53" s="1"/>
  <c r="J115" i="53" s="1"/>
  <c r="J121" i="53" s="1"/>
  <c r="J127" i="53" s="1"/>
  <c r="J133" i="53" s="1"/>
  <c r="J139" i="53" s="1"/>
  <c r="J145" i="53" s="1"/>
  <c r="J151" i="53" s="1"/>
  <c r="J157" i="53" s="1"/>
  <c r="J163" i="53" s="1"/>
  <c r="J169" i="53" s="1"/>
  <c r="J175" i="53" s="1"/>
  <c r="J181" i="53" s="1"/>
  <c r="J187" i="53" s="1"/>
  <c r="J193" i="53" s="1"/>
  <c r="J199" i="53" s="1"/>
  <c r="J205" i="53" s="1"/>
  <c r="J211" i="53" s="1"/>
  <c r="J217" i="53" s="1"/>
  <c r="J223" i="53" s="1"/>
  <c r="J14" i="53"/>
  <c r="J18" i="53"/>
  <c r="J24" i="53" s="1"/>
  <c r="J30" i="53" s="1"/>
  <c r="J36" i="53" s="1"/>
  <c r="J42" i="53" s="1"/>
  <c r="J48" i="53" s="1"/>
  <c r="J54" i="53" s="1"/>
  <c r="J60" i="53" s="1"/>
  <c r="J66" i="53" s="1"/>
  <c r="J72" i="53" s="1"/>
  <c r="J78" i="53" s="1"/>
  <c r="J84" i="53" s="1"/>
  <c r="J90" i="53" s="1"/>
  <c r="J96" i="53" s="1"/>
  <c r="J102" i="53" s="1"/>
  <c r="J108" i="53" s="1"/>
  <c r="J114" i="53" s="1"/>
  <c r="J120" i="53" s="1"/>
  <c r="J126" i="53" s="1"/>
  <c r="J132" i="53" s="1"/>
  <c r="J138" i="53" s="1"/>
  <c r="J144" i="53" s="1"/>
  <c r="J150" i="53" s="1"/>
  <c r="J156" i="53" s="1"/>
  <c r="J162" i="53" s="1"/>
  <c r="J168" i="53" s="1"/>
  <c r="J174" i="53" s="1"/>
  <c r="J180" i="53" s="1"/>
  <c r="J186" i="53" s="1"/>
  <c r="J192" i="53" s="1"/>
  <c r="J198" i="53" s="1"/>
  <c r="J204" i="53" s="1"/>
  <c r="J210" i="53" s="1"/>
  <c r="J216" i="53" s="1"/>
  <c r="J222" i="53" s="1"/>
  <c r="G83" i="53"/>
  <c r="H83" i="53"/>
  <c r="G87" i="88"/>
  <c r="H87" i="88"/>
  <c r="H39" i="88"/>
  <c r="G39" i="88"/>
  <c r="E88" i="88"/>
  <c r="F88" i="88" s="1"/>
  <c r="D89" i="88"/>
  <c r="K88" i="88"/>
  <c r="D41" i="88"/>
  <c r="K40" i="88"/>
  <c r="E40" i="88"/>
  <c r="F40" i="88" s="1"/>
  <c r="N108" i="92"/>
  <c r="N109" i="92" s="1"/>
  <c r="N110" i="92" s="1"/>
  <c r="N111" i="92" s="1"/>
  <c r="N112" i="92" s="1"/>
  <c r="N113" i="92" s="1"/>
  <c r="N114" i="92" s="1"/>
  <c r="N115" i="92" s="1"/>
  <c r="N116" i="92" s="1"/>
  <c r="N117" i="92" s="1"/>
  <c r="N118" i="92" s="1"/>
  <c r="N119" i="92" s="1"/>
  <c r="N120" i="92" s="1"/>
  <c r="N121" i="92" s="1"/>
  <c r="N122" i="92" s="1"/>
  <c r="N123" i="92" s="1"/>
  <c r="N124" i="92" s="1"/>
  <c r="N125" i="92" s="1"/>
  <c r="N126" i="92" s="1"/>
  <c r="N127" i="92" s="1"/>
  <c r="N128" i="92" s="1"/>
  <c r="N129" i="92" s="1"/>
  <c r="N130" i="92" s="1"/>
  <c r="N131" i="92" s="1"/>
  <c r="N132" i="92" s="1"/>
  <c r="N133" i="92" s="1"/>
  <c r="N134" i="92" s="1"/>
  <c r="N135" i="92" s="1"/>
  <c r="N136" i="92" s="1"/>
  <c r="N137" i="92" s="1"/>
  <c r="N138" i="92" s="1"/>
  <c r="N139" i="92" s="1"/>
  <c r="N140" i="92" s="1"/>
  <c r="N141" i="92" s="1"/>
  <c r="N142" i="92" s="1"/>
  <c r="N143" i="92" s="1"/>
  <c r="N144" i="92" s="1"/>
  <c r="N145" i="92" s="1"/>
  <c r="N146" i="92" s="1"/>
  <c r="N147" i="92" s="1"/>
  <c r="N148" i="92" s="1"/>
  <c r="N149" i="92" s="1"/>
  <c r="N150" i="92" s="1"/>
  <c r="N151" i="92" s="1"/>
  <c r="N152" i="92" s="1"/>
  <c r="N153" i="92" s="1"/>
  <c r="N154" i="92" s="1"/>
  <c r="H11" i="96"/>
  <c r="G11" i="95"/>
  <c r="J14" i="95"/>
  <c r="G23" i="94"/>
  <c r="E12" i="95"/>
  <c r="F12" i="95" s="1"/>
  <c r="K12" i="95"/>
  <c r="K13" i="95"/>
  <c r="G23" i="96"/>
  <c r="H23" i="96"/>
  <c r="E24" i="96"/>
  <c r="F24" i="96" s="1"/>
  <c r="H24" i="94"/>
  <c r="G24" i="94"/>
  <c r="K12" i="94"/>
  <c r="C12" i="94" s="1"/>
  <c r="E12" i="94"/>
  <c r="F12" i="94" s="1"/>
  <c r="K25" i="94"/>
  <c r="C25" i="94" s="1"/>
  <c r="E25" i="94"/>
  <c r="F25" i="94" s="1"/>
  <c r="G11" i="94"/>
  <c r="H11" i="94"/>
  <c r="K37" i="93"/>
  <c r="G37" i="93"/>
  <c r="H37" i="93"/>
  <c r="E36" i="93"/>
  <c r="F36" i="93" s="1"/>
  <c r="H36" i="93" s="1"/>
  <c r="E40" i="93"/>
  <c r="F40" i="93" s="1"/>
  <c r="H40" i="93" s="1"/>
  <c r="E42" i="93"/>
  <c r="F42" i="93" s="1"/>
  <c r="H42" i="93" s="1"/>
  <c r="E44" i="93"/>
  <c r="F44" i="93" s="1"/>
  <c r="H44" i="93" s="1"/>
  <c r="E46" i="93"/>
  <c r="F46" i="93" s="1"/>
  <c r="H46" i="93" s="1"/>
  <c r="K38" i="93"/>
  <c r="E48" i="93"/>
  <c r="F48" i="93" s="1"/>
  <c r="H48" i="93" s="1"/>
  <c r="E50" i="93"/>
  <c r="F50" i="93" s="1"/>
  <c r="H50" i="93" s="1"/>
  <c r="E52" i="93"/>
  <c r="F52" i="93" s="1"/>
  <c r="H52" i="93" s="1"/>
  <c r="E54" i="93"/>
  <c r="F54" i="93" s="1"/>
  <c r="H54" i="93" s="1"/>
  <c r="E56" i="93"/>
  <c r="F56" i="93" s="1"/>
  <c r="H56" i="93" s="1"/>
  <c r="E58" i="93"/>
  <c r="F58" i="93" s="1"/>
  <c r="H58" i="93" s="1"/>
  <c r="N156" i="92"/>
  <c r="N157" i="92" s="1"/>
  <c r="N158" i="92" s="1"/>
  <c r="N159" i="92" s="1"/>
  <c r="N160" i="92" s="1"/>
  <c r="N161" i="92" s="1"/>
  <c r="N162" i="92" s="1"/>
  <c r="N163" i="92" s="1"/>
  <c r="N164" i="92" s="1"/>
  <c r="N165" i="92" s="1"/>
  <c r="N166" i="92" s="1"/>
  <c r="N167" i="92" s="1"/>
  <c r="N168" i="92" s="1"/>
  <c r="N169" i="92" s="1"/>
  <c r="N170" i="92" s="1"/>
  <c r="N171" i="92" s="1"/>
  <c r="N172" i="92" s="1"/>
  <c r="N173" i="92" s="1"/>
  <c r="N174" i="92" s="1"/>
  <c r="N175" i="92" s="1"/>
  <c r="N176" i="92" s="1"/>
  <c r="N177" i="92" s="1"/>
  <c r="N178" i="92" s="1"/>
  <c r="N179" i="92" s="1"/>
  <c r="N180" i="92" s="1"/>
  <c r="N181" i="92" s="1"/>
  <c r="N182" i="92" s="1"/>
  <c r="N183" i="92" s="1"/>
  <c r="N184" i="92" s="1"/>
  <c r="N185" i="92" s="1"/>
  <c r="N186" i="92" s="1"/>
  <c r="N187" i="92" s="1"/>
  <c r="N188" i="92" s="1"/>
  <c r="N189" i="92" s="1"/>
  <c r="N190" i="92" s="1"/>
  <c r="N191" i="92" s="1"/>
  <c r="N192" i="92" s="1"/>
  <c r="N193" i="92" s="1"/>
  <c r="N194" i="92" s="1"/>
  <c r="N195" i="92" s="1"/>
  <c r="N196" i="92" s="1"/>
  <c r="N197" i="92" s="1"/>
  <c r="N198" i="92" s="1"/>
  <c r="N199" i="92" s="1"/>
  <c r="N200" i="92" s="1"/>
  <c r="N201" i="92" s="1"/>
  <c r="N202" i="92" s="1"/>
  <c r="K155" i="92"/>
  <c r="H155" i="92"/>
  <c r="G155" i="92"/>
  <c r="N60" i="92"/>
  <c r="N61" i="92" s="1"/>
  <c r="N62" i="92" s="1"/>
  <c r="N63" i="92" s="1"/>
  <c r="N64" i="92" s="1"/>
  <c r="N65" i="92" s="1"/>
  <c r="N66" i="92" s="1"/>
  <c r="N67" i="92" s="1"/>
  <c r="N68" i="92" s="1"/>
  <c r="N69" i="92" s="1"/>
  <c r="N70" i="92" s="1"/>
  <c r="N71" i="92" s="1"/>
  <c r="N72" i="92" s="1"/>
  <c r="N73" i="92" s="1"/>
  <c r="N74" i="92" s="1"/>
  <c r="N75" i="92" s="1"/>
  <c r="N76" i="92" s="1"/>
  <c r="N77" i="92" s="1"/>
  <c r="N78" i="92" s="1"/>
  <c r="N79" i="92" s="1"/>
  <c r="N80" i="92" s="1"/>
  <c r="N81" i="92" s="1"/>
  <c r="N82" i="92" s="1"/>
  <c r="N83" i="92" s="1"/>
  <c r="N84" i="92" s="1"/>
  <c r="N85" i="92" s="1"/>
  <c r="N86" i="92" s="1"/>
  <c r="N87" i="92" s="1"/>
  <c r="N88" i="92" s="1"/>
  <c r="N89" i="92" s="1"/>
  <c r="N90" i="92" s="1"/>
  <c r="N91" i="92" s="1"/>
  <c r="N92" i="92" s="1"/>
  <c r="N93" i="92" s="1"/>
  <c r="N94" i="92" s="1"/>
  <c r="N95" i="92" s="1"/>
  <c r="N96" i="92" s="1"/>
  <c r="N97" i="92" s="1"/>
  <c r="N98" i="92" s="1"/>
  <c r="N99" i="92" s="1"/>
  <c r="N100" i="92" s="1"/>
  <c r="N101" i="92" s="1"/>
  <c r="N102" i="92" s="1"/>
  <c r="N103" i="92" s="1"/>
  <c r="N104" i="92" s="1"/>
  <c r="N105" i="92" s="1"/>
  <c r="N106" i="92" s="1"/>
  <c r="J108" i="92"/>
  <c r="J109" i="92" s="1"/>
  <c r="J110" i="92" s="1"/>
  <c r="J111" i="92" s="1"/>
  <c r="J112" i="92" s="1"/>
  <c r="J113" i="92" s="1"/>
  <c r="J114" i="92" s="1"/>
  <c r="J115" i="92" s="1"/>
  <c r="J116" i="92" s="1"/>
  <c r="J117" i="92" s="1"/>
  <c r="J118" i="92" s="1"/>
  <c r="J119" i="92" s="1"/>
  <c r="J120" i="92" s="1"/>
  <c r="J121" i="92" s="1"/>
  <c r="J122" i="92" s="1"/>
  <c r="J123" i="92" s="1"/>
  <c r="J124" i="92" s="1"/>
  <c r="J125" i="92" s="1"/>
  <c r="J126" i="92" s="1"/>
  <c r="J127" i="92" s="1"/>
  <c r="J128" i="92" s="1"/>
  <c r="J129" i="92" s="1"/>
  <c r="J130" i="92" s="1"/>
  <c r="J131" i="92" s="1"/>
  <c r="J132" i="92" s="1"/>
  <c r="J133" i="92" s="1"/>
  <c r="J134" i="92" s="1"/>
  <c r="J135" i="92" s="1"/>
  <c r="J136" i="92" s="1"/>
  <c r="J137" i="92" s="1"/>
  <c r="J138" i="92" s="1"/>
  <c r="J139" i="92" s="1"/>
  <c r="J140" i="92" s="1"/>
  <c r="J141" i="92" s="1"/>
  <c r="J142" i="92" s="1"/>
  <c r="J143" i="92" s="1"/>
  <c r="J144" i="92" s="1"/>
  <c r="J145" i="92" s="1"/>
  <c r="J146" i="92" s="1"/>
  <c r="J147" i="92" s="1"/>
  <c r="J148" i="92" s="1"/>
  <c r="J149" i="92" s="1"/>
  <c r="J150" i="92" s="1"/>
  <c r="J151" i="92" s="1"/>
  <c r="J152" i="92" s="1"/>
  <c r="J153" i="92" s="1"/>
  <c r="J154" i="92" s="1"/>
  <c r="N12" i="92"/>
  <c r="N13" i="92" s="1"/>
  <c r="N14" i="92" s="1"/>
  <c r="N15" i="92" s="1"/>
  <c r="N16" i="92" s="1"/>
  <c r="N17" i="92" s="1"/>
  <c r="N18" i="92" s="1"/>
  <c r="N19" i="92" s="1"/>
  <c r="N20" i="92" s="1"/>
  <c r="N21" i="92" s="1"/>
  <c r="N22" i="92" s="1"/>
  <c r="N23" i="92" s="1"/>
  <c r="N24" i="92" s="1"/>
  <c r="N25" i="92" s="1"/>
  <c r="N26" i="92" s="1"/>
  <c r="N27" i="92" s="1"/>
  <c r="N28" i="92" s="1"/>
  <c r="N29" i="92" s="1"/>
  <c r="N30" i="92" s="1"/>
  <c r="N31" i="92" s="1"/>
  <c r="N32" i="92" s="1"/>
  <c r="N33" i="92" s="1"/>
  <c r="N34" i="92" s="1"/>
  <c r="N35" i="92" s="1"/>
  <c r="N36" i="92" s="1"/>
  <c r="N37" i="92" s="1"/>
  <c r="N38" i="92" s="1"/>
  <c r="N39" i="92" s="1"/>
  <c r="N40" i="92" s="1"/>
  <c r="N41" i="92" s="1"/>
  <c r="N42" i="92" s="1"/>
  <c r="N43" i="92" s="1"/>
  <c r="N44" i="92" s="1"/>
  <c r="N45" i="92" s="1"/>
  <c r="N46" i="92" s="1"/>
  <c r="N47" i="92" s="1"/>
  <c r="N48" i="92" s="1"/>
  <c r="N49" i="92" s="1"/>
  <c r="N50" i="92" s="1"/>
  <c r="N51" i="92" s="1"/>
  <c r="N52" i="92" s="1"/>
  <c r="N53" i="92" s="1"/>
  <c r="N54" i="92" s="1"/>
  <c r="N55" i="92" s="1"/>
  <c r="N56" i="92" s="1"/>
  <c r="N57" i="92" s="1"/>
  <c r="N58" i="92" s="1"/>
  <c r="L60" i="92"/>
  <c r="L61" i="92" s="1"/>
  <c r="L62" i="92" s="1"/>
  <c r="L63" i="92" s="1"/>
  <c r="L64" i="92" s="1"/>
  <c r="L65" i="92" s="1"/>
  <c r="L66" i="92" s="1"/>
  <c r="L67" i="92" s="1"/>
  <c r="L68" i="92" s="1"/>
  <c r="L69" i="92" s="1"/>
  <c r="L70" i="92" s="1"/>
  <c r="L71" i="92" s="1"/>
  <c r="L72" i="92" s="1"/>
  <c r="L73" i="92" s="1"/>
  <c r="L74" i="92" s="1"/>
  <c r="L75" i="92" s="1"/>
  <c r="L76" i="92" s="1"/>
  <c r="L77" i="92" s="1"/>
  <c r="L78" i="92" s="1"/>
  <c r="L79" i="92" s="1"/>
  <c r="L80" i="92" s="1"/>
  <c r="L81" i="92" s="1"/>
  <c r="L82" i="92" s="1"/>
  <c r="L83" i="92" s="1"/>
  <c r="L84" i="92" s="1"/>
  <c r="L85" i="92" s="1"/>
  <c r="L86" i="92" s="1"/>
  <c r="L87" i="92" s="1"/>
  <c r="L88" i="92" s="1"/>
  <c r="L89" i="92" s="1"/>
  <c r="L90" i="92" s="1"/>
  <c r="L91" i="92" s="1"/>
  <c r="L92" i="92" s="1"/>
  <c r="L93" i="92" s="1"/>
  <c r="L94" i="92" s="1"/>
  <c r="L95" i="92" s="1"/>
  <c r="L96" i="92" s="1"/>
  <c r="L97" i="92" s="1"/>
  <c r="L98" i="92" s="1"/>
  <c r="L99" i="92" s="1"/>
  <c r="L100" i="92" s="1"/>
  <c r="L101" i="92" s="1"/>
  <c r="L102" i="92" s="1"/>
  <c r="L103" i="92" s="1"/>
  <c r="L104" i="92" s="1"/>
  <c r="L105" i="92" s="1"/>
  <c r="L106" i="92" s="1"/>
  <c r="E59" i="92"/>
  <c r="F59" i="92" s="1"/>
  <c r="J60" i="92"/>
  <c r="J61" i="92" s="1"/>
  <c r="J62" i="92" s="1"/>
  <c r="J63" i="92" s="1"/>
  <c r="J64" i="92" s="1"/>
  <c r="J65" i="92" s="1"/>
  <c r="J66" i="92" s="1"/>
  <c r="J67" i="92" s="1"/>
  <c r="J68" i="92" s="1"/>
  <c r="J69" i="92" s="1"/>
  <c r="J70" i="92" s="1"/>
  <c r="J71" i="92" s="1"/>
  <c r="J72" i="92" s="1"/>
  <c r="J73" i="92" s="1"/>
  <c r="J74" i="92" s="1"/>
  <c r="J75" i="92" s="1"/>
  <c r="J76" i="92" s="1"/>
  <c r="J77" i="92" s="1"/>
  <c r="J78" i="92" s="1"/>
  <c r="J79" i="92" s="1"/>
  <c r="J80" i="92" s="1"/>
  <c r="J81" i="92" s="1"/>
  <c r="J82" i="92" s="1"/>
  <c r="J83" i="92" s="1"/>
  <c r="J84" i="92" s="1"/>
  <c r="J85" i="92" s="1"/>
  <c r="J86" i="92" s="1"/>
  <c r="J87" i="92" s="1"/>
  <c r="J88" i="92" s="1"/>
  <c r="J89" i="92" s="1"/>
  <c r="J90" i="92" s="1"/>
  <c r="J91" i="92" s="1"/>
  <c r="J92" i="92" s="1"/>
  <c r="J93" i="92" s="1"/>
  <c r="J94" i="92" s="1"/>
  <c r="J95" i="92" s="1"/>
  <c r="J96" i="92" s="1"/>
  <c r="J97" i="92" s="1"/>
  <c r="J98" i="92" s="1"/>
  <c r="J99" i="92" s="1"/>
  <c r="J100" i="92" s="1"/>
  <c r="J101" i="92" s="1"/>
  <c r="J102" i="92" s="1"/>
  <c r="J103" i="92" s="1"/>
  <c r="J104" i="92" s="1"/>
  <c r="J105" i="92" s="1"/>
  <c r="J106" i="92" s="1"/>
  <c r="L12" i="92"/>
  <c r="L13" i="92" s="1"/>
  <c r="L14" i="92" s="1"/>
  <c r="L15" i="92" s="1"/>
  <c r="L16" i="92" s="1"/>
  <c r="L17" i="92" s="1"/>
  <c r="L18" i="92" s="1"/>
  <c r="L19" i="92" s="1"/>
  <c r="L20" i="92" s="1"/>
  <c r="L21" i="92" s="1"/>
  <c r="L22" i="92" s="1"/>
  <c r="L23" i="92" s="1"/>
  <c r="L24" i="92" s="1"/>
  <c r="L25" i="92" s="1"/>
  <c r="L26" i="92" s="1"/>
  <c r="L27" i="92" s="1"/>
  <c r="L28" i="92" s="1"/>
  <c r="L29" i="92" s="1"/>
  <c r="L30" i="92" s="1"/>
  <c r="L31" i="92" s="1"/>
  <c r="L32" i="92" s="1"/>
  <c r="L33" i="92" s="1"/>
  <c r="L34" i="92" s="1"/>
  <c r="L35" i="92" s="1"/>
  <c r="L36" i="92" s="1"/>
  <c r="L37" i="92" s="1"/>
  <c r="L38" i="92" s="1"/>
  <c r="L39" i="92" s="1"/>
  <c r="L40" i="92" s="1"/>
  <c r="L41" i="92" s="1"/>
  <c r="L42" i="92" s="1"/>
  <c r="L43" i="92" s="1"/>
  <c r="L44" i="92" s="1"/>
  <c r="L45" i="92" s="1"/>
  <c r="L46" i="92" s="1"/>
  <c r="L47" i="92" s="1"/>
  <c r="L48" i="92" s="1"/>
  <c r="L49" i="92" s="1"/>
  <c r="L50" i="92" s="1"/>
  <c r="L51" i="92" s="1"/>
  <c r="L52" i="92" s="1"/>
  <c r="L53" i="92" s="1"/>
  <c r="L54" i="92" s="1"/>
  <c r="L55" i="92" s="1"/>
  <c r="L56" i="92" s="1"/>
  <c r="L57" i="92" s="1"/>
  <c r="L58" i="92" s="1"/>
  <c r="J12" i="92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J24" i="92" s="1"/>
  <c r="J25" i="92" s="1"/>
  <c r="J26" i="92" s="1"/>
  <c r="J27" i="92" s="1"/>
  <c r="J28" i="92" s="1"/>
  <c r="J29" i="92" s="1"/>
  <c r="J30" i="92" s="1"/>
  <c r="J31" i="92" s="1"/>
  <c r="J32" i="92" s="1"/>
  <c r="J33" i="92" s="1"/>
  <c r="J34" i="92" s="1"/>
  <c r="J35" i="92" s="1"/>
  <c r="J36" i="92" s="1"/>
  <c r="J37" i="92" s="1"/>
  <c r="J38" i="92" s="1"/>
  <c r="J39" i="92" s="1"/>
  <c r="J40" i="92" s="1"/>
  <c r="J41" i="92" s="1"/>
  <c r="J42" i="92" s="1"/>
  <c r="J43" i="92" s="1"/>
  <c r="J44" i="92" s="1"/>
  <c r="J45" i="92" s="1"/>
  <c r="J46" i="92" s="1"/>
  <c r="J47" i="92" s="1"/>
  <c r="J48" i="92" s="1"/>
  <c r="J49" i="92" s="1"/>
  <c r="J50" i="92" s="1"/>
  <c r="J51" i="92" s="1"/>
  <c r="J52" i="92" s="1"/>
  <c r="J53" i="92" s="1"/>
  <c r="J54" i="92" s="1"/>
  <c r="J55" i="92" s="1"/>
  <c r="J56" i="92" s="1"/>
  <c r="J57" i="92" s="1"/>
  <c r="J58" i="92" s="1"/>
  <c r="P156" i="91"/>
  <c r="P157" i="91" s="1"/>
  <c r="P158" i="91" s="1"/>
  <c r="P159" i="91" s="1"/>
  <c r="P160" i="91" s="1"/>
  <c r="P161" i="91" s="1"/>
  <c r="P162" i="91" s="1"/>
  <c r="P163" i="91" s="1"/>
  <c r="P164" i="91" s="1"/>
  <c r="P165" i="91" s="1"/>
  <c r="P166" i="91" s="1"/>
  <c r="P167" i="91" s="1"/>
  <c r="P168" i="91" s="1"/>
  <c r="P169" i="91" s="1"/>
  <c r="P170" i="91" s="1"/>
  <c r="P171" i="91" s="1"/>
  <c r="P172" i="91" s="1"/>
  <c r="P173" i="91" s="1"/>
  <c r="P174" i="91" s="1"/>
  <c r="P175" i="91" s="1"/>
  <c r="P176" i="91" s="1"/>
  <c r="P177" i="91" s="1"/>
  <c r="P178" i="91" s="1"/>
  <c r="P179" i="91" s="1"/>
  <c r="P180" i="91" s="1"/>
  <c r="P181" i="91" s="1"/>
  <c r="P182" i="91" s="1"/>
  <c r="P183" i="91" s="1"/>
  <c r="P184" i="91" s="1"/>
  <c r="P185" i="91" s="1"/>
  <c r="P186" i="91" s="1"/>
  <c r="P187" i="91" s="1"/>
  <c r="P188" i="91" s="1"/>
  <c r="P189" i="91" s="1"/>
  <c r="P190" i="91" s="1"/>
  <c r="P191" i="91" s="1"/>
  <c r="P192" i="91" s="1"/>
  <c r="P193" i="91" s="1"/>
  <c r="P194" i="91" s="1"/>
  <c r="P195" i="91" s="1"/>
  <c r="P196" i="91" s="1"/>
  <c r="P197" i="91" s="1"/>
  <c r="P198" i="91" s="1"/>
  <c r="P199" i="91" s="1"/>
  <c r="P200" i="91" s="1"/>
  <c r="P201" i="91" s="1"/>
  <c r="P202" i="91" s="1"/>
  <c r="E155" i="91"/>
  <c r="F155" i="91" s="1"/>
  <c r="J156" i="91"/>
  <c r="J157" i="91" s="1"/>
  <c r="J158" i="91" s="1"/>
  <c r="J159" i="91" s="1"/>
  <c r="J160" i="91" s="1"/>
  <c r="J161" i="91" s="1"/>
  <c r="J162" i="91" s="1"/>
  <c r="J163" i="91" s="1"/>
  <c r="J164" i="91" s="1"/>
  <c r="J165" i="91" s="1"/>
  <c r="J166" i="91" s="1"/>
  <c r="J167" i="91" s="1"/>
  <c r="J168" i="91" s="1"/>
  <c r="J169" i="91" s="1"/>
  <c r="J170" i="91" s="1"/>
  <c r="K59" i="91"/>
  <c r="C59" i="91" s="1"/>
  <c r="H59" i="91"/>
  <c r="J60" i="91"/>
  <c r="J61" i="91" s="1"/>
  <c r="J62" i="91" s="1"/>
  <c r="J63" i="91" s="1"/>
  <c r="J64" i="91" s="1"/>
  <c r="J65" i="91" s="1"/>
  <c r="J66" i="91" s="1"/>
  <c r="J67" i="91" s="1"/>
  <c r="J68" i="91" s="1"/>
  <c r="J69" i="91" s="1"/>
  <c r="J70" i="91" s="1"/>
  <c r="J71" i="91" s="1"/>
  <c r="J72" i="91" s="1"/>
  <c r="J73" i="91" s="1"/>
  <c r="J74" i="91" s="1"/>
  <c r="N60" i="91"/>
  <c r="N61" i="91" s="1"/>
  <c r="N62" i="91" s="1"/>
  <c r="N63" i="91" s="1"/>
  <c r="N64" i="91" s="1"/>
  <c r="N65" i="91" s="1"/>
  <c r="N66" i="91" s="1"/>
  <c r="N67" i="91" s="1"/>
  <c r="N68" i="91" s="1"/>
  <c r="N69" i="91" s="1"/>
  <c r="N70" i="91" s="1"/>
  <c r="N71" i="91" s="1"/>
  <c r="N72" i="91" s="1"/>
  <c r="N73" i="91" s="1"/>
  <c r="N74" i="91" s="1"/>
  <c r="N75" i="91" s="1"/>
  <c r="N76" i="91" s="1"/>
  <c r="N77" i="91" s="1"/>
  <c r="N78" i="91" s="1"/>
  <c r="N79" i="91" s="1"/>
  <c r="N80" i="91" s="1"/>
  <c r="N81" i="91" s="1"/>
  <c r="N82" i="91" s="1"/>
  <c r="N83" i="91" s="1"/>
  <c r="N84" i="91" s="1"/>
  <c r="N85" i="91" s="1"/>
  <c r="N86" i="91" s="1"/>
  <c r="N87" i="91" s="1"/>
  <c r="N88" i="91" s="1"/>
  <c r="N89" i="91" s="1"/>
  <c r="N90" i="91" s="1"/>
  <c r="N91" i="91" s="1"/>
  <c r="N92" i="91" s="1"/>
  <c r="N93" i="91" s="1"/>
  <c r="N94" i="91" s="1"/>
  <c r="N95" i="91" s="1"/>
  <c r="N96" i="91" s="1"/>
  <c r="N97" i="91" s="1"/>
  <c r="N98" i="91" s="1"/>
  <c r="N99" i="91" s="1"/>
  <c r="N100" i="91" s="1"/>
  <c r="N101" i="91" s="1"/>
  <c r="N102" i="91" s="1"/>
  <c r="N103" i="91" s="1"/>
  <c r="N104" i="91" s="1"/>
  <c r="N105" i="91" s="1"/>
  <c r="N106" i="91" s="1"/>
  <c r="N156" i="91"/>
  <c r="N157" i="91" s="1"/>
  <c r="N158" i="91" s="1"/>
  <c r="N159" i="91" s="1"/>
  <c r="N160" i="91" s="1"/>
  <c r="N161" i="91" s="1"/>
  <c r="N162" i="91" s="1"/>
  <c r="N163" i="91" s="1"/>
  <c r="N164" i="91" s="1"/>
  <c r="N165" i="91" s="1"/>
  <c r="N166" i="91" s="1"/>
  <c r="N167" i="91" s="1"/>
  <c r="N168" i="91" s="1"/>
  <c r="N169" i="91" s="1"/>
  <c r="N170" i="91" s="1"/>
  <c r="N171" i="91" s="1"/>
  <c r="N172" i="91" s="1"/>
  <c r="N173" i="91" s="1"/>
  <c r="N174" i="91" s="1"/>
  <c r="N175" i="91" s="1"/>
  <c r="N176" i="91" s="1"/>
  <c r="N177" i="91" s="1"/>
  <c r="N178" i="91" s="1"/>
  <c r="N179" i="91" s="1"/>
  <c r="N180" i="91" s="1"/>
  <c r="N181" i="91" s="1"/>
  <c r="N182" i="91" s="1"/>
  <c r="N183" i="91" s="1"/>
  <c r="N184" i="91" s="1"/>
  <c r="N185" i="91" s="1"/>
  <c r="N186" i="91" s="1"/>
  <c r="N187" i="91" s="1"/>
  <c r="N188" i="91" s="1"/>
  <c r="N189" i="91" s="1"/>
  <c r="N190" i="91" s="1"/>
  <c r="N191" i="91" s="1"/>
  <c r="N192" i="91" s="1"/>
  <c r="N193" i="91" s="1"/>
  <c r="N194" i="91" s="1"/>
  <c r="N195" i="91" s="1"/>
  <c r="N196" i="91" s="1"/>
  <c r="N197" i="91" s="1"/>
  <c r="N198" i="91" s="1"/>
  <c r="N199" i="91" s="1"/>
  <c r="N200" i="91" s="1"/>
  <c r="N201" i="91" s="1"/>
  <c r="N202" i="91" s="1"/>
  <c r="L60" i="87"/>
  <c r="L61" i="87" s="1"/>
  <c r="L62" i="87" s="1"/>
  <c r="L63" i="87" s="1"/>
  <c r="L64" i="87" s="1"/>
  <c r="L65" i="87" s="1"/>
  <c r="L66" i="87" s="1"/>
  <c r="L67" i="87" s="1"/>
  <c r="L68" i="87" s="1"/>
  <c r="L69" i="87" s="1"/>
  <c r="L70" i="87" s="1"/>
  <c r="L71" i="87" s="1"/>
  <c r="L72" i="87" s="1"/>
  <c r="L73" i="87" s="1"/>
  <c r="L74" i="87" s="1"/>
  <c r="L75" i="87" s="1"/>
  <c r="L76" i="87" s="1"/>
  <c r="L77" i="87" s="1"/>
  <c r="L78" i="87" s="1"/>
  <c r="L79" i="87" s="1"/>
  <c r="L80" i="87" s="1"/>
  <c r="L81" i="87" s="1"/>
  <c r="L82" i="87" s="1"/>
  <c r="K35" i="93"/>
  <c r="C35" i="93" s="1"/>
  <c r="E35" i="93"/>
  <c r="F35" i="93" s="1"/>
  <c r="H38" i="93"/>
  <c r="G38" i="93"/>
  <c r="K39" i="93"/>
  <c r="E39" i="93"/>
  <c r="F39" i="93" s="1"/>
  <c r="K41" i="93"/>
  <c r="E41" i="93"/>
  <c r="F41" i="93" s="1"/>
  <c r="E43" i="93"/>
  <c r="F43" i="93" s="1"/>
  <c r="K43" i="93"/>
  <c r="K45" i="93"/>
  <c r="E45" i="93"/>
  <c r="F45" i="93" s="1"/>
  <c r="E47" i="93"/>
  <c r="F47" i="93" s="1"/>
  <c r="K47" i="93"/>
  <c r="C47" i="93" s="1"/>
  <c r="K49" i="93"/>
  <c r="E49" i="93"/>
  <c r="F49" i="93" s="1"/>
  <c r="E51" i="93"/>
  <c r="F51" i="93" s="1"/>
  <c r="K51" i="93"/>
  <c r="K53" i="93"/>
  <c r="E53" i="93"/>
  <c r="F53" i="93" s="1"/>
  <c r="E55" i="93"/>
  <c r="F55" i="93" s="1"/>
  <c r="K55" i="93"/>
  <c r="K57" i="93"/>
  <c r="E57" i="93"/>
  <c r="F57" i="93" s="1"/>
  <c r="D84" i="93"/>
  <c r="K83" i="93"/>
  <c r="C83" i="93" s="1"/>
  <c r="E83" i="93"/>
  <c r="F83" i="93" s="1"/>
  <c r="N12" i="91"/>
  <c r="N13" i="91" s="1"/>
  <c r="N14" i="91" s="1"/>
  <c r="N15" i="91" s="1"/>
  <c r="N16" i="91" s="1"/>
  <c r="N17" i="91" s="1"/>
  <c r="N18" i="91" s="1"/>
  <c r="N19" i="91" s="1"/>
  <c r="N20" i="91" s="1"/>
  <c r="N21" i="91" s="1"/>
  <c r="N22" i="91" s="1"/>
  <c r="N23" i="91" s="1"/>
  <c r="N24" i="91" s="1"/>
  <c r="N25" i="91" s="1"/>
  <c r="N26" i="91" s="1"/>
  <c r="N27" i="91" s="1"/>
  <c r="N28" i="91" s="1"/>
  <c r="N29" i="91" s="1"/>
  <c r="N30" i="91" s="1"/>
  <c r="N31" i="91" s="1"/>
  <c r="N32" i="91" s="1"/>
  <c r="N33" i="91" s="1"/>
  <c r="N34" i="91" s="1"/>
  <c r="N35" i="91" s="1"/>
  <c r="N36" i="91" s="1"/>
  <c r="N37" i="91" s="1"/>
  <c r="N38" i="91" s="1"/>
  <c r="N39" i="91" s="1"/>
  <c r="N40" i="91" s="1"/>
  <c r="N41" i="91" s="1"/>
  <c r="N42" i="91" s="1"/>
  <c r="N43" i="91" s="1"/>
  <c r="N44" i="91" s="1"/>
  <c r="N45" i="91" s="1"/>
  <c r="N46" i="91" s="1"/>
  <c r="N47" i="91" s="1"/>
  <c r="N48" i="91" s="1"/>
  <c r="N49" i="91" s="1"/>
  <c r="N50" i="91" s="1"/>
  <c r="N51" i="91" s="1"/>
  <c r="N52" i="91" s="1"/>
  <c r="N53" i="91" s="1"/>
  <c r="N54" i="91" s="1"/>
  <c r="N55" i="91" s="1"/>
  <c r="N56" i="91" s="1"/>
  <c r="N57" i="91" s="1"/>
  <c r="N58" i="91" s="1"/>
  <c r="P12" i="91"/>
  <c r="P13" i="91" s="1"/>
  <c r="P14" i="91" s="1"/>
  <c r="P15" i="91" s="1"/>
  <c r="P16" i="91" s="1"/>
  <c r="P17" i="91" s="1"/>
  <c r="P18" i="91" s="1"/>
  <c r="P19" i="91" s="1"/>
  <c r="P20" i="91" s="1"/>
  <c r="P21" i="91" s="1"/>
  <c r="P22" i="91" s="1"/>
  <c r="P23" i="91" s="1"/>
  <c r="P24" i="91" s="1"/>
  <c r="P25" i="91" s="1"/>
  <c r="P26" i="91" s="1"/>
  <c r="P27" i="91" s="1"/>
  <c r="P28" i="91" s="1"/>
  <c r="P29" i="91" s="1"/>
  <c r="P30" i="91" s="1"/>
  <c r="P31" i="91" s="1"/>
  <c r="P32" i="91" s="1"/>
  <c r="P33" i="91" s="1"/>
  <c r="P34" i="91" s="1"/>
  <c r="P35" i="91" s="1"/>
  <c r="P36" i="91" s="1"/>
  <c r="P37" i="91" s="1"/>
  <c r="P38" i="91" s="1"/>
  <c r="P39" i="91" s="1"/>
  <c r="P40" i="91" s="1"/>
  <c r="P41" i="91" s="1"/>
  <c r="P42" i="91" s="1"/>
  <c r="P43" i="91" s="1"/>
  <c r="P44" i="91" s="1"/>
  <c r="P45" i="91" s="1"/>
  <c r="P46" i="91" s="1"/>
  <c r="P47" i="91" s="1"/>
  <c r="P48" i="91" s="1"/>
  <c r="P49" i="91" s="1"/>
  <c r="P50" i="91" s="1"/>
  <c r="P51" i="91" s="1"/>
  <c r="P52" i="91" s="1"/>
  <c r="P53" i="91" s="1"/>
  <c r="P54" i="91" s="1"/>
  <c r="P55" i="91" s="1"/>
  <c r="P56" i="91" s="1"/>
  <c r="P57" i="91" s="1"/>
  <c r="P58" i="91" s="1"/>
  <c r="P60" i="92"/>
  <c r="P61" i="92" s="1"/>
  <c r="P62" i="92" s="1"/>
  <c r="P63" i="92" s="1"/>
  <c r="P64" i="92" s="1"/>
  <c r="P65" i="92" s="1"/>
  <c r="P66" i="92" s="1"/>
  <c r="P67" i="92" s="1"/>
  <c r="P68" i="92" s="1"/>
  <c r="P69" i="92" s="1"/>
  <c r="P70" i="92" s="1"/>
  <c r="P71" i="92" s="1"/>
  <c r="P72" i="92" s="1"/>
  <c r="P73" i="92" s="1"/>
  <c r="P74" i="92" s="1"/>
  <c r="P75" i="92" s="1"/>
  <c r="P76" i="92" s="1"/>
  <c r="P77" i="92" s="1"/>
  <c r="P78" i="92" s="1"/>
  <c r="P79" i="92" s="1"/>
  <c r="P80" i="92" s="1"/>
  <c r="P81" i="92" s="1"/>
  <c r="P82" i="92" s="1"/>
  <c r="P83" i="92" s="1"/>
  <c r="P84" i="92" s="1"/>
  <c r="P85" i="92" s="1"/>
  <c r="P86" i="92" s="1"/>
  <c r="P87" i="92" s="1"/>
  <c r="P88" i="92" s="1"/>
  <c r="P89" i="92" s="1"/>
  <c r="P90" i="92" s="1"/>
  <c r="P91" i="92" s="1"/>
  <c r="P92" i="92" s="1"/>
  <c r="P93" i="92" s="1"/>
  <c r="P94" i="92" s="1"/>
  <c r="P95" i="92" s="1"/>
  <c r="P96" i="92" s="1"/>
  <c r="P97" i="92" s="1"/>
  <c r="P98" i="92" s="1"/>
  <c r="P99" i="92" s="1"/>
  <c r="P100" i="92" s="1"/>
  <c r="P101" i="92" s="1"/>
  <c r="P102" i="92" s="1"/>
  <c r="P103" i="92" s="1"/>
  <c r="P104" i="92" s="1"/>
  <c r="P105" i="92" s="1"/>
  <c r="P106" i="92" s="1"/>
  <c r="P108" i="92"/>
  <c r="P109" i="92" s="1"/>
  <c r="P110" i="92" s="1"/>
  <c r="P111" i="92" s="1"/>
  <c r="P112" i="92" s="1"/>
  <c r="P113" i="92" s="1"/>
  <c r="P114" i="92" s="1"/>
  <c r="P115" i="92" s="1"/>
  <c r="P116" i="92" s="1"/>
  <c r="P117" i="92" s="1"/>
  <c r="P118" i="92" s="1"/>
  <c r="P119" i="92" s="1"/>
  <c r="P120" i="92" s="1"/>
  <c r="P121" i="92" s="1"/>
  <c r="P122" i="92" s="1"/>
  <c r="P123" i="92" s="1"/>
  <c r="P124" i="92" s="1"/>
  <c r="P125" i="92" s="1"/>
  <c r="P126" i="92" s="1"/>
  <c r="P127" i="92" s="1"/>
  <c r="P128" i="92" s="1"/>
  <c r="P129" i="92" s="1"/>
  <c r="P130" i="92" s="1"/>
  <c r="P131" i="92" s="1"/>
  <c r="P132" i="92" s="1"/>
  <c r="P133" i="92" s="1"/>
  <c r="P134" i="92" s="1"/>
  <c r="P135" i="92" s="1"/>
  <c r="P136" i="92" s="1"/>
  <c r="P137" i="92" s="1"/>
  <c r="P138" i="92" s="1"/>
  <c r="P139" i="92" s="1"/>
  <c r="P140" i="92" s="1"/>
  <c r="P141" i="92" s="1"/>
  <c r="P142" i="92" s="1"/>
  <c r="P143" i="92" s="1"/>
  <c r="P144" i="92" s="1"/>
  <c r="P145" i="92" s="1"/>
  <c r="P146" i="92" s="1"/>
  <c r="P147" i="92" s="1"/>
  <c r="P148" i="92" s="1"/>
  <c r="P149" i="92" s="1"/>
  <c r="P150" i="92" s="1"/>
  <c r="P151" i="92" s="1"/>
  <c r="P152" i="92" s="1"/>
  <c r="P153" i="92" s="1"/>
  <c r="P154" i="92" s="1"/>
  <c r="P156" i="92"/>
  <c r="P157" i="92" s="1"/>
  <c r="P158" i="92" s="1"/>
  <c r="P159" i="92" s="1"/>
  <c r="P160" i="92" s="1"/>
  <c r="P161" i="92" s="1"/>
  <c r="P162" i="92" s="1"/>
  <c r="P163" i="92" s="1"/>
  <c r="P164" i="92" s="1"/>
  <c r="P165" i="92" s="1"/>
  <c r="P166" i="92" s="1"/>
  <c r="P167" i="92" s="1"/>
  <c r="P168" i="92" s="1"/>
  <c r="P169" i="92" s="1"/>
  <c r="P170" i="92" s="1"/>
  <c r="P171" i="92" s="1"/>
  <c r="P172" i="92" s="1"/>
  <c r="P173" i="92" s="1"/>
  <c r="P174" i="92" s="1"/>
  <c r="P175" i="92" s="1"/>
  <c r="P176" i="92" s="1"/>
  <c r="P177" i="92" s="1"/>
  <c r="P178" i="92" s="1"/>
  <c r="P179" i="92" s="1"/>
  <c r="P180" i="92" s="1"/>
  <c r="P181" i="92" s="1"/>
  <c r="P182" i="92" s="1"/>
  <c r="P183" i="92" s="1"/>
  <c r="P184" i="92" s="1"/>
  <c r="P185" i="92" s="1"/>
  <c r="P186" i="92" s="1"/>
  <c r="P187" i="92" s="1"/>
  <c r="P188" i="92" s="1"/>
  <c r="P189" i="92" s="1"/>
  <c r="P190" i="92" s="1"/>
  <c r="P191" i="92" s="1"/>
  <c r="P192" i="92" s="1"/>
  <c r="P193" i="92" s="1"/>
  <c r="P194" i="92" s="1"/>
  <c r="P195" i="92" s="1"/>
  <c r="P196" i="92" s="1"/>
  <c r="P197" i="92" s="1"/>
  <c r="P198" i="92" s="1"/>
  <c r="P199" i="92" s="1"/>
  <c r="P200" i="92" s="1"/>
  <c r="P201" i="92" s="1"/>
  <c r="P202" i="92" s="1"/>
  <c r="K59" i="87"/>
  <c r="C59" i="87" s="1"/>
  <c r="K155" i="87"/>
  <c r="C155" i="87" s="1"/>
  <c r="I60" i="87"/>
  <c r="I61" i="87" s="1"/>
  <c r="I62" i="87" s="1"/>
  <c r="I63" i="87" s="1"/>
  <c r="I64" i="87" s="1"/>
  <c r="I65" i="87" s="1"/>
  <c r="I66" i="87" s="1"/>
  <c r="I67" i="87" s="1"/>
  <c r="I68" i="87" s="1"/>
  <c r="I69" i="87" s="1"/>
  <c r="I70" i="87" s="1"/>
  <c r="I71" i="87" s="1"/>
  <c r="I72" i="87" s="1"/>
  <c r="I73" i="87" s="1"/>
  <c r="I74" i="87" s="1"/>
  <c r="I75" i="87" s="1"/>
  <c r="I76" i="87" s="1"/>
  <c r="I77" i="87" s="1"/>
  <c r="I78" i="87" s="1"/>
  <c r="I79" i="87" s="1"/>
  <c r="I80" i="87" s="1"/>
  <c r="I81" i="87" s="1"/>
  <c r="I82" i="87" s="1"/>
  <c r="N108" i="91"/>
  <c r="N109" i="91" s="1"/>
  <c r="N110" i="91" s="1"/>
  <c r="N111" i="91" s="1"/>
  <c r="N112" i="91" s="1"/>
  <c r="N113" i="91" s="1"/>
  <c r="N114" i="91" s="1"/>
  <c r="N115" i="91" s="1"/>
  <c r="N116" i="91" s="1"/>
  <c r="N117" i="91" s="1"/>
  <c r="N118" i="91" s="1"/>
  <c r="N119" i="91" s="1"/>
  <c r="N120" i="91" s="1"/>
  <c r="N121" i="91" s="1"/>
  <c r="N122" i="91" s="1"/>
  <c r="N123" i="91" s="1"/>
  <c r="N124" i="91" s="1"/>
  <c r="N125" i="91" s="1"/>
  <c r="N126" i="91" s="1"/>
  <c r="N127" i="91" s="1"/>
  <c r="N128" i="91" s="1"/>
  <c r="N129" i="91" s="1"/>
  <c r="N130" i="91" s="1"/>
  <c r="N131" i="91" s="1"/>
  <c r="N132" i="91" s="1"/>
  <c r="N133" i="91" s="1"/>
  <c r="N134" i="91" s="1"/>
  <c r="N135" i="91" s="1"/>
  <c r="N136" i="91" s="1"/>
  <c r="N137" i="91" s="1"/>
  <c r="N138" i="91" s="1"/>
  <c r="N139" i="91" s="1"/>
  <c r="N140" i="91" s="1"/>
  <c r="N141" i="91" s="1"/>
  <c r="N142" i="91" s="1"/>
  <c r="N143" i="91" s="1"/>
  <c r="N144" i="91" s="1"/>
  <c r="N145" i="91" s="1"/>
  <c r="N146" i="91" s="1"/>
  <c r="N147" i="91" s="1"/>
  <c r="N148" i="91" s="1"/>
  <c r="N149" i="91" s="1"/>
  <c r="N150" i="91" s="1"/>
  <c r="N151" i="91" s="1"/>
  <c r="N152" i="91" s="1"/>
  <c r="N153" i="91" s="1"/>
  <c r="N154" i="91" s="1"/>
  <c r="P108" i="91"/>
  <c r="P109" i="91" s="1"/>
  <c r="P110" i="91" s="1"/>
  <c r="P111" i="91" s="1"/>
  <c r="P112" i="91" s="1"/>
  <c r="P113" i="91" s="1"/>
  <c r="P114" i="91" s="1"/>
  <c r="P115" i="91" s="1"/>
  <c r="P116" i="91" s="1"/>
  <c r="P117" i="91" s="1"/>
  <c r="P118" i="91" s="1"/>
  <c r="P119" i="91" s="1"/>
  <c r="P120" i="91" s="1"/>
  <c r="P121" i="91" s="1"/>
  <c r="P122" i="91" s="1"/>
  <c r="P123" i="91" s="1"/>
  <c r="P124" i="91" s="1"/>
  <c r="P125" i="91" s="1"/>
  <c r="P126" i="91" s="1"/>
  <c r="P127" i="91" s="1"/>
  <c r="P128" i="91" s="1"/>
  <c r="P129" i="91" s="1"/>
  <c r="P130" i="91" s="1"/>
  <c r="P131" i="91" s="1"/>
  <c r="P132" i="91" s="1"/>
  <c r="P133" i="91" s="1"/>
  <c r="P134" i="91" s="1"/>
  <c r="P135" i="91" s="1"/>
  <c r="P136" i="91" s="1"/>
  <c r="P137" i="91" s="1"/>
  <c r="P138" i="91" s="1"/>
  <c r="P139" i="91" s="1"/>
  <c r="P140" i="91" s="1"/>
  <c r="P141" i="91" s="1"/>
  <c r="P142" i="91" s="1"/>
  <c r="P143" i="91" s="1"/>
  <c r="P144" i="91" s="1"/>
  <c r="P145" i="91" s="1"/>
  <c r="P146" i="91" s="1"/>
  <c r="P147" i="91" s="1"/>
  <c r="P148" i="91" s="1"/>
  <c r="P149" i="91" s="1"/>
  <c r="P150" i="91" s="1"/>
  <c r="P151" i="91" s="1"/>
  <c r="P152" i="91" s="1"/>
  <c r="P153" i="91" s="1"/>
  <c r="P154" i="91" s="1"/>
  <c r="K155" i="89"/>
  <c r="C155" i="89" s="1"/>
  <c r="H155" i="89"/>
  <c r="G155" i="89"/>
  <c r="J156" i="89"/>
  <c r="J157" i="89" s="1"/>
  <c r="J158" i="89" s="1"/>
  <c r="J159" i="89" s="1"/>
  <c r="J160" i="89" s="1"/>
  <c r="J161" i="89" s="1"/>
  <c r="J162" i="89" s="1"/>
  <c r="J163" i="89" s="1"/>
  <c r="J164" i="89" s="1"/>
  <c r="J165" i="89" s="1"/>
  <c r="J166" i="89" s="1"/>
  <c r="J167" i="89" s="1"/>
  <c r="J168" i="89" s="1"/>
  <c r="J169" i="89" s="1"/>
  <c r="J170" i="89" s="1"/>
  <c r="J171" i="89" s="1"/>
  <c r="J172" i="89" s="1"/>
  <c r="J173" i="89" s="1"/>
  <c r="J174" i="89" s="1"/>
  <c r="J175" i="89" s="1"/>
  <c r="J176" i="89" s="1"/>
  <c r="J177" i="89" s="1"/>
  <c r="J178" i="89" s="1"/>
  <c r="J179" i="89" s="1"/>
  <c r="J180" i="89" s="1"/>
  <c r="J181" i="89" s="1"/>
  <c r="J182" i="89" s="1"/>
  <c r="J183" i="89" s="1"/>
  <c r="J184" i="89" s="1"/>
  <c r="J185" i="89" s="1"/>
  <c r="J186" i="89" s="1"/>
  <c r="J187" i="89" s="1"/>
  <c r="J188" i="89" s="1"/>
  <c r="J189" i="89" s="1"/>
  <c r="J190" i="89" s="1"/>
  <c r="J191" i="89" s="1"/>
  <c r="J192" i="89" s="1"/>
  <c r="J193" i="89" s="1"/>
  <c r="J194" i="89" s="1"/>
  <c r="J195" i="89" s="1"/>
  <c r="J196" i="89" s="1"/>
  <c r="J197" i="89" s="1"/>
  <c r="J198" i="89" s="1"/>
  <c r="J199" i="89" s="1"/>
  <c r="J200" i="89" s="1"/>
  <c r="J201" i="89" s="1"/>
  <c r="J202" i="89" s="1"/>
  <c r="N12" i="89"/>
  <c r="N13" i="89" s="1"/>
  <c r="N14" i="89" s="1"/>
  <c r="N15" i="89" s="1"/>
  <c r="N16" i="89" s="1"/>
  <c r="N17" i="89" s="1"/>
  <c r="N18" i="89" s="1"/>
  <c r="N19" i="89" s="1"/>
  <c r="N20" i="89" s="1"/>
  <c r="N21" i="89" s="1"/>
  <c r="N22" i="89" s="1"/>
  <c r="N23" i="89" s="1"/>
  <c r="N24" i="89" s="1"/>
  <c r="N25" i="89" s="1"/>
  <c r="N26" i="89" s="1"/>
  <c r="N27" i="89" s="1"/>
  <c r="N28" i="89" s="1"/>
  <c r="N29" i="89" s="1"/>
  <c r="N30" i="89" s="1"/>
  <c r="N31" i="89" s="1"/>
  <c r="N32" i="89" s="1"/>
  <c r="N33" i="89" s="1"/>
  <c r="N34" i="89" s="1"/>
  <c r="N35" i="89" s="1"/>
  <c r="N36" i="89" s="1"/>
  <c r="N37" i="89" s="1"/>
  <c r="N38" i="89" s="1"/>
  <c r="N39" i="89" s="1"/>
  <c r="N40" i="89" s="1"/>
  <c r="N41" i="89" s="1"/>
  <c r="N42" i="89" s="1"/>
  <c r="N43" i="89" s="1"/>
  <c r="N44" i="89" s="1"/>
  <c r="N45" i="89" s="1"/>
  <c r="N46" i="89" s="1"/>
  <c r="N47" i="89" s="1"/>
  <c r="N48" i="89" s="1"/>
  <c r="N49" i="89" s="1"/>
  <c r="N50" i="89" s="1"/>
  <c r="N51" i="89" s="1"/>
  <c r="N52" i="89" s="1"/>
  <c r="N53" i="89" s="1"/>
  <c r="N54" i="89" s="1"/>
  <c r="N55" i="89" s="1"/>
  <c r="N56" i="89" s="1"/>
  <c r="N57" i="89" s="1"/>
  <c r="N58" i="89" s="1"/>
  <c r="K62" i="89"/>
  <c r="K63" i="89"/>
  <c r="K71" i="89"/>
  <c r="C71" i="89" s="1"/>
  <c r="K70" i="89"/>
  <c r="J60" i="89"/>
  <c r="J61" i="89" s="1"/>
  <c r="J62" i="89" s="1"/>
  <c r="J63" i="89" s="1"/>
  <c r="J64" i="89" s="1"/>
  <c r="J65" i="89" s="1"/>
  <c r="J66" i="89" s="1"/>
  <c r="J67" i="89" s="1"/>
  <c r="J68" i="89" s="1"/>
  <c r="J69" i="89" s="1"/>
  <c r="J70" i="89" s="1"/>
  <c r="J71" i="89" s="1"/>
  <c r="J72" i="89" s="1"/>
  <c r="J73" i="89" s="1"/>
  <c r="J74" i="89" s="1"/>
  <c r="J75" i="89" s="1"/>
  <c r="J76" i="89" s="1"/>
  <c r="J77" i="89" s="1"/>
  <c r="J78" i="89" s="1"/>
  <c r="J79" i="89" s="1"/>
  <c r="J80" i="89" s="1"/>
  <c r="J81" i="89" s="1"/>
  <c r="J82" i="89" s="1"/>
  <c r="J83" i="89" s="1"/>
  <c r="J84" i="89" s="1"/>
  <c r="J85" i="89" s="1"/>
  <c r="J86" i="89" s="1"/>
  <c r="J87" i="89" s="1"/>
  <c r="J88" i="89" s="1"/>
  <c r="J89" i="89" s="1"/>
  <c r="J90" i="89" s="1"/>
  <c r="J91" i="89" s="1"/>
  <c r="J92" i="89" s="1"/>
  <c r="J93" i="89" s="1"/>
  <c r="J94" i="89" s="1"/>
  <c r="J95" i="89" s="1"/>
  <c r="J96" i="89" s="1"/>
  <c r="J97" i="89" s="1"/>
  <c r="J98" i="89" s="1"/>
  <c r="J99" i="89" s="1"/>
  <c r="J100" i="89" s="1"/>
  <c r="J101" i="89" s="1"/>
  <c r="J102" i="89" s="1"/>
  <c r="J103" i="89" s="1"/>
  <c r="J104" i="89" s="1"/>
  <c r="J105" i="89" s="1"/>
  <c r="J106" i="89" s="1"/>
  <c r="E59" i="89"/>
  <c r="F59" i="89" s="1"/>
  <c r="E87" i="89"/>
  <c r="F87" i="89" s="1"/>
  <c r="H87" i="89" s="1"/>
  <c r="E95" i="89"/>
  <c r="F95" i="89" s="1"/>
  <c r="H95" i="89" s="1"/>
  <c r="E67" i="89"/>
  <c r="F67" i="89" s="1"/>
  <c r="H67" i="89" s="1"/>
  <c r="K68" i="89"/>
  <c r="C68" i="89" s="1"/>
  <c r="E86" i="89"/>
  <c r="F86" i="89" s="1"/>
  <c r="H86" i="89" s="1"/>
  <c r="E90" i="89"/>
  <c r="F90" i="89" s="1"/>
  <c r="H90" i="89" s="1"/>
  <c r="E91" i="89"/>
  <c r="F91" i="89" s="1"/>
  <c r="H91" i="89" s="1"/>
  <c r="E94" i="89"/>
  <c r="F94" i="89" s="1"/>
  <c r="H94" i="89" s="1"/>
  <c r="K88" i="89"/>
  <c r="E66" i="89"/>
  <c r="F66" i="89" s="1"/>
  <c r="H66" i="89" s="1"/>
  <c r="H60" i="89"/>
  <c r="G60" i="89"/>
  <c r="H85" i="89"/>
  <c r="G85" i="89"/>
  <c r="H93" i="89"/>
  <c r="H65" i="89"/>
  <c r="K64" i="89"/>
  <c r="K92" i="89"/>
  <c r="K60" i="89"/>
  <c r="E61" i="89"/>
  <c r="F61" i="89" s="1"/>
  <c r="K65" i="89"/>
  <c r="E69" i="89"/>
  <c r="F69" i="89" s="1"/>
  <c r="E84" i="89"/>
  <c r="F84" i="89" s="1"/>
  <c r="K85" i="89"/>
  <c r="E89" i="89"/>
  <c r="F89" i="89" s="1"/>
  <c r="K93" i="89"/>
  <c r="G63" i="89"/>
  <c r="J12" i="89"/>
  <c r="J13" i="89" s="1"/>
  <c r="J14" i="89" s="1"/>
  <c r="J15" i="89" s="1"/>
  <c r="J16" i="89" s="1"/>
  <c r="J17" i="89" s="1"/>
  <c r="J18" i="89" s="1"/>
  <c r="J19" i="89" s="1"/>
  <c r="J20" i="89" s="1"/>
  <c r="J21" i="89" s="1"/>
  <c r="J22" i="89" s="1"/>
  <c r="J23" i="89" s="1"/>
  <c r="J24" i="89" s="1"/>
  <c r="J25" i="89" s="1"/>
  <c r="J26" i="89" s="1"/>
  <c r="J27" i="89" s="1"/>
  <c r="J28" i="89" s="1"/>
  <c r="J29" i="89" s="1"/>
  <c r="J30" i="89" s="1"/>
  <c r="J31" i="89" s="1"/>
  <c r="J32" i="89" s="1"/>
  <c r="J33" i="89" s="1"/>
  <c r="J34" i="89" s="1"/>
  <c r="J35" i="89" s="1"/>
  <c r="J36" i="89" s="1"/>
  <c r="J37" i="89" s="1"/>
  <c r="J38" i="89" s="1"/>
  <c r="J39" i="89" s="1"/>
  <c r="J40" i="89" s="1"/>
  <c r="J41" i="89" s="1"/>
  <c r="J42" i="89" s="1"/>
  <c r="J43" i="89" s="1"/>
  <c r="J44" i="89" s="1"/>
  <c r="J45" i="89" s="1"/>
  <c r="J46" i="89" s="1"/>
  <c r="J47" i="89" s="1"/>
  <c r="J48" i="89" s="1"/>
  <c r="J49" i="89" s="1"/>
  <c r="J50" i="89" s="1"/>
  <c r="J51" i="89" s="1"/>
  <c r="J52" i="89" s="1"/>
  <c r="J53" i="89" s="1"/>
  <c r="J54" i="89" s="1"/>
  <c r="J55" i="89" s="1"/>
  <c r="J56" i="89" s="1"/>
  <c r="J57" i="89" s="1"/>
  <c r="J58" i="89" s="1"/>
  <c r="H155" i="87"/>
  <c r="G155" i="87"/>
  <c r="J156" i="87"/>
  <c r="J157" i="87" s="1"/>
  <c r="J158" i="87" s="1"/>
  <c r="J159" i="87" s="1"/>
  <c r="J160" i="87" s="1"/>
  <c r="J161" i="87" s="1"/>
  <c r="J162" i="87" s="1"/>
  <c r="J163" i="87" s="1"/>
  <c r="J164" i="87" s="1"/>
  <c r="J165" i="87" s="1"/>
  <c r="J166" i="87" s="1"/>
  <c r="J167" i="87" s="1"/>
  <c r="J168" i="87" s="1"/>
  <c r="J169" i="87" s="1"/>
  <c r="J170" i="87" s="1"/>
  <c r="J171" i="87" s="1"/>
  <c r="J172" i="87" s="1"/>
  <c r="J173" i="87" s="1"/>
  <c r="J174" i="87" s="1"/>
  <c r="J175" i="87" s="1"/>
  <c r="J176" i="87" s="1"/>
  <c r="J177" i="87" s="1"/>
  <c r="J178" i="87" s="1"/>
  <c r="J179" i="87" s="1"/>
  <c r="J180" i="87" s="1"/>
  <c r="J181" i="87" s="1"/>
  <c r="J182" i="87" s="1"/>
  <c r="J183" i="87" s="1"/>
  <c r="J184" i="87" s="1"/>
  <c r="J185" i="87" s="1"/>
  <c r="J186" i="87" s="1"/>
  <c r="J187" i="87" s="1"/>
  <c r="J188" i="87" s="1"/>
  <c r="J189" i="87" s="1"/>
  <c r="J190" i="87" s="1"/>
  <c r="J191" i="87" s="1"/>
  <c r="J192" i="87" s="1"/>
  <c r="J193" i="87" s="1"/>
  <c r="J194" i="87" s="1"/>
  <c r="J195" i="87" s="1"/>
  <c r="J196" i="87" s="1"/>
  <c r="J197" i="87" s="1"/>
  <c r="J198" i="87" s="1"/>
  <c r="J199" i="87" s="1"/>
  <c r="J200" i="87" s="1"/>
  <c r="J201" i="87" s="1"/>
  <c r="J202" i="87" s="1"/>
  <c r="E94" i="87"/>
  <c r="F94" i="87" s="1"/>
  <c r="G94" i="87" s="1"/>
  <c r="K99" i="87"/>
  <c r="K91" i="87"/>
  <c r="E86" i="87"/>
  <c r="F86" i="87" s="1"/>
  <c r="H86" i="87" s="1"/>
  <c r="E73" i="87"/>
  <c r="F73" i="87" s="1"/>
  <c r="G73" i="87" s="1"/>
  <c r="K89" i="87"/>
  <c r="K102" i="87"/>
  <c r="J12" i="87"/>
  <c r="J13" i="87" s="1"/>
  <c r="J14" i="87" s="1"/>
  <c r="J15" i="87" s="1"/>
  <c r="J16" i="87" s="1"/>
  <c r="J17" i="87" s="1"/>
  <c r="J18" i="87" s="1"/>
  <c r="J19" i="87" s="1"/>
  <c r="J20" i="87" s="1"/>
  <c r="J21" i="87" s="1"/>
  <c r="J22" i="87" s="1"/>
  <c r="J23" i="87" s="1"/>
  <c r="J24" i="87" s="1"/>
  <c r="J25" i="87" s="1"/>
  <c r="J26" i="87" s="1"/>
  <c r="J27" i="87" s="1"/>
  <c r="J28" i="87" s="1"/>
  <c r="J29" i="87" s="1"/>
  <c r="J30" i="87" s="1"/>
  <c r="J31" i="87" s="1"/>
  <c r="J32" i="87" s="1"/>
  <c r="J33" i="87" s="1"/>
  <c r="J34" i="87" s="1"/>
  <c r="J35" i="87" s="1"/>
  <c r="J36" i="87" s="1"/>
  <c r="J37" i="87" s="1"/>
  <c r="J38" i="87" s="1"/>
  <c r="J39" i="87" s="1"/>
  <c r="J40" i="87" s="1"/>
  <c r="J41" i="87" s="1"/>
  <c r="J42" i="87" s="1"/>
  <c r="J43" i="87" s="1"/>
  <c r="J44" i="87" s="1"/>
  <c r="J45" i="87" s="1"/>
  <c r="J46" i="87" s="1"/>
  <c r="J47" i="87" s="1"/>
  <c r="J48" i="87" s="1"/>
  <c r="J49" i="87" s="1"/>
  <c r="J50" i="87" s="1"/>
  <c r="J51" i="87" s="1"/>
  <c r="J52" i="87" s="1"/>
  <c r="J53" i="87" s="1"/>
  <c r="J54" i="87" s="1"/>
  <c r="J55" i="87" s="1"/>
  <c r="J56" i="87" s="1"/>
  <c r="J57" i="87" s="1"/>
  <c r="J58" i="87" s="1"/>
  <c r="J60" i="87" s="1"/>
  <c r="J61" i="87" s="1"/>
  <c r="J62" i="87" s="1"/>
  <c r="J63" i="87" s="1"/>
  <c r="J64" i="87" s="1"/>
  <c r="J65" i="87" s="1"/>
  <c r="J66" i="87" s="1"/>
  <c r="J67" i="87" s="1"/>
  <c r="J68" i="87" s="1"/>
  <c r="J69" i="87" s="1"/>
  <c r="J70" i="87" s="1"/>
  <c r="J71" i="87" s="1"/>
  <c r="J72" i="87" s="1"/>
  <c r="J73" i="87" s="1"/>
  <c r="J74" i="87" s="1"/>
  <c r="J75" i="87" s="1"/>
  <c r="J76" i="87" s="1"/>
  <c r="J77" i="87" s="1"/>
  <c r="J78" i="87" s="1"/>
  <c r="J79" i="87" s="1"/>
  <c r="J80" i="87" s="1"/>
  <c r="J81" i="87" s="1"/>
  <c r="J82" i="87" s="1"/>
  <c r="J83" i="87" s="1"/>
  <c r="J84" i="87" s="1"/>
  <c r="J85" i="87" s="1"/>
  <c r="J86" i="87" s="1"/>
  <c r="J87" i="87" s="1"/>
  <c r="J88" i="87" s="1"/>
  <c r="J89" i="87" s="1"/>
  <c r="J90" i="87" s="1"/>
  <c r="J91" i="87" s="1"/>
  <c r="J92" i="87" s="1"/>
  <c r="J93" i="87" s="1"/>
  <c r="J94" i="87" s="1"/>
  <c r="J95" i="87" s="1"/>
  <c r="J96" i="87" s="1"/>
  <c r="J97" i="87" s="1"/>
  <c r="J98" i="87" s="1"/>
  <c r="J99" i="87" s="1"/>
  <c r="J100" i="87" s="1"/>
  <c r="J101" i="87" s="1"/>
  <c r="J102" i="87" s="1"/>
  <c r="J103" i="87" s="1"/>
  <c r="J104" i="87" s="1"/>
  <c r="J105" i="87" s="1"/>
  <c r="J106" i="87" s="1"/>
  <c r="E85" i="87"/>
  <c r="F85" i="87" s="1"/>
  <c r="H85" i="87" s="1"/>
  <c r="K85" i="87"/>
  <c r="E90" i="87"/>
  <c r="F90" i="87" s="1"/>
  <c r="H90" i="87" s="1"/>
  <c r="K90" i="87"/>
  <c r="P108" i="89"/>
  <c r="P109" i="89" s="1"/>
  <c r="P110" i="89" s="1"/>
  <c r="P111" i="89" s="1"/>
  <c r="P112" i="89" s="1"/>
  <c r="P113" i="89" s="1"/>
  <c r="P114" i="89" s="1"/>
  <c r="P115" i="89" s="1"/>
  <c r="P116" i="89" s="1"/>
  <c r="P117" i="89" s="1"/>
  <c r="P118" i="89" s="1"/>
  <c r="P119" i="89" s="1"/>
  <c r="P120" i="89" s="1"/>
  <c r="P121" i="89" s="1"/>
  <c r="P122" i="89" s="1"/>
  <c r="P123" i="89" s="1"/>
  <c r="P124" i="89" s="1"/>
  <c r="P125" i="89" s="1"/>
  <c r="P126" i="89" s="1"/>
  <c r="P127" i="89" s="1"/>
  <c r="P128" i="89" s="1"/>
  <c r="P129" i="89" s="1"/>
  <c r="P130" i="89" s="1"/>
  <c r="P131" i="89" s="1"/>
  <c r="P132" i="89" s="1"/>
  <c r="P133" i="89" s="1"/>
  <c r="P134" i="89" s="1"/>
  <c r="P135" i="89" s="1"/>
  <c r="P136" i="89" s="1"/>
  <c r="P137" i="89" s="1"/>
  <c r="P138" i="89" s="1"/>
  <c r="P139" i="89" s="1"/>
  <c r="P140" i="89" s="1"/>
  <c r="P141" i="89" s="1"/>
  <c r="P142" i="89" s="1"/>
  <c r="P143" i="89" s="1"/>
  <c r="P144" i="89" s="1"/>
  <c r="P145" i="89" s="1"/>
  <c r="P146" i="89" s="1"/>
  <c r="P147" i="89" s="1"/>
  <c r="P148" i="89" s="1"/>
  <c r="P149" i="89" s="1"/>
  <c r="P150" i="89" s="1"/>
  <c r="P151" i="89" s="1"/>
  <c r="P152" i="89" s="1"/>
  <c r="P153" i="89" s="1"/>
  <c r="P154" i="89" s="1"/>
  <c r="L156" i="89"/>
  <c r="L157" i="89" s="1"/>
  <c r="L158" i="89" s="1"/>
  <c r="L159" i="89" s="1"/>
  <c r="L160" i="89" s="1"/>
  <c r="L161" i="89" s="1"/>
  <c r="L162" i="89" s="1"/>
  <c r="L163" i="89" s="1"/>
  <c r="L164" i="89" s="1"/>
  <c r="L165" i="89" s="1"/>
  <c r="L166" i="89" s="1"/>
  <c r="L167" i="89" s="1"/>
  <c r="L168" i="89" s="1"/>
  <c r="L169" i="89" s="1"/>
  <c r="L170" i="89" s="1"/>
  <c r="L171" i="89" s="1"/>
  <c r="L172" i="89" s="1"/>
  <c r="L173" i="89" s="1"/>
  <c r="L174" i="89" s="1"/>
  <c r="L175" i="89" s="1"/>
  <c r="L176" i="89" s="1"/>
  <c r="L177" i="89" s="1"/>
  <c r="L178" i="89" s="1"/>
  <c r="L179" i="89" s="1"/>
  <c r="L180" i="89" s="1"/>
  <c r="L181" i="89" s="1"/>
  <c r="L182" i="89" s="1"/>
  <c r="L183" i="89" s="1"/>
  <c r="L184" i="89" s="1"/>
  <c r="L185" i="89" s="1"/>
  <c r="L186" i="89" s="1"/>
  <c r="L187" i="89" s="1"/>
  <c r="L188" i="89" s="1"/>
  <c r="L189" i="89" s="1"/>
  <c r="L190" i="89" s="1"/>
  <c r="L191" i="89" s="1"/>
  <c r="L192" i="89" s="1"/>
  <c r="L193" i="89" s="1"/>
  <c r="L194" i="89" s="1"/>
  <c r="L195" i="89" s="1"/>
  <c r="L196" i="89" s="1"/>
  <c r="L197" i="89" s="1"/>
  <c r="L198" i="89" s="1"/>
  <c r="L199" i="89" s="1"/>
  <c r="L200" i="89" s="1"/>
  <c r="L201" i="89" s="1"/>
  <c r="L202" i="89" s="1"/>
  <c r="E92" i="87"/>
  <c r="F92" i="87" s="1"/>
  <c r="H92" i="87" s="1"/>
  <c r="K92" i="87"/>
  <c r="E98" i="87"/>
  <c r="F98" i="87" s="1"/>
  <c r="K98" i="87"/>
  <c r="I60" i="89"/>
  <c r="I61" i="89" s="1"/>
  <c r="I62" i="89" s="1"/>
  <c r="I63" i="89" s="1"/>
  <c r="I64" i="89" s="1"/>
  <c r="I65" i="89" s="1"/>
  <c r="I66" i="89" s="1"/>
  <c r="I67" i="89" s="1"/>
  <c r="I68" i="89" s="1"/>
  <c r="I69" i="89" s="1"/>
  <c r="I70" i="89" s="1"/>
  <c r="I71" i="89" s="1"/>
  <c r="I108" i="89"/>
  <c r="I109" i="89" s="1"/>
  <c r="I110" i="89" s="1"/>
  <c r="I111" i="89" s="1"/>
  <c r="I112" i="89" s="1"/>
  <c r="I113" i="89" s="1"/>
  <c r="I114" i="89" s="1"/>
  <c r="I115" i="89" s="1"/>
  <c r="I116" i="89" s="1"/>
  <c r="I117" i="89" s="1"/>
  <c r="I118" i="89" s="1"/>
  <c r="I119" i="89" s="1"/>
  <c r="I120" i="89" s="1"/>
  <c r="I121" i="89" s="1"/>
  <c r="I122" i="89" s="1"/>
  <c r="I123" i="89" s="1"/>
  <c r="I124" i="89" s="1"/>
  <c r="I125" i="89" s="1"/>
  <c r="I126" i="89" s="1"/>
  <c r="I127" i="89" s="1"/>
  <c r="I128" i="89" s="1"/>
  <c r="I129" i="89" s="1"/>
  <c r="I130" i="89" s="1"/>
  <c r="I131" i="89" s="1"/>
  <c r="I132" i="89" s="1"/>
  <c r="I133" i="89" s="1"/>
  <c r="I134" i="89" s="1"/>
  <c r="I135" i="89" s="1"/>
  <c r="I136" i="89" s="1"/>
  <c r="I137" i="89" s="1"/>
  <c r="I138" i="89" s="1"/>
  <c r="I139" i="89" s="1"/>
  <c r="I140" i="89" s="1"/>
  <c r="I141" i="89" s="1"/>
  <c r="I142" i="89" s="1"/>
  <c r="I143" i="89" s="1"/>
  <c r="I144" i="89" s="1"/>
  <c r="I145" i="89" s="1"/>
  <c r="I146" i="89" s="1"/>
  <c r="I147" i="89" s="1"/>
  <c r="I148" i="89" s="1"/>
  <c r="I149" i="89" s="1"/>
  <c r="I150" i="89" s="1"/>
  <c r="I151" i="89" s="1"/>
  <c r="I152" i="89" s="1"/>
  <c r="I153" i="89" s="1"/>
  <c r="I154" i="89" s="1"/>
  <c r="L108" i="89"/>
  <c r="L109" i="89" s="1"/>
  <c r="L110" i="89" s="1"/>
  <c r="L111" i="89" s="1"/>
  <c r="L112" i="89" s="1"/>
  <c r="L113" i="89" s="1"/>
  <c r="L114" i="89" s="1"/>
  <c r="L115" i="89" s="1"/>
  <c r="L116" i="89" s="1"/>
  <c r="L117" i="89" s="1"/>
  <c r="L118" i="89" s="1"/>
  <c r="L119" i="89" s="1"/>
  <c r="L120" i="89" s="1"/>
  <c r="L121" i="89" s="1"/>
  <c r="L122" i="89" s="1"/>
  <c r="L123" i="89" s="1"/>
  <c r="L124" i="89" s="1"/>
  <c r="L125" i="89" s="1"/>
  <c r="L126" i="89" s="1"/>
  <c r="L127" i="89" s="1"/>
  <c r="L128" i="89" s="1"/>
  <c r="L129" i="89" s="1"/>
  <c r="L130" i="89" s="1"/>
  <c r="L131" i="89" s="1"/>
  <c r="L132" i="89" s="1"/>
  <c r="L133" i="89" s="1"/>
  <c r="L134" i="89" s="1"/>
  <c r="L135" i="89" s="1"/>
  <c r="L136" i="89" s="1"/>
  <c r="L137" i="89" s="1"/>
  <c r="L138" i="89" s="1"/>
  <c r="L139" i="89" s="1"/>
  <c r="L140" i="89" s="1"/>
  <c r="L141" i="89" s="1"/>
  <c r="L142" i="89" s="1"/>
  <c r="L143" i="89" s="1"/>
  <c r="L144" i="89" s="1"/>
  <c r="L145" i="89" s="1"/>
  <c r="L146" i="89" s="1"/>
  <c r="L147" i="89" s="1"/>
  <c r="L148" i="89" s="1"/>
  <c r="L149" i="89" s="1"/>
  <c r="L150" i="89" s="1"/>
  <c r="L151" i="89" s="1"/>
  <c r="L152" i="89" s="1"/>
  <c r="L153" i="89" s="1"/>
  <c r="L154" i="89" s="1"/>
  <c r="H97" i="87"/>
  <c r="K103" i="87"/>
  <c r="L60" i="89"/>
  <c r="L61" i="89" s="1"/>
  <c r="L62" i="89" s="1"/>
  <c r="L63" i="89" s="1"/>
  <c r="L64" i="89" s="1"/>
  <c r="L65" i="89" s="1"/>
  <c r="L66" i="89" s="1"/>
  <c r="L67" i="89" s="1"/>
  <c r="L68" i="89" s="1"/>
  <c r="L69" i="89" s="1"/>
  <c r="L70" i="89" s="1"/>
  <c r="L71" i="89" s="1"/>
  <c r="N108" i="89"/>
  <c r="N109" i="89" s="1"/>
  <c r="N110" i="89" s="1"/>
  <c r="N111" i="89" s="1"/>
  <c r="N112" i="89" s="1"/>
  <c r="N113" i="89" s="1"/>
  <c r="N114" i="89" s="1"/>
  <c r="N115" i="89" s="1"/>
  <c r="N116" i="89" s="1"/>
  <c r="N117" i="89" s="1"/>
  <c r="N118" i="89" s="1"/>
  <c r="N119" i="89" s="1"/>
  <c r="N120" i="89" s="1"/>
  <c r="N121" i="89" s="1"/>
  <c r="N122" i="89" s="1"/>
  <c r="N123" i="89" s="1"/>
  <c r="N124" i="89" s="1"/>
  <c r="N125" i="89" s="1"/>
  <c r="N126" i="89" s="1"/>
  <c r="N127" i="89" s="1"/>
  <c r="N128" i="89" s="1"/>
  <c r="N129" i="89" s="1"/>
  <c r="N130" i="89" s="1"/>
  <c r="N131" i="89" s="1"/>
  <c r="N132" i="89" s="1"/>
  <c r="N133" i="89" s="1"/>
  <c r="N134" i="89" s="1"/>
  <c r="N135" i="89" s="1"/>
  <c r="N136" i="89" s="1"/>
  <c r="N137" i="89" s="1"/>
  <c r="N138" i="89" s="1"/>
  <c r="N139" i="89" s="1"/>
  <c r="N140" i="89" s="1"/>
  <c r="N141" i="89" s="1"/>
  <c r="N142" i="89" s="1"/>
  <c r="N143" i="89" s="1"/>
  <c r="N144" i="89" s="1"/>
  <c r="N145" i="89" s="1"/>
  <c r="N146" i="89" s="1"/>
  <c r="N147" i="89" s="1"/>
  <c r="N148" i="89" s="1"/>
  <c r="N149" i="89" s="1"/>
  <c r="N150" i="89" s="1"/>
  <c r="N151" i="89" s="1"/>
  <c r="N152" i="89" s="1"/>
  <c r="N153" i="89" s="1"/>
  <c r="N154" i="89" s="1"/>
  <c r="K75" i="89"/>
  <c r="E75" i="89"/>
  <c r="F75" i="89" s="1"/>
  <c r="K79" i="89"/>
  <c r="E79" i="89"/>
  <c r="F79" i="89" s="1"/>
  <c r="K83" i="89"/>
  <c r="E83" i="89"/>
  <c r="F83" i="89" s="1"/>
  <c r="E99" i="89"/>
  <c r="F99" i="89" s="1"/>
  <c r="K99" i="89"/>
  <c r="E103" i="89"/>
  <c r="F103" i="89" s="1"/>
  <c r="K103" i="89"/>
  <c r="K93" i="87"/>
  <c r="P12" i="89"/>
  <c r="P13" i="89" s="1"/>
  <c r="P14" i="89" s="1"/>
  <c r="P15" i="89" s="1"/>
  <c r="P16" i="89" s="1"/>
  <c r="P17" i="89" s="1"/>
  <c r="P18" i="89" s="1"/>
  <c r="P19" i="89" s="1"/>
  <c r="P20" i="89" s="1"/>
  <c r="P21" i="89" s="1"/>
  <c r="P22" i="89" s="1"/>
  <c r="P23" i="89" s="1"/>
  <c r="P24" i="89" s="1"/>
  <c r="P25" i="89" s="1"/>
  <c r="P26" i="89" s="1"/>
  <c r="P27" i="89" s="1"/>
  <c r="P28" i="89" s="1"/>
  <c r="P29" i="89" s="1"/>
  <c r="P30" i="89" s="1"/>
  <c r="P31" i="89" s="1"/>
  <c r="P32" i="89" s="1"/>
  <c r="P33" i="89" s="1"/>
  <c r="P34" i="89" s="1"/>
  <c r="P35" i="89" s="1"/>
  <c r="P36" i="89" s="1"/>
  <c r="P37" i="89" s="1"/>
  <c r="P38" i="89" s="1"/>
  <c r="P39" i="89" s="1"/>
  <c r="P40" i="89" s="1"/>
  <c r="P41" i="89" s="1"/>
  <c r="P42" i="89" s="1"/>
  <c r="P43" i="89" s="1"/>
  <c r="P44" i="89" s="1"/>
  <c r="P45" i="89" s="1"/>
  <c r="P46" i="89" s="1"/>
  <c r="P47" i="89" s="1"/>
  <c r="P48" i="89" s="1"/>
  <c r="P49" i="89" s="1"/>
  <c r="P50" i="89" s="1"/>
  <c r="P51" i="89" s="1"/>
  <c r="P52" i="89" s="1"/>
  <c r="P53" i="89" s="1"/>
  <c r="P54" i="89" s="1"/>
  <c r="P55" i="89" s="1"/>
  <c r="P56" i="89" s="1"/>
  <c r="P57" i="89" s="1"/>
  <c r="P58" i="89" s="1"/>
  <c r="G62" i="89"/>
  <c r="G70" i="89"/>
  <c r="K72" i="89"/>
  <c r="E72" i="89"/>
  <c r="F72" i="89" s="1"/>
  <c r="K76" i="89"/>
  <c r="E76" i="89"/>
  <c r="F76" i="89" s="1"/>
  <c r="K80" i="89"/>
  <c r="E80" i="89"/>
  <c r="F80" i="89" s="1"/>
  <c r="E96" i="89"/>
  <c r="F96" i="89" s="1"/>
  <c r="K96" i="89"/>
  <c r="E100" i="89"/>
  <c r="F100" i="89" s="1"/>
  <c r="K100" i="89"/>
  <c r="E104" i="89"/>
  <c r="F104" i="89" s="1"/>
  <c r="K104" i="89"/>
  <c r="K73" i="89"/>
  <c r="E73" i="89"/>
  <c r="F73" i="89" s="1"/>
  <c r="K77" i="89"/>
  <c r="E77" i="89"/>
  <c r="F77" i="89" s="1"/>
  <c r="K81" i="89"/>
  <c r="C81" i="89" s="1"/>
  <c r="E81" i="89"/>
  <c r="F81" i="89" s="1"/>
  <c r="E97" i="89"/>
  <c r="F97" i="89" s="1"/>
  <c r="K97" i="89"/>
  <c r="E101" i="89"/>
  <c r="F101" i="89" s="1"/>
  <c r="K101" i="89"/>
  <c r="C101" i="89" s="1"/>
  <c r="E105" i="89"/>
  <c r="F105" i="89" s="1"/>
  <c r="K105" i="89"/>
  <c r="G64" i="89"/>
  <c r="G68" i="89"/>
  <c r="K74" i="89"/>
  <c r="E74" i="89"/>
  <c r="F74" i="89" s="1"/>
  <c r="K78" i="89"/>
  <c r="E78" i="89"/>
  <c r="F78" i="89" s="1"/>
  <c r="K82" i="89"/>
  <c r="E82" i="89"/>
  <c r="F82" i="89" s="1"/>
  <c r="G88" i="89"/>
  <c r="G92" i="89"/>
  <c r="E98" i="89"/>
  <c r="F98" i="89" s="1"/>
  <c r="K98" i="89"/>
  <c r="E102" i="89"/>
  <c r="F102" i="89" s="1"/>
  <c r="K102" i="89"/>
  <c r="E106" i="89"/>
  <c r="F106" i="89" s="1"/>
  <c r="K106" i="89"/>
  <c r="I156" i="89"/>
  <c r="I157" i="89" s="1"/>
  <c r="I158" i="89" s="1"/>
  <c r="I159" i="89" s="1"/>
  <c r="I160" i="89" s="1"/>
  <c r="I161" i="89" s="1"/>
  <c r="I162" i="89" s="1"/>
  <c r="I163" i="89" s="1"/>
  <c r="I164" i="89" s="1"/>
  <c r="I165" i="89" s="1"/>
  <c r="I166" i="89" s="1"/>
  <c r="I167" i="89" s="1"/>
  <c r="I168" i="89" s="1"/>
  <c r="I169" i="89" s="1"/>
  <c r="I170" i="89" s="1"/>
  <c r="I171" i="89" s="1"/>
  <c r="I172" i="89" s="1"/>
  <c r="I173" i="89" s="1"/>
  <c r="I174" i="89" s="1"/>
  <c r="I175" i="89" s="1"/>
  <c r="I176" i="89" s="1"/>
  <c r="I177" i="89" s="1"/>
  <c r="I178" i="89" s="1"/>
  <c r="I179" i="89" s="1"/>
  <c r="I180" i="89" s="1"/>
  <c r="I181" i="89" s="1"/>
  <c r="I182" i="89" s="1"/>
  <c r="I183" i="89" s="1"/>
  <c r="I184" i="89" s="1"/>
  <c r="I185" i="89" s="1"/>
  <c r="I186" i="89" s="1"/>
  <c r="I187" i="89" s="1"/>
  <c r="I188" i="89" s="1"/>
  <c r="I189" i="89" s="1"/>
  <c r="I190" i="89" s="1"/>
  <c r="I191" i="89" s="1"/>
  <c r="I192" i="89" s="1"/>
  <c r="I193" i="89" s="1"/>
  <c r="I194" i="89" s="1"/>
  <c r="I195" i="89" s="1"/>
  <c r="I196" i="89" s="1"/>
  <c r="I197" i="89" s="1"/>
  <c r="I198" i="89" s="1"/>
  <c r="I199" i="89" s="1"/>
  <c r="I200" i="89" s="1"/>
  <c r="I201" i="89" s="1"/>
  <c r="I202" i="89" s="1"/>
  <c r="H105" i="87"/>
  <c r="G105" i="87"/>
  <c r="K84" i="87"/>
  <c r="C84" i="87" s="1"/>
  <c r="E84" i="87"/>
  <c r="F84" i="87" s="1"/>
  <c r="H84" i="87" s="1"/>
  <c r="E88" i="87"/>
  <c r="F88" i="87" s="1"/>
  <c r="E95" i="87"/>
  <c r="F95" i="87" s="1"/>
  <c r="G95" i="87" s="1"/>
  <c r="E87" i="87"/>
  <c r="F87" i="87" s="1"/>
  <c r="H87" i="87" s="1"/>
  <c r="H106" i="87"/>
  <c r="G106" i="87"/>
  <c r="K77" i="87"/>
  <c r="E77" i="87"/>
  <c r="F77" i="87" s="1"/>
  <c r="H77" i="87" s="1"/>
  <c r="K106" i="87"/>
  <c r="E81" i="87"/>
  <c r="F81" i="87" s="1"/>
  <c r="H81" i="87" s="1"/>
  <c r="I119" i="87"/>
  <c r="I120" i="87" s="1"/>
  <c r="I121" i="87" s="1"/>
  <c r="I122" i="87" s="1"/>
  <c r="I123" i="87" s="1"/>
  <c r="I124" i="87" s="1"/>
  <c r="I125" i="87" s="1"/>
  <c r="I126" i="87" s="1"/>
  <c r="I127" i="87" s="1"/>
  <c r="I128" i="87" s="1"/>
  <c r="I129" i="87" s="1"/>
  <c r="I130" i="87" s="1"/>
  <c r="L119" i="87"/>
  <c r="L120" i="87" s="1"/>
  <c r="L121" i="87" s="1"/>
  <c r="L122" i="87" s="1"/>
  <c r="L123" i="87" s="1"/>
  <c r="L124" i="87" s="1"/>
  <c r="L125" i="87" s="1"/>
  <c r="L126" i="87" s="1"/>
  <c r="L127" i="87" s="1"/>
  <c r="L128" i="87" s="1"/>
  <c r="L129" i="87" s="1"/>
  <c r="L130" i="87" s="1"/>
  <c r="L167" i="87"/>
  <c r="L168" i="87" s="1"/>
  <c r="L169" i="87" s="1"/>
  <c r="L170" i="87" s="1"/>
  <c r="L171" i="87" s="1"/>
  <c r="L172" i="87" s="1"/>
  <c r="L173" i="87" s="1"/>
  <c r="L174" i="87" s="1"/>
  <c r="L175" i="87" s="1"/>
  <c r="L176" i="87" s="1"/>
  <c r="L177" i="87" s="1"/>
  <c r="L178" i="87" s="1"/>
  <c r="K60" i="87"/>
  <c r="E60" i="87"/>
  <c r="F60" i="87" s="1"/>
  <c r="K61" i="87"/>
  <c r="E61" i="87"/>
  <c r="F61" i="87" s="1"/>
  <c r="K65" i="87"/>
  <c r="E65" i="87"/>
  <c r="F65" i="87" s="1"/>
  <c r="K69" i="87"/>
  <c r="E69" i="87"/>
  <c r="F69" i="87" s="1"/>
  <c r="H91" i="87"/>
  <c r="G91" i="87"/>
  <c r="H103" i="87"/>
  <c r="G103" i="87"/>
  <c r="K64" i="87"/>
  <c r="C64" i="87" s="1"/>
  <c r="E64" i="87"/>
  <c r="F64" i="87" s="1"/>
  <c r="K68" i="87"/>
  <c r="E68" i="87"/>
  <c r="F68" i="87" s="1"/>
  <c r="E72" i="87"/>
  <c r="F72" i="87" s="1"/>
  <c r="E76" i="87"/>
  <c r="F76" i="87" s="1"/>
  <c r="E80" i="87"/>
  <c r="F80" i="87" s="1"/>
  <c r="E100" i="87"/>
  <c r="F100" i="87" s="1"/>
  <c r="K100" i="87"/>
  <c r="G59" i="87"/>
  <c r="K63" i="87"/>
  <c r="E63" i="87"/>
  <c r="F63" i="87" s="1"/>
  <c r="K67" i="87"/>
  <c r="E67" i="87"/>
  <c r="F67" i="87" s="1"/>
  <c r="K71" i="87"/>
  <c r="E71" i="87"/>
  <c r="F71" i="87" s="1"/>
  <c r="E75" i="87"/>
  <c r="F75" i="87" s="1"/>
  <c r="E79" i="87"/>
  <c r="F79" i="87" s="1"/>
  <c r="E83" i="87"/>
  <c r="F83" i="87" s="1"/>
  <c r="E96" i="87"/>
  <c r="F96" i="87" s="1"/>
  <c r="K96" i="87"/>
  <c r="G102" i="87"/>
  <c r="N108" i="87"/>
  <c r="N109" i="87" s="1"/>
  <c r="N110" i="87" s="1"/>
  <c r="N111" i="87" s="1"/>
  <c r="N112" i="87" s="1"/>
  <c r="N113" i="87" s="1"/>
  <c r="N114" i="87" s="1"/>
  <c r="N115" i="87" s="1"/>
  <c r="N116" i="87" s="1"/>
  <c r="N117" i="87" s="1"/>
  <c r="N118" i="87" s="1"/>
  <c r="P108" i="87"/>
  <c r="P109" i="87" s="1"/>
  <c r="P110" i="87" s="1"/>
  <c r="P111" i="87" s="1"/>
  <c r="P112" i="87" s="1"/>
  <c r="P113" i="87" s="1"/>
  <c r="P114" i="87" s="1"/>
  <c r="P115" i="87" s="1"/>
  <c r="P116" i="87" s="1"/>
  <c r="P117" i="87" s="1"/>
  <c r="P118" i="87" s="1"/>
  <c r="I167" i="87"/>
  <c r="I168" i="87" s="1"/>
  <c r="I169" i="87" s="1"/>
  <c r="I170" i="87" s="1"/>
  <c r="I171" i="87" s="1"/>
  <c r="I172" i="87" s="1"/>
  <c r="I173" i="87" s="1"/>
  <c r="I174" i="87" s="1"/>
  <c r="I175" i="87" s="1"/>
  <c r="I176" i="87" s="1"/>
  <c r="I177" i="87" s="1"/>
  <c r="I178" i="87" s="1"/>
  <c r="N12" i="87"/>
  <c r="N13" i="87" s="1"/>
  <c r="N14" i="87" s="1"/>
  <c r="N15" i="87" s="1"/>
  <c r="N16" i="87" s="1"/>
  <c r="N17" i="87" s="1"/>
  <c r="N18" i="87" s="1"/>
  <c r="N19" i="87" s="1"/>
  <c r="N20" i="87" s="1"/>
  <c r="N21" i="87" s="1"/>
  <c r="N22" i="87" s="1"/>
  <c r="N23" i="87" s="1"/>
  <c r="N24" i="87" s="1"/>
  <c r="N25" i="87" s="1"/>
  <c r="N26" i="87" s="1"/>
  <c r="N27" i="87" s="1"/>
  <c r="N28" i="87" s="1"/>
  <c r="N29" i="87" s="1"/>
  <c r="N30" i="87" s="1"/>
  <c r="N31" i="87" s="1"/>
  <c r="N32" i="87" s="1"/>
  <c r="N33" i="87" s="1"/>
  <c r="N34" i="87" s="1"/>
  <c r="N35" i="87" s="1"/>
  <c r="N36" i="87" s="1"/>
  <c r="N37" i="87" s="1"/>
  <c r="N38" i="87" s="1"/>
  <c r="N39" i="87" s="1"/>
  <c r="N40" i="87" s="1"/>
  <c r="N41" i="87" s="1"/>
  <c r="N42" i="87" s="1"/>
  <c r="N43" i="87" s="1"/>
  <c r="N44" i="87" s="1"/>
  <c r="N45" i="87" s="1"/>
  <c r="N46" i="87" s="1"/>
  <c r="N47" i="87" s="1"/>
  <c r="N48" i="87" s="1"/>
  <c r="N49" i="87" s="1"/>
  <c r="N50" i="87" s="1"/>
  <c r="N51" i="87" s="1"/>
  <c r="N52" i="87" s="1"/>
  <c r="N53" i="87" s="1"/>
  <c r="N54" i="87" s="1"/>
  <c r="N55" i="87" s="1"/>
  <c r="N56" i="87" s="1"/>
  <c r="N57" i="87" s="1"/>
  <c r="N58" i="87" s="1"/>
  <c r="N60" i="87" s="1"/>
  <c r="N61" i="87" s="1"/>
  <c r="N62" i="87" s="1"/>
  <c r="N63" i="87" s="1"/>
  <c r="N64" i="87" s="1"/>
  <c r="N65" i="87" s="1"/>
  <c r="N66" i="87" s="1"/>
  <c r="N67" i="87" s="1"/>
  <c r="N68" i="87" s="1"/>
  <c r="N69" i="87" s="1"/>
  <c r="N70" i="87" s="1"/>
  <c r="P12" i="87"/>
  <c r="P13" i="87" s="1"/>
  <c r="P14" i="87" s="1"/>
  <c r="P15" i="87" s="1"/>
  <c r="P16" i="87" s="1"/>
  <c r="P17" i="87" s="1"/>
  <c r="P18" i="87" s="1"/>
  <c r="P19" i="87" s="1"/>
  <c r="P20" i="87" s="1"/>
  <c r="P21" i="87" s="1"/>
  <c r="P22" i="87" s="1"/>
  <c r="P23" i="87" s="1"/>
  <c r="P24" i="87" s="1"/>
  <c r="P25" i="87" s="1"/>
  <c r="P26" i="87" s="1"/>
  <c r="P27" i="87" s="1"/>
  <c r="P28" i="87" s="1"/>
  <c r="P29" i="87" s="1"/>
  <c r="P30" i="87" s="1"/>
  <c r="P31" i="87" s="1"/>
  <c r="P32" i="87" s="1"/>
  <c r="P33" i="87" s="1"/>
  <c r="P34" i="87" s="1"/>
  <c r="P35" i="87" s="1"/>
  <c r="P36" i="87" s="1"/>
  <c r="P37" i="87" s="1"/>
  <c r="P38" i="87" s="1"/>
  <c r="P39" i="87" s="1"/>
  <c r="P40" i="87" s="1"/>
  <c r="P41" i="87" s="1"/>
  <c r="P42" i="87" s="1"/>
  <c r="P43" i="87" s="1"/>
  <c r="P44" i="87" s="1"/>
  <c r="P45" i="87" s="1"/>
  <c r="P46" i="87" s="1"/>
  <c r="P47" i="87" s="1"/>
  <c r="P48" i="87" s="1"/>
  <c r="P49" i="87" s="1"/>
  <c r="P50" i="87" s="1"/>
  <c r="P51" i="87" s="1"/>
  <c r="P52" i="87" s="1"/>
  <c r="P53" i="87" s="1"/>
  <c r="P54" i="87" s="1"/>
  <c r="P55" i="87" s="1"/>
  <c r="P56" i="87" s="1"/>
  <c r="P57" i="87" s="1"/>
  <c r="P58" i="87" s="1"/>
  <c r="P60" i="87" s="1"/>
  <c r="P61" i="87" s="1"/>
  <c r="P62" i="87" s="1"/>
  <c r="P63" i="87" s="1"/>
  <c r="P64" i="87" s="1"/>
  <c r="P65" i="87" s="1"/>
  <c r="P66" i="87" s="1"/>
  <c r="P67" i="87" s="1"/>
  <c r="P68" i="87" s="1"/>
  <c r="P69" i="87" s="1"/>
  <c r="P70" i="87" s="1"/>
  <c r="K62" i="87"/>
  <c r="E62" i="87"/>
  <c r="F62" i="87" s="1"/>
  <c r="K66" i="87"/>
  <c r="E66" i="87"/>
  <c r="F66" i="87" s="1"/>
  <c r="K70" i="87"/>
  <c r="E70" i="87"/>
  <c r="F70" i="87" s="1"/>
  <c r="E74" i="87"/>
  <c r="F74" i="87" s="1"/>
  <c r="E78" i="87"/>
  <c r="F78" i="87" s="1"/>
  <c r="E82" i="87"/>
  <c r="F82" i="87" s="1"/>
  <c r="G89" i="87"/>
  <c r="E104" i="87"/>
  <c r="F104" i="87" s="1"/>
  <c r="K104" i="87"/>
  <c r="N156" i="87"/>
  <c r="N157" i="87" s="1"/>
  <c r="N158" i="87" s="1"/>
  <c r="N159" i="87" s="1"/>
  <c r="N160" i="87" s="1"/>
  <c r="N161" i="87" s="1"/>
  <c r="N162" i="87" s="1"/>
  <c r="N163" i="87" s="1"/>
  <c r="N164" i="87" s="1"/>
  <c r="N165" i="87" s="1"/>
  <c r="N166" i="87" s="1"/>
  <c r="P156" i="87"/>
  <c r="P157" i="87" s="1"/>
  <c r="P158" i="87" s="1"/>
  <c r="P159" i="87" s="1"/>
  <c r="P160" i="87" s="1"/>
  <c r="P161" i="87" s="1"/>
  <c r="P162" i="87" s="1"/>
  <c r="P163" i="87" s="1"/>
  <c r="P164" i="87" s="1"/>
  <c r="P165" i="87" s="1"/>
  <c r="P166" i="87" s="1"/>
  <c r="K97" i="87"/>
  <c r="K101" i="87"/>
  <c r="K105" i="87"/>
  <c r="I18" i="86"/>
  <c r="I19" i="86" s="1"/>
  <c r="I20" i="86" s="1"/>
  <c r="I21" i="86" s="1"/>
  <c r="I22" i="86" s="1"/>
  <c r="L17" i="86"/>
  <c r="L18" i="86" s="1"/>
  <c r="L19" i="86" s="1"/>
  <c r="L20" i="86" s="1"/>
  <c r="L21" i="86" s="1"/>
  <c r="L22" i="86" s="1"/>
  <c r="N18" i="86"/>
  <c r="N19" i="86" s="1"/>
  <c r="N20" i="86" s="1"/>
  <c r="N21" i="86" s="1"/>
  <c r="N22" i="86" s="1"/>
  <c r="O11" i="86"/>
  <c r="O12" i="86" s="1"/>
  <c r="O13" i="86" s="1"/>
  <c r="O14" i="86" s="1"/>
  <c r="O15" i="86" s="1"/>
  <c r="O16" i="86" s="1"/>
  <c r="N83" i="53"/>
  <c r="N84" i="53" s="1"/>
  <c r="N85" i="53" s="1"/>
  <c r="N86" i="53" s="1"/>
  <c r="N87" i="53" s="1"/>
  <c r="N88" i="53" s="1"/>
  <c r="N89" i="53" s="1"/>
  <c r="N90" i="53" s="1"/>
  <c r="N91" i="53" s="1"/>
  <c r="N92" i="53" s="1"/>
  <c r="N93" i="53" s="1"/>
  <c r="N94" i="53" s="1"/>
  <c r="N95" i="53" s="1"/>
  <c r="N96" i="53" s="1"/>
  <c r="N97" i="53" s="1"/>
  <c r="N98" i="53" s="1"/>
  <c r="N99" i="53" s="1"/>
  <c r="N100" i="53" s="1"/>
  <c r="N101" i="53" s="1"/>
  <c r="N102" i="53" s="1"/>
  <c r="N103" i="53" s="1"/>
  <c r="N104" i="53" s="1"/>
  <c r="N105" i="53" s="1"/>
  <c r="N106" i="53" s="1"/>
  <c r="N107" i="53" s="1"/>
  <c r="N108" i="53" s="1"/>
  <c r="N109" i="53" s="1"/>
  <c r="N110" i="53" s="1"/>
  <c r="N111" i="53" s="1"/>
  <c r="N112" i="53" s="1"/>
  <c r="N113" i="53" s="1"/>
  <c r="N114" i="53" s="1"/>
  <c r="N115" i="53" s="1"/>
  <c r="N116" i="53" s="1"/>
  <c r="N117" i="53" s="1"/>
  <c r="N118" i="53" s="1"/>
  <c r="N119" i="53" s="1"/>
  <c r="N120" i="53" s="1"/>
  <c r="N121" i="53" s="1"/>
  <c r="N122" i="53" s="1"/>
  <c r="N123" i="53" s="1"/>
  <c r="N124" i="53" s="1"/>
  <c r="N125" i="53" s="1"/>
  <c r="N126" i="53" s="1"/>
  <c r="N127" i="53" s="1"/>
  <c r="N128" i="53" s="1"/>
  <c r="N129" i="53" s="1"/>
  <c r="N130" i="53" s="1"/>
  <c r="N131" i="53" s="1"/>
  <c r="N132" i="53" s="1"/>
  <c r="N133" i="53" s="1"/>
  <c r="N134" i="53" s="1"/>
  <c r="N135" i="53" s="1"/>
  <c r="N136" i="53" s="1"/>
  <c r="N137" i="53" s="1"/>
  <c r="N138" i="53" s="1"/>
  <c r="N139" i="53" s="1"/>
  <c r="N140" i="53" s="1"/>
  <c r="N141" i="53" s="1"/>
  <c r="N142" i="53" s="1"/>
  <c r="N143" i="53" s="1"/>
  <c r="N144" i="53" s="1"/>
  <c r="N145" i="53" s="1"/>
  <c r="N146" i="53" s="1"/>
  <c r="N147" i="53" s="1"/>
  <c r="N148" i="53" s="1"/>
  <c r="N149" i="53" s="1"/>
  <c r="N150" i="53" s="1"/>
  <c r="N151" i="53" s="1"/>
  <c r="N152" i="53" s="1"/>
  <c r="N153" i="53" s="1"/>
  <c r="N154" i="53" s="1"/>
  <c r="M84" i="53"/>
  <c r="M85" i="53" s="1"/>
  <c r="M86" i="53" s="1"/>
  <c r="M87" i="53" s="1"/>
  <c r="M88" i="53" s="1"/>
  <c r="M89" i="53" s="1"/>
  <c r="M90" i="53" s="1"/>
  <c r="M91" i="53" s="1"/>
  <c r="M92" i="53" s="1"/>
  <c r="M93" i="53" s="1"/>
  <c r="M94" i="53" s="1"/>
  <c r="M95" i="53" s="1"/>
  <c r="M96" i="53" s="1"/>
  <c r="M97" i="53" s="1"/>
  <c r="M98" i="53" s="1"/>
  <c r="M99" i="53" s="1"/>
  <c r="M100" i="53" s="1"/>
  <c r="M101" i="53" s="1"/>
  <c r="M102" i="53" s="1"/>
  <c r="M103" i="53" s="1"/>
  <c r="M104" i="53" s="1"/>
  <c r="M105" i="53" s="1"/>
  <c r="M106" i="53" s="1"/>
  <c r="M107" i="53" s="1"/>
  <c r="M108" i="53" s="1"/>
  <c r="M109" i="53" s="1"/>
  <c r="M110" i="53" s="1"/>
  <c r="M111" i="53" s="1"/>
  <c r="M112" i="53" s="1"/>
  <c r="M113" i="53" s="1"/>
  <c r="M114" i="53" s="1"/>
  <c r="M115" i="53" s="1"/>
  <c r="M116" i="53" s="1"/>
  <c r="M117" i="53" s="1"/>
  <c r="M118" i="53" s="1"/>
  <c r="M119" i="53" s="1"/>
  <c r="M120" i="53" s="1"/>
  <c r="M121" i="53" s="1"/>
  <c r="M122" i="53" s="1"/>
  <c r="M123" i="53" s="1"/>
  <c r="M124" i="53" s="1"/>
  <c r="M125" i="53" s="1"/>
  <c r="M126" i="53" s="1"/>
  <c r="M127" i="53" s="1"/>
  <c r="M128" i="53" s="1"/>
  <c r="M129" i="53" s="1"/>
  <c r="M130" i="53" s="1"/>
  <c r="M131" i="53" s="1"/>
  <c r="M132" i="53" s="1"/>
  <c r="M133" i="53" s="1"/>
  <c r="M134" i="53" s="1"/>
  <c r="M135" i="53" s="1"/>
  <c r="M136" i="53" s="1"/>
  <c r="M137" i="53" s="1"/>
  <c r="M138" i="53" s="1"/>
  <c r="M139" i="53" s="1"/>
  <c r="M140" i="53" s="1"/>
  <c r="M141" i="53" s="1"/>
  <c r="M142" i="53" s="1"/>
  <c r="M143" i="53" s="1"/>
  <c r="M144" i="53" s="1"/>
  <c r="M145" i="53" s="1"/>
  <c r="M146" i="53" s="1"/>
  <c r="M147" i="53" s="1"/>
  <c r="M148" i="53" s="1"/>
  <c r="M149" i="53" s="1"/>
  <c r="M150" i="53" s="1"/>
  <c r="M151" i="53" s="1"/>
  <c r="M152" i="53" s="1"/>
  <c r="M153" i="53" s="1"/>
  <c r="M154" i="53" s="1"/>
  <c r="H11" i="86"/>
  <c r="F12" i="86"/>
  <c r="G11" i="86"/>
  <c r="N155" i="53"/>
  <c r="N156" i="53" s="1"/>
  <c r="N157" i="53" s="1"/>
  <c r="N158" i="53" s="1"/>
  <c r="N159" i="53" s="1"/>
  <c r="N160" i="53" s="1"/>
  <c r="N161" i="53" s="1"/>
  <c r="N162" i="53" s="1"/>
  <c r="N163" i="53" s="1"/>
  <c r="N164" i="53" s="1"/>
  <c r="N165" i="53" s="1"/>
  <c r="N166" i="53" s="1"/>
  <c r="N167" i="53" s="1"/>
  <c r="N168" i="53" s="1"/>
  <c r="N169" i="53" s="1"/>
  <c r="N170" i="53" s="1"/>
  <c r="N171" i="53" s="1"/>
  <c r="N172" i="53" s="1"/>
  <c r="N173" i="53" s="1"/>
  <c r="N174" i="53" s="1"/>
  <c r="N175" i="53" s="1"/>
  <c r="N176" i="53" s="1"/>
  <c r="N177" i="53" s="1"/>
  <c r="N178" i="53" s="1"/>
  <c r="N179" i="53" s="1"/>
  <c r="N180" i="53" s="1"/>
  <c r="N181" i="53" s="1"/>
  <c r="N182" i="53" s="1"/>
  <c r="N183" i="53" s="1"/>
  <c r="N184" i="53" s="1"/>
  <c r="N185" i="53" s="1"/>
  <c r="N186" i="53" s="1"/>
  <c r="N187" i="53" s="1"/>
  <c r="N188" i="53" s="1"/>
  <c r="N189" i="53" s="1"/>
  <c r="N190" i="53" s="1"/>
  <c r="N191" i="53" s="1"/>
  <c r="N192" i="53" s="1"/>
  <c r="N193" i="53" s="1"/>
  <c r="N194" i="53" s="1"/>
  <c r="N195" i="53" s="1"/>
  <c r="N196" i="53" s="1"/>
  <c r="N197" i="53" s="1"/>
  <c r="N198" i="53" s="1"/>
  <c r="N199" i="53" s="1"/>
  <c r="N200" i="53" s="1"/>
  <c r="N201" i="53" s="1"/>
  <c r="N202" i="53" s="1"/>
  <c r="N203" i="53" s="1"/>
  <c r="N204" i="53" s="1"/>
  <c r="N205" i="53" s="1"/>
  <c r="N206" i="53" s="1"/>
  <c r="N207" i="53" s="1"/>
  <c r="N208" i="53" s="1"/>
  <c r="N209" i="53" s="1"/>
  <c r="N210" i="53" s="1"/>
  <c r="N211" i="53" s="1"/>
  <c r="N212" i="53" s="1"/>
  <c r="N213" i="53" s="1"/>
  <c r="N214" i="53" s="1"/>
  <c r="N215" i="53" s="1"/>
  <c r="N216" i="53" s="1"/>
  <c r="N217" i="53" s="1"/>
  <c r="N218" i="53" s="1"/>
  <c r="N219" i="53" s="1"/>
  <c r="N220" i="53" s="1"/>
  <c r="N221" i="53" s="1"/>
  <c r="N222" i="53" s="1"/>
  <c r="N223" i="53" s="1"/>
  <c r="N224" i="53" s="1"/>
  <c r="N225" i="53" s="1"/>
  <c r="N226" i="53" s="1"/>
  <c r="H155" i="53"/>
  <c r="F156" i="53"/>
  <c r="G155" i="53"/>
  <c r="F85" i="53"/>
  <c r="G84" i="53"/>
  <c r="N48" i="48"/>
  <c r="N49" i="48" s="1"/>
  <c r="N50" i="48" s="1"/>
  <c r="N51" i="48" s="1"/>
  <c r="N52" i="48" s="1"/>
  <c r="N53" i="48" s="1"/>
  <c r="N54" i="48" s="1"/>
  <c r="N55" i="48" s="1"/>
  <c r="N56" i="48" s="1"/>
  <c r="N57" i="48" s="1"/>
  <c r="N58" i="48" s="1"/>
  <c r="N36" i="48"/>
  <c r="N37" i="48" s="1"/>
  <c r="N38" i="48" s="1"/>
  <c r="N39" i="48" s="1"/>
  <c r="N40" i="48" s="1"/>
  <c r="N41" i="48" s="1"/>
  <c r="N42" i="48" s="1"/>
  <c r="N43" i="48" s="1"/>
  <c r="N44" i="48" s="1"/>
  <c r="N45" i="48" s="1"/>
  <c r="N46" i="48" s="1"/>
  <c r="N24" i="48"/>
  <c r="N25" i="48" s="1"/>
  <c r="N26" i="48" s="1"/>
  <c r="N27" i="48" s="1"/>
  <c r="N28" i="48" s="1"/>
  <c r="N29" i="48" s="1"/>
  <c r="N30" i="48" s="1"/>
  <c r="N31" i="48" s="1"/>
  <c r="N32" i="48" s="1"/>
  <c r="N33" i="48" s="1"/>
  <c r="N34" i="48" s="1"/>
  <c r="N48" i="46"/>
  <c r="N49" i="46" s="1"/>
  <c r="N50" i="46" s="1"/>
  <c r="N51" i="46" s="1"/>
  <c r="N52" i="46" s="1"/>
  <c r="N53" i="46" s="1"/>
  <c r="N54" i="46" s="1"/>
  <c r="N55" i="46" s="1"/>
  <c r="N56" i="46" s="1"/>
  <c r="N57" i="46" s="1"/>
  <c r="N58" i="46" s="1"/>
  <c r="N36" i="46"/>
  <c r="N37" i="46" s="1"/>
  <c r="N38" i="46" s="1"/>
  <c r="N39" i="46" s="1"/>
  <c r="N40" i="46" s="1"/>
  <c r="N41" i="46" s="1"/>
  <c r="N42" i="46" s="1"/>
  <c r="N43" i="46" s="1"/>
  <c r="N44" i="46" s="1"/>
  <c r="N45" i="46" s="1"/>
  <c r="N46" i="46" s="1"/>
  <c r="P23" i="46"/>
  <c r="P24" i="46" s="1"/>
  <c r="P25" i="46" s="1"/>
  <c r="P26" i="46" s="1"/>
  <c r="P27" i="46" s="1"/>
  <c r="P28" i="46" s="1"/>
  <c r="P29" i="46" s="1"/>
  <c r="P30" i="46" s="1"/>
  <c r="P31" i="46" s="1"/>
  <c r="P32" i="46" s="1"/>
  <c r="P33" i="46" s="1"/>
  <c r="P34" i="46" s="1"/>
  <c r="N48" i="45"/>
  <c r="N49" i="45" s="1"/>
  <c r="N50" i="45" s="1"/>
  <c r="N51" i="45" s="1"/>
  <c r="N52" i="45" s="1"/>
  <c r="N53" i="45" s="1"/>
  <c r="N54" i="45" s="1"/>
  <c r="N55" i="45" s="1"/>
  <c r="N56" i="45" s="1"/>
  <c r="N57" i="45" s="1"/>
  <c r="N58" i="45" s="1"/>
  <c r="N36" i="45"/>
  <c r="N37" i="45" s="1"/>
  <c r="N38" i="45" s="1"/>
  <c r="N39" i="45" s="1"/>
  <c r="N40" i="45" s="1"/>
  <c r="N41" i="45" s="1"/>
  <c r="N42" i="45" s="1"/>
  <c r="N43" i="45" s="1"/>
  <c r="N44" i="45" s="1"/>
  <c r="N45" i="45" s="1"/>
  <c r="N46" i="45" s="1"/>
  <c r="P35" i="45"/>
  <c r="P36" i="45" s="1"/>
  <c r="P37" i="45" s="1"/>
  <c r="P38" i="45" s="1"/>
  <c r="P39" i="45" s="1"/>
  <c r="P40" i="45" s="1"/>
  <c r="P41" i="45" s="1"/>
  <c r="P42" i="45" s="1"/>
  <c r="P43" i="45" s="1"/>
  <c r="P44" i="45" s="1"/>
  <c r="P45" i="45" s="1"/>
  <c r="P46" i="45" s="1"/>
  <c r="G71" i="89" l="1"/>
  <c r="G93" i="87"/>
  <c r="C106" i="87"/>
  <c r="C106" i="89"/>
  <c r="J27" i="94"/>
  <c r="C65" i="89"/>
  <c r="C105" i="87"/>
  <c r="C89" i="87"/>
  <c r="C69" i="87"/>
  <c r="C100" i="89"/>
  <c r="C80" i="89"/>
  <c r="C92" i="87"/>
  <c r="C72" i="87"/>
  <c r="J14" i="94"/>
  <c r="C103" i="89"/>
  <c r="C83" i="89"/>
  <c r="C103" i="87"/>
  <c r="C87" i="87"/>
  <c r="C71" i="87"/>
  <c r="Q102" i="88"/>
  <c r="Q14" i="93"/>
  <c r="C86" i="89"/>
  <c r="Q37" i="93"/>
  <c r="C36" i="93"/>
  <c r="C85" i="89"/>
  <c r="Q65" i="88"/>
  <c r="C65" i="87"/>
  <c r="C96" i="89"/>
  <c r="C76" i="89"/>
  <c r="C88" i="87"/>
  <c r="C99" i="89"/>
  <c r="C79" i="89"/>
  <c r="C67" i="87"/>
  <c r="C62" i="89"/>
  <c r="C98" i="87"/>
  <c r="C78" i="87"/>
  <c r="C105" i="89"/>
  <c r="C61" i="89"/>
  <c r="C101" i="87"/>
  <c r="C85" i="87"/>
  <c r="C61" i="87"/>
  <c r="C92" i="89"/>
  <c r="C72" i="89"/>
  <c r="Q73" i="93"/>
  <c r="C68" i="87"/>
  <c r="J113" i="88"/>
  <c r="C112" i="88"/>
  <c r="C95" i="89"/>
  <c r="C75" i="89"/>
  <c r="M65" i="56"/>
  <c r="C99" i="87"/>
  <c r="C83" i="87"/>
  <c r="C63" i="87"/>
  <c r="Q29" i="88"/>
  <c r="C102" i="89"/>
  <c r="C82" i="89"/>
  <c r="Q85" i="93"/>
  <c r="C84" i="93"/>
  <c r="C94" i="87"/>
  <c r="C98" i="89"/>
  <c r="C78" i="89"/>
  <c r="C74" i="87"/>
  <c r="C97" i="89"/>
  <c r="C97" i="87"/>
  <c r="Q77" i="88"/>
  <c r="C88" i="89"/>
  <c r="Q49" i="93"/>
  <c r="C48" i="93"/>
  <c r="C80" i="87"/>
  <c r="C60" i="87"/>
  <c r="C91" i="89"/>
  <c r="Q53" i="88"/>
  <c r="C95" i="87"/>
  <c r="C79" i="87"/>
  <c r="C94" i="89"/>
  <c r="C74" i="89"/>
  <c r="J45" i="97"/>
  <c r="C44" i="97"/>
  <c r="C90" i="87"/>
  <c r="C77" i="89"/>
  <c r="G99" i="87"/>
  <c r="J15" i="95"/>
  <c r="Q41" i="88"/>
  <c r="C40" i="88"/>
  <c r="C93" i="89"/>
  <c r="C73" i="89"/>
  <c r="D36" i="95"/>
  <c r="K35" i="95"/>
  <c r="E35" i="95"/>
  <c r="F35" i="95" s="1"/>
  <c r="J109" i="93"/>
  <c r="C108" i="93"/>
  <c r="C77" i="87"/>
  <c r="C64" i="89"/>
  <c r="C104" i="87"/>
  <c r="C67" i="89"/>
  <c r="C70" i="89"/>
  <c r="C86" i="87"/>
  <c r="C70" i="87"/>
  <c r="C69" i="89"/>
  <c r="C93" i="87"/>
  <c r="C73" i="87"/>
  <c r="C84" i="89"/>
  <c r="C100" i="87"/>
  <c r="C76" i="87"/>
  <c r="Q17" i="88"/>
  <c r="Q61" i="93"/>
  <c r="C87" i="89"/>
  <c r="C91" i="87"/>
  <c r="C75" i="87"/>
  <c r="Q97" i="93"/>
  <c r="C90" i="89"/>
  <c r="D36" i="94"/>
  <c r="C35" i="94"/>
  <c r="K35" i="94"/>
  <c r="E35" i="94"/>
  <c r="F35" i="94" s="1"/>
  <c r="C66" i="87"/>
  <c r="G101" i="87"/>
  <c r="Q89" i="88"/>
  <c r="C88" i="88"/>
  <c r="C89" i="89"/>
  <c r="R33" i="95"/>
  <c r="T32" i="95"/>
  <c r="U32" i="95" s="1"/>
  <c r="C104" i="89"/>
  <c r="C60" i="89"/>
  <c r="D38" i="96"/>
  <c r="K37" i="96"/>
  <c r="C37" i="96" s="1"/>
  <c r="C96" i="87"/>
  <c r="C63" i="89"/>
  <c r="Q25" i="93"/>
  <c r="C66" i="89"/>
  <c r="C102" i="87"/>
  <c r="C82" i="87"/>
  <c r="C62" i="87"/>
  <c r="J15" i="96"/>
  <c r="C15" i="96" s="1"/>
  <c r="J26" i="96"/>
  <c r="C26" i="96" s="1"/>
  <c r="J154" i="96"/>
  <c r="R45" i="94"/>
  <c r="T44" i="94"/>
  <c r="S44" i="94"/>
  <c r="U43" i="94"/>
  <c r="V43" i="94" s="1"/>
  <c r="E226" i="92"/>
  <c r="F226" i="92" s="1"/>
  <c r="K226" i="92"/>
  <c r="C226" i="92" s="1"/>
  <c r="D227" i="92"/>
  <c r="H225" i="92"/>
  <c r="G225" i="92"/>
  <c r="D226" i="91"/>
  <c r="K225" i="91"/>
  <c r="C225" i="91" s="1"/>
  <c r="E225" i="91"/>
  <c r="F225" i="91" s="1"/>
  <c r="G224" i="91"/>
  <c r="H224" i="91"/>
  <c r="H225" i="89"/>
  <c r="G225" i="89"/>
  <c r="D227" i="89"/>
  <c r="K226" i="89"/>
  <c r="C226" i="89" s="1"/>
  <c r="E226" i="89"/>
  <c r="F226" i="89" s="1"/>
  <c r="D226" i="87"/>
  <c r="K225" i="87"/>
  <c r="C225" i="87" s="1"/>
  <c r="E225" i="87"/>
  <c r="F225" i="87" s="1"/>
  <c r="H224" i="87"/>
  <c r="G224" i="87"/>
  <c r="J15" i="53"/>
  <c r="J20" i="53"/>
  <c r="J26" i="53" s="1"/>
  <c r="J32" i="53" s="1"/>
  <c r="J38" i="53" s="1"/>
  <c r="J44" i="53" s="1"/>
  <c r="J50" i="53" s="1"/>
  <c r="J56" i="53" s="1"/>
  <c r="J62" i="53" s="1"/>
  <c r="J68" i="53" s="1"/>
  <c r="J74" i="53" s="1"/>
  <c r="J80" i="53" s="1"/>
  <c r="J86" i="53" s="1"/>
  <c r="J92" i="53" s="1"/>
  <c r="J98" i="53" s="1"/>
  <c r="J104" i="53" s="1"/>
  <c r="J110" i="53" s="1"/>
  <c r="J116" i="53" s="1"/>
  <c r="J122" i="53" s="1"/>
  <c r="J128" i="53" s="1"/>
  <c r="J134" i="53" s="1"/>
  <c r="J140" i="53" s="1"/>
  <c r="J146" i="53" s="1"/>
  <c r="J152" i="53" s="1"/>
  <c r="J158" i="53" s="1"/>
  <c r="J164" i="53" s="1"/>
  <c r="J170" i="53" s="1"/>
  <c r="J176" i="53" s="1"/>
  <c r="J182" i="53" s="1"/>
  <c r="J188" i="53" s="1"/>
  <c r="J194" i="53" s="1"/>
  <c r="J200" i="53" s="1"/>
  <c r="J206" i="53" s="1"/>
  <c r="J212" i="53" s="1"/>
  <c r="J218" i="53" s="1"/>
  <c r="J224" i="53" s="1"/>
  <c r="G88" i="88"/>
  <c r="H88" i="88"/>
  <c r="D42" i="88"/>
  <c r="K41" i="88"/>
  <c r="E41" i="88"/>
  <c r="F41" i="88" s="1"/>
  <c r="H40" i="88"/>
  <c r="G40" i="88"/>
  <c r="D90" i="88"/>
  <c r="K89" i="88"/>
  <c r="E89" i="88"/>
  <c r="F89" i="88" s="1"/>
  <c r="G42" i="93"/>
  <c r="G40" i="93"/>
  <c r="E14" i="95"/>
  <c r="F14" i="95" s="1"/>
  <c r="E13" i="95"/>
  <c r="F13" i="95" s="1"/>
  <c r="G13" i="95" s="1"/>
  <c r="H24" i="96"/>
  <c r="G24" i="96"/>
  <c r="G12" i="95"/>
  <c r="H12" i="95"/>
  <c r="E25" i="96"/>
  <c r="F25" i="96" s="1"/>
  <c r="J16" i="95"/>
  <c r="E13" i="94"/>
  <c r="F13" i="94" s="1"/>
  <c r="K13" i="94"/>
  <c r="C13" i="94" s="1"/>
  <c r="G52" i="93"/>
  <c r="K26" i="94"/>
  <c r="C26" i="94" s="1"/>
  <c r="E26" i="94"/>
  <c r="F26" i="94" s="1"/>
  <c r="G25" i="94"/>
  <c r="H25" i="94"/>
  <c r="G12" i="94"/>
  <c r="H12" i="94"/>
  <c r="G46" i="93"/>
  <c r="G44" i="93"/>
  <c r="G36" i="93"/>
  <c r="G56" i="93"/>
  <c r="G48" i="93"/>
  <c r="G54" i="93"/>
  <c r="G58" i="93"/>
  <c r="G50" i="93"/>
  <c r="G59" i="92"/>
  <c r="H59" i="92"/>
  <c r="G155" i="91"/>
  <c r="H155" i="91"/>
  <c r="G92" i="87"/>
  <c r="D85" i="93"/>
  <c r="K84" i="93"/>
  <c r="E84" i="93"/>
  <c r="F84" i="93" s="1"/>
  <c r="G55" i="93"/>
  <c r="H55" i="93"/>
  <c r="G51" i="93"/>
  <c r="H51" i="93"/>
  <c r="G47" i="93"/>
  <c r="H47" i="93"/>
  <c r="G43" i="93"/>
  <c r="H43" i="93"/>
  <c r="G83" i="93"/>
  <c r="H83" i="93"/>
  <c r="G57" i="93"/>
  <c r="H57" i="93"/>
  <c r="G53" i="93"/>
  <c r="H53" i="93"/>
  <c r="G49" i="93"/>
  <c r="H49" i="93"/>
  <c r="G45" i="93"/>
  <c r="H45" i="93"/>
  <c r="G41" i="93"/>
  <c r="H41" i="93"/>
  <c r="G39" i="93"/>
  <c r="H39" i="93"/>
  <c r="G35" i="93"/>
  <c r="H35" i="93"/>
  <c r="G90" i="89"/>
  <c r="G94" i="89"/>
  <c r="G95" i="89"/>
  <c r="G87" i="89"/>
  <c r="G59" i="89"/>
  <c r="H59" i="89"/>
  <c r="G91" i="89"/>
  <c r="G86" i="89"/>
  <c r="G66" i="89"/>
  <c r="G67" i="89"/>
  <c r="H61" i="89"/>
  <c r="G61" i="89"/>
  <c r="H89" i="89"/>
  <c r="G89" i="89"/>
  <c r="H69" i="89"/>
  <c r="G69" i="89"/>
  <c r="H84" i="89"/>
  <c r="G84" i="89"/>
  <c r="H73" i="87"/>
  <c r="H94" i="87"/>
  <c r="H95" i="87"/>
  <c r="G86" i="87"/>
  <c r="G85" i="87"/>
  <c r="G77" i="87"/>
  <c r="G90" i="87"/>
  <c r="G106" i="89"/>
  <c r="H106" i="89"/>
  <c r="G98" i="89"/>
  <c r="H98" i="89"/>
  <c r="G105" i="89"/>
  <c r="H105" i="89"/>
  <c r="G97" i="89"/>
  <c r="H97" i="89"/>
  <c r="G104" i="89"/>
  <c r="H104" i="89"/>
  <c r="G96" i="89"/>
  <c r="H96" i="89"/>
  <c r="G80" i="89"/>
  <c r="H80" i="89"/>
  <c r="G72" i="89"/>
  <c r="H72" i="89"/>
  <c r="G99" i="89"/>
  <c r="H99" i="89"/>
  <c r="L72" i="89"/>
  <c r="L73" i="89" s="1"/>
  <c r="L74" i="89" s="1"/>
  <c r="L75" i="89" s="1"/>
  <c r="L76" i="89" s="1"/>
  <c r="L77" i="89" s="1"/>
  <c r="L78" i="89" s="1"/>
  <c r="L79" i="89" s="1"/>
  <c r="L80" i="89" s="1"/>
  <c r="L81" i="89" s="1"/>
  <c r="L82" i="89" s="1"/>
  <c r="L83" i="89" s="1"/>
  <c r="P60" i="89"/>
  <c r="P61" i="89" s="1"/>
  <c r="P62" i="89" s="1"/>
  <c r="P63" i="89" s="1"/>
  <c r="P64" i="89" s="1"/>
  <c r="P65" i="89" s="1"/>
  <c r="P66" i="89" s="1"/>
  <c r="P67" i="89" s="1"/>
  <c r="P68" i="89" s="1"/>
  <c r="P69" i="89" s="1"/>
  <c r="P70" i="89" s="1"/>
  <c r="P71" i="89" s="1"/>
  <c r="P156" i="89"/>
  <c r="P157" i="89" s="1"/>
  <c r="P158" i="89" s="1"/>
  <c r="P159" i="89" s="1"/>
  <c r="P160" i="89" s="1"/>
  <c r="P161" i="89" s="1"/>
  <c r="P162" i="89" s="1"/>
  <c r="P163" i="89" s="1"/>
  <c r="P164" i="89" s="1"/>
  <c r="P165" i="89" s="1"/>
  <c r="P166" i="89" s="1"/>
  <c r="P167" i="89" s="1"/>
  <c r="P168" i="89" s="1"/>
  <c r="P169" i="89" s="1"/>
  <c r="P170" i="89" s="1"/>
  <c r="P171" i="89" s="1"/>
  <c r="P172" i="89" s="1"/>
  <c r="P173" i="89" s="1"/>
  <c r="P174" i="89" s="1"/>
  <c r="P175" i="89" s="1"/>
  <c r="P176" i="89" s="1"/>
  <c r="P177" i="89" s="1"/>
  <c r="P178" i="89" s="1"/>
  <c r="P179" i="89" s="1"/>
  <c r="P180" i="89" s="1"/>
  <c r="P181" i="89" s="1"/>
  <c r="P182" i="89" s="1"/>
  <c r="P183" i="89" s="1"/>
  <c r="P184" i="89" s="1"/>
  <c r="P185" i="89" s="1"/>
  <c r="P186" i="89" s="1"/>
  <c r="P187" i="89" s="1"/>
  <c r="P188" i="89" s="1"/>
  <c r="P189" i="89" s="1"/>
  <c r="P190" i="89" s="1"/>
  <c r="P191" i="89" s="1"/>
  <c r="P192" i="89" s="1"/>
  <c r="P193" i="89" s="1"/>
  <c r="P194" i="89" s="1"/>
  <c r="P195" i="89" s="1"/>
  <c r="P196" i="89" s="1"/>
  <c r="P197" i="89" s="1"/>
  <c r="P198" i="89" s="1"/>
  <c r="P199" i="89" s="1"/>
  <c r="P200" i="89" s="1"/>
  <c r="P201" i="89" s="1"/>
  <c r="P202" i="89" s="1"/>
  <c r="G78" i="89"/>
  <c r="H78" i="89"/>
  <c r="G81" i="89"/>
  <c r="H81" i="89"/>
  <c r="G73" i="89"/>
  <c r="H73" i="89"/>
  <c r="G83" i="89"/>
  <c r="H83" i="89"/>
  <c r="G75" i="89"/>
  <c r="H75" i="89"/>
  <c r="N60" i="89"/>
  <c r="N61" i="89" s="1"/>
  <c r="N62" i="89" s="1"/>
  <c r="N63" i="89" s="1"/>
  <c r="N64" i="89" s="1"/>
  <c r="N65" i="89" s="1"/>
  <c r="N66" i="89" s="1"/>
  <c r="N67" i="89" s="1"/>
  <c r="N68" i="89" s="1"/>
  <c r="N69" i="89" s="1"/>
  <c r="N70" i="89" s="1"/>
  <c r="N71" i="89" s="1"/>
  <c r="N156" i="89"/>
  <c r="N157" i="89" s="1"/>
  <c r="N158" i="89" s="1"/>
  <c r="N159" i="89" s="1"/>
  <c r="N160" i="89" s="1"/>
  <c r="N161" i="89" s="1"/>
  <c r="N162" i="89" s="1"/>
  <c r="N163" i="89" s="1"/>
  <c r="N164" i="89" s="1"/>
  <c r="N165" i="89" s="1"/>
  <c r="N166" i="89" s="1"/>
  <c r="N167" i="89" s="1"/>
  <c r="N168" i="89" s="1"/>
  <c r="N169" i="89" s="1"/>
  <c r="N170" i="89" s="1"/>
  <c r="N171" i="89" s="1"/>
  <c r="N172" i="89" s="1"/>
  <c r="N173" i="89" s="1"/>
  <c r="N174" i="89" s="1"/>
  <c r="N175" i="89" s="1"/>
  <c r="N176" i="89" s="1"/>
  <c r="N177" i="89" s="1"/>
  <c r="N178" i="89" s="1"/>
  <c r="N179" i="89" s="1"/>
  <c r="N180" i="89" s="1"/>
  <c r="N181" i="89" s="1"/>
  <c r="N182" i="89" s="1"/>
  <c r="N183" i="89" s="1"/>
  <c r="N184" i="89" s="1"/>
  <c r="N185" i="89" s="1"/>
  <c r="N186" i="89" s="1"/>
  <c r="N187" i="89" s="1"/>
  <c r="N188" i="89" s="1"/>
  <c r="N189" i="89" s="1"/>
  <c r="N190" i="89" s="1"/>
  <c r="N191" i="89" s="1"/>
  <c r="N192" i="89" s="1"/>
  <c r="N193" i="89" s="1"/>
  <c r="N194" i="89" s="1"/>
  <c r="N195" i="89" s="1"/>
  <c r="N196" i="89" s="1"/>
  <c r="N197" i="89" s="1"/>
  <c r="N198" i="89" s="1"/>
  <c r="N199" i="89" s="1"/>
  <c r="N200" i="89" s="1"/>
  <c r="N201" i="89" s="1"/>
  <c r="N202" i="89" s="1"/>
  <c r="G102" i="89"/>
  <c r="H102" i="89"/>
  <c r="G101" i="89"/>
  <c r="H101" i="89"/>
  <c r="G100" i="89"/>
  <c r="H100" i="89"/>
  <c r="G76" i="89"/>
  <c r="H76" i="89"/>
  <c r="G103" i="89"/>
  <c r="H103" i="89"/>
  <c r="I72" i="89"/>
  <c r="I73" i="89" s="1"/>
  <c r="I74" i="89" s="1"/>
  <c r="I75" i="89" s="1"/>
  <c r="I76" i="89" s="1"/>
  <c r="I77" i="89" s="1"/>
  <c r="I78" i="89" s="1"/>
  <c r="I79" i="89" s="1"/>
  <c r="I80" i="89" s="1"/>
  <c r="I81" i="89" s="1"/>
  <c r="I82" i="89" s="1"/>
  <c r="I83" i="89" s="1"/>
  <c r="G81" i="87"/>
  <c r="G82" i="89"/>
  <c r="H82" i="89"/>
  <c r="G74" i="89"/>
  <c r="H74" i="89"/>
  <c r="G77" i="89"/>
  <c r="H77" i="89"/>
  <c r="G79" i="89"/>
  <c r="H79" i="89"/>
  <c r="H98" i="87"/>
  <c r="G98" i="87"/>
  <c r="G84" i="87"/>
  <c r="G87" i="87"/>
  <c r="H88" i="87"/>
  <c r="G88" i="87"/>
  <c r="G104" i="87"/>
  <c r="H104" i="87"/>
  <c r="G74" i="87"/>
  <c r="H74" i="87"/>
  <c r="G79" i="87"/>
  <c r="H79" i="87"/>
  <c r="G67" i="87"/>
  <c r="H67" i="87"/>
  <c r="G100" i="87"/>
  <c r="H100" i="87"/>
  <c r="G76" i="87"/>
  <c r="H76" i="87"/>
  <c r="G64" i="87"/>
  <c r="H64" i="87"/>
  <c r="G69" i="87"/>
  <c r="H69" i="87"/>
  <c r="G61" i="87"/>
  <c r="H61" i="87"/>
  <c r="P71" i="87"/>
  <c r="P72" i="87" s="1"/>
  <c r="P73" i="87" s="1"/>
  <c r="P74" i="87" s="1"/>
  <c r="P75" i="87" s="1"/>
  <c r="P76" i="87" s="1"/>
  <c r="P77" i="87" s="1"/>
  <c r="P78" i="87" s="1"/>
  <c r="P79" i="87" s="1"/>
  <c r="P80" i="87" s="1"/>
  <c r="P81" i="87" s="1"/>
  <c r="P82" i="87" s="1"/>
  <c r="I83" i="87"/>
  <c r="I84" i="87" s="1"/>
  <c r="I85" i="87" s="1"/>
  <c r="I86" i="87" s="1"/>
  <c r="I87" i="87" s="1"/>
  <c r="I88" i="87" s="1"/>
  <c r="I89" i="87" s="1"/>
  <c r="I90" i="87" s="1"/>
  <c r="I91" i="87" s="1"/>
  <c r="I92" i="87" s="1"/>
  <c r="I93" i="87" s="1"/>
  <c r="I94" i="87" s="1"/>
  <c r="P167" i="87"/>
  <c r="P168" i="87" s="1"/>
  <c r="P169" i="87" s="1"/>
  <c r="P170" i="87" s="1"/>
  <c r="P171" i="87" s="1"/>
  <c r="P172" i="87" s="1"/>
  <c r="P173" i="87" s="1"/>
  <c r="P174" i="87" s="1"/>
  <c r="P175" i="87" s="1"/>
  <c r="P176" i="87" s="1"/>
  <c r="P177" i="87" s="1"/>
  <c r="P178" i="87" s="1"/>
  <c r="G70" i="87"/>
  <c r="H70" i="87"/>
  <c r="G62" i="87"/>
  <c r="H62" i="87"/>
  <c r="I179" i="87"/>
  <c r="I180" i="87" s="1"/>
  <c r="I181" i="87" s="1"/>
  <c r="I182" i="87" s="1"/>
  <c r="I183" i="87" s="1"/>
  <c r="I184" i="87" s="1"/>
  <c r="I185" i="87" s="1"/>
  <c r="I186" i="87" s="1"/>
  <c r="I187" i="87" s="1"/>
  <c r="I188" i="87" s="1"/>
  <c r="I189" i="87" s="1"/>
  <c r="I190" i="87" s="1"/>
  <c r="P119" i="87"/>
  <c r="P120" i="87" s="1"/>
  <c r="P121" i="87" s="1"/>
  <c r="P122" i="87" s="1"/>
  <c r="P123" i="87" s="1"/>
  <c r="P124" i="87" s="1"/>
  <c r="P125" i="87" s="1"/>
  <c r="P126" i="87" s="1"/>
  <c r="P127" i="87" s="1"/>
  <c r="P128" i="87" s="1"/>
  <c r="P129" i="87" s="1"/>
  <c r="P130" i="87" s="1"/>
  <c r="G96" i="87"/>
  <c r="H96" i="87"/>
  <c r="G75" i="87"/>
  <c r="H75" i="87"/>
  <c r="G72" i="87"/>
  <c r="H72" i="87"/>
  <c r="N71" i="87"/>
  <c r="N72" i="87" s="1"/>
  <c r="N73" i="87" s="1"/>
  <c r="N74" i="87" s="1"/>
  <c r="N75" i="87" s="1"/>
  <c r="N76" i="87" s="1"/>
  <c r="N77" i="87" s="1"/>
  <c r="N78" i="87" s="1"/>
  <c r="N79" i="87" s="1"/>
  <c r="N80" i="87" s="1"/>
  <c r="N81" i="87" s="1"/>
  <c r="N82" i="87" s="1"/>
  <c r="L131" i="87"/>
  <c r="L132" i="87" s="1"/>
  <c r="L133" i="87" s="1"/>
  <c r="L134" i="87" s="1"/>
  <c r="L135" i="87" s="1"/>
  <c r="L136" i="87" s="1"/>
  <c r="L137" i="87" s="1"/>
  <c r="L138" i="87" s="1"/>
  <c r="L139" i="87" s="1"/>
  <c r="L140" i="87" s="1"/>
  <c r="L141" i="87" s="1"/>
  <c r="L142" i="87" s="1"/>
  <c r="L83" i="87"/>
  <c r="L84" i="87" s="1"/>
  <c r="L85" i="87" s="1"/>
  <c r="L86" i="87" s="1"/>
  <c r="L87" i="87" s="1"/>
  <c r="L88" i="87" s="1"/>
  <c r="L89" i="87" s="1"/>
  <c r="L90" i="87" s="1"/>
  <c r="L91" i="87" s="1"/>
  <c r="L92" i="87" s="1"/>
  <c r="L93" i="87" s="1"/>
  <c r="L94" i="87" s="1"/>
  <c r="N167" i="87"/>
  <c r="N168" i="87" s="1"/>
  <c r="N169" i="87" s="1"/>
  <c r="N170" i="87" s="1"/>
  <c r="N171" i="87" s="1"/>
  <c r="N172" i="87" s="1"/>
  <c r="N173" i="87" s="1"/>
  <c r="N174" i="87" s="1"/>
  <c r="N175" i="87" s="1"/>
  <c r="N176" i="87" s="1"/>
  <c r="N177" i="87" s="1"/>
  <c r="N178" i="87" s="1"/>
  <c r="G82" i="87"/>
  <c r="H82" i="87"/>
  <c r="N119" i="87"/>
  <c r="N120" i="87" s="1"/>
  <c r="N121" i="87" s="1"/>
  <c r="N122" i="87" s="1"/>
  <c r="N123" i="87" s="1"/>
  <c r="N124" i="87" s="1"/>
  <c r="N125" i="87" s="1"/>
  <c r="N126" i="87" s="1"/>
  <c r="N127" i="87" s="1"/>
  <c r="N128" i="87" s="1"/>
  <c r="N129" i="87" s="1"/>
  <c r="N130" i="87" s="1"/>
  <c r="G71" i="87"/>
  <c r="H71" i="87"/>
  <c r="G63" i="87"/>
  <c r="H63" i="87"/>
  <c r="G68" i="87"/>
  <c r="H68" i="87"/>
  <c r="G65" i="87"/>
  <c r="H65" i="87"/>
  <c r="G60" i="87"/>
  <c r="H60" i="87"/>
  <c r="L179" i="87"/>
  <c r="L180" i="87" s="1"/>
  <c r="L181" i="87" s="1"/>
  <c r="L182" i="87" s="1"/>
  <c r="L183" i="87" s="1"/>
  <c r="L184" i="87" s="1"/>
  <c r="L185" i="87" s="1"/>
  <c r="L186" i="87" s="1"/>
  <c r="L187" i="87" s="1"/>
  <c r="L188" i="87" s="1"/>
  <c r="L189" i="87" s="1"/>
  <c r="L190" i="87" s="1"/>
  <c r="G78" i="87"/>
  <c r="H78" i="87"/>
  <c r="G66" i="87"/>
  <c r="H66" i="87"/>
  <c r="G83" i="87"/>
  <c r="H83" i="87"/>
  <c r="G80" i="87"/>
  <c r="H80" i="87"/>
  <c r="I131" i="87"/>
  <c r="I132" i="87" s="1"/>
  <c r="I133" i="87" s="1"/>
  <c r="I134" i="87" s="1"/>
  <c r="I135" i="87" s="1"/>
  <c r="I136" i="87" s="1"/>
  <c r="I137" i="87" s="1"/>
  <c r="I138" i="87" s="1"/>
  <c r="I139" i="87" s="1"/>
  <c r="I140" i="87" s="1"/>
  <c r="I141" i="87" s="1"/>
  <c r="I142" i="87" s="1"/>
  <c r="L23" i="86"/>
  <c r="L24" i="86" s="1"/>
  <c r="L25" i="86" s="1"/>
  <c r="L26" i="86" s="1"/>
  <c r="L27" i="86" s="1"/>
  <c r="L28" i="86" s="1"/>
  <c r="N23" i="86"/>
  <c r="N24" i="86" s="1"/>
  <c r="N25" i="86" s="1"/>
  <c r="N26" i="86" s="1"/>
  <c r="N27" i="86" s="1"/>
  <c r="N28" i="86" s="1"/>
  <c r="I23" i="86"/>
  <c r="I24" i="86" s="1"/>
  <c r="I25" i="86" s="1"/>
  <c r="I26" i="86" s="1"/>
  <c r="I27" i="86" s="1"/>
  <c r="I28" i="86" s="1"/>
  <c r="O17" i="86"/>
  <c r="O18" i="86" s="1"/>
  <c r="O19" i="86" s="1"/>
  <c r="O20" i="86" s="1"/>
  <c r="O21" i="86" s="1"/>
  <c r="O22" i="86" s="1"/>
  <c r="G12" i="86"/>
  <c r="F13" i="86"/>
  <c r="H12" i="86"/>
  <c r="F157" i="53"/>
  <c r="G156" i="53"/>
  <c r="H156" i="53"/>
  <c r="F86" i="53"/>
  <c r="G85" i="53"/>
  <c r="H85" i="53"/>
  <c r="Q38" i="93" l="1"/>
  <c r="C37" i="93"/>
  <c r="Q90" i="88"/>
  <c r="C89" i="88"/>
  <c r="Q54" i="88"/>
  <c r="Q78" i="88"/>
  <c r="Q86" i="93"/>
  <c r="Q74" i="93"/>
  <c r="C227" i="92"/>
  <c r="D39" i="96"/>
  <c r="K38" i="96"/>
  <c r="C38" i="96" s="1"/>
  <c r="Q18" i="88"/>
  <c r="J110" i="93"/>
  <c r="C109" i="93"/>
  <c r="Q42" i="88"/>
  <c r="C41" i="88"/>
  <c r="M83" i="56"/>
  <c r="D37" i="94"/>
  <c r="K36" i="94"/>
  <c r="C36" i="94" s="1"/>
  <c r="E36" i="94"/>
  <c r="F36" i="94" s="1"/>
  <c r="Q62" i="93"/>
  <c r="Q98" i="93"/>
  <c r="G35" i="95"/>
  <c r="H35" i="95"/>
  <c r="J46" i="97"/>
  <c r="C45" i="97"/>
  <c r="Q15" i="93"/>
  <c r="Q66" i="88"/>
  <c r="J15" i="94"/>
  <c r="C226" i="87"/>
  <c r="Q26" i="93"/>
  <c r="H35" i="94"/>
  <c r="G35" i="94"/>
  <c r="Q30" i="88"/>
  <c r="Q103" i="88"/>
  <c r="R34" i="95"/>
  <c r="T33" i="95"/>
  <c r="U33" i="95" s="1"/>
  <c r="D37" i="95"/>
  <c r="E36" i="95"/>
  <c r="F36" i="95" s="1"/>
  <c r="K36" i="95"/>
  <c r="Q50" i="93"/>
  <c r="C49" i="93"/>
  <c r="J114" i="88"/>
  <c r="C113" i="88"/>
  <c r="J28" i="94"/>
  <c r="J16" i="96"/>
  <c r="J27" i="96"/>
  <c r="C27" i="96" s="1"/>
  <c r="S45" i="94"/>
  <c r="U44" i="94"/>
  <c r="V44" i="94" s="1"/>
  <c r="T45" i="94"/>
  <c r="R46" i="94"/>
  <c r="T46" i="94" s="1"/>
  <c r="E227" i="92"/>
  <c r="F227" i="92" s="1"/>
  <c r="K227" i="92"/>
  <c r="D228" i="92"/>
  <c r="H226" i="92"/>
  <c r="G226" i="92"/>
  <c r="G225" i="91"/>
  <c r="H225" i="91"/>
  <c r="E226" i="91"/>
  <c r="F226" i="91" s="1"/>
  <c r="K226" i="91"/>
  <c r="C226" i="91" s="1"/>
  <c r="D227" i="91"/>
  <c r="H226" i="89"/>
  <c r="G226" i="89"/>
  <c r="D228" i="89"/>
  <c r="K227" i="89"/>
  <c r="C227" i="89" s="1"/>
  <c r="E227" i="89"/>
  <c r="F227" i="89" s="1"/>
  <c r="H225" i="87"/>
  <c r="G225" i="87"/>
  <c r="E226" i="87"/>
  <c r="F226" i="87" s="1"/>
  <c r="D227" i="87"/>
  <c r="K226" i="87"/>
  <c r="J16" i="53"/>
  <c r="J22" i="53" s="1"/>
  <c r="J28" i="53" s="1"/>
  <c r="J34" i="53" s="1"/>
  <c r="J40" i="53" s="1"/>
  <c r="J46" i="53" s="1"/>
  <c r="J52" i="53" s="1"/>
  <c r="J58" i="53" s="1"/>
  <c r="J64" i="53" s="1"/>
  <c r="J70" i="53" s="1"/>
  <c r="J76" i="53" s="1"/>
  <c r="J82" i="53" s="1"/>
  <c r="J88" i="53" s="1"/>
  <c r="J94" i="53" s="1"/>
  <c r="J100" i="53" s="1"/>
  <c r="J106" i="53" s="1"/>
  <c r="J112" i="53" s="1"/>
  <c r="J118" i="53" s="1"/>
  <c r="J124" i="53" s="1"/>
  <c r="J130" i="53" s="1"/>
  <c r="J136" i="53" s="1"/>
  <c r="J142" i="53" s="1"/>
  <c r="J148" i="53" s="1"/>
  <c r="J154" i="53" s="1"/>
  <c r="J160" i="53" s="1"/>
  <c r="J166" i="53" s="1"/>
  <c r="J172" i="53" s="1"/>
  <c r="J178" i="53" s="1"/>
  <c r="J184" i="53" s="1"/>
  <c r="J190" i="53" s="1"/>
  <c r="J196" i="53" s="1"/>
  <c r="J202" i="53" s="1"/>
  <c r="J208" i="53" s="1"/>
  <c r="J214" i="53" s="1"/>
  <c r="J220" i="53" s="1"/>
  <c r="J226" i="53" s="1"/>
  <c r="J21" i="53"/>
  <c r="J27" i="53" s="1"/>
  <c r="J33" i="53" s="1"/>
  <c r="J39" i="53" s="1"/>
  <c r="J45" i="53" s="1"/>
  <c r="J51" i="53" s="1"/>
  <c r="J57" i="53" s="1"/>
  <c r="J63" i="53" s="1"/>
  <c r="J69" i="53" s="1"/>
  <c r="J75" i="53" s="1"/>
  <c r="J81" i="53" s="1"/>
  <c r="J87" i="53" s="1"/>
  <c r="J93" i="53" s="1"/>
  <c r="J99" i="53" s="1"/>
  <c r="J105" i="53" s="1"/>
  <c r="J111" i="53" s="1"/>
  <c r="J117" i="53" s="1"/>
  <c r="J123" i="53" s="1"/>
  <c r="J129" i="53" s="1"/>
  <c r="J135" i="53" s="1"/>
  <c r="J141" i="53" s="1"/>
  <c r="J147" i="53" s="1"/>
  <c r="J153" i="53" s="1"/>
  <c r="J159" i="53" s="1"/>
  <c r="J165" i="53" s="1"/>
  <c r="J171" i="53" s="1"/>
  <c r="J177" i="53" s="1"/>
  <c r="J183" i="53" s="1"/>
  <c r="J189" i="53" s="1"/>
  <c r="J195" i="53" s="1"/>
  <c r="J201" i="53" s="1"/>
  <c r="J207" i="53" s="1"/>
  <c r="J213" i="53" s="1"/>
  <c r="J219" i="53" s="1"/>
  <c r="J225" i="53" s="1"/>
  <c r="G41" i="88"/>
  <c r="H41" i="88"/>
  <c r="D91" i="88"/>
  <c r="K90" i="88"/>
  <c r="E90" i="88"/>
  <c r="F90" i="88" s="1"/>
  <c r="G89" i="88"/>
  <c r="H89" i="88"/>
  <c r="E42" i="88"/>
  <c r="F42" i="88" s="1"/>
  <c r="K42" i="88"/>
  <c r="D43" i="88"/>
  <c r="K14" i="95"/>
  <c r="H13" i="95"/>
  <c r="E26" i="96"/>
  <c r="F26" i="96" s="1"/>
  <c r="E15" i="96"/>
  <c r="F15" i="96" s="1"/>
  <c r="H25" i="96"/>
  <c r="G25" i="96"/>
  <c r="J17" i="95"/>
  <c r="G14" i="95"/>
  <c r="H14" i="95"/>
  <c r="K15" i="95"/>
  <c r="E15" i="95"/>
  <c r="F15" i="95" s="1"/>
  <c r="H26" i="94"/>
  <c r="G26" i="94"/>
  <c r="K14" i="94"/>
  <c r="C14" i="94" s="1"/>
  <c r="E14" i="94"/>
  <c r="F14" i="94" s="1"/>
  <c r="K27" i="94"/>
  <c r="C27" i="94" s="1"/>
  <c r="E27" i="94"/>
  <c r="F27" i="94" s="1"/>
  <c r="H13" i="94"/>
  <c r="G13" i="94"/>
  <c r="H84" i="93"/>
  <c r="G84" i="93"/>
  <c r="D86" i="93"/>
  <c r="K85" i="93"/>
  <c r="C85" i="93" s="1"/>
  <c r="E85" i="93"/>
  <c r="F85" i="93" s="1"/>
  <c r="N72" i="89"/>
  <c r="N73" i="89" s="1"/>
  <c r="N74" i="89" s="1"/>
  <c r="N75" i="89" s="1"/>
  <c r="N76" i="89" s="1"/>
  <c r="N77" i="89" s="1"/>
  <c r="N78" i="89" s="1"/>
  <c r="N79" i="89" s="1"/>
  <c r="N80" i="89" s="1"/>
  <c r="N81" i="89" s="1"/>
  <c r="N82" i="89" s="1"/>
  <c r="N83" i="89" s="1"/>
  <c r="L84" i="89"/>
  <c r="L85" i="89" s="1"/>
  <c r="L86" i="89" s="1"/>
  <c r="L87" i="89" s="1"/>
  <c r="L88" i="89" s="1"/>
  <c r="L89" i="89" s="1"/>
  <c r="L90" i="89" s="1"/>
  <c r="L91" i="89" s="1"/>
  <c r="L92" i="89" s="1"/>
  <c r="L93" i="89" s="1"/>
  <c r="L94" i="89" s="1"/>
  <c r="L95" i="89" s="1"/>
  <c r="L96" i="89" s="1"/>
  <c r="L97" i="89" s="1"/>
  <c r="L98" i="89" s="1"/>
  <c r="L99" i="89" s="1"/>
  <c r="L100" i="89" s="1"/>
  <c r="L101" i="89" s="1"/>
  <c r="L102" i="89" s="1"/>
  <c r="L103" i="89" s="1"/>
  <c r="L104" i="89" s="1"/>
  <c r="L105" i="89" s="1"/>
  <c r="L106" i="89" s="1"/>
  <c r="P72" i="89"/>
  <c r="P73" i="89" s="1"/>
  <c r="P74" i="89" s="1"/>
  <c r="P75" i="89" s="1"/>
  <c r="P76" i="89" s="1"/>
  <c r="P77" i="89" s="1"/>
  <c r="P78" i="89" s="1"/>
  <c r="P79" i="89" s="1"/>
  <c r="P80" i="89" s="1"/>
  <c r="P81" i="89" s="1"/>
  <c r="P82" i="89" s="1"/>
  <c r="P83" i="89" s="1"/>
  <c r="I84" i="89"/>
  <c r="I85" i="89" s="1"/>
  <c r="I86" i="89" s="1"/>
  <c r="I87" i="89" s="1"/>
  <c r="I88" i="89" s="1"/>
  <c r="I89" i="89" s="1"/>
  <c r="I90" i="89" s="1"/>
  <c r="I91" i="89" s="1"/>
  <c r="I92" i="89" s="1"/>
  <c r="I93" i="89" s="1"/>
  <c r="I94" i="89" s="1"/>
  <c r="I95" i="89" s="1"/>
  <c r="I96" i="89" s="1"/>
  <c r="I97" i="89" s="1"/>
  <c r="I98" i="89" s="1"/>
  <c r="I99" i="89" s="1"/>
  <c r="I100" i="89" s="1"/>
  <c r="I101" i="89" s="1"/>
  <c r="I102" i="89" s="1"/>
  <c r="I103" i="89" s="1"/>
  <c r="I104" i="89" s="1"/>
  <c r="I105" i="89" s="1"/>
  <c r="I106" i="89" s="1"/>
  <c r="I143" i="87"/>
  <c r="I144" i="87" s="1"/>
  <c r="I145" i="87" s="1"/>
  <c r="I146" i="87" s="1"/>
  <c r="I147" i="87" s="1"/>
  <c r="I148" i="87" s="1"/>
  <c r="I149" i="87" s="1"/>
  <c r="I150" i="87" s="1"/>
  <c r="I151" i="87" s="1"/>
  <c r="I152" i="87" s="1"/>
  <c r="I153" i="87" s="1"/>
  <c r="I154" i="87" s="1"/>
  <c r="L143" i="87"/>
  <c r="L144" i="87" s="1"/>
  <c r="L145" i="87" s="1"/>
  <c r="L146" i="87" s="1"/>
  <c r="L147" i="87" s="1"/>
  <c r="L148" i="87" s="1"/>
  <c r="L149" i="87" s="1"/>
  <c r="L150" i="87" s="1"/>
  <c r="L151" i="87" s="1"/>
  <c r="L152" i="87" s="1"/>
  <c r="L153" i="87" s="1"/>
  <c r="L154" i="87" s="1"/>
  <c r="I191" i="87"/>
  <c r="I192" i="87" s="1"/>
  <c r="I193" i="87" s="1"/>
  <c r="I194" i="87" s="1"/>
  <c r="I195" i="87" s="1"/>
  <c r="I196" i="87" s="1"/>
  <c r="I197" i="87" s="1"/>
  <c r="I198" i="87" s="1"/>
  <c r="I199" i="87" s="1"/>
  <c r="I200" i="87" s="1"/>
  <c r="I201" i="87" s="1"/>
  <c r="I202" i="87" s="1"/>
  <c r="I95" i="87"/>
  <c r="I96" i="87" s="1"/>
  <c r="I97" i="87" s="1"/>
  <c r="I98" i="87" s="1"/>
  <c r="I99" i="87" s="1"/>
  <c r="I100" i="87" s="1"/>
  <c r="I101" i="87" s="1"/>
  <c r="I102" i="87" s="1"/>
  <c r="I103" i="87" s="1"/>
  <c r="I104" i="87" s="1"/>
  <c r="I105" i="87" s="1"/>
  <c r="I106" i="87" s="1"/>
  <c r="P179" i="87"/>
  <c r="P180" i="87" s="1"/>
  <c r="P181" i="87" s="1"/>
  <c r="P182" i="87" s="1"/>
  <c r="P183" i="87" s="1"/>
  <c r="P184" i="87" s="1"/>
  <c r="P185" i="87" s="1"/>
  <c r="P186" i="87" s="1"/>
  <c r="P187" i="87" s="1"/>
  <c r="P188" i="87" s="1"/>
  <c r="P189" i="87" s="1"/>
  <c r="P190" i="87" s="1"/>
  <c r="L191" i="87"/>
  <c r="L192" i="87" s="1"/>
  <c r="L193" i="87" s="1"/>
  <c r="L194" i="87" s="1"/>
  <c r="L195" i="87" s="1"/>
  <c r="L196" i="87" s="1"/>
  <c r="L197" i="87" s="1"/>
  <c r="L198" i="87" s="1"/>
  <c r="L199" i="87" s="1"/>
  <c r="L200" i="87" s="1"/>
  <c r="L201" i="87" s="1"/>
  <c r="L202" i="87" s="1"/>
  <c r="N83" i="87"/>
  <c r="N84" i="87" s="1"/>
  <c r="N85" i="87" s="1"/>
  <c r="N86" i="87" s="1"/>
  <c r="N87" i="87" s="1"/>
  <c r="N88" i="87" s="1"/>
  <c r="N89" i="87" s="1"/>
  <c r="N90" i="87" s="1"/>
  <c r="N91" i="87" s="1"/>
  <c r="N92" i="87" s="1"/>
  <c r="N93" i="87" s="1"/>
  <c r="N94" i="87" s="1"/>
  <c r="P131" i="87"/>
  <c r="P132" i="87" s="1"/>
  <c r="P133" i="87" s="1"/>
  <c r="P134" i="87" s="1"/>
  <c r="P135" i="87" s="1"/>
  <c r="P136" i="87" s="1"/>
  <c r="P137" i="87" s="1"/>
  <c r="P138" i="87" s="1"/>
  <c r="P139" i="87" s="1"/>
  <c r="P140" i="87" s="1"/>
  <c r="P141" i="87" s="1"/>
  <c r="P142" i="87" s="1"/>
  <c r="N131" i="87"/>
  <c r="N132" i="87" s="1"/>
  <c r="N133" i="87" s="1"/>
  <c r="N134" i="87" s="1"/>
  <c r="N135" i="87" s="1"/>
  <c r="N136" i="87" s="1"/>
  <c r="N137" i="87" s="1"/>
  <c r="N138" i="87" s="1"/>
  <c r="N139" i="87" s="1"/>
  <c r="N140" i="87" s="1"/>
  <c r="N141" i="87" s="1"/>
  <c r="N142" i="87" s="1"/>
  <c r="N179" i="87"/>
  <c r="N180" i="87" s="1"/>
  <c r="N181" i="87" s="1"/>
  <c r="N182" i="87" s="1"/>
  <c r="N183" i="87" s="1"/>
  <c r="N184" i="87" s="1"/>
  <c r="N185" i="87" s="1"/>
  <c r="N186" i="87" s="1"/>
  <c r="N187" i="87" s="1"/>
  <c r="N188" i="87" s="1"/>
  <c r="N189" i="87" s="1"/>
  <c r="N190" i="87" s="1"/>
  <c r="L95" i="87"/>
  <c r="L96" i="87" s="1"/>
  <c r="L97" i="87" s="1"/>
  <c r="L98" i="87" s="1"/>
  <c r="L99" i="87" s="1"/>
  <c r="L100" i="87" s="1"/>
  <c r="L101" i="87" s="1"/>
  <c r="L102" i="87" s="1"/>
  <c r="L103" i="87" s="1"/>
  <c r="L104" i="87" s="1"/>
  <c r="L105" i="87" s="1"/>
  <c r="L106" i="87" s="1"/>
  <c r="P83" i="87"/>
  <c r="P84" i="87" s="1"/>
  <c r="P85" i="87" s="1"/>
  <c r="P86" i="87" s="1"/>
  <c r="P87" i="87" s="1"/>
  <c r="P88" i="87" s="1"/>
  <c r="P89" i="87" s="1"/>
  <c r="P90" i="87" s="1"/>
  <c r="P91" i="87" s="1"/>
  <c r="P92" i="87" s="1"/>
  <c r="P93" i="87" s="1"/>
  <c r="P94" i="87" s="1"/>
  <c r="O23" i="86"/>
  <c r="O24" i="86" s="1"/>
  <c r="O25" i="86" s="1"/>
  <c r="O26" i="86" s="1"/>
  <c r="O27" i="86" s="1"/>
  <c r="O28" i="86" s="1"/>
  <c r="F14" i="86"/>
  <c r="H13" i="86"/>
  <c r="G13" i="86"/>
  <c r="H157" i="53"/>
  <c r="G157" i="53"/>
  <c r="F158" i="53"/>
  <c r="H86" i="53"/>
  <c r="F87" i="53"/>
  <c r="G86" i="53"/>
  <c r="Q27" i="93" l="1"/>
  <c r="D40" i="96"/>
  <c r="K39" i="96"/>
  <c r="C39" i="96" s="1"/>
  <c r="Q79" i="88"/>
  <c r="G36" i="94"/>
  <c r="H36" i="94"/>
  <c r="Q55" i="88"/>
  <c r="Q51" i="93"/>
  <c r="C50" i="93"/>
  <c r="Q104" i="88"/>
  <c r="Q63" i="93"/>
  <c r="J17" i="96"/>
  <c r="C16" i="96"/>
  <c r="J16" i="94"/>
  <c r="C15" i="94"/>
  <c r="H36" i="95"/>
  <c r="G36" i="95"/>
  <c r="Q31" i="88"/>
  <c r="J47" i="97"/>
  <c r="J48" i="97" s="1"/>
  <c r="J49" i="97" s="1"/>
  <c r="J50" i="97" s="1"/>
  <c r="J51" i="97" s="1"/>
  <c r="J52" i="97" s="1"/>
  <c r="J53" i="97" s="1"/>
  <c r="J54" i="97" s="1"/>
  <c r="J55" i="97" s="1"/>
  <c r="J56" i="97" s="1"/>
  <c r="J57" i="97" s="1"/>
  <c r="J58" i="97" s="1"/>
  <c r="J59" i="97" s="1"/>
  <c r="C46" i="97"/>
  <c r="J111" i="93"/>
  <c r="C110" i="93"/>
  <c r="Q75" i="93"/>
  <c r="Q91" i="88"/>
  <c r="C90" i="88"/>
  <c r="Q16" i="93"/>
  <c r="Q43" i="88"/>
  <c r="C42" i="88"/>
  <c r="J29" i="94"/>
  <c r="D38" i="95"/>
  <c r="E37" i="95"/>
  <c r="F37" i="95" s="1"/>
  <c r="K37" i="95"/>
  <c r="Q67" i="88"/>
  <c r="D38" i="94"/>
  <c r="E37" i="94"/>
  <c r="F37" i="94" s="1"/>
  <c r="K37" i="94"/>
  <c r="C37" i="94" s="1"/>
  <c r="Q19" i="88"/>
  <c r="Q87" i="93"/>
  <c r="C227" i="91"/>
  <c r="J115" i="88"/>
  <c r="C114" i="88"/>
  <c r="Q35" i="95"/>
  <c r="T34" i="95"/>
  <c r="U34" i="95" s="1"/>
  <c r="Q99" i="93"/>
  <c r="M101" i="56"/>
  <c r="Q39" i="93"/>
  <c r="C38" i="93"/>
  <c r="J28" i="96"/>
  <c r="C28" i="96" s="1"/>
  <c r="U45" i="94"/>
  <c r="V45" i="94" s="1"/>
  <c r="S46" i="94"/>
  <c r="E228" i="92"/>
  <c r="F228" i="92" s="1"/>
  <c r="D229" i="92"/>
  <c r="K228" i="92"/>
  <c r="C228" i="92" s="1"/>
  <c r="H227" i="92"/>
  <c r="G227" i="92"/>
  <c r="E227" i="91"/>
  <c r="F227" i="91" s="1"/>
  <c r="K227" i="91"/>
  <c r="D228" i="91"/>
  <c r="G226" i="91"/>
  <c r="H226" i="91"/>
  <c r="H227" i="89"/>
  <c r="G227" i="89"/>
  <c r="D229" i="89"/>
  <c r="K228" i="89"/>
  <c r="C228" i="89" s="1"/>
  <c r="E228" i="89"/>
  <c r="F228" i="89" s="1"/>
  <c r="K227" i="87"/>
  <c r="C227" i="87" s="1"/>
  <c r="E227" i="87"/>
  <c r="F227" i="87" s="1"/>
  <c r="D228" i="87"/>
  <c r="H226" i="87"/>
  <c r="G226" i="87"/>
  <c r="E43" i="88"/>
  <c r="F43" i="88" s="1"/>
  <c r="D44" i="88"/>
  <c r="K43" i="88"/>
  <c r="E91" i="88"/>
  <c r="F91" i="88" s="1"/>
  <c r="D92" i="88"/>
  <c r="K91" i="88"/>
  <c r="H42" i="88"/>
  <c r="G42" i="88"/>
  <c r="H90" i="88"/>
  <c r="G90" i="88"/>
  <c r="H26" i="96"/>
  <c r="G26" i="96"/>
  <c r="G15" i="96"/>
  <c r="H15" i="96"/>
  <c r="E16" i="96"/>
  <c r="F16" i="96" s="1"/>
  <c r="E27" i="96"/>
  <c r="F27" i="96" s="1"/>
  <c r="E16" i="95"/>
  <c r="F16" i="95" s="1"/>
  <c r="K16" i="95"/>
  <c r="J18" i="95"/>
  <c r="G15" i="95"/>
  <c r="H15" i="95"/>
  <c r="K28" i="94"/>
  <c r="C28" i="94" s="1"/>
  <c r="E28" i="94"/>
  <c r="F28" i="94" s="1"/>
  <c r="H27" i="94"/>
  <c r="G27" i="94"/>
  <c r="E15" i="94"/>
  <c r="F15" i="94" s="1"/>
  <c r="K15" i="94"/>
  <c r="G14" i="94"/>
  <c r="H14" i="94"/>
  <c r="E86" i="93"/>
  <c r="F86" i="93" s="1"/>
  <c r="K86" i="93"/>
  <c r="C86" i="93" s="1"/>
  <c r="D87" i="93"/>
  <c r="G85" i="93"/>
  <c r="H85" i="93"/>
  <c r="P84" i="89"/>
  <c r="P85" i="89" s="1"/>
  <c r="P86" i="89" s="1"/>
  <c r="P87" i="89" s="1"/>
  <c r="P88" i="89" s="1"/>
  <c r="P89" i="89" s="1"/>
  <c r="P90" i="89" s="1"/>
  <c r="P91" i="89" s="1"/>
  <c r="P92" i="89" s="1"/>
  <c r="P93" i="89" s="1"/>
  <c r="P94" i="89" s="1"/>
  <c r="P95" i="89" s="1"/>
  <c r="P96" i="89" s="1"/>
  <c r="P97" i="89" s="1"/>
  <c r="P98" i="89" s="1"/>
  <c r="P99" i="89" s="1"/>
  <c r="P100" i="89" s="1"/>
  <c r="P101" i="89" s="1"/>
  <c r="P102" i="89" s="1"/>
  <c r="P103" i="89" s="1"/>
  <c r="P104" i="89" s="1"/>
  <c r="P105" i="89" s="1"/>
  <c r="P106" i="89" s="1"/>
  <c r="N84" i="89"/>
  <c r="N85" i="89" s="1"/>
  <c r="N86" i="89" s="1"/>
  <c r="N87" i="89" s="1"/>
  <c r="N88" i="89" s="1"/>
  <c r="N89" i="89" s="1"/>
  <c r="N90" i="89" s="1"/>
  <c r="N91" i="89" s="1"/>
  <c r="N92" i="89" s="1"/>
  <c r="N93" i="89" s="1"/>
  <c r="N94" i="89" s="1"/>
  <c r="N95" i="89" s="1"/>
  <c r="N96" i="89" s="1"/>
  <c r="N97" i="89" s="1"/>
  <c r="N98" i="89" s="1"/>
  <c r="N99" i="89" s="1"/>
  <c r="N100" i="89" s="1"/>
  <c r="N101" i="89" s="1"/>
  <c r="N102" i="89" s="1"/>
  <c r="N103" i="89" s="1"/>
  <c r="N104" i="89" s="1"/>
  <c r="N105" i="89" s="1"/>
  <c r="N106" i="89" s="1"/>
  <c r="N95" i="87"/>
  <c r="N96" i="87" s="1"/>
  <c r="N97" i="87" s="1"/>
  <c r="N98" i="87" s="1"/>
  <c r="N99" i="87" s="1"/>
  <c r="N100" i="87" s="1"/>
  <c r="N101" i="87" s="1"/>
  <c r="N102" i="87" s="1"/>
  <c r="N103" i="87" s="1"/>
  <c r="N104" i="87" s="1"/>
  <c r="N105" i="87" s="1"/>
  <c r="N106" i="87" s="1"/>
  <c r="P143" i="87"/>
  <c r="P144" i="87" s="1"/>
  <c r="P145" i="87" s="1"/>
  <c r="P146" i="87" s="1"/>
  <c r="P147" i="87" s="1"/>
  <c r="P148" i="87" s="1"/>
  <c r="P149" i="87" s="1"/>
  <c r="P150" i="87" s="1"/>
  <c r="P151" i="87" s="1"/>
  <c r="P152" i="87" s="1"/>
  <c r="P153" i="87" s="1"/>
  <c r="P154" i="87" s="1"/>
  <c r="P191" i="87"/>
  <c r="P192" i="87" s="1"/>
  <c r="P193" i="87" s="1"/>
  <c r="P194" i="87" s="1"/>
  <c r="P195" i="87" s="1"/>
  <c r="P196" i="87" s="1"/>
  <c r="P197" i="87" s="1"/>
  <c r="P198" i="87" s="1"/>
  <c r="P199" i="87" s="1"/>
  <c r="P200" i="87" s="1"/>
  <c r="P201" i="87" s="1"/>
  <c r="P202" i="87" s="1"/>
  <c r="P95" i="87"/>
  <c r="P96" i="87" s="1"/>
  <c r="P97" i="87" s="1"/>
  <c r="P98" i="87" s="1"/>
  <c r="P99" i="87" s="1"/>
  <c r="P100" i="87" s="1"/>
  <c r="P101" i="87" s="1"/>
  <c r="P102" i="87" s="1"/>
  <c r="P103" i="87" s="1"/>
  <c r="P104" i="87" s="1"/>
  <c r="P105" i="87" s="1"/>
  <c r="P106" i="87" s="1"/>
  <c r="N191" i="87"/>
  <c r="N192" i="87" s="1"/>
  <c r="N193" i="87" s="1"/>
  <c r="N194" i="87" s="1"/>
  <c r="N195" i="87" s="1"/>
  <c r="N196" i="87" s="1"/>
  <c r="N197" i="87" s="1"/>
  <c r="N198" i="87" s="1"/>
  <c r="N199" i="87" s="1"/>
  <c r="N200" i="87" s="1"/>
  <c r="N201" i="87" s="1"/>
  <c r="N202" i="87" s="1"/>
  <c r="N143" i="87"/>
  <c r="N144" i="87" s="1"/>
  <c r="N145" i="87" s="1"/>
  <c r="N146" i="87" s="1"/>
  <c r="N147" i="87" s="1"/>
  <c r="N148" i="87" s="1"/>
  <c r="N149" i="87" s="1"/>
  <c r="N150" i="87" s="1"/>
  <c r="N151" i="87" s="1"/>
  <c r="N152" i="87" s="1"/>
  <c r="N153" i="87" s="1"/>
  <c r="N154" i="87" s="1"/>
  <c r="G14" i="86"/>
  <c r="H14" i="86"/>
  <c r="F15" i="86"/>
  <c r="H158" i="53"/>
  <c r="G158" i="53"/>
  <c r="F159" i="53"/>
  <c r="H87" i="53"/>
  <c r="F88" i="53"/>
  <c r="G87" i="53"/>
  <c r="Q44" i="88" l="1"/>
  <c r="C43" i="88"/>
  <c r="Q17" i="93"/>
  <c r="Q100" i="93"/>
  <c r="D39" i="94"/>
  <c r="C38" i="94"/>
  <c r="K38" i="94"/>
  <c r="E38" i="94"/>
  <c r="F38" i="94" s="1"/>
  <c r="J30" i="94"/>
  <c r="Q32" i="88"/>
  <c r="Q64" i="93"/>
  <c r="Q76" i="93"/>
  <c r="Q36" i="95"/>
  <c r="S35" i="95"/>
  <c r="R35" i="95"/>
  <c r="Q68" i="88"/>
  <c r="Q105" i="88"/>
  <c r="Q80" i="88"/>
  <c r="Q40" i="93"/>
  <c r="C39" i="93"/>
  <c r="J116" i="88"/>
  <c r="C115" i="88"/>
  <c r="Q20" i="88"/>
  <c r="G37" i="95"/>
  <c r="H37" i="95"/>
  <c r="J112" i="93"/>
  <c r="C111" i="93"/>
  <c r="J17" i="94"/>
  <c r="Q52" i="93"/>
  <c r="C51" i="93"/>
  <c r="D41" i="96"/>
  <c r="K40" i="96"/>
  <c r="C40" i="96" s="1"/>
  <c r="J60" i="97"/>
  <c r="C59" i="97"/>
  <c r="C17" i="96"/>
  <c r="J18" i="96"/>
  <c r="Q56" i="88"/>
  <c r="C229" i="89"/>
  <c r="H37" i="94"/>
  <c r="G37" i="94"/>
  <c r="D39" i="95"/>
  <c r="E38" i="95"/>
  <c r="F38" i="95" s="1"/>
  <c r="K38" i="95"/>
  <c r="Q88" i="93"/>
  <c r="Q92" i="88"/>
  <c r="C91" i="88"/>
  <c r="Q28" i="93"/>
  <c r="J29" i="96"/>
  <c r="C29" i="96" s="1"/>
  <c r="R47" i="94"/>
  <c r="U46" i="94"/>
  <c r="V46" i="94" s="1"/>
  <c r="E229" i="92"/>
  <c r="F229" i="92" s="1"/>
  <c r="D230" i="92"/>
  <c r="K229" i="92"/>
  <c r="C229" i="92" s="1"/>
  <c r="H228" i="92"/>
  <c r="G228" i="92"/>
  <c r="K228" i="91"/>
  <c r="C228" i="91" s="1"/>
  <c r="D229" i="91"/>
  <c r="E228" i="91"/>
  <c r="F228" i="91" s="1"/>
  <c r="H227" i="91"/>
  <c r="G227" i="91"/>
  <c r="D230" i="89"/>
  <c r="K229" i="89"/>
  <c r="E229" i="89"/>
  <c r="F229" i="89" s="1"/>
  <c r="H228" i="89"/>
  <c r="G228" i="89"/>
  <c r="H227" i="87"/>
  <c r="G227" i="87"/>
  <c r="D229" i="87"/>
  <c r="K228" i="87"/>
  <c r="C228" i="87" s="1"/>
  <c r="E228" i="87"/>
  <c r="F228" i="87" s="1"/>
  <c r="E92" i="88"/>
  <c r="F92" i="88" s="1"/>
  <c r="D93" i="88"/>
  <c r="K92" i="88"/>
  <c r="D45" i="88"/>
  <c r="K44" i="88"/>
  <c r="E44" i="88"/>
  <c r="F44" i="88" s="1"/>
  <c r="H91" i="88"/>
  <c r="G91" i="88"/>
  <c r="H43" i="88"/>
  <c r="G43" i="88"/>
  <c r="H27" i="96"/>
  <c r="G27" i="96"/>
  <c r="E17" i="96"/>
  <c r="F17" i="96" s="1"/>
  <c r="G16" i="96"/>
  <c r="H16" i="96"/>
  <c r="E28" i="96"/>
  <c r="F28" i="96" s="1"/>
  <c r="J19" i="95"/>
  <c r="H16" i="95"/>
  <c r="G16" i="95"/>
  <c r="K17" i="95"/>
  <c r="E17" i="95"/>
  <c r="F17" i="95" s="1"/>
  <c r="K29" i="94"/>
  <c r="C29" i="94" s="1"/>
  <c r="E29" i="94"/>
  <c r="F29" i="94" s="1"/>
  <c r="H15" i="94"/>
  <c r="G15" i="94"/>
  <c r="H28" i="94"/>
  <c r="G28" i="94"/>
  <c r="K16" i="94"/>
  <c r="C16" i="94" s="1"/>
  <c r="E16" i="94"/>
  <c r="F16" i="94" s="1"/>
  <c r="E87" i="93"/>
  <c r="F87" i="93" s="1"/>
  <c r="K87" i="93"/>
  <c r="C87" i="93" s="1"/>
  <c r="D88" i="93"/>
  <c r="H86" i="93"/>
  <c r="G86" i="93"/>
  <c r="F16" i="86"/>
  <c r="F17" i="86" s="1"/>
  <c r="H15" i="86"/>
  <c r="G15" i="86"/>
  <c r="H159" i="53"/>
  <c r="F160" i="53"/>
  <c r="G159" i="53"/>
  <c r="F89" i="53"/>
  <c r="G88" i="53"/>
  <c r="H88" i="53"/>
  <c r="J113" i="93" l="1"/>
  <c r="C112" i="93"/>
  <c r="Q41" i="93"/>
  <c r="C40" i="93"/>
  <c r="T35" i="95"/>
  <c r="U35" i="95" s="1"/>
  <c r="R36" i="95"/>
  <c r="Q89" i="93"/>
  <c r="H38" i="95"/>
  <c r="G38" i="95"/>
  <c r="Q57" i="88"/>
  <c r="S36" i="95"/>
  <c r="Q37" i="95"/>
  <c r="C229" i="91"/>
  <c r="D42" i="96"/>
  <c r="K41" i="96"/>
  <c r="C41" i="96" s="1"/>
  <c r="Q65" i="93"/>
  <c r="C18" i="96"/>
  <c r="J19" i="96"/>
  <c r="Q81" i="88"/>
  <c r="Q33" i="88"/>
  <c r="Q101" i="93"/>
  <c r="D40" i="94"/>
  <c r="C39" i="94"/>
  <c r="K39" i="94"/>
  <c r="E39" i="94"/>
  <c r="F39" i="94" s="1"/>
  <c r="Q29" i="93"/>
  <c r="D40" i="95"/>
  <c r="E39" i="95"/>
  <c r="F39" i="95" s="1"/>
  <c r="K39" i="95"/>
  <c r="Q53" i="93"/>
  <c r="C52" i="93"/>
  <c r="Q21" i="88"/>
  <c r="Q77" i="93"/>
  <c r="Q106" i="88"/>
  <c r="J31" i="94"/>
  <c r="Q18" i="93"/>
  <c r="Q93" i="88"/>
  <c r="C92" i="88"/>
  <c r="J61" i="97"/>
  <c r="C60" i="97"/>
  <c r="J18" i="94"/>
  <c r="J117" i="88"/>
  <c r="C116" i="88"/>
  <c r="H38" i="94"/>
  <c r="G38" i="94"/>
  <c r="Q69" i="88"/>
  <c r="Q45" i="88"/>
  <c r="C44" i="88"/>
  <c r="J30" i="96"/>
  <c r="C30" i="96" s="1"/>
  <c r="S47" i="94"/>
  <c r="R48" i="94"/>
  <c r="T47" i="94"/>
  <c r="E230" i="92"/>
  <c r="F230" i="92" s="1"/>
  <c r="K230" i="92"/>
  <c r="C230" i="92" s="1"/>
  <c r="D231" i="92"/>
  <c r="H229" i="92"/>
  <c r="G229" i="92"/>
  <c r="G228" i="91"/>
  <c r="H228" i="91"/>
  <c r="D230" i="91"/>
  <c r="E229" i="91"/>
  <c r="F229" i="91" s="1"/>
  <c r="K229" i="91"/>
  <c r="H229" i="89"/>
  <c r="G229" i="89"/>
  <c r="D231" i="89"/>
  <c r="E230" i="89"/>
  <c r="F230" i="89" s="1"/>
  <c r="K230" i="89"/>
  <c r="C230" i="89" s="1"/>
  <c r="H228" i="87"/>
  <c r="G228" i="87"/>
  <c r="E229" i="87"/>
  <c r="F229" i="87" s="1"/>
  <c r="K229" i="87"/>
  <c r="C229" i="87" s="1"/>
  <c r="D230" i="87"/>
  <c r="G44" i="88"/>
  <c r="H44" i="88"/>
  <c r="G92" i="88"/>
  <c r="H92" i="88"/>
  <c r="D46" i="88"/>
  <c r="K45" i="88"/>
  <c r="E45" i="88"/>
  <c r="F45" i="88" s="1"/>
  <c r="D94" i="88"/>
  <c r="K93" i="88"/>
  <c r="E93" i="88"/>
  <c r="F93" i="88" s="1"/>
  <c r="H28" i="96"/>
  <c r="G28" i="96"/>
  <c r="G17" i="96"/>
  <c r="H17" i="96"/>
  <c r="E29" i="96"/>
  <c r="F29" i="96" s="1"/>
  <c r="E18" i="96"/>
  <c r="F18" i="96" s="1"/>
  <c r="K18" i="95"/>
  <c r="E18" i="95"/>
  <c r="F18" i="95" s="1"/>
  <c r="G17" i="95"/>
  <c r="H17" i="95"/>
  <c r="J20" i="95"/>
  <c r="G16" i="94"/>
  <c r="H16" i="94"/>
  <c r="E30" i="94"/>
  <c r="F30" i="94" s="1"/>
  <c r="K30" i="94"/>
  <c r="C30" i="94" s="1"/>
  <c r="E17" i="94"/>
  <c r="F17" i="94" s="1"/>
  <c r="K17" i="94"/>
  <c r="C17" i="94" s="1"/>
  <c r="H29" i="94"/>
  <c r="G29" i="94"/>
  <c r="H87" i="93"/>
  <c r="G87" i="93"/>
  <c r="D89" i="93"/>
  <c r="E88" i="93"/>
  <c r="F88" i="93" s="1"/>
  <c r="K88" i="93"/>
  <c r="C88" i="93" s="1"/>
  <c r="G17" i="86"/>
  <c r="H17" i="86"/>
  <c r="G16" i="86"/>
  <c r="H16" i="86"/>
  <c r="F161" i="53"/>
  <c r="G160" i="53"/>
  <c r="H160" i="53"/>
  <c r="G89" i="53"/>
  <c r="H89" i="53"/>
  <c r="F90" i="53"/>
  <c r="C19" i="96" l="1"/>
  <c r="J20" i="96"/>
  <c r="Q90" i="93"/>
  <c r="Q94" i="88"/>
  <c r="C93" i="88"/>
  <c r="Q78" i="93"/>
  <c r="D41" i="95"/>
  <c r="K40" i="95"/>
  <c r="E40" i="95"/>
  <c r="F40" i="95" s="1"/>
  <c r="D41" i="94"/>
  <c r="C40" i="94"/>
  <c r="E40" i="94"/>
  <c r="F40" i="94" s="1"/>
  <c r="K40" i="94"/>
  <c r="S37" i="95"/>
  <c r="Q38" i="95"/>
  <c r="T36" i="95"/>
  <c r="U36" i="95" s="1"/>
  <c r="R37" i="95"/>
  <c r="J118" i="88"/>
  <c r="C117" i="88"/>
  <c r="Q19" i="93"/>
  <c r="Q22" i="88"/>
  <c r="Q30" i="93"/>
  <c r="Q102" i="93"/>
  <c r="Q66" i="93"/>
  <c r="Q58" i="88"/>
  <c r="Q42" i="93"/>
  <c r="C41" i="93"/>
  <c r="H39" i="94"/>
  <c r="G39" i="94"/>
  <c r="J114" i="93"/>
  <c r="C113" i="93"/>
  <c r="Q46" i="88"/>
  <c r="C45" i="88"/>
  <c r="J19" i="94"/>
  <c r="J32" i="94"/>
  <c r="Q54" i="93"/>
  <c r="C53" i="93"/>
  <c r="Q34" i="88"/>
  <c r="C231" i="89"/>
  <c r="Q70" i="88"/>
  <c r="J62" i="97"/>
  <c r="C61" i="97"/>
  <c r="H39" i="95"/>
  <c r="G39" i="95"/>
  <c r="Q82" i="88"/>
  <c r="D43" i="96"/>
  <c r="K42" i="96"/>
  <c r="C42" i="96" s="1"/>
  <c r="J31" i="96"/>
  <c r="C31" i="96" s="1"/>
  <c r="R49" i="94"/>
  <c r="T48" i="94"/>
  <c r="S48" i="94"/>
  <c r="U47" i="94"/>
  <c r="V47" i="94" s="1"/>
  <c r="E231" i="92"/>
  <c r="F231" i="92" s="1"/>
  <c r="K231" i="92"/>
  <c r="C231" i="92" s="1"/>
  <c r="D232" i="92"/>
  <c r="H230" i="92"/>
  <c r="G230" i="92"/>
  <c r="H229" i="91"/>
  <c r="G229" i="91"/>
  <c r="D231" i="91"/>
  <c r="K230" i="91"/>
  <c r="C230" i="91" s="1"/>
  <c r="E230" i="91"/>
  <c r="F230" i="91" s="1"/>
  <c r="H230" i="89"/>
  <c r="G230" i="89"/>
  <c r="D232" i="89"/>
  <c r="E231" i="89"/>
  <c r="F231" i="89" s="1"/>
  <c r="K231" i="89"/>
  <c r="D231" i="87"/>
  <c r="K230" i="87"/>
  <c r="C230" i="87" s="1"/>
  <c r="E230" i="87"/>
  <c r="F230" i="87" s="1"/>
  <c r="H229" i="87"/>
  <c r="G229" i="87"/>
  <c r="E46" i="88"/>
  <c r="F46" i="88" s="1"/>
  <c r="D47" i="88"/>
  <c r="K46" i="88"/>
  <c r="D95" i="88"/>
  <c r="K94" i="88"/>
  <c r="E94" i="88"/>
  <c r="F94" i="88" s="1"/>
  <c r="G93" i="88"/>
  <c r="H93" i="88"/>
  <c r="G45" i="88"/>
  <c r="H45" i="88"/>
  <c r="G18" i="96"/>
  <c r="H18" i="96"/>
  <c r="H29" i="96"/>
  <c r="G29" i="96"/>
  <c r="E19" i="96"/>
  <c r="F19" i="96" s="1"/>
  <c r="E30" i="96"/>
  <c r="F30" i="96" s="1"/>
  <c r="G18" i="95"/>
  <c r="H18" i="95"/>
  <c r="J21" i="95"/>
  <c r="E19" i="95"/>
  <c r="F19" i="95" s="1"/>
  <c r="K19" i="95"/>
  <c r="K18" i="94"/>
  <c r="C18" i="94" s="1"/>
  <c r="E18" i="94"/>
  <c r="F18" i="94" s="1"/>
  <c r="H30" i="94"/>
  <c r="G30" i="94"/>
  <c r="K31" i="94"/>
  <c r="C31" i="94" s="1"/>
  <c r="E31" i="94"/>
  <c r="F31" i="94" s="1"/>
  <c r="G17" i="94"/>
  <c r="H17" i="94"/>
  <c r="G88" i="93"/>
  <c r="H88" i="93"/>
  <c r="D90" i="93"/>
  <c r="K89" i="93"/>
  <c r="C89" i="93" s="1"/>
  <c r="E89" i="93"/>
  <c r="F89" i="93" s="1"/>
  <c r="H161" i="53"/>
  <c r="G161" i="53"/>
  <c r="F162" i="53"/>
  <c r="H90" i="53"/>
  <c r="G90" i="53"/>
  <c r="F91" i="53"/>
  <c r="G40" i="94" l="1"/>
  <c r="H40" i="94"/>
  <c r="Q79" i="93"/>
  <c r="D42" i="94"/>
  <c r="E41" i="94"/>
  <c r="F41" i="94" s="1"/>
  <c r="K41" i="94"/>
  <c r="C41" i="94" s="1"/>
  <c r="C94" i="88"/>
  <c r="J20" i="94"/>
  <c r="C46" i="88"/>
  <c r="Q43" i="93"/>
  <c r="C42" i="93"/>
  <c r="Q31" i="93"/>
  <c r="T37" i="95"/>
  <c r="U37" i="95" s="1"/>
  <c r="R38" i="95"/>
  <c r="G40" i="95"/>
  <c r="H40" i="95"/>
  <c r="Q103" i="93"/>
  <c r="C95" i="88"/>
  <c r="S38" i="95"/>
  <c r="Q39" i="95"/>
  <c r="Q91" i="93"/>
  <c r="J119" i="88"/>
  <c r="C118" i="88"/>
  <c r="J63" i="97"/>
  <c r="C62" i="97"/>
  <c r="Q55" i="93"/>
  <c r="C54" i="93"/>
  <c r="D44" i="96"/>
  <c r="K43" i="96"/>
  <c r="C43" i="96" s="1"/>
  <c r="J115" i="93"/>
  <c r="C114" i="93"/>
  <c r="D42" i="95"/>
  <c r="K41" i="95"/>
  <c r="E41" i="95"/>
  <c r="F41" i="95" s="1"/>
  <c r="C20" i="96"/>
  <c r="J21" i="96"/>
  <c r="C232" i="92"/>
  <c r="J33" i="94"/>
  <c r="Q67" i="93"/>
  <c r="Q20" i="93"/>
  <c r="J32" i="96"/>
  <c r="C32" i="96" s="1"/>
  <c r="U48" i="94"/>
  <c r="V48" i="94" s="1"/>
  <c r="S49" i="94"/>
  <c r="R50" i="94"/>
  <c r="T49" i="94"/>
  <c r="E232" i="92"/>
  <c r="F232" i="92" s="1"/>
  <c r="D233" i="92"/>
  <c r="K232" i="92"/>
  <c r="H231" i="92"/>
  <c r="G231" i="92"/>
  <c r="H230" i="91"/>
  <c r="G230" i="91"/>
  <c r="E231" i="91"/>
  <c r="F231" i="91" s="1"/>
  <c r="K231" i="91"/>
  <c r="C231" i="91" s="1"/>
  <c r="D232" i="91"/>
  <c r="H231" i="89"/>
  <c r="G231" i="89"/>
  <c r="D233" i="89"/>
  <c r="E232" i="89"/>
  <c r="F232" i="89" s="1"/>
  <c r="K232" i="89"/>
  <c r="C232" i="89" s="1"/>
  <c r="H230" i="87"/>
  <c r="G230" i="87"/>
  <c r="K231" i="87"/>
  <c r="C231" i="87" s="1"/>
  <c r="E231" i="87"/>
  <c r="F231" i="87" s="1"/>
  <c r="D232" i="87"/>
  <c r="E95" i="88"/>
  <c r="F95" i="88" s="1"/>
  <c r="D96" i="88"/>
  <c r="K95" i="88"/>
  <c r="H94" i="88"/>
  <c r="G94" i="88"/>
  <c r="E47" i="88"/>
  <c r="F47" i="88" s="1"/>
  <c r="D48" i="88"/>
  <c r="K47" i="88"/>
  <c r="C47" i="88" s="1"/>
  <c r="H46" i="88"/>
  <c r="G46" i="88"/>
  <c r="H30" i="96"/>
  <c r="G30" i="96"/>
  <c r="G19" i="96"/>
  <c r="H19" i="96"/>
  <c r="E31" i="96"/>
  <c r="F31" i="96" s="1"/>
  <c r="E20" i="96"/>
  <c r="F20" i="96" s="1"/>
  <c r="K20" i="95"/>
  <c r="E20" i="95"/>
  <c r="F20" i="95" s="1"/>
  <c r="H19" i="95"/>
  <c r="G19" i="95"/>
  <c r="J22" i="95"/>
  <c r="H18" i="94"/>
  <c r="G18" i="94"/>
  <c r="E32" i="94"/>
  <c r="F32" i="94" s="1"/>
  <c r="K32" i="94"/>
  <c r="C32" i="94" s="1"/>
  <c r="K19" i="94"/>
  <c r="C19" i="94" s="1"/>
  <c r="E19" i="94"/>
  <c r="F19" i="94" s="1"/>
  <c r="G31" i="94"/>
  <c r="H31" i="94"/>
  <c r="D91" i="93"/>
  <c r="K90" i="93"/>
  <c r="C90" i="93" s="1"/>
  <c r="E90" i="93"/>
  <c r="F90" i="93" s="1"/>
  <c r="G89" i="93"/>
  <c r="H89" i="93"/>
  <c r="H162" i="53"/>
  <c r="F163" i="53"/>
  <c r="G162" i="53"/>
  <c r="H91" i="53"/>
  <c r="F92" i="53"/>
  <c r="G91" i="53"/>
  <c r="D43" i="95" l="1"/>
  <c r="E42" i="95"/>
  <c r="F42" i="95" s="1"/>
  <c r="K42" i="95"/>
  <c r="J116" i="93"/>
  <c r="C115" i="93"/>
  <c r="Q104" i="93"/>
  <c r="Q44" i="93"/>
  <c r="C43" i="93"/>
  <c r="H41" i="94"/>
  <c r="G41" i="94"/>
  <c r="J64" i="97"/>
  <c r="C63" i="97"/>
  <c r="J120" i="88"/>
  <c r="C119" i="88"/>
  <c r="D43" i="94"/>
  <c r="C42" i="94"/>
  <c r="E42" i="94"/>
  <c r="F42" i="94" s="1"/>
  <c r="K42" i="94"/>
  <c r="J34" i="94"/>
  <c r="Q21" i="93"/>
  <c r="C233" i="89"/>
  <c r="G41" i="95"/>
  <c r="H41" i="95"/>
  <c r="D45" i="96"/>
  <c r="C44" i="96"/>
  <c r="K44" i="96"/>
  <c r="R39" i="95"/>
  <c r="T38" i="95"/>
  <c r="U38" i="95" s="1"/>
  <c r="C233" i="92"/>
  <c r="Q80" i="93"/>
  <c r="C21" i="96"/>
  <c r="J22" i="96"/>
  <c r="C22" i="96" s="1"/>
  <c r="Q68" i="93"/>
  <c r="Q56" i="93"/>
  <c r="C55" i="93"/>
  <c r="Q92" i="93"/>
  <c r="J21" i="94"/>
  <c r="S39" i="95"/>
  <c r="Q40" i="95"/>
  <c r="Q32" i="93"/>
  <c r="J33" i="96"/>
  <c r="C33" i="96" s="1"/>
  <c r="R51" i="94"/>
  <c r="T50" i="94"/>
  <c r="U49" i="94"/>
  <c r="V49" i="94" s="1"/>
  <c r="S50" i="94"/>
  <c r="E233" i="92"/>
  <c r="F233" i="92" s="1"/>
  <c r="K233" i="92"/>
  <c r="D234" i="92"/>
  <c r="H232" i="92"/>
  <c r="G232" i="92"/>
  <c r="E232" i="91"/>
  <c r="F232" i="91" s="1"/>
  <c r="D233" i="91"/>
  <c r="K232" i="91"/>
  <c r="C232" i="91" s="1"/>
  <c r="H231" i="91"/>
  <c r="G231" i="91"/>
  <c r="D234" i="89"/>
  <c r="E233" i="89"/>
  <c r="F233" i="89" s="1"/>
  <c r="K233" i="89"/>
  <c r="H232" i="89"/>
  <c r="G232" i="89"/>
  <c r="K232" i="87"/>
  <c r="C232" i="87" s="1"/>
  <c r="D233" i="87"/>
  <c r="E232" i="87"/>
  <c r="F232" i="87" s="1"/>
  <c r="H231" i="87"/>
  <c r="G231" i="87"/>
  <c r="D49" i="88"/>
  <c r="K48" i="88"/>
  <c r="C48" i="88" s="1"/>
  <c r="E48" i="88"/>
  <c r="F48" i="88" s="1"/>
  <c r="E96" i="88"/>
  <c r="F96" i="88" s="1"/>
  <c r="D97" i="88"/>
  <c r="K96" i="88"/>
  <c r="C96" i="88" s="1"/>
  <c r="H95" i="88"/>
  <c r="G95" i="88"/>
  <c r="H47" i="88"/>
  <c r="G47" i="88"/>
  <c r="E21" i="96"/>
  <c r="F21" i="96" s="1"/>
  <c r="H31" i="96"/>
  <c r="G31" i="96"/>
  <c r="G20" i="96"/>
  <c r="H20" i="96"/>
  <c r="E32" i="96"/>
  <c r="F32" i="96" s="1"/>
  <c r="E21" i="95"/>
  <c r="F21" i="95" s="1"/>
  <c r="K21" i="95"/>
  <c r="G20" i="95"/>
  <c r="H20" i="95"/>
  <c r="G19" i="94"/>
  <c r="H19" i="94"/>
  <c r="G32" i="94"/>
  <c r="H32" i="94"/>
  <c r="K20" i="94"/>
  <c r="C20" i="94" s="1"/>
  <c r="E20" i="94"/>
  <c r="F20" i="94" s="1"/>
  <c r="K33" i="94"/>
  <c r="C33" i="94" s="1"/>
  <c r="E33" i="94"/>
  <c r="F33" i="94" s="1"/>
  <c r="H90" i="93"/>
  <c r="G90" i="93"/>
  <c r="E91" i="93"/>
  <c r="F91" i="93" s="1"/>
  <c r="K91" i="93"/>
  <c r="C91" i="93" s="1"/>
  <c r="D92" i="93"/>
  <c r="H163" i="53"/>
  <c r="F164" i="53"/>
  <c r="G163" i="53"/>
  <c r="F93" i="53"/>
  <c r="G92" i="53"/>
  <c r="H92" i="53"/>
  <c r="Q93" i="93" l="1"/>
  <c r="D46" i="96"/>
  <c r="K45" i="96"/>
  <c r="C45" i="96" s="1"/>
  <c r="J65" i="97"/>
  <c r="C64" i="97"/>
  <c r="J117" i="93"/>
  <c r="C116" i="93"/>
  <c r="Q33" i="93"/>
  <c r="Q57" i="93"/>
  <c r="C56" i="93"/>
  <c r="Q81" i="93"/>
  <c r="S40" i="95"/>
  <c r="Q41" i="95"/>
  <c r="H42" i="94"/>
  <c r="G42" i="94"/>
  <c r="G42" i="95"/>
  <c r="H42" i="95"/>
  <c r="C234" i="92"/>
  <c r="Q69" i="93"/>
  <c r="D44" i="94"/>
  <c r="C43" i="94"/>
  <c r="E43" i="94"/>
  <c r="F43" i="94" s="1"/>
  <c r="K43" i="94"/>
  <c r="Q45" i="93"/>
  <c r="C44" i="93"/>
  <c r="J22" i="94"/>
  <c r="R40" i="95"/>
  <c r="T39" i="95"/>
  <c r="U39" i="95" s="1"/>
  <c r="Q22" i="93"/>
  <c r="D44" i="95"/>
  <c r="E43" i="95"/>
  <c r="F43" i="95" s="1"/>
  <c r="K43" i="95"/>
  <c r="J121" i="88"/>
  <c r="C120" i="88"/>
  <c r="Q105" i="93"/>
  <c r="J34" i="96"/>
  <c r="C34" i="96" s="1"/>
  <c r="T51" i="94"/>
  <c r="R52" i="94"/>
  <c r="S51" i="94"/>
  <c r="U50" i="94"/>
  <c r="V50" i="94" s="1"/>
  <c r="E234" i="92"/>
  <c r="F234" i="92" s="1"/>
  <c r="D235" i="92"/>
  <c r="K234" i="92"/>
  <c r="H233" i="92"/>
  <c r="G233" i="92"/>
  <c r="D234" i="91"/>
  <c r="K233" i="91"/>
  <c r="C233" i="91" s="1"/>
  <c r="E233" i="91"/>
  <c r="F233" i="91" s="1"/>
  <c r="G232" i="91"/>
  <c r="H232" i="91"/>
  <c r="H233" i="89"/>
  <c r="G233" i="89"/>
  <c r="D235" i="89"/>
  <c r="K234" i="89"/>
  <c r="C234" i="89" s="1"/>
  <c r="E234" i="89"/>
  <c r="F234" i="89" s="1"/>
  <c r="H232" i="87"/>
  <c r="G232" i="87"/>
  <c r="D234" i="87"/>
  <c r="K233" i="87"/>
  <c r="C233" i="87" s="1"/>
  <c r="E233" i="87"/>
  <c r="F233" i="87" s="1"/>
  <c r="D50" i="88"/>
  <c r="K49" i="88"/>
  <c r="C49" i="88" s="1"/>
  <c r="E49" i="88"/>
  <c r="F49" i="88" s="1"/>
  <c r="D98" i="88"/>
  <c r="K97" i="88"/>
  <c r="C97" i="88" s="1"/>
  <c r="E97" i="88"/>
  <c r="F97" i="88" s="1"/>
  <c r="G96" i="88"/>
  <c r="H96" i="88"/>
  <c r="G48" i="88"/>
  <c r="H48" i="88"/>
  <c r="E22" i="96"/>
  <c r="F22" i="96" s="1"/>
  <c r="E33" i="96"/>
  <c r="F33" i="96" s="1"/>
  <c r="G21" i="96"/>
  <c r="H21" i="96"/>
  <c r="H32" i="96"/>
  <c r="G32" i="96"/>
  <c r="G21" i="95"/>
  <c r="H21" i="95"/>
  <c r="K22" i="95"/>
  <c r="E22" i="95"/>
  <c r="F22" i="95" s="1"/>
  <c r="E34" i="94"/>
  <c r="F34" i="94" s="1"/>
  <c r="K34" i="94"/>
  <c r="C34" i="94" s="1"/>
  <c r="K21" i="94"/>
  <c r="C21" i="94" s="1"/>
  <c r="E21" i="94"/>
  <c r="F21" i="94" s="1"/>
  <c r="H20" i="94"/>
  <c r="G20" i="94"/>
  <c r="G33" i="94"/>
  <c r="H33" i="94"/>
  <c r="K92" i="93"/>
  <c r="C92" i="93" s="1"/>
  <c r="E92" i="93"/>
  <c r="F92" i="93" s="1"/>
  <c r="D93" i="93"/>
  <c r="G91" i="93"/>
  <c r="H91" i="93"/>
  <c r="F165" i="53"/>
  <c r="G164" i="53"/>
  <c r="H164" i="53"/>
  <c r="H93" i="53"/>
  <c r="F94" i="53"/>
  <c r="G93" i="53"/>
  <c r="D45" i="95" l="1"/>
  <c r="E44" i="95"/>
  <c r="F44" i="95" s="1"/>
  <c r="K44" i="95"/>
  <c r="G43" i="94"/>
  <c r="H43" i="94"/>
  <c r="Q106" i="93"/>
  <c r="J66" i="97"/>
  <c r="C65" i="97"/>
  <c r="R41" i="95"/>
  <c r="T40" i="95"/>
  <c r="U40" i="95" s="1"/>
  <c r="D45" i="94"/>
  <c r="C44" i="94"/>
  <c r="K44" i="94"/>
  <c r="E44" i="94"/>
  <c r="F44" i="94" s="1"/>
  <c r="Q58" i="93"/>
  <c r="C58" i="93" s="1"/>
  <c r="C57" i="93"/>
  <c r="Q46" i="93"/>
  <c r="C46" i="93" s="1"/>
  <c r="C45" i="93"/>
  <c r="J122" i="88"/>
  <c r="C121" i="88"/>
  <c r="Q82" i="93"/>
  <c r="C98" i="88"/>
  <c r="H43" i="95"/>
  <c r="G43" i="95"/>
  <c r="C22" i="94"/>
  <c r="Q42" i="95"/>
  <c r="S41" i="95"/>
  <c r="Q34" i="93"/>
  <c r="Q70" i="93"/>
  <c r="D47" i="96"/>
  <c r="C46" i="96"/>
  <c r="K46" i="96"/>
  <c r="J118" i="93"/>
  <c r="C117" i="93"/>
  <c r="Q94" i="93"/>
  <c r="C93" i="93"/>
  <c r="S52" i="94"/>
  <c r="U51" i="94"/>
  <c r="V51" i="94" s="1"/>
  <c r="R53" i="94"/>
  <c r="T52" i="94"/>
  <c r="E235" i="92"/>
  <c r="F235" i="92" s="1"/>
  <c r="K235" i="92"/>
  <c r="C235" i="92" s="1"/>
  <c r="D236" i="92"/>
  <c r="H234" i="92"/>
  <c r="G234" i="92"/>
  <c r="E234" i="91"/>
  <c r="F234" i="91" s="1"/>
  <c r="D235" i="91"/>
  <c r="K234" i="91"/>
  <c r="C234" i="91" s="1"/>
  <c r="H233" i="91"/>
  <c r="G233" i="91"/>
  <c r="H234" i="89"/>
  <c r="G234" i="89"/>
  <c r="D236" i="89"/>
  <c r="K235" i="89"/>
  <c r="C235" i="89" s="1"/>
  <c r="E235" i="89"/>
  <c r="F235" i="89" s="1"/>
  <c r="E234" i="87"/>
  <c r="F234" i="87" s="1"/>
  <c r="D235" i="87"/>
  <c r="K234" i="87"/>
  <c r="C234" i="87" s="1"/>
  <c r="H233" i="87"/>
  <c r="G233" i="87"/>
  <c r="D51" i="88"/>
  <c r="K50" i="88"/>
  <c r="C50" i="88" s="1"/>
  <c r="E50" i="88"/>
  <c r="F50" i="88" s="1"/>
  <c r="D99" i="88"/>
  <c r="K98" i="88"/>
  <c r="E98" i="88"/>
  <c r="F98" i="88" s="1"/>
  <c r="G97" i="88"/>
  <c r="H97" i="88"/>
  <c r="G49" i="88"/>
  <c r="H49" i="88"/>
  <c r="E34" i="96"/>
  <c r="F34" i="96" s="1"/>
  <c r="G22" i="96"/>
  <c r="H22" i="96"/>
  <c r="H33" i="96"/>
  <c r="G33" i="96"/>
  <c r="G22" i="95"/>
  <c r="H22" i="95"/>
  <c r="E23" i="95"/>
  <c r="F23" i="95" s="1"/>
  <c r="K23" i="95"/>
  <c r="G21" i="94"/>
  <c r="H21" i="94"/>
  <c r="H34" i="94"/>
  <c r="G34" i="94"/>
  <c r="K22" i="94"/>
  <c r="E22" i="94"/>
  <c r="F22" i="94" s="1"/>
  <c r="H92" i="93"/>
  <c r="G92" i="93"/>
  <c r="D94" i="93"/>
  <c r="K93" i="93"/>
  <c r="E93" i="93"/>
  <c r="F93" i="93" s="1"/>
  <c r="F166" i="53"/>
  <c r="H165" i="53"/>
  <c r="G165" i="53"/>
  <c r="H94" i="53"/>
  <c r="F95" i="53"/>
  <c r="G94" i="53"/>
  <c r="R42" i="95" l="1"/>
  <c r="T41" i="95"/>
  <c r="U41" i="95" s="1"/>
  <c r="J123" i="88"/>
  <c r="C122" i="88"/>
  <c r="H44" i="95"/>
  <c r="G44" i="95"/>
  <c r="D48" i="96"/>
  <c r="C47" i="96"/>
  <c r="K47" i="96"/>
  <c r="D46" i="94"/>
  <c r="C45" i="94"/>
  <c r="E45" i="94"/>
  <c r="F45" i="94" s="1"/>
  <c r="K45" i="94"/>
  <c r="G44" i="94"/>
  <c r="H44" i="94"/>
  <c r="J119" i="93"/>
  <c r="C118" i="93"/>
  <c r="Q43" i="95"/>
  <c r="S42" i="95"/>
  <c r="J67" i="97"/>
  <c r="C66" i="97"/>
  <c r="D46" i="95"/>
  <c r="K45" i="95"/>
  <c r="E45" i="95"/>
  <c r="F45" i="95" s="1"/>
  <c r="S53" i="94"/>
  <c r="U52" i="94"/>
  <c r="V52" i="94" s="1"/>
  <c r="T53" i="94"/>
  <c r="R54" i="94"/>
  <c r="E236" i="92"/>
  <c r="F236" i="92" s="1"/>
  <c r="D237" i="92"/>
  <c r="K236" i="92"/>
  <c r="C236" i="92" s="1"/>
  <c r="H235" i="92"/>
  <c r="G235" i="92"/>
  <c r="G234" i="91"/>
  <c r="H234" i="91"/>
  <c r="E235" i="91"/>
  <c r="F235" i="91" s="1"/>
  <c r="D236" i="91"/>
  <c r="K235" i="91"/>
  <c r="C235" i="91" s="1"/>
  <c r="H235" i="89"/>
  <c r="G235" i="89"/>
  <c r="D237" i="89"/>
  <c r="E236" i="89"/>
  <c r="F236" i="89" s="1"/>
  <c r="K236" i="89"/>
  <c r="C236" i="89" s="1"/>
  <c r="K235" i="87"/>
  <c r="C235" i="87" s="1"/>
  <c r="E235" i="87"/>
  <c r="F235" i="87" s="1"/>
  <c r="D236" i="87"/>
  <c r="H234" i="87"/>
  <c r="G234" i="87"/>
  <c r="E99" i="88"/>
  <c r="F99" i="88" s="1"/>
  <c r="D100" i="88"/>
  <c r="K99" i="88"/>
  <c r="C99" i="88" s="1"/>
  <c r="H98" i="88"/>
  <c r="G98" i="88"/>
  <c r="H50" i="88"/>
  <c r="G50" i="88"/>
  <c r="E51" i="88"/>
  <c r="F51" i="88" s="1"/>
  <c r="K51" i="88"/>
  <c r="C51" i="88" s="1"/>
  <c r="D52" i="88"/>
  <c r="H34" i="96"/>
  <c r="G34" i="96"/>
  <c r="H23" i="95"/>
  <c r="G23" i="95"/>
  <c r="K24" i="95"/>
  <c r="E24" i="95"/>
  <c r="F24" i="95" s="1"/>
  <c r="H22" i="94"/>
  <c r="G22" i="94"/>
  <c r="G93" i="93"/>
  <c r="H93" i="93"/>
  <c r="E94" i="93"/>
  <c r="F94" i="93" s="1"/>
  <c r="D95" i="93"/>
  <c r="K94" i="93"/>
  <c r="C94" i="93" s="1"/>
  <c r="D156" i="91"/>
  <c r="H166" i="53"/>
  <c r="G166" i="53"/>
  <c r="F167" i="53"/>
  <c r="H95" i="53"/>
  <c r="F96" i="53"/>
  <c r="G95" i="53"/>
  <c r="D47" i="95" l="1"/>
  <c r="E46" i="95"/>
  <c r="F46" i="95" s="1"/>
  <c r="K46" i="95"/>
  <c r="J68" i="97"/>
  <c r="C67" i="97"/>
  <c r="H45" i="94"/>
  <c r="G45" i="94"/>
  <c r="Q44" i="95"/>
  <c r="S43" i="95"/>
  <c r="D47" i="94"/>
  <c r="K46" i="94"/>
  <c r="C46" i="94" s="1"/>
  <c r="E46" i="94"/>
  <c r="F46" i="94" s="1"/>
  <c r="J124" i="88"/>
  <c r="C123" i="88"/>
  <c r="G45" i="95"/>
  <c r="H45" i="95"/>
  <c r="D49" i="96"/>
  <c r="K48" i="96"/>
  <c r="C48" i="96" s="1"/>
  <c r="T42" i="95"/>
  <c r="U42" i="95" s="1"/>
  <c r="R43" i="95"/>
  <c r="C119" i="93"/>
  <c r="J120" i="93"/>
  <c r="R55" i="94"/>
  <c r="T54" i="94"/>
  <c r="U53" i="94"/>
  <c r="V53" i="94" s="1"/>
  <c r="S54" i="94"/>
  <c r="E237" i="92"/>
  <c r="F237" i="92" s="1"/>
  <c r="K237" i="92"/>
  <c r="C237" i="92" s="1"/>
  <c r="D238" i="92"/>
  <c r="H236" i="92"/>
  <c r="G236" i="92"/>
  <c r="H235" i="91"/>
  <c r="G235" i="91"/>
  <c r="D237" i="91"/>
  <c r="E236" i="91"/>
  <c r="F236" i="91" s="1"/>
  <c r="K236" i="91"/>
  <c r="C236" i="91" s="1"/>
  <c r="H236" i="89"/>
  <c r="G236" i="89"/>
  <c r="D238" i="89"/>
  <c r="K237" i="89"/>
  <c r="C237" i="89" s="1"/>
  <c r="E237" i="89"/>
  <c r="F237" i="89" s="1"/>
  <c r="H235" i="87"/>
  <c r="G235" i="87"/>
  <c r="D237" i="87"/>
  <c r="K236" i="87"/>
  <c r="C236" i="87" s="1"/>
  <c r="E236" i="87"/>
  <c r="F236" i="87" s="1"/>
  <c r="E100" i="88"/>
  <c r="F100" i="88" s="1"/>
  <c r="D101" i="88"/>
  <c r="K100" i="88"/>
  <c r="C100" i="88" s="1"/>
  <c r="E52" i="88"/>
  <c r="F52" i="88" s="1"/>
  <c r="D53" i="88"/>
  <c r="K52" i="88"/>
  <c r="C52" i="88" s="1"/>
  <c r="H51" i="88"/>
  <c r="G51" i="88"/>
  <c r="H99" i="88"/>
  <c r="G99" i="88"/>
  <c r="H24" i="95"/>
  <c r="G24" i="95"/>
  <c r="K25" i="95"/>
  <c r="E25" i="95"/>
  <c r="F25" i="95" s="1"/>
  <c r="E95" i="93"/>
  <c r="F95" i="93" s="1"/>
  <c r="D96" i="93"/>
  <c r="K95" i="93"/>
  <c r="C95" i="93" s="1"/>
  <c r="H94" i="93"/>
  <c r="G94" i="93"/>
  <c r="E156" i="91"/>
  <c r="F156" i="91" s="1"/>
  <c r="D157" i="91"/>
  <c r="K156" i="91"/>
  <c r="C156" i="91" s="1"/>
  <c r="D60" i="91"/>
  <c r="D156" i="87"/>
  <c r="H167" i="53"/>
  <c r="G167" i="53"/>
  <c r="F168" i="53"/>
  <c r="F97" i="53"/>
  <c r="G96" i="53"/>
  <c r="H96" i="53"/>
  <c r="T43" i="95" l="1"/>
  <c r="U43" i="95" s="1"/>
  <c r="R44" i="95"/>
  <c r="H46" i="94"/>
  <c r="G46" i="94"/>
  <c r="C238" i="89"/>
  <c r="J69" i="97"/>
  <c r="C68" i="97"/>
  <c r="D48" i="94"/>
  <c r="E47" i="94"/>
  <c r="F47" i="94" s="1"/>
  <c r="K47" i="94"/>
  <c r="C47" i="94" s="1"/>
  <c r="C120" i="93"/>
  <c r="J121" i="93"/>
  <c r="D50" i="96"/>
  <c r="K49" i="96"/>
  <c r="C49" i="96" s="1"/>
  <c r="G46" i="95"/>
  <c r="H46" i="95"/>
  <c r="Q45" i="95"/>
  <c r="S44" i="95"/>
  <c r="D48" i="95"/>
  <c r="K47" i="95"/>
  <c r="E47" i="95"/>
  <c r="F47" i="95" s="1"/>
  <c r="J125" i="88"/>
  <c r="C124" i="88"/>
  <c r="U54" i="94"/>
  <c r="V54" i="94" s="1"/>
  <c r="S55" i="94"/>
  <c r="R56" i="94"/>
  <c r="T55" i="94"/>
  <c r="E238" i="92"/>
  <c r="F238" i="92" s="1"/>
  <c r="D239" i="92"/>
  <c r="K238" i="92"/>
  <c r="C238" i="92" s="1"/>
  <c r="H237" i="92"/>
  <c r="G237" i="92"/>
  <c r="G236" i="91"/>
  <c r="H236" i="91"/>
  <c r="D238" i="91"/>
  <c r="K237" i="91"/>
  <c r="C237" i="91" s="1"/>
  <c r="E237" i="91"/>
  <c r="F237" i="91" s="1"/>
  <c r="H237" i="89"/>
  <c r="G237" i="89"/>
  <c r="D239" i="89"/>
  <c r="E238" i="89"/>
  <c r="F238" i="89" s="1"/>
  <c r="K238" i="89"/>
  <c r="H236" i="87"/>
  <c r="G236" i="87"/>
  <c r="E237" i="87"/>
  <c r="F237" i="87" s="1"/>
  <c r="K237" i="87"/>
  <c r="C237" i="87" s="1"/>
  <c r="D238" i="87"/>
  <c r="G52" i="88"/>
  <c r="H52" i="88"/>
  <c r="D102" i="88"/>
  <c r="K101" i="88"/>
  <c r="C101" i="88" s="1"/>
  <c r="E101" i="88"/>
  <c r="F101" i="88" s="1"/>
  <c r="D54" i="88"/>
  <c r="K53" i="88"/>
  <c r="C53" i="88" s="1"/>
  <c r="E53" i="88"/>
  <c r="F53" i="88" s="1"/>
  <c r="G100" i="88"/>
  <c r="H100" i="88"/>
  <c r="H25" i="95"/>
  <c r="G25" i="95"/>
  <c r="E26" i="95"/>
  <c r="F26" i="95" s="1"/>
  <c r="K26" i="95"/>
  <c r="D97" i="93"/>
  <c r="K96" i="93"/>
  <c r="C96" i="93" s="1"/>
  <c r="E96" i="93"/>
  <c r="F96" i="93" s="1"/>
  <c r="H95" i="93"/>
  <c r="G95" i="93"/>
  <c r="G156" i="91"/>
  <c r="H156" i="91"/>
  <c r="E60" i="91"/>
  <c r="F60" i="91" s="1"/>
  <c r="D61" i="91"/>
  <c r="K60" i="91"/>
  <c r="C60" i="91" s="1"/>
  <c r="D158" i="91"/>
  <c r="K157" i="91"/>
  <c r="C157" i="91" s="1"/>
  <c r="E157" i="91"/>
  <c r="F157" i="91" s="1"/>
  <c r="D157" i="87"/>
  <c r="E156" i="87"/>
  <c r="F156" i="87" s="1"/>
  <c r="K156" i="87"/>
  <c r="C156" i="87" s="1"/>
  <c r="F169" i="53"/>
  <c r="H168" i="53"/>
  <c r="G168" i="53"/>
  <c r="G97" i="53"/>
  <c r="F98" i="53"/>
  <c r="H97" i="53"/>
  <c r="D49" i="95" l="1"/>
  <c r="K48" i="95"/>
  <c r="E48" i="95"/>
  <c r="F48" i="95" s="1"/>
  <c r="D51" i="96"/>
  <c r="C50" i="96"/>
  <c r="K50" i="96"/>
  <c r="G47" i="94"/>
  <c r="H47" i="94"/>
  <c r="Q46" i="95"/>
  <c r="S45" i="95"/>
  <c r="D49" i="94"/>
  <c r="E48" i="94"/>
  <c r="F48" i="94" s="1"/>
  <c r="K48" i="94"/>
  <c r="C48" i="94" s="1"/>
  <c r="C102" i="88"/>
  <c r="J126" i="88"/>
  <c r="C125" i="88"/>
  <c r="C121" i="93"/>
  <c r="J122" i="93"/>
  <c r="R45" i="95"/>
  <c r="T44" i="95"/>
  <c r="U44" i="95" s="1"/>
  <c r="G47" i="95"/>
  <c r="H47" i="95"/>
  <c r="C239" i="89"/>
  <c r="J70" i="97"/>
  <c r="C70" i="97" s="1"/>
  <c r="C69" i="97"/>
  <c r="T56" i="94"/>
  <c r="R57" i="94"/>
  <c r="S56" i="94"/>
  <c r="U55" i="94"/>
  <c r="V55" i="94" s="1"/>
  <c r="E239" i="92"/>
  <c r="F239" i="92" s="1"/>
  <c r="K239" i="92"/>
  <c r="C239" i="92" s="1"/>
  <c r="D240" i="92"/>
  <c r="H238" i="92"/>
  <c r="G238" i="92"/>
  <c r="H237" i="91"/>
  <c r="G237" i="91"/>
  <c r="D239" i="91"/>
  <c r="K238" i="91"/>
  <c r="C238" i="91" s="1"/>
  <c r="E238" i="91"/>
  <c r="F238" i="91" s="1"/>
  <c r="D240" i="89"/>
  <c r="E239" i="89"/>
  <c r="F239" i="89" s="1"/>
  <c r="K239" i="89"/>
  <c r="H238" i="89"/>
  <c r="G238" i="89"/>
  <c r="D239" i="87"/>
  <c r="K238" i="87"/>
  <c r="C238" i="87" s="1"/>
  <c r="E238" i="87"/>
  <c r="F238" i="87" s="1"/>
  <c r="H237" i="87"/>
  <c r="G237" i="87"/>
  <c r="D55" i="88"/>
  <c r="K54" i="88"/>
  <c r="C54" i="88" s="1"/>
  <c r="E54" i="88"/>
  <c r="F54" i="88" s="1"/>
  <c r="G53" i="88"/>
  <c r="H53" i="88"/>
  <c r="G101" i="88"/>
  <c r="H101" i="88"/>
  <c r="D103" i="88"/>
  <c r="K102" i="88"/>
  <c r="E102" i="88"/>
  <c r="F102" i="88" s="1"/>
  <c r="K27" i="95"/>
  <c r="E27" i="95"/>
  <c r="F27" i="95" s="1"/>
  <c r="H26" i="95"/>
  <c r="G26" i="95"/>
  <c r="D98" i="93"/>
  <c r="K97" i="93"/>
  <c r="C97" i="93" s="1"/>
  <c r="E97" i="93"/>
  <c r="F97" i="93" s="1"/>
  <c r="G96" i="93"/>
  <c r="H96" i="93"/>
  <c r="G60" i="91"/>
  <c r="H60" i="91"/>
  <c r="D159" i="91"/>
  <c r="K158" i="91"/>
  <c r="C158" i="91" s="1"/>
  <c r="E158" i="91"/>
  <c r="F158" i="91" s="1"/>
  <c r="H157" i="91"/>
  <c r="G157" i="91"/>
  <c r="D62" i="91"/>
  <c r="E61" i="91"/>
  <c r="F61" i="91" s="1"/>
  <c r="K61" i="91"/>
  <c r="C61" i="91" s="1"/>
  <c r="H156" i="87"/>
  <c r="G156" i="87"/>
  <c r="D158" i="87"/>
  <c r="E157" i="87"/>
  <c r="F157" i="87" s="1"/>
  <c r="K157" i="87"/>
  <c r="C157" i="87" s="1"/>
  <c r="H169" i="53"/>
  <c r="F170" i="53"/>
  <c r="G169" i="53"/>
  <c r="H98" i="53"/>
  <c r="G98" i="53"/>
  <c r="F99" i="53"/>
  <c r="Q47" i="95" l="1"/>
  <c r="S46" i="95"/>
  <c r="D52" i="96"/>
  <c r="K51" i="96"/>
  <c r="C51" i="96" s="1"/>
  <c r="R46" i="95"/>
  <c r="T46" i="95" s="1"/>
  <c r="T45" i="95"/>
  <c r="U45" i="95" s="1"/>
  <c r="C239" i="87"/>
  <c r="C239" i="91"/>
  <c r="C122" i="93"/>
  <c r="J123" i="93"/>
  <c r="G48" i="94"/>
  <c r="H48" i="94"/>
  <c r="G48" i="95"/>
  <c r="H48" i="95"/>
  <c r="C158" i="87"/>
  <c r="D50" i="94"/>
  <c r="C49" i="94"/>
  <c r="K49" i="94"/>
  <c r="E49" i="94"/>
  <c r="F49" i="94" s="1"/>
  <c r="J127" i="88"/>
  <c r="C126" i="88"/>
  <c r="D50" i="95"/>
  <c r="K49" i="95"/>
  <c r="E49" i="95"/>
  <c r="F49" i="95" s="1"/>
  <c r="S57" i="94"/>
  <c r="U56" i="94"/>
  <c r="V56" i="94" s="1"/>
  <c r="T57" i="94"/>
  <c r="R58" i="94"/>
  <c r="T58" i="94" s="1"/>
  <c r="E240" i="92"/>
  <c r="F240" i="92" s="1"/>
  <c r="D241" i="92"/>
  <c r="K240" i="92"/>
  <c r="C240" i="92" s="1"/>
  <c r="H239" i="92"/>
  <c r="G239" i="92"/>
  <c r="H238" i="91"/>
  <c r="G238" i="91"/>
  <c r="K239" i="91"/>
  <c r="D240" i="91"/>
  <c r="E239" i="91"/>
  <c r="F239" i="91" s="1"/>
  <c r="H239" i="89"/>
  <c r="G239" i="89"/>
  <c r="D241" i="89"/>
  <c r="E240" i="89"/>
  <c r="F240" i="89" s="1"/>
  <c r="K240" i="89"/>
  <c r="C240" i="89" s="1"/>
  <c r="H238" i="87"/>
  <c r="G238" i="87"/>
  <c r="K239" i="87"/>
  <c r="E239" i="87"/>
  <c r="F239" i="87" s="1"/>
  <c r="D240" i="87"/>
  <c r="H102" i="88"/>
  <c r="G102" i="88"/>
  <c r="H54" i="88"/>
  <c r="G54" i="88"/>
  <c r="E103" i="88"/>
  <c r="F103" i="88" s="1"/>
  <c r="K103" i="88"/>
  <c r="C103" i="88" s="1"/>
  <c r="D104" i="88"/>
  <c r="E55" i="88"/>
  <c r="F55" i="88" s="1"/>
  <c r="D56" i="88"/>
  <c r="K55" i="88"/>
  <c r="C55" i="88" s="1"/>
  <c r="H27" i="95"/>
  <c r="G27" i="95"/>
  <c r="K28" i="95"/>
  <c r="E28" i="95"/>
  <c r="F28" i="95" s="1"/>
  <c r="K98" i="93"/>
  <c r="C98" i="93" s="1"/>
  <c r="D99" i="93"/>
  <c r="E98" i="93"/>
  <c r="F98" i="93" s="1"/>
  <c r="G97" i="93"/>
  <c r="H97" i="93"/>
  <c r="E159" i="91"/>
  <c r="F159" i="91" s="1"/>
  <c r="K159" i="91"/>
  <c r="C159" i="91" s="1"/>
  <c r="D160" i="91"/>
  <c r="H61" i="91"/>
  <c r="G61" i="91"/>
  <c r="G158" i="91"/>
  <c r="H158" i="91"/>
  <c r="D63" i="91"/>
  <c r="K62" i="91"/>
  <c r="C62" i="91" s="1"/>
  <c r="E62" i="91"/>
  <c r="F62" i="91" s="1"/>
  <c r="H157" i="87"/>
  <c r="G157" i="87"/>
  <c r="K158" i="87"/>
  <c r="D159" i="87"/>
  <c r="E158" i="87"/>
  <c r="F158" i="87" s="1"/>
  <c r="F171" i="53"/>
  <c r="G170" i="53"/>
  <c r="H170" i="53"/>
  <c r="H99" i="53"/>
  <c r="F100" i="53"/>
  <c r="G99" i="53"/>
  <c r="D53" i="96" l="1"/>
  <c r="K52" i="96"/>
  <c r="C52" i="96" s="1"/>
  <c r="D51" i="95"/>
  <c r="K50" i="95"/>
  <c r="E50" i="95"/>
  <c r="F50" i="95" s="1"/>
  <c r="D51" i="94"/>
  <c r="E50" i="94"/>
  <c r="F50" i="94" s="1"/>
  <c r="K50" i="94"/>
  <c r="C50" i="94" s="1"/>
  <c r="J128" i="88"/>
  <c r="C127" i="88"/>
  <c r="U46" i="95"/>
  <c r="S47" i="95"/>
  <c r="Q48" i="95"/>
  <c r="R47" i="95"/>
  <c r="G49" i="95"/>
  <c r="H49" i="95"/>
  <c r="G49" i="94"/>
  <c r="H49" i="94"/>
  <c r="C123" i="93"/>
  <c r="J124" i="93"/>
  <c r="U57" i="94"/>
  <c r="V57" i="94" s="1"/>
  <c r="S58" i="94"/>
  <c r="E241" i="92"/>
  <c r="F241" i="92" s="1"/>
  <c r="K241" i="92"/>
  <c r="C241" i="92" s="1"/>
  <c r="D242" i="92"/>
  <c r="H240" i="92"/>
  <c r="G240" i="92"/>
  <c r="H239" i="91"/>
  <c r="G239" i="91"/>
  <c r="E240" i="91"/>
  <c r="F240" i="91" s="1"/>
  <c r="D241" i="91"/>
  <c r="K240" i="91"/>
  <c r="C240" i="91" s="1"/>
  <c r="H240" i="89"/>
  <c r="G240" i="89"/>
  <c r="D242" i="89"/>
  <c r="E241" i="89"/>
  <c r="F241" i="89" s="1"/>
  <c r="K241" i="89"/>
  <c r="C241" i="89" s="1"/>
  <c r="H239" i="87"/>
  <c r="G239" i="87"/>
  <c r="K240" i="87"/>
  <c r="C240" i="87" s="1"/>
  <c r="D241" i="87"/>
  <c r="E240" i="87"/>
  <c r="F240" i="87" s="1"/>
  <c r="E56" i="88"/>
  <c r="F56" i="88" s="1"/>
  <c r="D57" i="88"/>
  <c r="K56" i="88"/>
  <c r="C56" i="88" s="1"/>
  <c r="H55" i="88"/>
  <c r="G55" i="88"/>
  <c r="H103" i="88"/>
  <c r="G103" i="88"/>
  <c r="E104" i="88"/>
  <c r="F104" i="88" s="1"/>
  <c r="D105" i="88"/>
  <c r="K104" i="88"/>
  <c r="C104" i="88" s="1"/>
  <c r="K29" i="95"/>
  <c r="E29" i="95"/>
  <c r="F29" i="95" s="1"/>
  <c r="H28" i="95"/>
  <c r="G28" i="95"/>
  <c r="E99" i="93"/>
  <c r="F99" i="93" s="1"/>
  <c r="K99" i="93"/>
  <c r="C99" i="93" s="1"/>
  <c r="D100" i="93"/>
  <c r="H98" i="93"/>
  <c r="G98" i="93"/>
  <c r="D64" i="91"/>
  <c r="K63" i="91"/>
  <c r="C63" i="91" s="1"/>
  <c r="E63" i="91"/>
  <c r="F63" i="91" s="1"/>
  <c r="E160" i="91"/>
  <c r="F160" i="91" s="1"/>
  <c r="K160" i="91"/>
  <c r="C160" i="91" s="1"/>
  <c r="D161" i="91"/>
  <c r="G62" i="91"/>
  <c r="H62" i="91"/>
  <c r="H159" i="91"/>
  <c r="G159" i="91"/>
  <c r="H158" i="87"/>
  <c r="G158" i="87"/>
  <c r="D160" i="87"/>
  <c r="E159" i="87"/>
  <c r="F159" i="87" s="1"/>
  <c r="K159" i="87"/>
  <c r="C159" i="87" s="1"/>
  <c r="G171" i="53"/>
  <c r="F172" i="53"/>
  <c r="H171" i="53"/>
  <c r="F101" i="53"/>
  <c r="G100" i="53"/>
  <c r="H100" i="53"/>
  <c r="D52" i="95" l="1"/>
  <c r="K51" i="95"/>
  <c r="E51" i="95"/>
  <c r="F51" i="95" s="1"/>
  <c r="S48" i="95"/>
  <c r="Q49" i="95"/>
  <c r="G50" i="95"/>
  <c r="H50" i="95"/>
  <c r="C105" i="88"/>
  <c r="G50" i="94"/>
  <c r="H50" i="94"/>
  <c r="J129" i="88"/>
  <c r="C128" i="88"/>
  <c r="C124" i="93"/>
  <c r="J125" i="93"/>
  <c r="T47" i="95"/>
  <c r="U47" i="95" s="1"/>
  <c r="R48" i="95"/>
  <c r="D52" i="94"/>
  <c r="C51" i="94"/>
  <c r="E51" i="94"/>
  <c r="F51" i="94" s="1"/>
  <c r="K51" i="94"/>
  <c r="D54" i="96"/>
  <c r="K53" i="96"/>
  <c r="C53" i="96" s="1"/>
  <c r="U58" i="94"/>
  <c r="V58" i="94" s="1"/>
  <c r="R59" i="94"/>
  <c r="E242" i="92"/>
  <c r="F242" i="92" s="1"/>
  <c r="K242" i="92"/>
  <c r="C242" i="92" s="1"/>
  <c r="D243" i="92"/>
  <c r="H241" i="92"/>
  <c r="G241" i="92"/>
  <c r="H240" i="91"/>
  <c r="G240" i="91"/>
  <c r="D242" i="91"/>
  <c r="K241" i="91"/>
  <c r="C241" i="91" s="1"/>
  <c r="E241" i="91"/>
  <c r="F241" i="91" s="1"/>
  <c r="H241" i="89"/>
  <c r="G241" i="89"/>
  <c r="D243" i="89"/>
  <c r="K242" i="89"/>
  <c r="C242" i="89" s="1"/>
  <c r="E242" i="89"/>
  <c r="F242" i="89" s="1"/>
  <c r="H240" i="87"/>
  <c r="G240" i="87"/>
  <c r="D242" i="87"/>
  <c r="K241" i="87"/>
  <c r="C241" i="87" s="1"/>
  <c r="E241" i="87"/>
  <c r="F241" i="87" s="1"/>
  <c r="G104" i="88"/>
  <c r="H104" i="88"/>
  <c r="D58" i="88"/>
  <c r="K57" i="88"/>
  <c r="C57" i="88" s="1"/>
  <c r="E57" i="88"/>
  <c r="F57" i="88" s="1"/>
  <c r="D106" i="88"/>
  <c r="K105" i="88"/>
  <c r="E105" i="88"/>
  <c r="F105" i="88" s="1"/>
  <c r="G56" i="88"/>
  <c r="H56" i="88"/>
  <c r="H29" i="95"/>
  <c r="G29" i="95"/>
  <c r="E30" i="95"/>
  <c r="F30" i="95" s="1"/>
  <c r="K30" i="95"/>
  <c r="E100" i="93"/>
  <c r="F100" i="93" s="1"/>
  <c r="D101" i="93"/>
  <c r="K100" i="93"/>
  <c r="C100" i="93" s="1"/>
  <c r="G99" i="93"/>
  <c r="H99" i="93"/>
  <c r="H63" i="91"/>
  <c r="G63" i="91"/>
  <c r="H160" i="91"/>
  <c r="G160" i="91"/>
  <c r="D162" i="91"/>
  <c r="K161" i="91"/>
  <c r="C161" i="91" s="1"/>
  <c r="E161" i="91"/>
  <c r="F161" i="91" s="1"/>
  <c r="E64" i="91"/>
  <c r="F64" i="91" s="1"/>
  <c r="D65" i="91"/>
  <c r="K64" i="91"/>
  <c r="C64" i="91" s="1"/>
  <c r="H159" i="87"/>
  <c r="G159" i="87"/>
  <c r="D161" i="87"/>
  <c r="E160" i="87"/>
  <c r="F160" i="87" s="1"/>
  <c r="K160" i="87"/>
  <c r="C160" i="87" s="1"/>
  <c r="F173" i="53"/>
  <c r="H172" i="53"/>
  <c r="G172" i="53"/>
  <c r="H101" i="53"/>
  <c r="G101" i="53"/>
  <c r="F102" i="53"/>
  <c r="H51" i="94" l="1"/>
  <c r="G51" i="94"/>
  <c r="D53" i="95"/>
  <c r="E52" i="95"/>
  <c r="F52" i="95" s="1"/>
  <c r="K52" i="95"/>
  <c r="D53" i="94"/>
  <c r="E52" i="94"/>
  <c r="F52" i="94" s="1"/>
  <c r="K52" i="94"/>
  <c r="C52" i="94" s="1"/>
  <c r="J130" i="88"/>
  <c r="C130" i="88" s="1"/>
  <c r="C129" i="88"/>
  <c r="R49" i="95"/>
  <c r="T48" i="95"/>
  <c r="U48" i="95" s="1"/>
  <c r="Q50" i="95"/>
  <c r="S49" i="95"/>
  <c r="C242" i="87"/>
  <c r="D55" i="96"/>
  <c r="C54" i="96"/>
  <c r="K54" i="96"/>
  <c r="C125" i="93"/>
  <c r="J126" i="93"/>
  <c r="G51" i="95"/>
  <c r="H51" i="95"/>
  <c r="T59" i="94"/>
  <c r="S59" i="94"/>
  <c r="R60" i="94"/>
  <c r="E243" i="92"/>
  <c r="F243" i="92" s="1"/>
  <c r="K243" i="92"/>
  <c r="C243" i="92" s="1"/>
  <c r="D244" i="92"/>
  <c r="H242" i="92"/>
  <c r="G242" i="92"/>
  <c r="E242" i="91"/>
  <c r="F242" i="91" s="1"/>
  <c r="D243" i="91"/>
  <c r="K242" i="91"/>
  <c r="C242" i="91" s="1"/>
  <c r="H241" i="91"/>
  <c r="G241" i="91"/>
  <c r="H242" i="89"/>
  <c r="G242" i="89"/>
  <c r="D244" i="89"/>
  <c r="K243" i="89"/>
  <c r="C243" i="89" s="1"/>
  <c r="E243" i="89"/>
  <c r="F243" i="89" s="1"/>
  <c r="H241" i="87"/>
  <c r="G241" i="87"/>
  <c r="E242" i="87"/>
  <c r="F242" i="87" s="1"/>
  <c r="D243" i="87"/>
  <c r="K242" i="87"/>
  <c r="K58" i="88"/>
  <c r="C58" i="88" s="1"/>
  <c r="E58" i="88"/>
  <c r="F58" i="88" s="1"/>
  <c r="K106" i="88"/>
  <c r="C106" i="88" s="1"/>
  <c r="E106" i="88"/>
  <c r="F106" i="88" s="1"/>
  <c r="G57" i="88"/>
  <c r="H57" i="88"/>
  <c r="G105" i="88"/>
  <c r="H105" i="88"/>
  <c r="K31" i="95"/>
  <c r="E31" i="95"/>
  <c r="F31" i="95" s="1"/>
  <c r="G30" i="95"/>
  <c r="H30" i="95"/>
  <c r="H100" i="93"/>
  <c r="G100" i="93"/>
  <c r="D102" i="93"/>
  <c r="K101" i="93"/>
  <c r="C101" i="93" s="1"/>
  <c r="E101" i="93"/>
  <c r="F101" i="93" s="1"/>
  <c r="G161" i="91"/>
  <c r="H161" i="91"/>
  <c r="D163" i="91"/>
  <c r="K162" i="91"/>
  <c r="C162" i="91" s="1"/>
  <c r="E162" i="91"/>
  <c r="F162" i="91" s="1"/>
  <c r="E65" i="91"/>
  <c r="F65" i="91" s="1"/>
  <c r="K65" i="91"/>
  <c r="C65" i="91" s="1"/>
  <c r="D66" i="91"/>
  <c r="G64" i="91"/>
  <c r="H64" i="91"/>
  <c r="H160" i="87"/>
  <c r="G160" i="87"/>
  <c r="D162" i="87"/>
  <c r="E161" i="87"/>
  <c r="F161" i="87" s="1"/>
  <c r="K161" i="87"/>
  <c r="C161" i="87" s="1"/>
  <c r="H173" i="53"/>
  <c r="G173" i="53"/>
  <c r="F174" i="53"/>
  <c r="H102" i="53"/>
  <c r="F103" i="53"/>
  <c r="G102" i="53"/>
  <c r="D54" i="95" l="1"/>
  <c r="E53" i="95"/>
  <c r="F53" i="95" s="1"/>
  <c r="K53" i="95"/>
  <c r="C244" i="89"/>
  <c r="S50" i="95"/>
  <c r="Q51" i="95"/>
  <c r="H52" i="94"/>
  <c r="G52" i="94"/>
  <c r="C244" i="92"/>
  <c r="R50" i="95"/>
  <c r="T49" i="95"/>
  <c r="U49" i="95" s="1"/>
  <c r="D54" i="94"/>
  <c r="C53" i="94"/>
  <c r="K53" i="94"/>
  <c r="E53" i="94"/>
  <c r="F53" i="94" s="1"/>
  <c r="C126" i="93"/>
  <c r="J127" i="93"/>
  <c r="D56" i="96"/>
  <c r="K55" i="96"/>
  <c r="C55" i="96" s="1"/>
  <c r="G52" i="95"/>
  <c r="H52" i="95"/>
  <c r="T60" i="94"/>
  <c r="R61" i="94"/>
  <c r="S60" i="94"/>
  <c r="U59" i="94"/>
  <c r="V59" i="94" s="1"/>
  <c r="E244" i="92"/>
  <c r="F244" i="92" s="1"/>
  <c r="D245" i="92"/>
  <c r="K244" i="92"/>
  <c r="H243" i="92"/>
  <c r="G243" i="92"/>
  <c r="E243" i="91"/>
  <c r="F243" i="91" s="1"/>
  <c r="K243" i="91"/>
  <c r="C243" i="91" s="1"/>
  <c r="D244" i="91"/>
  <c r="G242" i="91"/>
  <c r="H242" i="91"/>
  <c r="H243" i="89"/>
  <c r="G243" i="89"/>
  <c r="D245" i="89"/>
  <c r="E244" i="89"/>
  <c r="F244" i="89" s="1"/>
  <c r="K244" i="89"/>
  <c r="D244" i="87"/>
  <c r="E243" i="87"/>
  <c r="F243" i="87" s="1"/>
  <c r="K243" i="87"/>
  <c r="C243" i="87" s="1"/>
  <c r="H242" i="87"/>
  <c r="G242" i="87"/>
  <c r="H58" i="88"/>
  <c r="G58" i="88"/>
  <c r="H106" i="88"/>
  <c r="G106" i="88"/>
  <c r="E32" i="95"/>
  <c r="F32" i="95" s="1"/>
  <c r="K32" i="95"/>
  <c r="G31" i="95"/>
  <c r="H31" i="95"/>
  <c r="G101" i="93"/>
  <c r="H101" i="93"/>
  <c r="D103" i="93"/>
  <c r="K102" i="93"/>
  <c r="C102" i="93" s="1"/>
  <c r="E102" i="93"/>
  <c r="F102" i="93" s="1"/>
  <c r="H65" i="91"/>
  <c r="G65" i="91"/>
  <c r="D67" i="91"/>
  <c r="K66" i="91"/>
  <c r="C66" i="91" s="1"/>
  <c r="E66" i="91"/>
  <c r="F66" i="91" s="1"/>
  <c r="D164" i="91"/>
  <c r="K163" i="91"/>
  <c r="C163" i="91" s="1"/>
  <c r="E163" i="91"/>
  <c r="F163" i="91" s="1"/>
  <c r="G162" i="91"/>
  <c r="H162" i="91"/>
  <c r="H161" i="87"/>
  <c r="G161" i="87"/>
  <c r="D163" i="87"/>
  <c r="K162" i="87"/>
  <c r="C162" i="87" s="1"/>
  <c r="E162" i="87"/>
  <c r="F162" i="87" s="1"/>
  <c r="F175" i="53"/>
  <c r="G174" i="53"/>
  <c r="H174" i="53"/>
  <c r="H103" i="53"/>
  <c r="F104" i="53"/>
  <c r="G103" i="53"/>
  <c r="G53" i="94" l="1"/>
  <c r="H53" i="94"/>
  <c r="C245" i="92"/>
  <c r="C127" i="93"/>
  <c r="J128" i="93"/>
  <c r="D55" i="94"/>
  <c r="K54" i="94"/>
  <c r="C54" i="94" s="1"/>
  <c r="E54" i="94"/>
  <c r="F54" i="94" s="1"/>
  <c r="H53" i="95"/>
  <c r="G53" i="95"/>
  <c r="D57" i="96"/>
  <c r="K56" i="96"/>
  <c r="C56" i="96" s="1"/>
  <c r="S51" i="95"/>
  <c r="Q52" i="95"/>
  <c r="C164" i="91"/>
  <c r="T50" i="95"/>
  <c r="U50" i="95" s="1"/>
  <c r="R51" i="95"/>
  <c r="D55" i="95"/>
  <c r="E54" i="95"/>
  <c r="F54" i="95" s="1"/>
  <c r="K54" i="95"/>
  <c r="S61" i="94"/>
  <c r="U60" i="94"/>
  <c r="V60" i="94" s="1"/>
  <c r="R62" i="94"/>
  <c r="T61" i="94"/>
  <c r="E245" i="92"/>
  <c r="F245" i="92" s="1"/>
  <c r="K245" i="92"/>
  <c r="D246" i="92"/>
  <c r="H244" i="92"/>
  <c r="G244" i="92"/>
  <c r="K244" i="91"/>
  <c r="C244" i="91" s="1"/>
  <c r="D245" i="91"/>
  <c r="E244" i="91"/>
  <c r="F244" i="91" s="1"/>
  <c r="H243" i="91"/>
  <c r="G243" i="91"/>
  <c r="H244" i="89"/>
  <c r="G244" i="89"/>
  <c r="D246" i="89"/>
  <c r="K245" i="89"/>
  <c r="C245" i="89" s="1"/>
  <c r="E245" i="89"/>
  <c r="F245" i="89" s="1"/>
  <c r="H243" i="87"/>
  <c r="G243" i="87"/>
  <c r="D245" i="87"/>
  <c r="K244" i="87"/>
  <c r="C244" i="87" s="1"/>
  <c r="E244" i="87"/>
  <c r="F244" i="87" s="1"/>
  <c r="G32" i="95"/>
  <c r="H32" i="95"/>
  <c r="K33" i="95"/>
  <c r="E33" i="95"/>
  <c r="F33" i="95" s="1"/>
  <c r="H102" i="93"/>
  <c r="G102" i="93"/>
  <c r="E103" i="93"/>
  <c r="F103" i="93" s="1"/>
  <c r="D104" i="93"/>
  <c r="K103" i="93"/>
  <c r="C103" i="93" s="1"/>
  <c r="H163" i="91"/>
  <c r="G163" i="91"/>
  <c r="K67" i="91"/>
  <c r="C67" i="91" s="1"/>
  <c r="D68" i="91"/>
  <c r="E67" i="91"/>
  <c r="F67" i="91" s="1"/>
  <c r="E164" i="91"/>
  <c r="F164" i="91" s="1"/>
  <c r="K164" i="91"/>
  <c r="D165" i="91"/>
  <c r="G66" i="91"/>
  <c r="H66" i="91"/>
  <c r="H162" i="87"/>
  <c r="G162" i="87"/>
  <c r="K163" i="87"/>
  <c r="C163" i="87" s="1"/>
  <c r="D164" i="87"/>
  <c r="E163" i="87"/>
  <c r="F163" i="87" s="1"/>
  <c r="F176" i="53"/>
  <c r="H175" i="53"/>
  <c r="G175" i="53"/>
  <c r="F105" i="53"/>
  <c r="G104" i="53"/>
  <c r="H104" i="53"/>
  <c r="C128" i="93" l="1"/>
  <c r="J129" i="93"/>
  <c r="Q53" i="95"/>
  <c r="S52" i="95"/>
  <c r="C164" i="87"/>
  <c r="H54" i="95"/>
  <c r="G54" i="95"/>
  <c r="G54" i="94"/>
  <c r="H54" i="94"/>
  <c r="C246" i="89"/>
  <c r="D56" i="95"/>
  <c r="E55" i="95"/>
  <c r="F55" i="95" s="1"/>
  <c r="K55" i="95"/>
  <c r="T51" i="95"/>
  <c r="U51" i="95" s="1"/>
  <c r="R52" i="95"/>
  <c r="D56" i="94"/>
  <c r="C55" i="94"/>
  <c r="K55" i="94"/>
  <c r="E55" i="94"/>
  <c r="F55" i="94" s="1"/>
  <c r="D58" i="96"/>
  <c r="K57" i="96"/>
  <c r="C57" i="96" s="1"/>
  <c r="T62" i="94"/>
  <c r="R63" i="94"/>
  <c r="U61" i="94"/>
  <c r="V61" i="94" s="1"/>
  <c r="S62" i="94"/>
  <c r="E246" i="92"/>
  <c r="F246" i="92" s="1"/>
  <c r="K246" i="92"/>
  <c r="C246" i="92" s="1"/>
  <c r="D247" i="92"/>
  <c r="H245" i="92"/>
  <c r="G245" i="92"/>
  <c r="G244" i="91"/>
  <c r="H244" i="91"/>
  <c r="K245" i="91"/>
  <c r="C245" i="91" s="1"/>
  <c r="E245" i="91"/>
  <c r="F245" i="91" s="1"/>
  <c r="D246" i="91"/>
  <c r="H245" i="89"/>
  <c r="G245" i="89"/>
  <c r="D247" i="89"/>
  <c r="E246" i="89"/>
  <c r="F246" i="89" s="1"/>
  <c r="K246" i="89"/>
  <c r="E245" i="87"/>
  <c r="F245" i="87" s="1"/>
  <c r="D246" i="87"/>
  <c r="K245" i="87"/>
  <c r="C245" i="87" s="1"/>
  <c r="H244" i="87"/>
  <c r="G244" i="87"/>
  <c r="E34" i="95"/>
  <c r="F34" i="95" s="1"/>
  <c r="K34" i="95"/>
  <c r="G33" i="95"/>
  <c r="H33" i="95"/>
  <c r="E104" i="93"/>
  <c r="F104" i="93" s="1"/>
  <c r="K104" i="93"/>
  <c r="C104" i="93" s="1"/>
  <c r="D105" i="93"/>
  <c r="G103" i="93"/>
  <c r="H103" i="93"/>
  <c r="E68" i="91"/>
  <c r="F68" i="91" s="1"/>
  <c r="D69" i="91"/>
  <c r="K68" i="91"/>
  <c r="C68" i="91" s="1"/>
  <c r="G164" i="91"/>
  <c r="H164" i="91"/>
  <c r="H67" i="91"/>
  <c r="G67" i="91"/>
  <c r="K165" i="91"/>
  <c r="C165" i="91" s="1"/>
  <c r="E165" i="91"/>
  <c r="F165" i="91" s="1"/>
  <c r="D166" i="91"/>
  <c r="K164" i="87"/>
  <c r="D165" i="87"/>
  <c r="E164" i="87"/>
  <c r="F164" i="87" s="1"/>
  <c r="G163" i="87"/>
  <c r="H163" i="87"/>
  <c r="F177" i="53"/>
  <c r="H176" i="53"/>
  <c r="G176" i="53"/>
  <c r="F106" i="53"/>
  <c r="G105" i="53"/>
  <c r="H105" i="53"/>
  <c r="D57" i="95" l="1"/>
  <c r="E56" i="95"/>
  <c r="F56" i="95" s="1"/>
  <c r="K56" i="95"/>
  <c r="C105" i="93"/>
  <c r="T52" i="95"/>
  <c r="U52" i="95" s="1"/>
  <c r="R53" i="95"/>
  <c r="S53" i="95"/>
  <c r="Q54" i="95"/>
  <c r="D57" i="94"/>
  <c r="K56" i="94"/>
  <c r="C56" i="94" s="1"/>
  <c r="E56" i="94"/>
  <c r="F56" i="94" s="1"/>
  <c r="D59" i="96"/>
  <c r="K58" i="96"/>
  <c r="C58" i="96" s="1"/>
  <c r="C129" i="93"/>
  <c r="J130" i="93"/>
  <c r="C130" i="93" s="1"/>
  <c r="G55" i="95"/>
  <c r="H55" i="95"/>
  <c r="C247" i="92"/>
  <c r="H55" i="94"/>
  <c r="G55" i="94"/>
  <c r="R64" i="94"/>
  <c r="T63" i="94"/>
  <c r="S63" i="94"/>
  <c r="U62" i="94"/>
  <c r="V62" i="94" s="1"/>
  <c r="E247" i="92"/>
  <c r="F247" i="92" s="1"/>
  <c r="K247" i="92"/>
  <c r="D248" i="92"/>
  <c r="H246" i="92"/>
  <c r="G246" i="92"/>
  <c r="D247" i="91"/>
  <c r="K246" i="91"/>
  <c r="C246" i="91" s="1"/>
  <c r="E246" i="91"/>
  <c r="F246" i="91" s="1"/>
  <c r="H245" i="91"/>
  <c r="G245" i="91"/>
  <c r="H246" i="89"/>
  <c r="G246" i="89"/>
  <c r="D248" i="89"/>
  <c r="E247" i="89"/>
  <c r="F247" i="89" s="1"/>
  <c r="K247" i="89"/>
  <c r="C247" i="89" s="1"/>
  <c r="D247" i="87"/>
  <c r="K246" i="87"/>
  <c r="C246" i="87" s="1"/>
  <c r="E246" i="87"/>
  <c r="F246" i="87" s="1"/>
  <c r="H245" i="87"/>
  <c r="G245" i="87"/>
  <c r="G34" i="95"/>
  <c r="H34" i="95"/>
  <c r="D106" i="93"/>
  <c r="K105" i="93"/>
  <c r="E105" i="93"/>
  <c r="F105" i="93" s="1"/>
  <c r="H104" i="93"/>
  <c r="G104" i="93"/>
  <c r="H165" i="91"/>
  <c r="G165" i="91"/>
  <c r="E69" i="91"/>
  <c r="F69" i="91" s="1"/>
  <c r="K69" i="91"/>
  <c r="C69" i="91" s="1"/>
  <c r="D70" i="91"/>
  <c r="D167" i="91"/>
  <c r="K166" i="91"/>
  <c r="C166" i="91" s="1"/>
  <c r="E166" i="91"/>
  <c r="F166" i="91" s="1"/>
  <c r="G68" i="91"/>
  <c r="H68" i="91"/>
  <c r="G164" i="87"/>
  <c r="H164" i="87"/>
  <c r="K165" i="87"/>
  <c r="C165" i="87" s="1"/>
  <c r="E165" i="87"/>
  <c r="F165" i="87" s="1"/>
  <c r="D166" i="87"/>
  <c r="H177" i="53"/>
  <c r="F178" i="53"/>
  <c r="G177" i="53"/>
  <c r="H106" i="53"/>
  <c r="G106" i="53"/>
  <c r="F107" i="53"/>
  <c r="D60" i="96" l="1"/>
  <c r="K59" i="96"/>
  <c r="C59" i="96" s="1"/>
  <c r="H56" i="95"/>
  <c r="G56" i="95"/>
  <c r="D58" i="94"/>
  <c r="K57" i="94"/>
  <c r="C57" i="94" s="1"/>
  <c r="E57" i="94"/>
  <c r="F57" i="94" s="1"/>
  <c r="Q55" i="95"/>
  <c r="S54" i="95"/>
  <c r="D58" i="95"/>
  <c r="E57" i="95"/>
  <c r="F57" i="95" s="1"/>
  <c r="K57" i="95"/>
  <c r="G56" i="94"/>
  <c r="H56" i="94"/>
  <c r="R54" i="95"/>
  <c r="T53" i="95"/>
  <c r="U53" i="95" s="1"/>
  <c r="S64" i="94"/>
  <c r="U63" i="94"/>
  <c r="V63" i="94" s="1"/>
  <c r="T64" i="94"/>
  <c r="R65" i="94"/>
  <c r="E248" i="92"/>
  <c r="F248" i="92" s="1"/>
  <c r="D249" i="92"/>
  <c r="K248" i="92"/>
  <c r="C248" i="92" s="1"/>
  <c r="H247" i="92"/>
  <c r="G247" i="92"/>
  <c r="H246" i="91"/>
  <c r="G246" i="91"/>
  <c r="D248" i="91"/>
  <c r="E247" i="91"/>
  <c r="F247" i="91" s="1"/>
  <c r="K247" i="91"/>
  <c r="C247" i="91" s="1"/>
  <c r="H247" i="89"/>
  <c r="G247" i="89"/>
  <c r="D249" i="89"/>
  <c r="K248" i="89"/>
  <c r="C248" i="89" s="1"/>
  <c r="E248" i="89"/>
  <c r="F248" i="89" s="1"/>
  <c r="H246" i="87"/>
  <c r="G246" i="87"/>
  <c r="K247" i="87"/>
  <c r="C247" i="87" s="1"/>
  <c r="D248" i="87"/>
  <c r="E247" i="87"/>
  <c r="F247" i="87" s="1"/>
  <c r="G105" i="93"/>
  <c r="H105" i="93"/>
  <c r="K106" i="93"/>
  <c r="C106" i="93" s="1"/>
  <c r="E106" i="93"/>
  <c r="F106" i="93" s="1"/>
  <c r="D168" i="91"/>
  <c r="E167" i="91"/>
  <c r="F167" i="91" s="1"/>
  <c r="K167" i="91"/>
  <c r="C167" i="91" s="1"/>
  <c r="G166" i="91"/>
  <c r="H166" i="91"/>
  <c r="D71" i="91"/>
  <c r="K70" i="91"/>
  <c r="C70" i="91" s="1"/>
  <c r="E70" i="91"/>
  <c r="F70" i="91" s="1"/>
  <c r="H69" i="91"/>
  <c r="G69" i="91"/>
  <c r="G165" i="87"/>
  <c r="H165" i="87"/>
  <c r="K166" i="87"/>
  <c r="C166" i="87" s="1"/>
  <c r="D167" i="87"/>
  <c r="E166" i="87"/>
  <c r="F166" i="87" s="1"/>
  <c r="F179" i="53"/>
  <c r="G178" i="53"/>
  <c r="H178" i="53"/>
  <c r="H107" i="53"/>
  <c r="F108" i="53"/>
  <c r="G107" i="53"/>
  <c r="D59" i="95" l="1"/>
  <c r="E58" i="95"/>
  <c r="F58" i="95" s="1"/>
  <c r="K58" i="95"/>
  <c r="S55" i="95"/>
  <c r="Q56" i="95"/>
  <c r="H57" i="94"/>
  <c r="G57" i="94"/>
  <c r="T54" i="95"/>
  <c r="U54" i="95" s="1"/>
  <c r="R55" i="95"/>
  <c r="D61" i="96"/>
  <c r="K60" i="96"/>
  <c r="C60" i="96" s="1"/>
  <c r="G57" i="95"/>
  <c r="H57" i="95"/>
  <c r="C249" i="89"/>
  <c r="D59" i="94"/>
  <c r="E58" i="94"/>
  <c r="F58" i="94" s="1"/>
  <c r="K58" i="94"/>
  <c r="C58" i="94" s="1"/>
  <c r="T65" i="94"/>
  <c r="R66" i="94"/>
  <c r="U64" i="94"/>
  <c r="V64" i="94" s="1"/>
  <c r="S65" i="94"/>
  <c r="E249" i="92"/>
  <c r="F249" i="92" s="1"/>
  <c r="K249" i="92"/>
  <c r="C249" i="92" s="1"/>
  <c r="D250" i="92"/>
  <c r="H248" i="92"/>
  <c r="G248" i="92"/>
  <c r="E248" i="91"/>
  <c r="F248" i="91" s="1"/>
  <c r="D249" i="91"/>
  <c r="K248" i="91"/>
  <c r="C248" i="91" s="1"/>
  <c r="G247" i="91"/>
  <c r="H247" i="91"/>
  <c r="H248" i="89"/>
  <c r="G248" i="89"/>
  <c r="D250" i="89"/>
  <c r="E249" i="89"/>
  <c r="F249" i="89" s="1"/>
  <c r="K249" i="89"/>
  <c r="H247" i="87"/>
  <c r="G247" i="87"/>
  <c r="E248" i="87"/>
  <c r="F248" i="87" s="1"/>
  <c r="K248" i="87"/>
  <c r="C248" i="87" s="1"/>
  <c r="D249" i="87"/>
  <c r="H106" i="93"/>
  <c r="G106" i="93"/>
  <c r="D72" i="91"/>
  <c r="K71" i="91"/>
  <c r="C71" i="91" s="1"/>
  <c r="E71" i="91"/>
  <c r="F71" i="91" s="1"/>
  <c r="G70" i="91"/>
  <c r="H70" i="91"/>
  <c r="H167" i="91"/>
  <c r="G167" i="91"/>
  <c r="D169" i="91"/>
  <c r="K168" i="91"/>
  <c r="C168" i="91" s="1"/>
  <c r="E168" i="91"/>
  <c r="F168" i="91" s="1"/>
  <c r="G166" i="87"/>
  <c r="H166" i="87"/>
  <c r="D168" i="87"/>
  <c r="K167" i="87"/>
  <c r="C167" i="87" s="1"/>
  <c r="E167" i="87"/>
  <c r="F167" i="87" s="1"/>
  <c r="F180" i="53"/>
  <c r="H179" i="53"/>
  <c r="G179" i="53"/>
  <c r="F109" i="53"/>
  <c r="G108" i="53"/>
  <c r="H108" i="53"/>
  <c r="D60" i="94" l="1"/>
  <c r="E59" i="94"/>
  <c r="F59" i="94" s="1"/>
  <c r="K59" i="94"/>
  <c r="C59" i="94" s="1"/>
  <c r="G58" i="95"/>
  <c r="H58" i="95"/>
  <c r="S56" i="95"/>
  <c r="Q57" i="95"/>
  <c r="T55" i="95"/>
  <c r="U55" i="95" s="1"/>
  <c r="R56" i="95"/>
  <c r="H58" i="94"/>
  <c r="G58" i="94"/>
  <c r="D60" i="95"/>
  <c r="E59" i="95"/>
  <c r="F59" i="95" s="1"/>
  <c r="K59" i="95"/>
  <c r="C249" i="91"/>
  <c r="C169" i="91"/>
  <c r="D62" i="96"/>
  <c r="C61" i="96"/>
  <c r="K61" i="96"/>
  <c r="T66" i="94"/>
  <c r="R67" i="94"/>
  <c r="U65" i="94"/>
  <c r="V65" i="94" s="1"/>
  <c r="S66" i="94"/>
  <c r="E250" i="92"/>
  <c r="F250" i="92" s="1"/>
  <c r="K250" i="92"/>
  <c r="C250" i="92" s="1"/>
  <c r="H249" i="92"/>
  <c r="G249" i="92"/>
  <c r="D250" i="91"/>
  <c r="K249" i="91"/>
  <c r="E249" i="91"/>
  <c r="F249" i="91" s="1"/>
  <c r="G248" i="91"/>
  <c r="H248" i="91"/>
  <c r="H249" i="89"/>
  <c r="G249" i="89"/>
  <c r="K250" i="89"/>
  <c r="C250" i="89" s="1"/>
  <c r="E250" i="89"/>
  <c r="F250" i="89" s="1"/>
  <c r="H248" i="87"/>
  <c r="G248" i="87"/>
  <c r="D250" i="87"/>
  <c r="K249" i="87"/>
  <c r="C249" i="87" s="1"/>
  <c r="E249" i="87"/>
  <c r="F249" i="87" s="1"/>
  <c r="G168" i="91"/>
  <c r="H168" i="91"/>
  <c r="H71" i="91"/>
  <c r="G71" i="91"/>
  <c r="K169" i="91"/>
  <c r="E169" i="91"/>
  <c r="F169" i="91" s="1"/>
  <c r="D170" i="91"/>
  <c r="D73" i="91"/>
  <c r="E72" i="91"/>
  <c r="F72" i="91" s="1"/>
  <c r="K72" i="91"/>
  <c r="C72" i="91" s="1"/>
  <c r="G167" i="87"/>
  <c r="H167" i="87"/>
  <c r="D169" i="87"/>
  <c r="E168" i="87"/>
  <c r="F168" i="87" s="1"/>
  <c r="K168" i="87"/>
  <c r="C168" i="87" s="1"/>
  <c r="G180" i="53"/>
  <c r="F181" i="53"/>
  <c r="H180" i="53"/>
  <c r="H109" i="53"/>
  <c r="F110" i="53"/>
  <c r="G109" i="53"/>
  <c r="D61" i="95" l="1"/>
  <c r="E60" i="95"/>
  <c r="F60" i="95" s="1"/>
  <c r="K60" i="95"/>
  <c r="R57" i="95"/>
  <c r="T56" i="95"/>
  <c r="U56" i="95" s="1"/>
  <c r="G59" i="94"/>
  <c r="H59" i="94"/>
  <c r="Q58" i="95"/>
  <c r="S58" i="95" s="1"/>
  <c r="S57" i="95"/>
  <c r="D61" i="94"/>
  <c r="E60" i="94"/>
  <c r="F60" i="94" s="1"/>
  <c r="K60" i="94"/>
  <c r="C60" i="94" s="1"/>
  <c r="G59" i="95"/>
  <c r="H59" i="95"/>
  <c r="D63" i="96"/>
  <c r="C62" i="96"/>
  <c r="K62" i="96"/>
  <c r="U66" i="94"/>
  <c r="V66" i="94" s="1"/>
  <c r="S67" i="94"/>
  <c r="R68" i="94"/>
  <c r="T67" i="94"/>
  <c r="H250" i="92"/>
  <c r="G250" i="92"/>
  <c r="G249" i="91"/>
  <c r="H249" i="91"/>
  <c r="E250" i="91"/>
  <c r="F250" i="91" s="1"/>
  <c r="K250" i="91"/>
  <c r="C250" i="91" s="1"/>
  <c r="H250" i="89"/>
  <c r="G250" i="89"/>
  <c r="E250" i="87"/>
  <c r="F250" i="87" s="1"/>
  <c r="K250" i="87"/>
  <c r="C250" i="87" s="1"/>
  <c r="H249" i="87"/>
  <c r="G249" i="87"/>
  <c r="H169" i="91"/>
  <c r="G169" i="91"/>
  <c r="D74" i="91"/>
  <c r="K73" i="91"/>
  <c r="C73" i="91" s="1"/>
  <c r="E73" i="91"/>
  <c r="F73" i="91" s="1"/>
  <c r="D171" i="91"/>
  <c r="K170" i="91"/>
  <c r="C170" i="91" s="1"/>
  <c r="E170" i="91"/>
  <c r="F170" i="91" s="1"/>
  <c r="H72" i="91"/>
  <c r="G72" i="91"/>
  <c r="H168" i="87"/>
  <c r="G168" i="87"/>
  <c r="D170" i="87"/>
  <c r="E169" i="87"/>
  <c r="F169" i="87" s="1"/>
  <c r="K169" i="87"/>
  <c r="C169" i="87" s="1"/>
  <c r="H181" i="53"/>
  <c r="F182" i="53"/>
  <c r="G181" i="53"/>
  <c r="H110" i="53"/>
  <c r="F111" i="53"/>
  <c r="G110" i="53"/>
  <c r="D62" i="94" l="1"/>
  <c r="E61" i="94"/>
  <c r="F61" i="94" s="1"/>
  <c r="K61" i="94"/>
  <c r="C61" i="94" s="1"/>
  <c r="R58" i="95"/>
  <c r="T57" i="95"/>
  <c r="U57" i="95" s="1"/>
  <c r="H60" i="95"/>
  <c r="G60" i="95"/>
  <c r="G60" i="94"/>
  <c r="H60" i="94"/>
  <c r="D64" i="96"/>
  <c r="C63" i="96"/>
  <c r="K63" i="96"/>
  <c r="D62" i="95"/>
  <c r="E61" i="95"/>
  <c r="F61" i="95" s="1"/>
  <c r="K61" i="95"/>
  <c r="R69" i="94"/>
  <c r="T68" i="94"/>
  <c r="S68" i="94"/>
  <c r="U67" i="94"/>
  <c r="V67" i="94" s="1"/>
  <c r="G250" i="91"/>
  <c r="H250" i="91"/>
  <c r="H250" i="87"/>
  <c r="G250" i="87"/>
  <c r="D172" i="91"/>
  <c r="K171" i="91"/>
  <c r="C171" i="91" s="1"/>
  <c r="E171" i="91"/>
  <c r="F171" i="91" s="1"/>
  <c r="G170" i="91"/>
  <c r="H170" i="91"/>
  <c r="E74" i="91"/>
  <c r="F74" i="91" s="1"/>
  <c r="K74" i="91"/>
  <c r="C74" i="91" s="1"/>
  <c r="D75" i="91"/>
  <c r="G73" i="91"/>
  <c r="H73" i="91"/>
  <c r="H169" i="87"/>
  <c r="G169" i="87"/>
  <c r="D171" i="87"/>
  <c r="K170" i="87"/>
  <c r="C170" i="87" s="1"/>
  <c r="E170" i="87"/>
  <c r="F170" i="87" s="1"/>
  <c r="F183" i="53"/>
  <c r="G182" i="53"/>
  <c r="H182" i="53"/>
  <c r="H111" i="53"/>
  <c r="F112" i="53"/>
  <c r="G111" i="53"/>
  <c r="G61" i="95" l="1"/>
  <c r="H61" i="95"/>
  <c r="G61" i="94"/>
  <c r="H61" i="94"/>
  <c r="Q59" i="95"/>
  <c r="T58" i="95"/>
  <c r="U58" i="95" s="1"/>
  <c r="C172" i="91"/>
  <c r="D63" i="95"/>
  <c r="K62" i="95"/>
  <c r="E62" i="95"/>
  <c r="F62" i="95" s="1"/>
  <c r="D65" i="96"/>
  <c r="K64" i="96"/>
  <c r="C64" i="96" s="1"/>
  <c r="D63" i="94"/>
  <c r="E62" i="94"/>
  <c r="F62" i="94" s="1"/>
  <c r="K62" i="94"/>
  <c r="C62" i="94" s="1"/>
  <c r="T23" i="96"/>
  <c r="R24" i="96"/>
  <c r="S24" i="96" s="1"/>
  <c r="S23" i="96"/>
  <c r="U68" i="94"/>
  <c r="V68" i="94" s="1"/>
  <c r="S69" i="94"/>
  <c r="T69" i="94"/>
  <c r="R70" i="94"/>
  <c r="T70" i="94" s="1"/>
  <c r="H74" i="91"/>
  <c r="G74" i="91"/>
  <c r="E75" i="91"/>
  <c r="F75" i="91" s="1"/>
  <c r="D76" i="91"/>
  <c r="K75" i="91"/>
  <c r="C75" i="91" s="1"/>
  <c r="H171" i="91"/>
  <c r="G171" i="91"/>
  <c r="E172" i="91"/>
  <c r="F172" i="91" s="1"/>
  <c r="D173" i="91"/>
  <c r="K172" i="91"/>
  <c r="H170" i="87"/>
  <c r="G170" i="87"/>
  <c r="D172" i="87"/>
  <c r="K171" i="87"/>
  <c r="C171" i="87" s="1"/>
  <c r="E171" i="87"/>
  <c r="F171" i="87" s="1"/>
  <c r="F184" i="53"/>
  <c r="H183" i="53"/>
  <c r="G183" i="53"/>
  <c r="F113" i="53"/>
  <c r="G112" i="53"/>
  <c r="H112" i="53"/>
  <c r="D66" i="96" l="1"/>
  <c r="K65" i="96"/>
  <c r="C65" i="96" s="1"/>
  <c r="S59" i="95"/>
  <c r="R59" i="95"/>
  <c r="Q60" i="95"/>
  <c r="C172" i="87"/>
  <c r="H62" i="94"/>
  <c r="G62" i="94"/>
  <c r="G62" i="95"/>
  <c r="H62" i="95"/>
  <c r="D64" i="94"/>
  <c r="K63" i="94"/>
  <c r="C63" i="94" s="1"/>
  <c r="E63" i="94"/>
  <c r="F63" i="94" s="1"/>
  <c r="D64" i="95"/>
  <c r="E63" i="95"/>
  <c r="F63" i="95" s="1"/>
  <c r="K63" i="95"/>
  <c r="U23" i="96"/>
  <c r="V23" i="96" s="1"/>
  <c r="T24" i="96"/>
  <c r="R25" i="96"/>
  <c r="S25" i="96" s="1"/>
  <c r="U69" i="94"/>
  <c r="V69" i="94" s="1"/>
  <c r="S70" i="94"/>
  <c r="H172" i="91"/>
  <c r="G172" i="91"/>
  <c r="E76" i="91"/>
  <c r="F76" i="91" s="1"/>
  <c r="K76" i="91"/>
  <c r="C76" i="91" s="1"/>
  <c r="D77" i="91"/>
  <c r="G75" i="91"/>
  <c r="H75" i="91"/>
  <c r="D174" i="91"/>
  <c r="E173" i="91"/>
  <c r="F173" i="91" s="1"/>
  <c r="K173" i="91"/>
  <c r="C173" i="91" s="1"/>
  <c r="H171" i="87"/>
  <c r="G171" i="87"/>
  <c r="D173" i="87"/>
  <c r="K172" i="87"/>
  <c r="E172" i="87"/>
  <c r="F172" i="87" s="1"/>
  <c r="F185" i="53"/>
  <c r="H184" i="53"/>
  <c r="G184" i="53"/>
  <c r="G113" i="53"/>
  <c r="H113" i="53"/>
  <c r="F114" i="53"/>
  <c r="S60" i="95" l="1"/>
  <c r="Q61" i="95"/>
  <c r="H63" i="95"/>
  <c r="G63" i="95"/>
  <c r="D65" i="94"/>
  <c r="E64" i="94"/>
  <c r="F64" i="94" s="1"/>
  <c r="K64" i="94"/>
  <c r="C64" i="94" s="1"/>
  <c r="T59" i="95"/>
  <c r="U59" i="95" s="1"/>
  <c r="R60" i="95"/>
  <c r="G63" i="94"/>
  <c r="H63" i="94"/>
  <c r="D65" i="95"/>
  <c r="E64" i="95"/>
  <c r="F64" i="95" s="1"/>
  <c r="K64" i="95"/>
  <c r="D67" i="96"/>
  <c r="K66" i="96"/>
  <c r="C66" i="96" s="1"/>
  <c r="U24" i="96"/>
  <c r="V24" i="96" s="1"/>
  <c r="T25" i="96"/>
  <c r="R26" i="96"/>
  <c r="S26" i="96" s="1"/>
  <c r="R71" i="94"/>
  <c r="U70" i="94"/>
  <c r="V70" i="94" s="1"/>
  <c r="D175" i="91"/>
  <c r="K174" i="91"/>
  <c r="C174" i="91" s="1"/>
  <c r="E174" i="91"/>
  <c r="F174" i="91" s="1"/>
  <c r="H76" i="91"/>
  <c r="G76" i="91"/>
  <c r="H173" i="91"/>
  <c r="G173" i="91"/>
  <c r="D78" i="91"/>
  <c r="K77" i="91"/>
  <c r="C77" i="91" s="1"/>
  <c r="E77" i="91"/>
  <c r="F77" i="91" s="1"/>
  <c r="H172" i="87"/>
  <c r="G172" i="87"/>
  <c r="D174" i="87"/>
  <c r="E173" i="87"/>
  <c r="F173" i="87" s="1"/>
  <c r="K173" i="87"/>
  <c r="C173" i="87" s="1"/>
  <c r="H185" i="53"/>
  <c r="F186" i="53"/>
  <c r="G185" i="53"/>
  <c r="F115" i="53"/>
  <c r="H114" i="53"/>
  <c r="G114" i="53"/>
  <c r="H64" i="94" l="1"/>
  <c r="G64" i="94"/>
  <c r="D68" i="96"/>
  <c r="K67" i="96"/>
  <c r="C67" i="96" s="1"/>
  <c r="D66" i="95"/>
  <c r="K65" i="95"/>
  <c r="E65" i="95"/>
  <c r="F65" i="95" s="1"/>
  <c r="D66" i="94"/>
  <c r="E65" i="94"/>
  <c r="F65" i="94" s="1"/>
  <c r="K65" i="94"/>
  <c r="C65" i="94" s="1"/>
  <c r="H64" i="95"/>
  <c r="G64" i="95"/>
  <c r="T60" i="95"/>
  <c r="U60" i="95" s="1"/>
  <c r="R61" i="95"/>
  <c r="Q62" i="95"/>
  <c r="S61" i="95"/>
  <c r="T26" i="96"/>
  <c r="R27" i="96"/>
  <c r="S27" i="96" s="1"/>
  <c r="U25" i="96"/>
  <c r="V25" i="96" s="1"/>
  <c r="R72" i="94"/>
  <c r="S71" i="94"/>
  <c r="T71" i="94"/>
  <c r="D79" i="91"/>
  <c r="E78" i="91"/>
  <c r="F78" i="91" s="1"/>
  <c r="K78" i="91"/>
  <c r="C78" i="91" s="1"/>
  <c r="G77" i="91"/>
  <c r="H77" i="91"/>
  <c r="G174" i="91"/>
  <c r="H174" i="91"/>
  <c r="K175" i="91"/>
  <c r="C175" i="91" s="1"/>
  <c r="D176" i="91"/>
  <c r="E175" i="91"/>
  <c r="F175" i="91" s="1"/>
  <c r="H173" i="87"/>
  <c r="G173" i="87"/>
  <c r="D175" i="87"/>
  <c r="K174" i="87"/>
  <c r="C174" i="87" s="1"/>
  <c r="E174" i="87"/>
  <c r="F174" i="87" s="1"/>
  <c r="F187" i="53"/>
  <c r="G186" i="53"/>
  <c r="H186" i="53"/>
  <c r="F116" i="53"/>
  <c r="H115" i="53"/>
  <c r="G115" i="53"/>
  <c r="H65" i="94" l="1"/>
  <c r="G65" i="94"/>
  <c r="Q63" i="95"/>
  <c r="S62" i="95"/>
  <c r="T61" i="95"/>
  <c r="U61" i="95" s="1"/>
  <c r="R62" i="95"/>
  <c r="D67" i="94"/>
  <c r="E66" i="94"/>
  <c r="F66" i="94" s="1"/>
  <c r="K66" i="94"/>
  <c r="C66" i="94" s="1"/>
  <c r="D69" i="96"/>
  <c r="K68" i="96"/>
  <c r="C68" i="96" s="1"/>
  <c r="G65" i="95"/>
  <c r="H65" i="95"/>
  <c r="D67" i="95"/>
  <c r="K66" i="95"/>
  <c r="E66" i="95"/>
  <c r="F66" i="95" s="1"/>
  <c r="U26" i="96"/>
  <c r="V26" i="96" s="1"/>
  <c r="T27" i="96"/>
  <c r="R28" i="96"/>
  <c r="S28" i="96" s="1"/>
  <c r="S72" i="94"/>
  <c r="U71" i="94"/>
  <c r="V71" i="94" s="1"/>
  <c r="R73" i="94"/>
  <c r="T72" i="94"/>
  <c r="H175" i="91"/>
  <c r="G175" i="91"/>
  <c r="H78" i="91"/>
  <c r="G78" i="91"/>
  <c r="E176" i="91"/>
  <c r="F176" i="91" s="1"/>
  <c r="D177" i="91"/>
  <c r="K176" i="91"/>
  <c r="C176" i="91" s="1"/>
  <c r="E79" i="91"/>
  <c r="F79" i="91" s="1"/>
  <c r="D80" i="91"/>
  <c r="K79" i="91"/>
  <c r="C79" i="91" s="1"/>
  <c r="H174" i="87"/>
  <c r="G174" i="87"/>
  <c r="D176" i="87"/>
  <c r="K175" i="87"/>
  <c r="C175" i="87" s="1"/>
  <c r="E175" i="87"/>
  <c r="F175" i="87" s="1"/>
  <c r="G187" i="53"/>
  <c r="F188" i="53"/>
  <c r="H187" i="53"/>
  <c r="H116" i="53"/>
  <c r="G116" i="53"/>
  <c r="F117" i="53"/>
  <c r="D68" i="94" l="1"/>
  <c r="E67" i="94"/>
  <c r="F67" i="94" s="1"/>
  <c r="K67" i="94"/>
  <c r="C67" i="94" s="1"/>
  <c r="R63" i="95"/>
  <c r="T62" i="95"/>
  <c r="U62" i="95" s="1"/>
  <c r="D68" i="95"/>
  <c r="E67" i="95"/>
  <c r="F67" i="95" s="1"/>
  <c r="K67" i="95"/>
  <c r="D70" i="96"/>
  <c r="K69" i="96"/>
  <c r="C69" i="96" s="1"/>
  <c r="Q64" i="95"/>
  <c r="S63" i="95"/>
  <c r="G66" i="95"/>
  <c r="H66" i="95"/>
  <c r="H66" i="94"/>
  <c r="G66" i="94"/>
  <c r="U27" i="96"/>
  <c r="V27" i="96" s="1"/>
  <c r="R29" i="96"/>
  <c r="S29" i="96" s="1"/>
  <c r="T28" i="96"/>
  <c r="T73" i="94"/>
  <c r="R74" i="94"/>
  <c r="U72" i="94"/>
  <c r="V72" i="94" s="1"/>
  <c r="S73" i="94"/>
  <c r="G79" i="91"/>
  <c r="H79" i="91"/>
  <c r="D178" i="91"/>
  <c r="E177" i="91"/>
  <c r="F177" i="91" s="1"/>
  <c r="K177" i="91"/>
  <c r="C177" i="91" s="1"/>
  <c r="D81" i="91"/>
  <c r="K80" i="91"/>
  <c r="C80" i="91" s="1"/>
  <c r="E80" i="91"/>
  <c r="F80" i="91" s="1"/>
  <c r="G176" i="91"/>
  <c r="H176" i="91"/>
  <c r="H175" i="87"/>
  <c r="G175" i="87"/>
  <c r="D177" i="87"/>
  <c r="K176" i="87"/>
  <c r="C176" i="87" s="1"/>
  <c r="E176" i="87"/>
  <c r="F176" i="87" s="1"/>
  <c r="F189" i="53"/>
  <c r="H188" i="53"/>
  <c r="G188" i="53"/>
  <c r="H117" i="53"/>
  <c r="F118" i="53"/>
  <c r="G117" i="53"/>
  <c r="R64" i="95" l="1"/>
  <c r="T63" i="95"/>
  <c r="U63" i="95" s="1"/>
  <c r="D71" i="96"/>
  <c r="C70" i="96"/>
  <c r="K70" i="96"/>
  <c r="C177" i="87"/>
  <c r="G67" i="94"/>
  <c r="H67" i="94"/>
  <c r="H67" i="95"/>
  <c r="G67" i="95"/>
  <c r="S64" i="95"/>
  <c r="Q65" i="95"/>
  <c r="D69" i="95"/>
  <c r="E68" i="95"/>
  <c r="F68" i="95" s="1"/>
  <c r="K68" i="95"/>
  <c r="D69" i="94"/>
  <c r="E68" i="94"/>
  <c r="F68" i="94" s="1"/>
  <c r="K68" i="94"/>
  <c r="C68" i="94" s="1"/>
  <c r="T29" i="96"/>
  <c r="R30" i="96"/>
  <c r="S30" i="96" s="1"/>
  <c r="U28" i="96"/>
  <c r="V28" i="96" s="1"/>
  <c r="R75" i="94"/>
  <c r="T74" i="94"/>
  <c r="U73" i="94"/>
  <c r="V73" i="94" s="1"/>
  <c r="S74" i="94"/>
  <c r="D179" i="91"/>
  <c r="K178" i="91"/>
  <c r="C178" i="91" s="1"/>
  <c r="E178" i="91"/>
  <c r="F178" i="91" s="1"/>
  <c r="D82" i="91"/>
  <c r="K81" i="91"/>
  <c r="C81" i="91" s="1"/>
  <c r="E81" i="91"/>
  <c r="F81" i="91" s="1"/>
  <c r="H80" i="91"/>
  <c r="G80" i="91"/>
  <c r="H177" i="91"/>
  <c r="G177" i="91"/>
  <c r="H176" i="87"/>
  <c r="G176" i="87"/>
  <c r="D178" i="87"/>
  <c r="E177" i="87"/>
  <c r="F177" i="87" s="1"/>
  <c r="K177" i="87"/>
  <c r="H189" i="53"/>
  <c r="G189" i="53"/>
  <c r="F190" i="53"/>
  <c r="H118" i="53"/>
  <c r="F119" i="53"/>
  <c r="G118" i="53"/>
  <c r="G68" i="94" l="1"/>
  <c r="H68" i="94"/>
  <c r="D70" i="95"/>
  <c r="E69" i="95"/>
  <c r="F69" i="95" s="1"/>
  <c r="K69" i="95"/>
  <c r="Q66" i="95"/>
  <c r="S65" i="95"/>
  <c r="D72" i="96"/>
  <c r="K71" i="96"/>
  <c r="C71" i="96" s="1"/>
  <c r="D70" i="94"/>
  <c r="K69" i="94"/>
  <c r="C69" i="94" s="1"/>
  <c r="E69" i="94"/>
  <c r="F69" i="94" s="1"/>
  <c r="R65" i="95"/>
  <c r="T64" i="95"/>
  <c r="U64" i="95" s="1"/>
  <c r="H68" i="95"/>
  <c r="G68" i="95"/>
  <c r="R31" i="96"/>
  <c r="S31" i="96" s="1"/>
  <c r="T30" i="96"/>
  <c r="U29" i="96"/>
  <c r="V29" i="96" s="1"/>
  <c r="E35" i="96"/>
  <c r="F35" i="96" s="1"/>
  <c r="S75" i="94"/>
  <c r="U74" i="94"/>
  <c r="V74" i="94" s="1"/>
  <c r="R76" i="94"/>
  <c r="T75" i="94"/>
  <c r="E82" i="91"/>
  <c r="F82" i="91" s="1"/>
  <c r="K82" i="91"/>
  <c r="C82" i="91" s="1"/>
  <c r="D83" i="91"/>
  <c r="G178" i="91"/>
  <c r="H178" i="91"/>
  <c r="G81" i="91"/>
  <c r="H81" i="91"/>
  <c r="E179" i="91"/>
  <c r="F179" i="91" s="1"/>
  <c r="D180" i="91"/>
  <c r="K179" i="91"/>
  <c r="C179" i="91" s="1"/>
  <c r="H177" i="87"/>
  <c r="G177" i="87"/>
  <c r="D179" i="87"/>
  <c r="K178" i="87"/>
  <c r="C178" i="87" s="1"/>
  <c r="E178" i="87"/>
  <c r="F178" i="87" s="1"/>
  <c r="F191" i="53"/>
  <c r="G190" i="53"/>
  <c r="H190" i="53"/>
  <c r="F120" i="53"/>
  <c r="G119" i="53"/>
  <c r="H119" i="53"/>
  <c r="S66" i="95" l="1"/>
  <c r="Q67" i="95"/>
  <c r="H69" i="95"/>
  <c r="G69" i="95"/>
  <c r="R66" i="95"/>
  <c r="T65" i="95"/>
  <c r="U65" i="95" s="1"/>
  <c r="H69" i="94"/>
  <c r="G69" i="94"/>
  <c r="D73" i="96"/>
  <c r="K72" i="96"/>
  <c r="C72" i="96" s="1"/>
  <c r="D71" i="95"/>
  <c r="E70" i="95"/>
  <c r="F70" i="95" s="1"/>
  <c r="K70" i="95"/>
  <c r="D71" i="94"/>
  <c r="E70" i="94"/>
  <c r="F70" i="94" s="1"/>
  <c r="K70" i="94"/>
  <c r="C70" i="94" s="1"/>
  <c r="E36" i="96"/>
  <c r="F36" i="96" s="1"/>
  <c r="U30" i="96"/>
  <c r="V30" i="96" s="1"/>
  <c r="H35" i="96"/>
  <c r="G35" i="96"/>
  <c r="T31" i="96"/>
  <c r="R32" i="96"/>
  <c r="S32" i="96" s="1"/>
  <c r="R77" i="94"/>
  <c r="T76" i="94"/>
  <c r="S76" i="94"/>
  <c r="U75" i="94"/>
  <c r="V75" i="94" s="1"/>
  <c r="H179" i="91"/>
  <c r="G179" i="91"/>
  <c r="E83" i="91"/>
  <c r="F83" i="91" s="1"/>
  <c r="K83" i="91"/>
  <c r="C83" i="91" s="1"/>
  <c r="D84" i="91"/>
  <c r="D181" i="91"/>
  <c r="K180" i="91"/>
  <c r="C180" i="91" s="1"/>
  <c r="E180" i="91"/>
  <c r="F180" i="91" s="1"/>
  <c r="H82" i="91"/>
  <c r="G82" i="91"/>
  <c r="H178" i="87"/>
  <c r="G178" i="87"/>
  <c r="K179" i="87"/>
  <c r="C179" i="87" s="1"/>
  <c r="D180" i="87"/>
  <c r="E179" i="87"/>
  <c r="F179" i="87" s="1"/>
  <c r="F18" i="86"/>
  <c r="F192" i="53"/>
  <c r="H191" i="53"/>
  <c r="G191" i="53"/>
  <c r="H120" i="53"/>
  <c r="F121" i="53"/>
  <c r="G120" i="53"/>
  <c r="H70" i="95" l="1"/>
  <c r="G70" i="95"/>
  <c r="H70" i="94"/>
  <c r="G70" i="94"/>
  <c r="R67" i="95"/>
  <c r="T66" i="95"/>
  <c r="U66" i="95" s="1"/>
  <c r="D72" i="94"/>
  <c r="C71" i="94"/>
  <c r="K71" i="94"/>
  <c r="E71" i="94"/>
  <c r="F71" i="94" s="1"/>
  <c r="D72" i="95"/>
  <c r="K71" i="95"/>
  <c r="E71" i="95"/>
  <c r="F71" i="95" s="1"/>
  <c r="C180" i="87"/>
  <c r="C181" i="91"/>
  <c r="D74" i="96"/>
  <c r="K73" i="96"/>
  <c r="C73" i="96" s="1"/>
  <c r="Q68" i="95"/>
  <c r="S67" i="95"/>
  <c r="U31" i="96"/>
  <c r="V31" i="96" s="1"/>
  <c r="R33" i="96"/>
  <c r="S33" i="96" s="1"/>
  <c r="T32" i="96"/>
  <c r="H36" i="96"/>
  <c r="G36" i="96"/>
  <c r="E37" i="96"/>
  <c r="F37" i="96" s="1"/>
  <c r="S77" i="94"/>
  <c r="U76" i="94"/>
  <c r="V76" i="94" s="1"/>
  <c r="T77" i="94"/>
  <c r="R78" i="94"/>
  <c r="D85" i="91"/>
  <c r="K84" i="91"/>
  <c r="C84" i="91" s="1"/>
  <c r="E84" i="91"/>
  <c r="F84" i="91" s="1"/>
  <c r="G180" i="91"/>
  <c r="H180" i="91"/>
  <c r="G83" i="91"/>
  <c r="H83" i="91"/>
  <c r="D182" i="91"/>
  <c r="K181" i="91"/>
  <c r="E181" i="91"/>
  <c r="F181" i="91" s="1"/>
  <c r="H179" i="87"/>
  <c r="G179" i="87"/>
  <c r="E180" i="87"/>
  <c r="F180" i="87" s="1"/>
  <c r="K180" i="87"/>
  <c r="D181" i="87"/>
  <c r="F19" i="86"/>
  <c r="H18" i="86"/>
  <c r="G18" i="86"/>
  <c r="F193" i="53"/>
  <c r="H192" i="53"/>
  <c r="G192" i="53"/>
  <c r="H121" i="53"/>
  <c r="G121" i="53"/>
  <c r="F122" i="53"/>
  <c r="H71" i="95" l="1"/>
  <c r="G71" i="95"/>
  <c r="R68" i="95"/>
  <c r="T67" i="95"/>
  <c r="U67" i="95" s="1"/>
  <c r="C181" i="87"/>
  <c r="D73" i="95"/>
  <c r="E72" i="95"/>
  <c r="F72" i="95" s="1"/>
  <c r="K72" i="95"/>
  <c r="D75" i="96"/>
  <c r="K74" i="96"/>
  <c r="C74" i="96" s="1"/>
  <c r="H71" i="94"/>
  <c r="G71" i="94"/>
  <c r="D73" i="94"/>
  <c r="E72" i="94"/>
  <c r="F72" i="94" s="1"/>
  <c r="K72" i="94"/>
  <c r="C72" i="94" s="1"/>
  <c r="Q69" i="95"/>
  <c r="S68" i="95"/>
  <c r="G37" i="96"/>
  <c r="H37" i="96"/>
  <c r="R34" i="96"/>
  <c r="S34" i="96" s="1"/>
  <c r="R35" i="96" s="1"/>
  <c r="T33" i="96"/>
  <c r="E38" i="96"/>
  <c r="F38" i="96" s="1"/>
  <c r="U32" i="96"/>
  <c r="V32" i="96" s="1"/>
  <c r="R79" i="94"/>
  <c r="T78" i="94"/>
  <c r="U77" i="94"/>
  <c r="V77" i="94" s="1"/>
  <c r="S78" i="94"/>
  <c r="D183" i="91"/>
  <c r="E182" i="91"/>
  <c r="F182" i="91" s="1"/>
  <c r="K182" i="91"/>
  <c r="C182" i="91" s="1"/>
  <c r="G84" i="91"/>
  <c r="H84" i="91"/>
  <c r="G181" i="91"/>
  <c r="H181" i="91"/>
  <c r="D86" i="91"/>
  <c r="K85" i="91"/>
  <c r="C85" i="91" s="1"/>
  <c r="E85" i="91"/>
  <c r="F85" i="91" s="1"/>
  <c r="E181" i="87"/>
  <c r="F181" i="87" s="1"/>
  <c r="D182" i="87"/>
  <c r="K181" i="87"/>
  <c r="G180" i="87"/>
  <c r="H180" i="87"/>
  <c r="H19" i="86"/>
  <c r="G19" i="86"/>
  <c r="F20" i="86"/>
  <c r="H193" i="53"/>
  <c r="F194" i="53"/>
  <c r="G193" i="53"/>
  <c r="H122" i="53"/>
  <c r="F123" i="53"/>
  <c r="G122" i="53"/>
  <c r="D74" i="95" l="1"/>
  <c r="E73" i="95"/>
  <c r="F73" i="95" s="1"/>
  <c r="K73" i="95"/>
  <c r="T68" i="95"/>
  <c r="U68" i="95" s="1"/>
  <c r="R69" i="95"/>
  <c r="G72" i="94"/>
  <c r="H72" i="94"/>
  <c r="D76" i="96"/>
  <c r="C75" i="96"/>
  <c r="K75" i="96"/>
  <c r="S69" i="95"/>
  <c r="Q70" i="95"/>
  <c r="R36" i="96"/>
  <c r="S35" i="96"/>
  <c r="D74" i="94"/>
  <c r="C73" i="94"/>
  <c r="K73" i="94"/>
  <c r="E73" i="94"/>
  <c r="F73" i="94" s="1"/>
  <c r="G72" i="95"/>
  <c r="H72" i="95"/>
  <c r="E39" i="96"/>
  <c r="F39" i="96" s="1"/>
  <c r="T34" i="96"/>
  <c r="U33" i="96"/>
  <c r="V33" i="96" s="1"/>
  <c r="H38" i="96"/>
  <c r="G38" i="96"/>
  <c r="S79" i="94"/>
  <c r="U78" i="94"/>
  <c r="V78" i="94" s="1"/>
  <c r="R80" i="94"/>
  <c r="T79" i="94"/>
  <c r="E86" i="91"/>
  <c r="F86" i="91" s="1"/>
  <c r="D87" i="91"/>
  <c r="K86" i="91"/>
  <c r="C86" i="91" s="1"/>
  <c r="H85" i="91"/>
  <c r="G85" i="91"/>
  <c r="H182" i="91"/>
  <c r="G182" i="91"/>
  <c r="E183" i="91"/>
  <c r="F183" i="91" s="1"/>
  <c r="D184" i="91"/>
  <c r="K183" i="91"/>
  <c r="C183" i="91" s="1"/>
  <c r="E182" i="87"/>
  <c r="F182" i="87" s="1"/>
  <c r="D183" i="87"/>
  <c r="K182" i="87"/>
  <c r="C182" i="87" s="1"/>
  <c r="H181" i="87"/>
  <c r="G181" i="87"/>
  <c r="F21" i="86"/>
  <c r="H20" i="86"/>
  <c r="G20" i="86"/>
  <c r="F195" i="53"/>
  <c r="G194" i="53"/>
  <c r="H194" i="53"/>
  <c r="F124" i="53"/>
  <c r="G123" i="53"/>
  <c r="H123" i="53"/>
  <c r="G73" i="94" l="1"/>
  <c r="H73" i="94"/>
  <c r="S70" i="95"/>
  <c r="Q71" i="95"/>
  <c r="T69" i="95"/>
  <c r="U69" i="95" s="1"/>
  <c r="R70" i="95"/>
  <c r="T70" i="95" s="1"/>
  <c r="U70" i="95" s="1"/>
  <c r="D75" i="94"/>
  <c r="E74" i="94"/>
  <c r="F74" i="94" s="1"/>
  <c r="K74" i="94"/>
  <c r="C74" i="94" s="1"/>
  <c r="D77" i="96"/>
  <c r="C76" i="96"/>
  <c r="K76" i="96"/>
  <c r="H73" i="95"/>
  <c r="G73" i="95"/>
  <c r="D75" i="95"/>
  <c r="K74" i="95"/>
  <c r="E74" i="95"/>
  <c r="F74" i="95" s="1"/>
  <c r="S36" i="96"/>
  <c r="R37" i="96"/>
  <c r="G39" i="96"/>
  <c r="H39" i="96"/>
  <c r="U34" i="96"/>
  <c r="V34" i="96" s="1"/>
  <c r="E40" i="96"/>
  <c r="F40" i="96" s="1"/>
  <c r="R81" i="94"/>
  <c r="T80" i="94"/>
  <c r="S80" i="94"/>
  <c r="U79" i="94"/>
  <c r="V79" i="94" s="1"/>
  <c r="H183" i="91"/>
  <c r="G183" i="91"/>
  <c r="E87" i="91"/>
  <c r="F87" i="91" s="1"/>
  <c r="D88" i="91"/>
  <c r="K87" i="91"/>
  <c r="C87" i="91" s="1"/>
  <c r="K184" i="91"/>
  <c r="C184" i="91" s="1"/>
  <c r="E184" i="91"/>
  <c r="F184" i="91" s="1"/>
  <c r="D185" i="91"/>
  <c r="G86" i="91"/>
  <c r="H86" i="91"/>
  <c r="E183" i="87"/>
  <c r="F183" i="87" s="1"/>
  <c r="K183" i="87"/>
  <c r="C183" i="87" s="1"/>
  <c r="D184" i="87"/>
  <c r="G182" i="87"/>
  <c r="H182" i="87"/>
  <c r="G21" i="86"/>
  <c r="F22" i="86"/>
  <c r="F23" i="86" s="1"/>
  <c r="H21" i="86"/>
  <c r="F196" i="53"/>
  <c r="H195" i="53"/>
  <c r="G195" i="53"/>
  <c r="H124" i="53"/>
  <c r="G124" i="53"/>
  <c r="F125" i="53"/>
  <c r="D78" i="96" l="1"/>
  <c r="K77" i="96"/>
  <c r="C77" i="96" s="1"/>
  <c r="S71" i="95"/>
  <c r="R71" i="95"/>
  <c r="Q72" i="95"/>
  <c r="D76" i="95"/>
  <c r="E75" i="95"/>
  <c r="F75" i="95" s="1"/>
  <c r="K75" i="95"/>
  <c r="H74" i="94"/>
  <c r="G74" i="94"/>
  <c r="G74" i="95"/>
  <c r="H74" i="95"/>
  <c r="R38" i="96"/>
  <c r="S37" i="96"/>
  <c r="D76" i="94"/>
  <c r="E75" i="94"/>
  <c r="F75" i="94" s="1"/>
  <c r="K75" i="94"/>
  <c r="C75" i="94" s="1"/>
  <c r="H40" i="96"/>
  <c r="G40" i="96"/>
  <c r="E41" i="96"/>
  <c r="F41" i="96" s="1"/>
  <c r="S81" i="94"/>
  <c r="U80" i="94"/>
  <c r="V80" i="94" s="1"/>
  <c r="T81" i="94"/>
  <c r="R82" i="94"/>
  <c r="T82" i="94" s="1"/>
  <c r="D186" i="91"/>
  <c r="K185" i="91"/>
  <c r="C185" i="91" s="1"/>
  <c r="E185" i="91"/>
  <c r="F185" i="91" s="1"/>
  <c r="D89" i="91"/>
  <c r="K88" i="91"/>
  <c r="C88" i="91" s="1"/>
  <c r="E88" i="91"/>
  <c r="F88" i="91" s="1"/>
  <c r="H184" i="91"/>
  <c r="G184" i="91"/>
  <c r="H87" i="91"/>
  <c r="G87" i="91"/>
  <c r="H183" i="87"/>
  <c r="G183" i="87"/>
  <c r="E184" i="87"/>
  <c r="F184" i="87" s="1"/>
  <c r="K184" i="87"/>
  <c r="C184" i="87" s="1"/>
  <c r="D185" i="87"/>
  <c r="H23" i="86"/>
  <c r="G23" i="86"/>
  <c r="H22" i="86"/>
  <c r="G22" i="86"/>
  <c r="G196" i="53"/>
  <c r="F197" i="53"/>
  <c r="H196" i="53"/>
  <c r="H125" i="53"/>
  <c r="F126" i="53"/>
  <c r="G125" i="53"/>
  <c r="Q73" i="95" l="1"/>
  <c r="S72" i="95"/>
  <c r="G75" i="94"/>
  <c r="H75" i="94"/>
  <c r="T71" i="95"/>
  <c r="U71" i="95" s="1"/>
  <c r="R72" i="95"/>
  <c r="C185" i="87"/>
  <c r="D77" i="94"/>
  <c r="C76" i="94"/>
  <c r="K76" i="94"/>
  <c r="E76" i="94"/>
  <c r="F76" i="94" s="1"/>
  <c r="H75" i="95"/>
  <c r="G75" i="95"/>
  <c r="R39" i="96"/>
  <c r="S38" i="96"/>
  <c r="D79" i="96"/>
  <c r="C78" i="96"/>
  <c r="K78" i="96"/>
  <c r="D77" i="95"/>
  <c r="K76" i="95"/>
  <c r="E76" i="95"/>
  <c r="F76" i="95" s="1"/>
  <c r="G41" i="96"/>
  <c r="H41" i="96"/>
  <c r="E42" i="96"/>
  <c r="F42" i="96" s="1"/>
  <c r="U81" i="94"/>
  <c r="V81" i="94" s="1"/>
  <c r="S82" i="94"/>
  <c r="E89" i="91"/>
  <c r="F89" i="91" s="1"/>
  <c r="K89" i="91"/>
  <c r="C89" i="91" s="1"/>
  <c r="D90" i="91"/>
  <c r="G185" i="91"/>
  <c r="H185" i="91"/>
  <c r="G88" i="91"/>
  <c r="H88" i="91"/>
  <c r="D187" i="91"/>
  <c r="K186" i="91"/>
  <c r="C186" i="91" s="1"/>
  <c r="E186" i="91"/>
  <c r="F186" i="91" s="1"/>
  <c r="E185" i="87"/>
  <c r="F185" i="87" s="1"/>
  <c r="D186" i="87"/>
  <c r="K185" i="87"/>
  <c r="G184" i="87"/>
  <c r="H184" i="87"/>
  <c r="H197" i="53"/>
  <c r="F198" i="53"/>
  <c r="G197" i="53"/>
  <c r="H126" i="53"/>
  <c r="F127" i="53"/>
  <c r="G126" i="53"/>
  <c r="R40" i="96" l="1"/>
  <c r="S39" i="96"/>
  <c r="R73" i="95"/>
  <c r="T72" i="95"/>
  <c r="U72" i="95" s="1"/>
  <c r="G76" i="95"/>
  <c r="H76" i="95"/>
  <c r="D78" i="95"/>
  <c r="E77" i="95"/>
  <c r="F77" i="95" s="1"/>
  <c r="K77" i="95"/>
  <c r="H76" i="94"/>
  <c r="G76" i="94"/>
  <c r="C186" i="87"/>
  <c r="D80" i="96"/>
  <c r="K79" i="96"/>
  <c r="C79" i="96" s="1"/>
  <c r="D78" i="94"/>
  <c r="E77" i="94"/>
  <c r="F77" i="94" s="1"/>
  <c r="K77" i="94"/>
  <c r="C77" i="94" s="1"/>
  <c r="Q74" i="95"/>
  <c r="S73" i="95"/>
  <c r="E43" i="96"/>
  <c r="F43" i="96" s="1"/>
  <c r="G42" i="96"/>
  <c r="H42" i="96"/>
  <c r="R83" i="94"/>
  <c r="U82" i="94"/>
  <c r="V82" i="94" s="1"/>
  <c r="H89" i="91"/>
  <c r="G89" i="91"/>
  <c r="E187" i="91"/>
  <c r="F187" i="91" s="1"/>
  <c r="D188" i="91"/>
  <c r="K187" i="91"/>
  <c r="C187" i="91" s="1"/>
  <c r="E90" i="91"/>
  <c r="F90" i="91" s="1"/>
  <c r="D91" i="91"/>
  <c r="K90" i="91"/>
  <c r="C90" i="91" s="1"/>
  <c r="H186" i="91"/>
  <c r="G186" i="91"/>
  <c r="E186" i="87"/>
  <c r="F186" i="87" s="1"/>
  <c r="D187" i="87"/>
  <c r="K186" i="87"/>
  <c r="H185" i="87"/>
  <c r="G185" i="87"/>
  <c r="F199" i="53"/>
  <c r="G198" i="53"/>
  <c r="H198" i="53"/>
  <c r="F128" i="53"/>
  <c r="G127" i="53"/>
  <c r="H127" i="53"/>
  <c r="G77" i="94" l="1"/>
  <c r="H77" i="94"/>
  <c r="T73" i="95"/>
  <c r="U73" i="95" s="1"/>
  <c r="R74" i="95"/>
  <c r="D79" i="94"/>
  <c r="K78" i="94"/>
  <c r="C78" i="94" s="1"/>
  <c r="E78" i="94"/>
  <c r="F78" i="94" s="1"/>
  <c r="G77" i="95"/>
  <c r="H77" i="95"/>
  <c r="R41" i="96"/>
  <c r="S40" i="96"/>
  <c r="D79" i="95"/>
  <c r="K78" i="95"/>
  <c r="E78" i="95"/>
  <c r="F78" i="95" s="1"/>
  <c r="Q75" i="95"/>
  <c r="S74" i="95"/>
  <c r="D81" i="96"/>
  <c r="C80" i="96"/>
  <c r="K80" i="96"/>
  <c r="H43" i="96"/>
  <c r="G43" i="96"/>
  <c r="E44" i="96"/>
  <c r="F44" i="96" s="1"/>
  <c r="R84" i="94"/>
  <c r="T83" i="94"/>
  <c r="S83" i="94"/>
  <c r="D189" i="91"/>
  <c r="E188" i="91"/>
  <c r="F188" i="91" s="1"/>
  <c r="K188" i="91"/>
  <c r="C188" i="91" s="1"/>
  <c r="K91" i="91"/>
  <c r="C91" i="91" s="1"/>
  <c r="E91" i="91"/>
  <c r="F91" i="91" s="1"/>
  <c r="D92" i="91"/>
  <c r="H187" i="91"/>
  <c r="G187" i="91"/>
  <c r="G90" i="91"/>
  <c r="H90" i="91"/>
  <c r="E187" i="87"/>
  <c r="F187" i="87" s="1"/>
  <c r="K187" i="87"/>
  <c r="C187" i="87" s="1"/>
  <c r="D188" i="87"/>
  <c r="G186" i="87"/>
  <c r="H186" i="87"/>
  <c r="F200" i="53"/>
  <c r="H199" i="53"/>
  <c r="G199" i="53"/>
  <c r="F129" i="53"/>
  <c r="H128" i="53"/>
  <c r="G128" i="53"/>
  <c r="D82" i="96" l="1"/>
  <c r="K81" i="96"/>
  <c r="C81" i="96" s="1"/>
  <c r="S75" i="95"/>
  <c r="Q76" i="95"/>
  <c r="R42" i="96"/>
  <c r="S41" i="96"/>
  <c r="R75" i="95"/>
  <c r="T74" i="95"/>
  <c r="U74" i="95" s="1"/>
  <c r="H78" i="95"/>
  <c r="G78" i="95"/>
  <c r="H78" i="94"/>
  <c r="G78" i="94"/>
  <c r="C189" i="91"/>
  <c r="D80" i="95"/>
  <c r="K79" i="95"/>
  <c r="E79" i="95"/>
  <c r="F79" i="95" s="1"/>
  <c r="D80" i="94"/>
  <c r="C79" i="94"/>
  <c r="E79" i="94"/>
  <c r="F79" i="94" s="1"/>
  <c r="K79" i="94"/>
  <c r="G44" i="96"/>
  <c r="H44" i="96"/>
  <c r="E45" i="96"/>
  <c r="F45" i="96" s="1"/>
  <c r="S84" i="94"/>
  <c r="U83" i="94"/>
  <c r="V83" i="94" s="1"/>
  <c r="R85" i="94"/>
  <c r="T84" i="94"/>
  <c r="D93" i="91"/>
  <c r="K92" i="91"/>
  <c r="C92" i="91" s="1"/>
  <c r="E92" i="91"/>
  <c r="F92" i="91" s="1"/>
  <c r="H188" i="91"/>
  <c r="G188" i="91"/>
  <c r="H91" i="91"/>
  <c r="G91" i="91"/>
  <c r="D190" i="91"/>
  <c r="K189" i="91"/>
  <c r="E189" i="91"/>
  <c r="F189" i="91" s="1"/>
  <c r="H187" i="87"/>
  <c r="G187" i="87"/>
  <c r="E188" i="87"/>
  <c r="F188" i="87" s="1"/>
  <c r="K188" i="87"/>
  <c r="C188" i="87" s="1"/>
  <c r="D189" i="87"/>
  <c r="F201" i="53"/>
  <c r="H200" i="53"/>
  <c r="G200" i="53"/>
  <c r="F130" i="53"/>
  <c r="G129" i="53"/>
  <c r="H129" i="53"/>
  <c r="Q77" i="95" l="1"/>
  <c r="S76" i="95"/>
  <c r="H79" i="95"/>
  <c r="G79" i="95"/>
  <c r="H79" i="94"/>
  <c r="G79" i="94"/>
  <c r="D81" i="94"/>
  <c r="K80" i="94"/>
  <c r="C80" i="94" s="1"/>
  <c r="E80" i="94"/>
  <c r="F80" i="94" s="1"/>
  <c r="R43" i="96"/>
  <c r="S42" i="96"/>
  <c r="D81" i="95"/>
  <c r="K80" i="95"/>
  <c r="E80" i="95"/>
  <c r="F80" i="95" s="1"/>
  <c r="R76" i="95"/>
  <c r="T75" i="95"/>
  <c r="U75" i="95" s="1"/>
  <c r="D83" i="96"/>
  <c r="C82" i="96"/>
  <c r="K82" i="96"/>
  <c r="G45" i="96"/>
  <c r="H45" i="96"/>
  <c r="E46" i="96"/>
  <c r="F46" i="96" s="1"/>
  <c r="T85" i="94"/>
  <c r="R86" i="94"/>
  <c r="U84" i="94"/>
  <c r="V84" i="94" s="1"/>
  <c r="S85" i="94"/>
  <c r="G92" i="91"/>
  <c r="H92" i="91"/>
  <c r="K190" i="91"/>
  <c r="C190" i="91" s="1"/>
  <c r="E190" i="91"/>
  <c r="F190" i="91" s="1"/>
  <c r="D191" i="91"/>
  <c r="G189" i="91"/>
  <c r="H189" i="91"/>
  <c r="D94" i="91"/>
  <c r="K93" i="91"/>
  <c r="C93" i="91" s="1"/>
  <c r="E93" i="91"/>
  <c r="F93" i="91" s="1"/>
  <c r="E189" i="87"/>
  <c r="F189" i="87" s="1"/>
  <c r="D190" i="87"/>
  <c r="K189" i="87"/>
  <c r="C189" i="87" s="1"/>
  <c r="G188" i="87"/>
  <c r="H188" i="87"/>
  <c r="H201" i="53"/>
  <c r="G201" i="53"/>
  <c r="F202" i="53"/>
  <c r="F131" i="53"/>
  <c r="H130" i="53"/>
  <c r="G130" i="53"/>
  <c r="D84" i="96" l="1"/>
  <c r="K83" i="96"/>
  <c r="C83" i="96" s="1"/>
  <c r="R44" i="96"/>
  <c r="S43" i="96"/>
  <c r="D82" i="94"/>
  <c r="C81" i="94"/>
  <c r="E81" i="94"/>
  <c r="F81" i="94" s="1"/>
  <c r="K81" i="94"/>
  <c r="T76" i="95"/>
  <c r="U76" i="95" s="1"/>
  <c r="R77" i="95"/>
  <c r="G80" i="95"/>
  <c r="H80" i="95"/>
  <c r="G80" i="94"/>
  <c r="H80" i="94"/>
  <c r="D82" i="95"/>
  <c r="K81" i="95"/>
  <c r="E81" i="95"/>
  <c r="F81" i="95" s="1"/>
  <c r="S77" i="95"/>
  <c r="Q78" i="95"/>
  <c r="G46" i="96"/>
  <c r="H46" i="96"/>
  <c r="E47" i="96"/>
  <c r="F47" i="96" s="1"/>
  <c r="U85" i="94"/>
  <c r="V85" i="94" s="1"/>
  <c r="S86" i="94"/>
  <c r="R87" i="94"/>
  <c r="T86" i="94"/>
  <c r="H190" i="91"/>
  <c r="G190" i="91"/>
  <c r="E94" i="91"/>
  <c r="F94" i="91" s="1"/>
  <c r="D95" i="91"/>
  <c r="K94" i="91"/>
  <c r="C94" i="91" s="1"/>
  <c r="H93" i="91"/>
  <c r="G93" i="91"/>
  <c r="E191" i="91"/>
  <c r="F191" i="91" s="1"/>
  <c r="D192" i="91"/>
  <c r="K191" i="91"/>
  <c r="C191" i="91" s="1"/>
  <c r="E190" i="87"/>
  <c r="F190" i="87" s="1"/>
  <c r="D191" i="87"/>
  <c r="K190" i="87"/>
  <c r="C190" i="87" s="1"/>
  <c r="H189" i="87"/>
  <c r="G189" i="87"/>
  <c r="H202" i="53"/>
  <c r="F203" i="53"/>
  <c r="G202" i="53"/>
  <c r="H131" i="53"/>
  <c r="G131" i="53"/>
  <c r="F132" i="53"/>
  <c r="G81" i="94" l="1"/>
  <c r="H81" i="94"/>
  <c r="H81" i="95"/>
  <c r="G81" i="95"/>
  <c r="D83" i="94"/>
  <c r="K82" i="94"/>
  <c r="C82" i="94" s="1"/>
  <c r="E82" i="94"/>
  <c r="F82" i="94" s="1"/>
  <c r="R45" i="96"/>
  <c r="S44" i="96"/>
  <c r="D83" i="95"/>
  <c r="K82" i="95"/>
  <c r="E82" i="95"/>
  <c r="F82" i="95" s="1"/>
  <c r="T77" i="95"/>
  <c r="U77" i="95" s="1"/>
  <c r="R78" i="95"/>
  <c r="S78" i="95"/>
  <c r="Q79" i="95"/>
  <c r="D85" i="96"/>
  <c r="C84" i="96"/>
  <c r="K84" i="96"/>
  <c r="H47" i="96"/>
  <c r="G47" i="96"/>
  <c r="E48" i="96"/>
  <c r="F48" i="96" s="1"/>
  <c r="R88" i="94"/>
  <c r="T87" i="94"/>
  <c r="S87" i="94"/>
  <c r="U86" i="94"/>
  <c r="V86" i="94" s="1"/>
  <c r="G191" i="91"/>
  <c r="H191" i="91"/>
  <c r="D96" i="91"/>
  <c r="E95" i="91"/>
  <c r="F95" i="91" s="1"/>
  <c r="K95" i="91"/>
  <c r="C95" i="91" s="1"/>
  <c r="G94" i="91"/>
  <c r="H94" i="91"/>
  <c r="D193" i="91"/>
  <c r="K192" i="91"/>
  <c r="C192" i="91" s="1"/>
  <c r="E192" i="91"/>
  <c r="F192" i="91" s="1"/>
  <c r="E191" i="87"/>
  <c r="F191" i="87" s="1"/>
  <c r="D192" i="87"/>
  <c r="K191" i="87"/>
  <c r="C191" i="87" s="1"/>
  <c r="G190" i="87"/>
  <c r="H190" i="87"/>
  <c r="F204" i="53"/>
  <c r="G203" i="53"/>
  <c r="H203" i="53"/>
  <c r="H132" i="53"/>
  <c r="F133" i="53"/>
  <c r="G132" i="53"/>
  <c r="D84" i="94" l="1"/>
  <c r="E83" i="94"/>
  <c r="F83" i="94" s="1"/>
  <c r="K83" i="94"/>
  <c r="C83" i="94" s="1"/>
  <c r="D86" i="96"/>
  <c r="K85" i="96"/>
  <c r="C85" i="96" s="1"/>
  <c r="D84" i="95"/>
  <c r="E83" i="95"/>
  <c r="F83" i="95" s="1"/>
  <c r="K83" i="95"/>
  <c r="R46" i="96"/>
  <c r="S46" i="96" s="1"/>
  <c r="R47" i="96" s="1"/>
  <c r="S45" i="96"/>
  <c r="T78" i="95"/>
  <c r="U78" i="95" s="1"/>
  <c r="R79" i="95"/>
  <c r="S79" i="95"/>
  <c r="Q80" i="95"/>
  <c r="G82" i="95"/>
  <c r="H82" i="95"/>
  <c r="H82" i="94"/>
  <c r="G82" i="94"/>
  <c r="G48" i="96"/>
  <c r="H48" i="96"/>
  <c r="E49" i="96"/>
  <c r="F49" i="96" s="1"/>
  <c r="S88" i="94"/>
  <c r="U87" i="94"/>
  <c r="V87" i="94" s="1"/>
  <c r="T88" i="94"/>
  <c r="R89" i="94"/>
  <c r="H95" i="91"/>
  <c r="G95" i="91"/>
  <c r="D97" i="91"/>
  <c r="E96" i="91"/>
  <c r="F96" i="91" s="1"/>
  <c r="K96" i="91"/>
  <c r="C96" i="91" s="1"/>
  <c r="E193" i="91"/>
  <c r="F193" i="91" s="1"/>
  <c r="D194" i="91"/>
  <c r="K193" i="91"/>
  <c r="C193" i="91" s="1"/>
  <c r="G192" i="91"/>
  <c r="H192" i="91"/>
  <c r="D193" i="87"/>
  <c r="K192" i="87"/>
  <c r="C192" i="87" s="1"/>
  <c r="E192" i="87"/>
  <c r="F192" i="87" s="1"/>
  <c r="H191" i="87"/>
  <c r="G191" i="87"/>
  <c r="F205" i="53"/>
  <c r="H204" i="53"/>
  <c r="G204" i="53"/>
  <c r="F134" i="53"/>
  <c r="G133" i="53"/>
  <c r="H133" i="53"/>
  <c r="D85" i="95" l="1"/>
  <c r="E84" i="95"/>
  <c r="F84" i="95" s="1"/>
  <c r="K84" i="95"/>
  <c r="D87" i="96"/>
  <c r="K86" i="96"/>
  <c r="C86" i="96" s="1"/>
  <c r="S80" i="95"/>
  <c r="Q81" i="95"/>
  <c r="S47" i="96"/>
  <c r="R48" i="96"/>
  <c r="G83" i="94"/>
  <c r="H83" i="94"/>
  <c r="R80" i="95"/>
  <c r="T79" i="95"/>
  <c r="U79" i="95" s="1"/>
  <c r="G83" i="95"/>
  <c r="H83" i="95"/>
  <c r="D85" i="94"/>
  <c r="C84" i="94"/>
  <c r="E84" i="94"/>
  <c r="F84" i="94" s="1"/>
  <c r="K84" i="94"/>
  <c r="G49" i="96"/>
  <c r="H49" i="96"/>
  <c r="E50" i="96"/>
  <c r="F50" i="96" s="1"/>
  <c r="T89" i="94"/>
  <c r="R90" i="94"/>
  <c r="S89" i="94"/>
  <c r="U88" i="94"/>
  <c r="V88" i="94" s="1"/>
  <c r="H96" i="91"/>
  <c r="G96" i="91"/>
  <c r="E194" i="91"/>
  <c r="F194" i="91" s="1"/>
  <c r="K194" i="91"/>
  <c r="C194" i="91" s="1"/>
  <c r="D195" i="91"/>
  <c r="E97" i="91"/>
  <c r="F97" i="91" s="1"/>
  <c r="D98" i="91"/>
  <c r="K97" i="91"/>
  <c r="C97" i="91" s="1"/>
  <c r="H193" i="91"/>
  <c r="G193" i="91"/>
  <c r="D194" i="87"/>
  <c r="E193" i="87"/>
  <c r="F193" i="87" s="1"/>
  <c r="K193" i="87"/>
  <c r="C193" i="87" s="1"/>
  <c r="G192" i="87"/>
  <c r="H192" i="87"/>
  <c r="G205" i="53"/>
  <c r="F206" i="53"/>
  <c r="H205" i="53"/>
  <c r="H134" i="53"/>
  <c r="G134" i="53"/>
  <c r="F135" i="53"/>
  <c r="D86" i="94" l="1"/>
  <c r="E85" i="94"/>
  <c r="F85" i="94" s="1"/>
  <c r="K85" i="94"/>
  <c r="C85" i="94" s="1"/>
  <c r="D88" i="96"/>
  <c r="K87" i="96"/>
  <c r="C87" i="96" s="1"/>
  <c r="H84" i="94"/>
  <c r="G84" i="94"/>
  <c r="T80" i="95"/>
  <c r="U80" i="95" s="1"/>
  <c r="R81" i="95"/>
  <c r="R49" i="96"/>
  <c r="S48" i="96"/>
  <c r="H84" i="95"/>
  <c r="G84" i="95"/>
  <c r="S81" i="95"/>
  <c r="Q82" i="95"/>
  <c r="S82" i="95" s="1"/>
  <c r="D86" i="95"/>
  <c r="E85" i="95"/>
  <c r="F85" i="95" s="1"/>
  <c r="K85" i="95"/>
  <c r="G50" i="96"/>
  <c r="H50" i="96"/>
  <c r="E51" i="96"/>
  <c r="F51" i="96" s="1"/>
  <c r="U89" i="94"/>
  <c r="V89" i="94" s="1"/>
  <c r="S90" i="94"/>
  <c r="R91" i="94"/>
  <c r="T90" i="94"/>
  <c r="E98" i="91"/>
  <c r="F98" i="91" s="1"/>
  <c r="D99" i="91"/>
  <c r="K98" i="91"/>
  <c r="C98" i="91" s="1"/>
  <c r="H194" i="91"/>
  <c r="G194" i="91"/>
  <c r="G97" i="91"/>
  <c r="H97" i="91"/>
  <c r="D196" i="91"/>
  <c r="K195" i="91"/>
  <c r="C195" i="91" s="1"/>
  <c r="E195" i="91"/>
  <c r="F195" i="91" s="1"/>
  <c r="H193" i="87"/>
  <c r="G193" i="87"/>
  <c r="D195" i="87"/>
  <c r="K194" i="87"/>
  <c r="C194" i="87" s="1"/>
  <c r="E194" i="87"/>
  <c r="F194" i="87" s="1"/>
  <c r="H206" i="53"/>
  <c r="G206" i="53"/>
  <c r="F207" i="53"/>
  <c r="H135" i="53"/>
  <c r="F136" i="53"/>
  <c r="G135" i="53"/>
  <c r="R50" i="96" l="1"/>
  <c r="S49" i="96"/>
  <c r="D87" i="95"/>
  <c r="E86" i="95"/>
  <c r="F86" i="95" s="1"/>
  <c r="K86" i="95"/>
  <c r="T81" i="95"/>
  <c r="U81" i="95" s="1"/>
  <c r="R82" i="95"/>
  <c r="D89" i="96"/>
  <c r="K88" i="96"/>
  <c r="C88" i="96" s="1"/>
  <c r="G85" i="94"/>
  <c r="H85" i="94"/>
  <c r="C196" i="91"/>
  <c r="D87" i="94"/>
  <c r="K86" i="94"/>
  <c r="C86" i="94" s="1"/>
  <c r="E86" i="94"/>
  <c r="F86" i="94" s="1"/>
  <c r="H85" i="95"/>
  <c r="G85" i="95"/>
  <c r="C195" i="87"/>
  <c r="G51" i="96"/>
  <c r="H51" i="96"/>
  <c r="E52" i="96"/>
  <c r="F52" i="96" s="1"/>
  <c r="S91" i="94"/>
  <c r="U90" i="94"/>
  <c r="V90" i="94" s="1"/>
  <c r="R92" i="94"/>
  <c r="T91" i="94"/>
  <c r="D197" i="91"/>
  <c r="K196" i="91"/>
  <c r="E196" i="91"/>
  <c r="F196" i="91" s="1"/>
  <c r="G195" i="91"/>
  <c r="H195" i="91"/>
  <c r="D100" i="91"/>
  <c r="K99" i="91"/>
  <c r="C99" i="91" s="1"/>
  <c r="E99" i="91"/>
  <c r="F99" i="91" s="1"/>
  <c r="H98" i="91"/>
  <c r="G98" i="91"/>
  <c r="G194" i="87"/>
  <c r="H194" i="87"/>
  <c r="D196" i="87"/>
  <c r="E195" i="87"/>
  <c r="F195" i="87" s="1"/>
  <c r="K195" i="87"/>
  <c r="F208" i="53"/>
  <c r="G207" i="53"/>
  <c r="H207" i="53"/>
  <c r="H136" i="53"/>
  <c r="F137" i="53"/>
  <c r="G136" i="53"/>
  <c r="D88" i="94" l="1"/>
  <c r="E87" i="94"/>
  <c r="F87" i="94" s="1"/>
  <c r="K87" i="94"/>
  <c r="C87" i="94" s="1"/>
  <c r="H86" i="95"/>
  <c r="G86" i="95"/>
  <c r="D88" i="95"/>
  <c r="K87" i="95"/>
  <c r="E87" i="95"/>
  <c r="F87" i="95" s="1"/>
  <c r="H86" i="94"/>
  <c r="G86" i="94"/>
  <c r="D90" i="96"/>
  <c r="K89" i="96"/>
  <c r="C89" i="96" s="1"/>
  <c r="Q83" i="95"/>
  <c r="T82" i="95"/>
  <c r="U82" i="95" s="1"/>
  <c r="R51" i="96"/>
  <c r="S50" i="96"/>
  <c r="E53" i="96"/>
  <c r="F53" i="96" s="1"/>
  <c r="G52" i="96"/>
  <c r="H52" i="96"/>
  <c r="T92" i="94"/>
  <c r="R93" i="94"/>
  <c r="S92" i="94"/>
  <c r="U91" i="94"/>
  <c r="V91" i="94" s="1"/>
  <c r="G99" i="91"/>
  <c r="H99" i="91"/>
  <c r="G196" i="91"/>
  <c r="H196" i="91"/>
  <c r="E100" i="91"/>
  <c r="F100" i="91" s="1"/>
  <c r="D101" i="91"/>
  <c r="K100" i="91"/>
  <c r="C100" i="91" s="1"/>
  <c r="D198" i="91"/>
  <c r="K197" i="91"/>
  <c r="C197" i="91" s="1"/>
  <c r="E197" i="91"/>
  <c r="F197" i="91" s="1"/>
  <c r="H195" i="87"/>
  <c r="G195" i="87"/>
  <c r="D197" i="87"/>
  <c r="K196" i="87"/>
  <c r="C196" i="87" s="1"/>
  <c r="E196" i="87"/>
  <c r="F196" i="87" s="1"/>
  <c r="H208" i="53"/>
  <c r="G208" i="53"/>
  <c r="F209" i="53"/>
  <c r="F138" i="53"/>
  <c r="G137" i="53"/>
  <c r="H137" i="53"/>
  <c r="R52" i="96" l="1"/>
  <c r="S51" i="96"/>
  <c r="Q84" i="95"/>
  <c r="R83" i="95"/>
  <c r="S83" i="95"/>
  <c r="G87" i="95"/>
  <c r="H87" i="95"/>
  <c r="G87" i="94"/>
  <c r="H87" i="94"/>
  <c r="D91" i="96"/>
  <c r="C90" i="96"/>
  <c r="K90" i="96"/>
  <c r="D89" i="95"/>
  <c r="K88" i="95"/>
  <c r="E88" i="95"/>
  <c r="F88" i="95" s="1"/>
  <c r="D89" i="94"/>
  <c r="E88" i="94"/>
  <c r="F88" i="94" s="1"/>
  <c r="K88" i="94"/>
  <c r="C88" i="94" s="1"/>
  <c r="G53" i="96"/>
  <c r="H53" i="96"/>
  <c r="E54" i="96"/>
  <c r="F54" i="96" s="1"/>
  <c r="U92" i="94"/>
  <c r="V92" i="94" s="1"/>
  <c r="S93" i="94"/>
  <c r="T93" i="94"/>
  <c r="R94" i="94"/>
  <c r="T94" i="94" s="1"/>
  <c r="E198" i="91"/>
  <c r="F198" i="91" s="1"/>
  <c r="D199" i="91"/>
  <c r="K198" i="91"/>
  <c r="C198" i="91" s="1"/>
  <c r="H197" i="91"/>
  <c r="G197" i="91"/>
  <c r="E101" i="91"/>
  <c r="F101" i="91" s="1"/>
  <c r="D102" i="91"/>
  <c r="K101" i="91"/>
  <c r="C101" i="91" s="1"/>
  <c r="H100" i="91"/>
  <c r="G100" i="91"/>
  <c r="G196" i="87"/>
  <c r="H196" i="87"/>
  <c r="D198" i="87"/>
  <c r="E197" i="87"/>
  <c r="F197" i="87" s="1"/>
  <c r="K197" i="87"/>
  <c r="C197" i="87" s="1"/>
  <c r="F210" i="53"/>
  <c r="H209" i="53"/>
  <c r="G209" i="53"/>
  <c r="F139" i="53"/>
  <c r="H138" i="53"/>
  <c r="G138" i="53"/>
  <c r="D92" i="96" l="1"/>
  <c r="K91" i="96"/>
  <c r="C91" i="96" s="1"/>
  <c r="R84" i="95"/>
  <c r="T83" i="95"/>
  <c r="U83" i="95" s="1"/>
  <c r="D90" i="94"/>
  <c r="C89" i="94"/>
  <c r="E89" i="94"/>
  <c r="F89" i="94" s="1"/>
  <c r="K89" i="94"/>
  <c r="Q85" i="95"/>
  <c r="S84" i="95"/>
  <c r="H88" i="95"/>
  <c r="G88" i="95"/>
  <c r="G88" i="94"/>
  <c r="H88" i="94"/>
  <c r="D90" i="95"/>
  <c r="E89" i="95"/>
  <c r="F89" i="95" s="1"/>
  <c r="K89" i="95"/>
  <c r="R53" i="96"/>
  <c r="S52" i="96"/>
  <c r="E55" i="96"/>
  <c r="F55" i="96" s="1"/>
  <c r="H54" i="96"/>
  <c r="G54" i="96"/>
  <c r="U93" i="94"/>
  <c r="V93" i="94" s="1"/>
  <c r="S94" i="94"/>
  <c r="D103" i="91"/>
  <c r="K102" i="91"/>
  <c r="C102" i="91" s="1"/>
  <c r="E102" i="91"/>
  <c r="F102" i="91" s="1"/>
  <c r="G101" i="91"/>
  <c r="H101" i="91"/>
  <c r="D200" i="91"/>
  <c r="K199" i="91"/>
  <c r="C199" i="91" s="1"/>
  <c r="E199" i="91"/>
  <c r="F199" i="91" s="1"/>
  <c r="H198" i="91"/>
  <c r="G198" i="91"/>
  <c r="H197" i="87"/>
  <c r="G197" i="87"/>
  <c r="D199" i="87"/>
  <c r="K198" i="87"/>
  <c r="C198" i="87" s="1"/>
  <c r="E198" i="87"/>
  <c r="F198" i="87" s="1"/>
  <c r="H210" i="53"/>
  <c r="F211" i="53"/>
  <c r="G210" i="53"/>
  <c r="H139" i="53"/>
  <c r="G139" i="53"/>
  <c r="F140" i="53"/>
  <c r="G89" i="95" l="1"/>
  <c r="H89" i="95"/>
  <c r="R85" i="95"/>
  <c r="T84" i="95"/>
  <c r="U84" i="95" s="1"/>
  <c r="D91" i="94"/>
  <c r="K90" i="94"/>
  <c r="C90" i="94" s="1"/>
  <c r="E90" i="94"/>
  <c r="F90" i="94" s="1"/>
  <c r="D91" i="95"/>
  <c r="K90" i="95"/>
  <c r="E90" i="95"/>
  <c r="F90" i="95" s="1"/>
  <c r="Q86" i="95"/>
  <c r="S85" i="95"/>
  <c r="R54" i="96"/>
  <c r="S53" i="96"/>
  <c r="D93" i="96"/>
  <c r="C92" i="96"/>
  <c r="K92" i="96"/>
  <c r="G89" i="94"/>
  <c r="H89" i="94"/>
  <c r="G55" i="96"/>
  <c r="H55" i="96"/>
  <c r="E56" i="96"/>
  <c r="F56" i="96" s="1"/>
  <c r="R95" i="94"/>
  <c r="U94" i="94"/>
  <c r="V94" i="94" s="1"/>
  <c r="H199" i="91"/>
  <c r="G199" i="91"/>
  <c r="H102" i="91"/>
  <c r="G102" i="91"/>
  <c r="D201" i="91"/>
  <c r="K200" i="91"/>
  <c r="C200" i="91" s="1"/>
  <c r="E200" i="91"/>
  <c r="F200" i="91" s="1"/>
  <c r="D104" i="91"/>
  <c r="K103" i="91"/>
  <c r="C103" i="91" s="1"/>
  <c r="E103" i="91"/>
  <c r="F103" i="91" s="1"/>
  <c r="G198" i="87"/>
  <c r="H198" i="87"/>
  <c r="D200" i="87"/>
  <c r="E199" i="87"/>
  <c r="F199" i="87" s="1"/>
  <c r="K199" i="87"/>
  <c r="C199" i="87" s="1"/>
  <c r="F212" i="53"/>
  <c r="G211" i="53"/>
  <c r="H211" i="53"/>
  <c r="H140" i="53"/>
  <c r="F141" i="53"/>
  <c r="G140" i="53"/>
  <c r="G90" i="94" l="1"/>
  <c r="H90" i="94"/>
  <c r="R55" i="96"/>
  <c r="S54" i="96"/>
  <c r="Q87" i="95"/>
  <c r="S86" i="95"/>
  <c r="D92" i="94"/>
  <c r="E91" i="94"/>
  <c r="F91" i="94" s="1"/>
  <c r="K91" i="94"/>
  <c r="C91" i="94" s="1"/>
  <c r="H90" i="95"/>
  <c r="G90" i="95"/>
  <c r="D94" i="96"/>
  <c r="C93" i="96"/>
  <c r="K93" i="96"/>
  <c r="R86" i="95"/>
  <c r="T85" i="95"/>
  <c r="U85" i="95" s="1"/>
  <c r="D92" i="95"/>
  <c r="K91" i="95"/>
  <c r="E91" i="95"/>
  <c r="F91" i="95" s="1"/>
  <c r="E57" i="96"/>
  <c r="F57" i="96" s="1"/>
  <c r="H56" i="96"/>
  <c r="G56" i="96"/>
  <c r="R96" i="94"/>
  <c r="S95" i="94"/>
  <c r="T95" i="94"/>
  <c r="E104" i="91"/>
  <c r="F104" i="91" s="1"/>
  <c r="D105" i="91"/>
  <c r="K104" i="91"/>
  <c r="C104" i="91" s="1"/>
  <c r="G200" i="91"/>
  <c r="H200" i="91"/>
  <c r="G103" i="91"/>
  <c r="H103" i="91"/>
  <c r="K201" i="91"/>
  <c r="C201" i="91" s="1"/>
  <c r="D202" i="91"/>
  <c r="E201" i="91"/>
  <c r="F201" i="91" s="1"/>
  <c r="H199" i="87"/>
  <c r="G199" i="87"/>
  <c r="D201" i="87"/>
  <c r="K200" i="87"/>
  <c r="C200" i="87" s="1"/>
  <c r="E200" i="87"/>
  <c r="F200" i="87" s="1"/>
  <c r="G212" i="53"/>
  <c r="H212" i="53"/>
  <c r="F213" i="53"/>
  <c r="F142" i="53"/>
  <c r="G141" i="53"/>
  <c r="H141" i="53"/>
  <c r="D93" i="94" l="1"/>
  <c r="K92" i="94"/>
  <c r="C92" i="94" s="1"/>
  <c r="E92" i="94"/>
  <c r="F92" i="94" s="1"/>
  <c r="D93" i="95"/>
  <c r="K92" i="95"/>
  <c r="E92" i="95"/>
  <c r="F92" i="95" s="1"/>
  <c r="Q88" i="95"/>
  <c r="S87" i="95"/>
  <c r="D95" i="96"/>
  <c r="K94" i="96"/>
  <c r="C94" i="96" s="1"/>
  <c r="R56" i="96"/>
  <c r="S55" i="96"/>
  <c r="R87" i="95"/>
  <c r="T86" i="95"/>
  <c r="U86" i="95" s="1"/>
  <c r="G91" i="94"/>
  <c r="H91" i="94"/>
  <c r="C202" i="91"/>
  <c r="H91" i="95"/>
  <c r="G91" i="95"/>
  <c r="H57" i="96"/>
  <c r="G57" i="96"/>
  <c r="E58" i="96"/>
  <c r="F58" i="96" s="1"/>
  <c r="S96" i="94"/>
  <c r="U95" i="94"/>
  <c r="V95" i="94" s="1"/>
  <c r="T96" i="94"/>
  <c r="R97" i="94"/>
  <c r="E202" i="91"/>
  <c r="F202" i="91" s="1"/>
  <c r="K202" i="91"/>
  <c r="H104" i="91"/>
  <c r="G104" i="91"/>
  <c r="H201" i="91"/>
  <c r="G201" i="91"/>
  <c r="E105" i="91"/>
  <c r="F105" i="91" s="1"/>
  <c r="D106" i="91"/>
  <c r="K105" i="91"/>
  <c r="C105" i="91" s="1"/>
  <c r="G200" i="87"/>
  <c r="H200" i="87"/>
  <c r="D202" i="87"/>
  <c r="E201" i="87"/>
  <c r="F201" i="87" s="1"/>
  <c r="K201" i="87"/>
  <c r="C201" i="87" s="1"/>
  <c r="H213" i="53"/>
  <c r="G213" i="53"/>
  <c r="F214" i="53"/>
  <c r="H142" i="53"/>
  <c r="G142" i="53"/>
  <c r="F143" i="53"/>
  <c r="H92" i="95" l="1"/>
  <c r="G92" i="95"/>
  <c r="G92" i="94"/>
  <c r="H92" i="94"/>
  <c r="R57" i="96"/>
  <c r="S56" i="96"/>
  <c r="D94" i="95"/>
  <c r="K93" i="95"/>
  <c r="E93" i="95"/>
  <c r="F93" i="95" s="1"/>
  <c r="R88" i="95"/>
  <c r="T87" i="95"/>
  <c r="U87" i="95" s="1"/>
  <c r="D96" i="96"/>
  <c r="K95" i="96"/>
  <c r="C95" i="96" s="1"/>
  <c r="Q89" i="95"/>
  <c r="S88" i="95"/>
  <c r="D94" i="94"/>
  <c r="E93" i="94"/>
  <c r="F93" i="94" s="1"/>
  <c r="K93" i="94"/>
  <c r="C93" i="94" s="1"/>
  <c r="E59" i="96"/>
  <c r="F59" i="96" s="1"/>
  <c r="H58" i="96"/>
  <c r="G58" i="96"/>
  <c r="T97" i="94"/>
  <c r="R98" i="94"/>
  <c r="U96" i="94"/>
  <c r="V96" i="94" s="1"/>
  <c r="S97" i="94"/>
  <c r="D60" i="92"/>
  <c r="G105" i="91"/>
  <c r="H105" i="91"/>
  <c r="E106" i="91"/>
  <c r="F106" i="91" s="1"/>
  <c r="K106" i="91"/>
  <c r="C106" i="91" s="1"/>
  <c r="G202" i="91"/>
  <c r="H202" i="91"/>
  <c r="H201" i="87"/>
  <c r="G201" i="87"/>
  <c r="K202" i="87"/>
  <c r="C202" i="87" s="1"/>
  <c r="E202" i="87"/>
  <c r="F202" i="87" s="1"/>
  <c r="H214" i="53"/>
  <c r="G214" i="53"/>
  <c r="F215" i="53"/>
  <c r="H143" i="53"/>
  <c r="F144" i="53"/>
  <c r="G143" i="53"/>
  <c r="D97" i="96" l="1"/>
  <c r="K96" i="96"/>
  <c r="C96" i="96" s="1"/>
  <c r="R58" i="96"/>
  <c r="S58" i="96" s="1"/>
  <c r="R59" i="96" s="1"/>
  <c r="S57" i="96"/>
  <c r="G93" i="94"/>
  <c r="H93" i="94"/>
  <c r="D95" i="94"/>
  <c r="E94" i="94"/>
  <c r="F94" i="94" s="1"/>
  <c r="K94" i="94"/>
  <c r="C94" i="94" s="1"/>
  <c r="R89" i="95"/>
  <c r="T88" i="95"/>
  <c r="U88" i="95" s="1"/>
  <c r="Q90" i="95"/>
  <c r="S89" i="95"/>
  <c r="H93" i="95"/>
  <c r="G93" i="95"/>
  <c r="D95" i="95"/>
  <c r="K94" i="95"/>
  <c r="E94" i="95"/>
  <c r="F94" i="95" s="1"/>
  <c r="G59" i="96"/>
  <c r="H59" i="96"/>
  <c r="E60" i="96"/>
  <c r="F60" i="96" s="1"/>
  <c r="T98" i="94"/>
  <c r="R99" i="94"/>
  <c r="U97" i="94"/>
  <c r="V97" i="94" s="1"/>
  <c r="S98" i="94"/>
  <c r="D61" i="92"/>
  <c r="E60" i="92"/>
  <c r="F60" i="92" s="1"/>
  <c r="K60" i="92"/>
  <c r="C60" i="92" s="1"/>
  <c r="D156" i="92"/>
  <c r="H106" i="91"/>
  <c r="G106" i="91"/>
  <c r="D156" i="89"/>
  <c r="G202" i="87"/>
  <c r="H202" i="87"/>
  <c r="F216" i="53"/>
  <c r="G215" i="53"/>
  <c r="H215" i="53"/>
  <c r="H144" i="53"/>
  <c r="F145" i="53"/>
  <c r="G144" i="53"/>
  <c r="D96" i="94" l="1"/>
  <c r="K95" i="94"/>
  <c r="C95" i="94" s="1"/>
  <c r="E95" i="94"/>
  <c r="F95" i="94" s="1"/>
  <c r="Q91" i="95"/>
  <c r="S90" i="95"/>
  <c r="G94" i="95"/>
  <c r="H94" i="95"/>
  <c r="R90" i="95"/>
  <c r="T89" i="95"/>
  <c r="U89" i="95" s="1"/>
  <c r="D96" i="95"/>
  <c r="K95" i="95"/>
  <c r="E95" i="95"/>
  <c r="F95" i="95" s="1"/>
  <c r="R60" i="96"/>
  <c r="S59" i="96"/>
  <c r="H94" i="94"/>
  <c r="G94" i="94"/>
  <c r="D98" i="96"/>
  <c r="C97" i="96"/>
  <c r="K97" i="96"/>
  <c r="G60" i="96"/>
  <c r="H60" i="96"/>
  <c r="E61" i="96"/>
  <c r="F61" i="96" s="1"/>
  <c r="U98" i="94"/>
  <c r="V98" i="94" s="1"/>
  <c r="S99" i="94"/>
  <c r="R100" i="94"/>
  <c r="T99" i="94"/>
  <c r="D157" i="92"/>
  <c r="E156" i="92"/>
  <c r="F156" i="92" s="1"/>
  <c r="K156" i="92"/>
  <c r="C156" i="92" s="1"/>
  <c r="H60" i="92"/>
  <c r="G60" i="92"/>
  <c r="D62" i="92"/>
  <c r="E61" i="92"/>
  <c r="F61" i="92" s="1"/>
  <c r="K61" i="92"/>
  <c r="C61" i="92" s="1"/>
  <c r="D157" i="89"/>
  <c r="K156" i="89"/>
  <c r="C156" i="89" s="1"/>
  <c r="E156" i="89"/>
  <c r="F156" i="89" s="1"/>
  <c r="F217" i="53"/>
  <c r="H216" i="53"/>
  <c r="G216" i="53"/>
  <c r="F146" i="53"/>
  <c r="G145" i="53"/>
  <c r="H145" i="53"/>
  <c r="D99" i="96" l="1"/>
  <c r="K98" i="96"/>
  <c r="C98" i="96" s="1"/>
  <c r="D97" i="95"/>
  <c r="K96" i="95"/>
  <c r="E96" i="95"/>
  <c r="F96" i="95" s="1"/>
  <c r="Q92" i="95"/>
  <c r="S91" i="95"/>
  <c r="H95" i="95"/>
  <c r="G95" i="95"/>
  <c r="G95" i="94"/>
  <c r="H95" i="94"/>
  <c r="R91" i="95"/>
  <c r="T90" i="95"/>
  <c r="U90" i="95" s="1"/>
  <c r="R61" i="96"/>
  <c r="S60" i="96"/>
  <c r="D97" i="94"/>
  <c r="C96" i="94"/>
  <c r="E96" i="94"/>
  <c r="F96" i="94" s="1"/>
  <c r="K96" i="94"/>
  <c r="G61" i="96"/>
  <c r="H61" i="96"/>
  <c r="E62" i="96"/>
  <c r="F62" i="96" s="1"/>
  <c r="S100" i="94"/>
  <c r="U99" i="94"/>
  <c r="V99" i="94" s="1"/>
  <c r="R101" i="94"/>
  <c r="T100" i="94"/>
  <c r="D63" i="92"/>
  <c r="E62" i="92"/>
  <c r="F62" i="92" s="1"/>
  <c r="K62" i="92"/>
  <c r="C62" i="92" s="1"/>
  <c r="H156" i="92"/>
  <c r="G156" i="92"/>
  <c r="H61" i="92"/>
  <c r="G61" i="92"/>
  <c r="D158" i="92"/>
  <c r="K157" i="92"/>
  <c r="C157" i="92" s="1"/>
  <c r="E157" i="92"/>
  <c r="F157" i="92" s="1"/>
  <c r="H156" i="89"/>
  <c r="G156" i="89"/>
  <c r="D158" i="89"/>
  <c r="E157" i="89"/>
  <c r="F157" i="89" s="1"/>
  <c r="K157" i="89"/>
  <c r="C157" i="89" s="1"/>
  <c r="G217" i="53"/>
  <c r="F218" i="53"/>
  <c r="H217" i="53"/>
  <c r="F147" i="53"/>
  <c r="H146" i="53"/>
  <c r="G146" i="53"/>
  <c r="G96" i="94" l="1"/>
  <c r="H96" i="94"/>
  <c r="D98" i="94"/>
  <c r="K97" i="94"/>
  <c r="C97" i="94" s="1"/>
  <c r="E97" i="94"/>
  <c r="F97" i="94" s="1"/>
  <c r="D98" i="95"/>
  <c r="K97" i="95"/>
  <c r="E97" i="95"/>
  <c r="F97" i="95" s="1"/>
  <c r="R62" i="96"/>
  <c r="S61" i="96"/>
  <c r="Q93" i="95"/>
  <c r="S92" i="95"/>
  <c r="R92" i="95"/>
  <c r="T91" i="95"/>
  <c r="U91" i="95" s="1"/>
  <c r="G96" i="95"/>
  <c r="H96" i="95"/>
  <c r="D100" i="96"/>
  <c r="C99" i="96"/>
  <c r="K99" i="96"/>
  <c r="E63" i="96"/>
  <c r="F63" i="96" s="1"/>
  <c r="G62" i="96"/>
  <c r="H62" i="96"/>
  <c r="T101" i="94"/>
  <c r="R102" i="94"/>
  <c r="U100" i="94"/>
  <c r="V100" i="94" s="1"/>
  <c r="S101" i="94"/>
  <c r="H62" i="92"/>
  <c r="G62" i="92"/>
  <c r="D159" i="92"/>
  <c r="K158" i="92"/>
  <c r="C158" i="92" s="1"/>
  <c r="E158" i="92"/>
  <c r="F158" i="92" s="1"/>
  <c r="H157" i="92"/>
  <c r="G157" i="92"/>
  <c r="D64" i="92"/>
  <c r="E63" i="92"/>
  <c r="F63" i="92" s="1"/>
  <c r="K63" i="92"/>
  <c r="C63" i="92" s="1"/>
  <c r="H157" i="89"/>
  <c r="G157" i="89"/>
  <c r="D159" i="89"/>
  <c r="E158" i="89"/>
  <c r="F158" i="89" s="1"/>
  <c r="K158" i="89"/>
  <c r="C158" i="89" s="1"/>
  <c r="H218" i="53"/>
  <c r="F219" i="53"/>
  <c r="G218" i="53"/>
  <c r="H147" i="53"/>
  <c r="G147" i="53"/>
  <c r="F148" i="53"/>
  <c r="D101" i="96" l="1"/>
  <c r="K100" i="96"/>
  <c r="C100" i="96" s="1"/>
  <c r="D99" i="95"/>
  <c r="E98" i="95"/>
  <c r="F98" i="95" s="1"/>
  <c r="K98" i="95"/>
  <c r="G97" i="94"/>
  <c r="H97" i="94"/>
  <c r="R63" i="96"/>
  <c r="S62" i="96"/>
  <c r="R93" i="95"/>
  <c r="T92" i="95"/>
  <c r="U92" i="95" s="1"/>
  <c r="D99" i="94"/>
  <c r="E98" i="94"/>
  <c r="F98" i="94" s="1"/>
  <c r="K98" i="94"/>
  <c r="C98" i="94" s="1"/>
  <c r="Q94" i="95"/>
  <c r="S93" i="95"/>
  <c r="G97" i="95"/>
  <c r="H97" i="95"/>
  <c r="H63" i="96"/>
  <c r="G63" i="96"/>
  <c r="E64" i="96"/>
  <c r="F64" i="96" s="1"/>
  <c r="U101" i="94"/>
  <c r="V101" i="94" s="1"/>
  <c r="S102" i="94"/>
  <c r="R103" i="94"/>
  <c r="T102" i="94"/>
  <c r="D65" i="92"/>
  <c r="E64" i="92"/>
  <c r="F64" i="92" s="1"/>
  <c r="K64" i="92"/>
  <c r="C64" i="92" s="1"/>
  <c r="D160" i="92"/>
  <c r="K159" i="92"/>
  <c r="C159" i="92" s="1"/>
  <c r="E159" i="92"/>
  <c r="F159" i="92" s="1"/>
  <c r="H63" i="92"/>
  <c r="G63" i="92"/>
  <c r="H158" i="92"/>
  <c r="G158" i="92"/>
  <c r="H158" i="89"/>
  <c r="G158" i="89"/>
  <c r="D160" i="89"/>
  <c r="E159" i="89"/>
  <c r="F159" i="89" s="1"/>
  <c r="K159" i="89"/>
  <c r="C159" i="89" s="1"/>
  <c r="F220" i="53"/>
  <c r="G219" i="53"/>
  <c r="H219" i="53"/>
  <c r="H148" i="53"/>
  <c r="F149" i="53"/>
  <c r="G148" i="53"/>
  <c r="G98" i="95" l="1"/>
  <c r="H98" i="95"/>
  <c r="R94" i="95"/>
  <c r="T94" i="95" s="1"/>
  <c r="T93" i="95"/>
  <c r="U93" i="95" s="1"/>
  <c r="Q95" i="95"/>
  <c r="S94" i="95"/>
  <c r="R64" i="96"/>
  <c r="S63" i="96"/>
  <c r="D100" i="95"/>
  <c r="K99" i="95"/>
  <c r="E99" i="95"/>
  <c r="F99" i="95" s="1"/>
  <c r="H98" i="94"/>
  <c r="G98" i="94"/>
  <c r="D100" i="94"/>
  <c r="E99" i="94"/>
  <c r="F99" i="94" s="1"/>
  <c r="K99" i="94"/>
  <c r="C99" i="94" s="1"/>
  <c r="D102" i="96"/>
  <c r="C101" i="96"/>
  <c r="K101" i="96"/>
  <c r="H64" i="96"/>
  <c r="G64" i="96"/>
  <c r="E65" i="96"/>
  <c r="F65" i="96" s="1"/>
  <c r="U102" i="94"/>
  <c r="V102" i="94" s="1"/>
  <c r="S103" i="94"/>
  <c r="R104" i="94"/>
  <c r="T103" i="94"/>
  <c r="D161" i="92"/>
  <c r="K160" i="92"/>
  <c r="C160" i="92" s="1"/>
  <c r="E160" i="92"/>
  <c r="F160" i="92" s="1"/>
  <c r="H159" i="92"/>
  <c r="G159" i="92"/>
  <c r="H64" i="92"/>
  <c r="G64" i="92"/>
  <c r="D66" i="92"/>
  <c r="E65" i="92"/>
  <c r="F65" i="92" s="1"/>
  <c r="K65" i="92"/>
  <c r="C65" i="92" s="1"/>
  <c r="H159" i="89"/>
  <c r="G159" i="89"/>
  <c r="D161" i="89"/>
  <c r="E160" i="89"/>
  <c r="F160" i="89" s="1"/>
  <c r="K160" i="89"/>
  <c r="C160" i="89" s="1"/>
  <c r="H220" i="53"/>
  <c r="G220" i="53"/>
  <c r="F221" i="53"/>
  <c r="F150" i="53"/>
  <c r="G149" i="53"/>
  <c r="H149" i="53"/>
  <c r="U94" i="95" l="1"/>
  <c r="Q96" i="95"/>
  <c r="R95" i="95"/>
  <c r="S95" i="95"/>
  <c r="G99" i="95"/>
  <c r="H99" i="95"/>
  <c r="G99" i="94"/>
  <c r="H99" i="94"/>
  <c r="D101" i="95"/>
  <c r="K100" i="95"/>
  <c r="E100" i="95"/>
  <c r="F100" i="95" s="1"/>
  <c r="D101" i="94"/>
  <c r="K100" i="94"/>
  <c r="C100" i="94" s="1"/>
  <c r="E100" i="94"/>
  <c r="F100" i="94" s="1"/>
  <c r="R65" i="96"/>
  <c r="S64" i="96"/>
  <c r="D103" i="96"/>
  <c r="C102" i="96"/>
  <c r="K102" i="96"/>
  <c r="E66" i="96"/>
  <c r="F66" i="96" s="1"/>
  <c r="G65" i="96"/>
  <c r="H65" i="96"/>
  <c r="R105" i="94"/>
  <c r="T104" i="94"/>
  <c r="S104" i="94"/>
  <c r="U103" i="94"/>
  <c r="V103" i="94" s="1"/>
  <c r="D67" i="92"/>
  <c r="E66" i="92"/>
  <c r="F66" i="92" s="1"/>
  <c r="K66" i="92"/>
  <c r="C66" i="92" s="1"/>
  <c r="H160" i="92"/>
  <c r="G160" i="92"/>
  <c r="H65" i="92"/>
  <c r="G65" i="92"/>
  <c r="D162" i="92"/>
  <c r="K161" i="92"/>
  <c r="C161" i="92" s="1"/>
  <c r="E161" i="92"/>
  <c r="F161" i="92" s="1"/>
  <c r="H160" i="89"/>
  <c r="G160" i="89"/>
  <c r="D162" i="89"/>
  <c r="E161" i="89"/>
  <c r="F161" i="89" s="1"/>
  <c r="K161" i="89"/>
  <c r="C161" i="89" s="1"/>
  <c r="G221" i="53"/>
  <c r="F222" i="53"/>
  <c r="H221" i="53"/>
  <c r="H150" i="53"/>
  <c r="G150" i="53"/>
  <c r="F151" i="53"/>
  <c r="D102" i="94" l="1"/>
  <c r="E101" i="94"/>
  <c r="F101" i="94" s="1"/>
  <c r="K101" i="94"/>
  <c r="C101" i="94" s="1"/>
  <c r="D104" i="96"/>
  <c r="K103" i="96"/>
  <c r="C103" i="96" s="1"/>
  <c r="R66" i="96"/>
  <c r="S65" i="96"/>
  <c r="D102" i="95"/>
  <c r="K101" i="95"/>
  <c r="E101" i="95"/>
  <c r="F101" i="95" s="1"/>
  <c r="G100" i="94"/>
  <c r="H100" i="94"/>
  <c r="G100" i="95"/>
  <c r="H100" i="95"/>
  <c r="R96" i="95"/>
  <c r="T95" i="95"/>
  <c r="U95" i="95" s="1"/>
  <c r="Q97" i="95"/>
  <c r="S96" i="95"/>
  <c r="H66" i="96"/>
  <c r="G66" i="96"/>
  <c r="E67" i="96"/>
  <c r="F67" i="96" s="1"/>
  <c r="S105" i="94"/>
  <c r="U104" i="94"/>
  <c r="V104" i="94" s="1"/>
  <c r="T105" i="94"/>
  <c r="R106" i="94"/>
  <c r="T106" i="94" s="1"/>
  <c r="D163" i="92"/>
  <c r="K162" i="92"/>
  <c r="C162" i="92" s="1"/>
  <c r="E162" i="92"/>
  <c r="F162" i="92" s="1"/>
  <c r="H161" i="92"/>
  <c r="G161" i="92"/>
  <c r="H66" i="92"/>
  <c r="G66" i="92"/>
  <c r="D68" i="92"/>
  <c r="E67" i="92"/>
  <c r="F67" i="92" s="1"/>
  <c r="K67" i="92"/>
  <c r="C67" i="92" s="1"/>
  <c r="H161" i="89"/>
  <c r="G161" i="89"/>
  <c r="D163" i="89"/>
  <c r="E162" i="89"/>
  <c r="F162" i="89" s="1"/>
  <c r="K162" i="89"/>
  <c r="C162" i="89" s="1"/>
  <c r="H222" i="53"/>
  <c r="F223" i="53"/>
  <c r="G222" i="53"/>
  <c r="H151" i="53"/>
  <c r="F152" i="53"/>
  <c r="G151" i="53"/>
  <c r="Q98" i="95" l="1"/>
  <c r="S97" i="95"/>
  <c r="H101" i="95"/>
  <c r="G101" i="95"/>
  <c r="D105" i="96"/>
  <c r="K104" i="96"/>
  <c r="C104" i="96" s="1"/>
  <c r="R97" i="95"/>
  <c r="T96" i="95"/>
  <c r="U96" i="95" s="1"/>
  <c r="D103" i="95"/>
  <c r="K102" i="95"/>
  <c r="E102" i="95"/>
  <c r="F102" i="95" s="1"/>
  <c r="G101" i="94"/>
  <c r="H101" i="94"/>
  <c r="R67" i="96"/>
  <c r="S66" i="96"/>
  <c r="D103" i="94"/>
  <c r="C102" i="94"/>
  <c r="E102" i="94"/>
  <c r="F102" i="94" s="1"/>
  <c r="K102" i="94"/>
  <c r="E68" i="96"/>
  <c r="F68" i="96" s="1"/>
  <c r="H67" i="96"/>
  <c r="G67" i="96"/>
  <c r="U105" i="94"/>
  <c r="V105" i="94" s="1"/>
  <c r="S106" i="94"/>
  <c r="H162" i="92"/>
  <c r="G162" i="92"/>
  <c r="D69" i="92"/>
  <c r="E68" i="92"/>
  <c r="F68" i="92" s="1"/>
  <c r="K68" i="92"/>
  <c r="C68" i="92" s="1"/>
  <c r="H67" i="92"/>
  <c r="G67" i="92"/>
  <c r="D164" i="92"/>
  <c r="K163" i="92"/>
  <c r="C163" i="92" s="1"/>
  <c r="E163" i="92"/>
  <c r="F163" i="92" s="1"/>
  <c r="H162" i="89"/>
  <c r="G162" i="89"/>
  <c r="D164" i="89"/>
  <c r="E163" i="89"/>
  <c r="F163" i="89" s="1"/>
  <c r="K163" i="89"/>
  <c r="C163" i="89" s="1"/>
  <c r="F224" i="53"/>
  <c r="G223" i="53"/>
  <c r="H223" i="53"/>
  <c r="H152" i="53"/>
  <c r="F153" i="53"/>
  <c r="G152" i="53"/>
  <c r="D104" i="94" l="1"/>
  <c r="K103" i="94"/>
  <c r="C103" i="94" s="1"/>
  <c r="E103" i="94"/>
  <c r="F103" i="94" s="1"/>
  <c r="D106" i="96"/>
  <c r="K105" i="96"/>
  <c r="C105" i="96" s="1"/>
  <c r="G102" i="95"/>
  <c r="H102" i="95"/>
  <c r="D104" i="95"/>
  <c r="E103" i="95"/>
  <c r="F103" i="95" s="1"/>
  <c r="K103" i="95"/>
  <c r="H102" i="94"/>
  <c r="G102" i="94"/>
  <c r="R68" i="96"/>
  <c r="S67" i="96"/>
  <c r="R98" i="95"/>
  <c r="T97" i="95"/>
  <c r="U97" i="95" s="1"/>
  <c r="Q99" i="95"/>
  <c r="S98" i="95"/>
  <c r="G68" i="96"/>
  <c r="H68" i="96"/>
  <c r="E69" i="96"/>
  <c r="F69" i="96" s="1"/>
  <c r="R107" i="94"/>
  <c r="U106" i="94"/>
  <c r="V106" i="94" s="1"/>
  <c r="H68" i="92"/>
  <c r="G68" i="92"/>
  <c r="D70" i="92"/>
  <c r="E69" i="92"/>
  <c r="F69" i="92" s="1"/>
  <c r="K69" i="92"/>
  <c r="C69" i="92" s="1"/>
  <c r="D165" i="92"/>
  <c r="K164" i="92"/>
  <c r="C164" i="92" s="1"/>
  <c r="E164" i="92"/>
  <c r="F164" i="92" s="1"/>
  <c r="H163" i="92"/>
  <c r="G163" i="92"/>
  <c r="H163" i="89"/>
  <c r="G163" i="89"/>
  <c r="D165" i="89"/>
  <c r="E164" i="89"/>
  <c r="F164" i="89" s="1"/>
  <c r="K164" i="89"/>
  <c r="C164" i="89" s="1"/>
  <c r="H224" i="53"/>
  <c r="G224" i="53"/>
  <c r="F225" i="53"/>
  <c r="F154" i="53"/>
  <c r="G153" i="53"/>
  <c r="H153" i="53"/>
  <c r="Q100" i="95" l="1"/>
  <c r="S99" i="95"/>
  <c r="R99" i="95"/>
  <c r="T98" i="95"/>
  <c r="U98" i="95" s="1"/>
  <c r="H103" i="95"/>
  <c r="G103" i="95"/>
  <c r="D107" i="96"/>
  <c r="K106" i="96"/>
  <c r="C106" i="96" s="1"/>
  <c r="G103" i="94"/>
  <c r="H103" i="94"/>
  <c r="R69" i="96"/>
  <c r="S68" i="96"/>
  <c r="D105" i="95"/>
  <c r="E104" i="95"/>
  <c r="F104" i="95" s="1"/>
  <c r="K104" i="95"/>
  <c r="D105" i="94"/>
  <c r="C104" i="94"/>
  <c r="E104" i="94"/>
  <c r="F104" i="94" s="1"/>
  <c r="K104" i="94"/>
  <c r="E70" i="96"/>
  <c r="F70" i="96" s="1"/>
  <c r="G69" i="96"/>
  <c r="H69" i="96"/>
  <c r="R108" i="94"/>
  <c r="S107" i="94"/>
  <c r="T107" i="94"/>
  <c r="H164" i="92"/>
  <c r="G164" i="92"/>
  <c r="H69" i="92"/>
  <c r="G69" i="92"/>
  <c r="D71" i="92"/>
  <c r="E70" i="92"/>
  <c r="F70" i="92" s="1"/>
  <c r="K70" i="92"/>
  <c r="C70" i="92" s="1"/>
  <c r="D166" i="92"/>
  <c r="K165" i="92"/>
  <c r="C165" i="92" s="1"/>
  <c r="E165" i="92"/>
  <c r="F165" i="92" s="1"/>
  <c r="H164" i="89"/>
  <c r="G164" i="89"/>
  <c r="D166" i="89"/>
  <c r="E165" i="89"/>
  <c r="F165" i="89" s="1"/>
  <c r="K165" i="89"/>
  <c r="C165" i="89" s="1"/>
  <c r="F226" i="53"/>
  <c r="H225" i="53"/>
  <c r="G225" i="53"/>
  <c r="H154" i="53"/>
  <c r="G154" i="53"/>
  <c r="R100" i="95" l="1"/>
  <c r="T99" i="95"/>
  <c r="U99" i="95" s="1"/>
  <c r="G104" i="94"/>
  <c r="H104" i="94"/>
  <c r="D106" i="94"/>
  <c r="C105" i="94"/>
  <c r="K105" i="94"/>
  <c r="E105" i="94"/>
  <c r="F105" i="94" s="1"/>
  <c r="R70" i="96"/>
  <c r="S70" i="96" s="1"/>
  <c r="R71" i="96" s="1"/>
  <c r="S69" i="96"/>
  <c r="H104" i="95"/>
  <c r="G104" i="95"/>
  <c r="C166" i="92"/>
  <c r="D106" i="95"/>
  <c r="K105" i="95"/>
  <c r="E105" i="95"/>
  <c r="F105" i="95" s="1"/>
  <c r="D108" i="96"/>
  <c r="K107" i="96"/>
  <c r="C107" i="96" s="1"/>
  <c r="Q101" i="95"/>
  <c r="S100" i="95"/>
  <c r="G70" i="96"/>
  <c r="H70" i="96"/>
  <c r="E71" i="96"/>
  <c r="F71" i="96" s="1"/>
  <c r="S108" i="94"/>
  <c r="U107" i="94"/>
  <c r="V107" i="94" s="1"/>
  <c r="R109" i="94"/>
  <c r="T108" i="94"/>
  <c r="D167" i="92"/>
  <c r="K166" i="92"/>
  <c r="E166" i="92"/>
  <c r="F166" i="92" s="1"/>
  <c r="H165" i="92"/>
  <c r="G165" i="92"/>
  <c r="H70" i="92"/>
  <c r="G70" i="92"/>
  <c r="E71" i="92"/>
  <c r="F71" i="92" s="1"/>
  <c r="D72" i="92"/>
  <c r="K71" i="92"/>
  <c r="C71" i="92" s="1"/>
  <c r="H165" i="89"/>
  <c r="G165" i="89"/>
  <c r="D167" i="89"/>
  <c r="E166" i="89"/>
  <c r="F166" i="89" s="1"/>
  <c r="K166" i="89"/>
  <c r="C166" i="89" s="1"/>
  <c r="H226" i="53"/>
  <c r="G226" i="53"/>
  <c r="D107" i="94" l="1"/>
  <c r="E106" i="94"/>
  <c r="F106" i="94" s="1"/>
  <c r="K106" i="94"/>
  <c r="C106" i="94" s="1"/>
  <c r="Q102" i="95"/>
  <c r="S101" i="95"/>
  <c r="D109" i="96"/>
  <c r="C108" i="96"/>
  <c r="K108" i="96"/>
  <c r="G105" i="95"/>
  <c r="H105" i="95"/>
  <c r="R72" i="96"/>
  <c r="S71" i="96"/>
  <c r="R101" i="95"/>
  <c r="T100" i="95"/>
  <c r="U100" i="95" s="1"/>
  <c r="G105" i="94"/>
  <c r="H105" i="94"/>
  <c r="D107" i="95"/>
  <c r="K106" i="95"/>
  <c r="E106" i="95"/>
  <c r="F106" i="95" s="1"/>
  <c r="G71" i="96"/>
  <c r="H71" i="96"/>
  <c r="E72" i="96"/>
  <c r="F72" i="96" s="1"/>
  <c r="T109" i="94"/>
  <c r="R110" i="94"/>
  <c r="S109" i="94"/>
  <c r="U108" i="94"/>
  <c r="V108" i="94" s="1"/>
  <c r="H71" i="92"/>
  <c r="G71" i="92"/>
  <c r="H166" i="92"/>
  <c r="G166" i="92"/>
  <c r="E72" i="92"/>
  <c r="F72" i="92" s="1"/>
  <c r="K72" i="92"/>
  <c r="C72" i="92" s="1"/>
  <c r="D73" i="92"/>
  <c r="D168" i="92"/>
  <c r="K167" i="92"/>
  <c r="C167" i="92" s="1"/>
  <c r="E167" i="92"/>
  <c r="F167" i="92" s="1"/>
  <c r="H166" i="89"/>
  <c r="G166" i="89"/>
  <c r="D168" i="89"/>
  <c r="E167" i="89"/>
  <c r="F167" i="89" s="1"/>
  <c r="K167" i="89"/>
  <c r="C167" i="89" s="1"/>
  <c r="F24" i="86"/>
  <c r="R73" i="96" l="1"/>
  <c r="S72" i="96"/>
  <c r="D108" i="95"/>
  <c r="K107" i="95"/>
  <c r="E107" i="95"/>
  <c r="F107" i="95" s="1"/>
  <c r="Q103" i="95"/>
  <c r="S102" i="95"/>
  <c r="H106" i="94"/>
  <c r="G106" i="94"/>
  <c r="H106" i="95"/>
  <c r="G106" i="95"/>
  <c r="R102" i="95"/>
  <c r="T101" i="95"/>
  <c r="U101" i="95" s="1"/>
  <c r="D110" i="96"/>
  <c r="C109" i="96"/>
  <c r="K109" i="96"/>
  <c r="D108" i="94"/>
  <c r="K107" i="94"/>
  <c r="C107" i="94" s="1"/>
  <c r="E107" i="94"/>
  <c r="F107" i="94" s="1"/>
  <c r="E73" i="96"/>
  <c r="F73" i="96" s="1"/>
  <c r="G72" i="96"/>
  <c r="H72" i="96"/>
  <c r="U109" i="94"/>
  <c r="V109" i="94" s="1"/>
  <c r="S110" i="94"/>
  <c r="R111" i="94"/>
  <c r="T110" i="94"/>
  <c r="E168" i="92"/>
  <c r="F168" i="92" s="1"/>
  <c r="K168" i="92"/>
  <c r="C168" i="92" s="1"/>
  <c r="D169" i="92"/>
  <c r="E73" i="92"/>
  <c r="F73" i="92" s="1"/>
  <c r="K73" i="92"/>
  <c r="C73" i="92" s="1"/>
  <c r="D74" i="92"/>
  <c r="H167" i="92"/>
  <c r="G167" i="92"/>
  <c r="G72" i="92"/>
  <c r="H72" i="92"/>
  <c r="H167" i="89"/>
  <c r="G167" i="89"/>
  <c r="K168" i="89"/>
  <c r="C168" i="89" s="1"/>
  <c r="E168" i="89"/>
  <c r="F168" i="89" s="1"/>
  <c r="D169" i="89"/>
  <c r="F25" i="86"/>
  <c r="H24" i="86"/>
  <c r="G24" i="86"/>
  <c r="Q104" i="95" l="1"/>
  <c r="S103" i="95"/>
  <c r="D109" i="94"/>
  <c r="E108" i="94"/>
  <c r="F108" i="94" s="1"/>
  <c r="K108" i="94"/>
  <c r="C108" i="94" s="1"/>
  <c r="G107" i="95"/>
  <c r="H107" i="95"/>
  <c r="D111" i="96"/>
  <c r="K110" i="96"/>
  <c r="C110" i="96" s="1"/>
  <c r="D109" i="95"/>
  <c r="E108" i="95"/>
  <c r="F108" i="95" s="1"/>
  <c r="K108" i="95"/>
  <c r="G107" i="94"/>
  <c r="H107" i="94"/>
  <c r="R103" i="95"/>
  <c r="T102" i="95"/>
  <c r="U102" i="95" s="1"/>
  <c r="R74" i="96"/>
  <c r="S73" i="96"/>
  <c r="G73" i="96"/>
  <c r="H73" i="96"/>
  <c r="E74" i="96"/>
  <c r="F74" i="96" s="1"/>
  <c r="R112" i="94"/>
  <c r="T111" i="94"/>
  <c r="S111" i="94"/>
  <c r="U110" i="94"/>
  <c r="V110" i="94" s="1"/>
  <c r="G73" i="92"/>
  <c r="H73" i="92"/>
  <c r="E169" i="92"/>
  <c r="F169" i="92" s="1"/>
  <c r="K169" i="92"/>
  <c r="C169" i="92" s="1"/>
  <c r="D170" i="92"/>
  <c r="E74" i="92"/>
  <c r="F74" i="92" s="1"/>
  <c r="K74" i="92"/>
  <c r="C74" i="92" s="1"/>
  <c r="D75" i="92"/>
  <c r="G168" i="92"/>
  <c r="H168" i="92"/>
  <c r="G168" i="89"/>
  <c r="H168" i="89"/>
  <c r="K169" i="89"/>
  <c r="C169" i="89" s="1"/>
  <c r="E169" i="89"/>
  <c r="F169" i="89" s="1"/>
  <c r="D170" i="89"/>
  <c r="H25" i="86"/>
  <c r="G25" i="86"/>
  <c r="F26" i="86"/>
  <c r="R75" i="96" l="1"/>
  <c r="S74" i="96"/>
  <c r="C170" i="92"/>
  <c r="R104" i="95"/>
  <c r="T103" i="95"/>
  <c r="U103" i="95" s="1"/>
  <c r="D110" i="95"/>
  <c r="K109" i="95"/>
  <c r="E109" i="95"/>
  <c r="F109" i="95" s="1"/>
  <c r="D110" i="94"/>
  <c r="C109" i="94"/>
  <c r="K109" i="94"/>
  <c r="E109" i="94"/>
  <c r="F109" i="94" s="1"/>
  <c r="H108" i="95"/>
  <c r="G108" i="95"/>
  <c r="H108" i="94"/>
  <c r="G108" i="94"/>
  <c r="D112" i="96"/>
  <c r="C111" i="96"/>
  <c r="K111" i="96"/>
  <c r="Q105" i="95"/>
  <c r="S104" i="95"/>
  <c r="E75" i="96"/>
  <c r="F75" i="96" s="1"/>
  <c r="H74" i="96"/>
  <c r="G74" i="96"/>
  <c r="S112" i="94"/>
  <c r="U111" i="94"/>
  <c r="V111" i="94" s="1"/>
  <c r="R113" i="94"/>
  <c r="T112" i="94"/>
  <c r="E75" i="92"/>
  <c r="F75" i="92" s="1"/>
  <c r="K75" i="92"/>
  <c r="C75" i="92" s="1"/>
  <c r="D76" i="92"/>
  <c r="G169" i="92"/>
  <c r="H169" i="92"/>
  <c r="G74" i="92"/>
  <c r="H74" i="92"/>
  <c r="E170" i="92"/>
  <c r="F170" i="92" s="1"/>
  <c r="K170" i="92"/>
  <c r="D171" i="92"/>
  <c r="G169" i="89"/>
  <c r="H169" i="89"/>
  <c r="K170" i="89"/>
  <c r="C170" i="89" s="1"/>
  <c r="E170" i="89"/>
  <c r="F170" i="89" s="1"/>
  <c r="D171" i="89"/>
  <c r="F27" i="86"/>
  <c r="H26" i="86"/>
  <c r="G26" i="86"/>
  <c r="Q106" i="95" l="1"/>
  <c r="S106" i="95" s="1"/>
  <c r="S105" i="95"/>
  <c r="D111" i="95"/>
  <c r="E110" i="95"/>
  <c r="F110" i="95" s="1"/>
  <c r="K110" i="95"/>
  <c r="H109" i="94"/>
  <c r="G109" i="94"/>
  <c r="R105" i="95"/>
  <c r="T104" i="95"/>
  <c r="U104" i="95" s="1"/>
  <c r="D113" i="96"/>
  <c r="K112" i="96"/>
  <c r="C112" i="96" s="1"/>
  <c r="D111" i="94"/>
  <c r="E110" i="94"/>
  <c r="F110" i="94" s="1"/>
  <c r="K110" i="94"/>
  <c r="C110" i="94" s="1"/>
  <c r="G109" i="95"/>
  <c r="H109" i="95"/>
  <c r="R76" i="96"/>
  <c r="S75" i="96"/>
  <c r="G75" i="96"/>
  <c r="H75" i="96"/>
  <c r="E76" i="96"/>
  <c r="F76" i="96" s="1"/>
  <c r="S113" i="94"/>
  <c r="U112" i="94"/>
  <c r="V112" i="94" s="1"/>
  <c r="T113" i="94"/>
  <c r="R114" i="94"/>
  <c r="G170" i="92"/>
  <c r="H170" i="92"/>
  <c r="E76" i="92"/>
  <c r="F76" i="92" s="1"/>
  <c r="K76" i="92"/>
  <c r="C76" i="92" s="1"/>
  <c r="D77" i="92"/>
  <c r="E171" i="92"/>
  <c r="F171" i="92" s="1"/>
  <c r="K171" i="92"/>
  <c r="C171" i="92" s="1"/>
  <c r="D172" i="92"/>
  <c r="G75" i="92"/>
  <c r="H75" i="92"/>
  <c r="G170" i="89"/>
  <c r="H170" i="89"/>
  <c r="K171" i="89"/>
  <c r="C171" i="89" s="1"/>
  <c r="E171" i="89"/>
  <c r="F171" i="89" s="1"/>
  <c r="D172" i="89"/>
  <c r="F28" i="86"/>
  <c r="H27" i="86"/>
  <c r="G27" i="86"/>
  <c r="R77" i="96" l="1"/>
  <c r="S76" i="96"/>
  <c r="R106" i="95"/>
  <c r="T105" i="95"/>
  <c r="U105" i="95" s="1"/>
  <c r="D114" i="96"/>
  <c r="K113" i="96"/>
  <c r="C113" i="96" s="1"/>
  <c r="H110" i="95"/>
  <c r="G110" i="95"/>
  <c r="G110" i="94"/>
  <c r="H110" i="94"/>
  <c r="D112" i="95"/>
  <c r="E111" i="95"/>
  <c r="F111" i="95" s="1"/>
  <c r="K111" i="95"/>
  <c r="D112" i="94"/>
  <c r="C111" i="94"/>
  <c r="K111" i="94"/>
  <c r="E111" i="94"/>
  <c r="F111" i="94" s="1"/>
  <c r="E77" i="96"/>
  <c r="F77" i="96" s="1"/>
  <c r="T35" i="96"/>
  <c r="G76" i="96"/>
  <c r="H76" i="96"/>
  <c r="U113" i="94"/>
  <c r="V113" i="94" s="1"/>
  <c r="S114" i="94"/>
  <c r="R115" i="94"/>
  <c r="T114" i="94"/>
  <c r="G76" i="92"/>
  <c r="H76" i="92"/>
  <c r="E172" i="92"/>
  <c r="F172" i="92" s="1"/>
  <c r="K172" i="92"/>
  <c r="C172" i="92" s="1"/>
  <c r="D173" i="92"/>
  <c r="G171" i="92"/>
  <c r="H171" i="92"/>
  <c r="E77" i="92"/>
  <c r="F77" i="92" s="1"/>
  <c r="K77" i="92"/>
  <c r="C77" i="92" s="1"/>
  <c r="D78" i="92"/>
  <c r="G171" i="89"/>
  <c r="H171" i="89"/>
  <c r="K172" i="89"/>
  <c r="C172" i="89" s="1"/>
  <c r="E172" i="89"/>
  <c r="F172" i="89" s="1"/>
  <c r="D173" i="89"/>
  <c r="H28" i="86"/>
  <c r="G28" i="86"/>
  <c r="G111" i="95" l="1"/>
  <c r="H111" i="95"/>
  <c r="D113" i="95"/>
  <c r="K112" i="95"/>
  <c r="E112" i="95"/>
  <c r="F112" i="95" s="1"/>
  <c r="D115" i="96"/>
  <c r="K114" i="96"/>
  <c r="C114" i="96" s="1"/>
  <c r="D113" i="94"/>
  <c r="E112" i="94"/>
  <c r="F112" i="94" s="1"/>
  <c r="K112" i="94"/>
  <c r="C112" i="94" s="1"/>
  <c r="Q107" i="95"/>
  <c r="T106" i="95"/>
  <c r="U106" i="95" s="1"/>
  <c r="H111" i="94"/>
  <c r="G111" i="94"/>
  <c r="R78" i="96"/>
  <c r="S77" i="96"/>
  <c r="U35" i="96"/>
  <c r="V35" i="96" s="1"/>
  <c r="T36" i="96"/>
  <c r="G77" i="96"/>
  <c r="H77" i="96"/>
  <c r="E78" i="96"/>
  <c r="F78" i="96" s="1"/>
  <c r="R116" i="94"/>
  <c r="T115" i="94"/>
  <c r="S115" i="94"/>
  <c r="U114" i="94"/>
  <c r="V114" i="94" s="1"/>
  <c r="G77" i="92"/>
  <c r="H77" i="92"/>
  <c r="G172" i="92"/>
  <c r="H172" i="92"/>
  <c r="E78" i="92"/>
  <c r="F78" i="92" s="1"/>
  <c r="K78" i="92"/>
  <c r="C78" i="92" s="1"/>
  <c r="D79" i="92"/>
  <c r="E173" i="92"/>
  <c r="F173" i="92" s="1"/>
  <c r="K173" i="92"/>
  <c r="C173" i="92" s="1"/>
  <c r="D174" i="92"/>
  <c r="G172" i="89"/>
  <c r="H172" i="89"/>
  <c r="K173" i="89"/>
  <c r="C173" i="89" s="1"/>
  <c r="E173" i="89"/>
  <c r="F173" i="89" s="1"/>
  <c r="D174" i="89"/>
  <c r="R107" i="95" l="1"/>
  <c r="Q108" i="95"/>
  <c r="S107" i="95"/>
  <c r="D116" i="96"/>
  <c r="K115" i="96"/>
  <c r="C115" i="96" s="1"/>
  <c r="H112" i="95"/>
  <c r="G112" i="95"/>
  <c r="R79" i="96"/>
  <c r="S78" i="96"/>
  <c r="G112" i="94"/>
  <c r="H112" i="94"/>
  <c r="D114" i="94"/>
  <c r="C113" i="94"/>
  <c r="K113" i="94"/>
  <c r="E113" i="94"/>
  <c r="F113" i="94" s="1"/>
  <c r="D114" i="95"/>
  <c r="E113" i="95"/>
  <c r="F113" i="95" s="1"/>
  <c r="K113" i="95"/>
  <c r="C174" i="89"/>
  <c r="T37" i="96"/>
  <c r="E79" i="96"/>
  <c r="F79" i="96" s="1"/>
  <c r="G78" i="96"/>
  <c r="H78" i="96"/>
  <c r="U36" i="96"/>
  <c r="V36" i="96" s="1"/>
  <c r="S116" i="94"/>
  <c r="U115" i="94"/>
  <c r="V115" i="94" s="1"/>
  <c r="R117" i="94"/>
  <c r="T116" i="94"/>
  <c r="G173" i="92"/>
  <c r="H173" i="92"/>
  <c r="E79" i="92"/>
  <c r="F79" i="92" s="1"/>
  <c r="K79" i="92"/>
  <c r="C79" i="92" s="1"/>
  <c r="D80" i="92"/>
  <c r="E174" i="92"/>
  <c r="F174" i="92" s="1"/>
  <c r="K174" i="92"/>
  <c r="C174" i="92" s="1"/>
  <c r="D175" i="92"/>
  <c r="G78" i="92"/>
  <c r="H78" i="92"/>
  <c r="G173" i="89"/>
  <c r="H173" i="89"/>
  <c r="K174" i="89"/>
  <c r="E174" i="89"/>
  <c r="F174" i="89" s="1"/>
  <c r="D175" i="89"/>
  <c r="D115" i="94" l="1"/>
  <c r="E114" i="94"/>
  <c r="F114" i="94" s="1"/>
  <c r="K114" i="94"/>
  <c r="C114" i="94" s="1"/>
  <c r="G113" i="95"/>
  <c r="H113" i="95"/>
  <c r="D117" i="96"/>
  <c r="K116" i="96"/>
  <c r="C116" i="96" s="1"/>
  <c r="D115" i="95"/>
  <c r="K114" i="95"/>
  <c r="E114" i="95"/>
  <c r="F114" i="95" s="1"/>
  <c r="Q109" i="95"/>
  <c r="S108" i="95"/>
  <c r="G113" i="94"/>
  <c r="H113" i="94"/>
  <c r="R80" i="96"/>
  <c r="S79" i="96"/>
  <c r="R108" i="95"/>
  <c r="T107" i="95"/>
  <c r="U107" i="95" s="1"/>
  <c r="U37" i="96"/>
  <c r="V37" i="96" s="1"/>
  <c r="G79" i="96"/>
  <c r="H79" i="96"/>
  <c r="E80" i="96"/>
  <c r="F80" i="96" s="1"/>
  <c r="T38" i="96"/>
  <c r="U116" i="94"/>
  <c r="V116" i="94" s="1"/>
  <c r="S117" i="94"/>
  <c r="T117" i="94"/>
  <c r="R118" i="94"/>
  <c r="T118" i="94" s="1"/>
  <c r="E175" i="92"/>
  <c r="F175" i="92" s="1"/>
  <c r="K175" i="92"/>
  <c r="C175" i="92" s="1"/>
  <c r="D176" i="92"/>
  <c r="G79" i="92"/>
  <c r="H79" i="92"/>
  <c r="G174" i="92"/>
  <c r="H174" i="92"/>
  <c r="E80" i="92"/>
  <c r="F80" i="92" s="1"/>
  <c r="K80" i="92"/>
  <c r="C80" i="92" s="1"/>
  <c r="D81" i="92"/>
  <c r="G174" i="89"/>
  <c r="H174" i="89"/>
  <c r="K175" i="89"/>
  <c r="C175" i="89" s="1"/>
  <c r="E175" i="89"/>
  <c r="F175" i="89" s="1"/>
  <c r="D176" i="89"/>
  <c r="H114" i="95" l="1"/>
  <c r="G114" i="95"/>
  <c r="D118" i="96"/>
  <c r="K117" i="96"/>
  <c r="C117" i="96" s="1"/>
  <c r="R109" i="95"/>
  <c r="T108" i="95"/>
  <c r="U108" i="95" s="1"/>
  <c r="R81" i="96"/>
  <c r="S80" i="96"/>
  <c r="D116" i="95"/>
  <c r="K115" i="95"/>
  <c r="E115" i="95"/>
  <c r="F115" i="95" s="1"/>
  <c r="H114" i="94"/>
  <c r="G114" i="94"/>
  <c r="Q110" i="95"/>
  <c r="S109" i="95"/>
  <c r="D116" i="94"/>
  <c r="C115" i="94"/>
  <c r="E115" i="94"/>
  <c r="F115" i="94" s="1"/>
  <c r="K115" i="94"/>
  <c r="U38" i="96"/>
  <c r="V38" i="96" s="1"/>
  <c r="E81" i="96"/>
  <c r="F81" i="96" s="1"/>
  <c r="T39" i="96"/>
  <c r="H80" i="96"/>
  <c r="G80" i="96"/>
  <c r="U117" i="94"/>
  <c r="V117" i="94" s="1"/>
  <c r="S118" i="94"/>
  <c r="E176" i="92"/>
  <c r="F176" i="92" s="1"/>
  <c r="K176" i="92"/>
  <c r="C176" i="92" s="1"/>
  <c r="D177" i="92"/>
  <c r="E81" i="92"/>
  <c r="F81" i="92" s="1"/>
  <c r="K81" i="92"/>
  <c r="C81" i="92" s="1"/>
  <c r="D82" i="92"/>
  <c r="G80" i="92"/>
  <c r="H80" i="92"/>
  <c r="G175" i="92"/>
  <c r="H175" i="92"/>
  <c r="G175" i="89"/>
  <c r="H175" i="89"/>
  <c r="K176" i="89"/>
  <c r="C176" i="89" s="1"/>
  <c r="E176" i="89"/>
  <c r="F176" i="89" s="1"/>
  <c r="D177" i="89"/>
  <c r="D117" i="94" l="1"/>
  <c r="E116" i="94"/>
  <c r="F116" i="94" s="1"/>
  <c r="K116" i="94"/>
  <c r="C116" i="94" s="1"/>
  <c r="Q111" i="95"/>
  <c r="S110" i="95"/>
  <c r="D117" i="95"/>
  <c r="K116" i="95"/>
  <c r="E116" i="95"/>
  <c r="F116" i="95" s="1"/>
  <c r="D119" i="96"/>
  <c r="K118" i="96"/>
  <c r="C118" i="96" s="1"/>
  <c r="R82" i="96"/>
  <c r="S82" i="96" s="1"/>
  <c r="R83" i="96" s="1"/>
  <c r="S81" i="96"/>
  <c r="G115" i="95"/>
  <c r="H115" i="95"/>
  <c r="R110" i="95"/>
  <c r="T109" i="95"/>
  <c r="U109" i="95" s="1"/>
  <c r="G115" i="94"/>
  <c r="H115" i="94"/>
  <c r="U39" i="96"/>
  <c r="V39" i="96" s="1"/>
  <c r="G81" i="96"/>
  <c r="H81" i="96"/>
  <c r="E82" i="96"/>
  <c r="F82" i="96" s="1"/>
  <c r="T40" i="96"/>
  <c r="U118" i="94"/>
  <c r="V118" i="94" s="1"/>
  <c r="R119" i="94"/>
  <c r="G81" i="92"/>
  <c r="H81" i="92"/>
  <c r="E177" i="92"/>
  <c r="F177" i="92" s="1"/>
  <c r="K177" i="92"/>
  <c r="C177" i="92" s="1"/>
  <c r="D178" i="92"/>
  <c r="E82" i="92"/>
  <c r="F82" i="92" s="1"/>
  <c r="K82" i="92"/>
  <c r="C82" i="92" s="1"/>
  <c r="D83" i="92"/>
  <c r="G176" i="92"/>
  <c r="H176" i="92"/>
  <c r="G176" i="89"/>
  <c r="H176" i="89"/>
  <c r="K177" i="89"/>
  <c r="C177" i="89" s="1"/>
  <c r="E177" i="89"/>
  <c r="F177" i="89" s="1"/>
  <c r="D178" i="89"/>
  <c r="D118" i="95" l="1"/>
  <c r="E117" i="95"/>
  <c r="F117" i="95" s="1"/>
  <c r="K117" i="95"/>
  <c r="Q112" i="95"/>
  <c r="S111" i="95"/>
  <c r="R111" i="95"/>
  <c r="T110" i="95"/>
  <c r="U110" i="95" s="1"/>
  <c r="H116" i="95"/>
  <c r="G116" i="95"/>
  <c r="G116" i="94"/>
  <c r="H116" i="94"/>
  <c r="D120" i="96"/>
  <c r="K119" i="96"/>
  <c r="C119" i="96" s="1"/>
  <c r="S83" i="96"/>
  <c r="R84" i="96"/>
  <c r="D118" i="94"/>
  <c r="C117" i="94"/>
  <c r="E117" i="94"/>
  <c r="F117" i="94" s="1"/>
  <c r="K117" i="94"/>
  <c r="T41" i="96"/>
  <c r="E83" i="96"/>
  <c r="F83" i="96" s="1"/>
  <c r="G82" i="96"/>
  <c r="H82" i="96"/>
  <c r="U40" i="96"/>
  <c r="V40" i="96" s="1"/>
  <c r="R120" i="94"/>
  <c r="S119" i="94"/>
  <c r="T119" i="94"/>
  <c r="G177" i="92"/>
  <c r="H177" i="92"/>
  <c r="E83" i="92"/>
  <c r="F83" i="92" s="1"/>
  <c r="D84" i="92"/>
  <c r="K83" i="92"/>
  <c r="C83" i="92" s="1"/>
  <c r="G82" i="92"/>
  <c r="H82" i="92"/>
  <c r="E178" i="92"/>
  <c r="F178" i="92" s="1"/>
  <c r="K178" i="92"/>
  <c r="C178" i="92" s="1"/>
  <c r="D179" i="92"/>
  <c r="K178" i="89"/>
  <c r="C178" i="89" s="1"/>
  <c r="E178" i="89"/>
  <c r="F178" i="89" s="1"/>
  <c r="D179" i="89"/>
  <c r="G177" i="89"/>
  <c r="H177" i="89"/>
  <c r="Q113" i="95" l="1"/>
  <c r="S112" i="95"/>
  <c r="D119" i="94"/>
  <c r="E118" i="94"/>
  <c r="F118" i="94" s="1"/>
  <c r="K118" i="94"/>
  <c r="C118" i="94" s="1"/>
  <c r="R85" i="96"/>
  <c r="S84" i="96"/>
  <c r="C179" i="92"/>
  <c r="G117" i="95"/>
  <c r="H117" i="95"/>
  <c r="R112" i="95"/>
  <c r="T111" i="95"/>
  <c r="U111" i="95" s="1"/>
  <c r="D119" i="95"/>
  <c r="K118" i="95"/>
  <c r="E118" i="95"/>
  <c r="F118" i="95" s="1"/>
  <c r="H117" i="94"/>
  <c r="G117" i="94"/>
  <c r="D121" i="96"/>
  <c r="K120" i="96"/>
  <c r="C120" i="96" s="1"/>
  <c r="E84" i="96"/>
  <c r="F84" i="96" s="1"/>
  <c r="G83" i="96"/>
  <c r="H83" i="96"/>
  <c r="U41" i="96"/>
  <c r="V41" i="96" s="1"/>
  <c r="T42" i="96"/>
  <c r="S120" i="94"/>
  <c r="U119" i="94"/>
  <c r="V119" i="94" s="1"/>
  <c r="R121" i="94"/>
  <c r="T120" i="94"/>
  <c r="E179" i="92"/>
  <c r="F179" i="92" s="1"/>
  <c r="D180" i="92"/>
  <c r="K179" i="92"/>
  <c r="G178" i="92"/>
  <c r="H178" i="92"/>
  <c r="D85" i="92"/>
  <c r="K84" i="92"/>
  <c r="C84" i="92" s="1"/>
  <c r="E84" i="92"/>
  <c r="F84" i="92" s="1"/>
  <c r="G83" i="92"/>
  <c r="H83" i="92"/>
  <c r="G178" i="89"/>
  <c r="H178" i="89"/>
  <c r="D180" i="89"/>
  <c r="K179" i="89"/>
  <c r="C179" i="89" s="1"/>
  <c r="E179" i="89"/>
  <c r="F179" i="89" s="1"/>
  <c r="D122" i="96" l="1"/>
  <c r="K121" i="96"/>
  <c r="C121" i="96" s="1"/>
  <c r="R113" i="95"/>
  <c r="T112" i="95"/>
  <c r="U112" i="95" s="1"/>
  <c r="H118" i="94"/>
  <c r="G118" i="94"/>
  <c r="G118" i="95"/>
  <c r="H118" i="95"/>
  <c r="D120" i="94"/>
  <c r="C119" i="94"/>
  <c r="E119" i="94"/>
  <c r="F119" i="94" s="1"/>
  <c r="K119" i="94"/>
  <c r="D120" i="95"/>
  <c r="K119" i="95"/>
  <c r="E119" i="95"/>
  <c r="F119" i="95" s="1"/>
  <c r="R86" i="96"/>
  <c r="S85" i="96"/>
  <c r="Q114" i="95"/>
  <c r="S113" i="95"/>
  <c r="U42" i="96"/>
  <c r="V42" i="96" s="1"/>
  <c r="H84" i="96"/>
  <c r="G84" i="96"/>
  <c r="T43" i="96"/>
  <c r="E85" i="96"/>
  <c r="F85" i="96" s="1"/>
  <c r="T121" i="94"/>
  <c r="R122" i="94"/>
  <c r="S121" i="94"/>
  <c r="U120" i="94"/>
  <c r="V120" i="94" s="1"/>
  <c r="H84" i="92"/>
  <c r="G84" i="92"/>
  <c r="D86" i="92"/>
  <c r="E85" i="92"/>
  <c r="F85" i="92" s="1"/>
  <c r="K85" i="92"/>
  <c r="C85" i="92" s="1"/>
  <c r="D181" i="92"/>
  <c r="E180" i="92"/>
  <c r="F180" i="92" s="1"/>
  <c r="K180" i="92"/>
  <c r="C180" i="92" s="1"/>
  <c r="G179" i="92"/>
  <c r="H179" i="92"/>
  <c r="D181" i="89"/>
  <c r="K180" i="89"/>
  <c r="C180" i="89" s="1"/>
  <c r="E180" i="89"/>
  <c r="F180" i="89" s="1"/>
  <c r="G179" i="89"/>
  <c r="H179" i="89"/>
  <c r="R87" i="96" l="1"/>
  <c r="S86" i="96"/>
  <c r="H119" i="94"/>
  <c r="G119" i="94"/>
  <c r="H119" i="95"/>
  <c r="G119" i="95"/>
  <c r="D121" i="94"/>
  <c r="E120" i="94"/>
  <c r="F120" i="94" s="1"/>
  <c r="K120" i="94"/>
  <c r="C120" i="94" s="1"/>
  <c r="R114" i="95"/>
  <c r="T113" i="95"/>
  <c r="U113" i="95" s="1"/>
  <c r="D121" i="95"/>
  <c r="E120" i="95"/>
  <c r="F120" i="95" s="1"/>
  <c r="K120" i="95"/>
  <c r="Q115" i="95"/>
  <c r="S114" i="95"/>
  <c r="D123" i="96"/>
  <c r="K122" i="96"/>
  <c r="C122" i="96" s="1"/>
  <c r="T44" i="96"/>
  <c r="E86" i="96"/>
  <c r="F86" i="96" s="1"/>
  <c r="G85" i="96"/>
  <c r="H85" i="96"/>
  <c r="U43" i="96"/>
  <c r="V43" i="96" s="1"/>
  <c r="U121" i="94"/>
  <c r="V121" i="94" s="1"/>
  <c r="S122" i="94"/>
  <c r="T122" i="94"/>
  <c r="R123" i="94"/>
  <c r="H180" i="92"/>
  <c r="G180" i="92"/>
  <c r="D87" i="92"/>
  <c r="E86" i="92"/>
  <c r="F86" i="92" s="1"/>
  <c r="K86" i="92"/>
  <c r="C86" i="92" s="1"/>
  <c r="H85" i="92"/>
  <c r="G85" i="92"/>
  <c r="D182" i="92"/>
  <c r="K181" i="92"/>
  <c r="C181" i="92" s="1"/>
  <c r="E181" i="92"/>
  <c r="F181" i="92" s="1"/>
  <c r="H180" i="89"/>
  <c r="G180" i="89"/>
  <c r="D182" i="89"/>
  <c r="E181" i="89"/>
  <c r="F181" i="89" s="1"/>
  <c r="K181" i="89"/>
  <c r="C181" i="89" s="1"/>
  <c r="D124" i="96" l="1"/>
  <c r="K123" i="96"/>
  <c r="C123" i="96" s="1"/>
  <c r="Q116" i="95"/>
  <c r="S115" i="95"/>
  <c r="R115" i="95"/>
  <c r="T114" i="95"/>
  <c r="U114" i="95" s="1"/>
  <c r="H120" i="94"/>
  <c r="G120" i="94"/>
  <c r="H120" i="95"/>
  <c r="G120" i="95"/>
  <c r="R88" i="96"/>
  <c r="S87" i="96"/>
  <c r="D122" i="94"/>
  <c r="E121" i="94"/>
  <c r="F121" i="94" s="1"/>
  <c r="K121" i="94"/>
  <c r="C121" i="94" s="1"/>
  <c r="D122" i="95"/>
  <c r="K121" i="95"/>
  <c r="E121" i="95"/>
  <c r="F121" i="95" s="1"/>
  <c r="U44" i="96"/>
  <c r="V44" i="96" s="1"/>
  <c r="H86" i="96"/>
  <c r="G86" i="96"/>
  <c r="E87" i="96"/>
  <c r="F87" i="96" s="1"/>
  <c r="T45" i="96"/>
  <c r="S123" i="94"/>
  <c r="U122" i="94"/>
  <c r="V122" i="94" s="1"/>
  <c r="R124" i="94"/>
  <c r="T123" i="94"/>
  <c r="H181" i="92"/>
  <c r="G181" i="92"/>
  <c r="D183" i="92"/>
  <c r="K182" i="92"/>
  <c r="C182" i="92" s="1"/>
  <c r="E182" i="92"/>
  <c r="F182" i="92" s="1"/>
  <c r="H86" i="92"/>
  <c r="G86" i="92"/>
  <c r="D88" i="92"/>
  <c r="E87" i="92"/>
  <c r="F87" i="92" s="1"/>
  <c r="K87" i="92"/>
  <c r="C87" i="92" s="1"/>
  <c r="H181" i="89"/>
  <c r="G181" i="89"/>
  <c r="D183" i="89"/>
  <c r="E182" i="89"/>
  <c r="F182" i="89" s="1"/>
  <c r="K182" i="89"/>
  <c r="C182" i="89" s="1"/>
  <c r="R116" i="95" l="1"/>
  <c r="T115" i="95"/>
  <c r="U115" i="95" s="1"/>
  <c r="D123" i="95"/>
  <c r="K122" i="95"/>
  <c r="E122" i="95"/>
  <c r="F122" i="95" s="1"/>
  <c r="R89" i="96"/>
  <c r="S88" i="96"/>
  <c r="Q117" i="95"/>
  <c r="S116" i="95"/>
  <c r="G121" i="94"/>
  <c r="H121" i="94"/>
  <c r="D123" i="94"/>
  <c r="E122" i="94"/>
  <c r="F122" i="94" s="1"/>
  <c r="K122" i="94"/>
  <c r="C122" i="94" s="1"/>
  <c r="G121" i="95"/>
  <c r="H121" i="95"/>
  <c r="D125" i="96"/>
  <c r="C124" i="96"/>
  <c r="K124" i="96"/>
  <c r="H87" i="96"/>
  <c r="G87" i="96"/>
  <c r="E88" i="96"/>
  <c r="F88" i="96" s="1"/>
  <c r="T46" i="96"/>
  <c r="U46" i="96"/>
  <c r="U45" i="96"/>
  <c r="V45" i="96" s="1"/>
  <c r="T124" i="94"/>
  <c r="R125" i="94"/>
  <c r="S124" i="94"/>
  <c r="U123" i="94"/>
  <c r="V123" i="94" s="1"/>
  <c r="D89" i="92"/>
  <c r="E88" i="92"/>
  <c r="F88" i="92" s="1"/>
  <c r="K88" i="92"/>
  <c r="C88" i="92" s="1"/>
  <c r="D184" i="92"/>
  <c r="K183" i="92"/>
  <c r="C183" i="92" s="1"/>
  <c r="E183" i="92"/>
  <c r="F183" i="92" s="1"/>
  <c r="H87" i="92"/>
  <c r="G87" i="92"/>
  <c r="H182" i="92"/>
  <c r="G182" i="92"/>
  <c r="H182" i="89"/>
  <c r="G182" i="89"/>
  <c r="D184" i="89"/>
  <c r="E183" i="89"/>
  <c r="F183" i="89" s="1"/>
  <c r="K183" i="89"/>
  <c r="C183" i="89" s="1"/>
  <c r="D124" i="94" l="1"/>
  <c r="E123" i="94"/>
  <c r="F123" i="94" s="1"/>
  <c r="K123" i="94"/>
  <c r="C123" i="94" s="1"/>
  <c r="D126" i="96"/>
  <c r="K125" i="96"/>
  <c r="C125" i="96" s="1"/>
  <c r="R90" i="96"/>
  <c r="S89" i="96"/>
  <c r="G122" i="95"/>
  <c r="H122" i="95"/>
  <c r="D124" i="95"/>
  <c r="K123" i="95"/>
  <c r="E123" i="95"/>
  <c r="F123" i="95" s="1"/>
  <c r="H122" i="94"/>
  <c r="G122" i="94"/>
  <c r="Q118" i="95"/>
  <c r="S117" i="95"/>
  <c r="R117" i="95"/>
  <c r="T116" i="95"/>
  <c r="U116" i="95" s="1"/>
  <c r="H88" i="96"/>
  <c r="G88" i="96"/>
  <c r="V46" i="96"/>
  <c r="E89" i="96"/>
  <c r="F89" i="96" s="1"/>
  <c r="T47" i="96"/>
  <c r="S125" i="94"/>
  <c r="U124" i="94"/>
  <c r="V124" i="94" s="1"/>
  <c r="T125" i="94"/>
  <c r="R126" i="94"/>
  <c r="H88" i="92"/>
  <c r="G88" i="92"/>
  <c r="D185" i="92"/>
  <c r="K184" i="92"/>
  <c r="C184" i="92" s="1"/>
  <c r="E184" i="92"/>
  <c r="F184" i="92" s="1"/>
  <c r="H183" i="92"/>
  <c r="G183" i="92"/>
  <c r="D90" i="92"/>
  <c r="E89" i="92"/>
  <c r="F89" i="92" s="1"/>
  <c r="K89" i="92"/>
  <c r="C89" i="92" s="1"/>
  <c r="H183" i="89"/>
  <c r="G183" i="89"/>
  <c r="D185" i="89"/>
  <c r="E184" i="89"/>
  <c r="F184" i="89" s="1"/>
  <c r="K184" i="89"/>
  <c r="C184" i="89" s="1"/>
  <c r="Q119" i="95" l="1"/>
  <c r="S118" i="95"/>
  <c r="D125" i="95"/>
  <c r="E124" i="95"/>
  <c r="F124" i="95" s="1"/>
  <c r="K124" i="95"/>
  <c r="D127" i="96"/>
  <c r="C126" i="96"/>
  <c r="K126" i="96"/>
  <c r="G123" i="94"/>
  <c r="H123" i="94"/>
  <c r="C185" i="89"/>
  <c r="R118" i="95"/>
  <c r="T118" i="95" s="1"/>
  <c r="U118" i="95" s="1"/>
  <c r="T117" i="95"/>
  <c r="U117" i="95" s="1"/>
  <c r="G123" i="95"/>
  <c r="H123" i="95"/>
  <c r="R91" i="96"/>
  <c r="S90" i="96"/>
  <c r="D125" i="94"/>
  <c r="E124" i="94"/>
  <c r="F124" i="94" s="1"/>
  <c r="K124" i="94"/>
  <c r="C124" i="94" s="1"/>
  <c r="E90" i="96"/>
  <c r="F90" i="96" s="1"/>
  <c r="H89" i="96"/>
  <c r="G89" i="96"/>
  <c r="U47" i="96"/>
  <c r="V47" i="96" s="1"/>
  <c r="T48" i="96"/>
  <c r="U125" i="94"/>
  <c r="V125" i="94" s="1"/>
  <c r="S126" i="94"/>
  <c r="T126" i="94"/>
  <c r="R127" i="94"/>
  <c r="D91" i="92"/>
  <c r="E90" i="92"/>
  <c r="F90" i="92" s="1"/>
  <c r="K90" i="92"/>
  <c r="C90" i="92" s="1"/>
  <c r="D186" i="92"/>
  <c r="K185" i="92"/>
  <c r="C185" i="92" s="1"/>
  <c r="E185" i="92"/>
  <c r="F185" i="92" s="1"/>
  <c r="H89" i="92"/>
  <c r="G89" i="92"/>
  <c r="H184" i="92"/>
  <c r="G184" i="92"/>
  <c r="H184" i="89"/>
  <c r="G184" i="89"/>
  <c r="D186" i="89"/>
  <c r="E185" i="89"/>
  <c r="F185" i="89" s="1"/>
  <c r="K185" i="89"/>
  <c r="D126" i="94" l="1"/>
  <c r="E125" i="94"/>
  <c r="F125" i="94" s="1"/>
  <c r="K125" i="94"/>
  <c r="C125" i="94" s="1"/>
  <c r="D128" i="96"/>
  <c r="K127" i="96"/>
  <c r="C127" i="96" s="1"/>
  <c r="R92" i="96"/>
  <c r="S91" i="96"/>
  <c r="H124" i="95"/>
  <c r="G124" i="95"/>
  <c r="D126" i="95"/>
  <c r="K125" i="95"/>
  <c r="E125" i="95"/>
  <c r="F125" i="95" s="1"/>
  <c r="H124" i="94"/>
  <c r="G124" i="94"/>
  <c r="R119" i="95"/>
  <c r="Q120" i="95"/>
  <c r="S119" i="95"/>
  <c r="T49" i="96"/>
  <c r="H90" i="96"/>
  <c r="G90" i="96"/>
  <c r="U48" i="96"/>
  <c r="V48" i="96" s="1"/>
  <c r="E91" i="96"/>
  <c r="F91" i="96" s="1"/>
  <c r="S127" i="94"/>
  <c r="U126" i="94"/>
  <c r="V126" i="94" s="1"/>
  <c r="R128" i="94"/>
  <c r="T127" i="94"/>
  <c r="D187" i="92"/>
  <c r="K186" i="92"/>
  <c r="C186" i="92" s="1"/>
  <c r="E186" i="92"/>
  <c r="F186" i="92" s="1"/>
  <c r="H185" i="92"/>
  <c r="G185" i="92"/>
  <c r="H90" i="92"/>
  <c r="G90" i="92"/>
  <c r="D92" i="92"/>
  <c r="E91" i="92"/>
  <c r="F91" i="92" s="1"/>
  <c r="K91" i="92"/>
  <c r="C91" i="92" s="1"/>
  <c r="H185" i="89"/>
  <c r="G185" i="89"/>
  <c r="D187" i="89"/>
  <c r="E186" i="89"/>
  <c r="F186" i="89" s="1"/>
  <c r="K186" i="89"/>
  <c r="C186" i="89" s="1"/>
  <c r="D127" i="95" l="1"/>
  <c r="E126" i="95"/>
  <c r="F126" i="95" s="1"/>
  <c r="K126" i="95"/>
  <c r="D129" i="96"/>
  <c r="K128" i="96"/>
  <c r="C128" i="96" s="1"/>
  <c r="G125" i="94"/>
  <c r="H125" i="94"/>
  <c r="R120" i="95"/>
  <c r="T119" i="95"/>
  <c r="U119" i="95" s="1"/>
  <c r="R93" i="96"/>
  <c r="S92" i="96"/>
  <c r="G125" i="95"/>
  <c r="H125" i="95"/>
  <c r="D127" i="94"/>
  <c r="K126" i="94"/>
  <c r="C126" i="94" s="1"/>
  <c r="E126" i="94"/>
  <c r="F126" i="94" s="1"/>
  <c r="Q121" i="95"/>
  <c r="S120" i="95"/>
  <c r="T50" i="96"/>
  <c r="E92" i="96"/>
  <c r="F92" i="96" s="1"/>
  <c r="U49" i="96"/>
  <c r="V49" i="96" s="1"/>
  <c r="G91" i="96"/>
  <c r="H91" i="96"/>
  <c r="T128" i="94"/>
  <c r="R129" i="94"/>
  <c r="S128" i="94"/>
  <c r="U127" i="94"/>
  <c r="V127" i="94" s="1"/>
  <c r="D93" i="92"/>
  <c r="E92" i="92"/>
  <c r="F92" i="92" s="1"/>
  <c r="K92" i="92"/>
  <c r="C92" i="92" s="1"/>
  <c r="H186" i="92"/>
  <c r="G186" i="92"/>
  <c r="H91" i="92"/>
  <c r="G91" i="92"/>
  <c r="D188" i="92"/>
  <c r="K187" i="92"/>
  <c r="C187" i="92" s="1"/>
  <c r="E187" i="92"/>
  <c r="F187" i="92" s="1"/>
  <c r="H186" i="89"/>
  <c r="G186" i="89"/>
  <c r="D188" i="89"/>
  <c r="K187" i="89"/>
  <c r="C187" i="89" s="1"/>
  <c r="E187" i="89"/>
  <c r="F187" i="89" s="1"/>
  <c r="R94" i="96" l="1"/>
  <c r="S94" i="96" s="1"/>
  <c r="R95" i="96" s="1"/>
  <c r="R96" i="96" s="1"/>
  <c r="R97" i="96" s="1"/>
  <c r="R98" i="96" s="1"/>
  <c r="R99" i="96" s="1"/>
  <c r="R100" i="96" s="1"/>
  <c r="R101" i="96" s="1"/>
  <c r="R102" i="96" s="1"/>
  <c r="R103" i="96" s="1"/>
  <c r="R104" i="96" s="1"/>
  <c r="R105" i="96" s="1"/>
  <c r="R106" i="96" s="1"/>
  <c r="S93" i="96"/>
  <c r="Q122" i="95"/>
  <c r="S121" i="95"/>
  <c r="D130" i="96"/>
  <c r="K129" i="96"/>
  <c r="C129" i="96" s="1"/>
  <c r="H126" i="94"/>
  <c r="G126" i="94"/>
  <c r="R121" i="95"/>
  <c r="T120" i="95"/>
  <c r="U120" i="95" s="1"/>
  <c r="D128" i="94"/>
  <c r="C127" i="94"/>
  <c r="E127" i="94"/>
  <c r="F127" i="94" s="1"/>
  <c r="K127" i="94"/>
  <c r="H126" i="95"/>
  <c r="G126" i="95"/>
  <c r="C188" i="92"/>
  <c r="D128" i="95"/>
  <c r="E127" i="95"/>
  <c r="F127" i="95" s="1"/>
  <c r="K127" i="95"/>
  <c r="H92" i="96"/>
  <c r="G92" i="96"/>
  <c r="T51" i="96"/>
  <c r="E93" i="96"/>
  <c r="F93" i="96" s="1"/>
  <c r="U50" i="96"/>
  <c r="V50" i="96" s="1"/>
  <c r="U128" i="94"/>
  <c r="V128" i="94" s="1"/>
  <c r="S129" i="94"/>
  <c r="T129" i="94"/>
  <c r="R130" i="94"/>
  <c r="T130" i="94" s="1"/>
  <c r="H187" i="92"/>
  <c r="G187" i="92"/>
  <c r="D189" i="92"/>
  <c r="K188" i="92"/>
  <c r="E188" i="92"/>
  <c r="F188" i="92" s="1"/>
  <c r="H92" i="92"/>
  <c r="G92" i="92"/>
  <c r="D94" i="92"/>
  <c r="E93" i="92"/>
  <c r="F93" i="92" s="1"/>
  <c r="K93" i="92"/>
  <c r="C93" i="92" s="1"/>
  <c r="D189" i="89"/>
  <c r="E188" i="89"/>
  <c r="F188" i="89" s="1"/>
  <c r="K188" i="89"/>
  <c r="C188" i="89" s="1"/>
  <c r="H187" i="89"/>
  <c r="G187" i="89"/>
  <c r="D129" i="95" l="1"/>
  <c r="K128" i="95"/>
  <c r="E128" i="95"/>
  <c r="F128" i="95" s="1"/>
  <c r="D129" i="94"/>
  <c r="K128" i="94"/>
  <c r="C128" i="94" s="1"/>
  <c r="E128" i="94"/>
  <c r="F128" i="94" s="1"/>
  <c r="D131" i="96"/>
  <c r="K130" i="96"/>
  <c r="C130" i="96" s="1"/>
  <c r="R122" i="95"/>
  <c r="T121" i="95"/>
  <c r="U121" i="95" s="1"/>
  <c r="Q123" i="95"/>
  <c r="S122" i="95"/>
  <c r="G127" i="95"/>
  <c r="H127" i="95"/>
  <c r="H127" i="94"/>
  <c r="G127" i="94"/>
  <c r="T52" i="96"/>
  <c r="H93" i="96"/>
  <c r="G93" i="96"/>
  <c r="U51" i="96"/>
  <c r="V51" i="96" s="1"/>
  <c r="E94" i="96"/>
  <c r="F94" i="96" s="1"/>
  <c r="U129" i="94"/>
  <c r="V129" i="94" s="1"/>
  <c r="S130" i="94"/>
  <c r="D95" i="92"/>
  <c r="E94" i="92"/>
  <c r="F94" i="92" s="1"/>
  <c r="K94" i="92"/>
  <c r="C94" i="92" s="1"/>
  <c r="D190" i="92"/>
  <c r="K189" i="92"/>
  <c r="C189" i="92" s="1"/>
  <c r="E189" i="92"/>
  <c r="F189" i="92" s="1"/>
  <c r="H93" i="92"/>
  <c r="G93" i="92"/>
  <c r="H188" i="92"/>
  <c r="G188" i="92"/>
  <c r="H188" i="89"/>
  <c r="G188" i="89"/>
  <c r="D190" i="89"/>
  <c r="K189" i="89"/>
  <c r="C189" i="89" s="1"/>
  <c r="E189" i="89"/>
  <c r="F189" i="89" s="1"/>
  <c r="Q124" i="95" l="1"/>
  <c r="S123" i="95"/>
  <c r="R123" i="95"/>
  <c r="T122" i="95"/>
  <c r="U122" i="95" s="1"/>
  <c r="D130" i="94"/>
  <c r="C129" i="94"/>
  <c r="E129" i="94"/>
  <c r="F129" i="94" s="1"/>
  <c r="K129" i="94"/>
  <c r="H128" i="95"/>
  <c r="G128" i="95"/>
  <c r="D132" i="96"/>
  <c r="C131" i="96"/>
  <c r="K131" i="96"/>
  <c r="D130" i="95"/>
  <c r="E129" i="95"/>
  <c r="F129" i="95" s="1"/>
  <c r="K129" i="95"/>
  <c r="H128" i="94"/>
  <c r="G128" i="94"/>
  <c r="E95" i="96"/>
  <c r="F95" i="96" s="1"/>
  <c r="U52" i="96"/>
  <c r="V52" i="96" s="1"/>
  <c r="H94" i="96"/>
  <c r="G94" i="96"/>
  <c r="T53" i="96"/>
  <c r="U130" i="94"/>
  <c r="V130" i="94" s="1"/>
  <c r="R131" i="94"/>
  <c r="H189" i="92"/>
  <c r="G189" i="92"/>
  <c r="D191" i="92"/>
  <c r="K190" i="92"/>
  <c r="C190" i="92" s="1"/>
  <c r="E190" i="92"/>
  <c r="F190" i="92" s="1"/>
  <c r="H94" i="92"/>
  <c r="G94" i="92"/>
  <c r="E95" i="92"/>
  <c r="F95" i="92" s="1"/>
  <c r="D96" i="92"/>
  <c r="K95" i="92"/>
  <c r="C95" i="92" s="1"/>
  <c r="D191" i="89"/>
  <c r="E190" i="89"/>
  <c r="F190" i="89" s="1"/>
  <c r="K190" i="89"/>
  <c r="C190" i="89" s="1"/>
  <c r="H189" i="89"/>
  <c r="G189" i="89"/>
  <c r="D131" i="94" l="1"/>
  <c r="E130" i="94"/>
  <c r="F130" i="94" s="1"/>
  <c r="K130" i="94"/>
  <c r="C130" i="94" s="1"/>
  <c r="G129" i="94"/>
  <c r="H129" i="94"/>
  <c r="G129" i="95"/>
  <c r="H129" i="95"/>
  <c r="R124" i="95"/>
  <c r="T123" i="95"/>
  <c r="U123" i="95" s="1"/>
  <c r="D133" i="96"/>
  <c r="K132" i="96"/>
  <c r="C132" i="96" s="1"/>
  <c r="D131" i="95"/>
  <c r="K130" i="95"/>
  <c r="E130" i="95"/>
  <c r="F130" i="95" s="1"/>
  <c r="Q125" i="95"/>
  <c r="S124" i="95"/>
  <c r="U53" i="96"/>
  <c r="V53" i="96" s="1"/>
  <c r="H95" i="96"/>
  <c r="G95" i="96"/>
  <c r="T54" i="96"/>
  <c r="E96" i="96"/>
  <c r="F96" i="96" s="1"/>
  <c r="R132" i="94"/>
  <c r="T131" i="94"/>
  <c r="S131" i="94"/>
  <c r="H95" i="92"/>
  <c r="G95" i="92"/>
  <c r="D192" i="92"/>
  <c r="K191" i="92"/>
  <c r="C191" i="92" s="1"/>
  <c r="E191" i="92"/>
  <c r="F191" i="92" s="1"/>
  <c r="K96" i="92"/>
  <c r="C96" i="92" s="1"/>
  <c r="E96" i="92"/>
  <c r="F96" i="92" s="1"/>
  <c r="D97" i="92"/>
  <c r="H190" i="92"/>
  <c r="G190" i="92"/>
  <c r="H190" i="89"/>
  <c r="G190" i="89"/>
  <c r="K191" i="89"/>
  <c r="C191" i="89" s="1"/>
  <c r="E191" i="89"/>
  <c r="F191" i="89" s="1"/>
  <c r="D192" i="89"/>
  <c r="Q126" i="95" l="1"/>
  <c r="S125" i="95"/>
  <c r="D134" i="96"/>
  <c r="K133" i="96"/>
  <c r="C133" i="96" s="1"/>
  <c r="G130" i="95"/>
  <c r="H130" i="95"/>
  <c r="H130" i="94"/>
  <c r="G130" i="94"/>
  <c r="D132" i="95"/>
  <c r="K131" i="95"/>
  <c r="E131" i="95"/>
  <c r="F131" i="95" s="1"/>
  <c r="R125" i="95"/>
  <c r="T124" i="95"/>
  <c r="U124" i="95" s="1"/>
  <c r="D132" i="94"/>
  <c r="E131" i="94"/>
  <c r="F131" i="94" s="1"/>
  <c r="K131" i="94"/>
  <c r="C131" i="94" s="1"/>
  <c r="H96" i="96"/>
  <c r="G96" i="96"/>
  <c r="E97" i="96"/>
  <c r="F97" i="96" s="1"/>
  <c r="T55" i="96"/>
  <c r="U54" i="96"/>
  <c r="V54" i="96" s="1"/>
  <c r="S132" i="94"/>
  <c r="U131" i="94"/>
  <c r="V131" i="94" s="1"/>
  <c r="T132" i="94"/>
  <c r="R133" i="94"/>
  <c r="K97" i="92"/>
  <c r="C97" i="92" s="1"/>
  <c r="E97" i="92"/>
  <c r="F97" i="92" s="1"/>
  <c r="D98" i="92"/>
  <c r="G96" i="92"/>
  <c r="H96" i="92"/>
  <c r="K192" i="92"/>
  <c r="C192" i="92" s="1"/>
  <c r="E192" i="92"/>
  <c r="F192" i="92" s="1"/>
  <c r="D193" i="92"/>
  <c r="H191" i="92"/>
  <c r="G191" i="92"/>
  <c r="H191" i="89"/>
  <c r="G191" i="89"/>
  <c r="E192" i="89"/>
  <c r="F192" i="89" s="1"/>
  <c r="D193" i="89"/>
  <c r="K192" i="89"/>
  <c r="C192" i="89" s="1"/>
  <c r="G131" i="95" l="1"/>
  <c r="H131" i="95"/>
  <c r="G131" i="94"/>
  <c r="H131" i="94"/>
  <c r="D133" i="94"/>
  <c r="C132" i="94"/>
  <c r="E132" i="94"/>
  <c r="F132" i="94" s="1"/>
  <c r="K132" i="94"/>
  <c r="D133" i="95"/>
  <c r="K132" i="95"/>
  <c r="E132" i="95"/>
  <c r="F132" i="95" s="1"/>
  <c r="C193" i="92"/>
  <c r="D135" i="96"/>
  <c r="K134" i="96"/>
  <c r="C134" i="96" s="1"/>
  <c r="R126" i="95"/>
  <c r="T125" i="95"/>
  <c r="U125" i="95" s="1"/>
  <c r="Q127" i="95"/>
  <c r="S126" i="95"/>
  <c r="T56" i="96"/>
  <c r="E98" i="96"/>
  <c r="F98" i="96" s="1"/>
  <c r="U55" i="96"/>
  <c r="V55" i="96" s="1"/>
  <c r="G97" i="96"/>
  <c r="H97" i="96"/>
  <c r="T133" i="94"/>
  <c r="R134" i="94"/>
  <c r="U132" i="94"/>
  <c r="V132" i="94" s="1"/>
  <c r="S133" i="94"/>
  <c r="K193" i="92"/>
  <c r="E193" i="92"/>
  <c r="F193" i="92" s="1"/>
  <c r="D194" i="92"/>
  <c r="G192" i="92"/>
  <c r="H192" i="92"/>
  <c r="K98" i="92"/>
  <c r="C98" i="92" s="1"/>
  <c r="E98" i="92"/>
  <c r="F98" i="92" s="1"/>
  <c r="D99" i="92"/>
  <c r="G97" i="92"/>
  <c r="H97" i="92"/>
  <c r="E193" i="89"/>
  <c r="F193" i="89" s="1"/>
  <c r="D194" i="89"/>
  <c r="K193" i="89"/>
  <c r="C193" i="89" s="1"/>
  <c r="G192" i="89"/>
  <c r="H192" i="89"/>
  <c r="D136" i="96" l="1"/>
  <c r="K135" i="96"/>
  <c r="C135" i="96" s="1"/>
  <c r="H132" i="94"/>
  <c r="G132" i="94"/>
  <c r="D134" i="94"/>
  <c r="C133" i="94"/>
  <c r="E133" i="94"/>
  <c r="F133" i="94" s="1"/>
  <c r="K133" i="94"/>
  <c r="R127" i="95"/>
  <c r="T126" i="95"/>
  <c r="U126" i="95" s="1"/>
  <c r="G132" i="95"/>
  <c r="H132" i="95"/>
  <c r="C194" i="92"/>
  <c r="Q128" i="95"/>
  <c r="S127" i="95"/>
  <c r="D134" i="95"/>
  <c r="E133" i="95"/>
  <c r="F133" i="95" s="1"/>
  <c r="K133" i="95"/>
  <c r="H98" i="96"/>
  <c r="G98" i="96"/>
  <c r="E99" i="96"/>
  <c r="F99" i="96" s="1"/>
  <c r="U56" i="96"/>
  <c r="V56" i="96" s="1"/>
  <c r="T57" i="96"/>
  <c r="U133" i="94"/>
  <c r="V133" i="94" s="1"/>
  <c r="S134" i="94"/>
  <c r="R135" i="94"/>
  <c r="T134" i="94"/>
  <c r="K99" i="92"/>
  <c r="C99" i="92" s="1"/>
  <c r="E99" i="92"/>
  <c r="F99" i="92" s="1"/>
  <c r="D100" i="92"/>
  <c r="G98" i="92"/>
  <c r="H98" i="92"/>
  <c r="K194" i="92"/>
  <c r="E194" i="92"/>
  <c r="F194" i="92" s="1"/>
  <c r="D195" i="92"/>
  <c r="G193" i="92"/>
  <c r="H193" i="92"/>
  <c r="E194" i="89"/>
  <c r="F194" i="89" s="1"/>
  <c r="K194" i="89"/>
  <c r="C194" i="89" s="1"/>
  <c r="D195" i="89"/>
  <c r="H193" i="89"/>
  <c r="G193" i="89"/>
  <c r="D135" i="94" l="1"/>
  <c r="E134" i="94"/>
  <c r="F134" i="94" s="1"/>
  <c r="K134" i="94"/>
  <c r="C134" i="94" s="1"/>
  <c r="H133" i="95"/>
  <c r="G133" i="95"/>
  <c r="D135" i="95"/>
  <c r="K134" i="95"/>
  <c r="E134" i="95"/>
  <c r="F134" i="95" s="1"/>
  <c r="R128" i="95"/>
  <c r="T127" i="95"/>
  <c r="U127" i="95" s="1"/>
  <c r="Q129" i="95"/>
  <c r="S128" i="95"/>
  <c r="G133" i="94"/>
  <c r="H133" i="94"/>
  <c r="D137" i="96"/>
  <c r="C136" i="96"/>
  <c r="K136" i="96"/>
  <c r="G99" i="96"/>
  <c r="H99" i="96"/>
  <c r="E100" i="96"/>
  <c r="F100" i="96" s="1"/>
  <c r="T58" i="96"/>
  <c r="U57" i="96"/>
  <c r="V57" i="96" s="1"/>
  <c r="U58" i="96"/>
  <c r="R136" i="94"/>
  <c r="T135" i="94"/>
  <c r="U134" i="94"/>
  <c r="V134" i="94" s="1"/>
  <c r="S135" i="94"/>
  <c r="K100" i="92"/>
  <c r="C100" i="92" s="1"/>
  <c r="E100" i="92"/>
  <c r="F100" i="92" s="1"/>
  <c r="D101" i="92"/>
  <c r="K195" i="92"/>
  <c r="C195" i="92" s="1"/>
  <c r="E195" i="92"/>
  <c r="F195" i="92" s="1"/>
  <c r="D196" i="92"/>
  <c r="G194" i="92"/>
  <c r="H194" i="92"/>
  <c r="G99" i="92"/>
  <c r="H99" i="92"/>
  <c r="E195" i="89"/>
  <c r="F195" i="89" s="1"/>
  <c r="D196" i="89"/>
  <c r="K195" i="89"/>
  <c r="C195" i="89" s="1"/>
  <c r="G194" i="89"/>
  <c r="H194" i="89"/>
  <c r="Q130" i="95" l="1"/>
  <c r="S130" i="95" s="1"/>
  <c r="S129" i="95"/>
  <c r="D138" i="96"/>
  <c r="K137" i="96"/>
  <c r="C137" i="96" s="1"/>
  <c r="R129" i="95"/>
  <c r="T128" i="95"/>
  <c r="U128" i="95" s="1"/>
  <c r="H134" i="95"/>
  <c r="G134" i="95"/>
  <c r="G134" i="94"/>
  <c r="H134" i="94"/>
  <c r="D136" i="95"/>
  <c r="K135" i="95"/>
  <c r="E135" i="95"/>
  <c r="F135" i="95" s="1"/>
  <c r="D136" i="94"/>
  <c r="C135" i="94"/>
  <c r="K135" i="94"/>
  <c r="E135" i="94"/>
  <c r="F135" i="94" s="1"/>
  <c r="V58" i="96"/>
  <c r="T59" i="96"/>
  <c r="G100" i="96"/>
  <c r="H100" i="96"/>
  <c r="E101" i="96"/>
  <c r="F101" i="96" s="1"/>
  <c r="S136" i="94"/>
  <c r="U135" i="94"/>
  <c r="V135" i="94" s="1"/>
  <c r="R137" i="94"/>
  <c r="T136" i="94"/>
  <c r="K101" i="92"/>
  <c r="C101" i="92" s="1"/>
  <c r="E101" i="92"/>
  <c r="F101" i="92" s="1"/>
  <c r="D102" i="92"/>
  <c r="K196" i="92"/>
  <c r="C196" i="92" s="1"/>
  <c r="E196" i="92"/>
  <c r="F196" i="92" s="1"/>
  <c r="D197" i="92"/>
  <c r="G100" i="92"/>
  <c r="H100" i="92"/>
  <c r="G195" i="92"/>
  <c r="H195" i="92"/>
  <c r="E196" i="89"/>
  <c r="F196" i="89" s="1"/>
  <c r="K196" i="89"/>
  <c r="C196" i="89" s="1"/>
  <c r="D197" i="89"/>
  <c r="H195" i="89"/>
  <c r="G195" i="89"/>
  <c r="R130" i="95" l="1"/>
  <c r="T129" i="95"/>
  <c r="U129" i="95" s="1"/>
  <c r="D137" i="94"/>
  <c r="C136" i="94"/>
  <c r="E136" i="94"/>
  <c r="F136" i="94" s="1"/>
  <c r="K136" i="94"/>
  <c r="G135" i="95"/>
  <c r="H135" i="95"/>
  <c r="D139" i="96"/>
  <c r="K138" i="96"/>
  <c r="C138" i="96" s="1"/>
  <c r="H135" i="94"/>
  <c r="G135" i="94"/>
  <c r="D137" i="95"/>
  <c r="K136" i="95"/>
  <c r="E136" i="95"/>
  <c r="F136" i="95" s="1"/>
  <c r="U59" i="96"/>
  <c r="V59" i="96" s="1"/>
  <c r="E102" i="96"/>
  <c r="F102" i="96" s="1"/>
  <c r="T60" i="96"/>
  <c r="G101" i="96"/>
  <c r="H101" i="96"/>
  <c r="T137" i="94"/>
  <c r="R138" i="94"/>
  <c r="S137" i="94"/>
  <c r="U136" i="94"/>
  <c r="V136" i="94" s="1"/>
  <c r="K102" i="92"/>
  <c r="C102" i="92" s="1"/>
  <c r="E102" i="92"/>
  <c r="F102" i="92" s="1"/>
  <c r="D103" i="92"/>
  <c r="K197" i="92"/>
  <c r="C197" i="92" s="1"/>
  <c r="E197" i="92"/>
  <c r="F197" i="92" s="1"/>
  <c r="D198" i="92"/>
  <c r="G101" i="92"/>
  <c r="H101" i="92"/>
  <c r="G196" i="92"/>
  <c r="H196" i="92"/>
  <c r="E197" i="89"/>
  <c r="F197" i="89" s="1"/>
  <c r="D198" i="89"/>
  <c r="K197" i="89"/>
  <c r="C197" i="89" s="1"/>
  <c r="G196" i="89"/>
  <c r="H196" i="89"/>
  <c r="D138" i="94" l="1"/>
  <c r="K137" i="94"/>
  <c r="C137" i="94" s="1"/>
  <c r="E137" i="94"/>
  <c r="F137" i="94" s="1"/>
  <c r="D140" i="96"/>
  <c r="C139" i="96"/>
  <c r="K139" i="96"/>
  <c r="D138" i="95"/>
  <c r="K137" i="95"/>
  <c r="E137" i="95"/>
  <c r="F137" i="95" s="1"/>
  <c r="Q131" i="95"/>
  <c r="T130" i="95"/>
  <c r="U130" i="95" s="1"/>
  <c r="H136" i="94"/>
  <c r="G136" i="94"/>
  <c r="G136" i="95"/>
  <c r="H136" i="95"/>
  <c r="C198" i="89"/>
  <c r="T61" i="96"/>
  <c r="H102" i="96"/>
  <c r="G102" i="96"/>
  <c r="E103" i="96"/>
  <c r="F103" i="96" s="1"/>
  <c r="U60" i="96"/>
  <c r="V60" i="96" s="1"/>
  <c r="U137" i="94"/>
  <c r="V137" i="94" s="1"/>
  <c r="S138" i="94"/>
  <c r="R139" i="94"/>
  <c r="T138" i="94"/>
  <c r="K103" i="92"/>
  <c r="C103" i="92" s="1"/>
  <c r="E103" i="92"/>
  <c r="F103" i="92" s="1"/>
  <c r="D104" i="92"/>
  <c r="K198" i="92"/>
  <c r="C198" i="92" s="1"/>
  <c r="E198" i="92"/>
  <c r="F198" i="92" s="1"/>
  <c r="D199" i="92"/>
  <c r="G102" i="92"/>
  <c r="H102" i="92"/>
  <c r="G197" i="92"/>
  <c r="H197" i="92"/>
  <c r="E198" i="89"/>
  <c r="F198" i="89" s="1"/>
  <c r="K198" i="89"/>
  <c r="D199" i="89"/>
  <c r="H197" i="89"/>
  <c r="G197" i="89"/>
  <c r="Q132" i="95" l="1"/>
  <c r="R131" i="95"/>
  <c r="S131" i="95"/>
  <c r="D141" i="96"/>
  <c r="K140" i="96"/>
  <c r="C140" i="96" s="1"/>
  <c r="G137" i="95"/>
  <c r="H137" i="95"/>
  <c r="H137" i="94"/>
  <c r="G137" i="94"/>
  <c r="D139" i="95"/>
  <c r="K138" i="95"/>
  <c r="E138" i="95"/>
  <c r="F138" i="95" s="1"/>
  <c r="D139" i="94"/>
  <c r="E138" i="94"/>
  <c r="F138" i="94" s="1"/>
  <c r="K138" i="94"/>
  <c r="C138" i="94" s="1"/>
  <c r="U61" i="96"/>
  <c r="V61" i="96" s="1"/>
  <c r="E104" i="96"/>
  <c r="F104" i="96" s="1"/>
  <c r="G103" i="96"/>
  <c r="H103" i="96"/>
  <c r="T62" i="96"/>
  <c r="R140" i="94"/>
  <c r="T139" i="94"/>
  <c r="S139" i="94"/>
  <c r="U138" i="94"/>
  <c r="V138" i="94" s="1"/>
  <c r="K104" i="92"/>
  <c r="C104" i="92" s="1"/>
  <c r="E104" i="92"/>
  <c r="F104" i="92" s="1"/>
  <c r="D105" i="92"/>
  <c r="G103" i="92"/>
  <c r="H103" i="92"/>
  <c r="K199" i="92"/>
  <c r="C199" i="92" s="1"/>
  <c r="E199" i="92"/>
  <c r="F199" i="92" s="1"/>
  <c r="D200" i="92"/>
  <c r="G198" i="92"/>
  <c r="H198" i="92"/>
  <c r="E199" i="89"/>
  <c r="F199" i="89" s="1"/>
  <c r="D200" i="89"/>
  <c r="K199" i="89"/>
  <c r="C199" i="89" s="1"/>
  <c r="G198" i="89"/>
  <c r="H198" i="89"/>
  <c r="H138" i="94" l="1"/>
  <c r="G138" i="94"/>
  <c r="D142" i="96"/>
  <c r="K141" i="96"/>
  <c r="C141" i="96" s="1"/>
  <c r="D140" i="94"/>
  <c r="C139" i="94"/>
  <c r="K139" i="94"/>
  <c r="E139" i="94"/>
  <c r="F139" i="94" s="1"/>
  <c r="H138" i="95"/>
  <c r="G138" i="95"/>
  <c r="R132" i="95"/>
  <c r="T131" i="95"/>
  <c r="U131" i="95" s="1"/>
  <c r="D140" i="95"/>
  <c r="E139" i="95"/>
  <c r="F139" i="95" s="1"/>
  <c r="K139" i="95"/>
  <c r="Q133" i="95"/>
  <c r="S132" i="95"/>
  <c r="C200" i="92"/>
  <c r="G104" i="96"/>
  <c r="H104" i="96"/>
  <c r="E105" i="96"/>
  <c r="F105" i="96" s="1"/>
  <c r="T63" i="96"/>
  <c r="U62" i="96"/>
  <c r="V62" i="96" s="1"/>
  <c r="S140" i="94"/>
  <c r="U139" i="94"/>
  <c r="V139" i="94" s="1"/>
  <c r="R141" i="94"/>
  <c r="T140" i="94"/>
  <c r="K200" i="92"/>
  <c r="E200" i="92"/>
  <c r="F200" i="92" s="1"/>
  <c r="D201" i="92"/>
  <c r="G199" i="92"/>
  <c r="H199" i="92"/>
  <c r="K105" i="92"/>
  <c r="C105" i="92" s="1"/>
  <c r="E105" i="92"/>
  <c r="F105" i="92" s="1"/>
  <c r="D106" i="92"/>
  <c r="G104" i="92"/>
  <c r="H104" i="92"/>
  <c r="E200" i="89"/>
  <c r="F200" i="89" s="1"/>
  <c r="K200" i="89"/>
  <c r="C200" i="89" s="1"/>
  <c r="D201" i="89"/>
  <c r="H199" i="89"/>
  <c r="G199" i="89"/>
  <c r="D141" i="94" l="1"/>
  <c r="E140" i="94"/>
  <c r="F140" i="94" s="1"/>
  <c r="K140" i="94"/>
  <c r="C140" i="94" s="1"/>
  <c r="R133" i="95"/>
  <c r="T132" i="95"/>
  <c r="U132" i="95" s="1"/>
  <c r="C201" i="92"/>
  <c r="Q134" i="95"/>
  <c r="S133" i="95"/>
  <c r="D143" i="96"/>
  <c r="C142" i="96"/>
  <c r="K142" i="96"/>
  <c r="G139" i="95"/>
  <c r="H139" i="95"/>
  <c r="G139" i="94"/>
  <c r="H139" i="94"/>
  <c r="D141" i="95"/>
  <c r="E140" i="95"/>
  <c r="F140" i="95" s="1"/>
  <c r="K140" i="95"/>
  <c r="T64" i="96"/>
  <c r="E106" i="96"/>
  <c r="F106" i="96" s="1"/>
  <c r="G105" i="96"/>
  <c r="H105" i="96"/>
  <c r="U63" i="96"/>
  <c r="V63" i="96" s="1"/>
  <c r="T141" i="94"/>
  <c r="R142" i="94"/>
  <c r="T142" i="94" s="1"/>
  <c r="S141" i="94"/>
  <c r="U140" i="94"/>
  <c r="V140" i="94" s="1"/>
  <c r="K106" i="92"/>
  <c r="C106" i="92" s="1"/>
  <c r="E106" i="92"/>
  <c r="F106" i="92" s="1"/>
  <c r="G105" i="92"/>
  <c r="H105" i="92"/>
  <c r="K201" i="92"/>
  <c r="E201" i="92"/>
  <c r="F201" i="92" s="1"/>
  <c r="D202" i="92"/>
  <c r="G200" i="92"/>
  <c r="H200" i="92"/>
  <c r="E201" i="89"/>
  <c r="F201" i="89" s="1"/>
  <c r="D202" i="89"/>
  <c r="K201" i="89"/>
  <c r="C201" i="89" s="1"/>
  <c r="G200" i="89"/>
  <c r="H200" i="89"/>
  <c r="H140" i="95" l="1"/>
  <c r="G140" i="95"/>
  <c r="R134" i="95"/>
  <c r="T133" i="95"/>
  <c r="U133" i="95" s="1"/>
  <c r="D142" i="95"/>
  <c r="K141" i="95"/>
  <c r="E141" i="95"/>
  <c r="F141" i="95" s="1"/>
  <c r="D144" i="96"/>
  <c r="K143" i="96"/>
  <c r="C143" i="96" s="1"/>
  <c r="G140" i="94"/>
  <c r="H140" i="94"/>
  <c r="D142" i="94"/>
  <c r="E141" i="94"/>
  <c r="F141" i="94" s="1"/>
  <c r="K141" i="94"/>
  <c r="C141" i="94" s="1"/>
  <c r="Q135" i="95"/>
  <c r="S134" i="95"/>
  <c r="G106" i="96"/>
  <c r="H106" i="96"/>
  <c r="U64" i="96"/>
  <c r="V64" i="96" s="1"/>
  <c r="E107" i="96"/>
  <c r="F107" i="96" s="1"/>
  <c r="T65" i="96"/>
  <c r="U141" i="94"/>
  <c r="V141" i="94" s="1"/>
  <c r="S142" i="94"/>
  <c r="G201" i="92"/>
  <c r="H201" i="92"/>
  <c r="K202" i="92"/>
  <c r="C202" i="92" s="1"/>
  <c r="E202" i="92"/>
  <c r="F202" i="92" s="1"/>
  <c r="G106" i="92"/>
  <c r="H106" i="92"/>
  <c r="E202" i="89"/>
  <c r="F202" i="89" s="1"/>
  <c r="K202" i="89"/>
  <c r="C202" i="89" s="1"/>
  <c r="H201" i="89"/>
  <c r="G201" i="89"/>
  <c r="Q136" i="95" l="1"/>
  <c r="S135" i="95"/>
  <c r="R135" i="95"/>
  <c r="T134" i="95"/>
  <c r="U134" i="95" s="1"/>
  <c r="G141" i="94"/>
  <c r="H141" i="94"/>
  <c r="D145" i="96"/>
  <c r="K144" i="96"/>
  <c r="C144" i="96" s="1"/>
  <c r="G141" i="95"/>
  <c r="H141" i="95"/>
  <c r="D143" i="95"/>
  <c r="K142" i="95"/>
  <c r="E142" i="95"/>
  <c r="F142" i="95" s="1"/>
  <c r="D143" i="94"/>
  <c r="E142" i="94"/>
  <c r="F142" i="94" s="1"/>
  <c r="K142" i="94"/>
  <c r="C142" i="94" s="1"/>
  <c r="G107" i="96"/>
  <c r="H107" i="96"/>
  <c r="E108" i="96"/>
  <c r="F108" i="96" s="1"/>
  <c r="T66" i="96"/>
  <c r="U65" i="96"/>
  <c r="V65" i="96" s="1"/>
  <c r="U142" i="94"/>
  <c r="V142" i="94" s="1"/>
  <c r="R143" i="94"/>
  <c r="G202" i="92"/>
  <c r="H202" i="92"/>
  <c r="G202" i="89"/>
  <c r="H202" i="89"/>
  <c r="D146" i="96" l="1"/>
  <c r="K145" i="96"/>
  <c r="C145" i="96" s="1"/>
  <c r="E143" i="95"/>
  <c r="F143" i="95" s="1"/>
  <c r="K143" i="95"/>
  <c r="D144" i="95"/>
  <c r="G142" i="94"/>
  <c r="H142" i="94"/>
  <c r="R136" i="95"/>
  <c r="T135" i="95"/>
  <c r="U135" i="95" s="1"/>
  <c r="D144" i="94"/>
  <c r="C143" i="94"/>
  <c r="E143" i="94"/>
  <c r="F143" i="94" s="1"/>
  <c r="S143" i="94"/>
  <c r="U143" i="94" s="1"/>
  <c r="K143" i="94"/>
  <c r="Q137" i="95"/>
  <c r="S136" i="95"/>
  <c r="G142" i="95"/>
  <c r="H142" i="95"/>
  <c r="T67" i="96"/>
  <c r="E109" i="96"/>
  <c r="F109" i="96" s="1"/>
  <c r="H108" i="96"/>
  <c r="G108" i="96"/>
  <c r="U66" i="96"/>
  <c r="V66" i="96" s="1"/>
  <c r="R144" i="94"/>
  <c r="T143" i="94"/>
  <c r="V143" i="94" l="1"/>
  <c r="W142" i="94" s="1"/>
  <c r="X142" i="94" s="1"/>
  <c r="Z142" i="94" s="1"/>
  <c r="AA142" i="94" s="1"/>
  <c r="H143" i="94"/>
  <c r="G143" i="94"/>
  <c r="K144" i="95"/>
  <c r="E144" i="95"/>
  <c r="F144" i="95" s="1"/>
  <c r="D145" i="95"/>
  <c r="D145" i="94"/>
  <c r="C144" i="94"/>
  <c r="E144" i="94"/>
  <c r="F144" i="94" s="1"/>
  <c r="S144" i="94"/>
  <c r="U144" i="94" s="1"/>
  <c r="K144" i="94"/>
  <c r="H143" i="95"/>
  <c r="G143" i="95"/>
  <c r="Q138" i="95"/>
  <c r="S137" i="95"/>
  <c r="R137" i="95"/>
  <c r="T136" i="95"/>
  <c r="U136" i="95" s="1"/>
  <c r="D147" i="96"/>
  <c r="K146" i="96"/>
  <c r="C146" i="96" s="1"/>
  <c r="E110" i="96"/>
  <c r="F110" i="96" s="1"/>
  <c r="H109" i="96"/>
  <c r="G109" i="96"/>
  <c r="U67" i="96"/>
  <c r="V67" i="96" s="1"/>
  <c r="T68" i="96"/>
  <c r="W143" i="94"/>
  <c r="X143" i="94" s="1"/>
  <c r="Z143" i="94" s="1"/>
  <c r="AA143" i="94" s="1"/>
  <c r="W131" i="94"/>
  <c r="X131" i="94" s="1"/>
  <c r="Z131" i="94" s="1"/>
  <c r="AA131" i="94" s="1"/>
  <c r="W34" i="94"/>
  <c r="X34" i="94" s="1"/>
  <c r="Z34" i="94" s="1"/>
  <c r="AA34" i="94" s="1"/>
  <c r="W11" i="94"/>
  <c r="X11" i="94" s="1"/>
  <c r="W83" i="94"/>
  <c r="X83" i="94" s="1"/>
  <c r="Z83" i="94" s="1"/>
  <c r="AA83" i="94" s="1"/>
  <c r="W74" i="94"/>
  <c r="X74" i="94" s="1"/>
  <c r="Z74" i="94" s="1"/>
  <c r="AA74" i="94" s="1"/>
  <c r="W12" i="94"/>
  <c r="X12" i="94" s="1"/>
  <c r="Z12" i="94" s="1"/>
  <c r="AA12" i="94" s="1"/>
  <c r="W30" i="94"/>
  <c r="X30" i="94" s="1"/>
  <c r="Z30" i="94" s="1"/>
  <c r="AA30" i="94" s="1"/>
  <c r="W49" i="94"/>
  <c r="X49" i="94" s="1"/>
  <c r="Z49" i="94" s="1"/>
  <c r="AA49" i="94" s="1"/>
  <c r="W118" i="94"/>
  <c r="X118" i="94" s="1"/>
  <c r="Z118" i="94" s="1"/>
  <c r="AA118" i="94" s="1"/>
  <c r="W105" i="94"/>
  <c r="X105" i="94" s="1"/>
  <c r="Z105" i="94" s="1"/>
  <c r="AA105" i="94" s="1"/>
  <c r="W108" i="94"/>
  <c r="X108" i="94" s="1"/>
  <c r="Z108" i="94" s="1"/>
  <c r="AA108" i="94" s="1"/>
  <c r="W100" i="94"/>
  <c r="X100" i="94" s="1"/>
  <c r="Z100" i="94" s="1"/>
  <c r="AA100" i="94" s="1"/>
  <c r="W68" i="94"/>
  <c r="X68" i="94" s="1"/>
  <c r="Z68" i="94" s="1"/>
  <c r="AA68" i="94" s="1"/>
  <c r="W110" i="94"/>
  <c r="X110" i="94" s="1"/>
  <c r="Z110" i="94" s="1"/>
  <c r="AA110" i="94" s="1"/>
  <c r="W122" i="94"/>
  <c r="X122" i="94" s="1"/>
  <c r="Z122" i="94" s="1"/>
  <c r="AA122" i="94" s="1"/>
  <c r="W130" i="94"/>
  <c r="X130" i="94" s="1"/>
  <c r="Z130" i="94" s="1"/>
  <c r="AA130" i="94" s="1"/>
  <c r="W72" i="94"/>
  <c r="X72" i="94" s="1"/>
  <c r="Z72" i="94" s="1"/>
  <c r="AA72" i="94" s="1"/>
  <c r="W61" i="94"/>
  <c r="X61" i="94" s="1"/>
  <c r="Z61" i="94" s="1"/>
  <c r="AA61" i="94" s="1"/>
  <c r="W115" i="94"/>
  <c r="X115" i="94" s="1"/>
  <c r="Z115" i="94" s="1"/>
  <c r="AA115" i="94" s="1"/>
  <c r="W39" i="94"/>
  <c r="X39" i="94" s="1"/>
  <c r="Z39" i="94" s="1"/>
  <c r="AA39" i="94" s="1"/>
  <c r="W31" i="94"/>
  <c r="X31" i="94" s="1"/>
  <c r="Z31" i="94" s="1"/>
  <c r="AA31" i="94" s="1"/>
  <c r="W94" i="94"/>
  <c r="X94" i="94" s="1"/>
  <c r="Z94" i="94" s="1"/>
  <c r="AA94" i="94" s="1"/>
  <c r="W16" i="94"/>
  <c r="X16" i="94" s="1"/>
  <c r="Z16" i="94" s="1"/>
  <c r="AA16" i="94" s="1"/>
  <c r="W19" i="94"/>
  <c r="X19" i="94" s="1"/>
  <c r="Z19" i="94" s="1"/>
  <c r="AA19" i="94" s="1"/>
  <c r="W58" i="94"/>
  <c r="X58" i="94" s="1"/>
  <c r="Z58" i="94" s="1"/>
  <c r="AA58" i="94" s="1"/>
  <c r="W53" i="94"/>
  <c r="X53" i="94" s="1"/>
  <c r="Z53" i="94" s="1"/>
  <c r="AA53" i="94" s="1"/>
  <c r="W47" i="94"/>
  <c r="X47" i="94" s="1"/>
  <c r="Z47" i="94" s="1"/>
  <c r="AA47" i="94" s="1"/>
  <c r="W91" i="94"/>
  <c r="X91" i="94" s="1"/>
  <c r="Z91" i="94" s="1"/>
  <c r="AA91" i="94" s="1"/>
  <c r="W38" i="94"/>
  <c r="X38" i="94" s="1"/>
  <c r="Z38" i="94" s="1"/>
  <c r="AA38" i="94" s="1"/>
  <c r="W26" i="94"/>
  <c r="X26" i="94" s="1"/>
  <c r="Z26" i="94" s="1"/>
  <c r="AA26" i="94" s="1"/>
  <c r="W42" i="94"/>
  <c r="X42" i="94" s="1"/>
  <c r="Z42" i="94" s="1"/>
  <c r="AA42" i="94" s="1"/>
  <c r="W125" i="94"/>
  <c r="X125" i="94" s="1"/>
  <c r="Z125" i="94" s="1"/>
  <c r="AA125" i="94" s="1"/>
  <c r="W71" i="94"/>
  <c r="X71" i="94" s="1"/>
  <c r="Z71" i="94" s="1"/>
  <c r="AA71" i="94" s="1"/>
  <c r="W13" i="94"/>
  <c r="X13" i="94" s="1"/>
  <c r="Z13" i="94" s="1"/>
  <c r="AA13" i="94" s="1"/>
  <c r="W107" i="94"/>
  <c r="X107" i="94" s="1"/>
  <c r="Z107" i="94" s="1"/>
  <c r="AA107" i="94" s="1"/>
  <c r="W87" i="94"/>
  <c r="X87" i="94" s="1"/>
  <c r="Z87" i="94" s="1"/>
  <c r="AA87" i="94" s="1"/>
  <c r="W88" i="94"/>
  <c r="X88" i="94" s="1"/>
  <c r="Z88" i="94" s="1"/>
  <c r="AA88" i="94" s="1"/>
  <c r="W37" i="94"/>
  <c r="X37" i="94" s="1"/>
  <c r="Z37" i="94" s="1"/>
  <c r="AA37" i="94" s="1"/>
  <c r="W52" i="94"/>
  <c r="X52" i="94" s="1"/>
  <c r="Z52" i="94" s="1"/>
  <c r="AA52" i="94" s="1"/>
  <c r="W17" i="94"/>
  <c r="X17" i="94" s="1"/>
  <c r="Z17" i="94" s="1"/>
  <c r="AA17" i="94" s="1"/>
  <c r="W77" i="94"/>
  <c r="X77" i="94" s="1"/>
  <c r="Z77" i="94" s="1"/>
  <c r="AA77" i="94" s="1"/>
  <c r="W111" i="94"/>
  <c r="X111" i="94" s="1"/>
  <c r="Z111" i="94" s="1"/>
  <c r="AA111" i="94" s="1"/>
  <c r="W85" i="94"/>
  <c r="X85" i="94" s="1"/>
  <c r="Z85" i="94" s="1"/>
  <c r="AA85" i="94" s="1"/>
  <c r="W62" i="94"/>
  <c r="X62" i="94" s="1"/>
  <c r="Z62" i="94" s="1"/>
  <c r="AA62" i="94" s="1"/>
  <c r="W14" i="94"/>
  <c r="X14" i="94" s="1"/>
  <c r="Z14" i="94" s="1"/>
  <c r="AA14" i="94" s="1"/>
  <c r="W90" i="94"/>
  <c r="X90" i="94" s="1"/>
  <c r="Z90" i="94" s="1"/>
  <c r="AA90" i="94" s="1"/>
  <c r="W54" i="94"/>
  <c r="X54" i="94" s="1"/>
  <c r="Z54" i="94" s="1"/>
  <c r="AA54" i="94" s="1"/>
  <c r="W116" i="94"/>
  <c r="X116" i="94" s="1"/>
  <c r="Z116" i="94" s="1"/>
  <c r="AA116" i="94" s="1"/>
  <c r="W66" i="94"/>
  <c r="X66" i="94" s="1"/>
  <c r="Z66" i="94" s="1"/>
  <c r="AA66" i="94" s="1"/>
  <c r="W98" i="94"/>
  <c r="X98" i="94" s="1"/>
  <c r="Z98" i="94" s="1"/>
  <c r="AA98" i="94" s="1"/>
  <c r="W106" i="94"/>
  <c r="X106" i="94" s="1"/>
  <c r="Z106" i="94" s="1"/>
  <c r="AA106" i="94" s="1"/>
  <c r="W123" i="94"/>
  <c r="X123" i="94" s="1"/>
  <c r="Z123" i="94" s="1"/>
  <c r="AA123" i="94" s="1"/>
  <c r="W28" i="94"/>
  <c r="X28" i="94" s="1"/>
  <c r="Z28" i="94" s="1"/>
  <c r="AA28" i="94" s="1"/>
  <c r="W84" i="94"/>
  <c r="X84" i="94" s="1"/>
  <c r="Z84" i="94" s="1"/>
  <c r="AA84" i="94" s="1"/>
  <c r="W40" i="94"/>
  <c r="X40" i="94" s="1"/>
  <c r="Z40" i="94" s="1"/>
  <c r="AA40" i="94" s="1"/>
  <c r="W22" i="94"/>
  <c r="X22" i="94" s="1"/>
  <c r="Z22" i="94" s="1"/>
  <c r="AA22" i="94" s="1"/>
  <c r="W92" i="94"/>
  <c r="X92" i="94" s="1"/>
  <c r="Z92" i="94" s="1"/>
  <c r="AA92" i="94" s="1"/>
  <c r="W69" i="94"/>
  <c r="X69" i="94" s="1"/>
  <c r="Z69" i="94" s="1"/>
  <c r="AA69" i="94" s="1"/>
  <c r="W124" i="94"/>
  <c r="X124" i="94" s="1"/>
  <c r="Z124" i="94" s="1"/>
  <c r="AA124" i="94" s="1"/>
  <c r="W67" i="94"/>
  <c r="X67" i="94" s="1"/>
  <c r="Z67" i="94" s="1"/>
  <c r="AA67" i="94" s="1"/>
  <c r="W114" i="94"/>
  <c r="X114" i="94" s="1"/>
  <c r="Z114" i="94" s="1"/>
  <c r="AA114" i="94" s="1"/>
  <c r="W51" i="94"/>
  <c r="X51" i="94" s="1"/>
  <c r="Z51" i="94" s="1"/>
  <c r="AA51" i="94" s="1"/>
  <c r="W60" i="94"/>
  <c r="X60" i="94" s="1"/>
  <c r="Z60" i="94" s="1"/>
  <c r="AA60" i="94" s="1"/>
  <c r="W101" i="94"/>
  <c r="X101" i="94" s="1"/>
  <c r="Z101" i="94" s="1"/>
  <c r="AA101" i="94" s="1"/>
  <c r="W50" i="94"/>
  <c r="X50" i="94" s="1"/>
  <c r="Z50" i="94" s="1"/>
  <c r="AA50" i="94" s="1"/>
  <c r="W75" i="94"/>
  <c r="X75" i="94" s="1"/>
  <c r="Z75" i="94" s="1"/>
  <c r="AA75" i="94" s="1"/>
  <c r="W113" i="94"/>
  <c r="X113" i="94" s="1"/>
  <c r="Z113" i="94" s="1"/>
  <c r="AA113" i="94" s="1"/>
  <c r="W36" i="94"/>
  <c r="X36" i="94" s="1"/>
  <c r="Z36" i="94" s="1"/>
  <c r="AA36" i="94" s="1"/>
  <c r="W95" i="94"/>
  <c r="X95" i="94" s="1"/>
  <c r="Z95" i="94" s="1"/>
  <c r="AA95" i="94" s="1"/>
  <c r="W120" i="94"/>
  <c r="X120" i="94" s="1"/>
  <c r="Z120" i="94" s="1"/>
  <c r="AA120" i="94" s="1"/>
  <c r="W128" i="94"/>
  <c r="X128" i="94" s="1"/>
  <c r="Z128" i="94" s="1"/>
  <c r="AA128" i="94" s="1"/>
  <c r="W79" i="94"/>
  <c r="X79" i="94" s="1"/>
  <c r="Z79" i="94" s="1"/>
  <c r="AA79" i="94" s="1"/>
  <c r="W119" i="94"/>
  <c r="X119" i="94" s="1"/>
  <c r="Z119" i="94" s="1"/>
  <c r="AA119" i="94" s="1"/>
  <c r="W48" i="94"/>
  <c r="X48" i="94" s="1"/>
  <c r="Z48" i="94" s="1"/>
  <c r="AA48" i="94" s="1"/>
  <c r="W117" i="94"/>
  <c r="X117" i="94" s="1"/>
  <c r="Z117" i="94" s="1"/>
  <c r="AA117" i="94" s="1"/>
  <c r="W129" i="94"/>
  <c r="X129" i="94" s="1"/>
  <c r="Z129" i="94" s="1"/>
  <c r="AA129" i="94" s="1"/>
  <c r="W104" i="94"/>
  <c r="X104" i="94" s="1"/>
  <c r="Z104" i="94" s="1"/>
  <c r="AA104" i="94" s="1"/>
  <c r="W44" i="94"/>
  <c r="X44" i="94" s="1"/>
  <c r="Z44" i="94" s="1"/>
  <c r="AA44" i="94" s="1"/>
  <c r="W15" i="94"/>
  <c r="X15" i="94" s="1"/>
  <c r="Z15" i="94" s="1"/>
  <c r="AA15" i="94" s="1"/>
  <c r="W73" i="94"/>
  <c r="X73" i="94" s="1"/>
  <c r="Z73" i="94" s="1"/>
  <c r="AA73" i="94" s="1"/>
  <c r="W65" i="94"/>
  <c r="X65" i="94" s="1"/>
  <c r="Z65" i="94" s="1"/>
  <c r="AA65" i="94" s="1"/>
  <c r="W21" i="94"/>
  <c r="X21" i="94" s="1"/>
  <c r="Z21" i="94" s="1"/>
  <c r="AA21" i="94" s="1"/>
  <c r="W70" i="94"/>
  <c r="X70" i="94" s="1"/>
  <c r="Z70" i="94" s="1"/>
  <c r="AA70" i="94" s="1"/>
  <c r="W81" i="94"/>
  <c r="X81" i="94" s="1"/>
  <c r="Z81" i="94" s="1"/>
  <c r="AA81" i="94" s="1"/>
  <c r="W35" i="94"/>
  <c r="X35" i="94" s="1"/>
  <c r="Z35" i="94" s="1"/>
  <c r="AA35" i="94" s="1"/>
  <c r="W43" i="94"/>
  <c r="X43" i="94" s="1"/>
  <c r="Z43" i="94" s="1"/>
  <c r="AA43" i="94" s="1"/>
  <c r="W27" i="94"/>
  <c r="X27" i="94" s="1"/>
  <c r="Z27" i="94" s="1"/>
  <c r="AA27" i="94" s="1"/>
  <c r="W93" i="94"/>
  <c r="X93" i="94" s="1"/>
  <c r="Z93" i="94" s="1"/>
  <c r="AA93" i="94" s="1"/>
  <c r="W33" i="94"/>
  <c r="X33" i="94" s="1"/>
  <c r="Z33" i="94" s="1"/>
  <c r="AA33" i="94" s="1"/>
  <c r="W64" i="94"/>
  <c r="X64" i="94" s="1"/>
  <c r="Z64" i="94" s="1"/>
  <c r="AA64" i="94" s="1"/>
  <c r="W126" i="94"/>
  <c r="X126" i="94" s="1"/>
  <c r="Z126" i="94" s="1"/>
  <c r="AA126" i="94" s="1"/>
  <c r="W32" i="94"/>
  <c r="X32" i="94" s="1"/>
  <c r="Z32" i="94" s="1"/>
  <c r="AA32" i="94" s="1"/>
  <c r="W112" i="94"/>
  <c r="X112" i="94" s="1"/>
  <c r="Z112" i="94" s="1"/>
  <c r="AA112" i="94" s="1"/>
  <c r="W45" i="94"/>
  <c r="X45" i="94" s="1"/>
  <c r="Z45" i="94" s="1"/>
  <c r="AA45" i="94" s="1"/>
  <c r="W56" i="94"/>
  <c r="X56" i="94" s="1"/>
  <c r="Z56" i="94" s="1"/>
  <c r="AA56" i="94" s="1"/>
  <c r="W55" i="94"/>
  <c r="X55" i="94" s="1"/>
  <c r="Z55" i="94" s="1"/>
  <c r="AA55" i="94" s="1"/>
  <c r="W89" i="94"/>
  <c r="X89" i="94" s="1"/>
  <c r="Z89" i="94" s="1"/>
  <c r="AA89" i="94" s="1"/>
  <c r="W102" i="94"/>
  <c r="X102" i="94" s="1"/>
  <c r="Z102" i="94" s="1"/>
  <c r="AA102" i="94" s="1"/>
  <c r="W57" i="94"/>
  <c r="X57" i="94" s="1"/>
  <c r="Z57" i="94" s="1"/>
  <c r="AA57" i="94" s="1"/>
  <c r="W78" i="94"/>
  <c r="X78" i="94" s="1"/>
  <c r="Z78" i="94" s="1"/>
  <c r="AA78" i="94" s="1"/>
  <c r="W23" i="94"/>
  <c r="X23" i="94" s="1"/>
  <c r="Z23" i="94" s="1"/>
  <c r="AA23" i="94" s="1"/>
  <c r="W46" i="94"/>
  <c r="X46" i="94" s="1"/>
  <c r="Z46" i="94" s="1"/>
  <c r="AA46" i="94" s="1"/>
  <c r="W82" i="94"/>
  <c r="X82" i="94" s="1"/>
  <c r="Z82" i="94" s="1"/>
  <c r="AA82" i="94" s="1"/>
  <c r="W86" i="94"/>
  <c r="X86" i="94" s="1"/>
  <c r="Z86" i="94" s="1"/>
  <c r="AA86" i="94" s="1"/>
  <c r="W96" i="94"/>
  <c r="X96" i="94" s="1"/>
  <c r="Z96" i="94" s="1"/>
  <c r="AA96" i="94" s="1"/>
  <c r="W127" i="94"/>
  <c r="X127" i="94" s="1"/>
  <c r="Z127" i="94" s="1"/>
  <c r="AA127" i="94" s="1"/>
  <c r="W99" i="94"/>
  <c r="X99" i="94" s="1"/>
  <c r="Z99" i="94" s="1"/>
  <c r="AA99" i="94" s="1"/>
  <c r="W20" i="94"/>
  <c r="X20" i="94" s="1"/>
  <c r="Z20" i="94" s="1"/>
  <c r="AA20" i="94" s="1"/>
  <c r="W59" i="94"/>
  <c r="X59" i="94" s="1"/>
  <c r="Z59" i="94" s="1"/>
  <c r="AA59" i="94" s="1"/>
  <c r="W63" i="94"/>
  <c r="X63" i="94" s="1"/>
  <c r="Z63" i="94" s="1"/>
  <c r="AA63" i="94" s="1"/>
  <c r="W80" i="94"/>
  <c r="X80" i="94" s="1"/>
  <c r="Z80" i="94" s="1"/>
  <c r="AA80" i="94" s="1"/>
  <c r="W25" i="94"/>
  <c r="X25" i="94" s="1"/>
  <c r="Z25" i="94" s="1"/>
  <c r="AA25" i="94" s="1"/>
  <c r="W97" i="94"/>
  <c r="X97" i="94" s="1"/>
  <c r="Z97" i="94" s="1"/>
  <c r="AA97" i="94" s="1"/>
  <c r="W18" i="94"/>
  <c r="X18" i="94" s="1"/>
  <c r="Z18" i="94" s="1"/>
  <c r="AA18" i="94" s="1"/>
  <c r="W109" i="94"/>
  <c r="X109" i="94" s="1"/>
  <c r="Z109" i="94" s="1"/>
  <c r="AA109" i="94" s="1"/>
  <c r="W103" i="94"/>
  <c r="X103" i="94" s="1"/>
  <c r="Z103" i="94" s="1"/>
  <c r="AA103" i="94" s="1"/>
  <c r="W29" i="94"/>
  <c r="X29" i="94" s="1"/>
  <c r="Z29" i="94" s="1"/>
  <c r="AA29" i="94" s="1"/>
  <c r="W24" i="94"/>
  <c r="X24" i="94" s="1"/>
  <c r="Z24" i="94" s="1"/>
  <c r="AA24" i="94" s="1"/>
  <c r="W41" i="94"/>
  <c r="X41" i="94" s="1"/>
  <c r="Z41" i="94" s="1"/>
  <c r="AA41" i="94" s="1"/>
  <c r="W76" i="94"/>
  <c r="X76" i="94" s="1"/>
  <c r="Z76" i="94" s="1"/>
  <c r="AA76" i="94" s="1"/>
  <c r="W121" i="94"/>
  <c r="X121" i="94" s="1"/>
  <c r="Z121" i="94" s="1"/>
  <c r="AA121" i="94" s="1"/>
  <c r="W132" i="94"/>
  <c r="X132" i="94" s="1"/>
  <c r="Z132" i="94" s="1"/>
  <c r="AA132" i="94" s="1"/>
  <c r="W133" i="94"/>
  <c r="X133" i="94" s="1"/>
  <c r="Z133" i="94" s="1"/>
  <c r="AA133" i="94" s="1"/>
  <c r="W134" i="94"/>
  <c r="X134" i="94" s="1"/>
  <c r="Z134" i="94" s="1"/>
  <c r="AA134" i="94" s="1"/>
  <c r="W135" i="94"/>
  <c r="X135" i="94" s="1"/>
  <c r="Z135" i="94" s="1"/>
  <c r="AA135" i="94" s="1"/>
  <c r="W136" i="94"/>
  <c r="X136" i="94" s="1"/>
  <c r="Z136" i="94" s="1"/>
  <c r="AA136" i="94" s="1"/>
  <c r="W137" i="94"/>
  <c r="X137" i="94" s="1"/>
  <c r="Z137" i="94" s="1"/>
  <c r="AA137" i="94" s="1"/>
  <c r="W138" i="94"/>
  <c r="X138" i="94" s="1"/>
  <c r="Z138" i="94" s="1"/>
  <c r="AA138" i="94" s="1"/>
  <c r="W139" i="94"/>
  <c r="X139" i="94" s="1"/>
  <c r="Z139" i="94" s="1"/>
  <c r="AA139" i="94" s="1"/>
  <c r="W140" i="94"/>
  <c r="X140" i="94" s="1"/>
  <c r="Z140" i="94" s="1"/>
  <c r="AA140" i="94" s="1"/>
  <c r="W141" i="94"/>
  <c r="X141" i="94" s="1"/>
  <c r="Z141" i="94" s="1"/>
  <c r="AA141" i="94" s="1"/>
  <c r="R145" i="94"/>
  <c r="T144" i="94"/>
  <c r="V144" i="94" s="1"/>
  <c r="W144" i="94" s="1"/>
  <c r="X144" i="94" s="1"/>
  <c r="Z144" i="94" s="1"/>
  <c r="AA144" i="94" s="1"/>
  <c r="Q139" i="95" l="1"/>
  <c r="S138" i="95"/>
  <c r="D146" i="94"/>
  <c r="E145" i="94"/>
  <c r="F145" i="94" s="1"/>
  <c r="K145" i="94"/>
  <c r="C145" i="94" s="1"/>
  <c r="S145" i="94"/>
  <c r="U145" i="94" s="1"/>
  <c r="K145" i="95"/>
  <c r="E145" i="95"/>
  <c r="F145" i="95" s="1"/>
  <c r="D146" i="95"/>
  <c r="G144" i="95"/>
  <c r="H144" i="95"/>
  <c r="D148" i="96"/>
  <c r="C147" i="96"/>
  <c r="K147" i="96"/>
  <c r="R138" i="95"/>
  <c r="T137" i="95"/>
  <c r="U137" i="95" s="1"/>
  <c r="H144" i="94"/>
  <c r="G144" i="94"/>
  <c r="H110" i="96"/>
  <c r="G110" i="96"/>
  <c r="U68" i="96"/>
  <c r="V68" i="96" s="1"/>
  <c r="T69" i="96"/>
  <c r="E111" i="96"/>
  <c r="F111" i="96" s="1"/>
  <c r="T145" i="94"/>
  <c r="V145" i="94" s="1"/>
  <c r="W145" i="94" s="1"/>
  <c r="X145" i="94" s="1"/>
  <c r="Z145" i="94" s="1"/>
  <c r="AA145" i="94" s="1"/>
  <c r="R146" i="94"/>
  <c r="Z11" i="94"/>
  <c r="AA11" i="94" s="1"/>
  <c r="D149" i="96" l="1"/>
  <c r="K148" i="96"/>
  <c r="C148" i="96" s="1"/>
  <c r="G145" i="94"/>
  <c r="H145" i="94"/>
  <c r="R139" i="95"/>
  <c r="T138" i="95"/>
  <c r="U138" i="95" s="1"/>
  <c r="E146" i="95"/>
  <c r="F146" i="95" s="1"/>
  <c r="K146" i="95"/>
  <c r="D147" i="95"/>
  <c r="H145" i="95"/>
  <c r="G145" i="95"/>
  <c r="D147" i="94"/>
  <c r="C146" i="94"/>
  <c r="E146" i="94"/>
  <c r="F146" i="94" s="1"/>
  <c r="K146" i="94"/>
  <c r="S146" i="94"/>
  <c r="U146" i="94" s="1"/>
  <c r="Q140" i="95"/>
  <c r="S139" i="95"/>
  <c r="T70" i="96"/>
  <c r="E112" i="96"/>
  <c r="F112" i="96" s="1"/>
  <c r="U69" i="96"/>
  <c r="V69" i="96" s="1"/>
  <c r="H111" i="96"/>
  <c r="G111" i="96"/>
  <c r="R147" i="94"/>
  <c r="T146" i="94"/>
  <c r="V146" i="94" l="1"/>
  <c r="W146" i="94" s="1"/>
  <c r="X146" i="94" s="1"/>
  <c r="Z146" i="94" s="1"/>
  <c r="AA146" i="94" s="1"/>
  <c r="Q141" i="95"/>
  <c r="S140" i="95"/>
  <c r="E147" i="95"/>
  <c r="F147" i="95" s="1"/>
  <c r="K147" i="95"/>
  <c r="D148" i="95"/>
  <c r="R140" i="95"/>
  <c r="T139" i="95"/>
  <c r="U139" i="95" s="1"/>
  <c r="G146" i="95"/>
  <c r="H146" i="95"/>
  <c r="D148" i="94"/>
  <c r="E147" i="94"/>
  <c r="F147" i="94" s="1"/>
  <c r="K147" i="94"/>
  <c r="C147" i="94" s="1"/>
  <c r="S147" i="94"/>
  <c r="U147" i="94" s="1"/>
  <c r="H146" i="94"/>
  <c r="G146" i="94"/>
  <c r="D150" i="96"/>
  <c r="K149" i="96"/>
  <c r="C149" i="96" s="1"/>
  <c r="G112" i="96"/>
  <c r="H112" i="96"/>
  <c r="E113" i="96"/>
  <c r="F113" i="96" s="1"/>
  <c r="U70" i="96"/>
  <c r="V70" i="96" s="1"/>
  <c r="T71" i="96"/>
  <c r="R148" i="94"/>
  <c r="T147" i="94"/>
  <c r="V147" i="94" l="1"/>
  <c r="W147" i="94" s="1"/>
  <c r="X147" i="94" s="1"/>
  <c r="Z147" i="94" s="1"/>
  <c r="AA147" i="94" s="1"/>
  <c r="R141" i="95"/>
  <c r="T140" i="95"/>
  <c r="U140" i="95" s="1"/>
  <c r="E148" i="95"/>
  <c r="F148" i="95" s="1"/>
  <c r="K148" i="95"/>
  <c r="D149" i="95"/>
  <c r="G147" i="95"/>
  <c r="H147" i="95"/>
  <c r="D151" i="96"/>
  <c r="K150" i="96"/>
  <c r="C150" i="96" s="1"/>
  <c r="D149" i="94"/>
  <c r="C148" i="94"/>
  <c r="S148" i="94"/>
  <c r="U148" i="94" s="1"/>
  <c r="E148" i="94"/>
  <c r="F148" i="94" s="1"/>
  <c r="K148" i="94"/>
  <c r="G147" i="94"/>
  <c r="H147" i="94"/>
  <c r="Q142" i="95"/>
  <c r="S141" i="95"/>
  <c r="G113" i="96"/>
  <c r="H113" i="96"/>
  <c r="E114" i="96"/>
  <c r="F114" i="96" s="1"/>
  <c r="U71" i="96"/>
  <c r="V71" i="96" s="1"/>
  <c r="T72" i="96"/>
  <c r="R149" i="94"/>
  <c r="T148" i="94"/>
  <c r="V148" i="94" l="1"/>
  <c r="W148" i="94" s="1"/>
  <c r="X148" i="94" s="1"/>
  <c r="Z148" i="94" s="1"/>
  <c r="AA148" i="94" s="1"/>
  <c r="D150" i="94"/>
  <c r="S149" i="94"/>
  <c r="U149" i="94" s="1"/>
  <c r="E149" i="94"/>
  <c r="F149" i="94" s="1"/>
  <c r="K149" i="94"/>
  <c r="C149" i="94" s="1"/>
  <c r="K149" i="95"/>
  <c r="E149" i="95"/>
  <c r="F149" i="95" s="1"/>
  <c r="D150" i="95"/>
  <c r="Q143" i="95"/>
  <c r="S142" i="95"/>
  <c r="H148" i="95"/>
  <c r="G148" i="95"/>
  <c r="D152" i="96"/>
  <c r="K151" i="96"/>
  <c r="C151" i="96" s="1"/>
  <c r="G148" i="94"/>
  <c r="H148" i="94"/>
  <c r="R142" i="95"/>
  <c r="T142" i="95" s="1"/>
  <c r="T141" i="95"/>
  <c r="U141" i="95" s="1"/>
  <c r="E115" i="96"/>
  <c r="F115" i="96" s="1"/>
  <c r="U72" i="96"/>
  <c r="V72" i="96" s="1"/>
  <c r="H114" i="96"/>
  <c r="G114" i="96"/>
  <c r="T73" i="96"/>
  <c r="T149" i="94"/>
  <c r="V149" i="94" s="1"/>
  <c r="W149" i="94" s="1"/>
  <c r="X149" i="94" s="1"/>
  <c r="Z149" i="94" s="1"/>
  <c r="AA149" i="94" s="1"/>
  <c r="R150" i="94"/>
  <c r="U142" i="95" l="1"/>
  <c r="G149" i="95"/>
  <c r="H149" i="95"/>
  <c r="D153" i="96"/>
  <c r="K152" i="96"/>
  <c r="C152" i="96" s="1"/>
  <c r="G149" i="94"/>
  <c r="H149" i="94"/>
  <c r="R143" i="95"/>
  <c r="Q144" i="95"/>
  <c r="S143" i="95"/>
  <c r="E150" i="95"/>
  <c r="F150" i="95" s="1"/>
  <c r="K150" i="95"/>
  <c r="D151" i="95"/>
  <c r="D151" i="94"/>
  <c r="E150" i="94"/>
  <c r="F150" i="94" s="1"/>
  <c r="S150" i="94"/>
  <c r="U150" i="94" s="1"/>
  <c r="K150" i="94"/>
  <c r="C150" i="94" s="1"/>
  <c r="U73" i="96"/>
  <c r="V73" i="96" s="1"/>
  <c r="G115" i="96"/>
  <c r="H115" i="96"/>
  <c r="T74" i="96"/>
  <c r="E116" i="96"/>
  <c r="F116" i="96" s="1"/>
  <c r="R151" i="94"/>
  <c r="T150" i="94"/>
  <c r="V150" i="94" l="1"/>
  <c r="W150" i="94" s="1"/>
  <c r="X150" i="94" s="1"/>
  <c r="Z150" i="94" s="1"/>
  <c r="AA150" i="94" s="1"/>
  <c r="H150" i="95"/>
  <c r="G150" i="95"/>
  <c r="H150" i="94"/>
  <c r="G150" i="94"/>
  <c r="Q145" i="95"/>
  <c r="S144" i="95"/>
  <c r="R144" i="95"/>
  <c r="T143" i="95"/>
  <c r="U143" i="95" s="1"/>
  <c r="D154" i="96"/>
  <c r="K153" i="96"/>
  <c r="C153" i="96" s="1"/>
  <c r="D152" i="94"/>
  <c r="C151" i="94"/>
  <c r="E151" i="94"/>
  <c r="F151" i="94" s="1"/>
  <c r="K151" i="94"/>
  <c r="S151" i="94"/>
  <c r="U151" i="94" s="1"/>
  <c r="K151" i="95"/>
  <c r="E151" i="95"/>
  <c r="F151" i="95" s="1"/>
  <c r="D152" i="95"/>
  <c r="T75" i="96"/>
  <c r="G116" i="96"/>
  <c r="H116" i="96"/>
  <c r="U74" i="96"/>
  <c r="V74" i="96" s="1"/>
  <c r="E117" i="96"/>
  <c r="F117" i="96" s="1"/>
  <c r="R152" i="94"/>
  <c r="T151" i="94"/>
  <c r="V151" i="94" l="1"/>
  <c r="W151" i="94" s="1"/>
  <c r="X151" i="94" s="1"/>
  <c r="Z151" i="94" s="1"/>
  <c r="AA151" i="94" s="1"/>
  <c r="H151" i="94"/>
  <c r="G151" i="94"/>
  <c r="R145" i="95"/>
  <c r="T144" i="95"/>
  <c r="U144" i="95" s="1"/>
  <c r="K152" i="95"/>
  <c r="E152" i="95"/>
  <c r="F152" i="95" s="1"/>
  <c r="D153" i="95"/>
  <c r="D153" i="94"/>
  <c r="K152" i="94"/>
  <c r="C152" i="94" s="1"/>
  <c r="S152" i="94"/>
  <c r="U152" i="94" s="1"/>
  <c r="E152" i="94"/>
  <c r="F152" i="94" s="1"/>
  <c r="Q146" i="95"/>
  <c r="S145" i="95"/>
  <c r="G151" i="95"/>
  <c r="H151" i="95"/>
  <c r="K154" i="96"/>
  <c r="C154" i="96" s="1"/>
  <c r="U75" i="96"/>
  <c r="V75" i="96" s="1"/>
  <c r="G117" i="96"/>
  <c r="H117" i="96"/>
  <c r="E118" i="96"/>
  <c r="F118" i="96" s="1"/>
  <c r="T76" i="96"/>
  <c r="R153" i="94"/>
  <c r="T152" i="94"/>
  <c r="V152" i="94" s="1"/>
  <c r="W152" i="94" s="1"/>
  <c r="X152" i="94" s="1"/>
  <c r="Z152" i="94" s="1"/>
  <c r="AA152" i="94" s="1"/>
  <c r="H152" i="95" l="1"/>
  <c r="G152" i="95"/>
  <c r="H152" i="94"/>
  <c r="G152" i="94"/>
  <c r="Q147" i="95"/>
  <c r="S146" i="95"/>
  <c r="R146" i="95"/>
  <c r="T145" i="95"/>
  <c r="U145" i="95" s="1"/>
  <c r="D154" i="94"/>
  <c r="E153" i="94"/>
  <c r="F153" i="94" s="1"/>
  <c r="S153" i="94"/>
  <c r="U153" i="94" s="1"/>
  <c r="K153" i="94"/>
  <c r="C153" i="94" s="1"/>
  <c r="K153" i="95"/>
  <c r="E153" i="95"/>
  <c r="F153" i="95" s="1"/>
  <c r="D154" i="95"/>
  <c r="G118" i="96"/>
  <c r="H118" i="96"/>
  <c r="U76" i="96"/>
  <c r="V76" i="96" s="1"/>
  <c r="E119" i="96"/>
  <c r="F119" i="96" s="1"/>
  <c r="T77" i="96"/>
  <c r="T153" i="94"/>
  <c r="R154" i="94"/>
  <c r="T154" i="94" s="1"/>
  <c r="G153" i="94" l="1"/>
  <c r="H153" i="94"/>
  <c r="Q148" i="95"/>
  <c r="S147" i="95"/>
  <c r="V153" i="94"/>
  <c r="W153" i="94" s="1"/>
  <c r="X153" i="94" s="1"/>
  <c r="Z153" i="94" s="1"/>
  <c r="AA153" i="94" s="1"/>
  <c r="E154" i="95"/>
  <c r="F154" i="95" s="1"/>
  <c r="K154" i="95"/>
  <c r="D155" i="95"/>
  <c r="S154" i="94"/>
  <c r="U154" i="94" s="1"/>
  <c r="V154" i="94" s="1"/>
  <c r="W154" i="94" s="1"/>
  <c r="X154" i="94" s="1"/>
  <c r="E154" i="94"/>
  <c r="F154" i="94" s="1"/>
  <c r="K154" i="94"/>
  <c r="C154" i="94" s="1"/>
  <c r="G153" i="95"/>
  <c r="H153" i="95"/>
  <c r="R147" i="95"/>
  <c r="T146" i="95"/>
  <c r="U146" i="95" s="1"/>
  <c r="U77" i="96"/>
  <c r="V77" i="96" s="1"/>
  <c r="E120" i="96"/>
  <c r="F120" i="96" s="1"/>
  <c r="T78" i="96"/>
  <c r="G119" i="96"/>
  <c r="H119" i="96"/>
  <c r="Z154" i="94" l="1"/>
  <c r="AA154" i="94" s="1"/>
  <c r="AB11" i="94"/>
  <c r="Q149" i="95"/>
  <c r="S148" i="95"/>
  <c r="G154" i="94"/>
  <c r="H154" i="94"/>
  <c r="G154" i="95"/>
  <c r="H154" i="95"/>
  <c r="D156" i="95"/>
  <c r="E155" i="95"/>
  <c r="F155" i="95" s="1"/>
  <c r="K155" i="95"/>
  <c r="R148" i="95"/>
  <c r="T147" i="95"/>
  <c r="U147" i="95" s="1"/>
  <c r="G120" i="96"/>
  <c r="H120" i="96"/>
  <c r="E121" i="96"/>
  <c r="F121" i="96" s="1"/>
  <c r="U78" i="96"/>
  <c r="V78" i="96" s="1"/>
  <c r="T79" i="96"/>
  <c r="G155" i="95" l="1"/>
  <c r="H155" i="95"/>
  <c r="Q150" i="95"/>
  <c r="S149" i="95"/>
  <c r="D157" i="95"/>
  <c r="K156" i="95"/>
  <c r="E156" i="95"/>
  <c r="F156" i="95" s="1"/>
  <c r="R149" i="95"/>
  <c r="T148" i="95"/>
  <c r="U148" i="95" s="1"/>
  <c r="T80" i="96"/>
  <c r="E122" i="96"/>
  <c r="F122" i="96" s="1"/>
  <c r="H121" i="96"/>
  <c r="G121" i="96"/>
  <c r="U79" i="96"/>
  <c r="V79" i="96" s="1"/>
  <c r="D158" i="95" l="1"/>
  <c r="E157" i="95"/>
  <c r="F157" i="95" s="1"/>
  <c r="K157" i="95"/>
  <c r="R150" i="95"/>
  <c r="T149" i="95"/>
  <c r="U149" i="95" s="1"/>
  <c r="Q151" i="95"/>
  <c r="S150" i="95"/>
  <c r="H156" i="95"/>
  <c r="G156" i="95"/>
  <c r="U80" i="96"/>
  <c r="V80" i="96" s="1"/>
  <c r="E123" i="96"/>
  <c r="F123" i="96" s="1"/>
  <c r="T82" i="96"/>
  <c r="T81" i="96"/>
  <c r="H122" i="96"/>
  <c r="G122" i="96"/>
  <c r="R151" i="95" l="1"/>
  <c r="T150" i="95"/>
  <c r="U150" i="95" s="1"/>
  <c r="G157" i="95"/>
  <c r="H157" i="95"/>
  <c r="D159" i="95"/>
  <c r="K158" i="95"/>
  <c r="E158" i="95"/>
  <c r="F158" i="95" s="1"/>
  <c r="Q152" i="95"/>
  <c r="S151" i="95"/>
  <c r="E124" i="96"/>
  <c r="F124" i="96" s="1"/>
  <c r="H123" i="96"/>
  <c r="G123" i="96"/>
  <c r="U81" i="96"/>
  <c r="V81" i="96" s="1"/>
  <c r="D160" i="95" l="1"/>
  <c r="K159" i="95"/>
  <c r="E159" i="95"/>
  <c r="F159" i="95" s="1"/>
  <c r="Q153" i="95"/>
  <c r="S152" i="95"/>
  <c r="G158" i="95"/>
  <c r="H158" i="95"/>
  <c r="R152" i="95"/>
  <c r="T151" i="95"/>
  <c r="U151" i="95" s="1"/>
  <c r="G124" i="96"/>
  <c r="H124" i="96"/>
  <c r="E125" i="96"/>
  <c r="F125" i="96" s="1"/>
  <c r="U82" i="96"/>
  <c r="V82" i="96" s="1"/>
  <c r="G159" i="95" l="1"/>
  <c r="H159" i="95"/>
  <c r="Q154" i="95"/>
  <c r="S154" i="95" s="1"/>
  <c r="S153" i="95"/>
  <c r="R153" i="95"/>
  <c r="T152" i="95"/>
  <c r="U152" i="95" s="1"/>
  <c r="D161" i="95"/>
  <c r="E160" i="95"/>
  <c r="F160" i="95" s="1"/>
  <c r="K160" i="95"/>
  <c r="T83" i="96"/>
  <c r="E126" i="96"/>
  <c r="F126" i="96" s="1"/>
  <c r="G125" i="96"/>
  <c r="H125" i="96"/>
  <c r="R154" i="95" l="1"/>
  <c r="T153" i="95"/>
  <c r="U153" i="95" s="1"/>
  <c r="G160" i="95"/>
  <c r="H160" i="95"/>
  <c r="D162" i="95"/>
  <c r="K161" i="95"/>
  <c r="E161" i="95"/>
  <c r="F161" i="95" s="1"/>
  <c r="E127" i="96"/>
  <c r="F127" i="96" s="1"/>
  <c r="G126" i="96"/>
  <c r="H126" i="96"/>
  <c r="U83" i="96"/>
  <c r="V83" i="96" s="1"/>
  <c r="T84" i="96"/>
  <c r="D163" i="95" l="1"/>
  <c r="E162" i="95"/>
  <c r="F162" i="95" s="1"/>
  <c r="K162" i="95"/>
  <c r="G161" i="95"/>
  <c r="H161" i="95"/>
  <c r="Q155" i="95"/>
  <c r="T154" i="95"/>
  <c r="U154" i="95" s="1"/>
  <c r="U84" i="96"/>
  <c r="V84" i="96" s="1"/>
  <c r="T85" i="96"/>
  <c r="G127" i="96"/>
  <c r="H127" i="96"/>
  <c r="E128" i="96"/>
  <c r="F128" i="96" s="1"/>
  <c r="H162" i="95" l="1"/>
  <c r="G162" i="95"/>
  <c r="D164" i="95"/>
  <c r="E163" i="95"/>
  <c r="F163" i="95" s="1"/>
  <c r="K163" i="95"/>
  <c r="S155" i="95"/>
  <c r="Q156" i="95"/>
  <c r="R155" i="95"/>
  <c r="E129" i="96"/>
  <c r="F129" i="96" s="1"/>
  <c r="T86" i="96"/>
  <c r="G128" i="96"/>
  <c r="H128" i="96"/>
  <c r="U85" i="96"/>
  <c r="V85" i="96" s="1"/>
  <c r="G163" i="95" l="1"/>
  <c r="H163" i="95"/>
  <c r="D165" i="95"/>
  <c r="K164" i="95"/>
  <c r="E164" i="95"/>
  <c r="F164" i="95" s="1"/>
  <c r="R156" i="95"/>
  <c r="T155" i="95"/>
  <c r="U155" i="95" s="1"/>
  <c r="Q157" i="95"/>
  <c r="S156" i="95"/>
  <c r="T87" i="96"/>
  <c r="G129" i="96"/>
  <c r="H129" i="96"/>
  <c r="U86" i="96"/>
  <c r="V86" i="96" s="1"/>
  <c r="E130" i="96"/>
  <c r="F130" i="96" s="1"/>
  <c r="H164" i="95" l="1"/>
  <c r="G164" i="95"/>
  <c r="D166" i="95"/>
  <c r="E165" i="95"/>
  <c r="F165" i="95" s="1"/>
  <c r="K165" i="95"/>
  <c r="Q158" i="95"/>
  <c r="S157" i="95"/>
  <c r="R157" i="95"/>
  <c r="T156" i="95"/>
  <c r="U156" i="95" s="1"/>
  <c r="U87" i="96"/>
  <c r="V87" i="96" s="1"/>
  <c r="G130" i="96"/>
  <c r="H130" i="96"/>
  <c r="T88" i="96"/>
  <c r="E131" i="96"/>
  <c r="F131" i="96" s="1"/>
  <c r="H165" i="95" l="1"/>
  <c r="G165" i="95"/>
  <c r="D167" i="95"/>
  <c r="K166" i="95"/>
  <c r="E166" i="95"/>
  <c r="F166" i="95" s="1"/>
  <c r="R158" i="95"/>
  <c r="T157" i="95"/>
  <c r="U157" i="95" s="1"/>
  <c r="Q159" i="95"/>
  <c r="S158" i="95"/>
  <c r="T89" i="96"/>
  <c r="U88" i="96"/>
  <c r="V88" i="96" s="1"/>
  <c r="G131" i="96"/>
  <c r="H131" i="96"/>
  <c r="E132" i="96"/>
  <c r="F132" i="96" s="1"/>
  <c r="H166" i="95" l="1"/>
  <c r="G166" i="95"/>
  <c r="D168" i="95"/>
  <c r="K167" i="95"/>
  <c r="E167" i="95"/>
  <c r="F167" i="95" s="1"/>
  <c r="Q160" i="95"/>
  <c r="S159" i="95"/>
  <c r="R159" i="95"/>
  <c r="T158" i="95"/>
  <c r="U158" i="95" s="1"/>
  <c r="U89" i="96"/>
  <c r="V89" i="96" s="1"/>
  <c r="H132" i="96"/>
  <c r="G132" i="96"/>
  <c r="E133" i="96"/>
  <c r="F133" i="96" s="1"/>
  <c r="T90" i="96"/>
  <c r="Q161" i="95" l="1"/>
  <c r="S160" i="95"/>
  <c r="D169" i="95"/>
  <c r="E168" i="95"/>
  <c r="F168" i="95" s="1"/>
  <c r="K168" i="95"/>
  <c r="R160" i="95"/>
  <c r="T159" i="95"/>
  <c r="U159" i="95" s="1"/>
  <c r="G167" i="95"/>
  <c r="H167" i="95"/>
  <c r="T91" i="96"/>
  <c r="U90" i="96"/>
  <c r="V90" i="96" s="1"/>
  <c r="H133" i="96"/>
  <c r="G133" i="96"/>
  <c r="E134" i="96"/>
  <c r="F134" i="96" s="1"/>
  <c r="H168" i="95" l="1"/>
  <c r="G168" i="95"/>
  <c r="Q162" i="95"/>
  <c r="S161" i="95"/>
  <c r="D170" i="95"/>
  <c r="E169" i="95"/>
  <c r="F169" i="95" s="1"/>
  <c r="K169" i="95"/>
  <c r="R161" i="95"/>
  <c r="T160" i="95"/>
  <c r="U160" i="95" s="1"/>
  <c r="H134" i="96"/>
  <c r="G134" i="96"/>
  <c r="E135" i="96"/>
  <c r="F135" i="96" s="1"/>
  <c r="U91" i="96"/>
  <c r="V91" i="96" s="1"/>
  <c r="T92" i="96"/>
  <c r="D171" i="95" l="1"/>
  <c r="E170" i="95"/>
  <c r="F170" i="95" s="1"/>
  <c r="K170" i="95"/>
  <c r="Q163" i="95"/>
  <c r="S162" i="95"/>
  <c r="R162" i="95"/>
  <c r="T161" i="95"/>
  <c r="U161" i="95" s="1"/>
  <c r="G169" i="95"/>
  <c r="H169" i="95"/>
  <c r="E136" i="96"/>
  <c r="F136" i="96" s="1"/>
  <c r="U92" i="96"/>
  <c r="V92" i="96" s="1"/>
  <c r="T93" i="96"/>
  <c r="H135" i="96"/>
  <c r="G135" i="96"/>
  <c r="R163" i="95" l="1"/>
  <c r="T162" i="95"/>
  <c r="U162" i="95" s="1"/>
  <c r="Q164" i="95"/>
  <c r="S163" i="95"/>
  <c r="G170" i="95"/>
  <c r="H170" i="95"/>
  <c r="D172" i="95"/>
  <c r="K171" i="95"/>
  <c r="E171" i="95"/>
  <c r="F171" i="95" s="1"/>
  <c r="U94" i="96"/>
  <c r="U93" i="96"/>
  <c r="V93" i="96" s="1"/>
  <c r="E137" i="96"/>
  <c r="F137" i="96" s="1"/>
  <c r="G136" i="96"/>
  <c r="H136" i="96"/>
  <c r="S95" i="96"/>
  <c r="T94" i="96"/>
  <c r="D173" i="95" l="1"/>
  <c r="K172" i="95"/>
  <c r="E172" i="95"/>
  <c r="F172" i="95" s="1"/>
  <c r="V94" i="96"/>
  <c r="G171" i="95"/>
  <c r="H171" i="95"/>
  <c r="Q165" i="95"/>
  <c r="S164" i="95"/>
  <c r="R164" i="95"/>
  <c r="T163" i="95"/>
  <c r="U163" i="95" s="1"/>
  <c r="H137" i="96"/>
  <c r="G137" i="96"/>
  <c r="E138" i="96"/>
  <c r="F138" i="96" s="1"/>
  <c r="S96" i="96"/>
  <c r="T95" i="96"/>
  <c r="Q166" i="95" l="1"/>
  <c r="S165" i="95"/>
  <c r="R165" i="95"/>
  <c r="T164" i="95"/>
  <c r="U164" i="95" s="1"/>
  <c r="H172" i="95"/>
  <c r="G172" i="95"/>
  <c r="D174" i="95"/>
  <c r="E173" i="95"/>
  <c r="F173" i="95" s="1"/>
  <c r="K173" i="95"/>
  <c r="G138" i="96"/>
  <c r="H138" i="96"/>
  <c r="E139" i="96"/>
  <c r="F139" i="96" s="1"/>
  <c r="S97" i="96"/>
  <c r="T96" i="96"/>
  <c r="U95" i="96"/>
  <c r="V95" i="96" s="1"/>
  <c r="H173" i="95" l="1"/>
  <c r="G173" i="95"/>
  <c r="R166" i="95"/>
  <c r="T166" i="95" s="1"/>
  <c r="T165" i="95"/>
  <c r="U165" i="95" s="1"/>
  <c r="D175" i="95"/>
  <c r="K174" i="95"/>
  <c r="E174" i="95"/>
  <c r="F174" i="95" s="1"/>
  <c r="Q167" i="95"/>
  <c r="S166" i="95"/>
  <c r="S98" i="96"/>
  <c r="T97" i="96"/>
  <c r="E140" i="96"/>
  <c r="F140" i="96" s="1"/>
  <c r="U96" i="96"/>
  <c r="V96" i="96" s="1"/>
  <c r="H139" i="96"/>
  <c r="G139" i="96"/>
  <c r="D176" i="95" l="1"/>
  <c r="K175" i="95"/>
  <c r="E175" i="95"/>
  <c r="F175" i="95" s="1"/>
  <c r="U166" i="95"/>
  <c r="S167" i="95"/>
  <c r="Q168" i="95"/>
  <c r="R167" i="95"/>
  <c r="G174" i="95"/>
  <c r="H174" i="95"/>
  <c r="U97" i="96"/>
  <c r="V97" i="96" s="1"/>
  <c r="E141" i="96"/>
  <c r="F141" i="96" s="1"/>
  <c r="S99" i="96"/>
  <c r="T98" i="96"/>
  <c r="H140" i="96"/>
  <c r="G140" i="96"/>
  <c r="H175" i="95" l="1"/>
  <c r="G175" i="95"/>
  <c r="Q169" i="95"/>
  <c r="S168" i="95"/>
  <c r="D177" i="95"/>
  <c r="E176" i="95"/>
  <c r="F176" i="95" s="1"/>
  <c r="K176" i="95"/>
  <c r="R168" i="95"/>
  <c r="T167" i="95"/>
  <c r="U167" i="95" s="1"/>
  <c r="E142" i="96"/>
  <c r="F142" i="96" s="1"/>
  <c r="U98" i="96"/>
  <c r="V98" i="96" s="1"/>
  <c r="H141" i="96"/>
  <c r="G141" i="96"/>
  <c r="S100" i="96"/>
  <c r="T99" i="96"/>
  <c r="H176" i="95" l="1"/>
  <c r="G176" i="95"/>
  <c r="D178" i="95"/>
  <c r="E177" i="95"/>
  <c r="F177" i="95" s="1"/>
  <c r="K177" i="95"/>
  <c r="Q170" i="95"/>
  <c r="S169" i="95"/>
  <c r="R169" i="95"/>
  <c r="T168" i="95"/>
  <c r="U168" i="95" s="1"/>
  <c r="S101" i="96"/>
  <c r="T100" i="96"/>
  <c r="U99" i="96"/>
  <c r="V99" i="96" s="1"/>
  <c r="E143" i="96"/>
  <c r="F143" i="96" s="1"/>
  <c r="H142" i="96"/>
  <c r="G142" i="96"/>
  <c r="G177" i="95" l="1"/>
  <c r="H177" i="95"/>
  <c r="Q171" i="95"/>
  <c r="S170" i="95"/>
  <c r="R170" i="95"/>
  <c r="T169" i="95"/>
  <c r="U169" i="95" s="1"/>
  <c r="D179" i="95"/>
  <c r="E178" i="95"/>
  <c r="F178" i="95" s="1"/>
  <c r="K178" i="95"/>
  <c r="H143" i="96"/>
  <c r="G143" i="96"/>
  <c r="E144" i="96"/>
  <c r="F144" i="96" s="1"/>
  <c r="U100" i="96"/>
  <c r="V100" i="96" s="1"/>
  <c r="S102" i="96"/>
  <c r="T101" i="96"/>
  <c r="Q172" i="95" l="1"/>
  <c r="S171" i="95"/>
  <c r="R171" i="95"/>
  <c r="T170" i="95"/>
  <c r="U170" i="95" s="1"/>
  <c r="H178" i="95"/>
  <c r="G178" i="95"/>
  <c r="D180" i="95"/>
  <c r="K179" i="95"/>
  <c r="E179" i="95"/>
  <c r="F179" i="95" s="1"/>
  <c r="E145" i="96"/>
  <c r="F145" i="96" s="1"/>
  <c r="S103" i="96"/>
  <c r="T102" i="96"/>
  <c r="H144" i="96"/>
  <c r="G144" i="96"/>
  <c r="U101" i="96"/>
  <c r="V101" i="96" s="1"/>
  <c r="J11" i="45"/>
  <c r="R172" i="95" l="1"/>
  <c r="T171" i="95"/>
  <c r="U171" i="95" s="1"/>
  <c r="Q173" i="95"/>
  <c r="S172" i="95"/>
  <c r="G179" i="95"/>
  <c r="H179" i="95"/>
  <c r="D181" i="95"/>
  <c r="K180" i="95"/>
  <c r="E180" i="95"/>
  <c r="F180" i="95" s="1"/>
  <c r="S104" i="96"/>
  <c r="T103" i="96"/>
  <c r="G145" i="96"/>
  <c r="H145" i="96"/>
  <c r="U102" i="96"/>
  <c r="V102" i="96" s="1"/>
  <c r="E146" i="96"/>
  <c r="F146" i="96" s="1"/>
  <c r="K47" i="46"/>
  <c r="C47" i="46" s="1"/>
  <c r="H180" i="95" l="1"/>
  <c r="G180" i="95"/>
  <c r="Q174" i="95"/>
  <c r="S173" i="95"/>
  <c r="D182" i="95"/>
  <c r="K181" i="95"/>
  <c r="E181" i="95"/>
  <c r="F181" i="95" s="1"/>
  <c r="R173" i="95"/>
  <c r="T172" i="95"/>
  <c r="U172" i="95" s="1"/>
  <c r="S105" i="96"/>
  <c r="T104" i="96"/>
  <c r="U103" i="96"/>
  <c r="V103" i="96" s="1"/>
  <c r="G146" i="96"/>
  <c r="H146" i="96"/>
  <c r="E147" i="96"/>
  <c r="F147" i="96" s="1"/>
  <c r="D48" i="46"/>
  <c r="E47" i="46"/>
  <c r="F47" i="46" s="1"/>
  <c r="D23" i="46"/>
  <c r="J12" i="46"/>
  <c r="J13" i="46" s="1"/>
  <c r="J14" i="46" s="1"/>
  <c r="J15" i="46" s="1"/>
  <c r="J16" i="46" s="1"/>
  <c r="J17" i="46" s="1"/>
  <c r="J18" i="46" s="1"/>
  <c r="J19" i="46" s="1"/>
  <c r="J20" i="46" s="1"/>
  <c r="J21" i="46" s="1"/>
  <c r="J22" i="46" s="1"/>
  <c r="D183" i="95" l="1"/>
  <c r="E182" i="95"/>
  <c r="F182" i="95" s="1"/>
  <c r="K182" i="95"/>
  <c r="R174" i="95"/>
  <c r="T173" i="95"/>
  <c r="U173" i="95" s="1"/>
  <c r="Q175" i="95"/>
  <c r="S174" i="95"/>
  <c r="G181" i="95"/>
  <c r="H181" i="95"/>
  <c r="G147" i="96"/>
  <c r="H147" i="96"/>
  <c r="S106" i="96"/>
  <c r="R107" i="96" s="1"/>
  <c r="R108" i="96" s="1"/>
  <c r="R109" i="96" s="1"/>
  <c r="R110" i="96" s="1"/>
  <c r="R111" i="96" s="1"/>
  <c r="R112" i="96" s="1"/>
  <c r="R113" i="96" s="1"/>
  <c r="R114" i="96" s="1"/>
  <c r="R115" i="96" s="1"/>
  <c r="R116" i="96" s="1"/>
  <c r="R117" i="96" s="1"/>
  <c r="R118" i="96" s="1"/>
  <c r="T105" i="96"/>
  <c r="U104" i="96"/>
  <c r="V104" i="96" s="1"/>
  <c r="E148" i="96"/>
  <c r="F148" i="96" s="1"/>
  <c r="E48" i="46"/>
  <c r="F48" i="46" s="1"/>
  <c r="H48" i="46" s="1"/>
  <c r="K48" i="46"/>
  <c r="C48" i="46" s="1"/>
  <c r="D24" i="46"/>
  <c r="K23" i="46"/>
  <c r="C23" i="46" s="1"/>
  <c r="D49" i="46"/>
  <c r="G47" i="46"/>
  <c r="H47" i="46"/>
  <c r="E23" i="46"/>
  <c r="F23" i="46" s="1"/>
  <c r="H23" i="46" s="1"/>
  <c r="K47" i="45"/>
  <c r="C47" i="45" s="1"/>
  <c r="J24" i="45"/>
  <c r="J25" i="45" s="1"/>
  <c r="J26" i="45" s="1"/>
  <c r="J27" i="45" s="1"/>
  <c r="J28" i="45" s="1"/>
  <c r="J29" i="45" s="1"/>
  <c r="J30" i="45" s="1"/>
  <c r="J31" i="45" s="1"/>
  <c r="J32" i="45" s="1"/>
  <c r="J33" i="45" s="1"/>
  <c r="J34" i="45" s="1"/>
  <c r="R175" i="95" l="1"/>
  <c r="T174" i="95"/>
  <c r="E24" i="46"/>
  <c r="F24" i="46" s="1"/>
  <c r="G24" i="46" s="1"/>
  <c r="G182" i="95"/>
  <c r="H182" i="95"/>
  <c r="U174" i="95"/>
  <c r="Q176" i="95"/>
  <c r="S175" i="95"/>
  <c r="D184" i="95"/>
  <c r="E183" i="95"/>
  <c r="F183" i="95" s="1"/>
  <c r="K183" i="95"/>
  <c r="U106" i="96"/>
  <c r="U105" i="96"/>
  <c r="V105" i="96" s="1"/>
  <c r="S107" i="96"/>
  <c r="T106" i="96"/>
  <c r="G148" i="96"/>
  <c r="H148" i="96"/>
  <c r="E149" i="96"/>
  <c r="F149" i="96" s="1"/>
  <c r="G48" i="46"/>
  <c r="E49" i="46"/>
  <c r="F49" i="46" s="1"/>
  <c r="H49" i="46" s="1"/>
  <c r="K49" i="46"/>
  <c r="C49" i="46" s="1"/>
  <c r="D25" i="46"/>
  <c r="K24" i="46"/>
  <c r="C24" i="46" s="1"/>
  <c r="D50" i="46"/>
  <c r="G23" i="46"/>
  <c r="E47" i="45"/>
  <c r="F47" i="45" s="1"/>
  <c r="D48" i="45"/>
  <c r="D47" i="50"/>
  <c r="N11" i="50"/>
  <c r="N12" i="50" s="1"/>
  <c r="N13" i="50" s="1"/>
  <c r="N14" i="50" s="1"/>
  <c r="N15" i="50" s="1"/>
  <c r="N16" i="50" s="1"/>
  <c r="N17" i="50" s="1"/>
  <c r="N18" i="50" s="1"/>
  <c r="N19" i="50" s="1"/>
  <c r="N20" i="50" s="1"/>
  <c r="N21" i="50" s="1"/>
  <c r="N22" i="50" s="1"/>
  <c r="N23" i="50" s="1"/>
  <c r="N24" i="50" s="1"/>
  <c r="N25" i="50" s="1"/>
  <c r="N26" i="50" s="1"/>
  <c r="N27" i="50" s="1"/>
  <c r="N28" i="50" s="1"/>
  <c r="N29" i="50" s="1"/>
  <c r="N30" i="50" s="1"/>
  <c r="N31" i="50" s="1"/>
  <c r="N32" i="50" s="1"/>
  <c r="N33" i="50" s="1"/>
  <c r="N34" i="50" s="1"/>
  <c r="N35" i="50" s="1"/>
  <c r="N36" i="50" s="1"/>
  <c r="N37" i="50" s="1"/>
  <c r="N38" i="50" s="1"/>
  <c r="N39" i="50" s="1"/>
  <c r="N40" i="50" s="1"/>
  <c r="N41" i="50" s="1"/>
  <c r="N42" i="50" s="1"/>
  <c r="N43" i="50" s="1"/>
  <c r="N44" i="50" s="1"/>
  <c r="N45" i="50" s="1"/>
  <c r="N46" i="50" s="1"/>
  <c r="N47" i="50" s="1"/>
  <c r="N48" i="50" s="1"/>
  <c r="N49" i="50" s="1"/>
  <c r="N50" i="50" s="1"/>
  <c r="N51" i="50" s="1"/>
  <c r="N52" i="50" s="1"/>
  <c r="N53" i="50" s="1"/>
  <c r="N54" i="50" s="1"/>
  <c r="N55" i="50" s="1"/>
  <c r="N56" i="50" s="1"/>
  <c r="N57" i="50" s="1"/>
  <c r="N58" i="50" s="1"/>
  <c r="H24" i="46" l="1"/>
  <c r="V106" i="96"/>
  <c r="G183" i="95"/>
  <c r="H183" i="95"/>
  <c r="D185" i="95"/>
  <c r="K184" i="95"/>
  <c r="E184" i="95"/>
  <c r="F184" i="95" s="1"/>
  <c r="Q177" i="95"/>
  <c r="S176" i="95"/>
  <c r="R176" i="95"/>
  <c r="T175" i="95"/>
  <c r="U175" i="95" s="1"/>
  <c r="S108" i="96"/>
  <c r="T107" i="96"/>
  <c r="G149" i="96"/>
  <c r="H149" i="96"/>
  <c r="E150" i="96"/>
  <c r="F150" i="96" s="1"/>
  <c r="K50" i="46"/>
  <c r="C50" i="46" s="1"/>
  <c r="K48" i="45"/>
  <c r="C48" i="45" s="1"/>
  <c r="G49" i="46"/>
  <c r="D48" i="50"/>
  <c r="K47" i="50"/>
  <c r="E50" i="46"/>
  <c r="F50" i="46" s="1"/>
  <c r="H50" i="46" s="1"/>
  <c r="D51" i="46"/>
  <c r="D26" i="46"/>
  <c r="K25" i="46"/>
  <c r="C25" i="46" s="1"/>
  <c r="E25" i="46"/>
  <c r="F25" i="46" s="1"/>
  <c r="E48" i="45"/>
  <c r="F48" i="45" s="1"/>
  <c r="D49" i="45"/>
  <c r="G47" i="45"/>
  <c r="H47" i="45"/>
  <c r="D47" i="63"/>
  <c r="N23" i="45"/>
  <c r="P23" i="45" s="1"/>
  <c r="L23" i="45"/>
  <c r="I23" i="45"/>
  <c r="D34" i="45"/>
  <c r="D33" i="45"/>
  <c r="D32" i="45"/>
  <c r="D31" i="45"/>
  <c r="D30" i="45"/>
  <c r="D29" i="45"/>
  <c r="D28" i="45"/>
  <c r="D27" i="45"/>
  <c r="D26" i="45"/>
  <c r="D25" i="45"/>
  <c r="Q24" i="45"/>
  <c r="Q25" i="45" s="1"/>
  <c r="Q26" i="45" s="1"/>
  <c r="Q27" i="45" s="1"/>
  <c r="Q28" i="45" s="1"/>
  <c r="Q29" i="45" s="1"/>
  <c r="Q30" i="45" s="1"/>
  <c r="Q31" i="45" s="1"/>
  <c r="Q32" i="45" s="1"/>
  <c r="Q33" i="45" s="1"/>
  <c r="Q34" i="45" s="1"/>
  <c r="D24" i="45"/>
  <c r="D23" i="45"/>
  <c r="Q12" i="45"/>
  <c r="Q13" i="45" s="1"/>
  <c r="Q14" i="45" s="1"/>
  <c r="Q15" i="45" s="1"/>
  <c r="Q16" i="45" s="1"/>
  <c r="Q17" i="45" s="1"/>
  <c r="Q18" i="45" s="1"/>
  <c r="Q19" i="45" s="1"/>
  <c r="Q20" i="45" s="1"/>
  <c r="Q21" i="45" s="1"/>
  <c r="Q22" i="45" s="1"/>
  <c r="B12" i="45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N11" i="45"/>
  <c r="P11" i="45" s="1"/>
  <c r="P12" i="45" s="1"/>
  <c r="P13" i="45" s="1"/>
  <c r="P14" i="45" s="1"/>
  <c r="P15" i="45" s="1"/>
  <c r="P16" i="45" s="1"/>
  <c r="P17" i="45" s="1"/>
  <c r="L11" i="45"/>
  <c r="L12" i="45" s="1"/>
  <c r="L13" i="45" s="1"/>
  <c r="L14" i="45" s="1"/>
  <c r="L15" i="45" s="1"/>
  <c r="L16" i="45" s="1"/>
  <c r="L17" i="45" s="1"/>
  <c r="J12" i="45"/>
  <c r="J13" i="45" s="1"/>
  <c r="J14" i="45" s="1"/>
  <c r="J15" i="45" s="1"/>
  <c r="J16" i="45" s="1"/>
  <c r="J17" i="45" s="1"/>
  <c r="J18" i="45" s="1"/>
  <c r="J19" i="45" s="1"/>
  <c r="J20" i="45" s="1"/>
  <c r="J21" i="45" s="1"/>
  <c r="J22" i="45" s="1"/>
  <c r="I11" i="45"/>
  <c r="I12" i="45" s="1"/>
  <c r="I13" i="45" s="1"/>
  <c r="I14" i="45" s="1"/>
  <c r="I15" i="45" s="1"/>
  <c r="I16" i="45" s="1"/>
  <c r="I17" i="45" s="1"/>
  <c r="B10" i="45"/>
  <c r="K29" i="45" l="1"/>
  <c r="C29" i="45" s="1"/>
  <c r="K23" i="45"/>
  <c r="C23" i="45" s="1"/>
  <c r="K30" i="45"/>
  <c r="C30" i="45" s="1"/>
  <c r="D48" i="63"/>
  <c r="Q178" i="95"/>
  <c r="S178" i="95" s="1"/>
  <c r="S177" i="95"/>
  <c r="K24" i="45"/>
  <c r="C24" i="45" s="1"/>
  <c r="K31" i="45"/>
  <c r="C31" i="45" s="1"/>
  <c r="K32" i="45"/>
  <c r="C32" i="45" s="1"/>
  <c r="H184" i="95"/>
  <c r="G184" i="95"/>
  <c r="K25" i="45"/>
  <c r="C25" i="45" s="1"/>
  <c r="K28" i="45"/>
  <c r="C28" i="45" s="1"/>
  <c r="K26" i="45"/>
  <c r="C26" i="45" s="1"/>
  <c r="K34" i="45"/>
  <c r="C34" i="45" s="1"/>
  <c r="R177" i="95"/>
  <c r="T176" i="95"/>
  <c r="U176" i="95" s="1"/>
  <c r="K33" i="45"/>
  <c r="C33" i="45" s="1"/>
  <c r="C49" i="45"/>
  <c r="K27" i="45"/>
  <c r="C27" i="45" s="1"/>
  <c r="E51" i="46"/>
  <c r="F51" i="46" s="1"/>
  <c r="G51" i="46" s="1"/>
  <c r="D186" i="95"/>
  <c r="E185" i="95"/>
  <c r="F185" i="95" s="1"/>
  <c r="K185" i="95"/>
  <c r="S109" i="96"/>
  <c r="T108" i="96"/>
  <c r="U107" i="96"/>
  <c r="V107" i="96" s="1"/>
  <c r="H150" i="96"/>
  <c r="G150" i="96"/>
  <c r="E151" i="96"/>
  <c r="F151" i="96" s="1"/>
  <c r="K49" i="45"/>
  <c r="G50" i="46"/>
  <c r="D49" i="50"/>
  <c r="K48" i="50"/>
  <c r="D52" i="46"/>
  <c r="K51" i="46"/>
  <c r="C51" i="46" s="1"/>
  <c r="H25" i="46"/>
  <c r="G25" i="46"/>
  <c r="D27" i="46"/>
  <c r="K26" i="46"/>
  <c r="C26" i="46" s="1"/>
  <c r="E26" i="46"/>
  <c r="F26" i="46" s="1"/>
  <c r="L18" i="45"/>
  <c r="L19" i="45" s="1"/>
  <c r="L20" i="45" s="1"/>
  <c r="L21" i="45" s="1"/>
  <c r="L22" i="45" s="1"/>
  <c r="P18" i="45"/>
  <c r="P19" i="45" s="1"/>
  <c r="P20" i="45" s="1"/>
  <c r="P21" i="45" s="1"/>
  <c r="P22" i="45" s="1"/>
  <c r="I18" i="45"/>
  <c r="I19" i="45" s="1"/>
  <c r="I20" i="45" s="1"/>
  <c r="I21" i="45" s="1"/>
  <c r="I22" i="45" s="1"/>
  <c r="H51" i="46"/>
  <c r="E49" i="45"/>
  <c r="F49" i="45" s="1"/>
  <c r="D50" i="45"/>
  <c r="G48" i="45"/>
  <c r="H48" i="45"/>
  <c r="E23" i="45"/>
  <c r="F23" i="45" s="1"/>
  <c r="G23" i="45" s="1"/>
  <c r="E26" i="45"/>
  <c r="F26" i="45" s="1"/>
  <c r="G26" i="45" s="1"/>
  <c r="E28" i="45"/>
  <c r="F28" i="45" s="1"/>
  <c r="G28" i="45" s="1"/>
  <c r="E30" i="45"/>
  <c r="F30" i="45" s="1"/>
  <c r="G30" i="45" s="1"/>
  <c r="E32" i="45"/>
  <c r="F32" i="45" s="1"/>
  <c r="G32" i="45" s="1"/>
  <c r="E34" i="45"/>
  <c r="F34" i="45" s="1"/>
  <c r="G34" i="45" s="1"/>
  <c r="E25" i="45"/>
  <c r="F25" i="45" s="1"/>
  <c r="H25" i="45" s="1"/>
  <c r="E27" i="45"/>
  <c r="F27" i="45" s="1"/>
  <c r="G27" i="45" s="1"/>
  <c r="E29" i="45"/>
  <c r="F29" i="45" s="1"/>
  <c r="H29" i="45" s="1"/>
  <c r="E31" i="45"/>
  <c r="F31" i="45" s="1"/>
  <c r="G31" i="45" s="1"/>
  <c r="E33" i="45"/>
  <c r="F33" i="45" s="1"/>
  <c r="H33" i="45" s="1"/>
  <c r="I24" i="45"/>
  <c r="I25" i="45" s="1"/>
  <c r="I26" i="45" s="1"/>
  <c r="I27" i="45" s="1"/>
  <c r="I28" i="45" s="1"/>
  <c r="I29" i="45" s="1"/>
  <c r="I30" i="45" s="1"/>
  <c r="I31" i="45" s="1"/>
  <c r="I32" i="45" s="1"/>
  <c r="I33" i="45" s="1"/>
  <c r="I34" i="45" s="1"/>
  <c r="E24" i="45"/>
  <c r="F24" i="45" s="1"/>
  <c r="H24" i="45" s="1"/>
  <c r="N12" i="45"/>
  <c r="N13" i="45" s="1"/>
  <c r="N14" i="45" s="1"/>
  <c r="N15" i="45" s="1"/>
  <c r="N16" i="45" s="1"/>
  <c r="N17" i="45" s="1"/>
  <c r="D187" i="95" l="1"/>
  <c r="K186" i="95"/>
  <c r="E186" i="95"/>
  <c r="F186" i="95" s="1"/>
  <c r="D49" i="63"/>
  <c r="R178" i="95"/>
  <c r="T177" i="95"/>
  <c r="U177" i="95" s="1"/>
  <c r="G185" i="95"/>
  <c r="H185" i="95"/>
  <c r="U108" i="96"/>
  <c r="V108" i="96" s="1"/>
  <c r="E152" i="96"/>
  <c r="F152" i="96" s="1"/>
  <c r="H151" i="96"/>
  <c r="G151" i="96"/>
  <c r="S110" i="96"/>
  <c r="T109" i="96"/>
  <c r="K52" i="46"/>
  <c r="C52" i="46" s="1"/>
  <c r="K50" i="45"/>
  <c r="C50" i="45" s="1"/>
  <c r="D53" i="46"/>
  <c r="E52" i="46"/>
  <c r="F52" i="46" s="1"/>
  <c r="G52" i="46" s="1"/>
  <c r="D50" i="50"/>
  <c r="K49" i="50"/>
  <c r="D28" i="46"/>
  <c r="K27" i="46"/>
  <c r="C27" i="46" s="1"/>
  <c r="E27" i="46"/>
  <c r="F27" i="46" s="1"/>
  <c r="G26" i="46"/>
  <c r="H26" i="46"/>
  <c r="N18" i="45"/>
  <c r="N19" i="45" s="1"/>
  <c r="N20" i="45" s="1"/>
  <c r="N21" i="45" s="1"/>
  <c r="N22" i="45" s="1"/>
  <c r="E50" i="45"/>
  <c r="F50" i="45" s="1"/>
  <c r="D51" i="45"/>
  <c r="G49" i="45"/>
  <c r="H49" i="45"/>
  <c r="H34" i="45"/>
  <c r="H26" i="45"/>
  <c r="H31" i="45"/>
  <c r="H28" i="45"/>
  <c r="H32" i="45"/>
  <c r="G25" i="45"/>
  <c r="G33" i="45"/>
  <c r="G29" i="45"/>
  <c r="H30" i="45"/>
  <c r="H27" i="45"/>
  <c r="H23" i="45"/>
  <c r="G24" i="45"/>
  <c r="L24" i="45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P24" i="45"/>
  <c r="P25" i="45" s="1"/>
  <c r="P26" i="45" s="1"/>
  <c r="P27" i="45" s="1"/>
  <c r="P28" i="45" s="1"/>
  <c r="P29" i="45" s="1"/>
  <c r="P30" i="45" s="1"/>
  <c r="P31" i="45" s="1"/>
  <c r="P32" i="45" s="1"/>
  <c r="P33" i="45" s="1"/>
  <c r="P34" i="45" s="1"/>
  <c r="N24" i="45"/>
  <c r="N25" i="45" s="1"/>
  <c r="N26" i="45" s="1"/>
  <c r="N27" i="45" s="1"/>
  <c r="N28" i="45" s="1"/>
  <c r="N29" i="45" s="1"/>
  <c r="N30" i="45" s="1"/>
  <c r="N31" i="45" s="1"/>
  <c r="N32" i="45" s="1"/>
  <c r="N33" i="45" s="1"/>
  <c r="N34" i="45" s="1"/>
  <c r="D50" i="63" l="1"/>
  <c r="Q179" i="95"/>
  <c r="T178" i="95"/>
  <c r="U178" i="95" s="1"/>
  <c r="G186" i="95"/>
  <c r="H186" i="95"/>
  <c r="D188" i="95"/>
  <c r="K187" i="95"/>
  <c r="E187" i="95"/>
  <c r="F187" i="95" s="1"/>
  <c r="H152" i="96"/>
  <c r="G152" i="96"/>
  <c r="E153" i="96"/>
  <c r="F153" i="96" s="1"/>
  <c r="U109" i="96"/>
  <c r="V109" i="96" s="1"/>
  <c r="S111" i="96"/>
  <c r="T110" i="96"/>
  <c r="K53" i="46"/>
  <c r="C53" i="46" s="1"/>
  <c r="K51" i="45"/>
  <c r="C51" i="45" s="1"/>
  <c r="D54" i="46"/>
  <c r="H52" i="46"/>
  <c r="E53" i="46"/>
  <c r="F53" i="46" s="1"/>
  <c r="H53" i="46" s="1"/>
  <c r="D51" i="50"/>
  <c r="K50" i="50"/>
  <c r="G27" i="46"/>
  <c r="H27" i="46"/>
  <c r="D29" i="46"/>
  <c r="K28" i="46"/>
  <c r="C28" i="46" s="1"/>
  <c r="E28" i="46"/>
  <c r="F28" i="46" s="1"/>
  <c r="E51" i="45"/>
  <c r="F51" i="45" s="1"/>
  <c r="D52" i="45"/>
  <c r="G50" i="45"/>
  <c r="H50" i="45"/>
  <c r="G187" i="95" l="1"/>
  <c r="H187" i="95"/>
  <c r="S179" i="95"/>
  <c r="Q180" i="95"/>
  <c r="R179" i="95"/>
  <c r="D189" i="95"/>
  <c r="K188" i="95"/>
  <c r="E188" i="95"/>
  <c r="F188" i="95" s="1"/>
  <c r="D51" i="63"/>
  <c r="U110" i="96"/>
  <c r="V110" i="96" s="1"/>
  <c r="S112" i="96"/>
  <c r="T111" i="96"/>
  <c r="G153" i="96"/>
  <c r="H153" i="96"/>
  <c r="E154" i="96"/>
  <c r="F154" i="96" s="1"/>
  <c r="K54" i="46"/>
  <c r="C54" i="46" s="1"/>
  <c r="K52" i="45"/>
  <c r="C52" i="45" s="1"/>
  <c r="D55" i="46"/>
  <c r="E54" i="46"/>
  <c r="F54" i="46" s="1"/>
  <c r="H54" i="46" s="1"/>
  <c r="G53" i="46"/>
  <c r="D52" i="50"/>
  <c r="K51" i="50"/>
  <c r="D30" i="46"/>
  <c r="K29" i="46"/>
  <c r="C29" i="46" s="1"/>
  <c r="E29" i="46"/>
  <c r="F29" i="46" s="1"/>
  <c r="H28" i="46"/>
  <c r="G28" i="46"/>
  <c r="E55" i="46"/>
  <c r="F55" i="46" s="1"/>
  <c r="E52" i="45"/>
  <c r="F52" i="45" s="1"/>
  <c r="D53" i="45"/>
  <c r="G51" i="45"/>
  <c r="H51" i="45"/>
  <c r="R180" i="95" l="1"/>
  <c r="T179" i="95"/>
  <c r="U179" i="95" s="1"/>
  <c r="D52" i="63"/>
  <c r="Q181" i="95"/>
  <c r="S180" i="95"/>
  <c r="H188" i="95"/>
  <c r="G188" i="95"/>
  <c r="D190" i="95"/>
  <c r="K189" i="95"/>
  <c r="E189" i="95"/>
  <c r="F189" i="95" s="1"/>
  <c r="G154" i="96"/>
  <c r="H154" i="96"/>
  <c r="S113" i="96"/>
  <c r="T112" i="96"/>
  <c r="U111" i="96"/>
  <c r="V111" i="96" s="1"/>
  <c r="K55" i="46"/>
  <c r="C55" i="46" s="1"/>
  <c r="K53" i="45"/>
  <c r="C53" i="45" s="1"/>
  <c r="G54" i="46"/>
  <c r="D56" i="46"/>
  <c r="D53" i="50"/>
  <c r="K52" i="50"/>
  <c r="D31" i="46"/>
  <c r="K30" i="46"/>
  <c r="C30" i="46" s="1"/>
  <c r="E30" i="46"/>
  <c r="F30" i="46" s="1"/>
  <c r="H29" i="46"/>
  <c r="G29" i="46"/>
  <c r="E56" i="46"/>
  <c r="F56" i="46" s="1"/>
  <c r="H55" i="46"/>
  <c r="G55" i="46"/>
  <c r="E53" i="45"/>
  <c r="F53" i="45" s="1"/>
  <c r="D54" i="45"/>
  <c r="G52" i="45"/>
  <c r="H52" i="45"/>
  <c r="D191" i="95" l="1"/>
  <c r="E190" i="95"/>
  <c r="F190" i="95" s="1"/>
  <c r="K190" i="95"/>
  <c r="Q182" i="95"/>
  <c r="S181" i="95"/>
  <c r="D53" i="63"/>
  <c r="R181" i="95"/>
  <c r="T180" i="95"/>
  <c r="U180" i="95" s="1"/>
  <c r="H189" i="95"/>
  <c r="G189" i="95"/>
  <c r="S114" i="96"/>
  <c r="T113" i="96"/>
  <c r="U112" i="96"/>
  <c r="V112" i="96" s="1"/>
  <c r="K56" i="46"/>
  <c r="C56" i="46" s="1"/>
  <c r="K54" i="45"/>
  <c r="C54" i="45" s="1"/>
  <c r="D57" i="46"/>
  <c r="D54" i="50"/>
  <c r="K53" i="50"/>
  <c r="D32" i="46"/>
  <c r="K31" i="46"/>
  <c r="C31" i="46" s="1"/>
  <c r="E31" i="46"/>
  <c r="F31" i="46" s="1"/>
  <c r="G30" i="46"/>
  <c r="H30" i="46"/>
  <c r="E57" i="46"/>
  <c r="F57" i="46" s="1"/>
  <c r="H56" i="46"/>
  <c r="G56" i="46"/>
  <c r="E54" i="45"/>
  <c r="F54" i="45" s="1"/>
  <c r="D55" i="45"/>
  <c r="G53" i="45"/>
  <c r="H53" i="45"/>
  <c r="R182" i="95" l="1"/>
  <c r="T181" i="95"/>
  <c r="U181" i="95" s="1"/>
  <c r="Q183" i="95"/>
  <c r="S182" i="95"/>
  <c r="H190" i="95"/>
  <c r="G190" i="95"/>
  <c r="D192" i="95"/>
  <c r="E191" i="95"/>
  <c r="F191" i="95" s="1"/>
  <c r="K191" i="95"/>
  <c r="D54" i="63"/>
  <c r="U113" i="96"/>
  <c r="V113" i="96" s="1"/>
  <c r="S115" i="96"/>
  <c r="T114" i="96"/>
  <c r="K57" i="46"/>
  <c r="C57" i="46" s="1"/>
  <c r="K55" i="45"/>
  <c r="C55" i="45" s="1"/>
  <c r="D58" i="46"/>
  <c r="D55" i="50"/>
  <c r="K54" i="50"/>
  <c r="D33" i="46"/>
  <c r="K32" i="46"/>
  <c r="C32" i="46" s="1"/>
  <c r="E32" i="46"/>
  <c r="F32" i="46" s="1"/>
  <c r="G31" i="46"/>
  <c r="H31" i="46"/>
  <c r="H57" i="46"/>
  <c r="G57" i="46"/>
  <c r="E55" i="45"/>
  <c r="F55" i="45" s="1"/>
  <c r="D56" i="45"/>
  <c r="G54" i="45"/>
  <c r="H54" i="45"/>
  <c r="G191" i="95" l="1"/>
  <c r="H191" i="95"/>
  <c r="Q184" i="95"/>
  <c r="S183" i="95"/>
  <c r="R183" i="95"/>
  <c r="T182" i="95"/>
  <c r="U182" i="95" s="1"/>
  <c r="D193" i="95"/>
  <c r="E192" i="95"/>
  <c r="F192" i="95" s="1"/>
  <c r="K192" i="95"/>
  <c r="D55" i="63"/>
  <c r="U114" i="96"/>
  <c r="V114" i="96" s="1"/>
  <c r="S116" i="96"/>
  <c r="T115" i="96"/>
  <c r="E58" i="46"/>
  <c r="F58" i="46" s="1"/>
  <c r="H58" i="46" s="1"/>
  <c r="K56" i="45"/>
  <c r="C56" i="45" s="1"/>
  <c r="K58" i="46"/>
  <c r="C58" i="46" s="1"/>
  <c r="D56" i="50"/>
  <c r="K55" i="50"/>
  <c r="H32" i="46"/>
  <c r="G32" i="46"/>
  <c r="D34" i="46"/>
  <c r="K33" i="46"/>
  <c r="C33" i="46" s="1"/>
  <c r="E33" i="46"/>
  <c r="F33" i="46" s="1"/>
  <c r="E56" i="45"/>
  <c r="F56" i="45" s="1"/>
  <c r="D57" i="45"/>
  <c r="G55" i="45"/>
  <c r="H55" i="45"/>
  <c r="G192" i="95" l="1"/>
  <c r="H192" i="95"/>
  <c r="D194" i="95"/>
  <c r="K193" i="95"/>
  <c r="E193" i="95"/>
  <c r="F193" i="95" s="1"/>
  <c r="Q185" i="95"/>
  <c r="S184" i="95"/>
  <c r="G58" i="46"/>
  <c r="D56" i="63"/>
  <c r="R184" i="95"/>
  <c r="T183" i="95"/>
  <c r="U183" i="95" s="1"/>
  <c r="U115" i="96"/>
  <c r="V115" i="96" s="1"/>
  <c r="S117" i="96"/>
  <c r="T116" i="96"/>
  <c r="K57" i="45"/>
  <c r="C57" i="45" s="1"/>
  <c r="D57" i="50"/>
  <c r="K56" i="50"/>
  <c r="K34" i="46"/>
  <c r="C34" i="46" s="1"/>
  <c r="E34" i="46"/>
  <c r="F34" i="46" s="1"/>
  <c r="H33" i="46"/>
  <c r="G33" i="46"/>
  <c r="E57" i="45"/>
  <c r="F57" i="45" s="1"/>
  <c r="D58" i="45"/>
  <c r="G56" i="45"/>
  <c r="H56" i="45"/>
  <c r="G193" i="95" l="1"/>
  <c r="H193" i="95"/>
  <c r="D57" i="63"/>
  <c r="D195" i="95"/>
  <c r="E194" i="95"/>
  <c r="F194" i="95" s="1"/>
  <c r="K194" i="95"/>
  <c r="R185" i="95"/>
  <c r="T184" i="95"/>
  <c r="U184" i="95" s="1"/>
  <c r="Q186" i="95"/>
  <c r="S185" i="95"/>
  <c r="S118" i="96"/>
  <c r="R119" i="96" s="1"/>
  <c r="R120" i="96" s="1"/>
  <c r="R121" i="96" s="1"/>
  <c r="R122" i="96" s="1"/>
  <c r="R123" i="96" s="1"/>
  <c r="R124" i="96" s="1"/>
  <c r="R125" i="96" s="1"/>
  <c r="R126" i="96" s="1"/>
  <c r="R127" i="96" s="1"/>
  <c r="R128" i="96" s="1"/>
  <c r="R129" i="96" s="1"/>
  <c r="R130" i="96" s="1"/>
  <c r="T117" i="96"/>
  <c r="U116" i="96"/>
  <c r="V116" i="96" s="1"/>
  <c r="D58" i="50"/>
  <c r="K57" i="50"/>
  <c r="G34" i="46"/>
  <c r="H34" i="46"/>
  <c r="K58" i="45"/>
  <c r="C58" i="45" s="1"/>
  <c r="E58" i="45"/>
  <c r="F58" i="45" s="1"/>
  <c r="G57" i="45"/>
  <c r="H57" i="45"/>
  <c r="D196" i="95" l="1"/>
  <c r="K195" i="95"/>
  <c r="E195" i="95"/>
  <c r="F195" i="95" s="1"/>
  <c r="R186" i="95"/>
  <c r="T185" i="95"/>
  <c r="U185" i="95" s="1"/>
  <c r="Q187" i="95"/>
  <c r="S186" i="95"/>
  <c r="K58" i="50"/>
  <c r="D58" i="63"/>
  <c r="G194" i="95"/>
  <c r="H194" i="95"/>
  <c r="U117" i="96"/>
  <c r="V117" i="96" s="1"/>
  <c r="S119" i="96"/>
  <c r="T118" i="96"/>
  <c r="G58" i="45"/>
  <c r="H58" i="45"/>
  <c r="Q188" i="95" l="1"/>
  <c r="S187" i="95"/>
  <c r="R187" i="95"/>
  <c r="T186" i="95"/>
  <c r="U186" i="95" s="1"/>
  <c r="G195" i="95"/>
  <c r="H195" i="95"/>
  <c r="D197" i="95"/>
  <c r="K196" i="95"/>
  <c r="E196" i="95"/>
  <c r="F196" i="95" s="1"/>
  <c r="S120" i="96"/>
  <c r="T119" i="96"/>
  <c r="U118" i="96"/>
  <c r="V118" i="96" s="1"/>
  <c r="D155" i="47"/>
  <c r="R188" i="95" l="1"/>
  <c r="T187" i="95"/>
  <c r="U187" i="95" s="1"/>
  <c r="H196" i="95"/>
  <c r="G196" i="95"/>
  <c r="D156" i="47"/>
  <c r="D198" i="95"/>
  <c r="K197" i="95"/>
  <c r="E197" i="95"/>
  <c r="F197" i="95" s="1"/>
  <c r="Q189" i="95"/>
  <c r="S188" i="95"/>
  <c r="U119" i="96"/>
  <c r="V119" i="96" s="1"/>
  <c r="S121" i="96"/>
  <c r="T120" i="96"/>
  <c r="D36" i="82"/>
  <c r="D37" i="82"/>
  <c r="C37" i="82" s="1"/>
  <c r="D38" i="82"/>
  <c r="D39" i="82"/>
  <c r="D40" i="82"/>
  <c r="C40" i="82" s="1"/>
  <c r="D41" i="82"/>
  <c r="C41" i="82" s="1"/>
  <c r="D42" i="82"/>
  <c r="D43" i="82"/>
  <c r="D44" i="82"/>
  <c r="D45" i="82"/>
  <c r="C45" i="82" s="1"/>
  <c r="D46" i="82"/>
  <c r="D35" i="82"/>
  <c r="J46" i="82"/>
  <c r="K46" i="82" s="1"/>
  <c r="G46" i="82"/>
  <c r="F46" i="82"/>
  <c r="E46" i="82"/>
  <c r="J45" i="82"/>
  <c r="K45" i="82" s="1"/>
  <c r="G45" i="82"/>
  <c r="F45" i="82"/>
  <c r="E45" i="82"/>
  <c r="J44" i="82"/>
  <c r="K44" i="82" s="1"/>
  <c r="G44" i="82"/>
  <c r="F44" i="82"/>
  <c r="E44" i="82"/>
  <c r="J43" i="82"/>
  <c r="K43" i="82" s="1"/>
  <c r="G43" i="82"/>
  <c r="F43" i="82"/>
  <c r="E43" i="82"/>
  <c r="J42" i="82"/>
  <c r="K42" i="82" s="1"/>
  <c r="G42" i="82"/>
  <c r="F42" i="82"/>
  <c r="E42" i="82"/>
  <c r="J41" i="82"/>
  <c r="K41" i="82" s="1"/>
  <c r="G41" i="82"/>
  <c r="F41" i="82"/>
  <c r="E41" i="82"/>
  <c r="J40" i="82"/>
  <c r="K40" i="82" s="1"/>
  <c r="G40" i="82"/>
  <c r="F40" i="82"/>
  <c r="E40" i="82"/>
  <c r="J39" i="82"/>
  <c r="K39" i="82" s="1"/>
  <c r="G39" i="82"/>
  <c r="F39" i="82"/>
  <c r="E39" i="82"/>
  <c r="J38" i="82"/>
  <c r="K38" i="82" s="1"/>
  <c r="G38" i="82"/>
  <c r="F38" i="82"/>
  <c r="E38" i="82"/>
  <c r="J37" i="82"/>
  <c r="K37" i="82" s="1"/>
  <c r="G37" i="82"/>
  <c r="F37" i="82"/>
  <c r="E37" i="82"/>
  <c r="J36" i="82"/>
  <c r="K36" i="82" s="1"/>
  <c r="G36" i="82"/>
  <c r="F36" i="82"/>
  <c r="E36" i="82"/>
  <c r="J35" i="82"/>
  <c r="K35" i="82" s="1"/>
  <c r="G35" i="82"/>
  <c r="F35" i="82"/>
  <c r="E35" i="82"/>
  <c r="D24" i="82"/>
  <c r="C24" i="82" s="1"/>
  <c r="D25" i="82"/>
  <c r="C25" i="82" s="1"/>
  <c r="D26" i="82"/>
  <c r="D27" i="82"/>
  <c r="D28" i="82"/>
  <c r="D29" i="82"/>
  <c r="C29" i="82" s="1"/>
  <c r="D30" i="82"/>
  <c r="D31" i="82"/>
  <c r="D32" i="82"/>
  <c r="C32" i="82" s="1"/>
  <c r="D33" i="82"/>
  <c r="C33" i="82" s="1"/>
  <c r="D34" i="82"/>
  <c r="C34" i="82" s="1"/>
  <c r="D23" i="82"/>
  <c r="J34" i="82"/>
  <c r="K34" i="82" s="1"/>
  <c r="G34" i="82"/>
  <c r="F34" i="82"/>
  <c r="E34" i="82"/>
  <c r="J33" i="82"/>
  <c r="K33" i="82" s="1"/>
  <c r="G33" i="82"/>
  <c r="F33" i="82"/>
  <c r="E33" i="82"/>
  <c r="J32" i="82"/>
  <c r="K32" i="82" s="1"/>
  <c r="G32" i="82"/>
  <c r="F32" i="82"/>
  <c r="E32" i="82"/>
  <c r="J31" i="82"/>
  <c r="K31" i="82" s="1"/>
  <c r="G31" i="82"/>
  <c r="F31" i="82"/>
  <c r="E31" i="82"/>
  <c r="J30" i="82"/>
  <c r="K30" i="82" s="1"/>
  <c r="G30" i="82"/>
  <c r="F30" i="82"/>
  <c r="E30" i="82"/>
  <c r="J29" i="82"/>
  <c r="K29" i="82" s="1"/>
  <c r="G29" i="82"/>
  <c r="F29" i="82"/>
  <c r="E29" i="82"/>
  <c r="J28" i="82"/>
  <c r="K28" i="82" s="1"/>
  <c r="G28" i="82"/>
  <c r="F28" i="82"/>
  <c r="E28" i="82"/>
  <c r="J27" i="82"/>
  <c r="K27" i="82" s="1"/>
  <c r="G27" i="82"/>
  <c r="F27" i="82"/>
  <c r="E27" i="82"/>
  <c r="J26" i="82"/>
  <c r="K26" i="82" s="1"/>
  <c r="G26" i="82"/>
  <c r="F26" i="82"/>
  <c r="E26" i="82"/>
  <c r="J25" i="82"/>
  <c r="K25" i="82" s="1"/>
  <c r="G25" i="82"/>
  <c r="F25" i="82"/>
  <c r="E25" i="82"/>
  <c r="J24" i="82"/>
  <c r="K24" i="82" s="1"/>
  <c r="G24" i="82"/>
  <c r="F24" i="82"/>
  <c r="E24" i="82"/>
  <c r="J23" i="82"/>
  <c r="K23" i="82" s="1"/>
  <c r="G23" i="82"/>
  <c r="F23" i="82"/>
  <c r="E23" i="82"/>
  <c r="F20" i="82"/>
  <c r="F21" i="82"/>
  <c r="F22" i="82"/>
  <c r="F19" i="82"/>
  <c r="J22" i="82"/>
  <c r="K22" i="82" s="1"/>
  <c r="G22" i="82"/>
  <c r="E22" i="82"/>
  <c r="D22" i="82"/>
  <c r="C22" i="82" s="1"/>
  <c r="J21" i="82"/>
  <c r="K21" i="82" s="1"/>
  <c r="G21" i="82"/>
  <c r="E21" i="82"/>
  <c r="D21" i="82"/>
  <c r="J20" i="82"/>
  <c r="K20" i="82" s="1"/>
  <c r="G20" i="82"/>
  <c r="E20" i="82"/>
  <c r="D20" i="82"/>
  <c r="C20" i="82" s="1"/>
  <c r="J19" i="82"/>
  <c r="K19" i="82" s="1"/>
  <c r="G19" i="82"/>
  <c r="E19" i="82"/>
  <c r="D19" i="82"/>
  <c r="C19" i="82" s="1"/>
  <c r="J15" i="82"/>
  <c r="K15" i="82" s="1"/>
  <c r="J16" i="82"/>
  <c r="K16" i="82" s="1"/>
  <c r="J17" i="82"/>
  <c r="K17" i="82" s="1"/>
  <c r="J18" i="82"/>
  <c r="K18" i="82" s="1"/>
  <c r="G15" i="82"/>
  <c r="G16" i="82"/>
  <c r="G17" i="82"/>
  <c r="G18" i="82"/>
  <c r="F16" i="82"/>
  <c r="F17" i="82"/>
  <c r="F18" i="82"/>
  <c r="D15" i="82"/>
  <c r="E15" i="82"/>
  <c r="D16" i="82"/>
  <c r="C16" i="82" s="1"/>
  <c r="E16" i="82"/>
  <c r="D17" i="82"/>
  <c r="E17" i="82"/>
  <c r="D18" i="82"/>
  <c r="C18" i="82" s="1"/>
  <c r="E18" i="82"/>
  <c r="J12" i="82"/>
  <c r="K12" i="82" s="1"/>
  <c r="J13" i="82"/>
  <c r="K13" i="82" s="1"/>
  <c r="J14" i="82"/>
  <c r="K14" i="82" s="1"/>
  <c r="E12" i="82"/>
  <c r="F12" i="82"/>
  <c r="G12" i="82"/>
  <c r="E13" i="82"/>
  <c r="F13" i="82"/>
  <c r="G13" i="82"/>
  <c r="E14" i="82"/>
  <c r="F14" i="82"/>
  <c r="G14" i="82"/>
  <c r="D12" i="82"/>
  <c r="C12" i="82" s="1"/>
  <c r="D13" i="82"/>
  <c r="C13" i="82" s="1"/>
  <c r="D14" i="82"/>
  <c r="C14" i="82" s="1"/>
  <c r="D11" i="82"/>
  <c r="C11" i="82" s="1"/>
  <c r="F15" i="82"/>
  <c r="B12" i="82"/>
  <c r="B13" i="82" s="1"/>
  <c r="B14" i="82" s="1"/>
  <c r="B15" i="82" s="1"/>
  <c r="B16" i="82" s="1"/>
  <c r="B17" i="82" s="1"/>
  <c r="B18" i="82" s="1"/>
  <c r="B19" i="82" s="1"/>
  <c r="B20" i="82" s="1"/>
  <c r="B21" i="82" s="1"/>
  <c r="B22" i="82" s="1"/>
  <c r="B23" i="82" s="1"/>
  <c r="B24" i="82" s="1"/>
  <c r="B25" i="82" s="1"/>
  <c r="B26" i="82" s="1"/>
  <c r="B27" i="82" s="1"/>
  <c r="B28" i="82" s="1"/>
  <c r="B29" i="82" s="1"/>
  <c r="B30" i="82" s="1"/>
  <c r="B31" i="82" s="1"/>
  <c r="B32" i="82" s="1"/>
  <c r="B33" i="82" s="1"/>
  <c r="B34" i="82" s="1"/>
  <c r="B35" i="82" s="1"/>
  <c r="B36" i="82" s="1"/>
  <c r="B37" i="82" s="1"/>
  <c r="B38" i="82" s="1"/>
  <c r="B39" i="82" s="1"/>
  <c r="B40" i="82" s="1"/>
  <c r="B41" i="82" s="1"/>
  <c r="B42" i="82" s="1"/>
  <c r="B43" i="82" s="1"/>
  <c r="B44" i="82" s="1"/>
  <c r="B45" i="82" s="1"/>
  <c r="B46" i="82" s="1"/>
  <c r="J11" i="82"/>
  <c r="K11" i="82" s="1"/>
  <c r="G11" i="82"/>
  <c r="F11" i="82"/>
  <c r="E11" i="82"/>
  <c r="B10" i="82"/>
  <c r="C26" i="82" l="1"/>
  <c r="C42" i="82"/>
  <c r="D157" i="47"/>
  <c r="C21" i="82"/>
  <c r="C31" i="82"/>
  <c r="C35" i="82"/>
  <c r="C39" i="82"/>
  <c r="Q190" i="95"/>
  <c r="S189" i="95"/>
  <c r="C17" i="82"/>
  <c r="C30" i="82"/>
  <c r="C46" i="82"/>
  <c r="C38" i="82"/>
  <c r="G197" i="95"/>
  <c r="H197" i="95"/>
  <c r="C28" i="82"/>
  <c r="C44" i="82"/>
  <c r="C36" i="82"/>
  <c r="R189" i="95"/>
  <c r="T188" i="95"/>
  <c r="U188" i="95" s="1"/>
  <c r="C15" i="82"/>
  <c r="C23" i="82"/>
  <c r="C27" i="82"/>
  <c r="C43" i="82"/>
  <c r="D199" i="95"/>
  <c r="E198" i="95"/>
  <c r="F198" i="95" s="1"/>
  <c r="K198" i="95"/>
  <c r="S122" i="96"/>
  <c r="T121" i="96"/>
  <c r="U120" i="96"/>
  <c r="V120" i="96" s="1"/>
  <c r="D156" i="44"/>
  <c r="D157" i="44"/>
  <c r="D158" i="44"/>
  <c r="D159" i="44"/>
  <c r="D160" i="44"/>
  <c r="D161" i="44"/>
  <c r="D162" i="44"/>
  <c r="D163" i="44"/>
  <c r="D164" i="44"/>
  <c r="D165" i="44"/>
  <c r="D166" i="44"/>
  <c r="D167" i="44"/>
  <c r="D168" i="44"/>
  <c r="D169" i="44"/>
  <c r="D170" i="44"/>
  <c r="D171" i="44"/>
  <c r="D172" i="44"/>
  <c r="D173" i="44"/>
  <c r="D174" i="44"/>
  <c r="D175" i="44"/>
  <c r="D176" i="44"/>
  <c r="D177" i="44"/>
  <c r="D178" i="44"/>
  <c r="D179" i="44"/>
  <c r="D180" i="44"/>
  <c r="D181" i="44"/>
  <c r="D182" i="44"/>
  <c r="D183" i="44"/>
  <c r="D184" i="44"/>
  <c r="D185" i="44"/>
  <c r="D186" i="44"/>
  <c r="D187" i="44"/>
  <c r="D188" i="44"/>
  <c r="D189" i="44"/>
  <c r="D190" i="44"/>
  <c r="D191" i="44"/>
  <c r="D192" i="44"/>
  <c r="D193" i="44"/>
  <c r="D194" i="44"/>
  <c r="D195" i="44"/>
  <c r="D196" i="44"/>
  <c r="D197" i="44"/>
  <c r="D198" i="44"/>
  <c r="D199" i="44"/>
  <c r="D200" i="44"/>
  <c r="D201" i="44"/>
  <c r="D202" i="44"/>
  <c r="D155" i="44"/>
  <c r="D158" i="47" l="1"/>
  <c r="G198" i="95"/>
  <c r="H198" i="95"/>
  <c r="R190" i="95"/>
  <c r="T190" i="95" s="1"/>
  <c r="T189" i="95"/>
  <c r="U189" i="95" s="1"/>
  <c r="D200" i="95"/>
  <c r="E199" i="95"/>
  <c r="F199" i="95" s="1"/>
  <c r="K199" i="95"/>
  <c r="Q191" i="95"/>
  <c r="S190" i="95"/>
  <c r="S123" i="96"/>
  <c r="T122" i="96"/>
  <c r="U121" i="96"/>
  <c r="V121" i="96" s="1"/>
  <c r="D12" i="48"/>
  <c r="S191" i="95" l="1"/>
  <c r="Q192" i="95"/>
  <c r="R191" i="95"/>
  <c r="H199" i="95"/>
  <c r="G199" i="95"/>
  <c r="D159" i="47"/>
  <c r="U190" i="95"/>
  <c r="D201" i="95"/>
  <c r="K200" i="95"/>
  <c r="E200" i="95"/>
  <c r="F200" i="95" s="1"/>
  <c r="S124" i="96"/>
  <c r="T123" i="96"/>
  <c r="U122" i="96"/>
  <c r="V122" i="96" s="1"/>
  <c r="D13" i="48"/>
  <c r="D14" i="48" s="1"/>
  <c r="D11" i="55"/>
  <c r="J580" i="61"/>
  <c r="J579" i="61"/>
  <c r="J578" i="61"/>
  <c r="J577" i="61"/>
  <c r="J576" i="61"/>
  <c r="J575" i="61"/>
  <c r="J574" i="61"/>
  <c r="J573" i="61"/>
  <c r="J572" i="61"/>
  <c r="J571" i="61"/>
  <c r="J570" i="61"/>
  <c r="J569" i="61"/>
  <c r="J568" i="61"/>
  <c r="J567" i="61"/>
  <c r="J566" i="61"/>
  <c r="J565" i="61"/>
  <c r="J564" i="61"/>
  <c r="J563" i="61"/>
  <c r="J562" i="61"/>
  <c r="J561" i="61"/>
  <c r="J560" i="61"/>
  <c r="J559" i="61"/>
  <c r="J558" i="61"/>
  <c r="J557" i="61"/>
  <c r="J556" i="61"/>
  <c r="J555" i="61"/>
  <c r="J554" i="61"/>
  <c r="J553" i="61"/>
  <c r="J552" i="61"/>
  <c r="J551" i="61"/>
  <c r="J550" i="61"/>
  <c r="J549" i="61"/>
  <c r="J548" i="61"/>
  <c r="J547" i="61"/>
  <c r="J546" i="61"/>
  <c r="J545" i="61"/>
  <c r="J544" i="61"/>
  <c r="J543" i="61"/>
  <c r="J542" i="61"/>
  <c r="J541" i="61"/>
  <c r="J540" i="61"/>
  <c r="J539" i="61"/>
  <c r="J538" i="61"/>
  <c r="J537" i="61"/>
  <c r="J536" i="61"/>
  <c r="J535" i="61"/>
  <c r="J534" i="61"/>
  <c r="J533" i="61"/>
  <c r="J532" i="61"/>
  <c r="J531" i="61"/>
  <c r="J530" i="61"/>
  <c r="J529" i="61"/>
  <c r="J528" i="61"/>
  <c r="J527" i="61"/>
  <c r="J526" i="61"/>
  <c r="J525" i="61"/>
  <c r="J524" i="61"/>
  <c r="J523" i="61"/>
  <c r="J522" i="61"/>
  <c r="J521" i="61"/>
  <c r="C521" i="61" s="1"/>
  <c r="J520" i="61"/>
  <c r="J519" i="61"/>
  <c r="J518" i="61"/>
  <c r="J517" i="61"/>
  <c r="J516" i="61"/>
  <c r="J515" i="61"/>
  <c r="J514" i="61"/>
  <c r="J513" i="61"/>
  <c r="J512" i="61"/>
  <c r="J511" i="61"/>
  <c r="J510" i="61"/>
  <c r="J509" i="61"/>
  <c r="J508" i="61"/>
  <c r="J507" i="61"/>
  <c r="J506" i="61"/>
  <c r="J505" i="61"/>
  <c r="J504" i="61"/>
  <c r="J503" i="61"/>
  <c r="J502" i="61"/>
  <c r="J501" i="61"/>
  <c r="J500" i="61"/>
  <c r="J499" i="61"/>
  <c r="J498" i="61"/>
  <c r="J497" i="61"/>
  <c r="J496" i="61"/>
  <c r="J495" i="61"/>
  <c r="J494" i="61"/>
  <c r="J493" i="61"/>
  <c r="J492" i="61"/>
  <c r="J491" i="61"/>
  <c r="J490" i="61"/>
  <c r="J489" i="61"/>
  <c r="J488" i="61"/>
  <c r="J487" i="61"/>
  <c r="J486" i="61"/>
  <c r="J485" i="61"/>
  <c r="J484" i="61"/>
  <c r="J483" i="61"/>
  <c r="J482" i="61"/>
  <c r="J481" i="61"/>
  <c r="J480" i="61"/>
  <c r="J479" i="61"/>
  <c r="J478" i="61"/>
  <c r="J477" i="61"/>
  <c r="J476" i="61"/>
  <c r="J475" i="61"/>
  <c r="J474" i="61"/>
  <c r="J473" i="61"/>
  <c r="J472" i="61"/>
  <c r="J471" i="61"/>
  <c r="J470" i="61"/>
  <c r="J469" i="61"/>
  <c r="J468" i="61"/>
  <c r="J467" i="61"/>
  <c r="J466" i="61"/>
  <c r="J465" i="61"/>
  <c r="J464" i="61"/>
  <c r="J463" i="61"/>
  <c r="J462" i="61"/>
  <c r="J461" i="61"/>
  <c r="J208" i="42"/>
  <c r="J207" i="42"/>
  <c r="J206" i="42"/>
  <c r="J205" i="42"/>
  <c r="J204" i="42"/>
  <c r="J203" i="42"/>
  <c r="J202" i="42"/>
  <c r="J201" i="42"/>
  <c r="J200" i="42"/>
  <c r="J199" i="42"/>
  <c r="J198" i="42"/>
  <c r="J197" i="42"/>
  <c r="J196" i="42"/>
  <c r="J195" i="42"/>
  <c r="J194" i="42"/>
  <c r="J193" i="42"/>
  <c r="J192" i="42"/>
  <c r="J191" i="42"/>
  <c r="J190" i="42"/>
  <c r="J189" i="42"/>
  <c r="J188" i="42"/>
  <c r="J187" i="42"/>
  <c r="J186" i="42"/>
  <c r="J185" i="42"/>
  <c r="J184" i="42"/>
  <c r="J183" i="42"/>
  <c r="J182" i="42"/>
  <c r="J181" i="42"/>
  <c r="J180" i="42"/>
  <c r="J179" i="42"/>
  <c r="J178" i="42"/>
  <c r="J177" i="42"/>
  <c r="J176" i="42"/>
  <c r="J175" i="42"/>
  <c r="J174" i="42"/>
  <c r="J173" i="42"/>
  <c r="J172" i="42"/>
  <c r="J171" i="42"/>
  <c r="J170" i="42"/>
  <c r="J169" i="42"/>
  <c r="J168" i="42"/>
  <c r="J167" i="42"/>
  <c r="J166" i="42"/>
  <c r="J165" i="42"/>
  <c r="J164" i="42"/>
  <c r="J163" i="42"/>
  <c r="J162" i="42"/>
  <c r="J161" i="42"/>
  <c r="J160" i="42"/>
  <c r="J159" i="42"/>
  <c r="J158" i="42"/>
  <c r="J157" i="42"/>
  <c r="J156" i="42"/>
  <c r="J155" i="42"/>
  <c r="J154" i="42"/>
  <c r="J153" i="42"/>
  <c r="J152" i="42"/>
  <c r="J151" i="42"/>
  <c r="J150" i="42"/>
  <c r="J149" i="42"/>
  <c r="J148" i="42"/>
  <c r="J147" i="42"/>
  <c r="J146" i="42"/>
  <c r="J145" i="42"/>
  <c r="J144" i="42"/>
  <c r="J143" i="42"/>
  <c r="J142" i="42"/>
  <c r="J141" i="42"/>
  <c r="J140" i="42"/>
  <c r="J139" i="42"/>
  <c r="J138" i="42"/>
  <c r="J137" i="42"/>
  <c r="J136" i="42"/>
  <c r="J135" i="42"/>
  <c r="J134" i="42"/>
  <c r="J133" i="42"/>
  <c r="J132" i="42"/>
  <c r="J131" i="42"/>
  <c r="J130" i="42"/>
  <c r="J129" i="42"/>
  <c r="J128" i="42"/>
  <c r="J127" i="42"/>
  <c r="J126" i="42"/>
  <c r="J125" i="42"/>
  <c r="J124" i="42"/>
  <c r="J123" i="42"/>
  <c r="J122" i="42"/>
  <c r="J121" i="42"/>
  <c r="J120" i="42"/>
  <c r="J119" i="42"/>
  <c r="J118" i="42"/>
  <c r="J117" i="42"/>
  <c r="J116" i="42"/>
  <c r="J115" i="42"/>
  <c r="J114" i="42"/>
  <c r="J113" i="42"/>
  <c r="J112" i="42"/>
  <c r="J111" i="42"/>
  <c r="J110" i="42"/>
  <c r="J109" i="42"/>
  <c r="J108" i="42"/>
  <c r="J107" i="42"/>
  <c r="J106" i="42"/>
  <c r="J105" i="42"/>
  <c r="J104" i="42"/>
  <c r="J103" i="42"/>
  <c r="J102" i="42"/>
  <c r="J101" i="42"/>
  <c r="D12" i="42"/>
  <c r="D13" i="42"/>
  <c r="D14" i="42"/>
  <c r="D15" i="42"/>
  <c r="D16" i="42"/>
  <c r="D17" i="42"/>
  <c r="D18" i="42"/>
  <c r="D19" i="42"/>
  <c r="D20" i="42"/>
  <c r="D21" i="42"/>
  <c r="D22" i="42"/>
  <c r="D23" i="42"/>
  <c r="D24" i="42"/>
  <c r="D25" i="42"/>
  <c r="D26" i="42"/>
  <c r="D27" i="42"/>
  <c r="D28" i="42"/>
  <c r="D11" i="42"/>
  <c r="J148" i="41"/>
  <c r="J147" i="41"/>
  <c r="J146" i="41"/>
  <c r="J145" i="41"/>
  <c r="J144" i="41"/>
  <c r="J143" i="41"/>
  <c r="J142" i="41"/>
  <c r="J141" i="41"/>
  <c r="J140" i="41"/>
  <c r="J139" i="41"/>
  <c r="J138" i="41"/>
  <c r="J137" i="41"/>
  <c r="J136" i="41"/>
  <c r="J135" i="41"/>
  <c r="J134" i="41"/>
  <c r="J133" i="41"/>
  <c r="J132" i="41"/>
  <c r="J131" i="41"/>
  <c r="J130" i="41"/>
  <c r="J129" i="41"/>
  <c r="J128" i="41"/>
  <c r="J127" i="41"/>
  <c r="J126" i="41"/>
  <c r="J125" i="41"/>
  <c r="J124" i="41"/>
  <c r="J123" i="41"/>
  <c r="J122" i="41"/>
  <c r="J121" i="41"/>
  <c r="J120" i="41"/>
  <c r="J119" i="41"/>
  <c r="J118" i="41"/>
  <c r="J117" i="41"/>
  <c r="J116" i="41"/>
  <c r="J115" i="41"/>
  <c r="J114" i="41"/>
  <c r="J113" i="41"/>
  <c r="J112" i="41"/>
  <c r="J111" i="41"/>
  <c r="J110" i="41"/>
  <c r="J109" i="41"/>
  <c r="J108" i="41"/>
  <c r="J107" i="41"/>
  <c r="J106" i="41"/>
  <c r="J105" i="41"/>
  <c r="J104" i="41"/>
  <c r="J103" i="41"/>
  <c r="J102" i="41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D11" i="41"/>
  <c r="D160" i="47" l="1"/>
  <c r="E191" i="42"/>
  <c r="F191" i="42" s="1"/>
  <c r="H191" i="42" s="1"/>
  <c r="G200" i="95"/>
  <c r="H200" i="95"/>
  <c r="K13" i="48"/>
  <c r="R192" i="95"/>
  <c r="T191" i="95"/>
  <c r="U191" i="95" s="1"/>
  <c r="D29" i="42"/>
  <c r="D202" i="95"/>
  <c r="E201" i="95"/>
  <c r="F201" i="95" s="1"/>
  <c r="K201" i="95"/>
  <c r="Q193" i="95"/>
  <c r="S192" i="95"/>
  <c r="C13" i="48"/>
  <c r="D17" i="41"/>
  <c r="U123" i="96"/>
  <c r="V123" i="96" s="1"/>
  <c r="S125" i="96"/>
  <c r="T124" i="96"/>
  <c r="D15" i="48"/>
  <c r="K14" i="48"/>
  <c r="C14" i="48" s="1"/>
  <c r="D192" i="42"/>
  <c r="D522" i="61"/>
  <c r="C522" i="61" s="1"/>
  <c r="P521" i="61"/>
  <c r="Q521" i="61" s="1"/>
  <c r="E521" i="61"/>
  <c r="F521" i="61" s="1"/>
  <c r="K191" i="42"/>
  <c r="C191" i="42" s="1"/>
  <c r="J65" i="42"/>
  <c r="J47" i="42"/>
  <c r="J29" i="42"/>
  <c r="G191" i="42" l="1"/>
  <c r="E192" i="42"/>
  <c r="F192" i="42" s="1"/>
  <c r="G192" i="42" s="1"/>
  <c r="Q194" i="95"/>
  <c r="S193" i="95"/>
  <c r="D30" i="42"/>
  <c r="D23" i="41"/>
  <c r="G201" i="95"/>
  <c r="H201" i="95"/>
  <c r="R193" i="95"/>
  <c r="T192" i="95"/>
  <c r="U192" i="95" s="1"/>
  <c r="D161" i="47"/>
  <c r="D203" i="95"/>
  <c r="K202" i="95"/>
  <c r="E202" i="95"/>
  <c r="F202" i="95" s="1"/>
  <c r="P17" i="41"/>
  <c r="Q17" i="41" s="1"/>
  <c r="S126" i="96"/>
  <c r="T125" i="96"/>
  <c r="U124" i="96"/>
  <c r="V124" i="96" s="1"/>
  <c r="D193" i="42"/>
  <c r="K192" i="42"/>
  <c r="C192" i="42" s="1"/>
  <c r="D16" i="48"/>
  <c r="K15" i="48"/>
  <c r="C15" i="48" s="1"/>
  <c r="H521" i="61"/>
  <c r="G521" i="61"/>
  <c r="S521" i="61"/>
  <c r="R521" i="61"/>
  <c r="D523" i="61"/>
  <c r="C523" i="61" s="1"/>
  <c r="E522" i="61"/>
  <c r="F522" i="61" s="1"/>
  <c r="P522" i="61"/>
  <c r="Q522" i="61" s="1"/>
  <c r="H192" i="42"/>
  <c r="D194" i="42"/>
  <c r="D162" i="47" l="1"/>
  <c r="R194" i="95"/>
  <c r="T193" i="95"/>
  <c r="U193" i="95" s="1"/>
  <c r="D31" i="42"/>
  <c r="H202" i="95"/>
  <c r="G202" i="95"/>
  <c r="Q195" i="95"/>
  <c r="S194" i="95"/>
  <c r="C16" i="48"/>
  <c r="E193" i="42"/>
  <c r="F193" i="42" s="1"/>
  <c r="H193" i="42" s="1"/>
  <c r="D204" i="95"/>
  <c r="K203" i="95"/>
  <c r="E203" i="95"/>
  <c r="F203" i="95" s="1"/>
  <c r="D29" i="41"/>
  <c r="P23" i="41"/>
  <c r="Q23" i="41" s="1"/>
  <c r="S127" i="96"/>
  <c r="T126" i="96"/>
  <c r="U125" i="96"/>
  <c r="V125" i="96" s="1"/>
  <c r="K193" i="42"/>
  <c r="C193" i="42" s="1"/>
  <c r="D17" i="48"/>
  <c r="K16" i="48"/>
  <c r="R522" i="61"/>
  <c r="S522" i="61"/>
  <c r="T521" i="61"/>
  <c r="U521" i="61" s="1"/>
  <c r="H522" i="61"/>
  <c r="G522" i="61"/>
  <c r="D524" i="61"/>
  <c r="C524" i="61" s="1"/>
  <c r="P523" i="61"/>
  <c r="Q523" i="61" s="1"/>
  <c r="E523" i="61"/>
  <c r="F523" i="61" s="1"/>
  <c r="G193" i="42"/>
  <c r="D195" i="42"/>
  <c r="E194" i="42"/>
  <c r="F194" i="42" s="1"/>
  <c r="K194" i="42"/>
  <c r="C194" i="42" s="1"/>
  <c r="D32" i="42" l="1"/>
  <c r="G203" i="95"/>
  <c r="H203" i="95"/>
  <c r="R195" i="95"/>
  <c r="T194" i="95"/>
  <c r="U194" i="95" s="1"/>
  <c r="Q196" i="95"/>
  <c r="S195" i="95"/>
  <c r="D163" i="47"/>
  <c r="D35" i="41"/>
  <c r="P29" i="41"/>
  <c r="Q29" i="41" s="1"/>
  <c r="D205" i="95"/>
  <c r="E204" i="95"/>
  <c r="F204" i="95" s="1"/>
  <c r="K204" i="95"/>
  <c r="U126" i="96"/>
  <c r="V126" i="96" s="1"/>
  <c r="S128" i="96"/>
  <c r="T127" i="96"/>
  <c r="D18" i="48"/>
  <c r="K17" i="48"/>
  <c r="C17" i="48" s="1"/>
  <c r="T522" i="61"/>
  <c r="U522" i="61" s="1"/>
  <c r="H523" i="61"/>
  <c r="G523" i="61"/>
  <c r="S523" i="61"/>
  <c r="R523" i="61"/>
  <c r="D525" i="61"/>
  <c r="C525" i="61" s="1"/>
  <c r="E524" i="61"/>
  <c r="F524" i="61" s="1"/>
  <c r="P524" i="61"/>
  <c r="Q524" i="61" s="1"/>
  <c r="H194" i="42"/>
  <c r="G194" i="42"/>
  <c r="K195" i="42"/>
  <c r="C195" i="42" s="1"/>
  <c r="D196" i="42"/>
  <c r="E195" i="42"/>
  <c r="F195" i="42" s="1"/>
  <c r="R196" i="95" l="1"/>
  <c r="T195" i="95"/>
  <c r="U195" i="95" s="1"/>
  <c r="D41" i="41"/>
  <c r="P35" i="41"/>
  <c r="Q35" i="41" s="1"/>
  <c r="D164" i="47"/>
  <c r="H204" i="95"/>
  <c r="G204" i="95"/>
  <c r="D206" i="95"/>
  <c r="E205" i="95"/>
  <c r="F205" i="95" s="1"/>
  <c r="K205" i="95"/>
  <c r="Q197" i="95"/>
  <c r="S196" i="95"/>
  <c r="D33" i="42"/>
  <c r="U127" i="96"/>
  <c r="V127" i="96" s="1"/>
  <c r="S129" i="96"/>
  <c r="T128" i="96"/>
  <c r="D19" i="48"/>
  <c r="K18" i="48"/>
  <c r="C18" i="48" s="1"/>
  <c r="R524" i="61"/>
  <c r="S524" i="61"/>
  <c r="T523" i="61"/>
  <c r="U523" i="61" s="1"/>
  <c r="H524" i="61"/>
  <c r="G524" i="61"/>
  <c r="D526" i="61"/>
  <c r="C526" i="61" s="1"/>
  <c r="P525" i="61"/>
  <c r="Q525" i="61" s="1"/>
  <c r="E525" i="61"/>
  <c r="F525" i="61" s="1"/>
  <c r="E196" i="42"/>
  <c r="F196" i="42" s="1"/>
  <c r="K196" i="42"/>
  <c r="C196" i="42" s="1"/>
  <c r="D197" i="42"/>
  <c r="G195" i="42"/>
  <c r="H195" i="42"/>
  <c r="G205" i="95" l="1"/>
  <c r="H205" i="95"/>
  <c r="D165" i="47"/>
  <c r="D207" i="95"/>
  <c r="K206" i="95"/>
  <c r="E206" i="95"/>
  <c r="F206" i="95" s="1"/>
  <c r="D34" i="42"/>
  <c r="D47" i="41"/>
  <c r="P41" i="41"/>
  <c r="Q41" i="41" s="1"/>
  <c r="C197" i="42"/>
  <c r="Q198" i="95"/>
  <c r="S197" i="95"/>
  <c r="R197" i="95"/>
  <c r="T196" i="95"/>
  <c r="U196" i="95" s="1"/>
  <c r="T129" i="96"/>
  <c r="U128" i="96"/>
  <c r="V128" i="96" s="1"/>
  <c r="D20" i="48"/>
  <c r="K19" i="48"/>
  <c r="C19" i="48" s="1"/>
  <c r="T524" i="61"/>
  <c r="U524" i="61" s="1"/>
  <c r="H525" i="61"/>
  <c r="G525" i="61"/>
  <c r="S525" i="61"/>
  <c r="R525" i="61"/>
  <c r="D527" i="61"/>
  <c r="C527" i="61" s="1"/>
  <c r="E526" i="61"/>
  <c r="F526" i="61" s="1"/>
  <c r="P526" i="61"/>
  <c r="Q526" i="61" s="1"/>
  <c r="D198" i="42"/>
  <c r="E197" i="42"/>
  <c r="F197" i="42" s="1"/>
  <c r="K197" i="42"/>
  <c r="G196" i="42"/>
  <c r="H196" i="42"/>
  <c r="D208" i="95" l="1"/>
  <c r="K207" i="95"/>
  <c r="E207" i="95"/>
  <c r="F207" i="95" s="1"/>
  <c r="R198" i="95"/>
  <c r="T197" i="95"/>
  <c r="U197" i="95" s="1"/>
  <c r="D53" i="41"/>
  <c r="P47" i="41"/>
  <c r="Q47" i="41" s="1"/>
  <c r="Q199" i="95"/>
  <c r="S198" i="95"/>
  <c r="D166" i="47"/>
  <c r="D35" i="42"/>
  <c r="G206" i="95"/>
  <c r="H206" i="95"/>
  <c r="T130" i="96"/>
  <c r="S130" i="96"/>
  <c r="R131" i="96" s="1"/>
  <c r="R132" i="96" s="1"/>
  <c r="R133" i="96" s="1"/>
  <c r="R134" i="96" s="1"/>
  <c r="R135" i="96" s="1"/>
  <c r="R136" i="96" s="1"/>
  <c r="R137" i="96" s="1"/>
  <c r="R138" i="96" s="1"/>
  <c r="R139" i="96" s="1"/>
  <c r="R140" i="96" s="1"/>
  <c r="R141" i="96" s="1"/>
  <c r="R142" i="96" s="1"/>
  <c r="U129" i="96"/>
  <c r="V129" i="96" s="1"/>
  <c r="D21" i="48"/>
  <c r="K20" i="48"/>
  <c r="C20" i="48" s="1"/>
  <c r="R526" i="61"/>
  <c r="S526" i="61"/>
  <c r="T525" i="61"/>
  <c r="U525" i="61" s="1"/>
  <c r="H526" i="61"/>
  <c r="G526" i="61"/>
  <c r="D528" i="61"/>
  <c r="C528" i="61" s="1"/>
  <c r="P527" i="61"/>
  <c r="Q527" i="61" s="1"/>
  <c r="E527" i="61"/>
  <c r="F527" i="61" s="1"/>
  <c r="H197" i="42"/>
  <c r="G197" i="42"/>
  <c r="D199" i="42"/>
  <c r="E198" i="42"/>
  <c r="F198" i="42" s="1"/>
  <c r="K198" i="42"/>
  <c r="C198" i="42" s="1"/>
  <c r="R199" i="95" l="1"/>
  <c r="T198" i="95"/>
  <c r="U198" i="95" s="1"/>
  <c r="D167" i="47"/>
  <c r="H207" i="95"/>
  <c r="G207" i="95"/>
  <c r="Q200" i="95"/>
  <c r="S199" i="95"/>
  <c r="D209" i="95"/>
  <c r="E208" i="95"/>
  <c r="F208" i="95" s="1"/>
  <c r="K208" i="95"/>
  <c r="D59" i="41"/>
  <c r="P53" i="41"/>
  <c r="Q53" i="41" s="1"/>
  <c r="C21" i="48"/>
  <c r="D36" i="42"/>
  <c r="S131" i="96"/>
  <c r="U130" i="96"/>
  <c r="V130" i="96" s="1"/>
  <c r="D22" i="48"/>
  <c r="K21" i="48"/>
  <c r="T526" i="61"/>
  <c r="U526" i="61" s="1"/>
  <c r="H527" i="61"/>
  <c r="G527" i="61"/>
  <c r="S527" i="61"/>
  <c r="R527" i="61"/>
  <c r="D529" i="61"/>
  <c r="C529" i="61" s="1"/>
  <c r="E528" i="61"/>
  <c r="F528" i="61" s="1"/>
  <c r="P528" i="61"/>
  <c r="Q528" i="61" s="1"/>
  <c r="K199" i="42"/>
  <c r="C199" i="42" s="1"/>
  <c r="D200" i="42"/>
  <c r="E199" i="42"/>
  <c r="F199" i="42" s="1"/>
  <c r="H198" i="42"/>
  <c r="G198" i="42"/>
  <c r="E47" i="50"/>
  <c r="F47" i="50" s="1"/>
  <c r="G47" i="50" s="1"/>
  <c r="D65" i="41" l="1"/>
  <c r="P59" i="41"/>
  <c r="Q59" i="41" s="1"/>
  <c r="G208" i="95"/>
  <c r="H208" i="95"/>
  <c r="D37" i="42"/>
  <c r="D168" i="47"/>
  <c r="D210" i="95"/>
  <c r="K209" i="95"/>
  <c r="E209" i="95"/>
  <c r="F209" i="95" s="1"/>
  <c r="R200" i="95"/>
  <c r="T199" i="95"/>
  <c r="U199" i="95" s="1"/>
  <c r="D23" i="48"/>
  <c r="Q201" i="95"/>
  <c r="S200" i="95"/>
  <c r="T131" i="96"/>
  <c r="S132" i="96"/>
  <c r="K23" i="48"/>
  <c r="E23" i="48"/>
  <c r="F23" i="48" s="1"/>
  <c r="K22" i="48"/>
  <c r="C22" i="48" s="1"/>
  <c r="R528" i="61"/>
  <c r="S528" i="61"/>
  <c r="T527" i="61"/>
  <c r="U527" i="61" s="1"/>
  <c r="H528" i="61"/>
  <c r="G528" i="61"/>
  <c r="D530" i="61"/>
  <c r="C530" i="61" s="1"/>
  <c r="P529" i="61"/>
  <c r="Q529" i="61" s="1"/>
  <c r="E529" i="61"/>
  <c r="F529" i="61" s="1"/>
  <c r="H47" i="50"/>
  <c r="G199" i="42"/>
  <c r="H199" i="42"/>
  <c r="E200" i="42"/>
  <c r="F200" i="42" s="1"/>
  <c r="K200" i="42"/>
  <c r="C200" i="42" s="1"/>
  <c r="D201" i="42"/>
  <c r="K11" i="43"/>
  <c r="R201" i="95" l="1"/>
  <c r="T200" i="95"/>
  <c r="U200" i="95" s="1"/>
  <c r="D38" i="42"/>
  <c r="G209" i="95"/>
  <c r="H209" i="95"/>
  <c r="Q202" i="95"/>
  <c r="S202" i="95" s="1"/>
  <c r="S201" i="95"/>
  <c r="D211" i="95"/>
  <c r="E210" i="95"/>
  <c r="F210" i="95" s="1"/>
  <c r="K210" i="95"/>
  <c r="C23" i="48"/>
  <c r="P65" i="41"/>
  <c r="C65" i="41"/>
  <c r="E65" i="41"/>
  <c r="F65" i="41" s="1"/>
  <c r="D71" i="41"/>
  <c r="K65" i="41"/>
  <c r="D66" i="41"/>
  <c r="D24" i="48"/>
  <c r="E24" i="48" s="1"/>
  <c r="F24" i="48" s="1"/>
  <c r="D169" i="47"/>
  <c r="S133" i="96"/>
  <c r="T132" i="96"/>
  <c r="U131" i="96"/>
  <c r="V131" i="96" s="1"/>
  <c r="G23" i="48"/>
  <c r="H23" i="48"/>
  <c r="T528" i="61"/>
  <c r="U528" i="61" s="1"/>
  <c r="H529" i="61"/>
  <c r="G529" i="61"/>
  <c r="S529" i="61"/>
  <c r="R529" i="61"/>
  <c r="D531" i="61"/>
  <c r="C531" i="61" s="1"/>
  <c r="P530" i="61"/>
  <c r="Q530" i="61" s="1"/>
  <c r="E530" i="61"/>
  <c r="F530" i="61" s="1"/>
  <c r="G200" i="42"/>
  <c r="H200" i="42"/>
  <c r="D202" i="42"/>
  <c r="E201" i="42"/>
  <c r="F201" i="42" s="1"/>
  <c r="K201" i="42"/>
  <c r="C201" i="42" s="1"/>
  <c r="D25" i="48" l="1"/>
  <c r="D170" i="47"/>
  <c r="Q65" i="41"/>
  <c r="S65" i="41" s="1"/>
  <c r="R65" i="41"/>
  <c r="C24" i="48"/>
  <c r="P66" i="41"/>
  <c r="E66" i="41"/>
  <c r="F66" i="41" s="1"/>
  <c r="D67" i="41"/>
  <c r="K66" i="41"/>
  <c r="C66" i="41" s="1"/>
  <c r="G210" i="95"/>
  <c r="H210" i="95"/>
  <c r="D39" i="42"/>
  <c r="K24" i="48"/>
  <c r="P71" i="41"/>
  <c r="C71" i="41"/>
  <c r="E71" i="41"/>
  <c r="F71" i="41" s="1"/>
  <c r="D72" i="41"/>
  <c r="D77" i="41"/>
  <c r="K71" i="41"/>
  <c r="D212" i="95"/>
  <c r="K211" i="95"/>
  <c r="E211" i="95"/>
  <c r="F211" i="95" s="1"/>
  <c r="H65" i="41"/>
  <c r="G65" i="41"/>
  <c r="R202" i="95"/>
  <c r="T201" i="95"/>
  <c r="U201" i="95" s="1"/>
  <c r="S134" i="96"/>
  <c r="T133" i="96"/>
  <c r="U132" i="96"/>
  <c r="V132" i="96" s="1"/>
  <c r="K25" i="48"/>
  <c r="E25" i="48"/>
  <c r="F25" i="48" s="1"/>
  <c r="D26" i="48"/>
  <c r="H24" i="48"/>
  <c r="G24" i="48"/>
  <c r="H530" i="61"/>
  <c r="G530" i="61"/>
  <c r="T529" i="61"/>
  <c r="U529" i="61" s="1"/>
  <c r="R530" i="61"/>
  <c r="S530" i="61"/>
  <c r="D532" i="61"/>
  <c r="C532" i="61" s="1"/>
  <c r="P531" i="61"/>
  <c r="Q531" i="61" s="1"/>
  <c r="E531" i="61"/>
  <c r="F531" i="61" s="1"/>
  <c r="D203" i="42"/>
  <c r="E202" i="42"/>
  <c r="F202" i="42" s="1"/>
  <c r="K202" i="42"/>
  <c r="C202" i="42" s="1"/>
  <c r="H201" i="42"/>
  <c r="G201" i="42"/>
  <c r="Q203" i="95" l="1"/>
  <c r="T202" i="95"/>
  <c r="U202" i="95" s="1"/>
  <c r="P77" i="41"/>
  <c r="D78" i="41"/>
  <c r="E77" i="41"/>
  <c r="F77" i="41" s="1"/>
  <c r="K77" i="41"/>
  <c r="C77" i="41" s="1"/>
  <c r="D83" i="41"/>
  <c r="D40" i="42"/>
  <c r="H71" i="41"/>
  <c r="G71" i="41"/>
  <c r="T65" i="41"/>
  <c r="U65" i="41" s="1"/>
  <c r="W65" i="41" s="1"/>
  <c r="P72" i="41"/>
  <c r="E72" i="41"/>
  <c r="F72" i="41" s="1"/>
  <c r="K72" i="41"/>
  <c r="C72" i="41" s="1"/>
  <c r="D73" i="41"/>
  <c r="G211" i="95"/>
  <c r="H211" i="95"/>
  <c r="Q71" i="41"/>
  <c r="S71" i="41" s="1"/>
  <c r="R71" i="41"/>
  <c r="P67" i="41"/>
  <c r="D68" i="41"/>
  <c r="E67" i="41"/>
  <c r="F67" i="41" s="1"/>
  <c r="K67" i="41"/>
  <c r="C67" i="41" s="1"/>
  <c r="G66" i="41"/>
  <c r="H66" i="41"/>
  <c r="D171" i="47"/>
  <c r="D213" i="95"/>
  <c r="E212" i="95"/>
  <c r="F212" i="95" s="1"/>
  <c r="K212" i="95"/>
  <c r="C25" i="48"/>
  <c r="Q66" i="41"/>
  <c r="S66" i="41" s="1"/>
  <c r="R66" i="41"/>
  <c r="U133" i="96"/>
  <c r="V133" i="96" s="1"/>
  <c r="S135" i="96"/>
  <c r="T134" i="96"/>
  <c r="E26" i="48"/>
  <c r="F26" i="48" s="1"/>
  <c r="D27" i="48"/>
  <c r="K26" i="48"/>
  <c r="C26" i="48" s="1"/>
  <c r="H25" i="48"/>
  <c r="G25" i="48"/>
  <c r="H531" i="61"/>
  <c r="G531" i="61"/>
  <c r="S531" i="61"/>
  <c r="R531" i="61"/>
  <c r="E532" i="61"/>
  <c r="F532" i="61" s="1"/>
  <c r="D533" i="61"/>
  <c r="C533" i="61" s="1"/>
  <c r="P532" i="61"/>
  <c r="Q532" i="61" s="1"/>
  <c r="T530" i="61"/>
  <c r="U530" i="61" s="1"/>
  <c r="H202" i="42"/>
  <c r="G202" i="42"/>
  <c r="K203" i="42"/>
  <c r="C203" i="42" s="1"/>
  <c r="D204" i="42"/>
  <c r="E203" i="42"/>
  <c r="F203" i="42" s="1"/>
  <c r="T71" i="41" l="1"/>
  <c r="U71" i="41" s="1"/>
  <c r="W71" i="41" s="1"/>
  <c r="Q72" i="41"/>
  <c r="S72" i="41" s="1"/>
  <c r="R72" i="41"/>
  <c r="P83" i="41"/>
  <c r="D84" i="41"/>
  <c r="E83" i="41"/>
  <c r="F83" i="41" s="1"/>
  <c r="D89" i="41"/>
  <c r="K83" i="41"/>
  <c r="C83" i="41" s="1"/>
  <c r="H77" i="41"/>
  <c r="G77" i="41"/>
  <c r="G212" i="95"/>
  <c r="H212" i="95"/>
  <c r="G67" i="41"/>
  <c r="H67" i="41"/>
  <c r="P78" i="41"/>
  <c r="C78" i="41"/>
  <c r="D79" i="41"/>
  <c r="K78" i="41"/>
  <c r="E78" i="41"/>
  <c r="F78" i="41" s="1"/>
  <c r="P68" i="41"/>
  <c r="K68" i="41"/>
  <c r="C68" i="41" s="1"/>
  <c r="E68" i="41"/>
  <c r="F68" i="41" s="1"/>
  <c r="D69" i="41"/>
  <c r="P73" i="41"/>
  <c r="K73" i="41"/>
  <c r="C73" i="41" s="1"/>
  <c r="D74" i="41"/>
  <c r="E73" i="41"/>
  <c r="F73" i="41" s="1"/>
  <c r="D214" i="95"/>
  <c r="K213" i="95"/>
  <c r="E213" i="95"/>
  <c r="F213" i="95" s="1"/>
  <c r="Q77" i="41"/>
  <c r="S77" i="41" s="1"/>
  <c r="R77" i="41"/>
  <c r="Q67" i="41"/>
  <c r="S67" i="41" s="1"/>
  <c r="R67" i="41"/>
  <c r="H72" i="41"/>
  <c r="G72" i="41"/>
  <c r="T66" i="41"/>
  <c r="U66" i="41" s="1"/>
  <c r="W66" i="41" s="1"/>
  <c r="D172" i="47"/>
  <c r="D41" i="42"/>
  <c r="S203" i="95"/>
  <c r="Q204" i="95"/>
  <c r="R203" i="95"/>
  <c r="S136" i="96"/>
  <c r="T135" i="96"/>
  <c r="U134" i="96"/>
  <c r="V134" i="96" s="1"/>
  <c r="E27" i="48"/>
  <c r="F27" i="48" s="1"/>
  <c r="K27" i="48"/>
  <c r="C27" i="48" s="1"/>
  <c r="D28" i="48"/>
  <c r="H26" i="48"/>
  <c r="G26" i="48"/>
  <c r="R532" i="61"/>
  <c r="S532" i="61"/>
  <c r="T531" i="61"/>
  <c r="U531" i="61" s="1"/>
  <c r="D534" i="61"/>
  <c r="C534" i="61" s="1"/>
  <c r="P533" i="61"/>
  <c r="Q533" i="61" s="1"/>
  <c r="E533" i="61"/>
  <c r="F533" i="61" s="1"/>
  <c r="H532" i="61"/>
  <c r="G532" i="61"/>
  <c r="E204" i="42"/>
  <c r="F204" i="42" s="1"/>
  <c r="K204" i="42"/>
  <c r="C204" i="42" s="1"/>
  <c r="D205" i="42"/>
  <c r="G203" i="42"/>
  <c r="H203" i="42"/>
  <c r="T77" i="41" l="1"/>
  <c r="U77" i="41" s="1"/>
  <c r="W77" i="41" s="1"/>
  <c r="D42" i="42"/>
  <c r="T67" i="41"/>
  <c r="U67" i="41" s="1"/>
  <c r="W67" i="41" s="1"/>
  <c r="Q78" i="41"/>
  <c r="S78" i="41" s="1"/>
  <c r="R78" i="41"/>
  <c r="P89" i="41"/>
  <c r="C89" i="41"/>
  <c r="E89" i="41"/>
  <c r="F89" i="41" s="1"/>
  <c r="K89" i="41"/>
  <c r="D90" i="41"/>
  <c r="D95" i="41"/>
  <c r="G68" i="41"/>
  <c r="H68" i="41"/>
  <c r="G73" i="41"/>
  <c r="H73" i="41"/>
  <c r="H83" i="41"/>
  <c r="G83" i="41"/>
  <c r="D173" i="47"/>
  <c r="P74" i="41"/>
  <c r="D75" i="41"/>
  <c r="K74" i="41"/>
  <c r="C74" i="41" s="1"/>
  <c r="E74" i="41"/>
  <c r="F74" i="41" s="1"/>
  <c r="Q68" i="41"/>
  <c r="S68" i="41" s="1"/>
  <c r="R68" i="41"/>
  <c r="P84" i="41"/>
  <c r="D85" i="41"/>
  <c r="E84" i="41"/>
  <c r="F84" i="41" s="1"/>
  <c r="K84" i="41"/>
  <c r="C84" i="41" s="1"/>
  <c r="R204" i="95"/>
  <c r="T203" i="95"/>
  <c r="U203" i="95" s="1"/>
  <c r="H213" i="95"/>
  <c r="G213" i="95"/>
  <c r="H78" i="41"/>
  <c r="G78" i="41"/>
  <c r="Q83" i="41"/>
  <c r="S83" i="41" s="1"/>
  <c r="R83" i="41"/>
  <c r="D215" i="95"/>
  <c r="E214" i="95"/>
  <c r="F214" i="95" s="1"/>
  <c r="K214" i="95"/>
  <c r="C28" i="48"/>
  <c r="Q205" i="95"/>
  <c r="S204" i="95"/>
  <c r="Q73" i="41"/>
  <c r="S73" i="41" s="1"/>
  <c r="R73" i="41"/>
  <c r="P69" i="41"/>
  <c r="E69" i="41"/>
  <c r="F69" i="41" s="1"/>
  <c r="K69" i="41"/>
  <c r="C69" i="41" s="1"/>
  <c r="D70" i="41"/>
  <c r="P79" i="41"/>
  <c r="D80" i="41"/>
  <c r="K79" i="41"/>
  <c r="C79" i="41" s="1"/>
  <c r="E79" i="41"/>
  <c r="F79" i="41" s="1"/>
  <c r="T72" i="41"/>
  <c r="U72" i="41" s="1"/>
  <c r="W72" i="41" s="1"/>
  <c r="U135" i="96"/>
  <c r="V135" i="96" s="1"/>
  <c r="S137" i="96"/>
  <c r="T136" i="96"/>
  <c r="K28" i="48"/>
  <c r="E28" i="48"/>
  <c r="F28" i="48" s="1"/>
  <c r="D29" i="48"/>
  <c r="H27" i="48"/>
  <c r="G27" i="48"/>
  <c r="T532" i="61"/>
  <c r="U532" i="61" s="1"/>
  <c r="D535" i="61"/>
  <c r="C535" i="61" s="1"/>
  <c r="P534" i="61"/>
  <c r="Q534" i="61" s="1"/>
  <c r="E534" i="61"/>
  <c r="F534" i="61" s="1"/>
  <c r="H533" i="61"/>
  <c r="G533" i="61"/>
  <c r="R533" i="61"/>
  <c r="S533" i="61"/>
  <c r="D206" i="42"/>
  <c r="E205" i="42"/>
  <c r="F205" i="42" s="1"/>
  <c r="K205" i="42"/>
  <c r="C205" i="42" s="1"/>
  <c r="G204" i="42"/>
  <c r="H204" i="42"/>
  <c r="S143" i="41"/>
  <c r="T78" i="41" l="1"/>
  <c r="U78" i="41" s="1"/>
  <c r="W78" i="41" s="1"/>
  <c r="T83" i="41"/>
  <c r="U83" i="41" s="1"/>
  <c r="W83" i="41" s="1"/>
  <c r="Q79" i="41"/>
  <c r="S79" i="41" s="1"/>
  <c r="R79" i="41"/>
  <c r="H89" i="41"/>
  <c r="G89" i="41"/>
  <c r="P85" i="41"/>
  <c r="K85" i="41"/>
  <c r="C85" i="41" s="1"/>
  <c r="D86" i="41"/>
  <c r="E85" i="41"/>
  <c r="F85" i="41" s="1"/>
  <c r="Q89" i="41"/>
  <c r="S89" i="41" s="1"/>
  <c r="R89" i="41"/>
  <c r="G84" i="41"/>
  <c r="H84" i="41"/>
  <c r="P75" i="41"/>
  <c r="E75" i="41"/>
  <c r="F75" i="41" s="1"/>
  <c r="D76" i="41"/>
  <c r="K75" i="41"/>
  <c r="C75" i="41" s="1"/>
  <c r="H69" i="41"/>
  <c r="G69" i="41"/>
  <c r="Q74" i="41"/>
  <c r="S74" i="41" s="1"/>
  <c r="R74" i="41"/>
  <c r="H79" i="41"/>
  <c r="G79" i="41"/>
  <c r="Q84" i="41"/>
  <c r="S84" i="41" s="1"/>
  <c r="R84" i="41"/>
  <c r="P70" i="41"/>
  <c r="C70" i="41"/>
  <c r="E70" i="41"/>
  <c r="F70" i="41" s="1"/>
  <c r="K70" i="41"/>
  <c r="Q206" i="95"/>
  <c r="S205" i="95"/>
  <c r="Q69" i="41"/>
  <c r="S69" i="41" s="1"/>
  <c r="R69" i="41"/>
  <c r="G214" i="95"/>
  <c r="H214" i="95"/>
  <c r="D174" i="47"/>
  <c r="P95" i="41"/>
  <c r="D96" i="41"/>
  <c r="K95" i="41"/>
  <c r="C95" i="41" s="1"/>
  <c r="D101" i="41"/>
  <c r="E95" i="41"/>
  <c r="F95" i="41" s="1"/>
  <c r="P80" i="41"/>
  <c r="D81" i="41"/>
  <c r="E80" i="41"/>
  <c r="F80" i="41" s="1"/>
  <c r="K80" i="41"/>
  <c r="C80" i="41" s="1"/>
  <c r="T68" i="41"/>
  <c r="U68" i="41" s="1"/>
  <c r="W68" i="41" s="1"/>
  <c r="P90" i="41"/>
  <c r="E90" i="41"/>
  <c r="F90" i="41" s="1"/>
  <c r="K90" i="41"/>
  <c r="C90" i="41" s="1"/>
  <c r="D91" i="41"/>
  <c r="T73" i="41"/>
  <c r="U73" i="41" s="1"/>
  <c r="W73" i="41" s="1"/>
  <c r="D216" i="95"/>
  <c r="E215" i="95"/>
  <c r="F215" i="95" s="1"/>
  <c r="K215" i="95"/>
  <c r="R205" i="95"/>
  <c r="T204" i="95"/>
  <c r="U204" i="95" s="1"/>
  <c r="H74" i="41"/>
  <c r="G74" i="41"/>
  <c r="D43" i="42"/>
  <c r="U136" i="96"/>
  <c r="V136" i="96" s="1"/>
  <c r="S138" i="96"/>
  <c r="T137" i="96"/>
  <c r="E29" i="48"/>
  <c r="F29" i="48" s="1"/>
  <c r="D30" i="48"/>
  <c r="K29" i="48"/>
  <c r="C29" i="48" s="1"/>
  <c r="G28" i="48"/>
  <c r="H28" i="48"/>
  <c r="T533" i="61"/>
  <c r="U533" i="61" s="1"/>
  <c r="H534" i="61"/>
  <c r="G534" i="61"/>
  <c r="R534" i="61"/>
  <c r="S534" i="61"/>
  <c r="E535" i="61"/>
  <c r="F535" i="61" s="1"/>
  <c r="P535" i="61"/>
  <c r="Q535" i="61" s="1"/>
  <c r="D536" i="61"/>
  <c r="C536" i="61" s="1"/>
  <c r="H205" i="42"/>
  <c r="G205" i="42"/>
  <c r="K206" i="42"/>
  <c r="C206" i="42" s="1"/>
  <c r="D207" i="42"/>
  <c r="E206" i="42"/>
  <c r="F206" i="42" s="1"/>
  <c r="S144" i="41"/>
  <c r="T74" i="41" l="1"/>
  <c r="U74" i="41" s="1"/>
  <c r="W74" i="41" s="1"/>
  <c r="T89" i="41"/>
  <c r="U89" i="41" s="1"/>
  <c r="W89" i="41" s="1"/>
  <c r="T79" i="41"/>
  <c r="U79" i="41" s="1"/>
  <c r="W79" i="41" s="1"/>
  <c r="T84" i="41"/>
  <c r="U84" i="41" s="1"/>
  <c r="W84" i="41" s="1"/>
  <c r="G215" i="95"/>
  <c r="H215" i="95"/>
  <c r="Q90" i="41"/>
  <c r="S90" i="41" s="1"/>
  <c r="R90" i="41"/>
  <c r="H95" i="41"/>
  <c r="G95" i="41"/>
  <c r="H70" i="41"/>
  <c r="G70" i="41"/>
  <c r="Q75" i="41"/>
  <c r="S75" i="41" s="1"/>
  <c r="R75" i="41"/>
  <c r="D44" i="42"/>
  <c r="D217" i="95"/>
  <c r="K216" i="95"/>
  <c r="E216" i="95"/>
  <c r="F216" i="95" s="1"/>
  <c r="Q70" i="41"/>
  <c r="S70" i="41" s="1"/>
  <c r="R70" i="41"/>
  <c r="Q85" i="41"/>
  <c r="S85" i="41" s="1"/>
  <c r="R85" i="41"/>
  <c r="P101" i="41"/>
  <c r="C101" i="41"/>
  <c r="D107" i="41"/>
  <c r="E101" i="41"/>
  <c r="F101" i="41" s="1"/>
  <c r="D102" i="41"/>
  <c r="K101" i="41"/>
  <c r="P96" i="41"/>
  <c r="D97" i="41"/>
  <c r="K96" i="41"/>
  <c r="C96" i="41" s="1"/>
  <c r="E96" i="41"/>
  <c r="F96" i="41" s="1"/>
  <c r="T69" i="41"/>
  <c r="U69" i="41" s="1"/>
  <c r="W69" i="41" s="1"/>
  <c r="P91" i="41"/>
  <c r="C91" i="41"/>
  <c r="K91" i="41"/>
  <c r="E91" i="41"/>
  <c r="F91" i="41" s="1"/>
  <c r="D92" i="41"/>
  <c r="G80" i="41"/>
  <c r="H80" i="41"/>
  <c r="P81" i="41"/>
  <c r="K81" i="41"/>
  <c r="C81" i="41" s="1"/>
  <c r="D82" i="41"/>
  <c r="E81" i="41"/>
  <c r="F81" i="41" s="1"/>
  <c r="Q95" i="41"/>
  <c r="S95" i="41" s="1"/>
  <c r="R95" i="41"/>
  <c r="R206" i="95"/>
  <c r="T205" i="95"/>
  <c r="U205" i="95" s="1"/>
  <c r="H90" i="41"/>
  <c r="G90" i="41"/>
  <c r="Q207" i="95"/>
  <c r="S206" i="95"/>
  <c r="P76" i="41"/>
  <c r="E76" i="41"/>
  <c r="F76" i="41" s="1"/>
  <c r="K76" i="41"/>
  <c r="C76" i="41" s="1"/>
  <c r="H85" i="41"/>
  <c r="G85" i="41"/>
  <c r="Q80" i="41"/>
  <c r="S80" i="41" s="1"/>
  <c r="R80" i="41"/>
  <c r="D175" i="47"/>
  <c r="H75" i="41"/>
  <c r="G75" i="41"/>
  <c r="P86" i="41"/>
  <c r="C86" i="41"/>
  <c r="K86" i="41"/>
  <c r="E86" i="41"/>
  <c r="F86" i="41" s="1"/>
  <c r="D87" i="41"/>
  <c r="S139" i="96"/>
  <c r="T138" i="96"/>
  <c r="U137" i="96"/>
  <c r="V137" i="96" s="1"/>
  <c r="K30" i="48"/>
  <c r="C30" i="48" s="1"/>
  <c r="D31" i="48"/>
  <c r="E30" i="48"/>
  <c r="F30" i="48" s="1"/>
  <c r="H29" i="48"/>
  <c r="G29" i="48"/>
  <c r="T534" i="61"/>
  <c r="U534" i="61" s="1"/>
  <c r="D537" i="61"/>
  <c r="C537" i="61" s="1"/>
  <c r="P536" i="61"/>
  <c r="Q536" i="61" s="1"/>
  <c r="E536" i="61"/>
  <c r="F536" i="61" s="1"/>
  <c r="R535" i="61"/>
  <c r="S535" i="61"/>
  <c r="H535" i="61"/>
  <c r="G535" i="61"/>
  <c r="K207" i="42"/>
  <c r="C207" i="42" s="1"/>
  <c r="D208" i="42"/>
  <c r="E207" i="42"/>
  <c r="F207" i="42" s="1"/>
  <c r="H206" i="42"/>
  <c r="G206" i="42"/>
  <c r="S145" i="41"/>
  <c r="T90" i="41" l="1"/>
  <c r="U90" i="41" s="1"/>
  <c r="W90" i="41" s="1"/>
  <c r="T75" i="41"/>
  <c r="U75" i="41" s="1"/>
  <c r="W75" i="41" s="1"/>
  <c r="T85" i="41"/>
  <c r="U85" i="41" s="1"/>
  <c r="W85" i="41" s="1"/>
  <c r="T70" i="41"/>
  <c r="U70" i="41" s="1"/>
  <c r="W70" i="41" s="1"/>
  <c r="T80" i="41"/>
  <c r="U80" i="41" s="1"/>
  <c r="W80" i="41" s="1"/>
  <c r="Q208" i="95"/>
  <c r="S207" i="95"/>
  <c r="P82" i="41"/>
  <c r="K82" i="41"/>
  <c r="C82" i="41" s="1"/>
  <c r="E82" i="41"/>
  <c r="F82" i="41" s="1"/>
  <c r="P97" i="41"/>
  <c r="K97" i="41"/>
  <c r="C97" i="41" s="1"/>
  <c r="E97" i="41"/>
  <c r="F97" i="41" s="1"/>
  <c r="D98" i="41"/>
  <c r="Q101" i="41"/>
  <c r="S101" i="41" s="1"/>
  <c r="R101" i="41"/>
  <c r="D218" i="95"/>
  <c r="K217" i="95"/>
  <c r="E217" i="95"/>
  <c r="F217" i="95" s="1"/>
  <c r="H86" i="41"/>
  <c r="G86" i="41"/>
  <c r="G81" i="41"/>
  <c r="H81" i="41"/>
  <c r="Q86" i="41"/>
  <c r="S86" i="41" s="1"/>
  <c r="R86" i="41"/>
  <c r="Q91" i="41"/>
  <c r="S91" i="41" s="1"/>
  <c r="R91" i="41"/>
  <c r="Q96" i="41"/>
  <c r="S96" i="41" s="1"/>
  <c r="R96" i="41"/>
  <c r="D45" i="42"/>
  <c r="Q81" i="41"/>
  <c r="S81" i="41" s="1"/>
  <c r="R81" i="41"/>
  <c r="G76" i="41"/>
  <c r="H76" i="41"/>
  <c r="R207" i="95"/>
  <c r="T206" i="95"/>
  <c r="U206" i="95" s="1"/>
  <c r="P102" i="41"/>
  <c r="C102" i="41"/>
  <c r="K102" i="41"/>
  <c r="D103" i="41"/>
  <c r="E102" i="41"/>
  <c r="F102" i="41" s="1"/>
  <c r="G101" i="41"/>
  <c r="H101" i="41"/>
  <c r="G216" i="95"/>
  <c r="H216" i="95"/>
  <c r="H91" i="41"/>
  <c r="G91" i="41"/>
  <c r="P87" i="41"/>
  <c r="C87" i="41"/>
  <c r="D88" i="41"/>
  <c r="E87" i="41"/>
  <c r="F87" i="41" s="1"/>
  <c r="K87" i="41"/>
  <c r="D176" i="47"/>
  <c r="Q76" i="41"/>
  <c r="S76" i="41" s="1"/>
  <c r="R76" i="41"/>
  <c r="T95" i="41"/>
  <c r="U95" i="41" s="1"/>
  <c r="W95" i="41" s="1"/>
  <c r="P92" i="41"/>
  <c r="D93" i="41"/>
  <c r="K92" i="41"/>
  <c r="C92" i="41" s="1"/>
  <c r="E92" i="41"/>
  <c r="F92" i="41" s="1"/>
  <c r="H96" i="41"/>
  <c r="G96" i="41"/>
  <c r="C107" i="41"/>
  <c r="P107" i="41"/>
  <c r="E107" i="41"/>
  <c r="F107" i="41" s="1"/>
  <c r="K107" i="41"/>
  <c r="D113" i="41"/>
  <c r="D108" i="41"/>
  <c r="U138" i="96"/>
  <c r="V138" i="96" s="1"/>
  <c r="S140" i="96"/>
  <c r="T139" i="96"/>
  <c r="E31" i="48"/>
  <c r="F31" i="48" s="1"/>
  <c r="D32" i="48"/>
  <c r="K31" i="48"/>
  <c r="C31" i="48" s="1"/>
  <c r="G30" i="48"/>
  <c r="H30" i="48"/>
  <c r="H536" i="61"/>
  <c r="G536" i="61"/>
  <c r="R536" i="61"/>
  <c r="S536" i="61"/>
  <c r="T535" i="61"/>
  <c r="U535" i="61" s="1"/>
  <c r="E537" i="61"/>
  <c r="F537" i="61" s="1"/>
  <c r="P537" i="61"/>
  <c r="Q537" i="61" s="1"/>
  <c r="D538" i="61"/>
  <c r="C538" i="61" s="1"/>
  <c r="G207" i="42"/>
  <c r="H207" i="42"/>
  <c r="E208" i="42"/>
  <c r="F208" i="42" s="1"/>
  <c r="K208" i="42"/>
  <c r="C208" i="42" s="1"/>
  <c r="S146" i="41"/>
  <c r="T86" i="41" l="1"/>
  <c r="U86" i="41" s="1"/>
  <c r="W86" i="41" s="1"/>
  <c r="T76" i="41"/>
  <c r="U76" i="41" s="1"/>
  <c r="W76" i="41" s="1"/>
  <c r="T96" i="41"/>
  <c r="U96" i="41" s="1"/>
  <c r="W96" i="41" s="1"/>
  <c r="T81" i="41"/>
  <c r="U81" i="41" s="1"/>
  <c r="W81" i="41" s="1"/>
  <c r="H107" i="41"/>
  <c r="G107" i="41"/>
  <c r="H87" i="41"/>
  <c r="G87" i="41"/>
  <c r="D219" i="95"/>
  <c r="K218" i="95"/>
  <c r="E218" i="95"/>
  <c r="F218" i="95" s="1"/>
  <c r="G82" i="41"/>
  <c r="H82" i="41"/>
  <c r="Q107" i="41"/>
  <c r="S107" i="41" s="1"/>
  <c r="R107" i="41"/>
  <c r="Q92" i="41"/>
  <c r="S92" i="41" s="1"/>
  <c r="T92" i="41" s="1"/>
  <c r="U92" i="41" s="1"/>
  <c r="W92" i="41" s="1"/>
  <c r="R92" i="41"/>
  <c r="P88" i="41"/>
  <c r="E88" i="41"/>
  <c r="F88" i="41" s="1"/>
  <c r="K88" i="41"/>
  <c r="C88" i="41" s="1"/>
  <c r="R208" i="95"/>
  <c r="T207" i="95"/>
  <c r="U207" i="95" s="1"/>
  <c r="D46" i="42"/>
  <c r="T101" i="41"/>
  <c r="U101" i="41" s="1"/>
  <c r="W101" i="41" s="1"/>
  <c r="Q87" i="41"/>
  <c r="S87" i="41" s="1"/>
  <c r="R87" i="41"/>
  <c r="H102" i="41"/>
  <c r="G102" i="41"/>
  <c r="P98" i="41"/>
  <c r="C98" i="41"/>
  <c r="K98" i="41"/>
  <c r="E98" i="41"/>
  <c r="F98" i="41" s="1"/>
  <c r="D99" i="41"/>
  <c r="Q82" i="41"/>
  <c r="S82" i="41" s="1"/>
  <c r="R82" i="41"/>
  <c r="P103" i="41"/>
  <c r="D104" i="41"/>
  <c r="K103" i="41"/>
  <c r="C103" i="41" s="1"/>
  <c r="E103" i="41"/>
  <c r="F103" i="41" s="1"/>
  <c r="H97" i="41"/>
  <c r="G97" i="41"/>
  <c r="P108" i="41"/>
  <c r="D109" i="41"/>
  <c r="E108" i="41"/>
  <c r="F108" i="41" s="1"/>
  <c r="K108" i="41"/>
  <c r="C108" i="41" s="1"/>
  <c r="G92" i="41"/>
  <c r="H92" i="41"/>
  <c r="G217" i="95"/>
  <c r="H217" i="95"/>
  <c r="Q209" i="95"/>
  <c r="S208" i="95"/>
  <c r="T91" i="41"/>
  <c r="U91" i="41" s="1"/>
  <c r="W91" i="41" s="1"/>
  <c r="P113" i="41"/>
  <c r="E113" i="41"/>
  <c r="F113" i="41" s="1"/>
  <c r="K113" i="41"/>
  <c r="C113" i="41" s="1"/>
  <c r="D114" i="41"/>
  <c r="D119" i="41"/>
  <c r="D177" i="47"/>
  <c r="P93" i="41"/>
  <c r="D94" i="41"/>
  <c r="K93" i="41"/>
  <c r="C93" i="41" s="1"/>
  <c r="E93" i="41"/>
  <c r="F93" i="41" s="1"/>
  <c r="Q102" i="41"/>
  <c r="S102" i="41" s="1"/>
  <c r="R102" i="41"/>
  <c r="Q97" i="41"/>
  <c r="S97" i="41" s="1"/>
  <c r="R97" i="41"/>
  <c r="U139" i="96"/>
  <c r="V139" i="96" s="1"/>
  <c r="S141" i="96"/>
  <c r="T140" i="96"/>
  <c r="K32" i="48"/>
  <c r="C32" i="48" s="1"/>
  <c r="E32" i="48"/>
  <c r="F32" i="48" s="1"/>
  <c r="D33" i="48"/>
  <c r="H31" i="48"/>
  <c r="G31" i="48"/>
  <c r="T536" i="61"/>
  <c r="U536" i="61" s="1"/>
  <c r="D539" i="61"/>
  <c r="C539" i="61" s="1"/>
  <c r="P538" i="61"/>
  <c r="Q538" i="61" s="1"/>
  <c r="E538" i="61"/>
  <c r="F538" i="61" s="1"/>
  <c r="R537" i="61"/>
  <c r="S537" i="61"/>
  <c r="H537" i="61"/>
  <c r="G537" i="61"/>
  <c r="G208" i="42"/>
  <c r="H208" i="42"/>
  <c r="S147" i="41"/>
  <c r="Q11" i="71"/>
  <c r="T102" i="41" l="1"/>
  <c r="U102" i="41" s="1"/>
  <c r="W102" i="41" s="1"/>
  <c r="T97" i="41"/>
  <c r="U97" i="41" s="1"/>
  <c r="W97" i="41" s="1"/>
  <c r="Q113" i="41"/>
  <c r="S113" i="41" s="1"/>
  <c r="R113" i="41"/>
  <c r="G103" i="41"/>
  <c r="H103" i="41"/>
  <c r="G98" i="41"/>
  <c r="H98" i="41"/>
  <c r="Q88" i="41"/>
  <c r="S88" i="41" s="1"/>
  <c r="R88" i="41"/>
  <c r="G108" i="41"/>
  <c r="H108" i="41"/>
  <c r="D47" i="42"/>
  <c r="D220" i="95"/>
  <c r="K219" i="95"/>
  <c r="E219" i="95"/>
  <c r="F219" i="95" s="1"/>
  <c r="H93" i="41"/>
  <c r="G93" i="41"/>
  <c r="P119" i="41"/>
  <c r="E119" i="41"/>
  <c r="F119" i="41" s="1"/>
  <c r="D125" i="41"/>
  <c r="D120" i="41"/>
  <c r="K119" i="41"/>
  <c r="C119" i="41" s="1"/>
  <c r="Q210" i="95"/>
  <c r="S209" i="95"/>
  <c r="Q98" i="41"/>
  <c r="S98" i="41" s="1"/>
  <c r="R98" i="41"/>
  <c r="P104" i="41"/>
  <c r="C104" i="41"/>
  <c r="K104" i="41"/>
  <c r="E104" i="41"/>
  <c r="F104" i="41" s="1"/>
  <c r="D105" i="41"/>
  <c r="P114" i="41"/>
  <c r="E114" i="41"/>
  <c r="F114" i="41" s="1"/>
  <c r="D115" i="41"/>
  <c r="K114" i="41"/>
  <c r="C114" i="41" s="1"/>
  <c r="Q108" i="41"/>
  <c r="S108" i="41" s="1"/>
  <c r="R108" i="41"/>
  <c r="Q103" i="41"/>
  <c r="S103" i="41" s="1"/>
  <c r="R103" i="41"/>
  <c r="R209" i="95"/>
  <c r="T208" i="95"/>
  <c r="T107" i="41"/>
  <c r="U107" i="41" s="1"/>
  <c r="W107" i="41" s="1"/>
  <c r="D178" i="47"/>
  <c r="P94" i="41"/>
  <c r="C94" i="41"/>
  <c r="K94" i="41"/>
  <c r="E94" i="41"/>
  <c r="F94" i="41" s="1"/>
  <c r="P109" i="41"/>
  <c r="E109" i="41"/>
  <c r="F109" i="41" s="1"/>
  <c r="K109" i="41"/>
  <c r="C109" i="41" s="1"/>
  <c r="D110" i="41"/>
  <c r="H113" i="41"/>
  <c r="G113" i="41"/>
  <c r="T82" i="41"/>
  <c r="U82" i="41" s="1"/>
  <c r="W82" i="41" s="1"/>
  <c r="H88" i="41"/>
  <c r="G88" i="41"/>
  <c r="U208" i="95"/>
  <c r="Q93" i="41"/>
  <c r="S93" i="41" s="1"/>
  <c r="R93" i="41"/>
  <c r="P99" i="41"/>
  <c r="E99" i="41"/>
  <c r="F99" i="41" s="1"/>
  <c r="D100" i="41"/>
  <c r="K99" i="41"/>
  <c r="C99" i="41" s="1"/>
  <c r="T87" i="41"/>
  <c r="U87" i="41" s="1"/>
  <c r="W87" i="41" s="1"/>
  <c r="G218" i="95"/>
  <c r="H218" i="95"/>
  <c r="U140" i="96"/>
  <c r="V140" i="96" s="1"/>
  <c r="S142" i="96"/>
  <c r="R143" i="96" s="1"/>
  <c r="R144" i="96" s="1"/>
  <c r="R145" i="96" s="1"/>
  <c r="R146" i="96" s="1"/>
  <c r="R147" i="96" s="1"/>
  <c r="R148" i="96" s="1"/>
  <c r="R149" i="96" s="1"/>
  <c r="R150" i="96" s="1"/>
  <c r="R151" i="96" s="1"/>
  <c r="R152" i="96" s="1"/>
  <c r="R153" i="96" s="1"/>
  <c r="R154" i="96" s="1"/>
  <c r="T141" i="96"/>
  <c r="K33" i="48"/>
  <c r="C33" i="48" s="1"/>
  <c r="D34" i="48"/>
  <c r="E33" i="48"/>
  <c r="F33" i="48" s="1"/>
  <c r="G32" i="48"/>
  <c r="H32" i="48"/>
  <c r="H538" i="61"/>
  <c r="G538" i="61"/>
  <c r="R538" i="61"/>
  <c r="S538" i="61"/>
  <c r="T537" i="61"/>
  <c r="U537" i="61" s="1"/>
  <c r="E539" i="61"/>
  <c r="F539" i="61" s="1"/>
  <c r="P539" i="61"/>
  <c r="Q539" i="61" s="1"/>
  <c r="D540" i="61"/>
  <c r="C540" i="61" s="1"/>
  <c r="S148" i="41"/>
  <c r="G78" i="81"/>
  <c r="G79" i="81" s="1"/>
  <c r="G80" i="81" s="1"/>
  <c r="G81" i="81" s="1"/>
  <c r="G82" i="81" s="1"/>
  <c r="G72" i="81"/>
  <c r="G73" i="81" s="1"/>
  <c r="G74" i="81" s="1"/>
  <c r="G75" i="81" s="1"/>
  <c r="G76" i="81" s="1"/>
  <c r="G66" i="81"/>
  <c r="G67" i="81" s="1"/>
  <c r="G68" i="81" s="1"/>
  <c r="G69" i="81" s="1"/>
  <c r="G70" i="81" s="1"/>
  <c r="G60" i="81"/>
  <c r="G61" i="81" s="1"/>
  <c r="G62" i="81" s="1"/>
  <c r="G63" i="81" s="1"/>
  <c r="G64" i="81" s="1"/>
  <c r="G54" i="81"/>
  <c r="G55" i="81" s="1"/>
  <c r="G56" i="81" s="1"/>
  <c r="G57" i="81" s="1"/>
  <c r="G58" i="81" s="1"/>
  <c r="G48" i="81"/>
  <c r="G49" i="81" s="1"/>
  <c r="G50" i="81" s="1"/>
  <c r="G51" i="81" s="1"/>
  <c r="G52" i="81" s="1"/>
  <c r="G42" i="81"/>
  <c r="G43" i="81" s="1"/>
  <c r="G44" i="81" s="1"/>
  <c r="G45" i="81" s="1"/>
  <c r="G46" i="81" s="1"/>
  <c r="G37" i="81"/>
  <c r="G38" i="81" s="1"/>
  <c r="G39" i="81" s="1"/>
  <c r="G40" i="81" s="1"/>
  <c r="G36" i="81"/>
  <c r="G30" i="81"/>
  <c r="G31" i="81" s="1"/>
  <c r="G32" i="81" s="1"/>
  <c r="G33" i="81" s="1"/>
  <c r="G34" i="81" s="1"/>
  <c r="G27" i="81"/>
  <c r="G28" i="81" s="1"/>
  <c r="G24" i="81"/>
  <c r="G25" i="81" s="1"/>
  <c r="G26" i="81" s="1"/>
  <c r="G19" i="81"/>
  <c r="G20" i="81" s="1"/>
  <c r="G21" i="81" s="1"/>
  <c r="G22" i="81" s="1"/>
  <c r="G18" i="81"/>
  <c r="G12" i="81"/>
  <c r="G13" i="81" s="1"/>
  <c r="G14" i="81" s="1"/>
  <c r="G15" i="81" s="1"/>
  <c r="G16" i="81" s="1"/>
  <c r="B12" i="81"/>
  <c r="B13" i="81" s="1"/>
  <c r="B14" i="81" s="1"/>
  <c r="B15" i="81" s="1"/>
  <c r="B16" i="81" s="1"/>
  <c r="B17" i="81" s="1"/>
  <c r="B18" i="81" s="1"/>
  <c r="B19" i="81" s="1"/>
  <c r="B20" i="81" s="1"/>
  <c r="B21" i="81" s="1"/>
  <c r="B22" i="81" s="1"/>
  <c r="B23" i="81" s="1"/>
  <c r="B24" i="81" s="1"/>
  <c r="B25" i="81" s="1"/>
  <c r="B26" i="81" s="1"/>
  <c r="B27" i="81" s="1"/>
  <c r="B28" i="81" s="1"/>
  <c r="B29" i="81" s="1"/>
  <c r="B30" i="81" s="1"/>
  <c r="B31" i="81" s="1"/>
  <c r="B32" i="81" s="1"/>
  <c r="B33" i="81" s="1"/>
  <c r="B34" i="81" s="1"/>
  <c r="B35" i="81" s="1"/>
  <c r="B36" i="81" s="1"/>
  <c r="B37" i="81" s="1"/>
  <c r="B38" i="81" s="1"/>
  <c r="B39" i="81" s="1"/>
  <c r="B40" i="81" s="1"/>
  <c r="B41" i="81" s="1"/>
  <c r="B42" i="81" s="1"/>
  <c r="B43" i="81" s="1"/>
  <c r="B44" i="81" s="1"/>
  <c r="B45" i="81" s="1"/>
  <c r="B46" i="81" s="1"/>
  <c r="B47" i="81" s="1"/>
  <c r="B48" i="81" s="1"/>
  <c r="B49" i="81" s="1"/>
  <c r="B50" i="81" s="1"/>
  <c r="B51" i="81" s="1"/>
  <c r="B52" i="81" s="1"/>
  <c r="B53" i="81" s="1"/>
  <c r="B54" i="81" s="1"/>
  <c r="B55" i="81" s="1"/>
  <c r="B56" i="81" s="1"/>
  <c r="B57" i="81" s="1"/>
  <c r="B58" i="81" s="1"/>
  <c r="B59" i="81" s="1"/>
  <c r="B60" i="81" s="1"/>
  <c r="B61" i="81" s="1"/>
  <c r="B62" i="81" s="1"/>
  <c r="B63" i="81" s="1"/>
  <c r="B64" i="81" s="1"/>
  <c r="B65" i="81" s="1"/>
  <c r="B66" i="81" s="1"/>
  <c r="B67" i="81" s="1"/>
  <c r="B68" i="81" s="1"/>
  <c r="B69" i="81" s="1"/>
  <c r="B70" i="81" s="1"/>
  <c r="B71" i="81" s="1"/>
  <c r="B72" i="81" s="1"/>
  <c r="B73" i="81" s="1"/>
  <c r="B74" i="81" s="1"/>
  <c r="B75" i="81" s="1"/>
  <c r="B76" i="81" s="1"/>
  <c r="B77" i="81" s="1"/>
  <c r="B78" i="81" s="1"/>
  <c r="B79" i="81" s="1"/>
  <c r="B80" i="81" s="1"/>
  <c r="B81" i="81" s="1"/>
  <c r="B82" i="81" s="1"/>
  <c r="K11" i="81"/>
  <c r="L11" i="81" s="1"/>
  <c r="L12" i="81" s="1"/>
  <c r="L13" i="81" s="1"/>
  <c r="L14" i="81" s="1"/>
  <c r="L15" i="81" s="1"/>
  <c r="L16" i="81" s="1"/>
  <c r="L17" i="81" s="1"/>
  <c r="L18" i="81" s="1"/>
  <c r="L19" i="81" s="1"/>
  <c r="L20" i="81" s="1"/>
  <c r="L21" i="81" s="1"/>
  <c r="L22" i="81" s="1"/>
  <c r="L23" i="81" s="1"/>
  <c r="L24" i="81" s="1"/>
  <c r="L25" i="81" s="1"/>
  <c r="L26" i="81" s="1"/>
  <c r="L27" i="81" s="1"/>
  <c r="L28" i="81" s="1"/>
  <c r="L29" i="81" s="1"/>
  <c r="L30" i="81" s="1"/>
  <c r="L31" i="81" s="1"/>
  <c r="L32" i="81" s="1"/>
  <c r="L33" i="81" s="1"/>
  <c r="L34" i="81" s="1"/>
  <c r="L35" i="81" s="1"/>
  <c r="L36" i="81" s="1"/>
  <c r="L37" i="81" s="1"/>
  <c r="L38" i="81" s="1"/>
  <c r="L39" i="81" s="1"/>
  <c r="L40" i="81" s="1"/>
  <c r="L41" i="81" s="1"/>
  <c r="L42" i="81" s="1"/>
  <c r="L43" i="81" s="1"/>
  <c r="L44" i="81" s="1"/>
  <c r="L45" i="81" s="1"/>
  <c r="L46" i="81" s="1"/>
  <c r="L47" i="81" s="1"/>
  <c r="L48" i="81" s="1"/>
  <c r="L49" i="81" s="1"/>
  <c r="L50" i="81" s="1"/>
  <c r="L51" i="81" s="1"/>
  <c r="L52" i="81" s="1"/>
  <c r="L53" i="81" s="1"/>
  <c r="L54" i="81" s="1"/>
  <c r="L55" i="81" s="1"/>
  <c r="L56" i="81" s="1"/>
  <c r="L57" i="81" s="1"/>
  <c r="L58" i="81" s="1"/>
  <c r="L59" i="81" s="1"/>
  <c r="L60" i="81" s="1"/>
  <c r="L61" i="81" s="1"/>
  <c r="L62" i="81" s="1"/>
  <c r="L63" i="81" s="1"/>
  <c r="L64" i="81" s="1"/>
  <c r="L65" i="81" s="1"/>
  <c r="L66" i="81" s="1"/>
  <c r="L67" i="81" s="1"/>
  <c r="L68" i="81" s="1"/>
  <c r="L69" i="81" s="1"/>
  <c r="L70" i="81" s="1"/>
  <c r="L71" i="81" s="1"/>
  <c r="L72" i="81" s="1"/>
  <c r="L73" i="81" s="1"/>
  <c r="L74" i="81" s="1"/>
  <c r="L75" i="81" s="1"/>
  <c r="L76" i="81" s="1"/>
  <c r="L77" i="81" s="1"/>
  <c r="L78" i="81" s="1"/>
  <c r="L79" i="81" s="1"/>
  <c r="L80" i="81" s="1"/>
  <c r="L81" i="81" s="1"/>
  <c r="L82" i="81" s="1"/>
  <c r="F11" i="81"/>
  <c r="F12" i="81" s="1"/>
  <c r="F13" i="81" s="1"/>
  <c r="F14" i="81" s="1"/>
  <c r="F15" i="81" s="1"/>
  <c r="F16" i="81" s="1"/>
  <c r="F17" i="81" s="1"/>
  <c r="F18" i="81" s="1"/>
  <c r="F19" i="81" s="1"/>
  <c r="F20" i="81" s="1"/>
  <c r="F21" i="81" s="1"/>
  <c r="F22" i="81" s="1"/>
  <c r="F23" i="81" s="1"/>
  <c r="F24" i="81" s="1"/>
  <c r="F25" i="81" s="1"/>
  <c r="F26" i="81" s="1"/>
  <c r="F27" i="81" s="1"/>
  <c r="F28" i="81" s="1"/>
  <c r="F29" i="81" s="1"/>
  <c r="F30" i="81" s="1"/>
  <c r="F31" i="81" s="1"/>
  <c r="F32" i="81" s="1"/>
  <c r="F33" i="81" s="1"/>
  <c r="F34" i="81" s="1"/>
  <c r="F35" i="81" s="1"/>
  <c r="F36" i="81" s="1"/>
  <c r="F37" i="81" s="1"/>
  <c r="F38" i="81" s="1"/>
  <c r="F39" i="81" s="1"/>
  <c r="F40" i="81" s="1"/>
  <c r="F41" i="81" s="1"/>
  <c r="F42" i="81" s="1"/>
  <c r="F43" i="81" s="1"/>
  <c r="F44" i="81" s="1"/>
  <c r="F45" i="81" s="1"/>
  <c r="F46" i="81" s="1"/>
  <c r="F47" i="81" s="1"/>
  <c r="F48" i="81" s="1"/>
  <c r="F49" i="81" s="1"/>
  <c r="F50" i="81" s="1"/>
  <c r="F51" i="81" s="1"/>
  <c r="F52" i="81" s="1"/>
  <c r="F53" i="81" s="1"/>
  <c r="F54" i="81" s="1"/>
  <c r="F55" i="81" s="1"/>
  <c r="F56" i="81" s="1"/>
  <c r="F57" i="81" s="1"/>
  <c r="F58" i="81" s="1"/>
  <c r="F59" i="81" s="1"/>
  <c r="F60" i="81" s="1"/>
  <c r="F61" i="81" s="1"/>
  <c r="F62" i="81" s="1"/>
  <c r="F63" i="81" s="1"/>
  <c r="F64" i="81" s="1"/>
  <c r="F65" i="81" s="1"/>
  <c r="F66" i="81" s="1"/>
  <c r="F67" i="81" s="1"/>
  <c r="F68" i="81" s="1"/>
  <c r="F69" i="81" s="1"/>
  <c r="F70" i="81" s="1"/>
  <c r="F71" i="81" s="1"/>
  <c r="F72" i="81" s="1"/>
  <c r="F73" i="81" s="1"/>
  <c r="F74" i="81" s="1"/>
  <c r="F75" i="81" s="1"/>
  <c r="F76" i="81" s="1"/>
  <c r="F77" i="81" s="1"/>
  <c r="F78" i="81" s="1"/>
  <c r="F79" i="81" s="1"/>
  <c r="F80" i="81" s="1"/>
  <c r="F81" i="81" s="1"/>
  <c r="F82" i="81" s="1"/>
  <c r="E11" i="81"/>
  <c r="E12" i="81" s="1"/>
  <c r="E13" i="81" s="1"/>
  <c r="E14" i="81" s="1"/>
  <c r="E15" i="81" s="1"/>
  <c r="E16" i="81" s="1"/>
  <c r="E17" i="81" s="1"/>
  <c r="E18" i="81" s="1"/>
  <c r="E19" i="81" s="1"/>
  <c r="E20" i="81" s="1"/>
  <c r="E21" i="81" s="1"/>
  <c r="E22" i="81" s="1"/>
  <c r="E23" i="81" s="1"/>
  <c r="E24" i="81" s="1"/>
  <c r="E25" i="81" s="1"/>
  <c r="E26" i="81" s="1"/>
  <c r="E27" i="81" s="1"/>
  <c r="E28" i="81" s="1"/>
  <c r="E29" i="81" s="1"/>
  <c r="E30" i="81" s="1"/>
  <c r="E31" i="81" s="1"/>
  <c r="E32" i="81" s="1"/>
  <c r="E33" i="81" s="1"/>
  <c r="E34" i="81" s="1"/>
  <c r="E35" i="81" s="1"/>
  <c r="E36" i="81" s="1"/>
  <c r="E37" i="81" s="1"/>
  <c r="E38" i="81" s="1"/>
  <c r="E39" i="81" s="1"/>
  <c r="E40" i="81" s="1"/>
  <c r="E41" i="81" s="1"/>
  <c r="E42" i="81" s="1"/>
  <c r="E43" i="81" s="1"/>
  <c r="E44" i="81" s="1"/>
  <c r="E45" i="81" s="1"/>
  <c r="E46" i="81" s="1"/>
  <c r="E47" i="81" s="1"/>
  <c r="E48" i="81" s="1"/>
  <c r="E49" i="81" s="1"/>
  <c r="E50" i="81" s="1"/>
  <c r="E51" i="81" s="1"/>
  <c r="E52" i="81" s="1"/>
  <c r="E53" i="81" s="1"/>
  <c r="E54" i="81" s="1"/>
  <c r="E55" i="81" s="1"/>
  <c r="E56" i="81" s="1"/>
  <c r="E57" i="81" s="1"/>
  <c r="E58" i="81" s="1"/>
  <c r="E59" i="81" s="1"/>
  <c r="E60" i="81" s="1"/>
  <c r="E61" i="81" s="1"/>
  <c r="E62" i="81" s="1"/>
  <c r="E63" i="81" s="1"/>
  <c r="E64" i="81" s="1"/>
  <c r="E65" i="81" s="1"/>
  <c r="E66" i="81" s="1"/>
  <c r="E67" i="81" s="1"/>
  <c r="E68" i="81" s="1"/>
  <c r="E69" i="81" s="1"/>
  <c r="E70" i="81" s="1"/>
  <c r="E71" i="81" s="1"/>
  <c r="E72" i="81" s="1"/>
  <c r="E73" i="81" s="1"/>
  <c r="E74" i="81" s="1"/>
  <c r="E75" i="81" s="1"/>
  <c r="E76" i="81" s="1"/>
  <c r="E77" i="81" s="1"/>
  <c r="E78" i="81" s="1"/>
  <c r="E79" i="81" s="1"/>
  <c r="E80" i="81" s="1"/>
  <c r="E81" i="81" s="1"/>
  <c r="E82" i="81" s="1"/>
  <c r="D11" i="81"/>
  <c r="D12" i="81" s="1"/>
  <c r="D13" i="81" s="1"/>
  <c r="D14" i="81" s="1"/>
  <c r="D15" i="81" s="1"/>
  <c r="D16" i="81" s="1"/>
  <c r="D17" i="81" s="1"/>
  <c r="D18" i="81" s="1"/>
  <c r="D19" i="81" s="1"/>
  <c r="D20" i="81" s="1"/>
  <c r="D21" i="81" s="1"/>
  <c r="D22" i="81" s="1"/>
  <c r="D23" i="81" s="1"/>
  <c r="D24" i="81" s="1"/>
  <c r="D25" i="81" s="1"/>
  <c r="D26" i="81" s="1"/>
  <c r="D27" i="81" s="1"/>
  <c r="D28" i="81" s="1"/>
  <c r="D29" i="81" s="1"/>
  <c r="D30" i="81" s="1"/>
  <c r="D31" i="81" s="1"/>
  <c r="D32" i="81" s="1"/>
  <c r="D33" i="81" s="1"/>
  <c r="D34" i="81" s="1"/>
  <c r="D35" i="81" s="1"/>
  <c r="D36" i="81" s="1"/>
  <c r="D37" i="81" s="1"/>
  <c r="D38" i="81" s="1"/>
  <c r="D39" i="81" s="1"/>
  <c r="D40" i="81" s="1"/>
  <c r="D41" i="81" s="1"/>
  <c r="D42" i="81" s="1"/>
  <c r="D43" i="81" s="1"/>
  <c r="D44" i="81" s="1"/>
  <c r="D45" i="81" s="1"/>
  <c r="D46" i="81" s="1"/>
  <c r="D47" i="81" s="1"/>
  <c r="D48" i="81" s="1"/>
  <c r="D49" i="81" s="1"/>
  <c r="D50" i="81" s="1"/>
  <c r="D51" i="81" s="1"/>
  <c r="D52" i="81" s="1"/>
  <c r="D53" i="81" s="1"/>
  <c r="D54" i="81" s="1"/>
  <c r="D55" i="81" s="1"/>
  <c r="D56" i="81" s="1"/>
  <c r="D57" i="81" s="1"/>
  <c r="D58" i="81" s="1"/>
  <c r="D59" i="81" s="1"/>
  <c r="D60" i="81" s="1"/>
  <c r="D61" i="81" s="1"/>
  <c r="D62" i="81" s="1"/>
  <c r="D63" i="81" s="1"/>
  <c r="D64" i="81" s="1"/>
  <c r="D65" i="81" s="1"/>
  <c r="D66" i="81" s="1"/>
  <c r="D67" i="81" s="1"/>
  <c r="D68" i="81" s="1"/>
  <c r="D69" i="81" s="1"/>
  <c r="D70" i="81" s="1"/>
  <c r="D71" i="81" s="1"/>
  <c r="D72" i="81" s="1"/>
  <c r="D73" i="81" s="1"/>
  <c r="D74" i="81" s="1"/>
  <c r="D75" i="81" s="1"/>
  <c r="D76" i="81" s="1"/>
  <c r="D77" i="81" s="1"/>
  <c r="D78" i="81" s="1"/>
  <c r="D79" i="81" s="1"/>
  <c r="D80" i="81" s="1"/>
  <c r="D81" i="81" s="1"/>
  <c r="D82" i="81" s="1"/>
  <c r="A12" i="81"/>
  <c r="A13" i="81" s="1"/>
  <c r="A14" i="81" s="1"/>
  <c r="A15" i="81" s="1"/>
  <c r="A16" i="81" s="1"/>
  <c r="A17" i="81" s="1"/>
  <c r="A18" i="81" s="1"/>
  <c r="A19" i="81" s="1"/>
  <c r="A20" i="81" s="1"/>
  <c r="A21" i="81" s="1"/>
  <c r="A22" i="81" s="1"/>
  <c r="A23" i="81" s="1"/>
  <c r="A24" i="81" s="1"/>
  <c r="A25" i="81" s="1"/>
  <c r="A26" i="81" s="1"/>
  <c r="A27" i="81" s="1"/>
  <c r="A28" i="81" s="1"/>
  <c r="A29" i="81" s="1"/>
  <c r="A30" i="81" s="1"/>
  <c r="A31" i="81" s="1"/>
  <c r="A32" i="81" s="1"/>
  <c r="A33" i="81" s="1"/>
  <c r="A34" i="81" s="1"/>
  <c r="A35" i="81" s="1"/>
  <c r="A36" i="81" s="1"/>
  <c r="A37" i="81" s="1"/>
  <c r="A38" i="81" s="1"/>
  <c r="A39" i="81" s="1"/>
  <c r="A40" i="81" s="1"/>
  <c r="A41" i="81" s="1"/>
  <c r="A42" i="81" s="1"/>
  <c r="A43" i="81" s="1"/>
  <c r="A44" i="81" s="1"/>
  <c r="A45" i="81" s="1"/>
  <c r="A46" i="81" s="1"/>
  <c r="A47" i="81" s="1"/>
  <c r="A48" i="81" s="1"/>
  <c r="A49" i="81" s="1"/>
  <c r="A50" i="81" s="1"/>
  <c r="A51" i="81" s="1"/>
  <c r="A52" i="81" s="1"/>
  <c r="A53" i="81" s="1"/>
  <c r="A54" i="81" s="1"/>
  <c r="A55" i="81" s="1"/>
  <c r="A56" i="81" s="1"/>
  <c r="A57" i="81" s="1"/>
  <c r="A58" i="81" s="1"/>
  <c r="A59" i="81" s="1"/>
  <c r="A60" i="81" s="1"/>
  <c r="A61" i="81" s="1"/>
  <c r="A62" i="81" s="1"/>
  <c r="A63" i="81" s="1"/>
  <c r="A64" i="81" s="1"/>
  <c r="A65" i="81" s="1"/>
  <c r="A66" i="81" s="1"/>
  <c r="A67" i="81" s="1"/>
  <c r="A68" i="81" s="1"/>
  <c r="A69" i="81" s="1"/>
  <c r="A70" i="81" s="1"/>
  <c r="A71" i="81" s="1"/>
  <c r="A72" i="81" s="1"/>
  <c r="A73" i="81" s="1"/>
  <c r="A74" i="81" s="1"/>
  <c r="A75" i="81" s="1"/>
  <c r="A76" i="81" s="1"/>
  <c r="A77" i="81" s="1"/>
  <c r="A78" i="81" s="1"/>
  <c r="A79" i="81" s="1"/>
  <c r="A80" i="81" s="1"/>
  <c r="A81" i="81" s="1"/>
  <c r="A82" i="81" s="1"/>
  <c r="B10" i="81"/>
  <c r="D35" i="79"/>
  <c r="L35" i="79" s="1"/>
  <c r="D29" i="79"/>
  <c r="E29" i="79" s="1"/>
  <c r="F29" i="79" s="1"/>
  <c r="D17" i="79"/>
  <c r="L17" i="79" s="1"/>
  <c r="D131" i="80"/>
  <c r="D132" i="80" s="1"/>
  <c r="D133" i="80" s="1"/>
  <c r="D134" i="80" s="1"/>
  <c r="D135" i="80" s="1"/>
  <c r="D136" i="80" s="1"/>
  <c r="D137" i="80" s="1"/>
  <c r="D138" i="80" s="1"/>
  <c r="D139" i="80" s="1"/>
  <c r="D140" i="80" s="1"/>
  <c r="D141" i="80" s="1"/>
  <c r="D142" i="80" s="1"/>
  <c r="D143" i="80" s="1"/>
  <c r="D144" i="80" s="1"/>
  <c r="D145" i="80" s="1"/>
  <c r="D146" i="80" s="1"/>
  <c r="D147" i="80" s="1"/>
  <c r="D148" i="80" s="1"/>
  <c r="D149" i="80" s="1"/>
  <c r="D150" i="80" s="1"/>
  <c r="D151" i="80" s="1"/>
  <c r="D152" i="80" s="1"/>
  <c r="D153" i="80" s="1"/>
  <c r="D154" i="80" s="1"/>
  <c r="D155" i="80" s="1"/>
  <c r="D156" i="80" s="1"/>
  <c r="D157" i="80" s="1"/>
  <c r="D158" i="80" s="1"/>
  <c r="D159" i="80" s="1"/>
  <c r="D160" i="80" s="1"/>
  <c r="G160" i="80"/>
  <c r="G159" i="80"/>
  <c r="G158" i="80"/>
  <c r="G157" i="80"/>
  <c r="G156" i="80"/>
  <c r="G155" i="80"/>
  <c r="G154" i="80"/>
  <c r="G153" i="80"/>
  <c r="G152" i="80"/>
  <c r="G151" i="80"/>
  <c r="G150" i="80"/>
  <c r="G149" i="80"/>
  <c r="G148" i="80"/>
  <c r="G147" i="80"/>
  <c r="G146" i="80"/>
  <c r="G145" i="80"/>
  <c r="G144" i="80"/>
  <c r="G143" i="80"/>
  <c r="G142" i="80"/>
  <c r="G141" i="80"/>
  <c r="G140" i="80"/>
  <c r="G139" i="80"/>
  <c r="G138" i="80"/>
  <c r="G137" i="80"/>
  <c r="G136" i="80"/>
  <c r="G135" i="80"/>
  <c r="G134" i="80"/>
  <c r="G133" i="80"/>
  <c r="G132" i="80"/>
  <c r="G131" i="80"/>
  <c r="D101" i="80"/>
  <c r="D102" i="80" s="1"/>
  <c r="D103" i="80" s="1"/>
  <c r="D104" i="80" s="1"/>
  <c r="D105" i="80" s="1"/>
  <c r="D106" i="80" s="1"/>
  <c r="D107" i="80" s="1"/>
  <c r="D108" i="80" s="1"/>
  <c r="D109" i="80" s="1"/>
  <c r="D110" i="80" s="1"/>
  <c r="D111" i="80" s="1"/>
  <c r="D112" i="80" s="1"/>
  <c r="D113" i="80" s="1"/>
  <c r="D114" i="80" s="1"/>
  <c r="D115" i="80" s="1"/>
  <c r="D116" i="80" s="1"/>
  <c r="D117" i="80" s="1"/>
  <c r="D118" i="80" s="1"/>
  <c r="D119" i="80" s="1"/>
  <c r="D120" i="80" s="1"/>
  <c r="D121" i="80" s="1"/>
  <c r="D122" i="80" s="1"/>
  <c r="D123" i="80" s="1"/>
  <c r="D124" i="80" s="1"/>
  <c r="D125" i="80" s="1"/>
  <c r="D126" i="80" s="1"/>
  <c r="D127" i="80" s="1"/>
  <c r="D128" i="80" s="1"/>
  <c r="D129" i="80" s="1"/>
  <c r="D130" i="80" s="1"/>
  <c r="G130" i="80"/>
  <c r="G129" i="80"/>
  <c r="G128" i="80"/>
  <c r="G127" i="80"/>
  <c r="G126" i="80"/>
  <c r="G125" i="80"/>
  <c r="G124" i="80"/>
  <c r="G123" i="80"/>
  <c r="G122" i="80"/>
  <c r="G121" i="80"/>
  <c r="G120" i="80"/>
  <c r="G119" i="80"/>
  <c r="G118" i="80"/>
  <c r="G117" i="80"/>
  <c r="G116" i="80"/>
  <c r="G115" i="80"/>
  <c r="G114" i="80"/>
  <c r="G113" i="80"/>
  <c r="G112" i="80"/>
  <c r="G111" i="80"/>
  <c r="G110" i="80"/>
  <c r="G109" i="80"/>
  <c r="G108" i="80"/>
  <c r="G107" i="80"/>
  <c r="G106" i="80"/>
  <c r="G105" i="80"/>
  <c r="G104" i="80"/>
  <c r="G103" i="80"/>
  <c r="G102" i="80"/>
  <c r="G101" i="80"/>
  <c r="G100" i="80"/>
  <c r="G99" i="80"/>
  <c r="G98" i="80"/>
  <c r="G97" i="80"/>
  <c r="G96" i="80"/>
  <c r="G95" i="80"/>
  <c r="G94" i="80"/>
  <c r="G93" i="80"/>
  <c r="G92" i="80"/>
  <c r="G91" i="80"/>
  <c r="G90" i="80"/>
  <c r="G89" i="80"/>
  <c r="G88" i="80"/>
  <c r="G87" i="80"/>
  <c r="G86" i="80"/>
  <c r="G85" i="80"/>
  <c r="G84" i="80"/>
  <c r="G83" i="80"/>
  <c r="G82" i="80"/>
  <c r="G81" i="80"/>
  <c r="G80" i="80"/>
  <c r="G79" i="80"/>
  <c r="G78" i="80"/>
  <c r="G77" i="80"/>
  <c r="G76" i="80"/>
  <c r="G75" i="80"/>
  <c r="G74" i="80"/>
  <c r="G73" i="80"/>
  <c r="G72" i="80"/>
  <c r="G71" i="80"/>
  <c r="G70" i="80"/>
  <c r="G69" i="80"/>
  <c r="G68" i="80"/>
  <c r="G67" i="80"/>
  <c r="G66" i="80"/>
  <c r="G65" i="80"/>
  <c r="G64" i="80"/>
  <c r="G63" i="80"/>
  <c r="G62" i="80"/>
  <c r="G61" i="80"/>
  <c r="G60" i="80"/>
  <c r="G59" i="80"/>
  <c r="G58" i="80"/>
  <c r="G57" i="80"/>
  <c r="G56" i="80"/>
  <c r="G55" i="80"/>
  <c r="G54" i="80"/>
  <c r="G53" i="80"/>
  <c r="G52" i="80"/>
  <c r="G51" i="80"/>
  <c r="G50" i="80"/>
  <c r="G49" i="80"/>
  <c r="G48" i="80"/>
  <c r="G47" i="80"/>
  <c r="G46" i="80"/>
  <c r="G45" i="80"/>
  <c r="G44" i="80"/>
  <c r="G43" i="80"/>
  <c r="G42" i="80"/>
  <c r="G41" i="80"/>
  <c r="D41" i="80"/>
  <c r="D42" i="80" s="1"/>
  <c r="D43" i="80" s="1"/>
  <c r="D44" i="80" s="1"/>
  <c r="D45" i="80" s="1"/>
  <c r="D46" i="80" s="1"/>
  <c r="D47" i="80" s="1"/>
  <c r="D48" i="80" s="1"/>
  <c r="D49" i="80" s="1"/>
  <c r="D50" i="80" s="1"/>
  <c r="D51" i="80" s="1"/>
  <c r="D52" i="80" s="1"/>
  <c r="D53" i="80" s="1"/>
  <c r="D54" i="80" s="1"/>
  <c r="D55" i="80" s="1"/>
  <c r="D56" i="80" s="1"/>
  <c r="D57" i="80" s="1"/>
  <c r="D58" i="80" s="1"/>
  <c r="D59" i="80" s="1"/>
  <c r="D60" i="80" s="1"/>
  <c r="D61" i="80" s="1"/>
  <c r="D62" i="80" s="1"/>
  <c r="D63" i="80" s="1"/>
  <c r="D64" i="80" s="1"/>
  <c r="D65" i="80" s="1"/>
  <c r="D66" i="80" s="1"/>
  <c r="D67" i="80" s="1"/>
  <c r="D68" i="80" s="1"/>
  <c r="D69" i="80" s="1"/>
  <c r="D70" i="80" s="1"/>
  <c r="G40" i="80"/>
  <c r="G39" i="80"/>
  <c r="G38" i="80"/>
  <c r="G37" i="80"/>
  <c r="G36" i="80"/>
  <c r="G35" i="80"/>
  <c r="G34" i="80"/>
  <c r="G33" i="80"/>
  <c r="G32" i="80"/>
  <c r="G31" i="80"/>
  <c r="G30" i="80"/>
  <c r="G29" i="80"/>
  <c r="G28" i="80"/>
  <c r="G27" i="80"/>
  <c r="G26" i="80"/>
  <c r="G25" i="80"/>
  <c r="G24" i="80"/>
  <c r="G23" i="80"/>
  <c r="G22" i="80"/>
  <c r="G21" i="80"/>
  <c r="G20" i="80"/>
  <c r="G19" i="80"/>
  <c r="G18" i="80"/>
  <c r="G16" i="80"/>
  <c r="G14" i="80"/>
  <c r="G12" i="80"/>
  <c r="G17" i="80"/>
  <c r="G15" i="80"/>
  <c r="G13" i="80"/>
  <c r="B13" i="80"/>
  <c r="B14" i="80" s="1"/>
  <c r="B15" i="80" s="1"/>
  <c r="B16" i="80" s="1"/>
  <c r="B17" i="80" s="1"/>
  <c r="B18" i="80" s="1"/>
  <c r="B19" i="80" s="1"/>
  <c r="B20" i="80" s="1"/>
  <c r="B21" i="80" s="1"/>
  <c r="B22" i="80" s="1"/>
  <c r="B23" i="80" s="1"/>
  <c r="B24" i="80" s="1"/>
  <c r="B25" i="80" s="1"/>
  <c r="B26" i="80" s="1"/>
  <c r="B27" i="80" s="1"/>
  <c r="B28" i="80" s="1"/>
  <c r="B29" i="80" s="1"/>
  <c r="B30" i="80" s="1"/>
  <c r="B31" i="80" s="1"/>
  <c r="B32" i="80" s="1"/>
  <c r="B33" i="80" s="1"/>
  <c r="B34" i="80" s="1"/>
  <c r="B35" i="80" s="1"/>
  <c r="B36" i="80" s="1"/>
  <c r="B37" i="80" s="1"/>
  <c r="B38" i="80" s="1"/>
  <c r="B39" i="80" s="1"/>
  <c r="B40" i="80" s="1"/>
  <c r="B41" i="80" s="1"/>
  <c r="B42" i="80" s="1"/>
  <c r="B43" i="80" s="1"/>
  <c r="B44" i="80" s="1"/>
  <c r="B45" i="80" s="1"/>
  <c r="B46" i="80" s="1"/>
  <c r="B47" i="80" s="1"/>
  <c r="B48" i="80" s="1"/>
  <c r="B49" i="80" s="1"/>
  <c r="B50" i="80" s="1"/>
  <c r="B51" i="80" s="1"/>
  <c r="B52" i="80" s="1"/>
  <c r="B53" i="80" s="1"/>
  <c r="B54" i="80" s="1"/>
  <c r="B55" i="80" s="1"/>
  <c r="B56" i="80" s="1"/>
  <c r="B57" i="80" s="1"/>
  <c r="B58" i="80" s="1"/>
  <c r="B59" i="80" s="1"/>
  <c r="B60" i="80" s="1"/>
  <c r="B61" i="80" s="1"/>
  <c r="B62" i="80" s="1"/>
  <c r="B63" i="80" s="1"/>
  <c r="B64" i="80" s="1"/>
  <c r="B65" i="80" s="1"/>
  <c r="B66" i="80" s="1"/>
  <c r="B67" i="80" s="1"/>
  <c r="B68" i="80" s="1"/>
  <c r="B69" i="80" s="1"/>
  <c r="B70" i="80" s="1"/>
  <c r="B71" i="80" s="1"/>
  <c r="B72" i="80" s="1"/>
  <c r="B73" i="80" s="1"/>
  <c r="B74" i="80" s="1"/>
  <c r="B75" i="80" s="1"/>
  <c r="B76" i="80" s="1"/>
  <c r="B77" i="80" s="1"/>
  <c r="B78" i="80" s="1"/>
  <c r="B79" i="80" s="1"/>
  <c r="B80" i="80" s="1"/>
  <c r="B81" i="80" s="1"/>
  <c r="B82" i="80" s="1"/>
  <c r="B83" i="80" s="1"/>
  <c r="B84" i="80" s="1"/>
  <c r="B85" i="80" s="1"/>
  <c r="B86" i="80" s="1"/>
  <c r="B87" i="80" s="1"/>
  <c r="B88" i="80" s="1"/>
  <c r="B89" i="80" s="1"/>
  <c r="B90" i="80" s="1"/>
  <c r="B91" i="80" s="1"/>
  <c r="B92" i="80" s="1"/>
  <c r="B93" i="80" s="1"/>
  <c r="B94" i="80" s="1"/>
  <c r="B95" i="80" s="1"/>
  <c r="B96" i="80" s="1"/>
  <c r="B97" i="80" s="1"/>
  <c r="B98" i="80" s="1"/>
  <c r="B99" i="80" s="1"/>
  <c r="B100" i="80" s="1"/>
  <c r="B101" i="80" s="1"/>
  <c r="B102" i="80" s="1"/>
  <c r="B103" i="80" s="1"/>
  <c r="B104" i="80" s="1"/>
  <c r="B105" i="80" s="1"/>
  <c r="B106" i="80" s="1"/>
  <c r="B107" i="80" s="1"/>
  <c r="B108" i="80" s="1"/>
  <c r="B109" i="80" s="1"/>
  <c r="B110" i="80" s="1"/>
  <c r="B111" i="80" s="1"/>
  <c r="B112" i="80" s="1"/>
  <c r="B113" i="80" s="1"/>
  <c r="B114" i="80" s="1"/>
  <c r="B115" i="80" s="1"/>
  <c r="B116" i="80" s="1"/>
  <c r="B117" i="80" s="1"/>
  <c r="B118" i="80" s="1"/>
  <c r="B119" i="80" s="1"/>
  <c r="B120" i="80" s="1"/>
  <c r="B121" i="80" s="1"/>
  <c r="B122" i="80" s="1"/>
  <c r="B123" i="80" s="1"/>
  <c r="B124" i="80" s="1"/>
  <c r="B125" i="80" s="1"/>
  <c r="B126" i="80" s="1"/>
  <c r="B127" i="80" s="1"/>
  <c r="B128" i="80" s="1"/>
  <c r="B129" i="80" s="1"/>
  <c r="B130" i="80" s="1"/>
  <c r="B131" i="80" s="1"/>
  <c r="B132" i="80" s="1"/>
  <c r="B133" i="80" s="1"/>
  <c r="B134" i="80" s="1"/>
  <c r="B135" i="80" s="1"/>
  <c r="B136" i="80" s="1"/>
  <c r="B137" i="80" s="1"/>
  <c r="B138" i="80" s="1"/>
  <c r="B139" i="80" s="1"/>
  <c r="B140" i="80" s="1"/>
  <c r="B141" i="80" s="1"/>
  <c r="B142" i="80" s="1"/>
  <c r="B143" i="80" s="1"/>
  <c r="B144" i="80" s="1"/>
  <c r="B145" i="80" s="1"/>
  <c r="B146" i="80" s="1"/>
  <c r="B147" i="80" s="1"/>
  <c r="B148" i="80" s="1"/>
  <c r="B149" i="80" s="1"/>
  <c r="B150" i="80" s="1"/>
  <c r="B151" i="80" s="1"/>
  <c r="B152" i="80" s="1"/>
  <c r="B153" i="80" s="1"/>
  <c r="B154" i="80" s="1"/>
  <c r="B155" i="80" s="1"/>
  <c r="B156" i="80" s="1"/>
  <c r="B157" i="80" s="1"/>
  <c r="B158" i="80" s="1"/>
  <c r="B159" i="80" s="1"/>
  <c r="B160" i="80" s="1"/>
  <c r="B12" i="80"/>
  <c r="L11" i="80"/>
  <c r="L12" i="80" s="1"/>
  <c r="L13" i="80" s="1"/>
  <c r="L14" i="80" s="1"/>
  <c r="L15" i="80" s="1"/>
  <c r="L16" i="80" s="1"/>
  <c r="L17" i="80" s="1"/>
  <c r="L18" i="80" s="1"/>
  <c r="L19" i="80" s="1"/>
  <c r="L20" i="80" s="1"/>
  <c r="L21" i="80" s="1"/>
  <c r="L22" i="80" s="1"/>
  <c r="L23" i="80" s="1"/>
  <c r="L24" i="80" s="1"/>
  <c r="L25" i="80" s="1"/>
  <c r="L26" i="80" s="1"/>
  <c r="L27" i="80" s="1"/>
  <c r="L28" i="80" s="1"/>
  <c r="L29" i="80" s="1"/>
  <c r="L30" i="80" s="1"/>
  <c r="L31" i="80" s="1"/>
  <c r="L32" i="80" s="1"/>
  <c r="L33" i="80" s="1"/>
  <c r="L34" i="80" s="1"/>
  <c r="L35" i="80" s="1"/>
  <c r="L36" i="80" s="1"/>
  <c r="L37" i="80" s="1"/>
  <c r="L38" i="80" s="1"/>
  <c r="L39" i="80" s="1"/>
  <c r="L40" i="80" s="1"/>
  <c r="L41" i="80" s="1"/>
  <c r="L42" i="80" s="1"/>
  <c r="L43" i="80" s="1"/>
  <c r="L44" i="80" s="1"/>
  <c r="L45" i="80" s="1"/>
  <c r="L46" i="80" s="1"/>
  <c r="L47" i="80" s="1"/>
  <c r="L48" i="80" s="1"/>
  <c r="L49" i="80" s="1"/>
  <c r="L50" i="80" s="1"/>
  <c r="L51" i="80" s="1"/>
  <c r="L52" i="80" s="1"/>
  <c r="L53" i="80" s="1"/>
  <c r="L54" i="80" s="1"/>
  <c r="L55" i="80" s="1"/>
  <c r="L56" i="80" s="1"/>
  <c r="L57" i="80" s="1"/>
  <c r="L58" i="80" s="1"/>
  <c r="L59" i="80" s="1"/>
  <c r="L60" i="80" s="1"/>
  <c r="L61" i="80" s="1"/>
  <c r="L62" i="80" s="1"/>
  <c r="L63" i="80" s="1"/>
  <c r="L64" i="80" s="1"/>
  <c r="L65" i="80" s="1"/>
  <c r="L66" i="80" s="1"/>
  <c r="L67" i="80" s="1"/>
  <c r="L68" i="80" s="1"/>
  <c r="L69" i="80" s="1"/>
  <c r="L70" i="80" s="1"/>
  <c r="L71" i="80" s="1"/>
  <c r="L72" i="80" s="1"/>
  <c r="L73" i="80" s="1"/>
  <c r="L74" i="80" s="1"/>
  <c r="L75" i="80" s="1"/>
  <c r="L76" i="80" s="1"/>
  <c r="L77" i="80" s="1"/>
  <c r="L78" i="80" s="1"/>
  <c r="L79" i="80" s="1"/>
  <c r="L80" i="80" s="1"/>
  <c r="L81" i="80" s="1"/>
  <c r="L82" i="80" s="1"/>
  <c r="L83" i="80" s="1"/>
  <c r="L84" i="80" s="1"/>
  <c r="L85" i="80" s="1"/>
  <c r="L86" i="80" s="1"/>
  <c r="L87" i="80" s="1"/>
  <c r="L88" i="80" s="1"/>
  <c r="L89" i="80" s="1"/>
  <c r="L90" i="80" s="1"/>
  <c r="L91" i="80" s="1"/>
  <c r="L92" i="80" s="1"/>
  <c r="L93" i="80" s="1"/>
  <c r="L94" i="80" s="1"/>
  <c r="L95" i="80" s="1"/>
  <c r="L96" i="80" s="1"/>
  <c r="L97" i="80" s="1"/>
  <c r="L98" i="80" s="1"/>
  <c r="L99" i="80" s="1"/>
  <c r="L100" i="80" s="1"/>
  <c r="L101" i="80" s="1"/>
  <c r="L102" i="80" s="1"/>
  <c r="L103" i="80" s="1"/>
  <c r="L104" i="80" s="1"/>
  <c r="L105" i="80" s="1"/>
  <c r="L106" i="80" s="1"/>
  <c r="L107" i="80" s="1"/>
  <c r="L108" i="80" s="1"/>
  <c r="L109" i="80" s="1"/>
  <c r="L110" i="80" s="1"/>
  <c r="L111" i="80" s="1"/>
  <c r="L112" i="80" s="1"/>
  <c r="L113" i="80" s="1"/>
  <c r="L114" i="80" s="1"/>
  <c r="L115" i="80" s="1"/>
  <c r="L116" i="80" s="1"/>
  <c r="L117" i="80" s="1"/>
  <c r="L118" i="80" s="1"/>
  <c r="L119" i="80" s="1"/>
  <c r="L120" i="80" s="1"/>
  <c r="L121" i="80" s="1"/>
  <c r="L122" i="80" s="1"/>
  <c r="L123" i="80" s="1"/>
  <c r="L124" i="80" s="1"/>
  <c r="L125" i="80" s="1"/>
  <c r="L126" i="80" s="1"/>
  <c r="L127" i="80" s="1"/>
  <c r="L128" i="80" s="1"/>
  <c r="L129" i="80" s="1"/>
  <c r="L130" i="80" s="1"/>
  <c r="L131" i="80" s="1"/>
  <c r="L132" i="80" s="1"/>
  <c r="L133" i="80" s="1"/>
  <c r="L134" i="80" s="1"/>
  <c r="L135" i="80" s="1"/>
  <c r="L136" i="80" s="1"/>
  <c r="L137" i="80" s="1"/>
  <c r="L138" i="80" s="1"/>
  <c r="L139" i="80" s="1"/>
  <c r="L140" i="80" s="1"/>
  <c r="L141" i="80" s="1"/>
  <c r="L142" i="80" s="1"/>
  <c r="L143" i="80" s="1"/>
  <c r="L144" i="80" s="1"/>
  <c r="L145" i="80" s="1"/>
  <c r="L146" i="80" s="1"/>
  <c r="L147" i="80" s="1"/>
  <c r="L148" i="80" s="1"/>
  <c r="L149" i="80" s="1"/>
  <c r="L150" i="80" s="1"/>
  <c r="L151" i="80" s="1"/>
  <c r="L152" i="80" s="1"/>
  <c r="L153" i="80" s="1"/>
  <c r="L154" i="80" s="1"/>
  <c r="L155" i="80" s="1"/>
  <c r="L156" i="80" s="1"/>
  <c r="L157" i="80" s="1"/>
  <c r="L158" i="80" s="1"/>
  <c r="L159" i="80" s="1"/>
  <c r="L160" i="80" s="1"/>
  <c r="G11" i="80"/>
  <c r="F11" i="80"/>
  <c r="F12" i="80" s="1"/>
  <c r="F13" i="80" s="1"/>
  <c r="F14" i="80" s="1"/>
  <c r="F15" i="80" s="1"/>
  <c r="F16" i="80" s="1"/>
  <c r="F17" i="80" s="1"/>
  <c r="F18" i="80" s="1"/>
  <c r="F19" i="80" s="1"/>
  <c r="F20" i="80" s="1"/>
  <c r="F21" i="80" s="1"/>
  <c r="F22" i="80" s="1"/>
  <c r="F23" i="80" s="1"/>
  <c r="F24" i="80" s="1"/>
  <c r="F25" i="80" s="1"/>
  <c r="F26" i="80" s="1"/>
  <c r="F27" i="80" s="1"/>
  <c r="F28" i="80" s="1"/>
  <c r="F29" i="80" s="1"/>
  <c r="F30" i="80" s="1"/>
  <c r="F31" i="80" s="1"/>
  <c r="F32" i="80" s="1"/>
  <c r="F33" i="80" s="1"/>
  <c r="F34" i="80" s="1"/>
  <c r="F35" i="80" s="1"/>
  <c r="F36" i="80" s="1"/>
  <c r="F37" i="80" s="1"/>
  <c r="F38" i="80" s="1"/>
  <c r="F39" i="80" s="1"/>
  <c r="F40" i="80" s="1"/>
  <c r="F41" i="80" s="1"/>
  <c r="F42" i="80" s="1"/>
  <c r="F43" i="80" s="1"/>
  <c r="F44" i="80" s="1"/>
  <c r="F45" i="80" s="1"/>
  <c r="F46" i="80" s="1"/>
  <c r="F47" i="80" s="1"/>
  <c r="F48" i="80" s="1"/>
  <c r="F49" i="80" s="1"/>
  <c r="F50" i="80" s="1"/>
  <c r="F51" i="80" s="1"/>
  <c r="F52" i="80" s="1"/>
  <c r="F53" i="80" s="1"/>
  <c r="F54" i="80" s="1"/>
  <c r="F55" i="80" s="1"/>
  <c r="F56" i="80" s="1"/>
  <c r="F57" i="80" s="1"/>
  <c r="F58" i="80" s="1"/>
  <c r="F59" i="80" s="1"/>
  <c r="F60" i="80" s="1"/>
  <c r="F61" i="80" s="1"/>
  <c r="F62" i="80" s="1"/>
  <c r="F63" i="80" s="1"/>
  <c r="F64" i="80" s="1"/>
  <c r="F65" i="80" s="1"/>
  <c r="F66" i="80" s="1"/>
  <c r="F67" i="80" s="1"/>
  <c r="F68" i="80" s="1"/>
  <c r="F69" i="80" s="1"/>
  <c r="F70" i="80" s="1"/>
  <c r="F71" i="80" s="1"/>
  <c r="F72" i="80" s="1"/>
  <c r="F73" i="80" s="1"/>
  <c r="F74" i="80" s="1"/>
  <c r="F75" i="80" s="1"/>
  <c r="F76" i="80" s="1"/>
  <c r="F77" i="80" s="1"/>
  <c r="F78" i="80" s="1"/>
  <c r="F79" i="80" s="1"/>
  <c r="F80" i="80" s="1"/>
  <c r="F81" i="80" s="1"/>
  <c r="F82" i="80" s="1"/>
  <c r="F83" i="80" s="1"/>
  <c r="F84" i="80" s="1"/>
  <c r="F85" i="80" s="1"/>
  <c r="F86" i="80" s="1"/>
  <c r="F87" i="80" s="1"/>
  <c r="F88" i="80" s="1"/>
  <c r="F89" i="80" s="1"/>
  <c r="F90" i="80" s="1"/>
  <c r="F91" i="80" s="1"/>
  <c r="F92" i="80" s="1"/>
  <c r="F93" i="80" s="1"/>
  <c r="F94" i="80" s="1"/>
  <c r="F95" i="80" s="1"/>
  <c r="F96" i="80" s="1"/>
  <c r="F97" i="80" s="1"/>
  <c r="F98" i="80" s="1"/>
  <c r="F99" i="80" s="1"/>
  <c r="F100" i="80" s="1"/>
  <c r="F101" i="80" s="1"/>
  <c r="F102" i="80" s="1"/>
  <c r="F103" i="80" s="1"/>
  <c r="F104" i="80" s="1"/>
  <c r="F105" i="80" s="1"/>
  <c r="F106" i="80" s="1"/>
  <c r="F107" i="80" s="1"/>
  <c r="F108" i="80" s="1"/>
  <c r="F109" i="80" s="1"/>
  <c r="F110" i="80" s="1"/>
  <c r="F111" i="80" s="1"/>
  <c r="F112" i="80" s="1"/>
  <c r="F113" i="80" s="1"/>
  <c r="F114" i="80" s="1"/>
  <c r="F115" i="80" s="1"/>
  <c r="F116" i="80" s="1"/>
  <c r="F117" i="80" s="1"/>
  <c r="F118" i="80" s="1"/>
  <c r="F119" i="80" s="1"/>
  <c r="F120" i="80" s="1"/>
  <c r="F121" i="80" s="1"/>
  <c r="F122" i="80" s="1"/>
  <c r="F123" i="80" s="1"/>
  <c r="F124" i="80" s="1"/>
  <c r="F125" i="80" s="1"/>
  <c r="F126" i="80" s="1"/>
  <c r="F127" i="80" s="1"/>
  <c r="F128" i="80" s="1"/>
  <c r="F129" i="80" s="1"/>
  <c r="F130" i="80" s="1"/>
  <c r="F131" i="80" s="1"/>
  <c r="F132" i="80" s="1"/>
  <c r="F133" i="80" s="1"/>
  <c r="F134" i="80" s="1"/>
  <c r="F135" i="80" s="1"/>
  <c r="F136" i="80" s="1"/>
  <c r="F137" i="80" s="1"/>
  <c r="F138" i="80" s="1"/>
  <c r="F139" i="80" s="1"/>
  <c r="F140" i="80" s="1"/>
  <c r="F141" i="80" s="1"/>
  <c r="F142" i="80" s="1"/>
  <c r="F143" i="80" s="1"/>
  <c r="F144" i="80" s="1"/>
  <c r="F145" i="80" s="1"/>
  <c r="F146" i="80" s="1"/>
  <c r="F147" i="80" s="1"/>
  <c r="F148" i="80" s="1"/>
  <c r="F149" i="80" s="1"/>
  <c r="F150" i="80" s="1"/>
  <c r="F151" i="80" s="1"/>
  <c r="F152" i="80" s="1"/>
  <c r="F153" i="80" s="1"/>
  <c r="F154" i="80" s="1"/>
  <c r="F155" i="80" s="1"/>
  <c r="F156" i="80" s="1"/>
  <c r="F157" i="80" s="1"/>
  <c r="F158" i="80" s="1"/>
  <c r="F159" i="80" s="1"/>
  <c r="F160" i="80" s="1"/>
  <c r="E11" i="80"/>
  <c r="E12" i="80" s="1"/>
  <c r="E13" i="80" s="1"/>
  <c r="E14" i="80" s="1"/>
  <c r="E15" i="80" s="1"/>
  <c r="E16" i="80" s="1"/>
  <c r="E17" i="80" s="1"/>
  <c r="E18" i="80" s="1"/>
  <c r="E19" i="80" s="1"/>
  <c r="E20" i="80" s="1"/>
  <c r="E21" i="80" s="1"/>
  <c r="E22" i="80" s="1"/>
  <c r="E23" i="80" s="1"/>
  <c r="E24" i="80" s="1"/>
  <c r="E25" i="80" s="1"/>
  <c r="E26" i="80" s="1"/>
  <c r="E27" i="80" s="1"/>
  <c r="E28" i="80" s="1"/>
  <c r="E29" i="80" s="1"/>
  <c r="E30" i="80" s="1"/>
  <c r="E31" i="80" s="1"/>
  <c r="E32" i="80" s="1"/>
  <c r="E33" i="80" s="1"/>
  <c r="E34" i="80" s="1"/>
  <c r="E35" i="80" s="1"/>
  <c r="E36" i="80" s="1"/>
  <c r="E37" i="80" s="1"/>
  <c r="E38" i="80" s="1"/>
  <c r="E39" i="80" s="1"/>
  <c r="E40" i="80" s="1"/>
  <c r="E41" i="80" s="1"/>
  <c r="E42" i="80" s="1"/>
  <c r="E43" i="80" s="1"/>
  <c r="E44" i="80" s="1"/>
  <c r="E45" i="80" s="1"/>
  <c r="E46" i="80" s="1"/>
  <c r="E47" i="80" s="1"/>
  <c r="E48" i="80" s="1"/>
  <c r="E49" i="80" s="1"/>
  <c r="E50" i="80" s="1"/>
  <c r="E51" i="80" s="1"/>
  <c r="E52" i="80" s="1"/>
  <c r="E53" i="80" s="1"/>
  <c r="E54" i="80" s="1"/>
  <c r="E55" i="80" s="1"/>
  <c r="E56" i="80" s="1"/>
  <c r="E57" i="80" s="1"/>
  <c r="E58" i="80" s="1"/>
  <c r="E59" i="80" s="1"/>
  <c r="E60" i="80" s="1"/>
  <c r="E61" i="80" s="1"/>
  <c r="E62" i="80" s="1"/>
  <c r="E63" i="80" s="1"/>
  <c r="E64" i="80" s="1"/>
  <c r="E65" i="80" s="1"/>
  <c r="E66" i="80" s="1"/>
  <c r="E67" i="80" s="1"/>
  <c r="E68" i="80" s="1"/>
  <c r="E69" i="80" s="1"/>
  <c r="E70" i="80" s="1"/>
  <c r="E71" i="80" s="1"/>
  <c r="E72" i="80" s="1"/>
  <c r="E73" i="80" s="1"/>
  <c r="E74" i="80" s="1"/>
  <c r="E75" i="80" s="1"/>
  <c r="E76" i="80" s="1"/>
  <c r="E77" i="80" s="1"/>
  <c r="E78" i="80" s="1"/>
  <c r="E79" i="80" s="1"/>
  <c r="E80" i="80" s="1"/>
  <c r="E81" i="80" s="1"/>
  <c r="E82" i="80" s="1"/>
  <c r="E83" i="80" s="1"/>
  <c r="E84" i="80" s="1"/>
  <c r="E85" i="80" s="1"/>
  <c r="E86" i="80" s="1"/>
  <c r="E87" i="80" s="1"/>
  <c r="E88" i="80" s="1"/>
  <c r="E89" i="80" s="1"/>
  <c r="E90" i="80" s="1"/>
  <c r="E91" i="80" s="1"/>
  <c r="E92" i="80" s="1"/>
  <c r="E93" i="80" s="1"/>
  <c r="E94" i="80" s="1"/>
  <c r="E95" i="80" s="1"/>
  <c r="E96" i="80" s="1"/>
  <c r="E97" i="80" s="1"/>
  <c r="E98" i="80" s="1"/>
  <c r="E99" i="80" s="1"/>
  <c r="E100" i="80" s="1"/>
  <c r="E101" i="80" s="1"/>
  <c r="E102" i="80" s="1"/>
  <c r="E103" i="80" s="1"/>
  <c r="E104" i="80" s="1"/>
  <c r="E105" i="80" s="1"/>
  <c r="E106" i="80" s="1"/>
  <c r="E107" i="80" s="1"/>
  <c r="E108" i="80" s="1"/>
  <c r="E109" i="80" s="1"/>
  <c r="E110" i="80" s="1"/>
  <c r="E111" i="80" s="1"/>
  <c r="E112" i="80" s="1"/>
  <c r="E113" i="80" s="1"/>
  <c r="E114" i="80" s="1"/>
  <c r="E115" i="80" s="1"/>
  <c r="E116" i="80" s="1"/>
  <c r="E117" i="80" s="1"/>
  <c r="E118" i="80" s="1"/>
  <c r="E119" i="80" s="1"/>
  <c r="E120" i="80" s="1"/>
  <c r="E121" i="80" s="1"/>
  <c r="E122" i="80" s="1"/>
  <c r="E123" i="80" s="1"/>
  <c r="E124" i="80" s="1"/>
  <c r="E125" i="80" s="1"/>
  <c r="E126" i="80" s="1"/>
  <c r="E127" i="80" s="1"/>
  <c r="E128" i="80" s="1"/>
  <c r="E129" i="80" s="1"/>
  <c r="E130" i="80" s="1"/>
  <c r="E131" i="80" s="1"/>
  <c r="E132" i="80" s="1"/>
  <c r="E133" i="80" s="1"/>
  <c r="E134" i="80" s="1"/>
  <c r="E135" i="80" s="1"/>
  <c r="E136" i="80" s="1"/>
  <c r="E137" i="80" s="1"/>
  <c r="E138" i="80" s="1"/>
  <c r="E139" i="80" s="1"/>
  <c r="E140" i="80" s="1"/>
  <c r="E141" i="80" s="1"/>
  <c r="E142" i="80" s="1"/>
  <c r="E143" i="80" s="1"/>
  <c r="E144" i="80" s="1"/>
  <c r="E145" i="80" s="1"/>
  <c r="E146" i="80" s="1"/>
  <c r="E147" i="80" s="1"/>
  <c r="E148" i="80" s="1"/>
  <c r="E149" i="80" s="1"/>
  <c r="E150" i="80" s="1"/>
  <c r="E151" i="80" s="1"/>
  <c r="E152" i="80" s="1"/>
  <c r="E153" i="80" s="1"/>
  <c r="E154" i="80" s="1"/>
  <c r="E155" i="80" s="1"/>
  <c r="E156" i="80" s="1"/>
  <c r="E157" i="80" s="1"/>
  <c r="E158" i="80" s="1"/>
  <c r="E159" i="80" s="1"/>
  <c r="E160" i="80" s="1"/>
  <c r="A12" i="80"/>
  <c r="A13" i="80" s="1"/>
  <c r="A14" i="80" s="1"/>
  <c r="A15" i="80" s="1"/>
  <c r="A16" i="80" s="1"/>
  <c r="A17" i="80" s="1"/>
  <c r="A18" i="80" s="1"/>
  <c r="A19" i="80" s="1"/>
  <c r="A20" i="80" s="1"/>
  <c r="A21" i="80" s="1"/>
  <c r="A22" i="80" s="1"/>
  <c r="A23" i="80" s="1"/>
  <c r="A24" i="80" s="1"/>
  <c r="A25" i="80" s="1"/>
  <c r="A26" i="80" s="1"/>
  <c r="A27" i="80" s="1"/>
  <c r="A28" i="80" s="1"/>
  <c r="A29" i="80" s="1"/>
  <c r="A30" i="80" s="1"/>
  <c r="A31" i="80" s="1"/>
  <c r="A32" i="80" s="1"/>
  <c r="A33" i="80" s="1"/>
  <c r="A34" i="80" s="1"/>
  <c r="A35" i="80" s="1"/>
  <c r="A36" i="80" s="1"/>
  <c r="A37" i="80" s="1"/>
  <c r="A38" i="80" s="1"/>
  <c r="A39" i="80" s="1"/>
  <c r="A40" i="80" s="1"/>
  <c r="A41" i="80" s="1"/>
  <c r="A42" i="80" s="1"/>
  <c r="A43" i="80" s="1"/>
  <c r="A44" i="80" s="1"/>
  <c r="A45" i="80" s="1"/>
  <c r="A46" i="80" s="1"/>
  <c r="A47" i="80" s="1"/>
  <c r="A48" i="80" s="1"/>
  <c r="A49" i="80" s="1"/>
  <c r="A50" i="80" s="1"/>
  <c r="A51" i="80" s="1"/>
  <c r="A52" i="80" s="1"/>
  <c r="A53" i="80" s="1"/>
  <c r="A54" i="80" s="1"/>
  <c r="A55" i="80" s="1"/>
  <c r="A56" i="80" s="1"/>
  <c r="A57" i="80" s="1"/>
  <c r="A58" i="80" s="1"/>
  <c r="A59" i="80" s="1"/>
  <c r="A60" i="80" s="1"/>
  <c r="A61" i="80" s="1"/>
  <c r="A62" i="80" s="1"/>
  <c r="A63" i="80" s="1"/>
  <c r="A64" i="80" s="1"/>
  <c r="A65" i="80" s="1"/>
  <c r="A66" i="80" s="1"/>
  <c r="A67" i="80" s="1"/>
  <c r="A68" i="80" s="1"/>
  <c r="A69" i="80" s="1"/>
  <c r="A70" i="80" s="1"/>
  <c r="A71" i="80" s="1"/>
  <c r="A72" i="80" s="1"/>
  <c r="A73" i="80" s="1"/>
  <c r="A74" i="80" s="1"/>
  <c r="A75" i="80" s="1"/>
  <c r="A76" i="80" s="1"/>
  <c r="A77" i="80" s="1"/>
  <c r="A78" i="80" s="1"/>
  <c r="A79" i="80" s="1"/>
  <c r="A80" i="80" s="1"/>
  <c r="A81" i="80" s="1"/>
  <c r="A82" i="80" s="1"/>
  <c r="A83" i="80" s="1"/>
  <c r="A84" i="80" s="1"/>
  <c r="A85" i="80" s="1"/>
  <c r="A86" i="80" s="1"/>
  <c r="A87" i="80" s="1"/>
  <c r="A88" i="80" s="1"/>
  <c r="A89" i="80" s="1"/>
  <c r="A90" i="80" s="1"/>
  <c r="A91" i="80" s="1"/>
  <c r="A92" i="80" s="1"/>
  <c r="A93" i="80" s="1"/>
  <c r="A94" i="80" s="1"/>
  <c r="A95" i="80" s="1"/>
  <c r="A96" i="80" s="1"/>
  <c r="A97" i="80" s="1"/>
  <c r="A98" i="80" s="1"/>
  <c r="A99" i="80" s="1"/>
  <c r="A100" i="80" s="1"/>
  <c r="A101" i="80" s="1"/>
  <c r="A102" i="80" s="1"/>
  <c r="A103" i="80" s="1"/>
  <c r="A104" i="80" s="1"/>
  <c r="A105" i="80" s="1"/>
  <c r="A106" i="80" s="1"/>
  <c r="A107" i="80" s="1"/>
  <c r="A108" i="80" s="1"/>
  <c r="A109" i="80" s="1"/>
  <c r="A110" i="80" s="1"/>
  <c r="A111" i="80" s="1"/>
  <c r="A112" i="80" s="1"/>
  <c r="A113" i="80" s="1"/>
  <c r="A114" i="80" s="1"/>
  <c r="A115" i="80" s="1"/>
  <c r="A116" i="80" s="1"/>
  <c r="A117" i="80" s="1"/>
  <c r="A118" i="80" s="1"/>
  <c r="A119" i="80" s="1"/>
  <c r="A120" i="80" s="1"/>
  <c r="A121" i="80" s="1"/>
  <c r="A122" i="80" s="1"/>
  <c r="A123" i="80" s="1"/>
  <c r="A124" i="80" s="1"/>
  <c r="A125" i="80" s="1"/>
  <c r="A126" i="80" s="1"/>
  <c r="A127" i="80" s="1"/>
  <c r="A128" i="80" s="1"/>
  <c r="A129" i="80" s="1"/>
  <c r="A130" i="80" s="1"/>
  <c r="A131" i="80" s="1"/>
  <c r="A132" i="80" s="1"/>
  <c r="A133" i="80" s="1"/>
  <c r="A134" i="80" s="1"/>
  <c r="A135" i="80" s="1"/>
  <c r="A136" i="80" s="1"/>
  <c r="A137" i="80" s="1"/>
  <c r="A138" i="80" s="1"/>
  <c r="A139" i="80" s="1"/>
  <c r="A140" i="80" s="1"/>
  <c r="A141" i="80" s="1"/>
  <c r="A142" i="80" s="1"/>
  <c r="A143" i="80" s="1"/>
  <c r="A144" i="80" s="1"/>
  <c r="A145" i="80" s="1"/>
  <c r="A146" i="80" s="1"/>
  <c r="A147" i="80" s="1"/>
  <c r="A148" i="80" s="1"/>
  <c r="A149" i="80" s="1"/>
  <c r="A150" i="80" s="1"/>
  <c r="A151" i="80" s="1"/>
  <c r="A152" i="80" s="1"/>
  <c r="A153" i="80" s="1"/>
  <c r="A154" i="80" s="1"/>
  <c r="A155" i="80" s="1"/>
  <c r="A156" i="80" s="1"/>
  <c r="A157" i="80" s="1"/>
  <c r="A158" i="80" s="1"/>
  <c r="A159" i="80" s="1"/>
  <c r="A160" i="80" s="1"/>
  <c r="B10" i="80"/>
  <c r="J40" i="79"/>
  <c r="J39" i="79"/>
  <c r="J38" i="79"/>
  <c r="J37" i="79"/>
  <c r="J36" i="79"/>
  <c r="J35" i="79"/>
  <c r="J34" i="79"/>
  <c r="J33" i="79"/>
  <c r="J32" i="79"/>
  <c r="J31" i="79"/>
  <c r="J30" i="79"/>
  <c r="J29" i="79"/>
  <c r="J28" i="79"/>
  <c r="J27" i="79"/>
  <c r="J26" i="79"/>
  <c r="J25" i="79"/>
  <c r="J24" i="79"/>
  <c r="J23" i="79"/>
  <c r="J22" i="79"/>
  <c r="J21" i="79"/>
  <c r="J20" i="79"/>
  <c r="J19" i="79"/>
  <c r="J18" i="79"/>
  <c r="J17" i="79"/>
  <c r="J16" i="79"/>
  <c r="J15" i="79"/>
  <c r="J14" i="79"/>
  <c r="J13" i="79"/>
  <c r="J12" i="79"/>
  <c r="B12" i="79"/>
  <c r="B13" i="79" s="1"/>
  <c r="B14" i="79" s="1"/>
  <c r="B15" i="79" s="1"/>
  <c r="B16" i="79" s="1"/>
  <c r="B17" i="79" s="1"/>
  <c r="B18" i="79" s="1"/>
  <c r="B19" i="79" s="1"/>
  <c r="B20" i="79" s="1"/>
  <c r="B21" i="79" s="1"/>
  <c r="B22" i="79" s="1"/>
  <c r="B23" i="79" s="1"/>
  <c r="B24" i="79" s="1"/>
  <c r="B25" i="79" s="1"/>
  <c r="B26" i="79" s="1"/>
  <c r="B27" i="79" s="1"/>
  <c r="B28" i="79" s="1"/>
  <c r="B29" i="79" s="1"/>
  <c r="B30" i="79" s="1"/>
  <c r="B31" i="79" s="1"/>
  <c r="B32" i="79" s="1"/>
  <c r="B33" i="79" s="1"/>
  <c r="B34" i="79" s="1"/>
  <c r="B35" i="79" s="1"/>
  <c r="B36" i="79" s="1"/>
  <c r="B37" i="79" s="1"/>
  <c r="B38" i="79" s="1"/>
  <c r="B39" i="79" s="1"/>
  <c r="B40" i="79" s="1"/>
  <c r="P11" i="79"/>
  <c r="K11" i="79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J11" i="79"/>
  <c r="I11" i="79"/>
  <c r="I12" i="79" s="1"/>
  <c r="I13" i="79" s="1"/>
  <c r="I14" i="79" s="1"/>
  <c r="I15" i="79" s="1"/>
  <c r="I16" i="79" s="1"/>
  <c r="I17" i="79" s="1"/>
  <c r="I18" i="79" s="1"/>
  <c r="I19" i="79" s="1"/>
  <c r="I20" i="79" s="1"/>
  <c r="I21" i="79" s="1"/>
  <c r="I22" i="79" s="1"/>
  <c r="I23" i="79" s="1"/>
  <c r="I24" i="79" s="1"/>
  <c r="I25" i="79" s="1"/>
  <c r="I26" i="79" s="1"/>
  <c r="I27" i="79" s="1"/>
  <c r="I28" i="79" s="1"/>
  <c r="I29" i="79" s="1"/>
  <c r="I30" i="79" s="1"/>
  <c r="I31" i="79" s="1"/>
  <c r="I32" i="79" s="1"/>
  <c r="I33" i="79" s="1"/>
  <c r="I34" i="79" s="1"/>
  <c r="I35" i="79" s="1"/>
  <c r="I36" i="79" s="1"/>
  <c r="I37" i="79" s="1"/>
  <c r="I38" i="79" s="1"/>
  <c r="I39" i="79" s="1"/>
  <c r="I40" i="79" s="1"/>
  <c r="A12" i="79"/>
  <c r="A13" i="79" s="1"/>
  <c r="A14" i="79" s="1"/>
  <c r="A15" i="79" s="1"/>
  <c r="A16" i="79" s="1"/>
  <c r="A17" i="79" s="1"/>
  <c r="A18" i="79" s="1"/>
  <c r="A19" i="79" s="1"/>
  <c r="A20" i="79" s="1"/>
  <c r="A21" i="79" s="1"/>
  <c r="A22" i="79" s="1"/>
  <c r="A23" i="79" s="1"/>
  <c r="A24" i="79" s="1"/>
  <c r="A25" i="79" s="1"/>
  <c r="A26" i="79" s="1"/>
  <c r="A27" i="79" s="1"/>
  <c r="A28" i="79" s="1"/>
  <c r="A29" i="79" s="1"/>
  <c r="A30" i="79" s="1"/>
  <c r="A31" i="79" s="1"/>
  <c r="A32" i="79" s="1"/>
  <c r="A33" i="79" s="1"/>
  <c r="A34" i="79" s="1"/>
  <c r="A35" i="79" s="1"/>
  <c r="A36" i="79" s="1"/>
  <c r="A37" i="79" s="1"/>
  <c r="A38" i="79" s="1"/>
  <c r="A39" i="79" s="1"/>
  <c r="A40" i="79" s="1"/>
  <c r="B10" i="79"/>
  <c r="T103" i="41" l="1"/>
  <c r="U103" i="41" s="1"/>
  <c r="W103" i="41" s="1"/>
  <c r="T108" i="41"/>
  <c r="U108" i="41" s="1"/>
  <c r="W108" i="41" s="1"/>
  <c r="T113" i="41"/>
  <c r="U113" i="41" s="1"/>
  <c r="W113" i="41" s="1"/>
  <c r="G109" i="41"/>
  <c r="H109" i="41"/>
  <c r="D179" i="47"/>
  <c r="P120" i="41"/>
  <c r="K120" i="41"/>
  <c r="C120" i="41" s="1"/>
  <c r="E120" i="41"/>
  <c r="F120" i="41" s="1"/>
  <c r="D121" i="41"/>
  <c r="P100" i="41"/>
  <c r="K100" i="41"/>
  <c r="C100" i="41" s="1"/>
  <c r="E100" i="41"/>
  <c r="F100" i="41" s="1"/>
  <c r="P115" i="41"/>
  <c r="C115" i="41"/>
  <c r="D116" i="41"/>
  <c r="K115" i="41"/>
  <c r="E115" i="41"/>
  <c r="F115" i="41" s="1"/>
  <c r="Q104" i="41"/>
  <c r="S104" i="41" s="1"/>
  <c r="R104" i="41"/>
  <c r="P125" i="41"/>
  <c r="E125" i="41"/>
  <c r="F125" i="41" s="1"/>
  <c r="K125" i="41"/>
  <c r="C125" i="41" s="1"/>
  <c r="D131" i="41"/>
  <c r="D126" i="41"/>
  <c r="T88" i="41"/>
  <c r="U88" i="41" s="1"/>
  <c r="W88" i="41" s="1"/>
  <c r="G99" i="41"/>
  <c r="H99" i="41"/>
  <c r="Q109" i="41"/>
  <c r="S109" i="41" s="1"/>
  <c r="R109" i="41"/>
  <c r="H114" i="41"/>
  <c r="G114" i="41"/>
  <c r="G119" i="41"/>
  <c r="H119" i="41"/>
  <c r="D221" i="95"/>
  <c r="E220" i="95"/>
  <c r="F220" i="95" s="1"/>
  <c r="K220" i="95"/>
  <c r="G94" i="41"/>
  <c r="H94" i="41"/>
  <c r="R210" i="95"/>
  <c r="T209" i="95"/>
  <c r="U209" i="95" s="1"/>
  <c r="Q99" i="41"/>
  <c r="S99" i="41" s="1"/>
  <c r="R99" i="41"/>
  <c r="Q114" i="41"/>
  <c r="S114" i="41" s="1"/>
  <c r="R114" i="41"/>
  <c r="T98" i="41"/>
  <c r="U98" i="41" s="1"/>
  <c r="W98" i="41" s="1"/>
  <c r="Q119" i="41"/>
  <c r="S119" i="41" s="1"/>
  <c r="R119" i="41"/>
  <c r="D48" i="42"/>
  <c r="P105" i="41"/>
  <c r="C105" i="41"/>
  <c r="K105" i="41"/>
  <c r="D106" i="41"/>
  <c r="E105" i="41"/>
  <c r="F105" i="41" s="1"/>
  <c r="T93" i="41"/>
  <c r="U93" i="41" s="1"/>
  <c r="W93" i="41" s="1"/>
  <c r="P110" i="41"/>
  <c r="E110" i="41"/>
  <c r="F110" i="41" s="1"/>
  <c r="D111" i="41"/>
  <c r="K110" i="41"/>
  <c r="C110" i="41" s="1"/>
  <c r="Q94" i="41"/>
  <c r="S94" i="41" s="1"/>
  <c r="R94" i="41"/>
  <c r="G104" i="41"/>
  <c r="H104" i="41"/>
  <c r="Q211" i="95"/>
  <c r="S210" i="95"/>
  <c r="C34" i="48"/>
  <c r="G219" i="95"/>
  <c r="H219" i="95"/>
  <c r="T142" i="96"/>
  <c r="U142" i="96"/>
  <c r="U141" i="96"/>
  <c r="V141" i="96" s="1"/>
  <c r="G33" i="48"/>
  <c r="H33" i="48"/>
  <c r="D35" i="48"/>
  <c r="K34" i="48"/>
  <c r="E34" i="48"/>
  <c r="F34" i="48" s="1"/>
  <c r="T538" i="61"/>
  <c r="U538" i="61" s="1"/>
  <c r="D541" i="61"/>
  <c r="C541" i="61" s="1"/>
  <c r="P540" i="61"/>
  <c r="Q540" i="61" s="1"/>
  <c r="E540" i="61"/>
  <c r="F540" i="61" s="1"/>
  <c r="R539" i="61"/>
  <c r="S539" i="61"/>
  <c r="H539" i="61"/>
  <c r="G539" i="61"/>
  <c r="K12" i="8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L29" i="79"/>
  <c r="D18" i="79"/>
  <c r="E18" i="79" s="1"/>
  <c r="F18" i="79" s="1"/>
  <c r="E17" i="79"/>
  <c r="F17" i="79" s="1"/>
  <c r="H17" i="79" s="1"/>
  <c r="E35" i="79"/>
  <c r="F35" i="79" s="1"/>
  <c r="G35" i="79" s="1"/>
  <c r="M11" i="80"/>
  <c r="M12" i="80" s="1"/>
  <c r="M13" i="80" s="1"/>
  <c r="M14" i="80" s="1"/>
  <c r="M15" i="80" s="1"/>
  <c r="M16" i="80" s="1"/>
  <c r="M17" i="80" s="1"/>
  <c r="M18" i="80" s="1"/>
  <c r="M19" i="80" s="1"/>
  <c r="M20" i="80" s="1"/>
  <c r="M21" i="80" s="1"/>
  <c r="M22" i="80" s="1"/>
  <c r="M23" i="80" s="1"/>
  <c r="M24" i="80" s="1"/>
  <c r="M25" i="80" s="1"/>
  <c r="M26" i="80" s="1"/>
  <c r="M27" i="80" s="1"/>
  <c r="M28" i="80" s="1"/>
  <c r="M29" i="80" s="1"/>
  <c r="M30" i="80" s="1"/>
  <c r="M31" i="80" s="1"/>
  <c r="M32" i="80" s="1"/>
  <c r="M33" i="80" s="1"/>
  <c r="M34" i="80" s="1"/>
  <c r="M35" i="80" s="1"/>
  <c r="M36" i="80" s="1"/>
  <c r="M37" i="80" s="1"/>
  <c r="M38" i="80" s="1"/>
  <c r="M39" i="80" s="1"/>
  <c r="M40" i="80" s="1"/>
  <c r="M41" i="80" s="1"/>
  <c r="M42" i="80" s="1"/>
  <c r="M43" i="80" s="1"/>
  <c r="M44" i="80" s="1"/>
  <c r="M45" i="80" s="1"/>
  <c r="M46" i="80" s="1"/>
  <c r="M47" i="80" s="1"/>
  <c r="M48" i="80" s="1"/>
  <c r="M49" i="80" s="1"/>
  <c r="M50" i="80" s="1"/>
  <c r="M51" i="80" s="1"/>
  <c r="M52" i="80" s="1"/>
  <c r="M53" i="80" s="1"/>
  <c r="M54" i="80" s="1"/>
  <c r="M55" i="80" s="1"/>
  <c r="M56" i="80" s="1"/>
  <c r="M57" i="80" s="1"/>
  <c r="M58" i="80" s="1"/>
  <c r="M59" i="80" s="1"/>
  <c r="M60" i="80" s="1"/>
  <c r="M61" i="80" s="1"/>
  <c r="M62" i="80" s="1"/>
  <c r="M63" i="80" s="1"/>
  <c r="M64" i="80" s="1"/>
  <c r="M65" i="80" s="1"/>
  <c r="M66" i="80" s="1"/>
  <c r="M67" i="80" s="1"/>
  <c r="M68" i="80" s="1"/>
  <c r="M69" i="80" s="1"/>
  <c r="M70" i="80" s="1"/>
  <c r="M71" i="80" s="1"/>
  <c r="M72" i="80" s="1"/>
  <c r="M73" i="80" s="1"/>
  <c r="M74" i="80" s="1"/>
  <c r="M75" i="80" s="1"/>
  <c r="M76" i="80" s="1"/>
  <c r="M77" i="80" s="1"/>
  <c r="M78" i="80" s="1"/>
  <c r="M79" i="80" s="1"/>
  <c r="M80" i="80" s="1"/>
  <c r="M81" i="80" s="1"/>
  <c r="M82" i="80" s="1"/>
  <c r="M83" i="80" s="1"/>
  <c r="M84" i="80" s="1"/>
  <c r="M85" i="80" s="1"/>
  <c r="M86" i="80" s="1"/>
  <c r="M87" i="80" s="1"/>
  <c r="M88" i="80" s="1"/>
  <c r="M89" i="80" s="1"/>
  <c r="M90" i="80" s="1"/>
  <c r="M91" i="80" s="1"/>
  <c r="M92" i="80" s="1"/>
  <c r="M93" i="80" s="1"/>
  <c r="M94" i="80" s="1"/>
  <c r="M95" i="80" s="1"/>
  <c r="M96" i="80" s="1"/>
  <c r="M97" i="80" s="1"/>
  <c r="M98" i="80" s="1"/>
  <c r="M99" i="80" s="1"/>
  <c r="M100" i="80" s="1"/>
  <c r="M101" i="80" s="1"/>
  <c r="M102" i="80" s="1"/>
  <c r="M103" i="80" s="1"/>
  <c r="M104" i="80" s="1"/>
  <c r="M105" i="80" s="1"/>
  <c r="M106" i="80" s="1"/>
  <c r="M107" i="80" s="1"/>
  <c r="M108" i="80" s="1"/>
  <c r="M109" i="80" s="1"/>
  <c r="M110" i="80" s="1"/>
  <c r="M111" i="80" s="1"/>
  <c r="M112" i="80" s="1"/>
  <c r="M113" i="80" s="1"/>
  <c r="M114" i="80" s="1"/>
  <c r="M115" i="80" s="1"/>
  <c r="M116" i="80" s="1"/>
  <c r="M117" i="80" s="1"/>
  <c r="M118" i="80" s="1"/>
  <c r="M119" i="80" s="1"/>
  <c r="M120" i="80" s="1"/>
  <c r="M121" i="80" s="1"/>
  <c r="M122" i="80" s="1"/>
  <c r="M123" i="80" s="1"/>
  <c r="M124" i="80" s="1"/>
  <c r="M125" i="80" s="1"/>
  <c r="M126" i="80" s="1"/>
  <c r="M127" i="80" s="1"/>
  <c r="M128" i="80" s="1"/>
  <c r="M129" i="80" s="1"/>
  <c r="M130" i="80" s="1"/>
  <c r="M131" i="80" s="1"/>
  <c r="M132" i="80" s="1"/>
  <c r="M133" i="80" s="1"/>
  <c r="M134" i="80" s="1"/>
  <c r="M135" i="80" s="1"/>
  <c r="M136" i="80" s="1"/>
  <c r="M137" i="80" s="1"/>
  <c r="M138" i="80" s="1"/>
  <c r="M139" i="80" s="1"/>
  <c r="M140" i="80" s="1"/>
  <c r="M141" i="80" s="1"/>
  <c r="M142" i="80" s="1"/>
  <c r="M143" i="80" s="1"/>
  <c r="M144" i="80" s="1"/>
  <c r="M145" i="80" s="1"/>
  <c r="M146" i="80" s="1"/>
  <c r="M147" i="80" s="1"/>
  <c r="M148" i="80" s="1"/>
  <c r="M149" i="80" s="1"/>
  <c r="M150" i="80" s="1"/>
  <c r="M151" i="80" s="1"/>
  <c r="M152" i="80" s="1"/>
  <c r="M153" i="80" s="1"/>
  <c r="M154" i="80" s="1"/>
  <c r="M155" i="80" s="1"/>
  <c r="M156" i="80" s="1"/>
  <c r="M157" i="80" s="1"/>
  <c r="M158" i="80" s="1"/>
  <c r="M159" i="80" s="1"/>
  <c r="M160" i="80" s="1"/>
  <c r="H29" i="79"/>
  <c r="G29" i="79"/>
  <c r="P12" i="79"/>
  <c r="P13" i="79" s="1"/>
  <c r="P14" i="79" s="1"/>
  <c r="P15" i="79" s="1"/>
  <c r="P16" i="79" s="1"/>
  <c r="P17" i="79" s="1"/>
  <c r="P18" i="79" s="1"/>
  <c r="P19" i="79" s="1"/>
  <c r="P20" i="79" s="1"/>
  <c r="P21" i="79" s="1"/>
  <c r="P22" i="79" s="1"/>
  <c r="P23" i="79" s="1"/>
  <c r="P24" i="79" s="1"/>
  <c r="P25" i="79" s="1"/>
  <c r="P26" i="79" s="1"/>
  <c r="P27" i="79" s="1"/>
  <c r="P28" i="79" s="1"/>
  <c r="P29" i="79" s="1"/>
  <c r="P30" i="79" s="1"/>
  <c r="P31" i="79" s="1"/>
  <c r="P32" i="79" s="1"/>
  <c r="P33" i="79" s="1"/>
  <c r="P34" i="79" s="1"/>
  <c r="P35" i="79" s="1"/>
  <c r="P36" i="79" s="1"/>
  <c r="P37" i="79" s="1"/>
  <c r="P38" i="79" s="1"/>
  <c r="P39" i="79" s="1"/>
  <c r="P40" i="79" s="1"/>
  <c r="Q11" i="79"/>
  <c r="Q12" i="79" s="1"/>
  <c r="Q13" i="79" s="1"/>
  <c r="Q14" i="79" s="1"/>
  <c r="Q15" i="79" s="1"/>
  <c r="Q16" i="79" s="1"/>
  <c r="Q17" i="79" s="1"/>
  <c r="Q18" i="79" s="1"/>
  <c r="Q19" i="79" s="1"/>
  <c r="Q20" i="79" s="1"/>
  <c r="Q21" i="79" s="1"/>
  <c r="Q22" i="79" s="1"/>
  <c r="Q23" i="79" s="1"/>
  <c r="Q24" i="79" s="1"/>
  <c r="Q25" i="79" s="1"/>
  <c r="Q26" i="79" s="1"/>
  <c r="Q27" i="79" s="1"/>
  <c r="Q28" i="79" s="1"/>
  <c r="Q29" i="79" s="1"/>
  <c r="Q30" i="79" s="1"/>
  <c r="Q31" i="79" s="1"/>
  <c r="Q32" i="79" s="1"/>
  <c r="Q33" i="79" s="1"/>
  <c r="Q34" i="79" s="1"/>
  <c r="Q35" i="79" s="1"/>
  <c r="Q36" i="79" s="1"/>
  <c r="Q37" i="79" s="1"/>
  <c r="Q38" i="79" s="1"/>
  <c r="Q39" i="79" s="1"/>
  <c r="Q40" i="79" s="1"/>
  <c r="D30" i="79"/>
  <c r="D36" i="79"/>
  <c r="T114" i="41" l="1"/>
  <c r="U114" i="41" s="1"/>
  <c r="W114" i="41" s="1"/>
  <c r="P116" i="41"/>
  <c r="D117" i="41"/>
  <c r="E116" i="41"/>
  <c r="F116" i="41" s="1"/>
  <c r="K116" i="41"/>
  <c r="C116" i="41" s="1"/>
  <c r="H120" i="41"/>
  <c r="G120" i="41"/>
  <c r="H110" i="41"/>
  <c r="G110" i="41"/>
  <c r="Q105" i="41"/>
  <c r="S105" i="41" s="1"/>
  <c r="R105" i="41"/>
  <c r="H220" i="95"/>
  <c r="G220" i="95"/>
  <c r="T109" i="41"/>
  <c r="U109" i="41" s="1"/>
  <c r="W109" i="41" s="1"/>
  <c r="Q115" i="41"/>
  <c r="S115" i="41" s="1"/>
  <c r="R115" i="41"/>
  <c r="G125" i="41"/>
  <c r="H125" i="41"/>
  <c r="Q212" i="95"/>
  <c r="S211" i="95"/>
  <c r="T99" i="41"/>
  <c r="U99" i="41" s="1"/>
  <c r="W99" i="41" s="1"/>
  <c r="Q125" i="41"/>
  <c r="S125" i="41" s="1"/>
  <c r="R125" i="41"/>
  <c r="G100" i="41"/>
  <c r="H100" i="41"/>
  <c r="Q120" i="41"/>
  <c r="S120" i="41" s="1"/>
  <c r="R120" i="41"/>
  <c r="P111" i="41"/>
  <c r="C111" i="41"/>
  <c r="E111" i="41"/>
  <c r="F111" i="41" s="1"/>
  <c r="D112" i="41"/>
  <c r="K111" i="41"/>
  <c r="Q110" i="41"/>
  <c r="S110" i="41" s="1"/>
  <c r="R110" i="41"/>
  <c r="D49" i="42"/>
  <c r="D222" i="95"/>
  <c r="E221" i="95"/>
  <c r="F221" i="95" s="1"/>
  <c r="K221" i="95"/>
  <c r="T104" i="41"/>
  <c r="U104" i="41" s="1"/>
  <c r="W104" i="41" s="1"/>
  <c r="D180" i="47"/>
  <c r="H105" i="41"/>
  <c r="G105" i="41"/>
  <c r="T119" i="41"/>
  <c r="U119" i="41" s="1"/>
  <c r="W119" i="41" s="1"/>
  <c r="R211" i="95"/>
  <c r="T210" i="95"/>
  <c r="U210" i="95" s="1"/>
  <c r="P126" i="41"/>
  <c r="D127" i="41"/>
  <c r="K126" i="41"/>
  <c r="C126" i="41" s="1"/>
  <c r="E126" i="41"/>
  <c r="F126" i="41" s="1"/>
  <c r="H115" i="41"/>
  <c r="G115" i="41"/>
  <c r="Q100" i="41"/>
  <c r="S100" i="41" s="1"/>
  <c r="R100" i="41"/>
  <c r="T94" i="41"/>
  <c r="U94" i="41" s="1"/>
  <c r="W94" i="41" s="1"/>
  <c r="P106" i="41"/>
  <c r="K106" i="41"/>
  <c r="C106" i="41" s="1"/>
  <c r="E106" i="41"/>
  <c r="F106" i="41" s="1"/>
  <c r="P131" i="41"/>
  <c r="K131" i="41"/>
  <c r="C131" i="41" s="1"/>
  <c r="D137" i="41"/>
  <c r="D132" i="41"/>
  <c r="E131" i="41"/>
  <c r="F131" i="41" s="1"/>
  <c r="P121" i="41"/>
  <c r="E121" i="41"/>
  <c r="F121" i="41" s="1"/>
  <c r="D122" i="41"/>
  <c r="K121" i="41"/>
  <c r="C121" i="41" s="1"/>
  <c r="V142" i="96"/>
  <c r="T143" i="96"/>
  <c r="G34" i="48"/>
  <c r="H34" i="48"/>
  <c r="K35" i="48"/>
  <c r="C35" i="48" s="1"/>
  <c r="D36" i="48"/>
  <c r="E35" i="48"/>
  <c r="F35" i="48" s="1"/>
  <c r="H540" i="61"/>
  <c r="G540" i="61"/>
  <c r="R540" i="61"/>
  <c r="S540" i="61"/>
  <c r="T539" i="61"/>
  <c r="U539" i="61" s="1"/>
  <c r="E541" i="61"/>
  <c r="F541" i="61" s="1"/>
  <c r="P541" i="61"/>
  <c r="Q541" i="61" s="1"/>
  <c r="D542" i="61"/>
  <c r="C542" i="61" s="1"/>
  <c r="G17" i="79"/>
  <c r="D19" i="79"/>
  <c r="E19" i="79" s="1"/>
  <c r="F19" i="79" s="1"/>
  <c r="L18" i="79"/>
  <c r="H35" i="79"/>
  <c r="G18" i="79"/>
  <c r="H18" i="79"/>
  <c r="L36" i="79"/>
  <c r="D37" i="79"/>
  <c r="E36" i="79"/>
  <c r="F36" i="79" s="1"/>
  <c r="L30" i="79"/>
  <c r="D31" i="79"/>
  <c r="E30" i="79"/>
  <c r="F30" i="79" s="1"/>
  <c r="T115" i="41" l="1"/>
  <c r="U115" i="41" s="1"/>
  <c r="W115" i="41" s="1"/>
  <c r="T125" i="41"/>
  <c r="U125" i="41" s="1"/>
  <c r="W125" i="41" s="1"/>
  <c r="T120" i="41"/>
  <c r="U120" i="41" s="1"/>
  <c r="W120" i="41" s="1"/>
  <c r="T105" i="41"/>
  <c r="U105" i="41" s="1"/>
  <c r="W105" i="41" s="1"/>
  <c r="G111" i="41"/>
  <c r="H111" i="41"/>
  <c r="D223" i="95"/>
  <c r="E222" i="95"/>
  <c r="F222" i="95" s="1"/>
  <c r="K222" i="95"/>
  <c r="P132" i="41"/>
  <c r="C132" i="41"/>
  <c r="D133" i="41"/>
  <c r="E132" i="41"/>
  <c r="F132" i="41" s="1"/>
  <c r="K132" i="41"/>
  <c r="Q106" i="41"/>
  <c r="S106" i="41" s="1"/>
  <c r="R106" i="41"/>
  <c r="P127" i="41"/>
  <c r="K127" i="41"/>
  <c r="C127" i="41" s="1"/>
  <c r="E127" i="41"/>
  <c r="F127" i="41" s="1"/>
  <c r="D128" i="41"/>
  <c r="Q111" i="41"/>
  <c r="S111" i="41" s="1"/>
  <c r="R111" i="41"/>
  <c r="P137" i="41"/>
  <c r="C137" i="41"/>
  <c r="D138" i="41"/>
  <c r="E137" i="41"/>
  <c r="F137" i="41" s="1"/>
  <c r="K137" i="41"/>
  <c r="D143" i="41"/>
  <c r="D181" i="47"/>
  <c r="D50" i="42"/>
  <c r="Q213" i="95"/>
  <c r="S212" i="95"/>
  <c r="H116" i="41"/>
  <c r="G116" i="41"/>
  <c r="P117" i="41"/>
  <c r="D118" i="41"/>
  <c r="K117" i="41"/>
  <c r="C117" i="41" s="1"/>
  <c r="E117" i="41"/>
  <c r="F117" i="41" s="1"/>
  <c r="T110" i="41"/>
  <c r="U110" i="41" s="1"/>
  <c r="W110" i="41" s="1"/>
  <c r="Q121" i="41"/>
  <c r="S121" i="41" s="1"/>
  <c r="R121" i="41"/>
  <c r="H126" i="41"/>
  <c r="G126" i="41"/>
  <c r="G131" i="41"/>
  <c r="H131" i="41"/>
  <c r="Q126" i="41"/>
  <c r="S126" i="41" s="1"/>
  <c r="R126" i="41"/>
  <c r="T100" i="41"/>
  <c r="U100" i="41" s="1"/>
  <c r="W100" i="41" s="1"/>
  <c r="G121" i="41"/>
  <c r="H121" i="41"/>
  <c r="Q131" i="41"/>
  <c r="S131" i="41" s="1"/>
  <c r="R131" i="41"/>
  <c r="R212" i="95"/>
  <c r="T211" i="95"/>
  <c r="U211" i="95" s="1"/>
  <c r="Q116" i="41"/>
  <c r="S116" i="41" s="1"/>
  <c r="R116" i="41"/>
  <c r="P122" i="41"/>
  <c r="C122" i="41"/>
  <c r="D123" i="41"/>
  <c r="E122" i="41"/>
  <c r="F122" i="41" s="1"/>
  <c r="K122" i="41"/>
  <c r="H106" i="41"/>
  <c r="G106" i="41"/>
  <c r="H221" i="95"/>
  <c r="G221" i="95"/>
  <c r="P112" i="41"/>
  <c r="C112" i="41"/>
  <c r="E112" i="41"/>
  <c r="F112" i="41" s="1"/>
  <c r="K112" i="41"/>
  <c r="T144" i="96"/>
  <c r="U143" i="96"/>
  <c r="V143" i="96" s="1"/>
  <c r="W142" i="96" s="1"/>
  <c r="X142" i="96" s="1"/>
  <c r="G35" i="48"/>
  <c r="H35" i="48"/>
  <c r="K36" i="48"/>
  <c r="C36" i="48" s="1"/>
  <c r="E36" i="48"/>
  <c r="F36" i="48" s="1"/>
  <c r="D37" i="48"/>
  <c r="T540" i="61"/>
  <c r="U540" i="61" s="1"/>
  <c r="D543" i="61"/>
  <c r="C543" i="61" s="1"/>
  <c r="P542" i="61"/>
  <c r="Q542" i="61" s="1"/>
  <c r="E542" i="61"/>
  <c r="F542" i="61" s="1"/>
  <c r="R541" i="61"/>
  <c r="S541" i="61"/>
  <c r="H541" i="61"/>
  <c r="G541" i="61"/>
  <c r="D20" i="79"/>
  <c r="D21" i="79" s="1"/>
  <c r="L19" i="79"/>
  <c r="E37" i="79"/>
  <c r="F37" i="79" s="1"/>
  <c r="D38" i="79"/>
  <c r="L37" i="79"/>
  <c r="G19" i="79"/>
  <c r="H19" i="79"/>
  <c r="G30" i="79"/>
  <c r="H30" i="79"/>
  <c r="E31" i="79"/>
  <c r="F31" i="79" s="1"/>
  <c r="D32" i="79"/>
  <c r="L31" i="79"/>
  <c r="G36" i="79"/>
  <c r="H36" i="79"/>
  <c r="L20" i="79" l="1"/>
  <c r="T106" i="41"/>
  <c r="U106" i="41" s="1"/>
  <c r="W106" i="41" s="1"/>
  <c r="T121" i="41"/>
  <c r="U121" i="41" s="1"/>
  <c r="W121" i="41" s="1"/>
  <c r="Q127" i="41"/>
  <c r="S127" i="41" s="1"/>
  <c r="R127" i="41"/>
  <c r="T131" i="41"/>
  <c r="U131" i="41" s="1"/>
  <c r="W131" i="41" s="1"/>
  <c r="D51" i="42"/>
  <c r="Q112" i="41"/>
  <c r="S112" i="41" s="1"/>
  <c r="R112" i="41"/>
  <c r="Q122" i="41"/>
  <c r="S122" i="41" s="1"/>
  <c r="R122" i="41"/>
  <c r="Q117" i="41"/>
  <c r="S117" i="41" s="1"/>
  <c r="R117" i="41"/>
  <c r="D182" i="47"/>
  <c r="H222" i="95"/>
  <c r="G222" i="95"/>
  <c r="P118" i="41"/>
  <c r="K118" i="41"/>
  <c r="C118" i="41" s="1"/>
  <c r="E118" i="41"/>
  <c r="F118" i="41" s="1"/>
  <c r="Q132" i="41"/>
  <c r="S132" i="41" s="1"/>
  <c r="R132" i="41"/>
  <c r="P143" i="41"/>
  <c r="R143" i="41" s="1"/>
  <c r="T143" i="41" s="1"/>
  <c r="U143" i="41" s="1"/>
  <c r="W143" i="41" s="1"/>
  <c r="C143" i="41"/>
  <c r="D144" i="41"/>
  <c r="E143" i="41"/>
  <c r="F143" i="41" s="1"/>
  <c r="K143" i="41"/>
  <c r="H112" i="41"/>
  <c r="G112" i="41"/>
  <c r="H122" i="41"/>
  <c r="G122" i="41"/>
  <c r="Q137" i="41"/>
  <c r="S137" i="41" s="1"/>
  <c r="R137" i="41"/>
  <c r="T116" i="41"/>
  <c r="U116" i="41" s="1"/>
  <c r="W116" i="41" s="1"/>
  <c r="T111" i="41"/>
  <c r="U111" i="41" s="1"/>
  <c r="W111" i="41" s="1"/>
  <c r="D224" i="95"/>
  <c r="E223" i="95"/>
  <c r="F223" i="95" s="1"/>
  <c r="K223" i="95"/>
  <c r="P123" i="41"/>
  <c r="C123" i="41"/>
  <c r="E123" i="41"/>
  <c r="F123" i="41" s="1"/>
  <c r="K123" i="41"/>
  <c r="D124" i="41"/>
  <c r="W143" i="96"/>
  <c r="X143" i="96" s="1"/>
  <c r="W26" i="96"/>
  <c r="X26" i="96" s="1"/>
  <c r="W77" i="96"/>
  <c r="X77" i="96" s="1"/>
  <c r="W41" i="96"/>
  <c r="X41" i="96" s="1"/>
  <c r="W38" i="96"/>
  <c r="X38" i="96" s="1"/>
  <c r="W24" i="96"/>
  <c r="X24" i="96" s="1"/>
  <c r="W56" i="96"/>
  <c r="X56" i="96" s="1"/>
  <c r="W30" i="96"/>
  <c r="X30" i="96" s="1"/>
  <c r="W20" i="96"/>
  <c r="X20" i="96" s="1"/>
  <c r="W14" i="96"/>
  <c r="X14" i="96" s="1"/>
  <c r="W76" i="96"/>
  <c r="X76" i="96" s="1"/>
  <c r="W91" i="96"/>
  <c r="X91" i="96" s="1"/>
  <c r="W99" i="96"/>
  <c r="X99" i="96" s="1"/>
  <c r="W107" i="96"/>
  <c r="X107" i="96" s="1"/>
  <c r="W115" i="96"/>
  <c r="X115" i="96" s="1"/>
  <c r="W123" i="96"/>
  <c r="X123" i="96" s="1"/>
  <c r="W19" i="96"/>
  <c r="X19" i="96" s="1"/>
  <c r="W39" i="96"/>
  <c r="X39" i="96" s="1"/>
  <c r="W49" i="96"/>
  <c r="X49" i="96" s="1"/>
  <c r="W46" i="96"/>
  <c r="X46" i="96" s="1"/>
  <c r="W47" i="96"/>
  <c r="X47" i="96" s="1"/>
  <c r="W72" i="96"/>
  <c r="X72" i="96" s="1"/>
  <c r="W25" i="96"/>
  <c r="X25" i="96" s="1"/>
  <c r="W15" i="96"/>
  <c r="X15" i="96" s="1"/>
  <c r="W28" i="96"/>
  <c r="X28" i="96" s="1"/>
  <c r="W84" i="96"/>
  <c r="X84" i="96" s="1"/>
  <c r="W92" i="96"/>
  <c r="X92" i="96" s="1"/>
  <c r="W100" i="96"/>
  <c r="X100" i="96" s="1"/>
  <c r="W108" i="96"/>
  <c r="X108" i="96" s="1"/>
  <c r="W116" i="96"/>
  <c r="X116" i="96" s="1"/>
  <c r="W124" i="96"/>
  <c r="X124" i="96" s="1"/>
  <c r="W61" i="96"/>
  <c r="X61" i="96" s="1"/>
  <c r="W16" i="96"/>
  <c r="X16" i="96" s="1"/>
  <c r="W40" i="96"/>
  <c r="X40" i="96" s="1"/>
  <c r="W67" i="96"/>
  <c r="X67" i="96" s="1"/>
  <c r="W89" i="96"/>
  <c r="X89" i="96" s="1"/>
  <c r="W105" i="96"/>
  <c r="X105" i="96" s="1"/>
  <c r="W129" i="96"/>
  <c r="X129" i="96" s="1"/>
  <c r="W31" i="96"/>
  <c r="X31" i="96" s="1"/>
  <c r="W55" i="96"/>
  <c r="X55" i="96" s="1"/>
  <c r="W65" i="96"/>
  <c r="X65" i="96" s="1"/>
  <c r="W54" i="96"/>
  <c r="X54" i="96" s="1"/>
  <c r="W63" i="96"/>
  <c r="X63" i="96" s="1"/>
  <c r="W27" i="96"/>
  <c r="X27" i="96" s="1"/>
  <c r="W42" i="96"/>
  <c r="X42" i="96" s="1"/>
  <c r="W33" i="96"/>
  <c r="X33" i="96" s="1"/>
  <c r="W21" i="96"/>
  <c r="X21" i="96" s="1"/>
  <c r="W85" i="96"/>
  <c r="X85" i="96" s="1"/>
  <c r="W93" i="96"/>
  <c r="X93" i="96" s="1"/>
  <c r="W101" i="96"/>
  <c r="X101" i="96" s="1"/>
  <c r="W109" i="96"/>
  <c r="X109" i="96" s="1"/>
  <c r="W117" i="96"/>
  <c r="X117" i="96" s="1"/>
  <c r="W125" i="96"/>
  <c r="X125" i="96" s="1"/>
  <c r="W37" i="96"/>
  <c r="X37" i="96" s="1"/>
  <c r="W71" i="96"/>
  <c r="X71" i="96" s="1"/>
  <c r="W81" i="96"/>
  <c r="X81" i="96" s="1"/>
  <c r="W62" i="96"/>
  <c r="X62" i="96" s="1"/>
  <c r="W11" i="96"/>
  <c r="X11" i="96" s="1"/>
  <c r="W18" i="96"/>
  <c r="X18" i="96" s="1"/>
  <c r="W50" i="96"/>
  <c r="X50" i="96" s="1"/>
  <c r="W43" i="96"/>
  <c r="X43" i="96" s="1"/>
  <c r="W36" i="96"/>
  <c r="X36" i="96" s="1"/>
  <c r="W86" i="96"/>
  <c r="X86" i="96" s="1"/>
  <c r="W94" i="96"/>
  <c r="X94" i="96" s="1"/>
  <c r="W102" i="96"/>
  <c r="X102" i="96" s="1"/>
  <c r="W110" i="96"/>
  <c r="X110" i="96" s="1"/>
  <c r="W118" i="96"/>
  <c r="X118" i="96" s="1"/>
  <c r="W126" i="96"/>
  <c r="X126" i="96" s="1"/>
  <c r="W80" i="96"/>
  <c r="X80" i="96" s="1"/>
  <c r="W82" i="96"/>
  <c r="X82" i="96" s="1"/>
  <c r="W97" i="96"/>
  <c r="X97" i="96" s="1"/>
  <c r="W121" i="96"/>
  <c r="X121" i="96" s="1"/>
  <c r="W45" i="96"/>
  <c r="X45" i="96" s="1"/>
  <c r="W79" i="96"/>
  <c r="X79" i="96" s="1"/>
  <c r="W74" i="96"/>
  <c r="X74" i="96" s="1"/>
  <c r="W70" i="96"/>
  <c r="X70" i="96" s="1"/>
  <c r="W17" i="96"/>
  <c r="X17" i="96" s="1"/>
  <c r="W57" i="96"/>
  <c r="X57" i="96" s="1"/>
  <c r="W58" i="96"/>
  <c r="X58" i="96" s="1"/>
  <c r="W51" i="96"/>
  <c r="X51" i="96" s="1"/>
  <c r="W44" i="96"/>
  <c r="X44" i="96" s="1"/>
  <c r="W87" i="96"/>
  <c r="X87" i="96" s="1"/>
  <c r="W95" i="96"/>
  <c r="X95" i="96" s="1"/>
  <c r="W103" i="96"/>
  <c r="X103" i="96" s="1"/>
  <c r="W111" i="96"/>
  <c r="X111" i="96" s="1"/>
  <c r="W119" i="96"/>
  <c r="X119" i="96" s="1"/>
  <c r="W127" i="96"/>
  <c r="X127" i="96" s="1"/>
  <c r="W53" i="96"/>
  <c r="X53" i="96" s="1"/>
  <c r="W64" i="96"/>
  <c r="X64" i="96" s="1"/>
  <c r="W34" i="96"/>
  <c r="X34" i="96" s="1"/>
  <c r="W78" i="96"/>
  <c r="X78" i="96" s="1"/>
  <c r="W32" i="96"/>
  <c r="X32" i="96" s="1"/>
  <c r="W73" i="96"/>
  <c r="X73" i="96" s="1"/>
  <c r="W66" i="96"/>
  <c r="X66" i="96" s="1"/>
  <c r="W59" i="96"/>
  <c r="X59" i="96" s="1"/>
  <c r="W52" i="96"/>
  <c r="X52" i="96" s="1"/>
  <c r="W88" i="96"/>
  <c r="X88" i="96" s="1"/>
  <c r="W96" i="96"/>
  <c r="X96" i="96" s="1"/>
  <c r="W104" i="96"/>
  <c r="X104" i="96" s="1"/>
  <c r="W112" i="96"/>
  <c r="X112" i="96" s="1"/>
  <c r="W120" i="96"/>
  <c r="X120" i="96" s="1"/>
  <c r="W128" i="96"/>
  <c r="X128" i="96" s="1"/>
  <c r="W131" i="96"/>
  <c r="X131" i="96" s="1"/>
  <c r="W69" i="96"/>
  <c r="X69" i="96" s="1"/>
  <c r="W13" i="96"/>
  <c r="X13" i="96" s="1"/>
  <c r="W23" i="96"/>
  <c r="X23" i="96" s="1"/>
  <c r="W29" i="96"/>
  <c r="X29" i="96" s="1"/>
  <c r="W48" i="96"/>
  <c r="X48" i="96" s="1"/>
  <c r="W12" i="96"/>
  <c r="X12" i="96" s="1"/>
  <c r="W35" i="96"/>
  <c r="X35" i="96" s="1"/>
  <c r="W75" i="96"/>
  <c r="X75" i="96" s="1"/>
  <c r="W68" i="96"/>
  <c r="X68" i="96" s="1"/>
  <c r="W90" i="96"/>
  <c r="X90" i="96" s="1"/>
  <c r="W98" i="96"/>
  <c r="X98" i="96" s="1"/>
  <c r="W106" i="96"/>
  <c r="X106" i="96" s="1"/>
  <c r="W114" i="96"/>
  <c r="X114" i="96" s="1"/>
  <c r="W122" i="96"/>
  <c r="X122" i="96" s="1"/>
  <c r="W130" i="96"/>
  <c r="X130" i="96" s="1"/>
  <c r="W22" i="96"/>
  <c r="X22" i="96" s="1"/>
  <c r="W83" i="96"/>
  <c r="X83" i="96" s="1"/>
  <c r="W60" i="96"/>
  <c r="X60" i="96" s="1"/>
  <c r="W113" i="96"/>
  <c r="X113" i="96" s="1"/>
  <c r="W132" i="96"/>
  <c r="X132" i="96" s="1"/>
  <c r="W133" i="96"/>
  <c r="X133" i="96" s="1"/>
  <c r="W134" i="96"/>
  <c r="X134" i="96" s="1"/>
  <c r="W135" i="96"/>
  <c r="X135" i="96" s="1"/>
  <c r="W136" i="96"/>
  <c r="X136" i="96" s="1"/>
  <c r="W137" i="96"/>
  <c r="X137" i="96" s="1"/>
  <c r="W138" i="96"/>
  <c r="X138" i="96" s="1"/>
  <c r="W139" i="96"/>
  <c r="X139" i="96" s="1"/>
  <c r="W140" i="96"/>
  <c r="X140" i="96" s="1"/>
  <c r="W141" i="96"/>
  <c r="X141" i="96" s="1"/>
  <c r="G137" i="41"/>
  <c r="H137" i="41"/>
  <c r="P128" i="41"/>
  <c r="K128" i="41"/>
  <c r="C128" i="41" s="1"/>
  <c r="D129" i="41"/>
  <c r="E128" i="41"/>
  <c r="F128" i="41" s="1"/>
  <c r="H132" i="41"/>
  <c r="G132" i="41"/>
  <c r="T126" i="41"/>
  <c r="U126" i="41" s="1"/>
  <c r="W126" i="41" s="1"/>
  <c r="R213" i="95"/>
  <c r="T212" i="95"/>
  <c r="U212" i="95" s="1"/>
  <c r="G117" i="41"/>
  <c r="H117" i="41"/>
  <c r="Q214" i="95"/>
  <c r="S213" i="95"/>
  <c r="P138" i="41"/>
  <c r="D139" i="41"/>
  <c r="E138" i="41"/>
  <c r="F138" i="41" s="1"/>
  <c r="K138" i="41"/>
  <c r="C138" i="41" s="1"/>
  <c r="H127" i="41"/>
  <c r="G127" i="41"/>
  <c r="P133" i="41"/>
  <c r="D134" i="41"/>
  <c r="E133" i="41"/>
  <c r="F133" i="41" s="1"/>
  <c r="K133" i="41"/>
  <c r="C133" i="41" s="1"/>
  <c r="T145" i="96"/>
  <c r="U144" i="96"/>
  <c r="V144" i="96" s="1"/>
  <c r="W144" i="96" s="1"/>
  <c r="X144" i="96" s="1"/>
  <c r="D38" i="48"/>
  <c r="E37" i="48"/>
  <c r="F37" i="48" s="1"/>
  <c r="K37" i="48"/>
  <c r="C37" i="48" s="1"/>
  <c r="H36" i="48"/>
  <c r="G36" i="48"/>
  <c r="H542" i="61"/>
  <c r="G542" i="61"/>
  <c r="R542" i="61"/>
  <c r="S542" i="61"/>
  <c r="T541" i="61"/>
  <c r="U541" i="61" s="1"/>
  <c r="E543" i="61"/>
  <c r="F543" i="61" s="1"/>
  <c r="P543" i="61"/>
  <c r="Q543" i="61" s="1"/>
  <c r="D544" i="61"/>
  <c r="C544" i="61" s="1"/>
  <c r="E20" i="79"/>
  <c r="F20" i="79" s="1"/>
  <c r="G20" i="79" s="1"/>
  <c r="H31" i="79"/>
  <c r="G31" i="79"/>
  <c r="L38" i="79"/>
  <c r="D39" i="79"/>
  <c r="E38" i="79"/>
  <c r="F38" i="79" s="1"/>
  <c r="E21" i="79"/>
  <c r="F21" i="79" s="1"/>
  <c r="L21" i="79"/>
  <c r="D22" i="79"/>
  <c r="L32" i="79"/>
  <c r="D33" i="79"/>
  <c r="E32" i="79"/>
  <c r="F32" i="79" s="1"/>
  <c r="H37" i="79"/>
  <c r="G37" i="79"/>
  <c r="T122" i="41" l="1"/>
  <c r="U122" i="41" s="1"/>
  <c r="W122" i="41" s="1"/>
  <c r="T137" i="41"/>
  <c r="U137" i="41" s="1"/>
  <c r="W137" i="41" s="1"/>
  <c r="H128" i="41"/>
  <c r="G128" i="41"/>
  <c r="P144" i="41"/>
  <c r="R144" i="41" s="1"/>
  <c r="T144" i="41" s="1"/>
  <c r="U144" i="41" s="1"/>
  <c r="W144" i="41" s="1"/>
  <c r="K144" i="41"/>
  <c r="C144" i="41" s="1"/>
  <c r="D145" i="41"/>
  <c r="E144" i="41"/>
  <c r="F144" i="41" s="1"/>
  <c r="Q118" i="41"/>
  <c r="S118" i="41" s="1"/>
  <c r="R118" i="41"/>
  <c r="H138" i="41"/>
  <c r="G138" i="41"/>
  <c r="T112" i="41"/>
  <c r="U112" i="41" s="1"/>
  <c r="W112" i="41" s="1"/>
  <c r="P139" i="41"/>
  <c r="C139" i="41"/>
  <c r="D140" i="41"/>
  <c r="K139" i="41"/>
  <c r="E139" i="41"/>
  <c r="F139" i="41" s="1"/>
  <c r="R214" i="95"/>
  <c r="T214" i="95" s="1"/>
  <c r="T213" i="95"/>
  <c r="U213" i="95" s="1"/>
  <c r="G223" i="95"/>
  <c r="H223" i="95"/>
  <c r="P129" i="41"/>
  <c r="D130" i="41"/>
  <c r="K129" i="41"/>
  <c r="C129" i="41" s="1"/>
  <c r="E129" i="41"/>
  <c r="F129" i="41" s="1"/>
  <c r="G133" i="41"/>
  <c r="H133" i="41"/>
  <c r="P134" i="41"/>
  <c r="K134" i="41"/>
  <c r="C134" i="41" s="1"/>
  <c r="E134" i="41"/>
  <c r="F134" i="41" s="1"/>
  <c r="D135" i="41"/>
  <c r="Q128" i="41"/>
  <c r="S128" i="41" s="1"/>
  <c r="R128" i="41"/>
  <c r="T132" i="41"/>
  <c r="U132" i="41" s="1"/>
  <c r="W132" i="41" s="1"/>
  <c r="D183" i="47"/>
  <c r="D52" i="42"/>
  <c r="Q123" i="41"/>
  <c r="S123" i="41" s="1"/>
  <c r="R123" i="41"/>
  <c r="P124" i="41"/>
  <c r="K124" i="41"/>
  <c r="C124" i="41" s="1"/>
  <c r="E124" i="41"/>
  <c r="F124" i="41" s="1"/>
  <c r="D225" i="95"/>
  <c r="K224" i="95"/>
  <c r="E224" i="95"/>
  <c r="F224" i="95" s="1"/>
  <c r="G118" i="41"/>
  <c r="H118" i="41"/>
  <c r="C38" i="48"/>
  <c r="Q138" i="41"/>
  <c r="S138" i="41" s="1"/>
  <c r="R138" i="41"/>
  <c r="Q133" i="41"/>
  <c r="S133" i="41" s="1"/>
  <c r="R133" i="41"/>
  <c r="T117" i="41"/>
  <c r="U117" i="41" s="1"/>
  <c r="W117" i="41" s="1"/>
  <c r="Q215" i="95"/>
  <c r="S214" i="95"/>
  <c r="U214" i="95" s="1"/>
  <c r="H123" i="41"/>
  <c r="G123" i="41"/>
  <c r="H143" i="41"/>
  <c r="G143" i="41"/>
  <c r="T127" i="41"/>
  <c r="U127" i="41" s="1"/>
  <c r="W127" i="41" s="1"/>
  <c r="T146" i="96"/>
  <c r="U145" i="96"/>
  <c r="V145" i="96" s="1"/>
  <c r="W145" i="96" s="1"/>
  <c r="X145" i="96" s="1"/>
  <c r="H37" i="48"/>
  <c r="G37" i="48"/>
  <c r="K38" i="48"/>
  <c r="E38" i="48"/>
  <c r="F38" i="48" s="1"/>
  <c r="D39" i="48"/>
  <c r="T542" i="61"/>
  <c r="U542" i="61" s="1"/>
  <c r="D545" i="61"/>
  <c r="C545" i="61" s="1"/>
  <c r="P544" i="61"/>
  <c r="Q544" i="61" s="1"/>
  <c r="E544" i="61"/>
  <c r="F544" i="61" s="1"/>
  <c r="R543" i="61"/>
  <c r="S543" i="61"/>
  <c r="H543" i="61"/>
  <c r="G543" i="61"/>
  <c r="H20" i="79"/>
  <c r="E33" i="79"/>
  <c r="F33" i="79" s="1"/>
  <c r="D34" i="79"/>
  <c r="L33" i="79"/>
  <c r="H21" i="79"/>
  <c r="G21" i="79"/>
  <c r="G38" i="79"/>
  <c r="H38" i="79"/>
  <c r="L22" i="79"/>
  <c r="E22" i="79"/>
  <c r="F22" i="79" s="1"/>
  <c r="E39" i="79"/>
  <c r="F39" i="79" s="1"/>
  <c r="D40" i="79"/>
  <c r="L39" i="79"/>
  <c r="G32" i="79"/>
  <c r="H32" i="79"/>
  <c r="T138" i="41" l="1"/>
  <c r="U138" i="41" s="1"/>
  <c r="W138" i="41" s="1"/>
  <c r="Q134" i="41"/>
  <c r="S134" i="41" s="1"/>
  <c r="R134" i="41"/>
  <c r="H124" i="41"/>
  <c r="G124" i="41"/>
  <c r="Q129" i="41"/>
  <c r="S129" i="41" s="1"/>
  <c r="R129" i="41"/>
  <c r="P140" i="41"/>
  <c r="K140" i="41"/>
  <c r="C140" i="41" s="1"/>
  <c r="D141" i="41"/>
  <c r="E140" i="41"/>
  <c r="F140" i="41" s="1"/>
  <c r="H144" i="41"/>
  <c r="G144" i="41"/>
  <c r="P145" i="41"/>
  <c r="R145" i="41" s="1"/>
  <c r="T145" i="41" s="1"/>
  <c r="U145" i="41" s="1"/>
  <c r="W145" i="41" s="1"/>
  <c r="C145" i="41"/>
  <c r="K145" i="41"/>
  <c r="D146" i="41"/>
  <c r="E145" i="41"/>
  <c r="F145" i="41" s="1"/>
  <c r="Q139" i="41"/>
  <c r="S139" i="41" s="1"/>
  <c r="R139" i="41"/>
  <c r="S215" i="95"/>
  <c r="R215" i="95"/>
  <c r="Q216" i="95"/>
  <c r="Q124" i="41"/>
  <c r="S124" i="41" s="1"/>
  <c r="R124" i="41"/>
  <c r="G224" i="95"/>
  <c r="H224" i="95"/>
  <c r="T128" i="41"/>
  <c r="U128" i="41" s="1"/>
  <c r="W128" i="41" s="1"/>
  <c r="H129" i="41"/>
  <c r="G129" i="41"/>
  <c r="T123" i="41"/>
  <c r="U123" i="41" s="1"/>
  <c r="W123" i="41" s="1"/>
  <c r="P135" i="41"/>
  <c r="E135" i="41"/>
  <c r="F135" i="41" s="1"/>
  <c r="K135" i="41"/>
  <c r="C135" i="41" s="1"/>
  <c r="D136" i="41"/>
  <c r="T133" i="41"/>
  <c r="U133" i="41" s="1"/>
  <c r="W133" i="41" s="1"/>
  <c r="H134" i="41"/>
  <c r="G134" i="41"/>
  <c r="P130" i="41"/>
  <c r="K130" i="41"/>
  <c r="C130" i="41" s="1"/>
  <c r="E130" i="41"/>
  <c r="F130" i="41" s="1"/>
  <c r="G139" i="41"/>
  <c r="H139" i="41"/>
  <c r="D184" i="47"/>
  <c r="D226" i="95"/>
  <c r="K225" i="95"/>
  <c r="E225" i="95"/>
  <c r="F225" i="95" s="1"/>
  <c r="D53" i="42"/>
  <c r="T118" i="41"/>
  <c r="U118" i="41" s="1"/>
  <c r="W118" i="41" s="1"/>
  <c r="U146" i="96"/>
  <c r="V146" i="96" s="1"/>
  <c r="W146" i="96" s="1"/>
  <c r="X146" i="96" s="1"/>
  <c r="T147" i="96"/>
  <c r="D40" i="48"/>
  <c r="K39" i="48"/>
  <c r="C39" i="48" s="1"/>
  <c r="E39" i="48"/>
  <c r="F39" i="48" s="1"/>
  <c r="G38" i="48"/>
  <c r="H38" i="48"/>
  <c r="H544" i="61"/>
  <c r="G544" i="61"/>
  <c r="R544" i="61"/>
  <c r="S544" i="61"/>
  <c r="T543" i="61"/>
  <c r="U543" i="61" s="1"/>
  <c r="E545" i="61"/>
  <c r="F545" i="61" s="1"/>
  <c r="P545" i="61"/>
  <c r="Q545" i="61" s="1"/>
  <c r="D546" i="61"/>
  <c r="C546" i="61" s="1"/>
  <c r="H39" i="79"/>
  <c r="G39" i="79"/>
  <c r="H33" i="79"/>
  <c r="G33" i="79"/>
  <c r="G22" i="79"/>
  <c r="H22" i="79"/>
  <c r="L40" i="79"/>
  <c r="E40" i="79"/>
  <c r="F40" i="79" s="1"/>
  <c r="L34" i="79"/>
  <c r="E34" i="79"/>
  <c r="F34" i="79" s="1"/>
  <c r="T124" i="41" l="1"/>
  <c r="U124" i="41" s="1"/>
  <c r="W124" i="41" s="1"/>
  <c r="Q140" i="41"/>
  <c r="S140" i="41" s="1"/>
  <c r="R140" i="41"/>
  <c r="G225" i="95"/>
  <c r="H225" i="95"/>
  <c r="P136" i="41"/>
  <c r="C136" i="41"/>
  <c r="E136" i="41"/>
  <c r="F136" i="41" s="1"/>
  <c r="K136" i="41"/>
  <c r="G130" i="41"/>
  <c r="H130" i="41"/>
  <c r="T129" i="41"/>
  <c r="U129" i="41" s="1"/>
  <c r="W129" i="41" s="1"/>
  <c r="H135" i="41"/>
  <c r="G135" i="41"/>
  <c r="T139" i="41"/>
  <c r="U139" i="41" s="1"/>
  <c r="W139" i="41" s="1"/>
  <c r="D54" i="42"/>
  <c r="R216" i="95"/>
  <c r="T215" i="95"/>
  <c r="U215" i="95" s="1"/>
  <c r="D227" i="95"/>
  <c r="K226" i="95"/>
  <c r="E226" i="95"/>
  <c r="F226" i="95" s="1"/>
  <c r="G140" i="41"/>
  <c r="H140" i="41"/>
  <c r="Q130" i="41"/>
  <c r="S130" i="41" s="1"/>
  <c r="R130" i="41"/>
  <c r="Q135" i="41"/>
  <c r="S135" i="41" s="1"/>
  <c r="R135" i="41"/>
  <c r="H145" i="41"/>
  <c r="G145" i="41"/>
  <c r="P141" i="41"/>
  <c r="K141" i="41"/>
  <c r="C141" i="41" s="1"/>
  <c r="D142" i="41"/>
  <c r="E141" i="41"/>
  <c r="F141" i="41" s="1"/>
  <c r="P146" i="41"/>
  <c r="R146" i="41" s="1"/>
  <c r="T146" i="41" s="1"/>
  <c r="U146" i="41" s="1"/>
  <c r="W146" i="41" s="1"/>
  <c r="C146" i="41"/>
  <c r="E146" i="41"/>
  <c r="F146" i="41" s="1"/>
  <c r="K146" i="41"/>
  <c r="D147" i="41"/>
  <c r="T134" i="41"/>
  <c r="U134" i="41" s="1"/>
  <c r="W134" i="41" s="1"/>
  <c r="D185" i="47"/>
  <c r="Q217" i="95"/>
  <c r="S216" i="95"/>
  <c r="U147" i="96"/>
  <c r="V147" i="96" s="1"/>
  <c r="W147" i="96" s="1"/>
  <c r="X147" i="96" s="1"/>
  <c r="T148" i="96"/>
  <c r="H39" i="48"/>
  <c r="G39" i="48"/>
  <c r="K40" i="48"/>
  <c r="C40" i="48" s="1"/>
  <c r="D41" i="48"/>
  <c r="E40" i="48"/>
  <c r="F40" i="48" s="1"/>
  <c r="T544" i="61"/>
  <c r="U544" i="61" s="1"/>
  <c r="D547" i="61"/>
  <c r="C547" i="61" s="1"/>
  <c r="P546" i="61"/>
  <c r="Q546" i="61" s="1"/>
  <c r="E546" i="61"/>
  <c r="F546" i="61" s="1"/>
  <c r="R545" i="61"/>
  <c r="S545" i="61"/>
  <c r="H545" i="61"/>
  <c r="G545" i="61"/>
  <c r="G40" i="79"/>
  <c r="H40" i="79"/>
  <c r="G34" i="79"/>
  <c r="H34" i="79"/>
  <c r="T130" i="41" l="1"/>
  <c r="U130" i="41" s="1"/>
  <c r="W130" i="41" s="1"/>
  <c r="H146" i="41"/>
  <c r="G146" i="41"/>
  <c r="D55" i="42"/>
  <c r="H136" i="41"/>
  <c r="G136" i="41"/>
  <c r="Q136" i="41"/>
  <c r="S136" i="41" s="1"/>
  <c r="R136" i="41"/>
  <c r="Q218" i="95"/>
  <c r="S217" i="95"/>
  <c r="G141" i="41"/>
  <c r="H141" i="41"/>
  <c r="T135" i="41"/>
  <c r="U135" i="41" s="1"/>
  <c r="W135" i="41" s="1"/>
  <c r="D186" i="47"/>
  <c r="P142" i="41"/>
  <c r="C142" i="41"/>
  <c r="K142" i="41"/>
  <c r="E142" i="41"/>
  <c r="F142" i="41" s="1"/>
  <c r="D228" i="95"/>
  <c r="K227" i="95"/>
  <c r="E227" i="95"/>
  <c r="F227" i="95" s="1"/>
  <c r="P147" i="41"/>
  <c r="R147" i="41" s="1"/>
  <c r="T147" i="41" s="1"/>
  <c r="U147" i="41" s="1"/>
  <c r="W147" i="41" s="1"/>
  <c r="K147" i="41"/>
  <c r="C147" i="41" s="1"/>
  <c r="D148" i="41"/>
  <c r="E147" i="41"/>
  <c r="F147" i="41" s="1"/>
  <c r="R217" i="95"/>
  <c r="T216" i="95"/>
  <c r="U216" i="95" s="1"/>
  <c r="T140" i="41"/>
  <c r="U140" i="41" s="1"/>
  <c r="W140" i="41" s="1"/>
  <c r="G226" i="95"/>
  <c r="H226" i="95"/>
  <c r="Q141" i="41"/>
  <c r="S141" i="41" s="1"/>
  <c r="T141" i="41" s="1"/>
  <c r="U141" i="41" s="1"/>
  <c r="W141" i="41" s="1"/>
  <c r="R141" i="41"/>
  <c r="T149" i="96"/>
  <c r="U148" i="96"/>
  <c r="V148" i="96" s="1"/>
  <c r="W148" i="96" s="1"/>
  <c r="X148" i="96" s="1"/>
  <c r="G40" i="48"/>
  <c r="H40" i="48"/>
  <c r="E41" i="48"/>
  <c r="F41" i="48" s="1"/>
  <c r="K41" i="48"/>
  <c r="C41" i="48" s="1"/>
  <c r="D42" i="48"/>
  <c r="H546" i="61"/>
  <c r="G546" i="61"/>
  <c r="R546" i="61"/>
  <c r="S546" i="61"/>
  <c r="T545" i="61"/>
  <c r="U545" i="61" s="1"/>
  <c r="E547" i="61"/>
  <c r="F547" i="61" s="1"/>
  <c r="P547" i="61"/>
  <c r="Q547" i="61" s="1"/>
  <c r="D548" i="61"/>
  <c r="C548" i="61" s="1"/>
  <c r="Q12" i="75"/>
  <c r="Q13" i="75" s="1"/>
  <c r="Q14" i="75" s="1"/>
  <c r="Q15" i="75" s="1"/>
  <c r="Q16" i="75" s="1"/>
  <c r="Q17" i="75" s="1"/>
  <c r="Q18" i="75" s="1"/>
  <c r="Q19" i="75" s="1"/>
  <c r="Q20" i="75" s="1"/>
  <c r="Q21" i="75" s="1"/>
  <c r="Q22" i="75" s="1"/>
  <c r="Q23" i="75" s="1"/>
  <c r="Q24" i="75" s="1"/>
  <c r="Q25" i="75" s="1"/>
  <c r="Q26" i="75" s="1"/>
  <c r="Q27" i="75" s="1"/>
  <c r="Q28" i="75" s="1"/>
  <c r="P14" i="75"/>
  <c r="D299" i="78"/>
  <c r="E299" i="78" s="1"/>
  <c r="M442" i="78"/>
  <c r="L442" i="78"/>
  <c r="M441" i="78"/>
  <c r="L441" i="78"/>
  <c r="M440" i="78"/>
  <c r="L440" i="78"/>
  <c r="I440" i="78"/>
  <c r="I441" i="78" s="1"/>
  <c r="I442" i="78" s="1"/>
  <c r="M439" i="78"/>
  <c r="L439" i="78"/>
  <c r="P438" i="78"/>
  <c r="P439" i="78" s="1"/>
  <c r="P440" i="78" s="1"/>
  <c r="P441" i="78" s="1"/>
  <c r="P442" i="78" s="1"/>
  <c r="M438" i="78"/>
  <c r="L438" i="78"/>
  <c r="M437" i="78"/>
  <c r="L437" i="78"/>
  <c r="M436" i="78"/>
  <c r="L436" i="78"/>
  <c r="M435" i="78"/>
  <c r="L435" i="78"/>
  <c r="M434" i="78"/>
  <c r="L434" i="78"/>
  <c r="M433" i="78"/>
  <c r="L433" i="78"/>
  <c r="P432" i="78"/>
  <c r="P433" i="78" s="1"/>
  <c r="P434" i="78" s="1"/>
  <c r="P435" i="78" s="1"/>
  <c r="P436" i="78" s="1"/>
  <c r="M432" i="78"/>
  <c r="L432" i="78"/>
  <c r="O431" i="78"/>
  <c r="O437" i="78" s="1"/>
  <c r="M431" i="78"/>
  <c r="L431" i="78"/>
  <c r="O430" i="78"/>
  <c r="O436" i="78" s="1"/>
  <c r="O442" i="78" s="1"/>
  <c r="M430" i="78"/>
  <c r="L430" i="78"/>
  <c r="O429" i="78"/>
  <c r="O435" i="78" s="1"/>
  <c r="O441" i="78" s="1"/>
  <c r="M429" i="78"/>
  <c r="L429" i="78"/>
  <c r="O428" i="78"/>
  <c r="O434" i="78" s="1"/>
  <c r="O440" i="78" s="1"/>
  <c r="M428" i="78"/>
  <c r="L428" i="78"/>
  <c r="O427" i="78"/>
  <c r="O433" i="78" s="1"/>
  <c r="O439" i="78" s="1"/>
  <c r="M427" i="78"/>
  <c r="L427" i="78"/>
  <c r="P426" i="78"/>
  <c r="P427" i="78" s="1"/>
  <c r="P428" i="78" s="1"/>
  <c r="P429" i="78" s="1"/>
  <c r="P430" i="78" s="1"/>
  <c r="O426" i="78"/>
  <c r="O432" i="78" s="1"/>
  <c r="O438" i="78" s="1"/>
  <c r="M426" i="78"/>
  <c r="L426" i="78"/>
  <c r="O425" i="78"/>
  <c r="M425" i="78"/>
  <c r="L425" i="78"/>
  <c r="M424" i="78"/>
  <c r="L424" i="78"/>
  <c r="I424" i="78"/>
  <c r="I425" i="78" s="1"/>
  <c r="I426" i="78" s="1"/>
  <c r="I427" i="78" s="1"/>
  <c r="I428" i="78" s="1"/>
  <c r="I429" i="78" s="1"/>
  <c r="I430" i="78" s="1"/>
  <c r="I431" i="78" s="1"/>
  <c r="I432" i="78" s="1"/>
  <c r="I433" i="78" s="1"/>
  <c r="I434" i="78" s="1"/>
  <c r="I435" i="78" s="1"/>
  <c r="I436" i="78" s="1"/>
  <c r="I437" i="78" s="1"/>
  <c r="I438" i="78" s="1"/>
  <c r="M423" i="78"/>
  <c r="L423" i="78"/>
  <c r="M422" i="78"/>
  <c r="L422" i="78"/>
  <c r="M421" i="78"/>
  <c r="L421" i="78"/>
  <c r="P420" i="78"/>
  <c r="P421" i="78" s="1"/>
  <c r="P422" i="78" s="1"/>
  <c r="P423" i="78" s="1"/>
  <c r="P424" i="78" s="1"/>
  <c r="M420" i="78"/>
  <c r="L420" i="78"/>
  <c r="M419" i="78"/>
  <c r="L419" i="78"/>
  <c r="M418" i="78"/>
  <c r="L418" i="78"/>
  <c r="M417" i="78"/>
  <c r="L417" i="78"/>
  <c r="M416" i="78"/>
  <c r="L416" i="78"/>
  <c r="M415" i="78"/>
  <c r="L415" i="78"/>
  <c r="P414" i="78"/>
  <c r="P415" i="78" s="1"/>
  <c r="P416" i="78" s="1"/>
  <c r="P417" i="78" s="1"/>
  <c r="P418" i="78" s="1"/>
  <c r="M414" i="78"/>
  <c r="L414" i="78"/>
  <c r="M413" i="78"/>
  <c r="L413" i="78"/>
  <c r="M412" i="78"/>
  <c r="L412" i="78"/>
  <c r="M411" i="78"/>
  <c r="L411" i="78"/>
  <c r="M410" i="78"/>
  <c r="L410" i="78"/>
  <c r="M409" i="78"/>
  <c r="L409" i="78"/>
  <c r="P408" i="78"/>
  <c r="P409" i="78" s="1"/>
  <c r="P410" i="78" s="1"/>
  <c r="P411" i="78" s="1"/>
  <c r="P412" i="78" s="1"/>
  <c r="M408" i="78"/>
  <c r="L408" i="78"/>
  <c r="M407" i="78"/>
  <c r="L407" i="78"/>
  <c r="O406" i="78"/>
  <c r="O412" i="78" s="1"/>
  <c r="O418" i="78" s="1"/>
  <c r="M406" i="78"/>
  <c r="L406" i="78"/>
  <c r="O405" i="78"/>
  <c r="O411" i="78" s="1"/>
  <c r="O417" i="78" s="1"/>
  <c r="M405" i="78"/>
  <c r="L405" i="78"/>
  <c r="O404" i="78"/>
  <c r="O410" i="78" s="1"/>
  <c r="O416" i="78" s="1"/>
  <c r="M404" i="78"/>
  <c r="L404" i="78"/>
  <c r="I404" i="78"/>
  <c r="I405" i="78" s="1"/>
  <c r="I406" i="78" s="1"/>
  <c r="I407" i="78" s="1"/>
  <c r="I408" i="78" s="1"/>
  <c r="I409" i="78" s="1"/>
  <c r="I410" i="78" s="1"/>
  <c r="I411" i="78" s="1"/>
  <c r="I412" i="78" s="1"/>
  <c r="I413" i="78" s="1"/>
  <c r="I414" i="78" s="1"/>
  <c r="I415" i="78" s="1"/>
  <c r="I416" i="78" s="1"/>
  <c r="I417" i="78" s="1"/>
  <c r="I418" i="78" s="1"/>
  <c r="I419" i="78" s="1"/>
  <c r="I420" i="78" s="1"/>
  <c r="I421" i="78" s="1"/>
  <c r="I422" i="78" s="1"/>
  <c r="O403" i="78"/>
  <c r="O409" i="78" s="1"/>
  <c r="O415" i="78" s="1"/>
  <c r="M403" i="78"/>
  <c r="L403" i="78"/>
  <c r="P402" i="78"/>
  <c r="P403" i="78" s="1"/>
  <c r="P404" i="78" s="1"/>
  <c r="P405" i="78" s="1"/>
  <c r="P406" i="78" s="1"/>
  <c r="O402" i="78"/>
  <c r="O408" i="78" s="1"/>
  <c r="O414" i="78" s="1"/>
  <c r="M402" i="78"/>
  <c r="L402" i="78"/>
  <c r="O401" i="78"/>
  <c r="O407" i="78" s="1"/>
  <c r="O413" i="78" s="1"/>
  <c r="M401" i="78"/>
  <c r="L401" i="78"/>
  <c r="M400" i="78"/>
  <c r="L400" i="78"/>
  <c r="M399" i="78"/>
  <c r="L399" i="78"/>
  <c r="M398" i="78"/>
  <c r="L398" i="78"/>
  <c r="M397" i="78"/>
  <c r="L397" i="78"/>
  <c r="P396" i="78"/>
  <c r="P397" i="78" s="1"/>
  <c r="P398" i="78" s="1"/>
  <c r="P399" i="78" s="1"/>
  <c r="P400" i="78" s="1"/>
  <c r="M396" i="78"/>
  <c r="L396" i="78"/>
  <c r="M395" i="78"/>
  <c r="L395" i="78"/>
  <c r="M394" i="78"/>
  <c r="L394" i="78"/>
  <c r="M393" i="78"/>
  <c r="L393" i="78"/>
  <c r="M392" i="78"/>
  <c r="L392" i="78"/>
  <c r="M391" i="78"/>
  <c r="L391" i="78"/>
  <c r="P390" i="78"/>
  <c r="P391" i="78" s="1"/>
  <c r="P392" i="78" s="1"/>
  <c r="P393" i="78" s="1"/>
  <c r="P394" i="78" s="1"/>
  <c r="M390" i="78"/>
  <c r="L390" i="78"/>
  <c r="M389" i="78"/>
  <c r="L389" i="78"/>
  <c r="M388" i="78"/>
  <c r="L388" i="78"/>
  <c r="I388" i="78"/>
  <c r="I389" i="78" s="1"/>
  <c r="I390" i="78" s="1"/>
  <c r="I391" i="78" s="1"/>
  <c r="I392" i="78" s="1"/>
  <c r="I393" i="78" s="1"/>
  <c r="I394" i="78" s="1"/>
  <c r="I395" i="78" s="1"/>
  <c r="I396" i="78" s="1"/>
  <c r="I397" i="78" s="1"/>
  <c r="I398" i="78" s="1"/>
  <c r="I399" i="78" s="1"/>
  <c r="I400" i="78" s="1"/>
  <c r="I401" i="78" s="1"/>
  <c r="I402" i="78" s="1"/>
  <c r="M387" i="78"/>
  <c r="L387" i="78"/>
  <c r="M386" i="78"/>
  <c r="L386" i="78"/>
  <c r="M385" i="78"/>
  <c r="L385" i="78"/>
  <c r="P384" i="78"/>
  <c r="P385" i="78" s="1"/>
  <c r="P386" i="78" s="1"/>
  <c r="P387" i="78" s="1"/>
  <c r="P388" i="78" s="1"/>
  <c r="M384" i="78"/>
  <c r="L384" i="78"/>
  <c r="M383" i="78"/>
  <c r="L383" i="78"/>
  <c r="O382" i="78"/>
  <c r="O388" i="78" s="1"/>
  <c r="O394" i="78" s="1"/>
  <c r="M382" i="78"/>
  <c r="L382" i="78"/>
  <c r="O381" i="78"/>
  <c r="O387" i="78" s="1"/>
  <c r="O393" i="78" s="1"/>
  <c r="M381" i="78"/>
  <c r="L381" i="78"/>
  <c r="O380" i="78"/>
  <c r="O386" i="78" s="1"/>
  <c r="O392" i="78" s="1"/>
  <c r="M380" i="78"/>
  <c r="L380" i="78"/>
  <c r="O379" i="78"/>
  <c r="O385" i="78" s="1"/>
  <c r="O391" i="78" s="1"/>
  <c r="M379" i="78"/>
  <c r="L379" i="78"/>
  <c r="P378" i="78"/>
  <c r="P379" i="78" s="1"/>
  <c r="P380" i="78" s="1"/>
  <c r="P381" i="78" s="1"/>
  <c r="P382" i="78" s="1"/>
  <c r="O378" i="78"/>
  <c r="O384" i="78" s="1"/>
  <c r="O390" i="78" s="1"/>
  <c r="M378" i="78"/>
  <c r="L378" i="78"/>
  <c r="O377" i="78"/>
  <c r="O383" i="78" s="1"/>
  <c r="O389" i="78" s="1"/>
  <c r="M377" i="78"/>
  <c r="L377" i="78"/>
  <c r="M376" i="78"/>
  <c r="L376" i="78"/>
  <c r="M375" i="78"/>
  <c r="L375" i="78"/>
  <c r="M374" i="78"/>
  <c r="L374" i="78"/>
  <c r="M373" i="78"/>
  <c r="L373" i="78"/>
  <c r="P372" i="78"/>
  <c r="P373" i="78" s="1"/>
  <c r="P374" i="78" s="1"/>
  <c r="P375" i="78" s="1"/>
  <c r="P376" i="78" s="1"/>
  <c r="M372" i="78"/>
  <c r="L372" i="78"/>
  <c r="I372" i="78"/>
  <c r="I373" i="78" s="1"/>
  <c r="I374" i="78" s="1"/>
  <c r="I375" i="78" s="1"/>
  <c r="I376" i="78" s="1"/>
  <c r="I377" i="78" s="1"/>
  <c r="I378" i="78" s="1"/>
  <c r="I379" i="78" s="1"/>
  <c r="I380" i="78" s="1"/>
  <c r="I381" i="78" s="1"/>
  <c r="I382" i="78" s="1"/>
  <c r="I383" i="78" s="1"/>
  <c r="I384" i="78" s="1"/>
  <c r="I385" i="78" s="1"/>
  <c r="I386" i="78" s="1"/>
  <c r="M371" i="78"/>
  <c r="L371" i="78"/>
  <c r="M370" i="78"/>
  <c r="L370" i="78"/>
  <c r="M369" i="78"/>
  <c r="L369" i="78"/>
  <c r="I369" i="78"/>
  <c r="I370" i="78" s="1"/>
  <c r="M368" i="78"/>
  <c r="L368" i="78"/>
  <c r="I368" i="78"/>
  <c r="M367" i="78"/>
  <c r="L367" i="78"/>
  <c r="P366" i="78"/>
  <c r="P367" i="78" s="1"/>
  <c r="P368" i="78" s="1"/>
  <c r="P369" i="78" s="1"/>
  <c r="P370" i="78" s="1"/>
  <c r="M366" i="78"/>
  <c r="L366" i="78"/>
  <c r="M365" i="78"/>
  <c r="L365" i="78"/>
  <c r="M364" i="78"/>
  <c r="L364" i="78"/>
  <c r="M363" i="78"/>
  <c r="L363" i="78"/>
  <c r="M362" i="78"/>
  <c r="L362" i="78"/>
  <c r="M361" i="78"/>
  <c r="L361" i="78"/>
  <c r="P360" i="78"/>
  <c r="P361" i="78" s="1"/>
  <c r="P362" i="78" s="1"/>
  <c r="P363" i="78" s="1"/>
  <c r="P364" i="78" s="1"/>
  <c r="M360" i="78"/>
  <c r="L360" i="78"/>
  <c r="M359" i="78"/>
  <c r="L359" i="78"/>
  <c r="O358" i="78"/>
  <c r="O364" i="78" s="1"/>
  <c r="O370" i="78" s="1"/>
  <c r="M358" i="78"/>
  <c r="L358" i="78"/>
  <c r="O357" i="78"/>
  <c r="O363" i="78" s="1"/>
  <c r="O369" i="78" s="1"/>
  <c r="M357" i="78"/>
  <c r="L357" i="78"/>
  <c r="O356" i="78"/>
  <c r="O362" i="78" s="1"/>
  <c r="O368" i="78" s="1"/>
  <c r="M356" i="78"/>
  <c r="L356" i="78"/>
  <c r="O355" i="78"/>
  <c r="O361" i="78" s="1"/>
  <c r="O367" i="78" s="1"/>
  <c r="M355" i="78"/>
  <c r="L355" i="78"/>
  <c r="P354" i="78"/>
  <c r="P355" i="78" s="1"/>
  <c r="P356" i="78" s="1"/>
  <c r="P357" i="78" s="1"/>
  <c r="P358" i="78" s="1"/>
  <c r="O354" i="78"/>
  <c r="O360" i="78" s="1"/>
  <c r="O366" i="78" s="1"/>
  <c r="M354" i="78"/>
  <c r="L354" i="78"/>
  <c r="O353" i="78"/>
  <c r="O359" i="78" s="1"/>
  <c r="O365" i="78" s="1"/>
  <c r="M353" i="78"/>
  <c r="L353" i="78"/>
  <c r="M352" i="78"/>
  <c r="L352" i="78"/>
  <c r="I352" i="78"/>
  <c r="I353" i="78" s="1"/>
  <c r="I354" i="78" s="1"/>
  <c r="I355" i="78" s="1"/>
  <c r="I356" i="78" s="1"/>
  <c r="I357" i="78" s="1"/>
  <c r="I358" i="78" s="1"/>
  <c r="I359" i="78" s="1"/>
  <c r="I360" i="78" s="1"/>
  <c r="I361" i="78" s="1"/>
  <c r="I362" i="78" s="1"/>
  <c r="I363" i="78" s="1"/>
  <c r="I364" i="78" s="1"/>
  <c r="I365" i="78" s="1"/>
  <c r="I366" i="78" s="1"/>
  <c r="M351" i="78"/>
  <c r="L351" i="78"/>
  <c r="M350" i="78"/>
  <c r="L350" i="78"/>
  <c r="M349" i="78"/>
  <c r="L349" i="78"/>
  <c r="P348" i="78"/>
  <c r="P349" i="78" s="1"/>
  <c r="P350" i="78" s="1"/>
  <c r="P351" i="78" s="1"/>
  <c r="P352" i="78" s="1"/>
  <c r="M348" i="78"/>
  <c r="L348" i="78"/>
  <c r="M347" i="78"/>
  <c r="L347" i="78"/>
  <c r="M346" i="78"/>
  <c r="L346" i="78"/>
  <c r="M345" i="78"/>
  <c r="L345" i="78"/>
  <c r="M344" i="78"/>
  <c r="L344" i="78"/>
  <c r="M343" i="78"/>
  <c r="L343" i="78"/>
  <c r="P342" i="78"/>
  <c r="P343" i="78" s="1"/>
  <c r="P344" i="78" s="1"/>
  <c r="P345" i="78" s="1"/>
  <c r="P346" i="78" s="1"/>
  <c r="M342" i="78"/>
  <c r="L342" i="78"/>
  <c r="M341" i="78"/>
  <c r="L341" i="78"/>
  <c r="M340" i="78"/>
  <c r="L340" i="78"/>
  <c r="M339" i="78"/>
  <c r="L339" i="78"/>
  <c r="M338" i="78"/>
  <c r="L338" i="78"/>
  <c r="M337" i="78"/>
  <c r="L337" i="78"/>
  <c r="P336" i="78"/>
  <c r="P337" i="78" s="1"/>
  <c r="P338" i="78" s="1"/>
  <c r="P339" i="78" s="1"/>
  <c r="P340" i="78" s="1"/>
  <c r="M336" i="78"/>
  <c r="L336" i="78"/>
  <c r="O335" i="78"/>
  <c r="O341" i="78" s="1"/>
  <c r="M335" i="78"/>
  <c r="L335" i="78"/>
  <c r="P334" i="78"/>
  <c r="O334" i="78"/>
  <c r="O340" i="78" s="1"/>
  <c r="O346" i="78" s="1"/>
  <c r="M334" i="78"/>
  <c r="L334" i="78"/>
  <c r="O333" i="78"/>
  <c r="O339" i="78" s="1"/>
  <c r="O345" i="78" s="1"/>
  <c r="M333" i="78"/>
  <c r="L333" i="78"/>
  <c r="O332" i="78"/>
  <c r="O338" i="78" s="1"/>
  <c r="O344" i="78" s="1"/>
  <c r="M332" i="78"/>
  <c r="L332" i="78"/>
  <c r="I332" i="78"/>
  <c r="I333" i="78" s="1"/>
  <c r="I334" i="78" s="1"/>
  <c r="I335" i="78" s="1"/>
  <c r="I336" i="78" s="1"/>
  <c r="I337" i="78" s="1"/>
  <c r="I338" i="78" s="1"/>
  <c r="I339" i="78" s="1"/>
  <c r="I340" i="78" s="1"/>
  <c r="I341" i="78" s="1"/>
  <c r="I342" i="78" s="1"/>
  <c r="I343" i="78" s="1"/>
  <c r="I344" i="78" s="1"/>
  <c r="I345" i="78" s="1"/>
  <c r="I346" i="78" s="1"/>
  <c r="I347" i="78" s="1"/>
  <c r="I348" i="78" s="1"/>
  <c r="I349" i="78" s="1"/>
  <c r="I350" i="78" s="1"/>
  <c r="O331" i="78"/>
  <c r="O337" i="78" s="1"/>
  <c r="O343" i="78" s="1"/>
  <c r="M331" i="78"/>
  <c r="L331" i="78"/>
  <c r="P330" i="78"/>
  <c r="P331" i="78" s="1"/>
  <c r="P332" i="78" s="1"/>
  <c r="P333" i="78" s="1"/>
  <c r="O330" i="78"/>
  <c r="O336" i="78" s="1"/>
  <c r="O342" i="78" s="1"/>
  <c r="M330" i="78"/>
  <c r="L330" i="78"/>
  <c r="O329" i="78"/>
  <c r="M329" i="78"/>
  <c r="L329" i="78"/>
  <c r="M328" i="78"/>
  <c r="L328" i="78"/>
  <c r="M327" i="78"/>
  <c r="L327" i="78"/>
  <c r="M326" i="78"/>
  <c r="L326" i="78"/>
  <c r="M325" i="78"/>
  <c r="L325" i="78"/>
  <c r="P324" i="78"/>
  <c r="P325" i="78" s="1"/>
  <c r="P326" i="78" s="1"/>
  <c r="P327" i="78" s="1"/>
  <c r="P328" i="78" s="1"/>
  <c r="M324" i="78"/>
  <c r="L324" i="78"/>
  <c r="M323" i="78"/>
  <c r="L323" i="78"/>
  <c r="M322" i="78"/>
  <c r="L322" i="78"/>
  <c r="M321" i="78"/>
  <c r="L321" i="78"/>
  <c r="M320" i="78"/>
  <c r="L320" i="78"/>
  <c r="M319" i="78"/>
  <c r="L319" i="78"/>
  <c r="P318" i="78"/>
  <c r="P319" i="78" s="1"/>
  <c r="P320" i="78" s="1"/>
  <c r="P321" i="78" s="1"/>
  <c r="P322" i="78" s="1"/>
  <c r="M318" i="78"/>
  <c r="L318" i="78"/>
  <c r="M317" i="78"/>
  <c r="L317" i="78"/>
  <c r="M316" i="78"/>
  <c r="L316" i="78"/>
  <c r="I316" i="78"/>
  <c r="I317" i="78" s="1"/>
  <c r="I318" i="78" s="1"/>
  <c r="I319" i="78" s="1"/>
  <c r="I320" i="78" s="1"/>
  <c r="I321" i="78" s="1"/>
  <c r="I322" i="78" s="1"/>
  <c r="I323" i="78" s="1"/>
  <c r="I324" i="78" s="1"/>
  <c r="I325" i="78" s="1"/>
  <c r="I326" i="78" s="1"/>
  <c r="I327" i="78" s="1"/>
  <c r="I328" i="78" s="1"/>
  <c r="I329" i="78" s="1"/>
  <c r="I330" i="78" s="1"/>
  <c r="M315" i="78"/>
  <c r="L315" i="78"/>
  <c r="M314" i="78"/>
  <c r="L314" i="78"/>
  <c r="M313" i="78"/>
  <c r="L313" i="78"/>
  <c r="P312" i="78"/>
  <c r="P313" i="78" s="1"/>
  <c r="P314" i="78" s="1"/>
  <c r="P315" i="78" s="1"/>
  <c r="P316" i="78" s="1"/>
  <c r="M312" i="78"/>
  <c r="L312" i="78"/>
  <c r="M311" i="78"/>
  <c r="L311" i="78"/>
  <c r="O310" i="78"/>
  <c r="O316" i="78" s="1"/>
  <c r="O322" i="78" s="1"/>
  <c r="M310" i="78"/>
  <c r="L310" i="78"/>
  <c r="O309" i="78"/>
  <c r="O315" i="78" s="1"/>
  <c r="O321" i="78" s="1"/>
  <c r="M309" i="78"/>
  <c r="L309" i="78"/>
  <c r="O308" i="78"/>
  <c r="O314" i="78" s="1"/>
  <c r="O320" i="78" s="1"/>
  <c r="M308" i="78"/>
  <c r="L308" i="78"/>
  <c r="O307" i="78"/>
  <c r="O313" i="78" s="1"/>
  <c r="O319" i="78" s="1"/>
  <c r="M307" i="78"/>
  <c r="L307" i="78"/>
  <c r="P306" i="78"/>
  <c r="P307" i="78" s="1"/>
  <c r="P308" i="78" s="1"/>
  <c r="P309" i="78" s="1"/>
  <c r="P310" i="78" s="1"/>
  <c r="O306" i="78"/>
  <c r="O312" i="78" s="1"/>
  <c r="O318" i="78" s="1"/>
  <c r="M306" i="78"/>
  <c r="L306" i="78"/>
  <c r="O305" i="78"/>
  <c r="O311" i="78" s="1"/>
  <c r="O317" i="78" s="1"/>
  <c r="M305" i="78"/>
  <c r="L305" i="78"/>
  <c r="M304" i="78"/>
  <c r="L304" i="78"/>
  <c r="M303" i="78"/>
  <c r="L303" i="78"/>
  <c r="M302" i="78"/>
  <c r="L302" i="78"/>
  <c r="M301" i="78"/>
  <c r="L301" i="78"/>
  <c r="P300" i="78"/>
  <c r="P301" i="78" s="1"/>
  <c r="P302" i="78" s="1"/>
  <c r="P303" i="78" s="1"/>
  <c r="P304" i="78" s="1"/>
  <c r="M300" i="78"/>
  <c r="L300" i="78"/>
  <c r="M299" i="78"/>
  <c r="L299" i="78"/>
  <c r="M155" i="78"/>
  <c r="M156" i="78"/>
  <c r="M298" i="78"/>
  <c r="L298" i="78"/>
  <c r="M297" i="78"/>
  <c r="L297" i="78"/>
  <c r="I297" i="78"/>
  <c r="I298" i="78" s="1"/>
  <c r="I299" i="78" s="1"/>
  <c r="I300" i="78" s="1"/>
  <c r="I301" i="78" s="1"/>
  <c r="I302" i="78" s="1"/>
  <c r="I303" i="78" s="1"/>
  <c r="I304" i="78" s="1"/>
  <c r="I305" i="78" s="1"/>
  <c r="I306" i="78" s="1"/>
  <c r="I307" i="78" s="1"/>
  <c r="I308" i="78" s="1"/>
  <c r="I309" i="78" s="1"/>
  <c r="I310" i="78" s="1"/>
  <c r="I311" i="78" s="1"/>
  <c r="I312" i="78" s="1"/>
  <c r="I313" i="78" s="1"/>
  <c r="I314" i="78" s="1"/>
  <c r="M296" i="78"/>
  <c r="L296" i="78"/>
  <c r="I296" i="78"/>
  <c r="M295" i="78"/>
  <c r="L295" i="78"/>
  <c r="P294" i="78"/>
  <c r="P295" i="78" s="1"/>
  <c r="P296" i="78" s="1"/>
  <c r="P297" i="78" s="1"/>
  <c r="P298" i="78" s="1"/>
  <c r="M294" i="78"/>
  <c r="L294" i="78"/>
  <c r="M293" i="78"/>
  <c r="L293" i="78"/>
  <c r="M292" i="78"/>
  <c r="L292" i="78"/>
  <c r="M291" i="78"/>
  <c r="L291" i="78"/>
  <c r="M290" i="78"/>
  <c r="L290" i="78"/>
  <c r="M289" i="78"/>
  <c r="L289" i="78"/>
  <c r="P288" i="78"/>
  <c r="P289" i="78" s="1"/>
  <c r="P290" i="78" s="1"/>
  <c r="P291" i="78" s="1"/>
  <c r="P292" i="78" s="1"/>
  <c r="M288" i="78"/>
  <c r="L288" i="78"/>
  <c r="M287" i="78"/>
  <c r="L287" i="78"/>
  <c r="O286" i="78"/>
  <c r="O292" i="78" s="1"/>
  <c r="O298" i="78" s="1"/>
  <c r="M286" i="78"/>
  <c r="L286" i="78"/>
  <c r="O285" i="78"/>
  <c r="O291" i="78" s="1"/>
  <c r="O297" i="78" s="1"/>
  <c r="M285" i="78"/>
  <c r="L285" i="78"/>
  <c r="O284" i="78"/>
  <c r="O290" i="78" s="1"/>
  <c r="O296" i="78" s="1"/>
  <c r="M284" i="78"/>
  <c r="L284" i="78"/>
  <c r="O283" i="78"/>
  <c r="O289" i="78" s="1"/>
  <c r="O295" i="78" s="1"/>
  <c r="M283" i="78"/>
  <c r="L283" i="78"/>
  <c r="P282" i="78"/>
  <c r="P283" i="78" s="1"/>
  <c r="P284" i="78" s="1"/>
  <c r="P285" i="78" s="1"/>
  <c r="P286" i="78" s="1"/>
  <c r="O282" i="78"/>
  <c r="O288" i="78" s="1"/>
  <c r="O294" i="78" s="1"/>
  <c r="M282" i="78"/>
  <c r="L282" i="78"/>
  <c r="O281" i="78"/>
  <c r="O287" i="78" s="1"/>
  <c r="O293" i="78" s="1"/>
  <c r="M281" i="78"/>
  <c r="L281" i="78"/>
  <c r="M280" i="78"/>
  <c r="L280" i="78"/>
  <c r="I280" i="78"/>
  <c r="I281" i="78" s="1"/>
  <c r="I282" i="78" s="1"/>
  <c r="I283" i="78" s="1"/>
  <c r="I284" i="78" s="1"/>
  <c r="I285" i="78" s="1"/>
  <c r="I286" i="78" s="1"/>
  <c r="I287" i="78" s="1"/>
  <c r="I288" i="78" s="1"/>
  <c r="I289" i="78" s="1"/>
  <c r="I290" i="78" s="1"/>
  <c r="I291" i="78" s="1"/>
  <c r="I292" i="78" s="1"/>
  <c r="I293" i="78" s="1"/>
  <c r="I294" i="78" s="1"/>
  <c r="M279" i="78"/>
  <c r="L279" i="78"/>
  <c r="M278" i="78"/>
  <c r="L278" i="78"/>
  <c r="M277" i="78"/>
  <c r="L277" i="78"/>
  <c r="P276" i="78"/>
  <c r="P277" i="78" s="1"/>
  <c r="P278" i="78" s="1"/>
  <c r="P279" i="78" s="1"/>
  <c r="P280" i="78" s="1"/>
  <c r="M276" i="78"/>
  <c r="L276" i="78"/>
  <c r="M275" i="78"/>
  <c r="L275" i="78"/>
  <c r="M274" i="78"/>
  <c r="L274" i="78"/>
  <c r="M273" i="78"/>
  <c r="L273" i="78"/>
  <c r="M272" i="78"/>
  <c r="L272" i="78"/>
  <c r="M271" i="78"/>
  <c r="L271" i="78"/>
  <c r="P270" i="78"/>
  <c r="P271" i="78" s="1"/>
  <c r="P272" i="78" s="1"/>
  <c r="P273" i="78" s="1"/>
  <c r="P274" i="78" s="1"/>
  <c r="M270" i="78"/>
  <c r="L270" i="78"/>
  <c r="M269" i="78"/>
  <c r="L269" i="78"/>
  <c r="M268" i="78"/>
  <c r="L268" i="78"/>
  <c r="M267" i="78"/>
  <c r="L267" i="78"/>
  <c r="M266" i="78"/>
  <c r="L266" i="78"/>
  <c r="M265" i="78"/>
  <c r="L265" i="78"/>
  <c r="P264" i="78"/>
  <c r="P265" i="78" s="1"/>
  <c r="P266" i="78" s="1"/>
  <c r="P267" i="78" s="1"/>
  <c r="P268" i="78" s="1"/>
  <c r="M264" i="78"/>
  <c r="L264" i="78"/>
  <c r="M263" i="78"/>
  <c r="L263" i="78"/>
  <c r="O262" i="78"/>
  <c r="O268" i="78" s="1"/>
  <c r="O274" i="78" s="1"/>
  <c r="M262" i="78"/>
  <c r="L262" i="78"/>
  <c r="O261" i="78"/>
  <c r="O267" i="78" s="1"/>
  <c r="O273" i="78" s="1"/>
  <c r="M261" i="78"/>
  <c r="L261" i="78"/>
  <c r="O260" i="78"/>
  <c r="O266" i="78" s="1"/>
  <c r="O272" i="78" s="1"/>
  <c r="M260" i="78"/>
  <c r="L260" i="78"/>
  <c r="I260" i="78"/>
  <c r="I261" i="78" s="1"/>
  <c r="I262" i="78" s="1"/>
  <c r="I263" i="78" s="1"/>
  <c r="I264" i="78" s="1"/>
  <c r="I265" i="78" s="1"/>
  <c r="I266" i="78" s="1"/>
  <c r="I267" i="78" s="1"/>
  <c r="I268" i="78" s="1"/>
  <c r="I269" i="78" s="1"/>
  <c r="I270" i="78" s="1"/>
  <c r="I271" i="78" s="1"/>
  <c r="I272" i="78" s="1"/>
  <c r="I273" i="78" s="1"/>
  <c r="I274" i="78" s="1"/>
  <c r="I275" i="78" s="1"/>
  <c r="I276" i="78" s="1"/>
  <c r="I277" i="78" s="1"/>
  <c r="I278" i="78" s="1"/>
  <c r="O259" i="78"/>
  <c r="O265" i="78" s="1"/>
  <c r="O271" i="78" s="1"/>
  <c r="M259" i="78"/>
  <c r="L259" i="78"/>
  <c r="P258" i="78"/>
  <c r="P259" i="78" s="1"/>
  <c r="P260" i="78" s="1"/>
  <c r="P261" i="78" s="1"/>
  <c r="P262" i="78" s="1"/>
  <c r="O258" i="78"/>
  <c r="O264" i="78" s="1"/>
  <c r="O270" i="78" s="1"/>
  <c r="M258" i="78"/>
  <c r="L258" i="78"/>
  <c r="O257" i="78"/>
  <c r="O263" i="78" s="1"/>
  <c r="O269" i="78" s="1"/>
  <c r="M257" i="78"/>
  <c r="L257" i="78"/>
  <c r="M256" i="78"/>
  <c r="L256" i="78"/>
  <c r="M255" i="78"/>
  <c r="L255" i="78"/>
  <c r="M254" i="78"/>
  <c r="L254" i="78"/>
  <c r="M253" i="78"/>
  <c r="L253" i="78"/>
  <c r="P252" i="78"/>
  <c r="P253" i="78" s="1"/>
  <c r="P254" i="78" s="1"/>
  <c r="P255" i="78" s="1"/>
  <c r="P256" i="78" s="1"/>
  <c r="M252" i="78"/>
  <c r="L252" i="78"/>
  <c r="M251" i="78"/>
  <c r="L251" i="78"/>
  <c r="M250" i="78"/>
  <c r="L250" i="78"/>
  <c r="M249" i="78"/>
  <c r="L249" i="78"/>
  <c r="M248" i="78"/>
  <c r="L248" i="78"/>
  <c r="M247" i="78"/>
  <c r="L247" i="78"/>
  <c r="P246" i="78"/>
  <c r="P247" i="78" s="1"/>
  <c r="P248" i="78" s="1"/>
  <c r="P249" i="78" s="1"/>
  <c r="P250" i="78" s="1"/>
  <c r="M246" i="78"/>
  <c r="L246" i="78"/>
  <c r="M245" i="78"/>
  <c r="L245" i="78"/>
  <c r="M244" i="78"/>
  <c r="L244" i="78"/>
  <c r="I244" i="78"/>
  <c r="I245" i="78" s="1"/>
  <c r="I246" i="78" s="1"/>
  <c r="I247" i="78" s="1"/>
  <c r="I248" i="78" s="1"/>
  <c r="I249" i="78" s="1"/>
  <c r="I250" i="78" s="1"/>
  <c r="I251" i="78" s="1"/>
  <c r="I252" i="78" s="1"/>
  <c r="I253" i="78" s="1"/>
  <c r="I254" i="78" s="1"/>
  <c r="I255" i="78" s="1"/>
  <c r="I256" i="78" s="1"/>
  <c r="I257" i="78" s="1"/>
  <c r="I258" i="78" s="1"/>
  <c r="M243" i="78"/>
  <c r="L243" i="78"/>
  <c r="M242" i="78"/>
  <c r="L242" i="78"/>
  <c r="O241" i="78"/>
  <c r="O247" i="78" s="1"/>
  <c r="M241" i="78"/>
  <c r="L241" i="78"/>
  <c r="P240" i="78"/>
  <c r="P241" i="78" s="1"/>
  <c r="P242" i="78" s="1"/>
  <c r="P243" i="78" s="1"/>
  <c r="P244" i="78" s="1"/>
  <c r="M240" i="78"/>
  <c r="L240" i="78"/>
  <c r="M239" i="78"/>
  <c r="L239" i="78"/>
  <c r="O238" i="78"/>
  <c r="O244" i="78" s="1"/>
  <c r="O250" i="78" s="1"/>
  <c r="M238" i="78"/>
  <c r="L238" i="78"/>
  <c r="O237" i="78"/>
  <c r="O243" i="78" s="1"/>
  <c r="O249" i="78" s="1"/>
  <c r="M237" i="78"/>
  <c r="L237" i="78"/>
  <c r="O236" i="78"/>
  <c r="O242" i="78" s="1"/>
  <c r="O248" i="78" s="1"/>
  <c r="M236" i="78"/>
  <c r="L236" i="78"/>
  <c r="O235" i="78"/>
  <c r="M235" i="78"/>
  <c r="L235" i="78"/>
  <c r="P234" i="78"/>
  <c r="P235" i="78" s="1"/>
  <c r="P236" i="78" s="1"/>
  <c r="P237" i="78" s="1"/>
  <c r="P238" i="78" s="1"/>
  <c r="O234" i="78"/>
  <c r="O240" i="78" s="1"/>
  <c r="O246" i="78" s="1"/>
  <c r="M234" i="78"/>
  <c r="L234" i="78"/>
  <c r="O233" i="78"/>
  <c r="O239" i="78" s="1"/>
  <c r="O245" i="78" s="1"/>
  <c r="M233" i="78"/>
  <c r="L233" i="78"/>
  <c r="M232" i="78"/>
  <c r="L232" i="78"/>
  <c r="M231" i="78"/>
  <c r="L231" i="78"/>
  <c r="M230" i="78"/>
  <c r="L230" i="78"/>
  <c r="M229" i="78"/>
  <c r="L229" i="78"/>
  <c r="P228" i="78"/>
  <c r="P229" i="78" s="1"/>
  <c r="P230" i="78" s="1"/>
  <c r="P231" i="78" s="1"/>
  <c r="P232" i="78" s="1"/>
  <c r="M228" i="78"/>
  <c r="L228" i="78"/>
  <c r="I228" i="78"/>
  <c r="I229" i="78" s="1"/>
  <c r="I230" i="78" s="1"/>
  <c r="I231" i="78" s="1"/>
  <c r="I232" i="78" s="1"/>
  <c r="I233" i="78" s="1"/>
  <c r="I234" i="78" s="1"/>
  <c r="I235" i="78" s="1"/>
  <c r="I236" i="78" s="1"/>
  <c r="I237" i="78" s="1"/>
  <c r="I238" i="78" s="1"/>
  <c r="I239" i="78" s="1"/>
  <c r="I240" i="78" s="1"/>
  <c r="I241" i="78" s="1"/>
  <c r="I242" i="78" s="1"/>
  <c r="M227" i="78"/>
  <c r="L227" i="78"/>
  <c r="M226" i="78"/>
  <c r="L226" i="78"/>
  <c r="M225" i="78"/>
  <c r="L225" i="78"/>
  <c r="M224" i="78"/>
  <c r="L224" i="78"/>
  <c r="I224" i="78"/>
  <c r="I225" i="78" s="1"/>
  <c r="I226" i="78" s="1"/>
  <c r="P223" i="78"/>
  <c r="P224" i="78" s="1"/>
  <c r="P225" i="78" s="1"/>
  <c r="P226" i="78" s="1"/>
  <c r="M223" i="78"/>
  <c r="L223" i="78"/>
  <c r="P222" i="78"/>
  <c r="M222" i="78"/>
  <c r="L222" i="78"/>
  <c r="M221" i="78"/>
  <c r="L221" i="78"/>
  <c r="M220" i="78"/>
  <c r="L220" i="78"/>
  <c r="M219" i="78"/>
  <c r="L219" i="78"/>
  <c r="M218" i="78"/>
  <c r="L218" i="78"/>
  <c r="P217" i="78"/>
  <c r="P218" i="78" s="1"/>
  <c r="P219" i="78" s="1"/>
  <c r="P220" i="78" s="1"/>
  <c r="M217" i="78"/>
  <c r="L217" i="78"/>
  <c r="P216" i="78"/>
  <c r="M216" i="78"/>
  <c r="L216" i="78"/>
  <c r="M215" i="78"/>
  <c r="L215" i="78"/>
  <c r="O214" i="78"/>
  <c r="O220" i="78" s="1"/>
  <c r="O226" i="78" s="1"/>
  <c r="M214" i="78"/>
  <c r="L214" i="78"/>
  <c r="O213" i="78"/>
  <c r="O219" i="78" s="1"/>
  <c r="O225" i="78" s="1"/>
  <c r="M213" i="78"/>
  <c r="L213" i="78"/>
  <c r="O212" i="78"/>
  <c r="O218" i="78" s="1"/>
  <c r="O224" i="78" s="1"/>
  <c r="M212" i="78"/>
  <c r="L212" i="78"/>
  <c r="O211" i="78"/>
  <c r="O217" i="78" s="1"/>
  <c r="O223" i="78" s="1"/>
  <c r="M211" i="78"/>
  <c r="L211" i="78"/>
  <c r="P210" i="78"/>
  <c r="P211" i="78" s="1"/>
  <c r="P212" i="78" s="1"/>
  <c r="P213" i="78" s="1"/>
  <c r="P214" i="78" s="1"/>
  <c r="O210" i="78"/>
  <c r="O216" i="78" s="1"/>
  <c r="O222" i="78" s="1"/>
  <c r="M210" i="78"/>
  <c r="L210" i="78"/>
  <c r="O209" i="78"/>
  <c r="O215" i="78" s="1"/>
  <c r="O221" i="78" s="1"/>
  <c r="M209" i="78"/>
  <c r="L209" i="78"/>
  <c r="M208" i="78"/>
  <c r="L208" i="78"/>
  <c r="I208" i="78"/>
  <c r="I209" i="78" s="1"/>
  <c r="I210" i="78" s="1"/>
  <c r="I211" i="78" s="1"/>
  <c r="I212" i="78" s="1"/>
  <c r="I213" i="78" s="1"/>
  <c r="I214" i="78" s="1"/>
  <c r="I215" i="78" s="1"/>
  <c r="I216" i="78" s="1"/>
  <c r="I217" i="78" s="1"/>
  <c r="I218" i="78" s="1"/>
  <c r="I219" i="78" s="1"/>
  <c r="I220" i="78" s="1"/>
  <c r="I221" i="78" s="1"/>
  <c r="I222" i="78" s="1"/>
  <c r="M207" i="78"/>
  <c r="L207" i="78"/>
  <c r="M206" i="78"/>
  <c r="L206" i="78"/>
  <c r="M205" i="78"/>
  <c r="L205" i="78"/>
  <c r="P204" i="78"/>
  <c r="P205" i="78" s="1"/>
  <c r="P206" i="78" s="1"/>
  <c r="P207" i="78" s="1"/>
  <c r="P208" i="78" s="1"/>
  <c r="M204" i="78"/>
  <c r="L204" i="78"/>
  <c r="M203" i="78"/>
  <c r="L203" i="78"/>
  <c r="M202" i="78"/>
  <c r="L202" i="78"/>
  <c r="M201" i="78"/>
  <c r="L201" i="78"/>
  <c r="M200" i="78"/>
  <c r="L200" i="78"/>
  <c r="M199" i="78"/>
  <c r="L199" i="78"/>
  <c r="P198" i="78"/>
  <c r="P199" i="78" s="1"/>
  <c r="P200" i="78" s="1"/>
  <c r="P201" i="78" s="1"/>
  <c r="P202" i="78" s="1"/>
  <c r="M198" i="78"/>
  <c r="L198" i="78"/>
  <c r="M197" i="78"/>
  <c r="L197" i="78"/>
  <c r="M196" i="78"/>
  <c r="L196" i="78"/>
  <c r="M195" i="78"/>
  <c r="L195" i="78"/>
  <c r="M194" i="78"/>
  <c r="L194" i="78"/>
  <c r="M193" i="78"/>
  <c r="L193" i="78"/>
  <c r="P192" i="78"/>
  <c r="P193" i="78" s="1"/>
  <c r="P194" i="78" s="1"/>
  <c r="P195" i="78" s="1"/>
  <c r="P196" i="78" s="1"/>
  <c r="M192" i="78"/>
  <c r="L192" i="78"/>
  <c r="M191" i="78"/>
  <c r="L191" i="78"/>
  <c r="O190" i="78"/>
  <c r="O196" i="78" s="1"/>
  <c r="O202" i="78" s="1"/>
  <c r="M190" i="78"/>
  <c r="L190" i="78"/>
  <c r="O189" i="78"/>
  <c r="O195" i="78" s="1"/>
  <c r="O201" i="78" s="1"/>
  <c r="M189" i="78"/>
  <c r="L189" i="78"/>
  <c r="O188" i="78"/>
  <c r="O194" i="78" s="1"/>
  <c r="O200" i="78" s="1"/>
  <c r="M188" i="78"/>
  <c r="L188" i="78"/>
  <c r="I188" i="78"/>
  <c r="I189" i="78" s="1"/>
  <c r="I190" i="78" s="1"/>
  <c r="I191" i="78" s="1"/>
  <c r="I192" i="78" s="1"/>
  <c r="I193" i="78" s="1"/>
  <c r="I194" i="78" s="1"/>
  <c r="I195" i="78" s="1"/>
  <c r="I196" i="78" s="1"/>
  <c r="I197" i="78" s="1"/>
  <c r="I198" i="78" s="1"/>
  <c r="I199" i="78" s="1"/>
  <c r="I200" i="78" s="1"/>
  <c r="I201" i="78" s="1"/>
  <c r="I202" i="78" s="1"/>
  <c r="I203" i="78" s="1"/>
  <c r="I204" i="78" s="1"/>
  <c r="I205" i="78" s="1"/>
  <c r="I206" i="78" s="1"/>
  <c r="O187" i="78"/>
  <c r="O193" i="78" s="1"/>
  <c r="O199" i="78" s="1"/>
  <c r="M187" i="78"/>
  <c r="L187" i="78"/>
  <c r="P186" i="78"/>
  <c r="P187" i="78" s="1"/>
  <c r="P188" i="78" s="1"/>
  <c r="P189" i="78" s="1"/>
  <c r="P190" i="78" s="1"/>
  <c r="O186" i="78"/>
  <c r="O192" i="78" s="1"/>
  <c r="O198" i="78" s="1"/>
  <c r="M186" i="78"/>
  <c r="L186" i="78"/>
  <c r="O185" i="78"/>
  <c r="O191" i="78" s="1"/>
  <c r="O197" i="78" s="1"/>
  <c r="M185" i="78"/>
  <c r="L185" i="78"/>
  <c r="M184" i="78"/>
  <c r="L184" i="78"/>
  <c r="M183" i="78"/>
  <c r="L183" i="78"/>
  <c r="M182" i="78"/>
  <c r="L182" i="78"/>
  <c r="M181" i="78"/>
  <c r="L181" i="78"/>
  <c r="P180" i="78"/>
  <c r="P181" i="78" s="1"/>
  <c r="P182" i="78" s="1"/>
  <c r="P183" i="78" s="1"/>
  <c r="P184" i="78" s="1"/>
  <c r="M180" i="78"/>
  <c r="L180" i="78"/>
  <c r="M179" i="78"/>
  <c r="L179" i="78"/>
  <c r="M178" i="78"/>
  <c r="L178" i="78"/>
  <c r="M177" i="78"/>
  <c r="L177" i="78"/>
  <c r="M176" i="78"/>
  <c r="L176" i="78"/>
  <c r="M175" i="78"/>
  <c r="L175" i="78"/>
  <c r="P174" i="78"/>
  <c r="P175" i="78" s="1"/>
  <c r="P176" i="78" s="1"/>
  <c r="P177" i="78" s="1"/>
  <c r="P178" i="78" s="1"/>
  <c r="M174" i="78"/>
  <c r="L174" i="78"/>
  <c r="M173" i="78"/>
  <c r="L173" i="78"/>
  <c r="M172" i="78"/>
  <c r="L172" i="78"/>
  <c r="I172" i="78"/>
  <c r="I173" i="78" s="1"/>
  <c r="I174" i="78" s="1"/>
  <c r="I175" i="78" s="1"/>
  <c r="I176" i="78" s="1"/>
  <c r="I177" i="78" s="1"/>
  <c r="I178" i="78" s="1"/>
  <c r="I179" i="78" s="1"/>
  <c r="I180" i="78" s="1"/>
  <c r="I181" i="78" s="1"/>
  <c r="I182" i="78" s="1"/>
  <c r="I183" i="78" s="1"/>
  <c r="I184" i="78" s="1"/>
  <c r="I185" i="78" s="1"/>
  <c r="I186" i="78" s="1"/>
  <c r="M171" i="78"/>
  <c r="L171" i="78"/>
  <c r="M170" i="78"/>
  <c r="L170" i="78"/>
  <c r="M169" i="78"/>
  <c r="L169" i="78"/>
  <c r="P168" i="78"/>
  <c r="P169" i="78" s="1"/>
  <c r="P170" i="78" s="1"/>
  <c r="P171" i="78" s="1"/>
  <c r="P172" i="78" s="1"/>
  <c r="M168" i="78"/>
  <c r="L168" i="78"/>
  <c r="M167" i="78"/>
  <c r="L167" i="78"/>
  <c r="O166" i="78"/>
  <c r="O172" i="78" s="1"/>
  <c r="O178" i="78" s="1"/>
  <c r="M166" i="78"/>
  <c r="L166" i="78"/>
  <c r="O165" i="78"/>
  <c r="O171" i="78" s="1"/>
  <c r="O177" i="78" s="1"/>
  <c r="M165" i="78"/>
  <c r="L165" i="78"/>
  <c r="O164" i="78"/>
  <c r="O170" i="78" s="1"/>
  <c r="O176" i="78" s="1"/>
  <c r="M164" i="78"/>
  <c r="L164" i="78"/>
  <c r="O163" i="78"/>
  <c r="O169" i="78" s="1"/>
  <c r="O175" i="78" s="1"/>
  <c r="M163" i="78"/>
  <c r="L163" i="78"/>
  <c r="P162" i="78"/>
  <c r="P163" i="78" s="1"/>
  <c r="P164" i="78" s="1"/>
  <c r="P165" i="78" s="1"/>
  <c r="P166" i="78" s="1"/>
  <c r="O162" i="78"/>
  <c r="O168" i="78" s="1"/>
  <c r="O174" i="78" s="1"/>
  <c r="M162" i="78"/>
  <c r="L162" i="78"/>
  <c r="O161" i="78"/>
  <c r="O167" i="78" s="1"/>
  <c r="O173" i="78" s="1"/>
  <c r="M161" i="78"/>
  <c r="L161" i="78"/>
  <c r="M160" i="78"/>
  <c r="L160" i="78"/>
  <c r="M159" i="78"/>
  <c r="L159" i="78"/>
  <c r="M158" i="78"/>
  <c r="L158" i="78"/>
  <c r="M157" i="78"/>
  <c r="L157" i="78"/>
  <c r="P156" i="78"/>
  <c r="P157" i="78" s="1"/>
  <c r="P158" i="78" s="1"/>
  <c r="P159" i="78" s="1"/>
  <c r="P160" i="78" s="1"/>
  <c r="L156" i="78"/>
  <c r="I156" i="78"/>
  <c r="I157" i="78" s="1"/>
  <c r="I158" i="78" s="1"/>
  <c r="I159" i="78" s="1"/>
  <c r="I160" i="78" s="1"/>
  <c r="I161" i="78" s="1"/>
  <c r="I162" i="78" s="1"/>
  <c r="I163" i="78" s="1"/>
  <c r="I164" i="78" s="1"/>
  <c r="I165" i="78" s="1"/>
  <c r="I166" i="78" s="1"/>
  <c r="I167" i="78" s="1"/>
  <c r="I168" i="78" s="1"/>
  <c r="I169" i="78" s="1"/>
  <c r="I170" i="78" s="1"/>
  <c r="D155" i="78"/>
  <c r="D156" i="78" s="1"/>
  <c r="D157" i="78" s="1"/>
  <c r="E157" i="78" s="1"/>
  <c r="M154" i="78"/>
  <c r="M153" i="78"/>
  <c r="M152" i="78"/>
  <c r="M151" i="78"/>
  <c r="P150" i="78"/>
  <c r="P151" i="78" s="1"/>
  <c r="P152" i="78" s="1"/>
  <c r="P153" i="78" s="1"/>
  <c r="P154" i="78" s="1"/>
  <c r="M150" i="78"/>
  <c r="M149" i="78"/>
  <c r="M148" i="78"/>
  <c r="M147" i="78"/>
  <c r="M146" i="78"/>
  <c r="M145" i="78"/>
  <c r="P144" i="78"/>
  <c r="P145" i="78" s="1"/>
  <c r="P146" i="78" s="1"/>
  <c r="P147" i="78" s="1"/>
  <c r="P148" i="78" s="1"/>
  <c r="M144" i="78"/>
  <c r="M143" i="78"/>
  <c r="O142" i="78"/>
  <c r="O148" i="78" s="1"/>
  <c r="O154" i="78" s="1"/>
  <c r="M142" i="78"/>
  <c r="O141" i="78"/>
  <c r="O147" i="78" s="1"/>
  <c r="O153" i="78" s="1"/>
  <c r="M141" i="78"/>
  <c r="O140" i="78"/>
  <c r="O146" i="78" s="1"/>
  <c r="O152" i="78" s="1"/>
  <c r="M140" i="78"/>
  <c r="O139" i="78"/>
  <c r="O145" i="78" s="1"/>
  <c r="O151" i="78" s="1"/>
  <c r="M139" i="78"/>
  <c r="P138" i="78"/>
  <c r="P139" i="78" s="1"/>
  <c r="P140" i="78" s="1"/>
  <c r="P141" i="78" s="1"/>
  <c r="P142" i="78" s="1"/>
  <c r="O138" i="78"/>
  <c r="O144" i="78" s="1"/>
  <c r="O150" i="78" s="1"/>
  <c r="M138" i="78"/>
  <c r="O137" i="78"/>
  <c r="O143" i="78" s="1"/>
  <c r="O149" i="78" s="1"/>
  <c r="M137" i="78"/>
  <c r="M136" i="78"/>
  <c r="M135" i="78"/>
  <c r="M134" i="78"/>
  <c r="M133" i="78"/>
  <c r="P132" i="78"/>
  <c r="P133" i="78" s="1"/>
  <c r="P134" i="78" s="1"/>
  <c r="P135" i="78" s="1"/>
  <c r="P136" i="78" s="1"/>
  <c r="M132" i="78"/>
  <c r="M131" i="78"/>
  <c r="M130" i="78"/>
  <c r="M129" i="78"/>
  <c r="M128" i="78"/>
  <c r="M127" i="78"/>
  <c r="P126" i="78"/>
  <c r="P127" i="78" s="1"/>
  <c r="P128" i="78" s="1"/>
  <c r="P129" i="78" s="1"/>
  <c r="P130" i="78" s="1"/>
  <c r="M126" i="78"/>
  <c r="M125" i="78"/>
  <c r="M124" i="78"/>
  <c r="M123" i="78"/>
  <c r="M122" i="78"/>
  <c r="M121" i="78"/>
  <c r="P120" i="78"/>
  <c r="P121" i="78" s="1"/>
  <c r="P122" i="78" s="1"/>
  <c r="P123" i="78" s="1"/>
  <c r="P124" i="78" s="1"/>
  <c r="M120" i="78"/>
  <c r="M119" i="78"/>
  <c r="O118" i="78"/>
  <c r="O124" i="78" s="1"/>
  <c r="O130" i="78" s="1"/>
  <c r="M118" i="78"/>
  <c r="O117" i="78"/>
  <c r="O123" i="78" s="1"/>
  <c r="O129" i="78" s="1"/>
  <c r="M117" i="78"/>
  <c r="O116" i="78"/>
  <c r="O122" i="78" s="1"/>
  <c r="O128" i="78" s="1"/>
  <c r="M116" i="78"/>
  <c r="O115" i="78"/>
  <c r="O121" i="78" s="1"/>
  <c r="O127" i="78" s="1"/>
  <c r="M115" i="78"/>
  <c r="P114" i="78"/>
  <c r="P115" i="78" s="1"/>
  <c r="P116" i="78" s="1"/>
  <c r="P117" i="78" s="1"/>
  <c r="P118" i="78" s="1"/>
  <c r="O114" i="78"/>
  <c r="O120" i="78" s="1"/>
  <c r="O126" i="78" s="1"/>
  <c r="M114" i="78"/>
  <c r="O113" i="78"/>
  <c r="O119" i="78" s="1"/>
  <c r="O125" i="78" s="1"/>
  <c r="M113" i="78"/>
  <c r="M112" i="78"/>
  <c r="M111" i="78"/>
  <c r="M110" i="78"/>
  <c r="M109" i="78"/>
  <c r="P108" i="78"/>
  <c r="P109" i="78" s="1"/>
  <c r="P110" i="78" s="1"/>
  <c r="P111" i="78" s="1"/>
  <c r="P112" i="78" s="1"/>
  <c r="M108" i="78"/>
  <c r="M107" i="78"/>
  <c r="M106" i="78"/>
  <c r="M105" i="78"/>
  <c r="M104" i="78"/>
  <c r="M103" i="78"/>
  <c r="P102" i="78"/>
  <c r="P103" i="78" s="1"/>
  <c r="P104" i="78" s="1"/>
  <c r="P105" i="78" s="1"/>
  <c r="P106" i="78" s="1"/>
  <c r="M102" i="78"/>
  <c r="M101" i="78"/>
  <c r="M100" i="78"/>
  <c r="M99" i="78"/>
  <c r="M98" i="78"/>
  <c r="M97" i="78"/>
  <c r="P96" i="78"/>
  <c r="P97" i="78" s="1"/>
  <c r="P98" i="78" s="1"/>
  <c r="P99" i="78" s="1"/>
  <c r="P100" i="78" s="1"/>
  <c r="M96" i="78"/>
  <c r="M95" i="78"/>
  <c r="O94" i="78"/>
  <c r="O100" i="78" s="1"/>
  <c r="O106" i="78" s="1"/>
  <c r="M94" i="78"/>
  <c r="O93" i="78"/>
  <c r="O99" i="78" s="1"/>
  <c r="O105" i="78" s="1"/>
  <c r="M93" i="78"/>
  <c r="O92" i="78"/>
  <c r="O98" i="78" s="1"/>
  <c r="O104" i="78" s="1"/>
  <c r="M92" i="78"/>
  <c r="O91" i="78"/>
  <c r="O97" i="78" s="1"/>
  <c r="O103" i="78" s="1"/>
  <c r="M91" i="78"/>
  <c r="P90" i="78"/>
  <c r="P91" i="78" s="1"/>
  <c r="P92" i="78" s="1"/>
  <c r="P93" i="78" s="1"/>
  <c r="P94" i="78" s="1"/>
  <c r="O90" i="78"/>
  <c r="O96" i="78" s="1"/>
  <c r="O102" i="78" s="1"/>
  <c r="M90" i="78"/>
  <c r="O89" i="78"/>
  <c r="O95" i="78" s="1"/>
  <c r="O101" i="78" s="1"/>
  <c r="M89" i="78"/>
  <c r="M88" i="78"/>
  <c r="M87" i="78"/>
  <c r="M86" i="78"/>
  <c r="P85" i="78"/>
  <c r="P86" i="78" s="1"/>
  <c r="P87" i="78" s="1"/>
  <c r="P88" i="78" s="1"/>
  <c r="M85" i="78"/>
  <c r="P84" i="78"/>
  <c r="M84" i="78"/>
  <c r="M83" i="78"/>
  <c r="M60" i="78"/>
  <c r="M61" i="78"/>
  <c r="M62" i="78"/>
  <c r="M63" i="78"/>
  <c r="M64" i="78"/>
  <c r="M65" i="78"/>
  <c r="M66" i="78"/>
  <c r="M67" i="78"/>
  <c r="M68" i="78"/>
  <c r="M69" i="78"/>
  <c r="M70" i="78"/>
  <c r="M71" i="78"/>
  <c r="M72" i="78"/>
  <c r="M73" i="78"/>
  <c r="M74" i="78"/>
  <c r="M75" i="78"/>
  <c r="M76" i="78"/>
  <c r="M77" i="78"/>
  <c r="M78" i="78"/>
  <c r="M79" i="78"/>
  <c r="M80" i="78"/>
  <c r="M81" i="78"/>
  <c r="M82" i="78"/>
  <c r="M59" i="78"/>
  <c r="P78" i="78"/>
  <c r="P79" i="78" s="1"/>
  <c r="P80" i="78" s="1"/>
  <c r="P81" i="78" s="1"/>
  <c r="P82" i="78" s="1"/>
  <c r="P72" i="78"/>
  <c r="P73" i="78" s="1"/>
  <c r="P74" i="78" s="1"/>
  <c r="P75" i="78" s="1"/>
  <c r="P76" i="78" s="1"/>
  <c r="O70" i="78"/>
  <c r="O76" i="78" s="1"/>
  <c r="O82" i="78" s="1"/>
  <c r="O69" i="78"/>
  <c r="O75" i="78" s="1"/>
  <c r="O81" i="78" s="1"/>
  <c r="O68" i="78"/>
  <c r="O74" i="78" s="1"/>
  <c r="O80" i="78" s="1"/>
  <c r="O67" i="78"/>
  <c r="O73" i="78" s="1"/>
  <c r="O79" i="78" s="1"/>
  <c r="P66" i="78"/>
  <c r="P67" i="78" s="1"/>
  <c r="P68" i="78" s="1"/>
  <c r="P69" i="78" s="1"/>
  <c r="P70" i="78" s="1"/>
  <c r="O66" i="78"/>
  <c r="O72" i="78" s="1"/>
  <c r="O78" i="78" s="1"/>
  <c r="O65" i="78"/>
  <c r="O71" i="78" s="1"/>
  <c r="O77" i="78" s="1"/>
  <c r="P60" i="78"/>
  <c r="P61" i="78" s="1"/>
  <c r="P62" i="78" s="1"/>
  <c r="P63" i="78" s="1"/>
  <c r="P64" i="78" s="1"/>
  <c r="M36" i="78"/>
  <c r="M37" i="78"/>
  <c r="M38" i="78"/>
  <c r="M39" i="78"/>
  <c r="M40" i="78"/>
  <c r="M41" i="78"/>
  <c r="M42" i="78"/>
  <c r="M43" i="78"/>
  <c r="M44" i="78"/>
  <c r="M45" i="78"/>
  <c r="M46" i="78"/>
  <c r="M47" i="78"/>
  <c r="M48" i="78"/>
  <c r="M49" i="78"/>
  <c r="M50" i="78"/>
  <c r="M51" i="78"/>
  <c r="M52" i="78"/>
  <c r="M53" i="78"/>
  <c r="M54" i="78"/>
  <c r="M55" i="78"/>
  <c r="M56" i="78"/>
  <c r="M57" i="78"/>
  <c r="M58" i="78"/>
  <c r="O51" i="78"/>
  <c r="O57" i="78" s="1"/>
  <c r="O46" i="78"/>
  <c r="O52" i="78" s="1"/>
  <c r="O58" i="78" s="1"/>
  <c r="O45" i="78"/>
  <c r="O44" i="78"/>
  <c r="O50" i="78" s="1"/>
  <c r="O56" i="78" s="1"/>
  <c r="O43" i="78"/>
  <c r="O49" i="78" s="1"/>
  <c r="O55" i="78" s="1"/>
  <c r="O42" i="78"/>
  <c r="O48" i="78" s="1"/>
  <c r="O54" i="78" s="1"/>
  <c r="O41" i="78"/>
  <c r="O47" i="78" s="1"/>
  <c r="O53" i="78" s="1"/>
  <c r="M35" i="78"/>
  <c r="M13" i="78"/>
  <c r="M14" i="78"/>
  <c r="M15" i="78"/>
  <c r="M16" i="78"/>
  <c r="M17" i="78"/>
  <c r="M18" i="78"/>
  <c r="M19" i="78"/>
  <c r="M20" i="78"/>
  <c r="M21" i="78"/>
  <c r="M22" i="78"/>
  <c r="M23" i="78"/>
  <c r="M24" i="78"/>
  <c r="M25" i="78"/>
  <c r="M26" i="78"/>
  <c r="M27" i="78"/>
  <c r="M28" i="78"/>
  <c r="M29" i="78"/>
  <c r="M30" i="78"/>
  <c r="M31" i="78"/>
  <c r="M32" i="78"/>
  <c r="M33" i="78"/>
  <c r="M34" i="78"/>
  <c r="M12" i="78"/>
  <c r="O31" i="78"/>
  <c r="O18" i="78"/>
  <c r="O24" i="78" s="1"/>
  <c r="O30" i="78" s="1"/>
  <c r="O19" i="78"/>
  <c r="O25" i="78" s="1"/>
  <c r="O20" i="78"/>
  <c r="O26" i="78" s="1"/>
  <c r="O32" i="78" s="1"/>
  <c r="O21" i="78"/>
  <c r="O27" i="78" s="1"/>
  <c r="O33" i="78" s="1"/>
  <c r="O22" i="78"/>
  <c r="O28" i="78" s="1"/>
  <c r="O34" i="78" s="1"/>
  <c r="O17" i="78"/>
  <c r="O23" i="78" s="1"/>
  <c r="O29" i="78" s="1"/>
  <c r="P54" i="78"/>
  <c r="P55" i="78" s="1"/>
  <c r="P56" i="78" s="1"/>
  <c r="P57" i="78" s="1"/>
  <c r="P58" i="78" s="1"/>
  <c r="P48" i="78"/>
  <c r="P49" i="78" s="1"/>
  <c r="P50" i="78" s="1"/>
  <c r="P51" i="78" s="1"/>
  <c r="P52" i="78" s="1"/>
  <c r="P42" i="78"/>
  <c r="P43" i="78" s="1"/>
  <c r="P44" i="78" s="1"/>
  <c r="P45" i="78" s="1"/>
  <c r="P46" i="78" s="1"/>
  <c r="P37" i="78"/>
  <c r="P38" i="78" s="1"/>
  <c r="P39" i="78" s="1"/>
  <c r="P40" i="78" s="1"/>
  <c r="P36" i="78"/>
  <c r="P30" i="78"/>
  <c r="P31" i="78" s="1"/>
  <c r="P32" i="78" s="1"/>
  <c r="P33" i="78" s="1"/>
  <c r="P34" i="78" s="1"/>
  <c r="P24" i="78"/>
  <c r="P25" i="78" s="1"/>
  <c r="P26" i="78" s="1"/>
  <c r="P27" i="78" s="1"/>
  <c r="P28" i="78" s="1"/>
  <c r="M11" i="78"/>
  <c r="P18" i="78"/>
  <c r="P19" i="78" s="1"/>
  <c r="P20" i="78" s="1"/>
  <c r="P21" i="78" s="1"/>
  <c r="P22" i="78" s="1"/>
  <c r="P13" i="78"/>
  <c r="P14" i="78" s="1"/>
  <c r="P15" i="78" s="1"/>
  <c r="P16" i="78" s="1"/>
  <c r="P12" i="78"/>
  <c r="L155" i="78"/>
  <c r="L154" i="78"/>
  <c r="L153" i="78"/>
  <c r="L152" i="78"/>
  <c r="I152" i="78"/>
  <c r="I153" i="78" s="1"/>
  <c r="I154" i="78" s="1"/>
  <c r="I155" i="78" s="1"/>
  <c r="L151" i="78"/>
  <c r="L150" i="78"/>
  <c r="L149" i="78"/>
  <c r="L148" i="78"/>
  <c r="L147" i="78"/>
  <c r="L146" i="78"/>
  <c r="L145" i="78"/>
  <c r="L144" i="78"/>
  <c r="L143" i="78"/>
  <c r="L142" i="78"/>
  <c r="L141" i="78"/>
  <c r="L140" i="78"/>
  <c r="L139" i="78"/>
  <c r="L138" i="78"/>
  <c r="L137" i="78"/>
  <c r="L136" i="78"/>
  <c r="I136" i="78"/>
  <c r="I137" i="78" s="1"/>
  <c r="I138" i="78" s="1"/>
  <c r="I139" i="78" s="1"/>
  <c r="I140" i="78" s="1"/>
  <c r="I141" i="78" s="1"/>
  <c r="I142" i="78" s="1"/>
  <c r="I143" i="78" s="1"/>
  <c r="I144" i="78" s="1"/>
  <c r="I145" i="78" s="1"/>
  <c r="I146" i="78" s="1"/>
  <c r="I147" i="78" s="1"/>
  <c r="I148" i="78" s="1"/>
  <c r="I149" i="78" s="1"/>
  <c r="I150" i="78" s="1"/>
  <c r="L135" i="78"/>
  <c r="L134" i="78"/>
  <c r="L133" i="78"/>
  <c r="L132" i="78"/>
  <c r="L131" i="78"/>
  <c r="L130" i="78"/>
  <c r="L129" i="78"/>
  <c r="L128" i="78"/>
  <c r="L127" i="78"/>
  <c r="L126" i="78"/>
  <c r="L125" i="78"/>
  <c r="L124" i="78"/>
  <c r="L123" i="78"/>
  <c r="L122" i="78"/>
  <c r="L121" i="78"/>
  <c r="L120" i="78"/>
  <c r="L119" i="78"/>
  <c r="L118" i="78"/>
  <c r="L117" i="78"/>
  <c r="L116" i="78"/>
  <c r="I116" i="78"/>
  <c r="I117" i="78" s="1"/>
  <c r="I118" i="78" s="1"/>
  <c r="I119" i="78" s="1"/>
  <c r="I120" i="78" s="1"/>
  <c r="I121" i="78" s="1"/>
  <c r="I122" i="78" s="1"/>
  <c r="I123" i="78" s="1"/>
  <c r="I124" i="78" s="1"/>
  <c r="I125" i="78" s="1"/>
  <c r="I126" i="78" s="1"/>
  <c r="I127" i="78" s="1"/>
  <c r="I128" i="78" s="1"/>
  <c r="I129" i="78" s="1"/>
  <c r="I130" i="78" s="1"/>
  <c r="I131" i="78" s="1"/>
  <c r="I132" i="78" s="1"/>
  <c r="I133" i="78" s="1"/>
  <c r="I134" i="78" s="1"/>
  <c r="L115" i="78"/>
  <c r="L114" i="78"/>
  <c r="L113" i="78"/>
  <c r="L112" i="78"/>
  <c r="L111" i="78"/>
  <c r="L110" i="78"/>
  <c r="L109" i="78"/>
  <c r="L108" i="78"/>
  <c r="L107" i="78"/>
  <c r="L106" i="78"/>
  <c r="L105" i="78"/>
  <c r="L104" i="78"/>
  <c r="L103" i="78"/>
  <c r="L102" i="78"/>
  <c r="L101" i="78"/>
  <c r="I101" i="78"/>
  <c r="I102" i="78" s="1"/>
  <c r="I103" i="78" s="1"/>
  <c r="I104" i="78" s="1"/>
  <c r="I105" i="78" s="1"/>
  <c r="I106" i="78" s="1"/>
  <c r="I107" i="78" s="1"/>
  <c r="I108" i="78" s="1"/>
  <c r="I109" i="78" s="1"/>
  <c r="I110" i="78" s="1"/>
  <c r="I111" i="78" s="1"/>
  <c r="I112" i="78" s="1"/>
  <c r="I113" i="78" s="1"/>
  <c r="I114" i="78" s="1"/>
  <c r="L100" i="78"/>
  <c r="I100" i="78"/>
  <c r="L99" i="78"/>
  <c r="L98" i="78"/>
  <c r="L97" i="78"/>
  <c r="L96" i="78"/>
  <c r="L95" i="78"/>
  <c r="L94" i="78"/>
  <c r="L93" i="78"/>
  <c r="L92" i="78"/>
  <c r="L91" i="78"/>
  <c r="L90" i="78"/>
  <c r="L89" i="78"/>
  <c r="L88" i="78"/>
  <c r="L87" i="78"/>
  <c r="L86" i="78"/>
  <c r="L85" i="78"/>
  <c r="L84" i="78"/>
  <c r="I84" i="78"/>
  <c r="I85" i="78" s="1"/>
  <c r="I86" i="78" s="1"/>
  <c r="I87" i="78" s="1"/>
  <c r="I88" i="78" s="1"/>
  <c r="I89" i="78" s="1"/>
  <c r="I90" i="78" s="1"/>
  <c r="I91" i="78" s="1"/>
  <c r="I92" i="78" s="1"/>
  <c r="I93" i="78" s="1"/>
  <c r="I94" i="78" s="1"/>
  <c r="I95" i="78" s="1"/>
  <c r="I96" i="78" s="1"/>
  <c r="I97" i="78" s="1"/>
  <c r="I98" i="78" s="1"/>
  <c r="L83" i="78"/>
  <c r="L82" i="78"/>
  <c r="L81" i="78"/>
  <c r="L80" i="78"/>
  <c r="I80" i="78"/>
  <c r="I81" i="78" s="1"/>
  <c r="I82" i="78" s="1"/>
  <c r="L79" i="78"/>
  <c r="L78" i="78"/>
  <c r="L77" i="78"/>
  <c r="L76" i="78"/>
  <c r="L75" i="78"/>
  <c r="L74" i="78"/>
  <c r="L73" i="78"/>
  <c r="L72" i="78"/>
  <c r="L71" i="78"/>
  <c r="L70" i="78"/>
  <c r="L69" i="78"/>
  <c r="L68" i="78"/>
  <c r="L67" i="78"/>
  <c r="L66" i="78"/>
  <c r="L65" i="78"/>
  <c r="L64" i="78"/>
  <c r="I64" i="78"/>
  <c r="I65" i="78" s="1"/>
  <c r="I66" i="78" s="1"/>
  <c r="I67" i="78" s="1"/>
  <c r="I68" i="78" s="1"/>
  <c r="I69" i="78" s="1"/>
  <c r="I70" i="78" s="1"/>
  <c r="I71" i="78" s="1"/>
  <c r="I72" i="78" s="1"/>
  <c r="I73" i="78" s="1"/>
  <c r="I74" i="78" s="1"/>
  <c r="I75" i="78" s="1"/>
  <c r="I76" i="78" s="1"/>
  <c r="I77" i="78" s="1"/>
  <c r="I78" i="78" s="1"/>
  <c r="L63" i="78"/>
  <c r="L62" i="78"/>
  <c r="L61" i="78"/>
  <c r="L60" i="78"/>
  <c r="L59" i="78"/>
  <c r="L58" i="78"/>
  <c r="L57" i="78"/>
  <c r="L56" i="78"/>
  <c r="L55" i="78"/>
  <c r="L54" i="78"/>
  <c r="L53" i="78"/>
  <c r="L52" i="78"/>
  <c r="L51" i="78"/>
  <c r="L50" i="78"/>
  <c r="L49" i="78"/>
  <c r="L48" i="78"/>
  <c r="L47" i="78"/>
  <c r="L46" i="78"/>
  <c r="L45" i="78"/>
  <c r="L44" i="78"/>
  <c r="I44" i="78"/>
  <c r="I45" i="78" s="1"/>
  <c r="I46" i="78" s="1"/>
  <c r="I47" i="78" s="1"/>
  <c r="I48" i="78" s="1"/>
  <c r="I49" i="78" s="1"/>
  <c r="I50" i="78" s="1"/>
  <c r="I51" i="78" s="1"/>
  <c r="I52" i="78" s="1"/>
  <c r="I53" i="78" s="1"/>
  <c r="I54" i="78" s="1"/>
  <c r="I55" i="78" s="1"/>
  <c r="I56" i="78" s="1"/>
  <c r="I57" i="78" s="1"/>
  <c r="I58" i="78" s="1"/>
  <c r="I59" i="78" s="1"/>
  <c r="I60" i="78" s="1"/>
  <c r="I61" i="78" s="1"/>
  <c r="I62" i="78" s="1"/>
  <c r="L43" i="78"/>
  <c r="L42" i="78"/>
  <c r="L41" i="78"/>
  <c r="L40" i="78"/>
  <c r="L39" i="78"/>
  <c r="L38" i="78"/>
  <c r="L37" i="78"/>
  <c r="L36" i="78"/>
  <c r="L35" i="78"/>
  <c r="L34" i="78"/>
  <c r="L33" i="78"/>
  <c r="L32" i="78"/>
  <c r="L31" i="78"/>
  <c r="L30" i="78"/>
  <c r="L29" i="78"/>
  <c r="L28" i="78"/>
  <c r="I28" i="78"/>
  <c r="I29" i="78" s="1"/>
  <c r="I30" i="78" s="1"/>
  <c r="I31" i="78" s="1"/>
  <c r="I32" i="78" s="1"/>
  <c r="I33" i="78" s="1"/>
  <c r="I34" i="78" s="1"/>
  <c r="I35" i="78" s="1"/>
  <c r="I36" i="78" s="1"/>
  <c r="I37" i="78" s="1"/>
  <c r="I38" i="78" s="1"/>
  <c r="I39" i="78" s="1"/>
  <c r="I40" i="78" s="1"/>
  <c r="I41" i="78" s="1"/>
  <c r="I42" i="78" s="1"/>
  <c r="L27" i="78"/>
  <c r="L26" i="78"/>
  <c r="L25" i="78"/>
  <c r="L24" i="78"/>
  <c r="L23" i="78"/>
  <c r="L22" i="78"/>
  <c r="L21" i="78"/>
  <c r="L20" i="78"/>
  <c r="L19" i="78"/>
  <c r="L18" i="78"/>
  <c r="L17" i="78"/>
  <c r="L16" i="78"/>
  <c r="L15" i="78"/>
  <c r="L14" i="78"/>
  <c r="L13" i="78"/>
  <c r="L12" i="78"/>
  <c r="I12" i="78"/>
  <c r="I13" i="78" s="1"/>
  <c r="I14" i="78" s="1"/>
  <c r="I15" i="78" s="1"/>
  <c r="I16" i="78" s="1"/>
  <c r="I17" i="78" s="1"/>
  <c r="I18" i="78" s="1"/>
  <c r="I19" i="78" s="1"/>
  <c r="I20" i="78" s="1"/>
  <c r="I21" i="78" s="1"/>
  <c r="I22" i="78" s="1"/>
  <c r="I23" i="78" s="1"/>
  <c r="I24" i="78" s="1"/>
  <c r="I25" i="78" s="1"/>
  <c r="I26" i="78" s="1"/>
  <c r="B12" i="78"/>
  <c r="B13" i="78" s="1"/>
  <c r="B14" i="78" s="1"/>
  <c r="B15" i="78" s="1"/>
  <c r="B16" i="78" s="1"/>
  <c r="B17" i="78" s="1"/>
  <c r="B18" i="78" s="1"/>
  <c r="B19" i="78" s="1"/>
  <c r="B20" i="78" s="1"/>
  <c r="B21" i="78" s="1"/>
  <c r="B22" i="78" s="1"/>
  <c r="B23" i="78" s="1"/>
  <c r="B24" i="78" s="1"/>
  <c r="B25" i="78" s="1"/>
  <c r="B26" i="78" s="1"/>
  <c r="B27" i="78" s="1"/>
  <c r="B28" i="78" s="1"/>
  <c r="B29" i="78" s="1"/>
  <c r="B30" i="78" s="1"/>
  <c r="B31" i="78" s="1"/>
  <c r="B32" i="78" s="1"/>
  <c r="B33" i="78" s="1"/>
  <c r="B34" i="78" s="1"/>
  <c r="B35" i="78" s="1"/>
  <c r="B36" i="78" s="1"/>
  <c r="B37" i="78" s="1"/>
  <c r="B38" i="78" s="1"/>
  <c r="B39" i="78" s="1"/>
  <c r="B40" i="78" s="1"/>
  <c r="B41" i="78" s="1"/>
  <c r="B42" i="78" s="1"/>
  <c r="B43" i="78" s="1"/>
  <c r="B44" i="78" s="1"/>
  <c r="B45" i="78" s="1"/>
  <c r="B46" i="78" s="1"/>
  <c r="B47" i="78" s="1"/>
  <c r="B48" i="78" s="1"/>
  <c r="B49" i="78" s="1"/>
  <c r="B50" i="78" s="1"/>
  <c r="B51" i="78" s="1"/>
  <c r="B52" i="78" s="1"/>
  <c r="B53" i="78" s="1"/>
  <c r="B54" i="78" s="1"/>
  <c r="B55" i="78" s="1"/>
  <c r="B56" i="78" s="1"/>
  <c r="B57" i="78" s="1"/>
  <c r="B58" i="78" s="1"/>
  <c r="B59" i="78" s="1"/>
  <c r="B60" i="78" s="1"/>
  <c r="B61" i="78" s="1"/>
  <c r="B62" i="78" s="1"/>
  <c r="B63" i="78" s="1"/>
  <c r="B64" i="78" s="1"/>
  <c r="B65" i="78" s="1"/>
  <c r="B66" i="78" s="1"/>
  <c r="B67" i="78" s="1"/>
  <c r="B68" i="78" s="1"/>
  <c r="B69" i="78" s="1"/>
  <c r="B70" i="78" s="1"/>
  <c r="B71" i="78" s="1"/>
  <c r="B72" i="78" s="1"/>
  <c r="B73" i="78" s="1"/>
  <c r="B74" i="78" s="1"/>
  <c r="B75" i="78" s="1"/>
  <c r="B76" i="78" s="1"/>
  <c r="B77" i="78" s="1"/>
  <c r="B78" i="78" s="1"/>
  <c r="B79" i="78" s="1"/>
  <c r="B80" i="78" s="1"/>
  <c r="B81" i="78" s="1"/>
  <c r="B82" i="78" s="1"/>
  <c r="B83" i="78" s="1"/>
  <c r="B84" i="78" s="1"/>
  <c r="B85" i="78" s="1"/>
  <c r="B86" i="78" s="1"/>
  <c r="B87" i="78" s="1"/>
  <c r="B88" i="78" s="1"/>
  <c r="B89" i="78" s="1"/>
  <c r="B90" i="78" s="1"/>
  <c r="B91" i="78" s="1"/>
  <c r="B92" i="78" s="1"/>
  <c r="B93" i="78" s="1"/>
  <c r="B94" i="78" s="1"/>
  <c r="B95" i="78" s="1"/>
  <c r="B96" i="78" s="1"/>
  <c r="B97" i="78" s="1"/>
  <c r="B98" i="78" s="1"/>
  <c r="B99" i="78" s="1"/>
  <c r="B100" i="78" s="1"/>
  <c r="B101" i="78" s="1"/>
  <c r="B102" i="78" s="1"/>
  <c r="B103" i="78" s="1"/>
  <c r="B104" i="78" s="1"/>
  <c r="B105" i="78" s="1"/>
  <c r="B106" i="78" s="1"/>
  <c r="B107" i="78" s="1"/>
  <c r="B108" i="78" s="1"/>
  <c r="B109" i="78" s="1"/>
  <c r="B110" i="78" s="1"/>
  <c r="B111" i="78" s="1"/>
  <c r="B112" i="78" s="1"/>
  <c r="B113" i="78" s="1"/>
  <c r="B114" i="78" s="1"/>
  <c r="B115" i="78" s="1"/>
  <c r="B116" i="78" s="1"/>
  <c r="B117" i="78" s="1"/>
  <c r="B118" i="78" s="1"/>
  <c r="B119" i="78" s="1"/>
  <c r="B120" i="78" s="1"/>
  <c r="B121" i="78" s="1"/>
  <c r="B122" i="78" s="1"/>
  <c r="B123" i="78" s="1"/>
  <c r="B124" i="78" s="1"/>
  <c r="B125" i="78" s="1"/>
  <c r="B126" i="78" s="1"/>
  <c r="B127" i="78" s="1"/>
  <c r="B128" i="78" s="1"/>
  <c r="B129" i="78" s="1"/>
  <c r="B130" i="78" s="1"/>
  <c r="B131" i="78" s="1"/>
  <c r="B132" i="78" s="1"/>
  <c r="B133" i="78" s="1"/>
  <c r="B134" i="78" s="1"/>
  <c r="B135" i="78" s="1"/>
  <c r="B136" i="78" s="1"/>
  <c r="B137" i="78" s="1"/>
  <c r="B138" i="78" s="1"/>
  <c r="B139" i="78" s="1"/>
  <c r="B140" i="78" s="1"/>
  <c r="B141" i="78" s="1"/>
  <c r="B142" i="78" s="1"/>
  <c r="B143" i="78" s="1"/>
  <c r="B144" i="78" s="1"/>
  <c r="B145" i="78" s="1"/>
  <c r="B146" i="78" s="1"/>
  <c r="B147" i="78" s="1"/>
  <c r="B148" i="78" s="1"/>
  <c r="B149" i="78" s="1"/>
  <c r="B150" i="78" s="1"/>
  <c r="B151" i="78" s="1"/>
  <c r="B152" i="78" s="1"/>
  <c r="B153" i="78" s="1"/>
  <c r="B154" i="78" s="1"/>
  <c r="B155" i="78" s="1"/>
  <c r="B156" i="78" s="1"/>
  <c r="B157" i="78" s="1"/>
  <c r="B158" i="78" s="1"/>
  <c r="B159" i="78" s="1"/>
  <c r="B160" i="78" s="1"/>
  <c r="B161" i="78" s="1"/>
  <c r="B162" i="78" s="1"/>
  <c r="B163" i="78" s="1"/>
  <c r="B164" i="78" s="1"/>
  <c r="B165" i="78" s="1"/>
  <c r="B166" i="78" s="1"/>
  <c r="B167" i="78" s="1"/>
  <c r="B168" i="78" s="1"/>
  <c r="B169" i="78" s="1"/>
  <c r="B170" i="78" s="1"/>
  <c r="B171" i="78" s="1"/>
  <c r="B172" i="78" s="1"/>
  <c r="B173" i="78" s="1"/>
  <c r="B174" i="78" s="1"/>
  <c r="B175" i="78" s="1"/>
  <c r="B176" i="78" s="1"/>
  <c r="B177" i="78" s="1"/>
  <c r="B178" i="78" s="1"/>
  <c r="B179" i="78" s="1"/>
  <c r="B180" i="78" s="1"/>
  <c r="B181" i="78" s="1"/>
  <c r="B182" i="78" s="1"/>
  <c r="B183" i="78" s="1"/>
  <c r="B184" i="78" s="1"/>
  <c r="B185" i="78" s="1"/>
  <c r="B186" i="78" s="1"/>
  <c r="B187" i="78" s="1"/>
  <c r="B188" i="78" s="1"/>
  <c r="B189" i="78" s="1"/>
  <c r="B190" i="78" s="1"/>
  <c r="B191" i="78" s="1"/>
  <c r="B192" i="78" s="1"/>
  <c r="B193" i="78" s="1"/>
  <c r="B194" i="78" s="1"/>
  <c r="B195" i="78" s="1"/>
  <c r="B196" i="78" s="1"/>
  <c r="B197" i="78" s="1"/>
  <c r="B198" i="78" s="1"/>
  <c r="B199" i="78" s="1"/>
  <c r="B200" i="78" s="1"/>
  <c r="B201" i="78" s="1"/>
  <c r="B202" i="78" s="1"/>
  <c r="B203" i="78" s="1"/>
  <c r="B204" i="78" s="1"/>
  <c r="B205" i="78" s="1"/>
  <c r="B206" i="78" s="1"/>
  <c r="B207" i="78" s="1"/>
  <c r="B208" i="78" s="1"/>
  <c r="B209" i="78" s="1"/>
  <c r="B210" i="78" s="1"/>
  <c r="B211" i="78" s="1"/>
  <c r="B212" i="78" s="1"/>
  <c r="B213" i="78" s="1"/>
  <c r="B214" i="78" s="1"/>
  <c r="B215" i="78" s="1"/>
  <c r="B216" i="78" s="1"/>
  <c r="B217" i="78" s="1"/>
  <c r="B218" i="78" s="1"/>
  <c r="B219" i="78" s="1"/>
  <c r="B220" i="78" s="1"/>
  <c r="B221" i="78" s="1"/>
  <c r="B222" i="78" s="1"/>
  <c r="B223" i="78" s="1"/>
  <c r="B224" i="78" s="1"/>
  <c r="B225" i="78" s="1"/>
  <c r="B226" i="78" s="1"/>
  <c r="B227" i="78" s="1"/>
  <c r="B228" i="78" s="1"/>
  <c r="B229" i="78" s="1"/>
  <c r="B230" i="78" s="1"/>
  <c r="B231" i="78" s="1"/>
  <c r="B232" i="78" s="1"/>
  <c r="B233" i="78" s="1"/>
  <c r="B234" i="78" s="1"/>
  <c r="B235" i="78" s="1"/>
  <c r="B236" i="78" s="1"/>
  <c r="B237" i="78" s="1"/>
  <c r="B238" i="78" s="1"/>
  <c r="B239" i="78" s="1"/>
  <c r="B240" i="78" s="1"/>
  <c r="B241" i="78" s="1"/>
  <c r="B242" i="78" s="1"/>
  <c r="B243" i="78" s="1"/>
  <c r="B244" i="78" s="1"/>
  <c r="B245" i="78" s="1"/>
  <c r="B246" i="78" s="1"/>
  <c r="B247" i="78" s="1"/>
  <c r="B248" i="78" s="1"/>
  <c r="B249" i="78" s="1"/>
  <c r="B250" i="78" s="1"/>
  <c r="B251" i="78" s="1"/>
  <c r="B252" i="78" s="1"/>
  <c r="B253" i="78" s="1"/>
  <c r="B254" i="78" s="1"/>
  <c r="B255" i="78" s="1"/>
  <c r="B256" i="78" s="1"/>
  <c r="B257" i="78" s="1"/>
  <c r="B258" i="78" s="1"/>
  <c r="B259" i="78" s="1"/>
  <c r="B260" i="78" s="1"/>
  <c r="B261" i="78" s="1"/>
  <c r="B262" i="78" s="1"/>
  <c r="B263" i="78" s="1"/>
  <c r="B264" i="78" s="1"/>
  <c r="B265" i="78" s="1"/>
  <c r="B266" i="78" s="1"/>
  <c r="B267" i="78" s="1"/>
  <c r="B268" i="78" s="1"/>
  <c r="B269" i="78" s="1"/>
  <c r="B270" i="78" s="1"/>
  <c r="B271" i="78" s="1"/>
  <c r="B272" i="78" s="1"/>
  <c r="B273" i="78" s="1"/>
  <c r="B274" i="78" s="1"/>
  <c r="B275" i="78" s="1"/>
  <c r="B276" i="78" s="1"/>
  <c r="B277" i="78" s="1"/>
  <c r="B278" i="78" s="1"/>
  <c r="B279" i="78" s="1"/>
  <c r="B280" i="78" s="1"/>
  <c r="B281" i="78" s="1"/>
  <c r="B282" i="78" s="1"/>
  <c r="B283" i="78" s="1"/>
  <c r="B284" i="78" s="1"/>
  <c r="B285" i="78" s="1"/>
  <c r="B286" i="78" s="1"/>
  <c r="B287" i="78" s="1"/>
  <c r="B288" i="78" s="1"/>
  <c r="B289" i="78" s="1"/>
  <c r="B290" i="78" s="1"/>
  <c r="B291" i="78" s="1"/>
  <c r="B292" i="78" s="1"/>
  <c r="B293" i="78" s="1"/>
  <c r="B294" i="78" s="1"/>
  <c r="B295" i="78" s="1"/>
  <c r="B296" i="78" s="1"/>
  <c r="B297" i="78" s="1"/>
  <c r="B298" i="78" s="1"/>
  <c r="B299" i="78" s="1"/>
  <c r="B300" i="78" s="1"/>
  <c r="B301" i="78" s="1"/>
  <c r="B302" i="78" s="1"/>
  <c r="B303" i="78" s="1"/>
  <c r="B304" i="78" s="1"/>
  <c r="B305" i="78" s="1"/>
  <c r="B306" i="78" s="1"/>
  <c r="B307" i="78" s="1"/>
  <c r="B308" i="78" s="1"/>
  <c r="B309" i="78" s="1"/>
  <c r="B310" i="78" s="1"/>
  <c r="B311" i="78" s="1"/>
  <c r="B312" i="78" s="1"/>
  <c r="B313" i="78" s="1"/>
  <c r="B314" i="78" s="1"/>
  <c r="B315" i="78" s="1"/>
  <c r="B316" i="78" s="1"/>
  <c r="B317" i="78" s="1"/>
  <c r="B318" i="78" s="1"/>
  <c r="B319" i="78" s="1"/>
  <c r="B320" i="78" s="1"/>
  <c r="B321" i="78" s="1"/>
  <c r="B322" i="78" s="1"/>
  <c r="B323" i="78" s="1"/>
  <c r="B324" i="78" s="1"/>
  <c r="B325" i="78" s="1"/>
  <c r="B326" i="78" s="1"/>
  <c r="B327" i="78" s="1"/>
  <c r="B328" i="78" s="1"/>
  <c r="B329" i="78" s="1"/>
  <c r="B330" i="78" s="1"/>
  <c r="B331" i="78" s="1"/>
  <c r="B332" i="78" s="1"/>
  <c r="B333" i="78" s="1"/>
  <c r="B334" i="78" s="1"/>
  <c r="B335" i="78" s="1"/>
  <c r="B336" i="78" s="1"/>
  <c r="B337" i="78" s="1"/>
  <c r="B338" i="78" s="1"/>
  <c r="B339" i="78" s="1"/>
  <c r="B340" i="78" s="1"/>
  <c r="B341" i="78" s="1"/>
  <c r="B342" i="78" s="1"/>
  <c r="B343" i="78" s="1"/>
  <c r="B344" i="78" s="1"/>
  <c r="B345" i="78" s="1"/>
  <c r="B346" i="78" s="1"/>
  <c r="B347" i="78" s="1"/>
  <c r="B348" i="78" s="1"/>
  <c r="B349" i="78" s="1"/>
  <c r="B350" i="78" s="1"/>
  <c r="B351" i="78" s="1"/>
  <c r="B352" i="78" s="1"/>
  <c r="B353" i="78" s="1"/>
  <c r="B354" i="78" s="1"/>
  <c r="B355" i="78" s="1"/>
  <c r="B356" i="78" s="1"/>
  <c r="B357" i="78" s="1"/>
  <c r="B358" i="78" s="1"/>
  <c r="B359" i="78" s="1"/>
  <c r="B360" i="78" s="1"/>
  <c r="B361" i="78" s="1"/>
  <c r="B362" i="78" s="1"/>
  <c r="B363" i="78" s="1"/>
  <c r="B364" i="78" s="1"/>
  <c r="B365" i="78" s="1"/>
  <c r="B366" i="78" s="1"/>
  <c r="B367" i="78" s="1"/>
  <c r="B368" i="78" s="1"/>
  <c r="B369" i="78" s="1"/>
  <c r="B370" i="78" s="1"/>
  <c r="B371" i="78" s="1"/>
  <c r="B372" i="78" s="1"/>
  <c r="B373" i="78" s="1"/>
  <c r="B374" i="78" s="1"/>
  <c r="B375" i="78" s="1"/>
  <c r="B376" i="78" s="1"/>
  <c r="B377" i="78" s="1"/>
  <c r="B378" i="78" s="1"/>
  <c r="B379" i="78" s="1"/>
  <c r="B380" i="78" s="1"/>
  <c r="B381" i="78" s="1"/>
  <c r="B382" i="78" s="1"/>
  <c r="B383" i="78" s="1"/>
  <c r="B384" i="78" s="1"/>
  <c r="B385" i="78" s="1"/>
  <c r="B386" i="78" s="1"/>
  <c r="B387" i="78" s="1"/>
  <c r="B388" i="78" s="1"/>
  <c r="B389" i="78" s="1"/>
  <c r="B390" i="78" s="1"/>
  <c r="B391" i="78" s="1"/>
  <c r="B392" i="78" s="1"/>
  <c r="B393" i="78" s="1"/>
  <c r="B394" i="78" s="1"/>
  <c r="B395" i="78" s="1"/>
  <c r="B396" i="78" s="1"/>
  <c r="B397" i="78" s="1"/>
  <c r="B398" i="78" s="1"/>
  <c r="B399" i="78" s="1"/>
  <c r="B400" i="78" s="1"/>
  <c r="B401" i="78" s="1"/>
  <c r="B402" i="78" s="1"/>
  <c r="B403" i="78" s="1"/>
  <c r="B404" i="78" s="1"/>
  <c r="B405" i="78" s="1"/>
  <c r="B406" i="78" s="1"/>
  <c r="B407" i="78" s="1"/>
  <c r="B408" i="78" s="1"/>
  <c r="B409" i="78" s="1"/>
  <c r="B410" i="78" s="1"/>
  <c r="B411" i="78" s="1"/>
  <c r="B412" i="78" s="1"/>
  <c r="B413" i="78" s="1"/>
  <c r="B414" i="78" s="1"/>
  <c r="B415" i="78" s="1"/>
  <c r="B416" i="78" s="1"/>
  <c r="B417" i="78" s="1"/>
  <c r="B418" i="78" s="1"/>
  <c r="B419" i="78" s="1"/>
  <c r="B420" i="78" s="1"/>
  <c r="B421" i="78" s="1"/>
  <c r="B422" i="78" s="1"/>
  <c r="B423" i="78" s="1"/>
  <c r="B424" i="78" s="1"/>
  <c r="B425" i="78" s="1"/>
  <c r="B426" i="78" s="1"/>
  <c r="B427" i="78" s="1"/>
  <c r="B428" i="78" s="1"/>
  <c r="B429" i="78" s="1"/>
  <c r="B430" i="78" s="1"/>
  <c r="B431" i="78" s="1"/>
  <c r="B432" i="78" s="1"/>
  <c r="B433" i="78" s="1"/>
  <c r="B434" i="78" s="1"/>
  <c r="B435" i="78" s="1"/>
  <c r="B436" i="78" s="1"/>
  <c r="B437" i="78" s="1"/>
  <c r="B438" i="78" s="1"/>
  <c r="B439" i="78" s="1"/>
  <c r="B440" i="78" s="1"/>
  <c r="B441" i="78" s="1"/>
  <c r="B442" i="78" s="1"/>
  <c r="Q11" i="78"/>
  <c r="N11" i="78"/>
  <c r="N12" i="78" s="1"/>
  <c r="N13" i="78" s="1"/>
  <c r="N14" i="78" s="1"/>
  <c r="N15" i="78" s="1"/>
  <c r="N16" i="78" s="1"/>
  <c r="N17" i="78" s="1"/>
  <c r="N18" i="78" s="1"/>
  <c r="N19" i="78" s="1"/>
  <c r="N20" i="78" s="1"/>
  <c r="N21" i="78" s="1"/>
  <c r="N22" i="78" s="1"/>
  <c r="N23" i="78" s="1"/>
  <c r="N24" i="78" s="1"/>
  <c r="N25" i="78" s="1"/>
  <c r="N26" i="78" s="1"/>
  <c r="N27" i="78" s="1"/>
  <c r="N28" i="78" s="1"/>
  <c r="N29" i="78" s="1"/>
  <c r="N30" i="78" s="1"/>
  <c r="N31" i="78" s="1"/>
  <c r="N32" i="78" s="1"/>
  <c r="N33" i="78" s="1"/>
  <c r="N34" i="78" s="1"/>
  <c r="N35" i="78" s="1"/>
  <c r="N36" i="78" s="1"/>
  <c r="N37" i="78" s="1"/>
  <c r="N38" i="78" s="1"/>
  <c r="N39" i="78" s="1"/>
  <c r="N40" i="78" s="1"/>
  <c r="N41" i="78" s="1"/>
  <c r="N42" i="78" s="1"/>
  <c r="N43" i="78" s="1"/>
  <c r="N44" i="78" s="1"/>
  <c r="N45" i="78" s="1"/>
  <c r="N46" i="78" s="1"/>
  <c r="N47" i="78" s="1"/>
  <c r="N48" i="78" s="1"/>
  <c r="N49" i="78" s="1"/>
  <c r="N50" i="78" s="1"/>
  <c r="N51" i="78" s="1"/>
  <c r="N52" i="78" s="1"/>
  <c r="N53" i="78" s="1"/>
  <c r="N54" i="78" s="1"/>
  <c r="N55" i="78" s="1"/>
  <c r="N56" i="78" s="1"/>
  <c r="N57" i="78" s="1"/>
  <c r="N58" i="78" s="1"/>
  <c r="N59" i="78" s="1"/>
  <c r="N60" i="78" s="1"/>
  <c r="N61" i="78" s="1"/>
  <c r="N62" i="78" s="1"/>
  <c r="N63" i="78" s="1"/>
  <c r="N64" i="78" s="1"/>
  <c r="N65" i="78" s="1"/>
  <c r="N66" i="78" s="1"/>
  <c r="N67" i="78" s="1"/>
  <c r="N68" i="78" s="1"/>
  <c r="N69" i="78" s="1"/>
  <c r="N70" i="78" s="1"/>
  <c r="N71" i="78" s="1"/>
  <c r="N72" i="78" s="1"/>
  <c r="N73" i="78" s="1"/>
  <c r="N74" i="78" s="1"/>
  <c r="N75" i="78" s="1"/>
  <c r="N76" i="78" s="1"/>
  <c r="N77" i="78" s="1"/>
  <c r="N78" i="78" s="1"/>
  <c r="N79" i="78" s="1"/>
  <c r="N80" i="78" s="1"/>
  <c r="N81" i="78" s="1"/>
  <c r="N82" i="78" s="1"/>
  <c r="N83" i="78" s="1"/>
  <c r="N84" i="78" s="1"/>
  <c r="N85" i="78" s="1"/>
  <c r="N86" i="78" s="1"/>
  <c r="N87" i="78" s="1"/>
  <c r="N88" i="78" s="1"/>
  <c r="N89" i="78" s="1"/>
  <c r="N90" i="78" s="1"/>
  <c r="N91" i="78" s="1"/>
  <c r="N92" i="78" s="1"/>
  <c r="N93" i="78" s="1"/>
  <c r="N94" i="78" s="1"/>
  <c r="N95" i="78" s="1"/>
  <c r="N96" i="78" s="1"/>
  <c r="N97" i="78" s="1"/>
  <c r="N98" i="78" s="1"/>
  <c r="N99" i="78" s="1"/>
  <c r="N100" i="78" s="1"/>
  <c r="N101" i="78" s="1"/>
  <c r="N102" i="78" s="1"/>
  <c r="N103" i="78" s="1"/>
  <c r="N104" i="78" s="1"/>
  <c r="N105" i="78" s="1"/>
  <c r="N106" i="78" s="1"/>
  <c r="N107" i="78" s="1"/>
  <c r="N108" i="78" s="1"/>
  <c r="N109" i="78" s="1"/>
  <c r="N110" i="78" s="1"/>
  <c r="N111" i="78" s="1"/>
  <c r="N112" i="78" s="1"/>
  <c r="N113" i="78" s="1"/>
  <c r="N114" i="78" s="1"/>
  <c r="N115" i="78" s="1"/>
  <c r="N116" i="78" s="1"/>
  <c r="N117" i="78" s="1"/>
  <c r="N118" i="78" s="1"/>
  <c r="N119" i="78" s="1"/>
  <c r="N120" i="78" s="1"/>
  <c r="N121" i="78" s="1"/>
  <c r="N122" i="78" s="1"/>
  <c r="N123" i="78" s="1"/>
  <c r="N124" i="78" s="1"/>
  <c r="N125" i="78" s="1"/>
  <c r="N126" i="78" s="1"/>
  <c r="N127" i="78" s="1"/>
  <c r="N128" i="78" s="1"/>
  <c r="N129" i="78" s="1"/>
  <c r="N130" i="78" s="1"/>
  <c r="N131" i="78" s="1"/>
  <c r="N132" i="78" s="1"/>
  <c r="N133" i="78" s="1"/>
  <c r="N134" i="78" s="1"/>
  <c r="N135" i="78" s="1"/>
  <c r="N136" i="78" s="1"/>
  <c r="N137" i="78" s="1"/>
  <c r="N138" i="78" s="1"/>
  <c r="N139" i="78" s="1"/>
  <c r="N140" i="78" s="1"/>
  <c r="N141" i="78" s="1"/>
  <c r="N142" i="78" s="1"/>
  <c r="N143" i="78" s="1"/>
  <c r="N144" i="78" s="1"/>
  <c r="N145" i="78" s="1"/>
  <c r="N146" i="78" s="1"/>
  <c r="N147" i="78" s="1"/>
  <c r="N148" i="78" s="1"/>
  <c r="N149" i="78" s="1"/>
  <c r="N150" i="78" s="1"/>
  <c r="N151" i="78" s="1"/>
  <c r="N152" i="78" s="1"/>
  <c r="N153" i="78" s="1"/>
  <c r="N154" i="78" s="1"/>
  <c r="L11" i="78"/>
  <c r="J11" i="78"/>
  <c r="J12" i="78" s="1"/>
  <c r="J13" i="78" s="1"/>
  <c r="J14" i="78" s="1"/>
  <c r="J15" i="78" s="1"/>
  <c r="J16" i="78" s="1"/>
  <c r="J17" i="78" s="1"/>
  <c r="J18" i="78" s="1"/>
  <c r="J19" i="78" s="1"/>
  <c r="J20" i="78" s="1"/>
  <c r="J21" i="78" s="1"/>
  <c r="J22" i="78" s="1"/>
  <c r="J23" i="78" s="1"/>
  <c r="J24" i="78" s="1"/>
  <c r="J25" i="78" s="1"/>
  <c r="J26" i="78" s="1"/>
  <c r="J27" i="78" s="1"/>
  <c r="J28" i="78" s="1"/>
  <c r="J29" i="78" s="1"/>
  <c r="J30" i="78" s="1"/>
  <c r="J31" i="78" s="1"/>
  <c r="J32" i="78" s="1"/>
  <c r="J33" i="78" s="1"/>
  <c r="J34" i="78" s="1"/>
  <c r="J35" i="78" s="1"/>
  <c r="J36" i="78" s="1"/>
  <c r="J37" i="78" s="1"/>
  <c r="J38" i="78" s="1"/>
  <c r="J39" i="78" s="1"/>
  <c r="J40" i="78" s="1"/>
  <c r="J41" i="78" s="1"/>
  <c r="J42" i="78" s="1"/>
  <c r="J43" i="78" s="1"/>
  <c r="J44" i="78" s="1"/>
  <c r="J45" i="78" s="1"/>
  <c r="J46" i="78" s="1"/>
  <c r="J47" i="78" s="1"/>
  <c r="J48" i="78" s="1"/>
  <c r="J49" i="78" s="1"/>
  <c r="J50" i="78" s="1"/>
  <c r="J51" i="78" s="1"/>
  <c r="J52" i="78" s="1"/>
  <c r="J53" i="78" s="1"/>
  <c r="J54" i="78" s="1"/>
  <c r="J55" i="78" s="1"/>
  <c r="J56" i="78" s="1"/>
  <c r="J57" i="78" s="1"/>
  <c r="J58" i="78" s="1"/>
  <c r="J59" i="78" s="1"/>
  <c r="J60" i="78" s="1"/>
  <c r="J61" i="78" s="1"/>
  <c r="J62" i="78" s="1"/>
  <c r="J63" i="78" s="1"/>
  <c r="J64" i="78" s="1"/>
  <c r="J65" i="78" s="1"/>
  <c r="J66" i="78" s="1"/>
  <c r="J67" i="78" s="1"/>
  <c r="J68" i="78" s="1"/>
  <c r="J69" i="78" s="1"/>
  <c r="J70" i="78" s="1"/>
  <c r="J71" i="78" s="1"/>
  <c r="J72" i="78" s="1"/>
  <c r="J73" i="78" s="1"/>
  <c r="J74" i="78" s="1"/>
  <c r="J75" i="78" s="1"/>
  <c r="J76" i="78" s="1"/>
  <c r="J77" i="78" s="1"/>
  <c r="J78" i="78" s="1"/>
  <c r="J79" i="78" s="1"/>
  <c r="J80" i="78" s="1"/>
  <c r="J81" i="78" s="1"/>
  <c r="J82" i="78" s="1"/>
  <c r="J83" i="78" s="1"/>
  <c r="J84" i="78" s="1"/>
  <c r="J85" i="78" s="1"/>
  <c r="J86" i="78" s="1"/>
  <c r="J87" i="78" s="1"/>
  <c r="J88" i="78" s="1"/>
  <c r="J89" i="78" s="1"/>
  <c r="J90" i="78" s="1"/>
  <c r="J91" i="78" s="1"/>
  <c r="J92" i="78" s="1"/>
  <c r="J93" i="78" s="1"/>
  <c r="J94" i="78" s="1"/>
  <c r="J95" i="78" s="1"/>
  <c r="J96" i="78" s="1"/>
  <c r="J97" i="78" s="1"/>
  <c r="J98" i="78" s="1"/>
  <c r="J99" i="78" s="1"/>
  <c r="J100" i="78" s="1"/>
  <c r="J101" i="78" s="1"/>
  <c r="J102" i="78" s="1"/>
  <c r="J103" i="78" s="1"/>
  <c r="J104" i="78" s="1"/>
  <c r="J105" i="78" s="1"/>
  <c r="J106" i="78" s="1"/>
  <c r="J107" i="78" s="1"/>
  <c r="J108" i="78" s="1"/>
  <c r="J109" i="78" s="1"/>
  <c r="J110" i="78" s="1"/>
  <c r="J111" i="78" s="1"/>
  <c r="J112" i="78" s="1"/>
  <c r="J113" i="78" s="1"/>
  <c r="J114" i="78" s="1"/>
  <c r="J115" i="78" s="1"/>
  <c r="J116" i="78" s="1"/>
  <c r="J117" i="78" s="1"/>
  <c r="J118" i="78" s="1"/>
  <c r="J119" i="78" s="1"/>
  <c r="J120" i="78" s="1"/>
  <c r="J121" i="78" s="1"/>
  <c r="J122" i="78" s="1"/>
  <c r="J123" i="78" s="1"/>
  <c r="J124" i="78" s="1"/>
  <c r="J125" i="78" s="1"/>
  <c r="J126" i="78" s="1"/>
  <c r="J127" i="78" s="1"/>
  <c r="J128" i="78" s="1"/>
  <c r="J129" i="78" s="1"/>
  <c r="J130" i="78" s="1"/>
  <c r="J131" i="78" s="1"/>
  <c r="J132" i="78" s="1"/>
  <c r="J133" i="78" s="1"/>
  <c r="J134" i="78" s="1"/>
  <c r="J135" i="78" s="1"/>
  <c r="J136" i="78" s="1"/>
  <c r="J137" i="78" s="1"/>
  <c r="J138" i="78" s="1"/>
  <c r="J139" i="78" s="1"/>
  <c r="J140" i="78" s="1"/>
  <c r="J141" i="78" s="1"/>
  <c r="J142" i="78" s="1"/>
  <c r="J143" i="78" s="1"/>
  <c r="J144" i="78" s="1"/>
  <c r="J145" i="78" s="1"/>
  <c r="J146" i="78" s="1"/>
  <c r="J147" i="78" s="1"/>
  <c r="J148" i="78" s="1"/>
  <c r="J149" i="78" s="1"/>
  <c r="J150" i="78" s="1"/>
  <c r="J151" i="78" s="1"/>
  <c r="J152" i="78" s="1"/>
  <c r="J153" i="78" s="1"/>
  <c r="J154" i="78" s="1"/>
  <c r="J155" i="78" s="1"/>
  <c r="J156" i="78" s="1"/>
  <c r="J157" i="78" s="1"/>
  <c r="J158" i="78" s="1"/>
  <c r="J159" i="78" s="1"/>
  <c r="J160" i="78" s="1"/>
  <c r="J161" i="78" s="1"/>
  <c r="J162" i="78" s="1"/>
  <c r="J163" i="78" s="1"/>
  <c r="J164" i="78" s="1"/>
  <c r="J165" i="78" s="1"/>
  <c r="J166" i="78" s="1"/>
  <c r="J167" i="78" s="1"/>
  <c r="J168" i="78" s="1"/>
  <c r="J169" i="78" s="1"/>
  <c r="J170" i="78" s="1"/>
  <c r="J171" i="78" s="1"/>
  <c r="J172" i="78" s="1"/>
  <c r="J173" i="78" s="1"/>
  <c r="J174" i="78" s="1"/>
  <c r="J175" i="78" s="1"/>
  <c r="J176" i="78" s="1"/>
  <c r="J177" i="78" s="1"/>
  <c r="J178" i="78" s="1"/>
  <c r="J179" i="78" s="1"/>
  <c r="J180" i="78" s="1"/>
  <c r="J181" i="78" s="1"/>
  <c r="J182" i="78" s="1"/>
  <c r="J183" i="78" s="1"/>
  <c r="J184" i="78" s="1"/>
  <c r="J185" i="78" s="1"/>
  <c r="J186" i="78" s="1"/>
  <c r="J187" i="78" s="1"/>
  <c r="J188" i="78" s="1"/>
  <c r="J189" i="78" s="1"/>
  <c r="J190" i="78" s="1"/>
  <c r="J191" i="78" s="1"/>
  <c r="J192" i="78" s="1"/>
  <c r="J193" i="78" s="1"/>
  <c r="J194" i="78" s="1"/>
  <c r="J195" i="78" s="1"/>
  <c r="J196" i="78" s="1"/>
  <c r="J197" i="78" s="1"/>
  <c r="J198" i="78" s="1"/>
  <c r="J199" i="78" s="1"/>
  <c r="J200" i="78" s="1"/>
  <c r="J201" i="78" s="1"/>
  <c r="J202" i="78" s="1"/>
  <c r="J203" i="78" s="1"/>
  <c r="J204" i="78" s="1"/>
  <c r="J205" i="78" s="1"/>
  <c r="J206" i="78" s="1"/>
  <c r="J207" i="78" s="1"/>
  <c r="J208" i="78" s="1"/>
  <c r="J209" i="78" s="1"/>
  <c r="J210" i="78" s="1"/>
  <c r="J211" i="78" s="1"/>
  <c r="J212" i="78" s="1"/>
  <c r="J213" i="78" s="1"/>
  <c r="J214" i="78" s="1"/>
  <c r="J215" i="78" s="1"/>
  <c r="J216" i="78" s="1"/>
  <c r="J217" i="78" s="1"/>
  <c r="J218" i="78" s="1"/>
  <c r="J219" i="78" s="1"/>
  <c r="J220" i="78" s="1"/>
  <c r="J221" i="78" s="1"/>
  <c r="J222" i="78" s="1"/>
  <c r="J223" i="78" s="1"/>
  <c r="J224" i="78" s="1"/>
  <c r="J225" i="78" s="1"/>
  <c r="J226" i="78" s="1"/>
  <c r="J227" i="78" s="1"/>
  <c r="J228" i="78" s="1"/>
  <c r="J229" i="78" s="1"/>
  <c r="J230" i="78" s="1"/>
  <c r="J231" i="78" s="1"/>
  <c r="J232" i="78" s="1"/>
  <c r="J233" i="78" s="1"/>
  <c r="J234" i="78" s="1"/>
  <c r="J235" i="78" s="1"/>
  <c r="J236" i="78" s="1"/>
  <c r="J237" i="78" s="1"/>
  <c r="J238" i="78" s="1"/>
  <c r="J239" i="78" s="1"/>
  <c r="J240" i="78" s="1"/>
  <c r="J241" i="78" s="1"/>
  <c r="J242" i="78" s="1"/>
  <c r="J243" i="78" s="1"/>
  <c r="J244" i="78" s="1"/>
  <c r="J245" i="78" s="1"/>
  <c r="J246" i="78" s="1"/>
  <c r="J247" i="78" s="1"/>
  <c r="J248" i="78" s="1"/>
  <c r="J249" i="78" s="1"/>
  <c r="J250" i="78" s="1"/>
  <c r="J251" i="78" s="1"/>
  <c r="J252" i="78" s="1"/>
  <c r="J253" i="78" s="1"/>
  <c r="J254" i="78" s="1"/>
  <c r="J255" i="78" s="1"/>
  <c r="J256" i="78" s="1"/>
  <c r="J257" i="78" s="1"/>
  <c r="J258" i="78" s="1"/>
  <c r="J259" i="78" s="1"/>
  <c r="J260" i="78" s="1"/>
  <c r="J261" i="78" s="1"/>
  <c r="J262" i="78" s="1"/>
  <c r="J263" i="78" s="1"/>
  <c r="J264" i="78" s="1"/>
  <c r="J265" i="78" s="1"/>
  <c r="J266" i="78" s="1"/>
  <c r="J267" i="78" s="1"/>
  <c r="J268" i="78" s="1"/>
  <c r="J269" i="78" s="1"/>
  <c r="J270" i="78" s="1"/>
  <c r="J271" i="78" s="1"/>
  <c r="J272" i="78" s="1"/>
  <c r="J273" i="78" s="1"/>
  <c r="J274" i="78" s="1"/>
  <c r="J275" i="78" s="1"/>
  <c r="J276" i="78" s="1"/>
  <c r="J277" i="78" s="1"/>
  <c r="J278" i="78" s="1"/>
  <c r="J279" i="78" s="1"/>
  <c r="J280" i="78" s="1"/>
  <c r="J281" i="78" s="1"/>
  <c r="J282" i="78" s="1"/>
  <c r="J283" i="78" s="1"/>
  <c r="J284" i="78" s="1"/>
  <c r="J285" i="78" s="1"/>
  <c r="J286" i="78" s="1"/>
  <c r="J287" i="78" s="1"/>
  <c r="J288" i="78" s="1"/>
  <c r="J289" i="78" s="1"/>
  <c r="J290" i="78" s="1"/>
  <c r="J291" i="78" s="1"/>
  <c r="J292" i="78" s="1"/>
  <c r="J293" i="78" s="1"/>
  <c r="J294" i="78" s="1"/>
  <c r="J295" i="78" s="1"/>
  <c r="J296" i="78" s="1"/>
  <c r="J297" i="78" s="1"/>
  <c r="J298" i="78" s="1"/>
  <c r="J299" i="78" s="1"/>
  <c r="J300" i="78" s="1"/>
  <c r="J301" i="78" s="1"/>
  <c r="J302" i="78" s="1"/>
  <c r="J303" i="78" s="1"/>
  <c r="J304" i="78" s="1"/>
  <c r="J305" i="78" s="1"/>
  <c r="J306" i="78" s="1"/>
  <c r="J307" i="78" s="1"/>
  <c r="J308" i="78" s="1"/>
  <c r="J309" i="78" s="1"/>
  <c r="J310" i="78" s="1"/>
  <c r="J311" i="78" s="1"/>
  <c r="J312" i="78" s="1"/>
  <c r="J313" i="78" s="1"/>
  <c r="J314" i="78" s="1"/>
  <c r="J315" i="78" s="1"/>
  <c r="J316" i="78" s="1"/>
  <c r="J317" i="78" s="1"/>
  <c r="J318" i="78" s="1"/>
  <c r="J319" i="78" s="1"/>
  <c r="J320" i="78" s="1"/>
  <c r="J321" i="78" s="1"/>
  <c r="J322" i="78" s="1"/>
  <c r="J323" i="78" s="1"/>
  <c r="J324" i="78" s="1"/>
  <c r="J325" i="78" s="1"/>
  <c r="J326" i="78" s="1"/>
  <c r="J327" i="78" s="1"/>
  <c r="J328" i="78" s="1"/>
  <c r="J329" i="78" s="1"/>
  <c r="J330" i="78" s="1"/>
  <c r="J331" i="78" s="1"/>
  <c r="J332" i="78" s="1"/>
  <c r="J333" i="78" s="1"/>
  <c r="J334" i="78" s="1"/>
  <c r="J335" i="78" s="1"/>
  <c r="J336" i="78" s="1"/>
  <c r="J337" i="78" s="1"/>
  <c r="J338" i="78" s="1"/>
  <c r="J339" i="78" s="1"/>
  <c r="J340" i="78" s="1"/>
  <c r="J341" i="78" s="1"/>
  <c r="J342" i="78" s="1"/>
  <c r="J343" i="78" s="1"/>
  <c r="J344" i="78" s="1"/>
  <c r="J345" i="78" s="1"/>
  <c r="J346" i="78" s="1"/>
  <c r="J347" i="78" s="1"/>
  <c r="J348" i="78" s="1"/>
  <c r="J349" i="78" s="1"/>
  <c r="J350" i="78" s="1"/>
  <c r="J351" i="78" s="1"/>
  <c r="J352" i="78" s="1"/>
  <c r="J353" i="78" s="1"/>
  <c r="J354" i="78" s="1"/>
  <c r="J355" i="78" s="1"/>
  <c r="J356" i="78" s="1"/>
  <c r="J357" i="78" s="1"/>
  <c r="J358" i="78" s="1"/>
  <c r="J359" i="78" s="1"/>
  <c r="J360" i="78" s="1"/>
  <c r="J361" i="78" s="1"/>
  <c r="J362" i="78" s="1"/>
  <c r="J363" i="78" s="1"/>
  <c r="J364" i="78" s="1"/>
  <c r="J365" i="78" s="1"/>
  <c r="J366" i="78" s="1"/>
  <c r="J367" i="78" s="1"/>
  <c r="J368" i="78" s="1"/>
  <c r="J369" i="78" s="1"/>
  <c r="J370" i="78" s="1"/>
  <c r="J371" i="78" s="1"/>
  <c r="J372" i="78" s="1"/>
  <c r="J373" i="78" s="1"/>
  <c r="J374" i="78" s="1"/>
  <c r="J375" i="78" s="1"/>
  <c r="J376" i="78" s="1"/>
  <c r="J377" i="78" s="1"/>
  <c r="J378" i="78" s="1"/>
  <c r="J379" i="78" s="1"/>
  <c r="J380" i="78" s="1"/>
  <c r="J381" i="78" s="1"/>
  <c r="J382" i="78" s="1"/>
  <c r="J383" i="78" s="1"/>
  <c r="J384" i="78" s="1"/>
  <c r="J385" i="78" s="1"/>
  <c r="J386" i="78" s="1"/>
  <c r="J387" i="78" s="1"/>
  <c r="J388" i="78" s="1"/>
  <c r="J389" i="78" s="1"/>
  <c r="J390" i="78" s="1"/>
  <c r="J391" i="78" s="1"/>
  <c r="J392" i="78" s="1"/>
  <c r="J393" i="78" s="1"/>
  <c r="J394" i="78" s="1"/>
  <c r="J395" i="78" s="1"/>
  <c r="J396" i="78" s="1"/>
  <c r="J397" i="78" s="1"/>
  <c r="J398" i="78" s="1"/>
  <c r="J399" i="78" s="1"/>
  <c r="J400" i="78" s="1"/>
  <c r="J401" i="78" s="1"/>
  <c r="J402" i="78" s="1"/>
  <c r="J403" i="78" s="1"/>
  <c r="J404" i="78" s="1"/>
  <c r="J405" i="78" s="1"/>
  <c r="J406" i="78" s="1"/>
  <c r="J407" i="78" s="1"/>
  <c r="J408" i="78" s="1"/>
  <c r="J409" i="78" s="1"/>
  <c r="J410" i="78" s="1"/>
  <c r="J411" i="78" s="1"/>
  <c r="J412" i="78" s="1"/>
  <c r="J413" i="78" s="1"/>
  <c r="J414" i="78" s="1"/>
  <c r="J415" i="78" s="1"/>
  <c r="J416" i="78" s="1"/>
  <c r="J417" i="78" s="1"/>
  <c r="J418" i="78" s="1"/>
  <c r="J419" i="78" s="1"/>
  <c r="J420" i="78" s="1"/>
  <c r="J421" i="78" s="1"/>
  <c r="J422" i="78" s="1"/>
  <c r="J423" i="78" s="1"/>
  <c r="J424" i="78" s="1"/>
  <c r="J425" i="78" s="1"/>
  <c r="J426" i="78" s="1"/>
  <c r="J427" i="78" s="1"/>
  <c r="J428" i="78" s="1"/>
  <c r="J429" i="78" s="1"/>
  <c r="J430" i="78" s="1"/>
  <c r="J431" i="78" s="1"/>
  <c r="J432" i="78" s="1"/>
  <c r="J433" i="78" s="1"/>
  <c r="J434" i="78" s="1"/>
  <c r="J435" i="78" s="1"/>
  <c r="J436" i="78" s="1"/>
  <c r="J437" i="78" s="1"/>
  <c r="J438" i="78" s="1"/>
  <c r="J439" i="78" s="1"/>
  <c r="J440" i="78" s="1"/>
  <c r="J441" i="78" s="1"/>
  <c r="J442" i="78" s="1"/>
  <c r="D11" i="78"/>
  <c r="B10" i="78"/>
  <c r="D203" i="77"/>
  <c r="E203" i="77" s="1"/>
  <c r="L298" i="77"/>
  <c r="L297" i="77"/>
  <c r="L296" i="77"/>
  <c r="L295" i="77"/>
  <c r="L294" i="77"/>
  <c r="L293" i="77"/>
  <c r="L292" i="77"/>
  <c r="L291" i="77"/>
  <c r="L290" i="77"/>
  <c r="L289" i="77"/>
  <c r="L288" i="77"/>
  <c r="L287" i="77"/>
  <c r="L286" i="77"/>
  <c r="L285" i="77"/>
  <c r="L284" i="77"/>
  <c r="I284" i="77"/>
  <c r="I285" i="77" s="1"/>
  <c r="I286" i="77" s="1"/>
  <c r="I287" i="77" s="1"/>
  <c r="I288" i="77" s="1"/>
  <c r="I289" i="77" s="1"/>
  <c r="I290" i="77" s="1"/>
  <c r="I291" i="77" s="1"/>
  <c r="I292" i="77" s="1"/>
  <c r="I293" i="77" s="1"/>
  <c r="I294" i="77" s="1"/>
  <c r="I295" i="77" s="1"/>
  <c r="I296" i="77" s="1"/>
  <c r="I297" i="77" s="1"/>
  <c r="I298" i="77" s="1"/>
  <c r="L283" i="77"/>
  <c r="L282" i="77"/>
  <c r="L281" i="77"/>
  <c r="L280" i="77"/>
  <c r="L279" i="77"/>
  <c r="L278" i="77"/>
  <c r="L277" i="77"/>
  <c r="L276" i="77"/>
  <c r="L275" i="77"/>
  <c r="L274" i="77"/>
  <c r="L273" i="77"/>
  <c r="L272" i="77"/>
  <c r="L271" i="77"/>
  <c r="L270" i="77"/>
  <c r="L269" i="77"/>
  <c r="L268" i="77"/>
  <c r="I268" i="77"/>
  <c r="I269" i="77" s="1"/>
  <c r="I270" i="77" s="1"/>
  <c r="I271" i="77" s="1"/>
  <c r="I272" i="77" s="1"/>
  <c r="I273" i="77" s="1"/>
  <c r="I274" i="77" s="1"/>
  <c r="I275" i="77" s="1"/>
  <c r="I276" i="77" s="1"/>
  <c r="I277" i="77" s="1"/>
  <c r="I278" i="77" s="1"/>
  <c r="I279" i="77" s="1"/>
  <c r="I280" i="77" s="1"/>
  <c r="I281" i="77" s="1"/>
  <c r="I282" i="77" s="1"/>
  <c r="L267" i="77"/>
  <c r="L266" i="77"/>
  <c r="L265" i="77"/>
  <c r="L264" i="77"/>
  <c r="L263" i="77"/>
  <c r="L262" i="77"/>
  <c r="L261" i="77"/>
  <c r="L260" i="77"/>
  <c r="L259" i="77"/>
  <c r="M258" i="77"/>
  <c r="M262" i="77" s="1"/>
  <c r="M266" i="77" s="1"/>
  <c r="M270" i="77" s="1"/>
  <c r="M274" i="77" s="1"/>
  <c r="M278" i="77" s="1"/>
  <c r="M282" i="77" s="1"/>
  <c r="M286" i="77" s="1"/>
  <c r="M290" i="77" s="1"/>
  <c r="M294" i="77" s="1"/>
  <c r="M298" i="77" s="1"/>
  <c r="L258" i="77"/>
  <c r="M257" i="77"/>
  <c r="M261" i="77" s="1"/>
  <c r="M265" i="77" s="1"/>
  <c r="M269" i="77" s="1"/>
  <c r="M273" i="77" s="1"/>
  <c r="M277" i="77" s="1"/>
  <c r="M281" i="77" s="1"/>
  <c r="M285" i="77" s="1"/>
  <c r="M289" i="77" s="1"/>
  <c r="M293" i="77" s="1"/>
  <c r="M297" i="77" s="1"/>
  <c r="L257" i="77"/>
  <c r="M256" i="77"/>
  <c r="M260" i="77" s="1"/>
  <c r="M264" i="77" s="1"/>
  <c r="M268" i="77" s="1"/>
  <c r="M272" i="77" s="1"/>
  <c r="M276" i="77" s="1"/>
  <c r="M280" i="77" s="1"/>
  <c r="M284" i="77" s="1"/>
  <c r="M288" i="77" s="1"/>
  <c r="M292" i="77" s="1"/>
  <c r="M296" i="77" s="1"/>
  <c r="L256" i="77"/>
  <c r="M255" i="77"/>
  <c r="M259" i="77" s="1"/>
  <c r="M263" i="77" s="1"/>
  <c r="M267" i="77" s="1"/>
  <c r="M271" i="77" s="1"/>
  <c r="M275" i="77" s="1"/>
  <c r="M279" i="77" s="1"/>
  <c r="M283" i="77" s="1"/>
  <c r="M287" i="77" s="1"/>
  <c r="M291" i="77" s="1"/>
  <c r="M295" i="77" s="1"/>
  <c r="L255" i="77"/>
  <c r="L254" i="77"/>
  <c r="L253" i="77"/>
  <c r="L252" i="77"/>
  <c r="L251" i="77"/>
  <c r="L250" i="77"/>
  <c r="L249" i="77"/>
  <c r="L248" i="77"/>
  <c r="I248" i="77"/>
  <c r="I249" i="77" s="1"/>
  <c r="I250" i="77" s="1"/>
  <c r="I251" i="77" s="1"/>
  <c r="I252" i="77" s="1"/>
  <c r="I253" i="77" s="1"/>
  <c r="I254" i="77" s="1"/>
  <c r="I255" i="77" s="1"/>
  <c r="I256" i="77" s="1"/>
  <c r="I257" i="77" s="1"/>
  <c r="I258" i="77" s="1"/>
  <c r="I259" i="77" s="1"/>
  <c r="I260" i="77" s="1"/>
  <c r="I261" i="77" s="1"/>
  <c r="I262" i="77" s="1"/>
  <c r="I263" i="77" s="1"/>
  <c r="I264" i="77" s="1"/>
  <c r="I265" i="77" s="1"/>
  <c r="I266" i="77" s="1"/>
  <c r="L247" i="77"/>
  <c r="L246" i="77"/>
  <c r="L245" i="77"/>
  <c r="L244" i="77"/>
  <c r="L243" i="77"/>
  <c r="L242" i="77"/>
  <c r="L241" i="77"/>
  <c r="L240" i="77"/>
  <c r="L239" i="77"/>
  <c r="L238" i="77"/>
  <c r="L237" i="77"/>
  <c r="L236" i="77"/>
  <c r="L235" i="77"/>
  <c r="L234" i="77"/>
  <c r="L233" i="77"/>
  <c r="L232" i="77"/>
  <c r="I232" i="77"/>
  <c r="I233" i="77" s="1"/>
  <c r="I234" i="77" s="1"/>
  <c r="I235" i="77" s="1"/>
  <c r="I236" i="77" s="1"/>
  <c r="I237" i="77" s="1"/>
  <c r="I238" i="77" s="1"/>
  <c r="I239" i="77" s="1"/>
  <c r="I240" i="77" s="1"/>
  <c r="I241" i="77" s="1"/>
  <c r="I242" i="77" s="1"/>
  <c r="I243" i="77" s="1"/>
  <c r="I244" i="77" s="1"/>
  <c r="I245" i="77" s="1"/>
  <c r="I246" i="77" s="1"/>
  <c r="L231" i="77"/>
  <c r="L230" i="77"/>
  <c r="L229" i="77"/>
  <c r="L228" i="77"/>
  <c r="L227" i="77"/>
  <c r="L226" i="77"/>
  <c r="L225" i="77"/>
  <c r="L224" i="77"/>
  <c r="L223" i="77"/>
  <c r="L222" i="77"/>
  <c r="L221" i="77"/>
  <c r="L220" i="77"/>
  <c r="L219" i="77"/>
  <c r="L218" i="77"/>
  <c r="L217" i="77"/>
  <c r="L216" i="77"/>
  <c r="L215" i="77"/>
  <c r="M214" i="77"/>
  <c r="M218" i="77" s="1"/>
  <c r="M222" i="77" s="1"/>
  <c r="M226" i="77" s="1"/>
  <c r="M230" i="77" s="1"/>
  <c r="M234" i="77" s="1"/>
  <c r="M238" i="77" s="1"/>
  <c r="M242" i="77" s="1"/>
  <c r="M246" i="77" s="1"/>
  <c r="M250" i="77" s="1"/>
  <c r="L214" i="77"/>
  <c r="L213" i="77"/>
  <c r="L212" i="77"/>
  <c r="I212" i="77"/>
  <c r="I213" i="77" s="1"/>
  <c r="I214" i="77" s="1"/>
  <c r="I215" i="77" s="1"/>
  <c r="I216" i="77" s="1"/>
  <c r="I217" i="77" s="1"/>
  <c r="I218" i="77" s="1"/>
  <c r="I219" i="77" s="1"/>
  <c r="I220" i="77" s="1"/>
  <c r="I221" i="77" s="1"/>
  <c r="I222" i="77" s="1"/>
  <c r="I223" i="77" s="1"/>
  <c r="I224" i="77" s="1"/>
  <c r="I225" i="77" s="1"/>
  <c r="I226" i="77" s="1"/>
  <c r="I227" i="77" s="1"/>
  <c r="I228" i="77" s="1"/>
  <c r="I229" i="77" s="1"/>
  <c r="I230" i="77" s="1"/>
  <c r="L211" i="77"/>
  <c r="M210" i="77"/>
  <c r="L210" i="77"/>
  <c r="M209" i="77"/>
  <c r="M213" i="77" s="1"/>
  <c r="M217" i="77" s="1"/>
  <c r="M221" i="77" s="1"/>
  <c r="M225" i="77" s="1"/>
  <c r="M229" i="77" s="1"/>
  <c r="M233" i="77" s="1"/>
  <c r="M237" i="77" s="1"/>
  <c r="M241" i="77" s="1"/>
  <c r="M245" i="77" s="1"/>
  <c r="M249" i="77" s="1"/>
  <c r="L209" i="77"/>
  <c r="M208" i="77"/>
  <c r="M212" i="77" s="1"/>
  <c r="M216" i="77" s="1"/>
  <c r="M220" i="77" s="1"/>
  <c r="M224" i="77" s="1"/>
  <c r="M228" i="77" s="1"/>
  <c r="M232" i="77" s="1"/>
  <c r="M236" i="77" s="1"/>
  <c r="M240" i="77" s="1"/>
  <c r="M244" i="77" s="1"/>
  <c r="M248" i="77" s="1"/>
  <c r="L208" i="77"/>
  <c r="M207" i="77"/>
  <c r="M211" i="77" s="1"/>
  <c r="M215" i="77" s="1"/>
  <c r="M219" i="77" s="1"/>
  <c r="M223" i="77" s="1"/>
  <c r="M227" i="77" s="1"/>
  <c r="M231" i="77" s="1"/>
  <c r="M235" i="77" s="1"/>
  <c r="M239" i="77" s="1"/>
  <c r="M243" i="77" s="1"/>
  <c r="M247" i="77" s="1"/>
  <c r="L207" i="77"/>
  <c r="L206" i="77"/>
  <c r="L205" i="77"/>
  <c r="L204" i="77"/>
  <c r="L203" i="77"/>
  <c r="M162" i="77"/>
  <c r="M166" i="77" s="1"/>
  <c r="M170" i="77" s="1"/>
  <c r="M174" i="77" s="1"/>
  <c r="M178" i="77" s="1"/>
  <c r="M182" i="77" s="1"/>
  <c r="M186" i="77" s="1"/>
  <c r="M190" i="77" s="1"/>
  <c r="M194" i="77" s="1"/>
  <c r="M198" i="77" s="1"/>
  <c r="M202" i="77" s="1"/>
  <c r="M161" i="77"/>
  <c r="M165" i="77" s="1"/>
  <c r="M169" i="77" s="1"/>
  <c r="M173" i="77" s="1"/>
  <c r="M177" i="77" s="1"/>
  <c r="M181" i="77" s="1"/>
  <c r="M185" i="77" s="1"/>
  <c r="M189" i="77" s="1"/>
  <c r="M193" i="77" s="1"/>
  <c r="M197" i="77" s="1"/>
  <c r="M201" i="77" s="1"/>
  <c r="M160" i="77"/>
  <c r="M164" i="77" s="1"/>
  <c r="M168" i="77" s="1"/>
  <c r="M172" i="77" s="1"/>
  <c r="M176" i="77" s="1"/>
  <c r="M180" i="77" s="1"/>
  <c r="M184" i="77" s="1"/>
  <c r="M188" i="77" s="1"/>
  <c r="M192" i="77" s="1"/>
  <c r="M196" i="77" s="1"/>
  <c r="M200" i="77" s="1"/>
  <c r="M159" i="77"/>
  <c r="M163" i="77" s="1"/>
  <c r="M167" i="77" s="1"/>
  <c r="M171" i="77" s="1"/>
  <c r="M175" i="77" s="1"/>
  <c r="M179" i="77" s="1"/>
  <c r="M183" i="77" s="1"/>
  <c r="M187" i="77" s="1"/>
  <c r="M191" i="77" s="1"/>
  <c r="M195" i="77" s="1"/>
  <c r="M199" i="77" s="1"/>
  <c r="M114" i="77"/>
  <c r="M118" i="77" s="1"/>
  <c r="M122" i="77" s="1"/>
  <c r="M126" i="77" s="1"/>
  <c r="M130" i="77" s="1"/>
  <c r="M134" i="77" s="1"/>
  <c r="M138" i="77" s="1"/>
  <c r="M142" i="77" s="1"/>
  <c r="M146" i="77" s="1"/>
  <c r="M150" i="77" s="1"/>
  <c r="M154" i="77" s="1"/>
  <c r="M113" i="77"/>
  <c r="M117" i="77" s="1"/>
  <c r="M121" i="77" s="1"/>
  <c r="M125" i="77" s="1"/>
  <c r="M129" i="77" s="1"/>
  <c r="M133" i="77" s="1"/>
  <c r="M137" i="77" s="1"/>
  <c r="M141" i="77" s="1"/>
  <c r="M145" i="77" s="1"/>
  <c r="M149" i="77" s="1"/>
  <c r="M153" i="77" s="1"/>
  <c r="M112" i="77"/>
  <c r="M116" i="77" s="1"/>
  <c r="M120" i="77" s="1"/>
  <c r="M124" i="77" s="1"/>
  <c r="M128" i="77" s="1"/>
  <c r="M132" i="77" s="1"/>
  <c r="M136" i="77" s="1"/>
  <c r="M140" i="77" s="1"/>
  <c r="M144" i="77" s="1"/>
  <c r="M148" i="77" s="1"/>
  <c r="M152" i="77" s="1"/>
  <c r="M111" i="77"/>
  <c r="M115" i="77" s="1"/>
  <c r="M119" i="77" s="1"/>
  <c r="M123" i="77" s="1"/>
  <c r="M127" i="77" s="1"/>
  <c r="M131" i="77" s="1"/>
  <c r="M135" i="77" s="1"/>
  <c r="M139" i="77" s="1"/>
  <c r="M143" i="77" s="1"/>
  <c r="M147" i="77" s="1"/>
  <c r="M151" i="77" s="1"/>
  <c r="D107" i="77"/>
  <c r="D108" i="77" s="1"/>
  <c r="E108" i="77" s="1"/>
  <c r="M66" i="77"/>
  <c r="M70" i="77" s="1"/>
  <c r="M74" i="77" s="1"/>
  <c r="M78" i="77" s="1"/>
  <c r="M82" i="77" s="1"/>
  <c r="M86" i="77" s="1"/>
  <c r="M90" i="77" s="1"/>
  <c r="M94" i="77" s="1"/>
  <c r="M98" i="77" s="1"/>
  <c r="M102" i="77" s="1"/>
  <c r="M106" i="77" s="1"/>
  <c r="M65" i="77"/>
  <c r="M69" i="77" s="1"/>
  <c r="M73" i="77" s="1"/>
  <c r="M77" i="77" s="1"/>
  <c r="M81" i="77" s="1"/>
  <c r="M85" i="77" s="1"/>
  <c r="M89" i="77" s="1"/>
  <c r="M93" i="77" s="1"/>
  <c r="M97" i="77" s="1"/>
  <c r="M101" i="77" s="1"/>
  <c r="M105" i="77" s="1"/>
  <c r="M64" i="77"/>
  <c r="M68" i="77" s="1"/>
  <c r="M72" i="77" s="1"/>
  <c r="M76" i="77" s="1"/>
  <c r="M80" i="77" s="1"/>
  <c r="M84" i="77" s="1"/>
  <c r="M88" i="77" s="1"/>
  <c r="M92" i="77" s="1"/>
  <c r="M96" i="77" s="1"/>
  <c r="M100" i="77" s="1"/>
  <c r="M104" i="77" s="1"/>
  <c r="M63" i="77"/>
  <c r="M67" i="77" s="1"/>
  <c r="M71" i="77" s="1"/>
  <c r="M75" i="77" s="1"/>
  <c r="M79" i="77" s="1"/>
  <c r="M83" i="77" s="1"/>
  <c r="M87" i="77" s="1"/>
  <c r="M91" i="77" s="1"/>
  <c r="M95" i="77" s="1"/>
  <c r="M99" i="77" s="1"/>
  <c r="M103" i="77" s="1"/>
  <c r="M16" i="77"/>
  <c r="M20" i="77" s="1"/>
  <c r="M24" i="77" s="1"/>
  <c r="M28" i="77" s="1"/>
  <c r="M32" i="77" s="1"/>
  <c r="M36" i="77" s="1"/>
  <c r="M40" i="77" s="1"/>
  <c r="M44" i="77" s="1"/>
  <c r="M48" i="77" s="1"/>
  <c r="M52" i="77" s="1"/>
  <c r="M56" i="77" s="1"/>
  <c r="M17" i="77"/>
  <c r="M21" i="77" s="1"/>
  <c r="M25" i="77" s="1"/>
  <c r="M29" i="77" s="1"/>
  <c r="M33" i="77" s="1"/>
  <c r="M37" i="77" s="1"/>
  <c r="M41" i="77" s="1"/>
  <c r="M45" i="77" s="1"/>
  <c r="M49" i="77" s="1"/>
  <c r="M53" i="77" s="1"/>
  <c r="M57" i="77" s="1"/>
  <c r="M18" i="77"/>
  <c r="M22" i="77" s="1"/>
  <c r="M26" i="77" s="1"/>
  <c r="M30" i="77" s="1"/>
  <c r="M34" i="77" s="1"/>
  <c r="M38" i="77" s="1"/>
  <c r="M42" i="77" s="1"/>
  <c r="M46" i="77" s="1"/>
  <c r="M50" i="77" s="1"/>
  <c r="M54" i="77" s="1"/>
  <c r="M58" i="77" s="1"/>
  <c r="M15" i="77"/>
  <c r="M19" i="77" s="1"/>
  <c r="M23" i="77" s="1"/>
  <c r="M27" i="77" s="1"/>
  <c r="M31" i="77" s="1"/>
  <c r="M35" i="77" s="1"/>
  <c r="M39" i="77" s="1"/>
  <c r="M43" i="77" s="1"/>
  <c r="M47" i="77" s="1"/>
  <c r="M51" i="77" s="1"/>
  <c r="M55" i="77" s="1"/>
  <c r="L202" i="77"/>
  <c r="L201" i="77"/>
  <c r="L200" i="77"/>
  <c r="L199" i="77"/>
  <c r="L198" i="77"/>
  <c r="L197" i="77"/>
  <c r="L196" i="77"/>
  <c r="L195" i="77"/>
  <c r="L194" i="77"/>
  <c r="L193" i="77"/>
  <c r="L192" i="77"/>
  <c r="L191" i="77"/>
  <c r="L190" i="77"/>
  <c r="L189" i="77"/>
  <c r="L188" i="77"/>
  <c r="I188" i="77"/>
  <c r="I189" i="77" s="1"/>
  <c r="I190" i="77" s="1"/>
  <c r="I191" i="77" s="1"/>
  <c r="I192" i="77" s="1"/>
  <c r="I193" i="77" s="1"/>
  <c r="I194" i="77" s="1"/>
  <c r="I195" i="77" s="1"/>
  <c r="I196" i="77" s="1"/>
  <c r="I197" i="77" s="1"/>
  <c r="I198" i="77" s="1"/>
  <c r="I199" i="77" s="1"/>
  <c r="I200" i="77" s="1"/>
  <c r="I201" i="77" s="1"/>
  <c r="I202" i="77" s="1"/>
  <c r="I203" i="77" s="1"/>
  <c r="I204" i="77" s="1"/>
  <c r="I205" i="77" s="1"/>
  <c r="I206" i="77" s="1"/>
  <c r="I207" i="77" s="1"/>
  <c r="I208" i="77" s="1"/>
  <c r="I209" i="77" s="1"/>
  <c r="I210" i="77" s="1"/>
  <c r="L187" i="77"/>
  <c r="L186" i="77"/>
  <c r="L185" i="77"/>
  <c r="L184" i="77"/>
  <c r="L183" i="77"/>
  <c r="L182" i="77"/>
  <c r="L181" i="77"/>
  <c r="L180" i="77"/>
  <c r="L179" i="77"/>
  <c r="L178" i="77"/>
  <c r="L177" i="77"/>
  <c r="L176" i="77"/>
  <c r="L175" i="77"/>
  <c r="L174" i="77"/>
  <c r="L173" i="77"/>
  <c r="L172" i="77"/>
  <c r="I172" i="77"/>
  <c r="I173" i="77" s="1"/>
  <c r="I174" i="77" s="1"/>
  <c r="I175" i="77" s="1"/>
  <c r="I176" i="77" s="1"/>
  <c r="I177" i="77" s="1"/>
  <c r="I178" i="77" s="1"/>
  <c r="I179" i="77" s="1"/>
  <c r="I180" i="77" s="1"/>
  <c r="I181" i="77" s="1"/>
  <c r="I182" i="77" s="1"/>
  <c r="I183" i="77" s="1"/>
  <c r="I184" i="77" s="1"/>
  <c r="I185" i="77" s="1"/>
  <c r="I186" i="77" s="1"/>
  <c r="L171" i="77"/>
  <c r="L170" i="77"/>
  <c r="L169" i="77"/>
  <c r="L168" i="77"/>
  <c r="L167" i="77"/>
  <c r="L166" i="77"/>
  <c r="L165" i="77"/>
  <c r="L164" i="77"/>
  <c r="L163" i="77"/>
  <c r="L162" i="77"/>
  <c r="L161" i="77"/>
  <c r="L160" i="77"/>
  <c r="L159" i="77"/>
  <c r="L158" i="77"/>
  <c r="L157" i="77"/>
  <c r="L156" i="77"/>
  <c r="L155" i="77"/>
  <c r="L154" i="77"/>
  <c r="L153" i="77"/>
  <c r="L152" i="77"/>
  <c r="I152" i="77"/>
  <c r="I153" i="77" s="1"/>
  <c r="I154" i="77" s="1"/>
  <c r="I155" i="77" s="1"/>
  <c r="I156" i="77" s="1"/>
  <c r="I157" i="77" s="1"/>
  <c r="I158" i="77" s="1"/>
  <c r="I159" i="77" s="1"/>
  <c r="I160" i="77" s="1"/>
  <c r="I161" i="77" s="1"/>
  <c r="I162" i="77" s="1"/>
  <c r="I163" i="77" s="1"/>
  <c r="I164" i="77" s="1"/>
  <c r="I165" i="77" s="1"/>
  <c r="I166" i="77" s="1"/>
  <c r="I167" i="77" s="1"/>
  <c r="I168" i="77" s="1"/>
  <c r="I169" i="77" s="1"/>
  <c r="I170" i="77" s="1"/>
  <c r="L151" i="77"/>
  <c r="L150" i="77"/>
  <c r="L149" i="77"/>
  <c r="L148" i="77"/>
  <c r="L147" i="77"/>
  <c r="L146" i="77"/>
  <c r="L145" i="77"/>
  <c r="L144" i="77"/>
  <c r="L143" i="77"/>
  <c r="L142" i="77"/>
  <c r="L141" i="77"/>
  <c r="L140" i="77"/>
  <c r="L139" i="77"/>
  <c r="L138" i="77"/>
  <c r="L137" i="77"/>
  <c r="L136" i="77"/>
  <c r="I136" i="77"/>
  <c r="I137" i="77" s="1"/>
  <c r="I138" i="77" s="1"/>
  <c r="I139" i="77" s="1"/>
  <c r="I140" i="77" s="1"/>
  <c r="I141" i="77" s="1"/>
  <c r="I142" i="77" s="1"/>
  <c r="I143" i="77" s="1"/>
  <c r="I144" i="77" s="1"/>
  <c r="I145" i="77" s="1"/>
  <c r="I146" i="77" s="1"/>
  <c r="I147" i="77" s="1"/>
  <c r="I148" i="77" s="1"/>
  <c r="I149" i="77" s="1"/>
  <c r="I150" i="77" s="1"/>
  <c r="L135" i="77"/>
  <c r="L134" i="77"/>
  <c r="L133" i="77"/>
  <c r="L132" i="77"/>
  <c r="L131" i="77"/>
  <c r="L130" i="77"/>
  <c r="L129" i="77"/>
  <c r="L128" i="77"/>
  <c r="L127" i="77"/>
  <c r="L126" i="77"/>
  <c r="L125" i="77"/>
  <c r="L124" i="77"/>
  <c r="L123" i="77"/>
  <c r="L122" i="77"/>
  <c r="L121" i="77"/>
  <c r="L120" i="77"/>
  <c r="L119" i="77"/>
  <c r="L118" i="77"/>
  <c r="L117" i="77"/>
  <c r="L116" i="77"/>
  <c r="I116" i="77"/>
  <c r="I117" i="77" s="1"/>
  <c r="I118" i="77" s="1"/>
  <c r="I119" i="77" s="1"/>
  <c r="I120" i="77" s="1"/>
  <c r="I121" i="77" s="1"/>
  <c r="I122" i="77" s="1"/>
  <c r="I123" i="77" s="1"/>
  <c r="I124" i="77" s="1"/>
  <c r="I125" i="77" s="1"/>
  <c r="I126" i="77" s="1"/>
  <c r="I127" i="77" s="1"/>
  <c r="I128" i="77" s="1"/>
  <c r="I129" i="77" s="1"/>
  <c r="I130" i="77" s="1"/>
  <c r="I131" i="77" s="1"/>
  <c r="I132" i="77" s="1"/>
  <c r="I133" i="77" s="1"/>
  <c r="I134" i="77" s="1"/>
  <c r="L115" i="77"/>
  <c r="L114" i="77"/>
  <c r="L113" i="77"/>
  <c r="L112" i="77"/>
  <c r="L111" i="77"/>
  <c r="L110" i="77"/>
  <c r="L109" i="77"/>
  <c r="L108" i="77"/>
  <c r="L107" i="77"/>
  <c r="L106" i="77"/>
  <c r="L105" i="77"/>
  <c r="L104" i="77"/>
  <c r="L103" i="77"/>
  <c r="L102" i="77"/>
  <c r="L101" i="77"/>
  <c r="L100" i="77"/>
  <c r="I100" i="77"/>
  <c r="I101" i="77" s="1"/>
  <c r="I102" i="77" s="1"/>
  <c r="I103" i="77" s="1"/>
  <c r="I104" i="77" s="1"/>
  <c r="I105" i="77" s="1"/>
  <c r="I106" i="77" s="1"/>
  <c r="I107" i="77" s="1"/>
  <c r="I108" i="77" s="1"/>
  <c r="I109" i="77" s="1"/>
  <c r="I110" i="77" s="1"/>
  <c r="I111" i="77" s="1"/>
  <c r="I112" i="77" s="1"/>
  <c r="I113" i="77" s="1"/>
  <c r="I114" i="77" s="1"/>
  <c r="L99" i="77"/>
  <c r="L98" i="77"/>
  <c r="L97" i="77"/>
  <c r="L96" i="77"/>
  <c r="L95" i="77"/>
  <c r="L94" i="77"/>
  <c r="L93" i="77"/>
  <c r="L92" i="77"/>
  <c r="L91" i="77"/>
  <c r="L90" i="77"/>
  <c r="L89" i="77"/>
  <c r="L88" i="77"/>
  <c r="L87" i="77"/>
  <c r="L86" i="77"/>
  <c r="L85" i="77"/>
  <c r="L84" i="77"/>
  <c r="I84" i="77"/>
  <c r="I85" i="77" s="1"/>
  <c r="I86" i="77" s="1"/>
  <c r="I87" i="77" s="1"/>
  <c r="I88" i="77" s="1"/>
  <c r="I89" i="77" s="1"/>
  <c r="I90" i="77" s="1"/>
  <c r="I91" i="77" s="1"/>
  <c r="I92" i="77" s="1"/>
  <c r="I93" i="77" s="1"/>
  <c r="I94" i="77" s="1"/>
  <c r="I95" i="77" s="1"/>
  <c r="I96" i="77" s="1"/>
  <c r="I97" i="77" s="1"/>
  <c r="I98" i="77" s="1"/>
  <c r="L83" i="77"/>
  <c r="L82" i="77"/>
  <c r="L81" i="77"/>
  <c r="L80" i="77"/>
  <c r="I80" i="77"/>
  <c r="I81" i="77" s="1"/>
  <c r="I82" i="77" s="1"/>
  <c r="L79" i="77"/>
  <c r="L78" i="77"/>
  <c r="L77" i="77"/>
  <c r="L76" i="77"/>
  <c r="L75" i="77"/>
  <c r="L74" i="77"/>
  <c r="L73" i="77"/>
  <c r="L72" i="77"/>
  <c r="L71" i="77"/>
  <c r="L70" i="77"/>
  <c r="L69" i="77"/>
  <c r="L68" i="77"/>
  <c r="I68" i="77"/>
  <c r="I69" i="77" s="1"/>
  <c r="I70" i="77" s="1"/>
  <c r="I71" i="77" s="1"/>
  <c r="I72" i="77" s="1"/>
  <c r="I73" i="77" s="1"/>
  <c r="I74" i="77" s="1"/>
  <c r="I75" i="77" s="1"/>
  <c r="I76" i="77" s="1"/>
  <c r="I77" i="77" s="1"/>
  <c r="I78" i="77" s="1"/>
  <c r="L67" i="77"/>
  <c r="L66" i="77"/>
  <c r="L65" i="77"/>
  <c r="L64" i="77"/>
  <c r="I64" i="77"/>
  <c r="I65" i="77" s="1"/>
  <c r="I66" i="77" s="1"/>
  <c r="I67" i="77" s="1"/>
  <c r="L63" i="77"/>
  <c r="L62" i="77"/>
  <c r="L61" i="77"/>
  <c r="L60" i="77"/>
  <c r="L59" i="77"/>
  <c r="L58" i="77"/>
  <c r="L57" i="77"/>
  <c r="L56" i="77"/>
  <c r="L55" i="77"/>
  <c r="L54" i="77"/>
  <c r="L53" i="77"/>
  <c r="L52" i="77"/>
  <c r="L51" i="77"/>
  <c r="L50" i="77"/>
  <c r="L49" i="77"/>
  <c r="L48" i="77"/>
  <c r="L47" i="77"/>
  <c r="L46" i="77"/>
  <c r="L45" i="77"/>
  <c r="L44" i="77"/>
  <c r="I44" i="77"/>
  <c r="I45" i="77" s="1"/>
  <c r="I46" i="77" s="1"/>
  <c r="I47" i="77" s="1"/>
  <c r="I48" i="77" s="1"/>
  <c r="I49" i="77" s="1"/>
  <c r="I50" i="77" s="1"/>
  <c r="I51" i="77" s="1"/>
  <c r="I52" i="77" s="1"/>
  <c r="I53" i="77" s="1"/>
  <c r="I54" i="77" s="1"/>
  <c r="I55" i="77" s="1"/>
  <c r="I56" i="77" s="1"/>
  <c r="I57" i="77" s="1"/>
  <c r="I58" i="77" s="1"/>
  <c r="I59" i="77" s="1"/>
  <c r="I60" i="77" s="1"/>
  <c r="I61" i="77" s="1"/>
  <c r="I62" i="77" s="1"/>
  <c r="L43" i="77"/>
  <c r="L42" i="77"/>
  <c r="L41" i="77"/>
  <c r="L40" i="77"/>
  <c r="L39" i="77"/>
  <c r="L38" i="77"/>
  <c r="L37" i="77"/>
  <c r="L36" i="77"/>
  <c r="L35" i="77"/>
  <c r="L34" i="77"/>
  <c r="L33" i="77"/>
  <c r="L32" i="77"/>
  <c r="L31" i="77"/>
  <c r="L30" i="77"/>
  <c r="L29" i="77"/>
  <c r="L28" i="77"/>
  <c r="I28" i="77"/>
  <c r="I29" i="77" s="1"/>
  <c r="I30" i="77" s="1"/>
  <c r="I31" i="77" s="1"/>
  <c r="I32" i="77" s="1"/>
  <c r="I33" i="77" s="1"/>
  <c r="I34" i="77" s="1"/>
  <c r="I35" i="77" s="1"/>
  <c r="I36" i="77" s="1"/>
  <c r="I37" i="77" s="1"/>
  <c r="I38" i="77" s="1"/>
  <c r="I39" i="77" s="1"/>
  <c r="I40" i="77" s="1"/>
  <c r="I41" i="77" s="1"/>
  <c r="I42" i="77" s="1"/>
  <c r="L27" i="77"/>
  <c r="L26" i="77"/>
  <c r="L25" i="77"/>
  <c r="L24" i="77"/>
  <c r="L23" i="77"/>
  <c r="L22" i="77"/>
  <c r="L21" i="77"/>
  <c r="L20" i="77"/>
  <c r="L19" i="77"/>
  <c r="L18" i="77"/>
  <c r="L17" i="77"/>
  <c r="L16" i="77"/>
  <c r="L15" i="77"/>
  <c r="L14" i="77"/>
  <c r="L13" i="77"/>
  <c r="L12" i="77"/>
  <c r="I12" i="77"/>
  <c r="I13" i="77" s="1"/>
  <c r="I14" i="77" s="1"/>
  <c r="I15" i="77" s="1"/>
  <c r="I16" i="77" s="1"/>
  <c r="I17" i="77" s="1"/>
  <c r="I18" i="77" s="1"/>
  <c r="I19" i="77" s="1"/>
  <c r="I20" i="77" s="1"/>
  <c r="I21" i="77" s="1"/>
  <c r="I22" i="77" s="1"/>
  <c r="I23" i="77" s="1"/>
  <c r="I24" i="77" s="1"/>
  <c r="I25" i="77" s="1"/>
  <c r="I26" i="77" s="1"/>
  <c r="B12" i="77"/>
  <c r="B13" i="77" s="1"/>
  <c r="B14" i="77" s="1"/>
  <c r="B15" i="77" s="1"/>
  <c r="B16" i="77" s="1"/>
  <c r="B17" i="77" s="1"/>
  <c r="B18" i="77" s="1"/>
  <c r="B19" i="77" s="1"/>
  <c r="B20" i="77" s="1"/>
  <c r="B21" i="77" s="1"/>
  <c r="B22" i="77" s="1"/>
  <c r="B23" i="77" s="1"/>
  <c r="B24" i="77" s="1"/>
  <c r="B25" i="77" s="1"/>
  <c r="B26" i="77" s="1"/>
  <c r="B27" i="77" s="1"/>
  <c r="B28" i="77" s="1"/>
  <c r="B29" i="77" s="1"/>
  <c r="B30" i="77" s="1"/>
  <c r="B31" i="77" s="1"/>
  <c r="B32" i="77" s="1"/>
  <c r="B33" i="77" s="1"/>
  <c r="B34" i="77" s="1"/>
  <c r="B35" i="77" s="1"/>
  <c r="B36" i="77" s="1"/>
  <c r="B37" i="77" s="1"/>
  <c r="B38" i="77" s="1"/>
  <c r="B39" i="77" s="1"/>
  <c r="B40" i="77" s="1"/>
  <c r="B41" i="77" s="1"/>
  <c r="B42" i="77" s="1"/>
  <c r="B43" i="77" s="1"/>
  <c r="B44" i="77" s="1"/>
  <c r="B45" i="77" s="1"/>
  <c r="B46" i="77" s="1"/>
  <c r="B47" i="77" s="1"/>
  <c r="B48" i="77" s="1"/>
  <c r="B49" i="77" s="1"/>
  <c r="B50" i="77" s="1"/>
  <c r="B51" i="77" s="1"/>
  <c r="B52" i="77" s="1"/>
  <c r="B53" i="77" s="1"/>
  <c r="B54" i="77" s="1"/>
  <c r="B55" i="77" s="1"/>
  <c r="B56" i="77" s="1"/>
  <c r="B57" i="77" s="1"/>
  <c r="B58" i="77" s="1"/>
  <c r="B59" i="77" s="1"/>
  <c r="B60" i="77" s="1"/>
  <c r="B61" i="77" s="1"/>
  <c r="B62" i="77" s="1"/>
  <c r="B63" i="77" s="1"/>
  <c r="B64" i="77" s="1"/>
  <c r="B65" i="77" s="1"/>
  <c r="B66" i="77" s="1"/>
  <c r="B67" i="77" s="1"/>
  <c r="B68" i="77" s="1"/>
  <c r="B69" i="77" s="1"/>
  <c r="B70" i="77" s="1"/>
  <c r="B71" i="77" s="1"/>
  <c r="B72" i="77" s="1"/>
  <c r="B73" i="77" s="1"/>
  <c r="B74" i="77" s="1"/>
  <c r="B75" i="77" s="1"/>
  <c r="B76" i="77" s="1"/>
  <c r="B77" i="77" s="1"/>
  <c r="B78" i="77" s="1"/>
  <c r="B79" i="77" s="1"/>
  <c r="B80" i="77" s="1"/>
  <c r="B81" i="77" s="1"/>
  <c r="B82" i="77" s="1"/>
  <c r="B83" i="77" s="1"/>
  <c r="B84" i="77" s="1"/>
  <c r="B85" i="77" s="1"/>
  <c r="B86" i="77" s="1"/>
  <c r="B87" i="77" s="1"/>
  <c r="B88" i="77" s="1"/>
  <c r="B89" i="77" s="1"/>
  <c r="B90" i="77" s="1"/>
  <c r="B91" i="77" s="1"/>
  <c r="B92" i="77" s="1"/>
  <c r="B93" i="77" s="1"/>
  <c r="B94" i="77" s="1"/>
  <c r="B95" i="77" s="1"/>
  <c r="B96" i="77" s="1"/>
  <c r="B97" i="77" s="1"/>
  <c r="B98" i="77" s="1"/>
  <c r="B99" i="77" s="1"/>
  <c r="B100" i="77" s="1"/>
  <c r="B101" i="77" s="1"/>
  <c r="B102" i="77" s="1"/>
  <c r="B103" i="77" s="1"/>
  <c r="B104" i="77" s="1"/>
  <c r="B105" i="77" s="1"/>
  <c r="B106" i="77" s="1"/>
  <c r="B107" i="77" s="1"/>
  <c r="B108" i="77" s="1"/>
  <c r="B109" i="77" s="1"/>
  <c r="B110" i="77" s="1"/>
  <c r="B111" i="77" s="1"/>
  <c r="B112" i="77" s="1"/>
  <c r="B113" i="77" s="1"/>
  <c r="B114" i="77" s="1"/>
  <c r="B115" i="77" s="1"/>
  <c r="B116" i="77" s="1"/>
  <c r="B117" i="77" s="1"/>
  <c r="B118" i="77" s="1"/>
  <c r="B119" i="77" s="1"/>
  <c r="B120" i="77" s="1"/>
  <c r="B121" i="77" s="1"/>
  <c r="B122" i="77" s="1"/>
  <c r="B123" i="77" s="1"/>
  <c r="B124" i="77" s="1"/>
  <c r="B125" i="77" s="1"/>
  <c r="B126" i="77" s="1"/>
  <c r="B127" i="77" s="1"/>
  <c r="B128" i="77" s="1"/>
  <c r="B129" i="77" s="1"/>
  <c r="B130" i="77" s="1"/>
  <c r="B131" i="77" s="1"/>
  <c r="B132" i="77" s="1"/>
  <c r="B133" i="77" s="1"/>
  <c r="B134" i="77" s="1"/>
  <c r="B135" i="77" s="1"/>
  <c r="B136" i="77" s="1"/>
  <c r="B137" i="77" s="1"/>
  <c r="B138" i="77" s="1"/>
  <c r="B139" i="77" s="1"/>
  <c r="B140" i="77" s="1"/>
  <c r="B141" i="77" s="1"/>
  <c r="B142" i="77" s="1"/>
  <c r="B143" i="77" s="1"/>
  <c r="B144" i="77" s="1"/>
  <c r="B145" i="77" s="1"/>
  <c r="B146" i="77" s="1"/>
  <c r="B147" i="77" s="1"/>
  <c r="B148" i="77" s="1"/>
  <c r="B149" i="77" s="1"/>
  <c r="B150" i="77" s="1"/>
  <c r="B151" i="77" s="1"/>
  <c r="B152" i="77" s="1"/>
  <c r="B153" i="77" s="1"/>
  <c r="B154" i="77" s="1"/>
  <c r="B155" i="77" s="1"/>
  <c r="B156" i="77" s="1"/>
  <c r="B157" i="77" s="1"/>
  <c r="B158" i="77" s="1"/>
  <c r="B159" i="77" s="1"/>
  <c r="B160" i="77" s="1"/>
  <c r="B161" i="77" s="1"/>
  <c r="B162" i="77" s="1"/>
  <c r="B163" i="77" s="1"/>
  <c r="B164" i="77" s="1"/>
  <c r="B165" i="77" s="1"/>
  <c r="B166" i="77" s="1"/>
  <c r="B167" i="77" s="1"/>
  <c r="B168" i="77" s="1"/>
  <c r="B169" i="77" s="1"/>
  <c r="B170" i="77" s="1"/>
  <c r="B171" i="77" s="1"/>
  <c r="B172" i="77" s="1"/>
  <c r="B173" i="77" s="1"/>
  <c r="B174" i="77" s="1"/>
  <c r="B175" i="77" s="1"/>
  <c r="B176" i="77" s="1"/>
  <c r="B177" i="77" s="1"/>
  <c r="B178" i="77" s="1"/>
  <c r="B179" i="77" s="1"/>
  <c r="B180" i="77" s="1"/>
  <c r="B181" i="77" s="1"/>
  <c r="B182" i="77" s="1"/>
  <c r="B183" i="77" s="1"/>
  <c r="B184" i="77" s="1"/>
  <c r="B185" i="77" s="1"/>
  <c r="B186" i="77" s="1"/>
  <c r="B187" i="77" s="1"/>
  <c r="B188" i="77" s="1"/>
  <c r="B189" i="77" s="1"/>
  <c r="B190" i="77" s="1"/>
  <c r="B191" i="77" s="1"/>
  <c r="B192" i="77" s="1"/>
  <c r="B193" i="77" s="1"/>
  <c r="B194" i="77" s="1"/>
  <c r="B195" i="77" s="1"/>
  <c r="B196" i="77" s="1"/>
  <c r="B197" i="77" s="1"/>
  <c r="B198" i="77" s="1"/>
  <c r="B199" i="77" s="1"/>
  <c r="B200" i="77" s="1"/>
  <c r="B201" i="77" s="1"/>
  <c r="B202" i="77" s="1"/>
  <c r="B203" i="77" s="1"/>
  <c r="B204" i="77" s="1"/>
  <c r="B205" i="77" s="1"/>
  <c r="B206" i="77" s="1"/>
  <c r="B207" i="77" s="1"/>
  <c r="B208" i="77" s="1"/>
  <c r="B209" i="77" s="1"/>
  <c r="B210" i="77" s="1"/>
  <c r="B211" i="77" s="1"/>
  <c r="B212" i="77" s="1"/>
  <c r="B213" i="77" s="1"/>
  <c r="B214" i="77" s="1"/>
  <c r="B215" i="77" s="1"/>
  <c r="B216" i="77" s="1"/>
  <c r="B217" i="77" s="1"/>
  <c r="B218" i="77" s="1"/>
  <c r="B219" i="77" s="1"/>
  <c r="B220" i="77" s="1"/>
  <c r="B221" i="77" s="1"/>
  <c r="B222" i="77" s="1"/>
  <c r="B223" i="77" s="1"/>
  <c r="B224" i="77" s="1"/>
  <c r="B225" i="77" s="1"/>
  <c r="B226" i="77" s="1"/>
  <c r="B227" i="77" s="1"/>
  <c r="B228" i="77" s="1"/>
  <c r="B229" i="77" s="1"/>
  <c r="B230" i="77" s="1"/>
  <c r="B231" i="77" s="1"/>
  <c r="B232" i="77" s="1"/>
  <c r="B233" i="77" s="1"/>
  <c r="B234" i="77" s="1"/>
  <c r="B235" i="77" s="1"/>
  <c r="B236" i="77" s="1"/>
  <c r="B237" i="77" s="1"/>
  <c r="B238" i="77" s="1"/>
  <c r="B239" i="77" s="1"/>
  <c r="B240" i="77" s="1"/>
  <c r="B241" i="77" s="1"/>
  <c r="B242" i="77" s="1"/>
  <c r="B243" i="77" s="1"/>
  <c r="B244" i="77" s="1"/>
  <c r="B245" i="77" s="1"/>
  <c r="B246" i="77" s="1"/>
  <c r="B247" i="77" s="1"/>
  <c r="B248" i="77" s="1"/>
  <c r="B249" i="77" s="1"/>
  <c r="B250" i="77" s="1"/>
  <c r="B251" i="77" s="1"/>
  <c r="B252" i="77" s="1"/>
  <c r="B253" i="77" s="1"/>
  <c r="B254" i="77" s="1"/>
  <c r="B255" i="77" s="1"/>
  <c r="B256" i="77" s="1"/>
  <c r="B257" i="77" s="1"/>
  <c r="B258" i="77" s="1"/>
  <c r="B259" i="77" s="1"/>
  <c r="B260" i="77" s="1"/>
  <c r="B261" i="77" s="1"/>
  <c r="B262" i="77" s="1"/>
  <c r="B263" i="77" s="1"/>
  <c r="B264" i="77" s="1"/>
  <c r="B265" i="77" s="1"/>
  <c r="B266" i="77" s="1"/>
  <c r="B267" i="77" s="1"/>
  <c r="B268" i="77" s="1"/>
  <c r="B269" i="77" s="1"/>
  <c r="B270" i="77" s="1"/>
  <c r="B271" i="77" s="1"/>
  <c r="B272" i="77" s="1"/>
  <c r="B273" i="77" s="1"/>
  <c r="B274" i="77" s="1"/>
  <c r="B275" i="77" s="1"/>
  <c r="B276" i="77" s="1"/>
  <c r="B277" i="77" s="1"/>
  <c r="B278" i="77" s="1"/>
  <c r="B279" i="77" s="1"/>
  <c r="B280" i="77" s="1"/>
  <c r="B281" i="77" s="1"/>
  <c r="B282" i="77" s="1"/>
  <c r="B283" i="77" s="1"/>
  <c r="B284" i="77" s="1"/>
  <c r="B285" i="77" s="1"/>
  <c r="B286" i="77" s="1"/>
  <c r="B287" i="77" s="1"/>
  <c r="B288" i="77" s="1"/>
  <c r="B289" i="77" s="1"/>
  <c r="B290" i="77" s="1"/>
  <c r="B291" i="77" s="1"/>
  <c r="B292" i="77" s="1"/>
  <c r="B293" i="77" s="1"/>
  <c r="B294" i="77" s="1"/>
  <c r="B295" i="77" s="1"/>
  <c r="B296" i="77" s="1"/>
  <c r="B297" i="77" s="1"/>
  <c r="B298" i="77" s="1"/>
  <c r="P11" i="77"/>
  <c r="P12" i="77" s="1"/>
  <c r="P13" i="77" s="1"/>
  <c r="P14" i="77" s="1"/>
  <c r="P15" i="77" s="1"/>
  <c r="P16" i="77" s="1"/>
  <c r="P17" i="77" s="1"/>
  <c r="P18" i="77" s="1"/>
  <c r="P19" i="77" s="1"/>
  <c r="P20" i="77" s="1"/>
  <c r="P21" i="77" s="1"/>
  <c r="P22" i="77" s="1"/>
  <c r="P23" i="77" s="1"/>
  <c r="P24" i="77" s="1"/>
  <c r="P25" i="77" s="1"/>
  <c r="P26" i="77" s="1"/>
  <c r="P27" i="77" s="1"/>
  <c r="P28" i="77" s="1"/>
  <c r="P29" i="77" s="1"/>
  <c r="P30" i="77" s="1"/>
  <c r="P31" i="77" s="1"/>
  <c r="P32" i="77" s="1"/>
  <c r="P33" i="77" s="1"/>
  <c r="P34" i="77" s="1"/>
  <c r="P35" i="77" s="1"/>
  <c r="P36" i="77" s="1"/>
  <c r="P37" i="77" s="1"/>
  <c r="P38" i="77" s="1"/>
  <c r="P39" i="77" s="1"/>
  <c r="P40" i="77" s="1"/>
  <c r="P41" i="77" s="1"/>
  <c r="P42" i="77" s="1"/>
  <c r="P43" i="77" s="1"/>
  <c r="P44" i="77" s="1"/>
  <c r="P45" i="77" s="1"/>
  <c r="P46" i="77" s="1"/>
  <c r="P47" i="77" s="1"/>
  <c r="P48" i="77" s="1"/>
  <c r="P49" i="77" s="1"/>
  <c r="P50" i="77" s="1"/>
  <c r="P51" i="77" s="1"/>
  <c r="P52" i="77" s="1"/>
  <c r="P53" i="77" s="1"/>
  <c r="P54" i="77" s="1"/>
  <c r="P55" i="77" s="1"/>
  <c r="P56" i="77" s="1"/>
  <c r="P57" i="77" s="1"/>
  <c r="P58" i="77" s="1"/>
  <c r="P59" i="77" s="1"/>
  <c r="P60" i="77" s="1"/>
  <c r="P61" i="77" s="1"/>
  <c r="P62" i="77" s="1"/>
  <c r="P63" i="77" s="1"/>
  <c r="P64" i="77" s="1"/>
  <c r="P65" i="77" s="1"/>
  <c r="P66" i="77" s="1"/>
  <c r="P67" i="77" s="1"/>
  <c r="P68" i="77" s="1"/>
  <c r="P69" i="77" s="1"/>
  <c r="P70" i="77" s="1"/>
  <c r="P71" i="77" s="1"/>
  <c r="P72" i="77" s="1"/>
  <c r="P73" i="77" s="1"/>
  <c r="P74" i="77" s="1"/>
  <c r="P75" i="77" s="1"/>
  <c r="P76" i="77" s="1"/>
  <c r="P77" i="77" s="1"/>
  <c r="P78" i="77" s="1"/>
  <c r="P79" i="77" s="1"/>
  <c r="P80" i="77" s="1"/>
  <c r="P81" i="77" s="1"/>
  <c r="P82" i="77" s="1"/>
  <c r="P83" i="77" s="1"/>
  <c r="P84" i="77" s="1"/>
  <c r="P85" i="77" s="1"/>
  <c r="P86" i="77" s="1"/>
  <c r="P87" i="77" s="1"/>
  <c r="P88" i="77" s="1"/>
  <c r="P89" i="77" s="1"/>
  <c r="P90" i="77" s="1"/>
  <c r="P91" i="77" s="1"/>
  <c r="P92" i="77" s="1"/>
  <c r="P93" i="77" s="1"/>
  <c r="P94" i="77" s="1"/>
  <c r="P95" i="77" s="1"/>
  <c r="P96" i="77" s="1"/>
  <c r="P97" i="77" s="1"/>
  <c r="P98" i="77" s="1"/>
  <c r="P99" i="77" s="1"/>
  <c r="P100" i="77" s="1"/>
  <c r="P101" i="77" s="1"/>
  <c r="P102" i="77" s="1"/>
  <c r="P103" i="77" s="1"/>
  <c r="P104" i="77" s="1"/>
  <c r="P105" i="77" s="1"/>
  <c r="P106" i="77" s="1"/>
  <c r="P107" i="77" s="1"/>
  <c r="P108" i="77" s="1"/>
  <c r="P109" i="77" s="1"/>
  <c r="P110" i="77" s="1"/>
  <c r="P111" i="77" s="1"/>
  <c r="P112" i="77" s="1"/>
  <c r="P113" i="77" s="1"/>
  <c r="P114" i="77" s="1"/>
  <c r="P115" i="77" s="1"/>
  <c r="P116" i="77" s="1"/>
  <c r="P117" i="77" s="1"/>
  <c r="P118" i="77" s="1"/>
  <c r="P119" i="77" s="1"/>
  <c r="P120" i="77" s="1"/>
  <c r="P121" i="77" s="1"/>
  <c r="P122" i="77" s="1"/>
  <c r="P123" i="77" s="1"/>
  <c r="P124" i="77" s="1"/>
  <c r="P125" i="77" s="1"/>
  <c r="P126" i="77" s="1"/>
  <c r="P127" i="77" s="1"/>
  <c r="P128" i="77" s="1"/>
  <c r="P129" i="77" s="1"/>
  <c r="P130" i="77" s="1"/>
  <c r="P131" i="77" s="1"/>
  <c r="P132" i="77" s="1"/>
  <c r="P133" i="77" s="1"/>
  <c r="P134" i="77" s="1"/>
  <c r="P135" i="77" s="1"/>
  <c r="P136" i="77" s="1"/>
  <c r="P137" i="77" s="1"/>
  <c r="P138" i="77" s="1"/>
  <c r="P139" i="77" s="1"/>
  <c r="P140" i="77" s="1"/>
  <c r="P141" i="77" s="1"/>
  <c r="P142" i="77" s="1"/>
  <c r="P143" i="77" s="1"/>
  <c r="P144" i="77" s="1"/>
  <c r="P145" i="77" s="1"/>
  <c r="P146" i="77" s="1"/>
  <c r="P147" i="77" s="1"/>
  <c r="P148" i="77" s="1"/>
  <c r="P149" i="77" s="1"/>
  <c r="P150" i="77" s="1"/>
  <c r="P151" i="77" s="1"/>
  <c r="P152" i="77" s="1"/>
  <c r="P153" i="77" s="1"/>
  <c r="P154" i="77" s="1"/>
  <c r="P155" i="77" s="1"/>
  <c r="P156" i="77" s="1"/>
  <c r="P157" i="77" s="1"/>
  <c r="P158" i="77" s="1"/>
  <c r="P159" i="77" s="1"/>
  <c r="P160" i="77" s="1"/>
  <c r="P161" i="77" s="1"/>
  <c r="P162" i="77" s="1"/>
  <c r="P163" i="77" s="1"/>
  <c r="P164" i="77" s="1"/>
  <c r="P165" i="77" s="1"/>
  <c r="P166" i="77" s="1"/>
  <c r="P167" i="77" s="1"/>
  <c r="P168" i="77" s="1"/>
  <c r="P169" i="77" s="1"/>
  <c r="P170" i="77" s="1"/>
  <c r="P171" i="77" s="1"/>
  <c r="P172" i="77" s="1"/>
  <c r="P173" i="77" s="1"/>
  <c r="P174" i="77" s="1"/>
  <c r="P175" i="77" s="1"/>
  <c r="P176" i="77" s="1"/>
  <c r="P177" i="77" s="1"/>
  <c r="P178" i="77" s="1"/>
  <c r="P179" i="77" s="1"/>
  <c r="P180" i="77" s="1"/>
  <c r="P181" i="77" s="1"/>
  <c r="P182" i="77" s="1"/>
  <c r="P183" i="77" s="1"/>
  <c r="P184" i="77" s="1"/>
  <c r="P185" i="77" s="1"/>
  <c r="P186" i="77" s="1"/>
  <c r="P187" i="77" s="1"/>
  <c r="P188" i="77" s="1"/>
  <c r="P189" i="77" s="1"/>
  <c r="P190" i="77" s="1"/>
  <c r="P191" i="77" s="1"/>
  <c r="P192" i="77" s="1"/>
  <c r="P193" i="77" s="1"/>
  <c r="P194" i="77" s="1"/>
  <c r="P195" i="77" s="1"/>
  <c r="P196" i="77" s="1"/>
  <c r="P197" i="77" s="1"/>
  <c r="P198" i="77" s="1"/>
  <c r="P199" i="77" s="1"/>
  <c r="P200" i="77" s="1"/>
  <c r="P201" i="77" s="1"/>
  <c r="P202" i="77" s="1"/>
  <c r="P203" i="77" s="1"/>
  <c r="P204" i="77" s="1"/>
  <c r="P205" i="77" s="1"/>
  <c r="P206" i="77" s="1"/>
  <c r="P207" i="77" s="1"/>
  <c r="P208" i="77" s="1"/>
  <c r="P209" i="77" s="1"/>
  <c r="P210" i="77" s="1"/>
  <c r="P211" i="77" s="1"/>
  <c r="P212" i="77" s="1"/>
  <c r="P213" i="77" s="1"/>
  <c r="P214" i="77" s="1"/>
  <c r="P215" i="77" s="1"/>
  <c r="P216" i="77" s="1"/>
  <c r="P217" i="77" s="1"/>
  <c r="P218" i="77" s="1"/>
  <c r="P219" i="77" s="1"/>
  <c r="P220" i="77" s="1"/>
  <c r="P221" i="77" s="1"/>
  <c r="P222" i="77" s="1"/>
  <c r="P223" i="77" s="1"/>
  <c r="P224" i="77" s="1"/>
  <c r="P225" i="77" s="1"/>
  <c r="P226" i="77" s="1"/>
  <c r="P227" i="77" s="1"/>
  <c r="P228" i="77" s="1"/>
  <c r="P229" i="77" s="1"/>
  <c r="P230" i="77" s="1"/>
  <c r="P231" i="77" s="1"/>
  <c r="P232" i="77" s="1"/>
  <c r="P233" i="77" s="1"/>
  <c r="P234" i="77" s="1"/>
  <c r="P235" i="77" s="1"/>
  <c r="P236" i="77" s="1"/>
  <c r="P237" i="77" s="1"/>
  <c r="P238" i="77" s="1"/>
  <c r="P239" i="77" s="1"/>
  <c r="P240" i="77" s="1"/>
  <c r="P241" i="77" s="1"/>
  <c r="P242" i="77" s="1"/>
  <c r="P243" i="77" s="1"/>
  <c r="P244" i="77" s="1"/>
  <c r="P245" i="77" s="1"/>
  <c r="P246" i="77" s="1"/>
  <c r="P247" i="77" s="1"/>
  <c r="P248" i="77" s="1"/>
  <c r="P249" i="77" s="1"/>
  <c r="P250" i="77" s="1"/>
  <c r="P251" i="77" s="1"/>
  <c r="P252" i="77" s="1"/>
  <c r="P253" i="77" s="1"/>
  <c r="P254" i="77" s="1"/>
  <c r="P255" i="77" s="1"/>
  <c r="P256" i="77" s="1"/>
  <c r="P257" i="77" s="1"/>
  <c r="P258" i="77" s="1"/>
  <c r="P259" i="77" s="1"/>
  <c r="P260" i="77" s="1"/>
  <c r="P261" i="77" s="1"/>
  <c r="P262" i="77" s="1"/>
  <c r="P263" i="77" s="1"/>
  <c r="P264" i="77" s="1"/>
  <c r="P265" i="77" s="1"/>
  <c r="P266" i="77" s="1"/>
  <c r="P267" i="77" s="1"/>
  <c r="P268" i="77" s="1"/>
  <c r="P269" i="77" s="1"/>
  <c r="P270" i="77" s="1"/>
  <c r="P271" i="77" s="1"/>
  <c r="P272" i="77" s="1"/>
  <c r="P273" i="77" s="1"/>
  <c r="P274" i="77" s="1"/>
  <c r="P275" i="77" s="1"/>
  <c r="P276" i="77" s="1"/>
  <c r="P277" i="77" s="1"/>
  <c r="P278" i="77" s="1"/>
  <c r="P279" i="77" s="1"/>
  <c r="P280" i="77" s="1"/>
  <c r="P281" i="77" s="1"/>
  <c r="P282" i="77" s="1"/>
  <c r="P283" i="77" s="1"/>
  <c r="P284" i="77" s="1"/>
  <c r="P285" i="77" s="1"/>
  <c r="P286" i="77" s="1"/>
  <c r="P287" i="77" s="1"/>
  <c r="P288" i="77" s="1"/>
  <c r="P289" i="77" s="1"/>
  <c r="P290" i="77" s="1"/>
  <c r="P291" i="77" s="1"/>
  <c r="P292" i="77" s="1"/>
  <c r="P293" i="77" s="1"/>
  <c r="P294" i="77" s="1"/>
  <c r="P295" i="77" s="1"/>
  <c r="P296" i="77" s="1"/>
  <c r="P297" i="77" s="1"/>
  <c r="P298" i="77" s="1"/>
  <c r="N11" i="77"/>
  <c r="N12" i="77" s="1"/>
  <c r="N13" i="77" s="1"/>
  <c r="N14" i="77" s="1"/>
  <c r="N15" i="77" s="1"/>
  <c r="N16" i="77" s="1"/>
  <c r="N17" i="77" s="1"/>
  <c r="N18" i="77" s="1"/>
  <c r="N19" i="77" s="1"/>
  <c r="N20" i="77" s="1"/>
  <c r="N21" i="77" s="1"/>
  <c r="N22" i="77" s="1"/>
  <c r="N23" i="77" s="1"/>
  <c r="N24" i="77" s="1"/>
  <c r="N25" i="77" s="1"/>
  <c r="N26" i="77" s="1"/>
  <c r="N27" i="77" s="1"/>
  <c r="N28" i="77" s="1"/>
  <c r="N29" i="77" s="1"/>
  <c r="N30" i="77" s="1"/>
  <c r="N31" i="77" s="1"/>
  <c r="N32" i="77" s="1"/>
  <c r="N33" i="77" s="1"/>
  <c r="N34" i="77" s="1"/>
  <c r="N35" i="77" s="1"/>
  <c r="N36" i="77" s="1"/>
  <c r="N37" i="77" s="1"/>
  <c r="N38" i="77" s="1"/>
  <c r="N39" i="77" s="1"/>
  <c r="N40" i="77" s="1"/>
  <c r="N41" i="77" s="1"/>
  <c r="N42" i="77" s="1"/>
  <c r="N43" i="77" s="1"/>
  <c r="N44" i="77" s="1"/>
  <c r="N45" i="77" s="1"/>
  <c r="N46" i="77" s="1"/>
  <c r="N47" i="77" s="1"/>
  <c r="N48" i="77" s="1"/>
  <c r="N49" i="77" s="1"/>
  <c r="N50" i="77" s="1"/>
  <c r="N51" i="77" s="1"/>
  <c r="N52" i="77" s="1"/>
  <c r="N53" i="77" s="1"/>
  <c r="N54" i="77" s="1"/>
  <c r="N55" i="77" s="1"/>
  <c r="N56" i="77" s="1"/>
  <c r="N57" i="77" s="1"/>
  <c r="N58" i="77" s="1"/>
  <c r="N59" i="77" s="1"/>
  <c r="N60" i="77" s="1"/>
  <c r="N61" i="77" s="1"/>
  <c r="N62" i="77" s="1"/>
  <c r="N63" i="77" s="1"/>
  <c r="N64" i="77" s="1"/>
  <c r="N65" i="77" s="1"/>
  <c r="N66" i="77" s="1"/>
  <c r="N67" i="77" s="1"/>
  <c r="N68" i="77" s="1"/>
  <c r="N69" i="77" s="1"/>
  <c r="N70" i="77" s="1"/>
  <c r="N71" i="77" s="1"/>
  <c r="N72" i="77" s="1"/>
  <c r="N73" i="77" s="1"/>
  <c r="N74" i="77" s="1"/>
  <c r="N75" i="77" s="1"/>
  <c r="N76" i="77" s="1"/>
  <c r="N77" i="77" s="1"/>
  <c r="N78" i="77" s="1"/>
  <c r="N79" i="77" s="1"/>
  <c r="N80" i="77" s="1"/>
  <c r="N81" i="77" s="1"/>
  <c r="N82" i="77" s="1"/>
  <c r="N83" i="77" s="1"/>
  <c r="N84" i="77" s="1"/>
  <c r="N85" i="77" s="1"/>
  <c r="N86" i="77" s="1"/>
  <c r="N87" i="77" s="1"/>
  <c r="N88" i="77" s="1"/>
  <c r="N89" i="77" s="1"/>
  <c r="N90" i="77" s="1"/>
  <c r="N91" i="77" s="1"/>
  <c r="N92" i="77" s="1"/>
  <c r="N93" i="77" s="1"/>
  <c r="N94" i="77" s="1"/>
  <c r="N95" i="77" s="1"/>
  <c r="N96" i="77" s="1"/>
  <c r="N97" i="77" s="1"/>
  <c r="N98" i="77" s="1"/>
  <c r="N99" i="77" s="1"/>
  <c r="N100" i="77" s="1"/>
  <c r="N101" i="77" s="1"/>
  <c r="N102" i="77" s="1"/>
  <c r="N103" i="77" s="1"/>
  <c r="N104" i="77" s="1"/>
  <c r="N105" i="77" s="1"/>
  <c r="N106" i="77" s="1"/>
  <c r="N107" i="77" s="1"/>
  <c r="N108" i="77" s="1"/>
  <c r="N109" i="77" s="1"/>
  <c r="N110" i="77" s="1"/>
  <c r="N111" i="77" s="1"/>
  <c r="N112" i="77" s="1"/>
  <c r="N113" i="77" s="1"/>
  <c r="N114" i="77" s="1"/>
  <c r="N115" i="77" s="1"/>
  <c r="N116" i="77" s="1"/>
  <c r="N117" i="77" s="1"/>
  <c r="N118" i="77" s="1"/>
  <c r="N119" i="77" s="1"/>
  <c r="N120" i="77" s="1"/>
  <c r="N121" i="77" s="1"/>
  <c r="N122" i="77" s="1"/>
  <c r="N123" i="77" s="1"/>
  <c r="N124" i="77" s="1"/>
  <c r="N125" i="77" s="1"/>
  <c r="N126" i="77" s="1"/>
  <c r="N127" i="77" s="1"/>
  <c r="N128" i="77" s="1"/>
  <c r="N129" i="77" s="1"/>
  <c r="N130" i="77" s="1"/>
  <c r="N131" i="77" s="1"/>
  <c r="N132" i="77" s="1"/>
  <c r="N133" i="77" s="1"/>
  <c r="N134" i="77" s="1"/>
  <c r="N135" i="77" s="1"/>
  <c r="N136" i="77" s="1"/>
  <c r="N137" i="77" s="1"/>
  <c r="N138" i="77" s="1"/>
  <c r="N139" i="77" s="1"/>
  <c r="N140" i="77" s="1"/>
  <c r="N141" i="77" s="1"/>
  <c r="N142" i="77" s="1"/>
  <c r="N143" i="77" s="1"/>
  <c r="N144" i="77" s="1"/>
  <c r="N145" i="77" s="1"/>
  <c r="N146" i="77" s="1"/>
  <c r="N147" i="77" s="1"/>
  <c r="N148" i="77" s="1"/>
  <c r="N149" i="77" s="1"/>
  <c r="N150" i="77" s="1"/>
  <c r="N151" i="77" s="1"/>
  <c r="N152" i="77" s="1"/>
  <c r="N153" i="77" s="1"/>
  <c r="N154" i="77" s="1"/>
  <c r="N155" i="77" s="1"/>
  <c r="N156" i="77" s="1"/>
  <c r="N157" i="77" s="1"/>
  <c r="N158" i="77" s="1"/>
  <c r="N159" i="77" s="1"/>
  <c r="N160" i="77" s="1"/>
  <c r="N161" i="77" s="1"/>
  <c r="N162" i="77" s="1"/>
  <c r="N163" i="77" s="1"/>
  <c r="N164" i="77" s="1"/>
  <c r="N165" i="77" s="1"/>
  <c r="N166" i="77" s="1"/>
  <c r="N167" i="77" s="1"/>
  <c r="N168" i="77" s="1"/>
  <c r="N169" i="77" s="1"/>
  <c r="N170" i="77" s="1"/>
  <c r="N171" i="77" s="1"/>
  <c r="N172" i="77" s="1"/>
  <c r="N173" i="77" s="1"/>
  <c r="N174" i="77" s="1"/>
  <c r="N175" i="77" s="1"/>
  <c r="N176" i="77" s="1"/>
  <c r="N177" i="77" s="1"/>
  <c r="N178" i="77" s="1"/>
  <c r="N179" i="77" s="1"/>
  <c r="N180" i="77" s="1"/>
  <c r="N181" i="77" s="1"/>
  <c r="N182" i="77" s="1"/>
  <c r="N183" i="77" s="1"/>
  <c r="N184" i="77" s="1"/>
  <c r="N185" i="77" s="1"/>
  <c r="N186" i="77" s="1"/>
  <c r="N187" i="77" s="1"/>
  <c r="N188" i="77" s="1"/>
  <c r="N189" i="77" s="1"/>
  <c r="N190" i="77" s="1"/>
  <c r="N191" i="77" s="1"/>
  <c r="N192" i="77" s="1"/>
  <c r="N193" i="77" s="1"/>
  <c r="N194" i="77" s="1"/>
  <c r="N195" i="77" s="1"/>
  <c r="N196" i="77" s="1"/>
  <c r="N197" i="77" s="1"/>
  <c r="N198" i="77" s="1"/>
  <c r="N199" i="77" s="1"/>
  <c r="N200" i="77" s="1"/>
  <c r="N201" i="77" s="1"/>
  <c r="N202" i="77" s="1"/>
  <c r="N203" i="77" s="1"/>
  <c r="N204" i="77" s="1"/>
  <c r="N205" i="77" s="1"/>
  <c r="N206" i="77" s="1"/>
  <c r="N207" i="77" s="1"/>
  <c r="N208" i="77" s="1"/>
  <c r="N209" i="77" s="1"/>
  <c r="N210" i="77" s="1"/>
  <c r="N211" i="77" s="1"/>
  <c r="N212" i="77" s="1"/>
  <c r="N213" i="77" s="1"/>
  <c r="N214" i="77" s="1"/>
  <c r="N215" i="77" s="1"/>
  <c r="N216" i="77" s="1"/>
  <c r="N217" i="77" s="1"/>
  <c r="N218" i="77" s="1"/>
  <c r="N219" i="77" s="1"/>
  <c r="N220" i="77" s="1"/>
  <c r="N221" i="77" s="1"/>
  <c r="N222" i="77" s="1"/>
  <c r="N223" i="77" s="1"/>
  <c r="N224" i="77" s="1"/>
  <c r="N225" i="77" s="1"/>
  <c r="N226" i="77" s="1"/>
  <c r="N227" i="77" s="1"/>
  <c r="N228" i="77" s="1"/>
  <c r="N229" i="77" s="1"/>
  <c r="N230" i="77" s="1"/>
  <c r="N231" i="77" s="1"/>
  <c r="N232" i="77" s="1"/>
  <c r="N233" i="77" s="1"/>
  <c r="N234" i="77" s="1"/>
  <c r="N235" i="77" s="1"/>
  <c r="N236" i="77" s="1"/>
  <c r="N237" i="77" s="1"/>
  <c r="N238" i="77" s="1"/>
  <c r="N239" i="77" s="1"/>
  <c r="N240" i="77" s="1"/>
  <c r="N241" i="77" s="1"/>
  <c r="N242" i="77" s="1"/>
  <c r="N243" i="77" s="1"/>
  <c r="N244" i="77" s="1"/>
  <c r="N245" i="77" s="1"/>
  <c r="N246" i="77" s="1"/>
  <c r="N247" i="77" s="1"/>
  <c r="N248" i="77" s="1"/>
  <c r="N249" i="77" s="1"/>
  <c r="N250" i="77" s="1"/>
  <c r="N251" i="77" s="1"/>
  <c r="N252" i="77" s="1"/>
  <c r="N253" i="77" s="1"/>
  <c r="N254" i="77" s="1"/>
  <c r="N255" i="77" s="1"/>
  <c r="N256" i="77" s="1"/>
  <c r="N257" i="77" s="1"/>
  <c r="N258" i="77" s="1"/>
  <c r="N259" i="77" s="1"/>
  <c r="N260" i="77" s="1"/>
  <c r="N261" i="77" s="1"/>
  <c r="N262" i="77" s="1"/>
  <c r="N263" i="77" s="1"/>
  <c r="N264" i="77" s="1"/>
  <c r="N265" i="77" s="1"/>
  <c r="N266" i="77" s="1"/>
  <c r="N267" i="77" s="1"/>
  <c r="N268" i="77" s="1"/>
  <c r="N269" i="77" s="1"/>
  <c r="N270" i="77" s="1"/>
  <c r="N271" i="77" s="1"/>
  <c r="N272" i="77" s="1"/>
  <c r="N273" i="77" s="1"/>
  <c r="N274" i="77" s="1"/>
  <c r="N275" i="77" s="1"/>
  <c r="N276" i="77" s="1"/>
  <c r="N277" i="77" s="1"/>
  <c r="N278" i="77" s="1"/>
  <c r="N279" i="77" s="1"/>
  <c r="N280" i="77" s="1"/>
  <c r="N281" i="77" s="1"/>
  <c r="N282" i="77" s="1"/>
  <c r="N283" i="77" s="1"/>
  <c r="N284" i="77" s="1"/>
  <c r="N285" i="77" s="1"/>
  <c r="N286" i="77" s="1"/>
  <c r="N287" i="77" s="1"/>
  <c r="N288" i="77" s="1"/>
  <c r="N289" i="77" s="1"/>
  <c r="N290" i="77" s="1"/>
  <c r="N291" i="77" s="1"/>
  <c r="N292" i="77" s="1"/>
  <c r="N293" i="77" s="1"/>
  <c r="N294" i="77" s="1"/>
  <c r="N295" i="77" s="1"/>
  <c r="N296" i="77" s="1"/>
  <c r="N297" i="77" s="1"/>
  <c r="N298" i="77" s="1"/>
  <c r="L11" i="77"/>
  <c r="J11" i="77"/>
  <c r="J12" i="77" s="1"/>
  <c r="J13" i="77" s="1"/>
  <c r="J14" i="77" s="1"/>
  <c r="J15" i="77" s="1"/>
  <c r="J16" i="77" s="1"/>
  <c r="J17" i="77" s="1"/>
  <c r="J18" i="77" s="1"/>
  <c r="J19" i="77" s="1"/>
  <c r="J20" i="77" s="1"/>
  <c r="J21" i="77" s="1"/>
  <c r="J22" i="77" s="1"/>
  <c r="J23" i="77" s="1"/>
  <c r="J24" i="77" s="1"/>
  <c r="J25" i="77" s="1"/>
  <c r="J26" i="77" s="1"/>
  <c r="J27" i="77" s="1"/>
  <c r="J28" i="77" s="1"/>
  <c r="J29" i="77" s="1"/>
  <c r="J30" i="77" s="1"/>
  <c r="J31" i="77" s="1"/>
  <c r="J32" i="77" s="1"/>
  <c r="J33" i="77" s="1"/>
  <c r="J34" i="77" s="1"/>
  <c r="J35" i="77" s="1"/>
  <c r="J36" i="77" s="1"/>
  <c r="J37" i="77" s="1"/>
  <c r="J38" i="77" s="1"/>
  <c r="J39" i="77" s="1"/>
  <c r="J40" i="77" s="1"/>
  <c r="J41" i="77" s="1"/>
  <c r="J42" i="77" s="1"/>
  <c r="J43" i="77" s="1"/>
  <c r="J44" i="77" s="1"/>
  <c r="J45" i="77" s="1"/>
  <c r="J46" i="77" s="1"/>
  <c r="J47" i="77" s="1"/>
  <c r="J48" i="77" s="1"/>
  <c r="J49" i="77" s="1"/>
  <c r="J50" i="77" s="1"/>
  <c r="J51" i="77" s="1"/>
  <c r="J52" i="77" s="1"/>
  <c r="J53" i="77" s="1"/>
  <c r="J54" i="77" s="1"/>
  <c r="J55" i="77" s="1"/>
  <c r="J56" i="77" s="1"/>
  <c r="J57" i="77" s="1"/>
  <c r="J58" i="77" s="1"/>
  <c r="J59" i="77" s="1"/>
  <c r="J60" i="77" s="1"/>
  <c r="J61" i="77" s="1"/>
  <c r="J62" i="77" s="1"/>
  <c r="J63" i="77" s="1"/>
  <c r="J64" i="77" s="1"/>
  <c r="J65" i="77" s="1"/>
  <c r="J66" i="77" s="1"/>
  <c r="J67" i="77" s="1"/>
  <c r="J68" i="77" s="1"/>
  <c r="J69" i="77" s="1"/>
  <c r="J70" i="77" s="1"/>
  <c r="J71" i="77" s="1"/>
  <c r="J72" i="77" s="1"/>
  <c r="J73" i="77" s="1"/>
  <c r="J74" i="77" s="1"/>
  <c r="J75" i="77" s="1"/>
  <c r="J76" i="77" s="1"/>
  <c r="J77" i="77" s="1"/>
  <c r="J78" i="77" s="1"/>
  <c r="J79" i="77" s="1"/>
  <c r="J80" i="77" s="1"/>
  <c r="J81" i="77" s="1"/>
  <c r="J82" i="77" s="1"/>
  <c r="J83" i="77" s="1"/>
  <c r="J84" i="77" s="1"/>
  <c r="J85" i="77" s="1"/>
  <c r="J86" i="77" s="1"/>
  <c r="J87" i="77" s="1"/>
  <c r="J88" i="77" s="1"/>
  <c r="J89" i="77" s="1"/>
  <c r="J90" i="77" s="1"/>
  <c r="J91" i="77" s="1"/>
  <c r="J92" i="77" s="1"/>
  <c r="J93" i="77" s="1"/>
  <c r="J94" i="77" s="1"/>
  <c r="J95" i="77" s="1"/>
  <c r="J96" i="77" s="1"/>
  <c r="J97" i="77" s="1"/>
  <c r="J98" i="77" s="1"/>
  <c r="J99" i="77" s="1"/>
  <c r="J100" i="77" s="1"/>
  <c r="J101" i="77" s="1"/>
  <c r="J102" i="77" s="1"/>
  <c r="J103" i="77" s="1"/>
  <c r="J104" i="77" s="1"/>
  <c r="J105" i="77" s="1"/>
  <c r="J106" i="77" s="1"/>
  <c r="J107" i="77" s="1"/>
  <c r="J108" i="77" s="1"/>
  <c r="J109" i="77" s="1"/>
  <c r="J110" i="77" s="1"/>
  <c r="J111" i="77" s="1"/>
  <c r="J112" i="77" s="1"/>
  <c r="J113" i="77" s="1"/>
  <c r="J114" i="77" s="1"/>
  <c r="J115" i="77" s="1"/>
  <c r="J116" i="77" s="1"/>
  <c r="J117" i="77" s="1"/>
  <c r="J118" i="77" s="1"/>
  <c r="J119" i="77" s="1"/>
  <c r="J120" i="77" s="1"/>
  <c r="J121" i="77" s="1"/>
  <c r="J122" i="77" s="1"/>
  <c r="J123" i="77" s="1"/>
  <c r="J124" i="77" s="1"/>
  <c r="J125" i="77" s="1"/>
  <c r="J126" i="77" s="1"/>
  <c r="J127" i="77" s="1"/>
  <c r="J128" i="77" s="1"/>
  <c r="J129" i="77" s="1"/>
  <c r="J130" i="77" s="1"/>
  <c r="J131" i="77" s="1"/>
  <c r="J132" i="77" s="1"/>
  <c r="J133" i="77" s="1"/>
  <c r="J134" i="77" s="1"/>
  <c r="J135" i="77" s="1"/>
  <c r="J136" i="77" s="1"/>
  <c r="J137" i="77" s="1"/>
  <c r="J138" i="77" s="1"/>
  <c r="J139" i="77" s="1"/>
  <c r="J140" i="77" s="1"/>
  <c r="J141" i="77" s="1"/>
  <c r="J142" i="77" s="1"/>
  <c r="J143" i="77" s="1"/>
  <c r="J144" i="77" s="1"/>
  <c r="J145" i="77" s="1"/>
  <c r="J146" i="77" s="1"/>
  <c r="J147" i="77" s="1"/>
  <c r="J148" i="77" s="1"/>
  <c r="J149" i="77" s="1"/>
  <c r="J150" i="77" s="1"/>
  <c r="J151" i="77" s="1"/>
  <c r="J152" i="77" s="1"/>
  <c r="J153" i="77" s="1"/>
  <c r="J154" i="77" s="1"/>
  <c r="J155" i="77" s="1"/>
  <c r="J156" i="77" s="1"/>
  <c r="J157" i="77" s="1"/>
  <c r="J158" i="77" s="1"/>
  <c r="J159" i="77" s="1"/>
  <c r="J160" i="77" s="1"/>
  <c r="J161" i="77" s="1"/>
  <c r="J162" i="77" s="1"/>
  <c r="J163" i="77" s="1"/>
  <c r="J164" i="77" s="1"/>
  <c r="J165" i="77" s="1"/>
  <c r="J166" i="77" s="1"/>
  <c r="J167" i="77" s="1"/>
  <c r="J168" i="77" s="1"/>
  <c r="J169" i="77" s="1"/>
  <c r="J170" i="77" s="1"/>
  <c r="J171" i="77" s="1"/>
  <c r="J172" i="77" s="1"/>
  <c r="J173" i="77" s="1"/>
  <c r="J174" i="77" s="1"/>
  <c r="J175" i="77" s="1"/>
  <c r="J176" i="77" s="1"/>
  <c r="J177" i="77" s="1"/>
  <c r="J178" i="77" s="1"/>
  <c r="J179" i="77" s="1"/>
  <c r="J180" i="77" s="1"/>
  <c r="J181" i="77" s="1"/>
  <c r="J182" i="77" s="1"/>
  <c r="J183" i="77" s="1"/>
  <c r="J184" i="77" s="1"/>
  <c r="J185" i="77" s="1"/>
  <c r="J186" i="77" s="1"/>
  <c r="J187" i="77" s="1"/>
  <c r="J188" i="77" s="1"/>
  <c r="J189" i="77" s="1"/>
  <c r="J190" i="77" s="1"/>
  <c r="J191" i="77" s="1"/>
  <c r="J192" i="77" s="1"/>
  <c r="J193" i="77" s="1"/>
  <c r="J194" i="77" s="1"/>
  <c r="J195" i="77" s="1"/>
  <c r="J196" i="77" s="1"/>
  <c r="J197" i="77" s="1"/>
  <c r="J198" i="77" s="1"/>
  <c r="J199" i="77" s="1"/>
  <c r="J200" i="77" s="1"/>
  <c r="J201" i="77" s="1"/>
  <c r="J202" i="77" s="1"/>
  <c r="J203" i="77" s="1"/>
  <c r="J204" i="77" s="1"/>
  <c r="J205" i="77" s="1"/>
  <c r="J206" i="77" s="1"/>
  <c r="J207" i="77" s="1"/>
  <c r="J208" i="77" s="1"/>
  <c r="J209" i="77" s="1"/>
  <c r="J210" i="77" s="1"/>
  <c r="J211" i="77" s="1"/>
  <c r="J212" i="77" s="1"/>
  <c r="J213" i="77" s="1"/>
  <c r="J214" i="77" s="1"/>
  <c r="J215" i="77" s="1"/>
  <c r="J216" i="77" s="1"/>
  <c r="J217" i="77" s="1"/>
  <c r="J218" i="77" s="1"/>
  <c r="J219" i="77" s="1"/>
  <c r="J220" i="77" s="1"/>
  <c r="J221" i="77" s="1"/>
  <c r="J222" i="77" s="1"/>
  <c r="J223" i="77" s="1"/>
  <c r="J224" i="77" s="1"/>
  <c r="J225" i="77" s="1"/>
  <c r="J226" i="77" s="1"/>
  <c r="J227" i="77" s="1"/>
  <c r="J228" i="77" s="1"/>
  <c r="J229" i="77" s="1"/>
  <c r="J230" i="77" s="1"/>
  <c r="J231" i="77" s="1"/>
  <c r="J232" i="77" s="1"/>
  <c r="J233" i="77" s="1"/>
  <c r="J234" i="77" s="1"/>
  <c r="J235" i="77" s="1"/>
  <c r="J236" i="77" s="1"/>
  <c r="J237" i="77" s="1"/>
  <c r="J238" i="77" s="1"/>
  <c r="J239" i="77" s="1"/>
  <c r="J240" i="77" s="1"/>
  <c r="J241" i="77" s="1"/>
  <c r="J242" i="77" s="1"/>
  <c r="J243" i="77" s="1"/>
  <c r="J244" i="77" s="1"/>
  <c r="J245" i="77" s="1"/>
  <c r="J246" i="77" s="1"/>
  <c r="J247" i="77" s="1"/>
  <c r="J248" i="77" s="1"/>
  <c r="J249" i="77" s="1"/>
  <c r="J250" i="77" s="1"/>
  <c r="J251" i="77" s="1"/>
  <c r="J252" i="77" s="1"/>
  <c r="J253" i="77" s="1"/>
  <c r="J254" i="77" s="1"/>
  <c r="J255" i="77" s="1"/>
  <c r="J256" i="77" s="1"/>
  <c r="J257" i="77" s="1"/>
  <c r="J258" i="77" s="1"/>
  <c r="J259" i="77" s="1"/>
  <c r="J260" i="77" s="1"/>
  <c r="J261" i="77" s="1"/>
  <c r="J262" i="77" s="1"/>
  <c r="J263" i="77" s="1"/>
  <c r="J264" i="77" s="1"/>
  <c r="J265" i="77" s="1"/>
  <c r="J266" i="77" s="1"/>
  <c r="J267" i="77" s="1"/>
  <c r="J268" i="77" s="1"/>
  <c r="J269" i="77" s="1"/>
  <c r="J270" i="77" s="1"/>
  <c r="J271" i="77" s="1"/>
  <c r="J272" i="77" s="1"/>
  <c r="J273" i="77" s="1"/>
  <c r="J274" i="77" s="1"/>
  <c r="J275" i="77" s="1"/>
  <c r="J276" i="77" s="1"/>
  <c r="J277" i="77" s="1"/>
  <c r="J278" i="77" s="1"/>
  <c r="J279" i="77" s="1"/>
  <c r="J280" i="77" s="1"/>
  <c r="J281" i="77" s="1"/>
  <c r="J282" i="77" s="1"/>
  <c r="J283" i="77" s="1"/>
  <c r="J284" i="77" s="1"/>
  <c r="J285" i="77" s="1"/>
  <c r="J286" i="77" s="1"/>
  <c r="J287" i="77" s="1"/>
  <c r="J288" i="77" s="1"/>
  <c r="J289" i="77" s="1"/>
  <c r="J290" i="77" s="1"/>
  <c r="J291" i="77" s="1"/>
  <c r="J292" i="77" s="1"/>
  <c r="J293" i="77" s="1"/>
  <c r="J294" i="77" s="1"/>
  <c r="J295" i="77" s="1"/>
  <c r="J296" i="77" s="1"/>
  <c r="J297" i="77" s="1"/>
  <c r="J298" i="77" s="1"/>
  <c r="D11" i="77"/>
  <c r="D12" i="77" s="1"/>
  <c r="B10" i="77"/>
  <c r="J118" i="76"/>
  <c r="J117" i="76"/>
  <c r="J116" i="76"/>
  <c r="M115" i="76"/>
  <c r="M116" i="76" s="1"/>
  <c r="M117" i="76" s="1"/>
  <c r="M118" i="76" s="1"/>
  <c r="J115" i="76"/>
  <c r="M114" i="76"/>
  <c r="J114" i="76"/>
  <c r="J113" i="76"/>
  <c r="J112" i="76"/>
  <c r="J111" i="76"/>
  <c r="J110" i="76"/>
  <c r="J109" i="76"/>
  <c r="M108" i="76"/>
  <c r="M109" i="76" s="1"/>
  <c r="M110" i="76" s="1"/>
  <c r="M111" i="76" s="1"/>
  <c r="M112" i="76" s="1"/>
  <c r="J108" i="76"/>
  <c r="J107" i="76"/>
  <c r="J106" i="76"/>
  <c r="J105" i="76"/>
  <c r="J104" i="76"/>
  <c r="J103" i="76"/>
  <c r="M102" i="76"/>
  <c r="M103" i="76" s="1"/>
  <c r="M104" i="76" s="1"/>
  <c r="M105" i="76" s="1"/>
  <c r="M106" i="76" s="1"/>
  <c r="J102" i="76"/>
  <c r="J101" i="76"/>
  <c r="J100" i="76"/>
  <c r="J99" i="76"/>
  <c r="J98" i="76"/>
  <c r="J97" i="76"/>
  <c r="M96" i="76"/>
  <c r="M97" i="76" s="1"/>
  <c r="M98" i="76" s="1"/>
  <c r="M99" i="76" s="1"/>
  <c r="M100" i="76" s="1"/>
  <c r="J96" i="76"/>
  <c r="J95" i="76"/>
  <c r="J94" i="76"/>
  <c r="J93" i="76"/>
  <c r="J92" i="76"/>
  <c r="J91" i="76"/>
  <c r="M90" i="76"/>
  <c r="M91" i="76" s="1"/>
  <c r="M92" i="76" s="1"/>
  <c r="M93" i="76" s="1"/>
  <c r="M94" i="76" s="1"/>
  <c r="J90" i="76"/>
  <c r="J89" i="76"/>
  <c r="J88" i="76"/>
  <c r="J87" i="76"/>
  <c r="J86" i="76"/>
  <c r="J85" i="76"/>
  <c r="M84" i="76"/>
  <c r="M85" i="76" s="1"/>
  <c r="M86" i="76" s="1"/>
  <c r="M87" i="76" s="1"/>
  <c r="M88" i="76" s="1"/>
  <c r="J84" i="76"/>
  <c r="J83" i="76"/>
  <c r="J82" i="76"/>
  <c r="J81" i="76"/>
  <c r="J80" i="76"/>
  <c r="J79" i="76"/>
  <c r="M78" i="76"/>
  <c r="M79" i="76" s="1"/>
  <c r="M80" i="76" s="1"/>
  <c r="M81" i="76" s="1"/>
  <c r="M82" i="76" s="1"/>
  <c r="J78" i="76"/>
  <c r="J77" i="76"/>
  <c r="J76" i="76"/>
  <c r="J75" i="76"/>
  <c r="J74" i="76"/>
  <c r="J73" i="76"/>
  <c r="M72" i="76"/>
  <c r="M73" i="76" s="1"/>
  <c r="M74" i="76" s="1"/>
  <c r="M75" i="76" s="1"/>
  <c r="M76" i="76" s="1"/>
  <c r="J72" i="76"/>
  <c r="J71" i="76"/>
  <c r="J70" i="76"/>
  <c r="J69" i="76"/>
  <c r="J68" i="76"/>
  <c r="J67" i="76"/>
  <c r="M66" i="76"/>
  <c r="M67" i="76" s="1"/>
  <c r="M68" i="76" s="1"/>
  <c r="M69" i="76" s="1"/>
  <c r="M70" i="76" s="1"/>
  <c r="J66" i="76"/>
  <c r="J65" i="76"/>
  <c r="J64" i="76"/>
  <c r="J63" i="76"/>
  <c r="J62" i="76"/>
  <c r="J61" i="76"/>
  <c r="M60" i="76"/>
  <c r="M61" i="76" s="1"/>
  <c r="M62" i="76" s="1"/>
  <c r="M63" i="76" s="1"/>
  <c r="M64" i="76" s="1"/>
  <c r="J60" i="76"/>
  <c r="J59" i="76"/>
  <c r="J58" i="76"/>
  <c r="J57" i="76"/>
  <c r="J56" i="76"/>
  <c r="J55" i="76"/>
  <c r="M54" i="76"/>
  <c r="M55" i="76" s="1"/>
  <c r="M56" i="76" s="1"/>
  <c r="M57" i="76" s="1"/>
  <c r="M58" i="76" s="1"/>
  <c r="J54" i="76"/>
  <c r="J53" i="76"/>
  <c r="J52" i="76"/>
  <c r="J51" i="76"/>
  <c r="J50" i="76"/>
  <c r="J49" i="76"/>
  <c r="M48" i="76"/>
  <c r="M49" i="76" s="1"/>
  <c r="M50" i="76" s="1"/>
  <c r="M51" i="76" s="1"/>
  <c r="M52" i="76" s="1"/>
  <c r="J48" i="76"/>
  <c r="J47" i="76"/>
  <c r="J46" i="76"/>
  <c r="J45" i="76"/>
  <c r="J44" i="76"/>
  <c r="J43" i="76"/>
  <c r="M42" i="76"/>
  <c r="M43" i="76" s="1"/>
  <c r="M44" i="76" s="1"/>
  <c r="M45" i="76" s="1"/>
  <c r="M46" i="76" s="1"/>
  <c r="J42" i="76"/>
  <c r="J41" i="76"/>
  <c r="J40" i="76"/>
  <c r="J39" i="76"/>
  <c r="J38" i="76"/>
  <c r="J37" i="76"/>
  <c r="M36" i="76"/>
  <c r="M37" i="76" s="1"/>
  <c r="M38" i="76" s="1"/>
  <c r="M39" i="76" s="1"/>
  <c r="M40" i="76" s="1"/>
  <c r="J36" i="76"/>
  <c r="J35" i="76"/>
  <c r="J34" i="76"/>
  <c r="J33" i="76"/>
  <c r="J32" i="76"/>
  <c r="J31" i="76"/>
  <c r="M30" i="76"/>
  <c r="M31" i="76" s="1"/>
  <c r="M32" i="76" s="1"/>
  <c r="M33" i="76" s="1"/>
  <c r="M34" i="76" s="1"/>
  <c r="J30" i="76"/>
  <c r="J29" i="76"/>
  <c r="J28" i="76"/>
  <c r="J27" i="76"/>
  <c r="M26" i="76"/>
  <c r="M27" i="76" s="1"/>
  <c r="M28" i="76" s="1"/>
  <c r="J26" i="76"/>
  <c r="J25" i="76"/>
  <c r="M24" i="76"/>
  <c r="M25" i="76" s="1"/>
  <c r="J24" i="76"/>
  <c r="J23" i="76"/>
  <c r="J22" i="76"/>
  <c r="J21" i="76"/>
  <c r="J20" i="76"/>
  <c r="J19" i="76"/>
  <c r="M18" i="76"/>
  <c r="M19" i="76" s="1"/>
  <c r="M20" i="76" s="1"/>
  <c r="M21" i="76" s="1"/>
  <c r="M22" i="76" s="1"/>
  <c r="J18" i="76"/>
  <c r="J17" i="76"/>
  <c r="J16" i="76"/>
  <c r="J15" i="76"/>
  <c r="J14" i="76"/>
  <c r="J13" i="76"/>
  <c r="M12" i="76"/>
  <c r="M13" i="76" s="1"/>
  <c r="M14" i="76" s="1"/>
  <c r="M15" i="76" s="1"/>
  <c r="M16" i="76" s="1"/>
  <c r="J12" i="76"/>
  <c r="B12" i="76"/>
  <c r="B13" i="76" s="1"/>
  <c r="B14" i="76" s="1"/>
  <c r="B15" i="76" s="1"/>
  <c r="B16" i="76" s="1"/>
  <c r="B17" i="76" s="1"/>
  <c r="B18" i="76" s="1"/>
  <c r="B19" i="76" s="1"/>
  <c r="B20" i="76" s="1"/>
  <c r="B21" i="76" s="1"/>
  <c r="B22" i="76" s="1"/>
  <c r="B23" i="76" s="1"/>
  <c r="B24" i="76" s="1"/>
  <c r="B25" i="76" s="1"/>
  <c r="B26" i="76" s="1"/>
  <c r="B27" i="76" s="1"/>
  <c r="B28" i="76" s="1"/>
  <c r="B29" i="76" s="1"/>
  <c r="B30" i="76" s="1"/>
  <c r="B31" i="76" s="1"/>
  <c r="B32" i="76" s="1"/>
  <c r="B33" i="76" s="1"/>
  <c r="B34" i="76" s="1"/>
  <c r="B35" i="76" s="1"/>
  <c r="B36" i="76" s="1"/>
  <c r="B37" i="76" s="1"/>
  <c r="B38" i="76" s="1"/>
  <c r="B39" i="76" s="1"/>
  <c r="B40" i="76" s="1"/>
  <c r="B41" i="76" s="1"/>
  <c r="B42" i="76" s="1"/>
  <c r="B43" i="76" s="1"/>
  <c r="B44" i="76" s="1"/>
  <c r="B45" i="76" s="1"/>
  <c r="B46" i="76" s="1"/>
  <c r="B47" i="76" s="1"/>
  <c r="B48" i="76" s="1"/>
  <c r="B49" i="76" s="1"/>
  <c r="B50" i="76" s="1"/>
  <c r="B51" i="76" s="1"/>
  <c r="B52" i="76" s="1"/>
  <c r="B53" i="76" s="1"/>
  <c r="B54" i="76" s="1"/>
  <c r="B55" i="76" s="1"/>
  <c r="B56" i="76" s="1"/>
  <c r="B57" i="76" s="1"/>
  <c r="B58" i="76" s="1"/>
  <c r="B59" i="76" s="1"/>
  <c r="B60" i="76" s="1"/>
  <c r="B61" i="76" s="1"/>
  <c r="B62" i="76" s="1"/>
  <c r="B63" i="76" s="1"/>
  <c r="B64" i="76" s="1"/>
  <c r="B65" i="76" s="1"/>
  <c r="B66" i="76" s="1"/>
  <c r="B67" i="76" s="1"/>
  <c r="B68" i="76" s="1"/>
  <c r="B69" i="76" s="1"/>
  <c r="B70" i="76" s="1"/>
  <c r="B71" i="76" s="1"/>
  <c r="B72" i="76" s="1"/>
  <c r="B73" i="76" s="1"/>
  <c r="B74" i="76" s="1"/>
  <c r="B75" i="76" s="1"/>
  <c r="B76" i="76" s="1"/>
  <c r="B77" i="76" s="1"/>
  <c r="B78" i="76" s="1"/>
  <c r="B79" i="76" s="1"/>
  <c r="B80" i="76" s="1"/>
  <c r="B81" i="76" s="1"/>
  <c r="B82" i="76" s="1"/>
  <c r="B83" i="76" s="1"/>
  <c r="B84" i="76" s="1"/>
  <c r="B85" i="76" s="1"/>
  <c r="B86" i="76" s="1"/>
  <c r="B87" i="76" s="1"/>
  <c r="B88" i="76" s="1"/>
  <c r="B89" i="76" s="1"/>
  <c r="B90" i="76" s="1"/>
  <c r="B91" i="76" s="1"/>
  <c r="B92" i="76" s="1"/>
  <c r="B93" i="76" s="1"/>
  <c r="B94" i="76" s="1"/>
  <c r="B95" i="76" s="1"/>
  <c r="B96" i="76" s="1"/>
  <c r="B97" i="76" s="1"/>
  <c r="B98" i="76" s="1"/>
  <c r="B99" i="76" s="1"/>
  <c r="B100" i="76" s="1"/>
  <c r="B101" i="76" s="1"/>
  <c r="B102" i="76" s="1"/>
  <c r="B103" i="76" s="1"/>
  <c r="B104" i="76" s="1"/>
  <c r="B105" i="76" s="1"/>
  <c r="B106" i="76" s="1"/>
  <c r="B107" i="76" s="1"/>
  <c r="B108" i="76" s="1"/>
  <c r="B109" i="76" s="1"/>
  <c r="B110" i="76" s="1"/>
  <c r="B111" i="76" s="1"/>
  <c r="B112" i="76" s="1"/>
  <c r="B113" i="76" s="1"/>
  <c r="B114" i="76" s="1"/>
  <c r="B115" i="76" s="1"/>
  <c r="B116" i="76" s="1"/>
  <c r="B117" i="76" s="1"/>
  <c r="B118" i="76" s="1"/>
  <c r="N11" i="76"/>
  <c r="O11" i="76" s="1"/>
  <c r="O12" i="76" s="1"/>
  <c r="O13" i="76" s="1"/>
  <c r="O14" i="76" s="1"/>
  <c r="O15" i="76" s="1"/>
  <c r="O16" i="76" s="1"/>
  <c r="O17" i="76" s="1"/>
  <c r="O18" i="76" s="1"/>
  <c r="O19" i="76" s="1"/>
  <c r="O20" i="76" s="1"/>
  <c r="O21" i="76" s="1"/>
  <c r="O22" i="76" s="1"/>
  <c r="O23" i="76" s="1"/>
  <c r="O24" i="76" s="1"/>
  <c r="O25" i="76" s="1"/>
  <c r="O26" i="76" s="1"/>
  <c r="O27" i="76" s="1"/>
  <c r="O28" i="76" s="1"/>
  <c r="O29" i="76" s="1"/>
  <c r="O30" i="76" s="1"/>
  <c r="O31" i="76" s="1"/>
  <c r="O32" i="76" s="1"/>
  <c r="O33" i="76" s="1"/>
  <c r="O34" i="76" s="1"/>
  <c r="O35" i="76" s="1"/>
  <c r="O36" i="76" s="1"/>
  <c r="O37" i="76" s="1"/>
  <c r="O38" i="76" s="1"/>
  <c r="O39" i="76" s="1"/>
  <c r="O40" i="76" s="1"/>
  <c r="O41" i="76" s="1"/>
  <c r="O42" i="76" s="1"/>
  <c r="O43" i="76" s="1"/>
  <c r="O44" i="76" s="1"/>
  <c r="O45" i="76" s="1"/>
  <c r="O46" i="76" s="1"/>
  <c r="O47" i="76" s="1"/>
  <c r="O48" i="76" s="1"/>
  <c r="O49" i="76" s="1"/>
  <c r="O50" i="76" s="1"/>
  <c r="O51" i="76" s="1"/>
  <c r="O52" i="76" s="1"/>
  <c r="O53" i="76" s="1"/>
  <c r="O54" i="76" s="1"/>
  <c r="O55" i="76" s="1"/>
  <c r="O56" i="76" s="1"/>
  <c r="O57" i="76" s="1"/>
  <c r="O58" i="76" s="1"/>
  <c r="O59" i="76" s="1"/>
  <c r="O60" i="76" s="1"/>
  <c r="O61" i="76" s="1"/>
  <c r="O62" i="76" s="1"/>
  <c r="O63" i="76" s="1"/>
  <c r="O64" i="76" s="1"/>
  <c r="O65" i="76" s="1"/>
  <c r="O66" i="76" s="1"/>
  <c r="O67" i="76" s="1"/>
  <c r="O68" i="76" s="1"/>
  <c r="O69" i="76" s="1"/>
  <c r="O70" i="76" s="1"/>
  <c r="O71" i="76" s="1"/>
  <c r="O72" i="76" s="1"/>
  <c r="O73" i="76" s="1"/>
  <c r="O74" i="76" s="1"/>
  <c r="O75" i="76" s="1"/>
  <c r="O76" i="76" s="1"/>
  <c r="O77" i="76" s="1"/>
  <c r="O78" i="76" s="1"/>
  <c r="O79" i="76" s="1"/>
  <c r="O80" i="76" s="1"/>
  <c r="O81" i="76" s="1"/>
  <c r="O82" i="76" s="1"/>
  <c r="O83" i="76" s="1"/>
  <c r="O84" i="76" s="1"/>
  <c r="O85" i="76" s="1"/>
  <c r="O86" i="76" s="1"/>
  <c r="O87" i="76" s="1"/>
  <c r="O88" i="76" s="1"/>
  <c r="O89" i="76" s="1"/>
  <c r="O90" i="76" s="1"/>
  <c r="O91" i="76" s="1"/>
  <c r="O92" i="76" s="1"/>
  <c r="O93" i="76" s="1"/>
  <c r="O94" i="76" s="1"/>
  <c r="O95" i="76" s="1"/>
  <c r="O96" i="76" s="1"/>
  <c r="O97" i="76" s="1"/>
  <c r="O98" i="76" s="1"/>
  <c r="O99" i="76" s="1"/>
  <c r="O100" i="76" s="1"/>
  <c r="O101" i="76" s="1"/>
  <c r="O102" i="76" s="1"/>
  <c r="O103" i="76" s="1"/>
  <c r="O104" i="76" s="1"/>
  <c r="O105" i="76" s="1"/>
  <c r="O106" i="76" s="1"/>
  <c r="O107" i="76" s="1"/>
  <c r="O108" i="76" s="1"/>
  <c r="O109" i="76" s="1"/>
  <c r="O110" i="76" s="1"/>
  <c r="O111" i="76" s="1"/>
  <c r="O112" i="76" s="1"/>
  <c r="O113" i="76" s="1"/>
  <c r="O114" i="76" s="1"/>
  <c r="O115" i="76" s="1"/>
  <c r="O116" i="76" s="1"/>
  <c r="O117" i="76" s="1"/>
  <c r="O118" i="76" s="1"/>
  <c r="L11" i="76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L36" i="76" s="1"/>
  <c r="L37" i="76" s="1"/>
  <c r="L38" i="76" s="1"/>
  <c r="L39" i="76" s="1"/>
  <c r="L40" i="76" s="1"/>
  <c r="L41" i="76" s="1"/>
  <c r="L42" i="76" s="1"/>
  <c r="L43" i="76" s="1"/>
  <c r="L44" i="76" s="1"/>
  <c r="L45" i="76" s="1"/>
  <c r="L46" i="76" s="1"/>
  <c r="L47" i="76" s="1"/>
  <c r="L48" i="76" s="1"/>
  <c r="L49" i="76" s="1"/>
  <c r="L50" i="76" s="1"/>
  <c r="L51" i="76" s="1"/>
  <c r="L52" i="76" s="1"/>
  <c r="L53" i="76" s="1"/>
  <c r="L54" i="76" s="1"/>
  <c r="L55" i="76" s="1"/>
  <c r="L56" i="76" s="1"/>
  <c r="L57" i="76" s="1"/>
  <c r="L58" i="76" s="1"/>
  <c r="L59" i="76" s="1"/>
  <c r="L60" i="76" s="1"/>
  <c r="L61" i="76" s="1"/>
  <c r="L62" i="76" s="1"/>
  <c r="L63" i="76" s="1"/>
  <c r="L64" i="76" s="1"/>
  <c r="L65" i="76" s="1"/>
  <c r="L66" i="76" s="1"/>
  <c r="L67" i="76" s="1"/>
  <c r="L68" i="76" s="1"/>
  <c r="L69" i="76" s="1"/>
  <c r="L70" i="76" s="1"/>
  <c r="L71" i="76" s="1"/>
  <c r="L72" i="76" s="1"/>
  <c r="L73" i="76" s="1"/>
  <c r="L74" i="76" s="1"/>
  <c r="L75" i="76" s="1"/>
  <c r="L76" i="76" s="1"/>
  <c r="L77" i="76" s="1"/>
  <c r="L78" i="76" s="1"/>
  <c r="L79" i="76" s="1"/>
  <c r="L80" i="76" s="1"/>
  <c r="L81" i="76" s="1"/>
  <c r="L82" i="76" s="1"/>
  <c r="L83" i="76" s="1"/>
  <c r="L84" i="76" s="1"/>
  <c r="L85" i="76" s="1"/>
  <c r="L86" i="76" s="1"/>
  <c r="L87" i="76" s="1"/>
  <c r="L88" i="76" s="1"/>
  <c r="L89" i="76" s="1"/>
  <c r="L90" i="76" s="1"/>
  <c r="L91" i="76" s="1"/>
  <c r="L92" i="76" s="1"/>
  <c r="L93" i="76" s="1"/>
  <c r="L94" i="76" s="1"/>
  <c r="L95" i="76" s="1"/>
  <c r="L96" i="76" s="1"/>
  <c r="L97" i="76" s="1"/>
  <c r="L98" i="76" s="1"/>
  <c r="L99" i="76" s="1"/>
  <c r="L100" i="76" s="1"/>
  <c r="L101" i="76" s="1"/>
  <c r="L102" i="76" s="1"/>
  <c r="L103" i="76" s="1"/>
  <c r="L104" i="76" s="1"/>
  <c r="L105" i="76" s="1"/>
  <c r="L106" i="76" s="1"/>
  <c r="L107" i="76" s="1"/>
  <c r="L108" i="76" s="1"/>
  <c r="L109" i="76" s="1"/>
  <c r="L110" i="76" s="1"/>
  <c r="L111" i="76" s="1"/>
  <c r="L112" i="76" s="1"/>
  <c r="L113" i="76" s="1"/>
  <c r="L114" i="76" s="1"/>
  <c r="L115" i="76" s="1"/>
  <c r="L116" i="76" s="1"/>
  <c r="L117" i="76" s="1"/>
  <c r="L118" i="76" s="1"/>
  <c r="J11" i="76"/>
  <c r="I11" i="76"/>
  <c r="I12" i="76" s="1"/>
  <c r="I13" i="76" s="1"/>
  <c r="I14" i="76" s="1"/>
  <c r="I15" i="76" s="1"/>
  <c r="I16" i="76" s="1"/>
  <c r="I17" i="76" s="1"/>
  <c r="I18" i="76" s="1"/>
  <c r="I19" i="76" s="1"/>
  <c r="I20" i="76" s="1"/>
  <c r="I21" i="76" s="1"/>
  <c r="I22" i="76" s="1"/>
  <c r="I23" i="76" s="1"/>
  <c r="I24" i="76" s="1"/>
  <c r="I25" i="76" s="1"/>
  <c r="I26" i="76" s="1"/>
  <c r="I27" i="76" s="1"/>
  <c r="I28" i="76" s="1"/>
  <c r="I29" i="76" s="1"/>
  <c r="I30" i="76" s="1"/>
  <c r="I31" i="76" s="1"/>
  <c r="I32" i="76" s="1"/>
  <c r="I33" i="76" s="1"/>
  <c r="I34" i="76" s="1"/>
  <c r="I35" i="76" s="1"/>
  <c r="I36" i="76" s="1"/>
  <c r="I37" i="76" s="1"/>
  <c r="I38" i="76" s="1"/>
  <c r="I39" i="76" s="1"/>
  <c r="I40" i="76" s="1"/>
  <c r="I41" i="76" s="1"/>
  <c r="I42" i="76" s="1"/>
  <c r="I43" i="76" s="1"/>
  <c r="I44" i="76" s="1"/>
  <c r="I45" i="76" s="1"/>
  <c r="I46" i="76" s="1"/>
  <c r="I47" i="76" s="1"/>
  <c r="I48" i="76" s="1"/>
  <c r="I49" i="76" s="1"/>
  <c r="I50" i="76" s="1"/>
  <c r="I51" i="76" s="1"/>
  <c r="I52" i="76" s="1"/>
  <c r="I53" i="76" s="1"/>
  <c r="I54" i="76" s="1"/>
  <c r="I55" i="76" s="1"/>
  <c r="I56" i="76" s="1"/>
  <c r="I57" i="76" s="1"/>
  <c r="I58" i="76" s="1"/>
  <c r="I59" i="76" s="1"/>
  <c r="I60" i="76" s="1"/>
  <c r="I61" i="76" s="1"/>
  <c r="I62" i="76" s="1"/>
  <c r="I63" i="76" s="1"/>
  <c r="I64" i="76" s="1"/>
  <c r="I65" i="76" s="1"/>
  <c r="I66" i="76" s="1"/>
  <c r="I67" i="76" s="1"/>
  <c r="I68" i="76" s="1"/>
  <c r="I69" i="76" s="1"/>
  <c r="I70" i="76" s="1"/>
  <c r="I71" i="76" s="1"/>
  <c r="I72" i="76" s="1"/>
  <c r="I73" i="76" s="1"/>
  <c r="I74" i="76" s="1"/>
  <c r="I75" i="76" s="1"/>
  <c r="I76" i="76" s="1"/>
  <c r="I77" i="76" s="1"/>
  <c r="I78" i="76" s="1"/>
  <c r="I79" i="76" s="1"/>
  <c r="I80" i="76" s="1"/>
  <c r="I81" i="76" s="1"/>
  <c r="I82" i="76" s="1"/>
  <c r="I83" i="76" s="1"/>
  <c r="I84" i="76" s="1"/>
  <c r="I85" i="76" s="1"/>
  <c r="I86" i="76" s="1"/>
  <c r="I87" i="76" s="1"/>
  <c r="I88" i="76" s="1"/>
  <c r="I89" i="76" s="1"/>
  <c r="I90" i="76" s="1"/>
  <c r="I91" i="76" s="1"/>
  <c r="I92" i="76" s="1"/>
  <c r="I93" i="76" s="1"/>
  <c r="I94" i="76" s="1"/>
  <c r="I95" i="76" s="1"/>
  <c r="I96" i="76" s="1"/>
  <c r="I97" i="76" s="1"/>
  <c r="I98" i="76" s="1"/>
  <c r="I99" i="76" s="1"/>
  <c r="I100" i="76" s="1"/>
  <c r="I101" i="76" s="1"/>
  <c r="I102" i="76" s="1"/>
  <c r="I103" i="76" s="1"/>
  <c r="I104" i="76" s="1"/>
  <c r="I105" i="76" s="1"/>
  <c r="I106" i="76" s="1"/>
  <c r="I107" i="76" s="1"/>
  <c r="I108" i="76" s="1"/>
  <c r="I109" i="76" s="1"/>
  <c r="I110" i="76" s="1"/>
  <c r="I111" i="76" s="1"/>
  <c r="I112" i="76" s="1"/>
  <c r="I113" i="76" s="1"/>
  <c r="I114" i="76" s="1"/>
  <c r="I115" i="76" s="1"/>
  <c r="I116" i="76" s="1"/>
  <c r="I117" i="76" s="1"/>
  <c r="I118" i="76" s="1"/>
  <c r="F11" i="76"/>
  <c r="B10" i="76"/>
  <c r="L11" i="75"/>
  <c r="L12" i="75" s="1"/>
  <c r="L13" i="75" s="1"/>
  <c r="L14" i="75" s="1"/>
  <c r="L15" i="75" s="1"/>
  <c r="L16" i="75" s="1"/>
  <c r="L17" i="75" s="1"/>
  <c r="L18" i="75" s="1"/>
  <c r="L19" i="75" s="1"/>
  <c r="L20" i="75" s="1"/>
  <c r="L21" i="75" s="1"/>
  <c r="L22" i="75" s="1"/>
  <c r="L23" i="75" s="1"/>
  <c r="L24" i="75" s="1"/>
  <c r="L25" i="75" s="1"/>
  <c r="L26" i="75" s="1"/>
  <c r="L27" i="75" s="1"/>
  <c r="L28" i="75" s="1"/>
  <c r="J24" i="75"/>
  <c r="J25" i="75"/>
  <c r="J26" i="75"/>
  <c r="J27" i="75"/>
  <c r="J28" i="75"/>
  <c r="J23" i="75"/>
  <c r="J18" i="75"/>
  <c r="J19" i="75"/>
  <c r="J20" i="75"/>
  <c r="J21" i="75"/>
  <c r="J22" i="75"/>
  <c r="J17" i="75"/>
  <c r="J13" i="75"/>
  <c r="J14" i="75"/>
  <c r="J15" i="75"/>
  <c r="J16" i="75"/>
  <c r="J12" i="75"/>
  <c r="J11" i="75"/>
  <c r="D11" i="75"/>
  <c r="K11" i="75" s="1"/>
  <c r="B12" i="75"/>
  <c r="B13" i="75" s="1"/>
  <c r="B14" i="75" s="1"/>
  <c r="B15" i="75" s="1"/>
  <c r="B16" i="75" s="1"/>
  <c r="B17" i="75" s="1"/>
  <c r="B18" i="75" s="1"/>
  <c r="B19" i="75" s="1"/>
  <c r="B20" i="75" s="1"/>
  <c r="B21" i="75" s="1"/>
  <c r="B22" i="75" s="1"/>
  <c r="B23" i="75" s="1"/>
  <c r="B24" i="75" s="1"/>
  <c r="B25" i="75" s="1"/>
  <c r="B26" i="75" s="1"/>
  <c r="B27" i="75" s="1"/>
  <c r="B28" i="75" s="1"/>
  <c r="M11" i="75"/>
  <c r="M12" i="75" s="1"/>
  <c r="M13" i="75" s="1"/>
  <c r="M14" i="75" s="1"/>
  <c r="M15" i="75" s="1"/>
  <c r="M16" i="75" s="1"/>
  <c r="M17" i="75" s="1"/>
  <c r="M18" i="75" s="1"/>
  <c r="M19" i="75" s="1"/>
  <c r="M20" i="75" s="1"/>
  <c r="M21" i="75" s="1"/>
  <c r="M22" i="75" s="1"/>
  <c r="M23" i="75" s="1"/>
  <c r="M24" i="75" s="1"/>
  <c r="M25" i="75" s="1"/>
  <c r="M26" i="75" s="1"/>
  <c r="M27" i="75" s="1"/>
  <c r="M28" i="75" s="1"/>
  <c r="I11" i="75"/>
  <c r="I12" i="75" s="1"/>
  <c r="I13" i="75" s="1"/>
  <c r="I14" i="75" s="1"/>
  <c r="I15" i="75" s="1"/>
  <c r="I16" i="75" s="1"/>
  <c r="I17" i="75" s="1"/>
  <c r="I18" i="75" s="1"/>
  <c r="I19" i="75" s="1"/>
  <c r="I20" i="75" s="1"/>
  <c r="I21" i="75" s="1"/>
  <c r="I22" i="75" s="1"/>
  <c r="I23" i="75" s="1"/>
  <c r="I24" i="75" s="1"/>
  <c r="I25" i="75" s="1"/>
  <c r="I26" i="75" s="1"/>
  <c r="I27" i="75" s="1"/>
  <c r="I28" i="75" s="1"/>
  <c r="B10" i="75"/>
  <c r="D11" i="74"/>
  <c r="D12" i="74" s="1"/>
  <c r="B12" i="74"/>
  <c r="B13" i="74" s="1"/>
  <c r="B14" i="74" s="1"/>
  <c r="B15" i="74" s="1"/>
  <c r="B16" i="74" s="1"/>
  <c r="B17" i="74" s="1"/>
  <c r="B18" i="74" s="1"/>
  <c r="B19" i="74" s="1"/>
  <c r="B20" i="74" s="1"/>
  <c r="B21" i="74" s="1"/>
  <c r="B22" i="74" s="1"/>
  <c r="B23" i="74" s="1"/>
  <c r="B24" i="74" s="1"/>
  <c r="B25" i="74" s="1"/>
  <c r="B26" i="74" s="1"/>
  <c r="B27" i="74" s="1"/>
  <c r="B28" i="74" s="1"/>
  <c r="B29" i="74" s="1"/>
  <c r="B30" i="74" s="1"/>
  <c r="B31" i="74" s="1"/>
  <c r="B32" i="74" s="1"/>
  <c r="B33" i="74" s="1"/>
  <c r="B34" i="74" s="1"/>
  <c r="B35" i="74" s="1"/>
  <c r="B36" i="74" s="1"/>
  <c r="B37" i="74" s="1"/>
  <c r="B38" i="74" s="1"/>
  <c r="B39" i="74" s="1"/>
  <c r="B40" i="74" s="1"/>
  <c r="B41" i="74" s="1"/>
  <c r="B42" i="74" s="1"/>
  <c r="B43" i="74" s="1"/>
  <c r="B44" i="74" s="1"/>
  <c r="B45" i="74" s="1"/>
  <c r="B46" i="74" s="1"/>
  <c r="B47" i="74" s="1"/>
  <c r="B48" i="74" s="1"/>
  <c r="B49" i="74" s="1"/>
  <c r="B50" i="74" s="1"/>
  <c r="B51" i="74" s="1"/>
  <c r="B52" i="74" s="1"/>
  <c r="B53" i="74" s="1"/>
  <c r="B54" i="74" s="1"/>
  <c r="B55" i="74" s="1"/>
  <c r="B56" i="74" s="1"/>
  <c r="B57" i="74" s="1"/>
  <c r="B58" i="74" s="1"/>
  <c r="B59" i="74" s="1"/>
  <c r="B60" i="74" s="1"/>
  <c r="B61" i="74" s="1"/>
  <c r="B62" i="74" s="1"/>
  <c r="B63" i="74" s="1"/>
  <c r="B64" i="74" s="1"/>
  <c r="B65" i="74" s="1"/>
  <c r="B66" i="74" s="1"/>
  <c r="B67" i="74" s="1"/>
  <c r="B68" i="74" s="1"/>
  <c r="B69" i="74" s="1"/>
  <c r="B70" i="74" s="1"/>
  <c r="B71" i="74" s="1"/>
  <c r="B72" i="74" s="1"/>
  <c r="B73" i="74" s="1"/>
  <c r="B74" i="74" s="1"/>
  <c r="B75" i="74" s="1"/>
  <c r="B76" i="74" s="1"/>
  <c r="B77" i="74" s="1"/>
  <c r="B78" i="74" s="1"/>
  <c r="B79" i="74" s="1"/>
  <c r="B80" i="74" s="1"/>
  <c r="B81" i="74" s="1"/>
  <c r="B82" i="74" s="1"/>
  <c r="M11" i="74"/>
  <c r="L11" i="74"/>
  <c r="L12" i="74" s="1"/>
  <c r="L13" i="74" s="1"/>
  <c r="L14" i="74" s="1"/>
  <c r="L15" i="74" s="1"/>
  <c r="L16" i="74" s="1"/>
  <c r="L17" i="74" s="1"/>
  <c r="L18" i="74" s="1"/>
  <c r="L19" i="74" s="1"/>
  <c r="L20" i="74" s="1"/>
  <c r="L21" i="74" s="1"/>
  <c r="L22" i="74" s="1"/>
  <c r="L23" i="74" s="1"/>
  <c r="L24" i="74" s="1"/>
  <c r="L25" i="74" s="1"/>
  <c r="L26" i="74" s="1"/>
  <c r="L27" i="74" s="1"/>
  <c r="L28" i="74" s="1"/>
  <c r="L29" i="74" s="1"/>
  <c r="L30" i="74" s="1"/>
  <c r="L31" i="74" s="1"/>
  <c r="L32" i="74" s="1"/>
  <c r="L33" i="74" s="1"/>
  <c r="L34" i="74" s="1"/>
  <c r="L35" i="74" s="1"/>
  <c r="L36" i="74" s="1"/>
  <c r="L37" i="74" s="1"/>
  <c r="L38" i="74" s="1"/>
  <c r="L39" i="74" s="1"/>
  <c r="L40" i="74" s="1"/>
  <c r="L41" i="74" s="1"/>
  <c r="L42" i="74" s="1"/>
  <c r="L43" i="74" s="1"/>
  <c r="L44" i="74" s="1"/>
  <c r="L45" i="74" s="1"/>
  <c r="L46" i="74" s="1"/>
  <c r="L47" i="74" s="1"/>
  <c r="L48" i="74" s="1"/>
  <c r="L49" i="74" s="1"/>
  <c r="L50" i="74" s="1"/>
  <c r="L51" i="74" s="1"/>
  <c r="L52" i="74" s="1"/>
  <c r="L53" i="74" s="1"/>
  <c r="L54" i="74" s="1"/>
  <c r="L55" i="74" s="1"/>
  <c r="L56" i="74" s="1"/>
  <c r="L57" i="74" s="1"/>
  <c r="L58" i="74" s="1"/>
  <c r="L59" i="74" s="1"/>
  <c r="L60" i="74" s="1"/>
  <c r="L61" i="74" s="1"/>
  <c r="L62" i="74" s="1"/>
  <c r="L63" i="74" s="1"/>
  <c r="L64" i="74" s="1"/>
  <c r="L65" i="74" s="1"/>
  <c r="L66" i="74" s="1"/>
  <c r="L67" i="74" s="1"/>
  <c r="L68" i="74" s="1"/>
  <c r="L69" i="74" s="1"/>
  <c r="L70" i="74" s="1"/>
  <c r="L71" i="74" s="1"/>
  <c r="L72" i="74" s="1"/>
  <c r="L73" i="74" s="1"/>
  <c r="L74" i="74" s="1"/>
  <c r="L75" i="74" s="1"/>
  <c r="L76" i="74" s="1"/>
  <c r="L77" i="74" s="1"/>
  <c r="L78" i="74" s="1"/>
  <c r="L79" i="74" s="1"/>
  <c r="L80" i="74" s="1"/>
  <c r="L81" i="74" s="1"/>
  <c r="L82" i="74" s="1"/>
  <c r="I11" i="74"/>
  <c r="I12" i="74" s="1"/>
  <c r="I13" i="74" s="1"/>
  <c r="I14" i="74" s="1"/>
  <c r="I15" i="74" s="1"/>
  <c r="I16" i="74" s="1"/>
  <c r="I17" i="74" s="1"/>
  <c r="I18" i="74" s="1"/>
  <c r="I19" i="74" s="1"/>
  <c r="I20" i="74" s="1"/>
  <c r="I21" i="74" s="1"/>
  <c r="I22" i="74" s="1"/>
  <c r="I23" i="74" s="1"/>
  <c r="I24" i="74" s="1"/>
  <c r="I25" i="74" s="1"/>
  <c r="I26" i="74" s="1"/>
  <c r="I27" i="74" s="1"/>
  <c r="I28" i="74" s="1"/>
  <c r="I29" i="74" s="1"/>
  <c r="I30" i="74" s="1"/>
  <c r="I31" i="74" s="1"/>
  <c r="I32" i="74" s="1"/>
  <c r="I33" i="74" s="1"/>
  <c r="I34" i="74" s="1"/>
  <c r="I35" i="74" s="1"/>
  <c r="I36" i="74" s="1"/>
  <c r="I37" i="74" s="1"/>
  <c r="I38" i="74" s="1"/>
  <c r="I39" i="74" s="1"/>
  <c r="I40" i="74" s="1"/>
  <c r="I41" i="74" s="1"/>
  <c r="I42" i="74" s="1"/>
  <c r="I43" i="74" s="1"/>
  <c r="I44" i="74" s="1"/>
  <c r="I45" i="74" s="1"/>
  <c r="I46" i="74" s="1"/>
  <c r="I47" i="74" s="1"/>
  <c r="I48" i="74" s="1"/>
  <c r="I49" i="74" s="1"/>
  <c r="I50" i="74" s="1"/>
  <c r="I51" i="74" s="1"/>
  <c r="I52" i="74" s="1"/>
  <c r="I53" i="74" s="1"/>
  <c r="I54" i="74" s="1"/>
  <c r="I55" i="74" s="1"/>
  <c r="I56" i="74" s="1"/>
  <c r="I57" i="74" s="1"/>
  <c r="I58" i="74" s="1"/>
  <c r="I59" i="74" s="1"/>
  <c r="I60" i="74" s="1"/>
  <c r="I61" i="74" s="1"/>
  <c r="I62" i="74" s="1"/>
  <c r="I63" i="74" s="1"/>
  <c r="I64" i="74" s="1"/>
  <c r="I65" i="74" s="1"/>
  <c r="I66" i="74" s="1"/>
  <c r="I67" i="74" s="1"/>
  <c r="I68" i="74" s="1"/>
  <c r="I69" i="74" s="1"/>
  <c r="I70" i="74" s="1"/>
  <c r="I71" i="74" s="1"/>
  <c r="I72" i="74" s="1"/>
  <c r="I73" i="74" s="1"/>
  <c r="I74" i="74" s="1"/>
  <c r="I75" i="74" s="1"/>
  <c r="I76" i="74" s="1"/>
  <c r="I77" i="74" s="1"/>
  <c r="I78" i="74" s="1"/>
  <c r="I79" i="74" s="1"/>
  <c r="I80" i="74" s="1"/>
  <c r="I81" i="74" s="1"/>
  <c r="I82" i="74" s="1"/>
  <c r="F11" i="74"/>
  <c r="B10" i="74"/>
  <c r="T136" i="41" l="1"/>
  <c r="U136" i="41" s="1"/>
  <c r="W136" i="41" s="1"/>
  <c r="E107" i="77"/>
  <c r="R218" i="95"/>
  <c r="T217" i="95"/>
  <c r="U217" i="95" s="1"/>
  <c r="D187" i="47"/>
  <c r="G147" i="41"/>
  <c r="H147" i="41"/>
  <c r="P148" i="41"/>
  <c r="R148" i="41" s="1"/>
  <c r="T148" i="41" s="1"/>
  <c r="U148" i="41" s="1"/>
  <c r="W148" i="41" s="1"/>
  <c r="K148" i="41"/>
  <c r="C148" i="41" s="1"/>
  <c r="E148" i="41"/>
  <c r="F148" i="41" s="1"/>
  <c r="D229" i="95"/>
  <c r="K228" i="95"/>
  <c r="E228" i="95"/>
  <c r="F228" i="95" s="1"/>
  <c r="G142" i="41"/>
  <c r="H142" i="41"/>
  <c r="D56" i="42"/>
  <c r="Q142" i="41"/>
  <c r="S142" i="41" s="1"/>
  <c r="R142" i="41"/>
  <c r="Q219" i="95"/>
  <c r="S218" i="95"/>
  <c r="G227" i="95"/>
  <c r="H227" i="95"/>
  <c r="T150" i="96"/>
  <c r="U149" i="96"/>
  <c r="V149" i="96" s="1"/>
  <c r="W149" i="96" s="1"/>
  <c r="X149" i="96" s="1"/>
  <c r="K42" i="48"/>
  <c r="C42" i="48" s="1"/>
  <c r="E42" i="48"/>
  <c r="F42" i="48" s="1"/>
  <c r="D43" i="48"/>
  <c r="G41" i="48"/>
  <c r="H41" i="48"/>
  <c r="H11" i="76"/>
  <c r="G11" i="76"/>
  <c r="H11" i="74"/>
  <c r="G11" i="74"/>
  <c r="F12" i="76"/>
  <c r="T546" i="61"/>
  <c r="U546" i="61" s="1"/>
  <c r="D549" i="61"/>
  <c r="C549" i="61" s="1"/>
  <c r="P548" i="61"/>
  <c r="Q548" i="61" s="1"/>
  <c r="E548" i="61"/>
  <c r="F548" i="61" s="1"/>
  <c r="R547" i="61"/>
  <c r="S547" i="61"/>
  <c r="H547" i="61"/>
  <c r="G547" i="61"/>
  <c r="N11" i="75"/>
  <c r="N12" i="75" s="1"/>
  <c r="N13" i="75" s="1"/>
  <c r="N14" i="75" s="1"/>
  <c r="N15" i="75" s="1"/>
  <c r="N16" i="75" s="1"/>
  <c r="N17" i="75" s="1"/>
  <c r="N18" i="75" s="1"/>
  <c r="N19" i="75" s="1"/>
  <c r="N20" i="75" s="1"/>
  <c r="N21" i="75" s="1"/>
  <c r="N22" i="75" s="1"/>
  <c r="N23" i="75" s="1"/>
  <c r="N24" i="75" s="1"/>
  <c r="N25" i="75" s="1"/>
  <c r="N26" i="75" s="1"/>
  <c r="N27" i="75" s="1"/>
  <c r="N28" i="75" s="1"/>
  <c r="P11" i="75"/>
  <c r="P25" i="75"/>
  <c r="P21" i="75"/>
  <c r="P17" i="75"/>
  <c r="P13" i="75"/>
  <c r="P28" i="75"/>
  <c r="P24" i="75"/>
  <c r="P20" i="75"/>
  <c r="P16" i="75"/>
  <c r="P12" i="75"/>
  <c r="P27" i="75"/>
  <c r="P23" i="75"/>
  <c r="P19" i="75"/>
  <c r="P15" i="75"/>
  <c r="P26" i="75"/>
  <c r="P22" i="75"/>
  <c r="P18" i="75"/>
  <c r="N12" i="76"/>
  <c r="N13" i="76" s="1"/>
  <c r="N14" i="76" s="1"/>
  <c r="N15" i="76" s="1"/>
  <c r="N16" i="76" s="1"/>
  <c r="N17" i="76" s="1"/>
  <c r="N18" i="76" s="1"/>
  <c r="N19" i="76" s="1"/>
  <c r="N20" i="76" s="1"/>
  <c r="N21" i="76" s="1"/>
  <c r="N22" i="76" s="1"/>
  <c r="N23" i="76" s="1"/>
  <c r="N24" i="76" s="1"/>
  <c r="N25" i="76" s="1"/>
  <c r="N26" i="76" s="1"/>
  <c r="N27" i="76" s="1"/>
  <c r="N28" i="76" s="1"/>
  <c r="N29" i="76" s="1"/>
  <c r="N30" i="76" s="1"/>
  <c r="N31" i="76" s="1"/>
  <c r="N32" i="76" s="1"/>
  <c r="N33" i="76" s="1"/>
  <c r="N34" i="76" s="1"/>
  <c r="N35" i="76" s="1"/>
  <c r="N36" i="76" s="1"/>
  <c r="N37" i="76" s="1"/>
  <c r="N38" i="76" s="1"/>
  <c r="N39" i="76" s="1"/>
  <c r="N40" i="76" s="1"/>
  <c r="N41" i="76" s="1"/>
  <c r="N42" i="76" s="1"/>
  <c r="N43" i="76" s="1"/>
  <c r="N44" i="76" s="1"/>
  <c r="N45" i="76" s="1"/>
  <c r="N46" i="76" s="1"/>
  <c r="N47" i="76" s="1"/>
  <c r="N48" i="76" s="1"/>
  <c r="N49" i="76" s="1"/>
  <c r="N50" i="76" s="1"/>
  <c r="N51" i="76" s="1"/>
  <c r="N52" i="76" s="1"/>
  <c r="N53" i="76" s="1"/>
  <c r="N54" i="76" s="1"/>
  <c r="N55" i="76" s="1"/>
  <c r="N56" i="76" s="1"/>
  <c r="N57" i="76" s="1"/>
  <c r="N58" i="76" s="1"/>
  <c r="N59" i="76" s="1"/>
  <c r="N60" i="76" s="1"/>
  <c r="N61" i="76" s="1"/>
  <c r="N62" i="76" s="1"/>
  <c r="N63" i="76" s="1"/>
  <c r="N64" i="76" s="1"/>
  <c r="N65" i="76" s="1"/>
  <c r="N66" i="76" s="1"/>
  <c r="N67" i="76" s="1"/>
  <c r="N68" i="76" s="1"/>
  <c r="N69" i="76" s="1"/>
  <c r="N70" i="76" s="1"/>
  <c r="N71" i="76" s="1"/>
  <c r="N72" i="76" s="1"/>
  <c r="N73" i="76" s="1"/>
  <c r="N74" i="76" s="1"/>
  <c r="N75" i="76" s="1"/>
  <c r="N76" i="76" s="1"/>
  <c r="N77" i="76" s="1"/>
  <c r="N78" i="76" s="1"/>
  <c r="N79" i="76" s="1"/>
  <c r="N80" i="76" s="1"/>
  <c r="N81" i="76" s="1"/>
  <c r="N82" i="76" s="1"/>
  <c r="N83" i="76" s="1"/>
  <c r="N84" i="76" s="1"/>
  <c r="N85" i="76" s="1"/>
  <c r="N86" i="76" s="1"/>
  <c r="N87" i="76" s="1"/>
  <c r="N88" i="76" s="1"/>
  <c r="N89" i="76" s="1"/>
  <c r="N90" i="76" s="1"/>
  <c r="N91" i="76" s="1"/>
  <c r="N92" i="76" s="1"/>
  <c r="N93" i="76" s="1"/>
  <c r="N94" i="76" s="1"/>
  <c r="N95" i="76" s="1"/>
  <c r="N96" i="76" s="1"/>
  <c r="N97" i="76" s="1"/>
  <c r="N98" i="76" s="1"/>
  <c r="N99" i="76" s="1"/>
  <c r="N100" i="76" s="1"/>
  <c r="N101" i="76" s="1"/>
  <c r="N102" i="76" s="1"/>
  <c r="N103" i="76" s="1"/>
  <c r="N104" i="76" s="1"/>
  <c r="N105" i="76" s="1"/>
  <c r="N106" i="76" s="1"/>
  <c r="N107" i="76" s="1"/>
  <c r="N108" i="76" s="1"/>
  <c r="N109" i="76" s="1"/>
  <c r="N110" i="76" s="1"/>
  <c r="N111" i="76" s="1"/>
  <c r="N112" i="76" s="1"/>
  <c r="N113" i="76" s="1"/>
  <c r="N114" i="76" s="1"/>
  <c r="N115" i="76" s="1"/>
  <c r="N116" i="76" s="1"/>
  <c r="N117" i="76" s="1"/>
  <c r="N118" i="76" s="1"/>
  <c r="N11" i="74"/>
  <c r="N12" i="74" s="1"/>
  <c r="N13" i="74" s="1"/>
  <c r="N14" i="74" s="1"/>
  <c r="N15" i="74" s="1"/>
  <c r="N16" i="74" s="1"/>
  <c r="N17" i="74" s="1"/>
  <c r="N18" i="74" s="1"/>
  <c r="N19" i="74" s="1"/>
  <c r="N20" i="74" s="1"/>
  <c r="N21" i="74" s="1"/>
  <c r="N22" i="74" s="1"/>
  <c r="N23" i="74" s="1"/>
  <c r="N24" i="74" s="1"/>
  <c r="N25" i="74" s="1"/>
  <c r="N26" i="74" s="1"/>
  <c r="N27" i="74" s="1"/>
  <c r="N28" i="74" s="1"/>
  <c r="N29" i="74" s="1"/>
  <c r="N30" i="74" s="1"/>
  <c r="N31" i="74" s="1"/>
  <c r="N32" i="74" s="1"/>
  <c r="N33" i="74" s="1"/>
  <c r="N34" i="74" s="1"/>
  <c r="N35" i="74" s="1"/>
  <c r="N36" i="74" s="1"/>
  <c r="N37" i="74" s="1"/>
  <c r="N38" i="74" s="1"/>
  <c r="N39" i="74" s="1"/>
  <c r="N40" i="74" s="1"/>
  <c r="N41" i="74" s="1"/>
  <c r="N42" i="74" s="1"/>
  <c r="N43" i="74" s="1"/>
  <c r="N44" i="74" s="1"/>
  <c r="N45" i="74" s="1"/>
  <c r="N46" i="74" s="1"/>
  <c r="N47" i="74" s="1"/>
  <c r="N48" i="74" s="1"/>
  <c r="N49" i="74" s="1"/>
  <c r="N50" i="74" s="1"/>
  <c r="N51" i="74" s="1"/>
  <c r="N52" i="74" s="1"/>
  <c r="N53" i="74" s="1"/>
  <c r="N54" i="74" s="1"/>
  <c r="N55" i="74" s="1"/>
  <c r="N56" i="74" s="1"/>
  <c r="N57" i="74" s="1"/>
  <c r="N58" i="74" s="1"/>
  <c r="N59" i="74" s="1"/>
  <c r="N60" i="74" s="1"/>
  <c r="N61" i="74" s="1"/>
  <c r="N62" i="74" s="1"/>
  <c r="N63" i="74" s="1"/>
  <c r="N64" i="74" s="1"/>
  <c r="N65" i="74" s="1"/>
  <c r="N66" i="74" s="1"/>
  <c r="N67" i="74" s="1"/>
  <c r="N68" i="74" s="1"/>
  <c r="N69" i="74" s="1"/>
  <c r="N70" i="74" s="1"/>
  <c r="N71" i="74" s="1"/>
  <c r="N72" i="74" s="1"/>
  <c r="N73" i="74" s="1"/>
  <c r="N74" i="74" s="1"/>
  <c r="N75" i="74" s="1"/>
  <c r="N76" i="74" s="1"/>
  <c r="N77" i="74" s="1"/>
  <c r="N78" i="74" s="1"/>
  <c r="N79" i="74" s="1"/>
  <c r="N80" i="74" s="1"/>
  <c r="N81" i="74" s="1"/>
  <c r="N82" i="74" s="1"/>
  <c r="M12" i="74"/>
  <c r="M13" i="74" s="1"/>
  <c r="M14" i="74" s="1"/>
  <c r="M15" i="74" s="1"/>
  <c r="M16" i="74" s="1"/>
  <c r="M17" i="74" s="1"/>
  <c r="M18" i="74" s="1"/>
  <c r="M19" i="74" s="1"/>
  <c r="M20" i="74" s="1"/>
  <c r="M21" i="74" s="1"/>
  <c r="M22" i="74" s="1"/>
  <c r="M23" i="74" s="1"/>
  <c r="M24" i="74" s="1"/>
  <c r="M25" i="74" s="1"/>
  <c r="M26" i="74" s="1"/>
  <c r="M27" i="74" s="1"/>
  <c r="M28" i="74" s="1"/>
  <c r="M29" i="74" s="1"/>
  <c r="M30" i="74" s="1"/>
  <c r="M31" i="74" s="1"/>
  <c r="M32" i="74" s="1"/>
  <c r="M33" i="74" s="1"/>
  <c r="M34" i="74" s="1"/>
  <c r="M35" i="74" s="1"/>
  <c r="M36" i="74" s="1"/>
  <c r="M37" i="74" s="1"/>
  <c r="M38" i="74" s="1"/>
  <c r="M39" i="74" s="1"/>
  <c r="M40" i="74" s="1"/>
  <c r="M41" i="74" s="1"/>
  <c r="M42" i="74" s="1"/>
  <c r="M43" i="74" s="1"/>
  <c r="M44" i="74" s="1"/>
  <c r="M45" i="74" s="1"/>
  <c r="M46" i="74" s="1"/>
  <c r="M47" i="74" s="1"/>
  <c r="M48" i="74" s="1"/>
  <c r="M49" i="74" s="1"/>
  <c r="M50" i="74" s="1"/>
  <c r="M51" i="74" s="1"/>
  <c r="M52" i="74" s="1"/>
  <c r="M53" i="74" s="1"/>
  <c r="M54" i="74" s="1"/>
  <c r="M55" i="74" s="1"/>
  <c r="M56" i="74" s="1"/>
  <c r="M57" i="74" s="1"/>
  <c r="M58" i="74" s="1"/>
  <c r="M59" i="74" s="1"/>
  <c r="M60" i="74" s="1"/>
  <c r="M61" i="74" s="1"/>
  <c r="M62" i="74" s="1"/>
  <c r="M63" i="74" s="1"/>
  <c r="M64" i="74" s="1"/>
  <c r="M65" i="74" s="1"/>
  <c r="M66" i="74" s="1"/>
  <c r="M67" i="74" s="1"/>
  <c r="M68" i="74" s="1"/>
  <c r="M69" i="74" s="1"/>
  <c r="M70" i="74" s="1"/>
  <c r="M71" i="74" s="1"/>
  <c r="M72" i="74" s="1"/>
  <c r="M73" i="74" s="1"/>
  <c r="M74" i="74" s="1"/>
  <c r="M75" i="74" s="1"/>
  <c r="M76" i="74" s="1"/>
  <c r="M77" i="74" s="1"/>
  <c r="M78" i="74" s="1"/>
  <c r="M79" i="74" s="1"/>
  <c r="M80" i="74" s="1"/>
  <c r="M81" i="74" s="1"/>
  <c r="M82" i="74" s="1"/>
  <c r="D12" i="78"/>
  <c r="D13" i="78" s="1"/>
  <c r="E11" i="78"/>
  <c r="D300" i="78"/>
  <c r="E156" i="78"/>
  <c r="D158" i="78"/>
  <c r="N155" i="78"/>
  <c r="N156" i="78" s="1"/>
  <c r="N157" i="78" s="1"/>
  <c r="N158" i="78" s="1"/>
  <c r="N159" i="78" s="1"/>
  <c r="N160" i="78" s="1"/>
  <c r="N161" i="78" s="1"/>
  <c r="N162" i="78" s="1"/>
  <c r="N163" i="78" s="1"/>
  <c r="N164" i="78" s="1"/>
  <c r="N165" i="78" s="1"/>
  <c r="N166" i="78" s="1"/>
  <c r="N167" i="78" s="1"/>
  <c r="N168" i="78" s="1"/>
  <c r="N169" i="78" s="1"/>
  <c r="N170" i="78" s="1"/>
  <c r="N171" i="78" s="1"/>
  <c r="N172" i="78" s="1"/>
  <c r="N173" i="78" s="1"/>
  <c r="N174" i="78" s="1"/>
  <c r="N175" i="78" s="1"/>
  <c r="N176" i="78" s="1"/>
  <c r="N177" i="78" s="1"/>
  <c r="N178" i="78" s="1"/>
  <c r="N179" i="78" s="1"/>
  <c r="N180" i="78" s="1"/>
  <c r="N181" i="78" s="1"/>
  <c r="N182" i="78" s="1"/>
  <c r="N183" i="78" s="1"/>
  <c r="N184" i="78" s="1"/>
  <c r="N185" i="78" s="1"/>
  <c r="N186" i="78" s="1"/>
  <c r="N187" i="78" s="1"/>
  <c r="N188" i="78" s="1"/>
  <c r="N189" i="78" s="1"/>
  <c r="N190" i="78" s="1"/>
  <c r="N191" i="78" s="1"/>
  <c r="N192" i="78" s="1"/>
  <c r="N193" i="78" s="1"/>
  <c r="N194" i="78" s="1"/>
  <c r="N195" i="78" s="1"/>
  <c r="N196" i="78" s="1"/>
  <c r="N197" i="78" s="1"/>
  <c r="N198" i="78" s="1"/>
  <c r="N199" i="78" s="1"/>
  <c r="N200" i="78" s="1"/>
  <c r="N201" i="78" s="1"/>
  <c r="N202" i="78" s="1"/>
  <c r="N203" i="78" s="1"/>
  <c r="N204" i="78" s="1"/>
  <c r="N205" i="78" s="1"/>
  <c r="N206" i="78" s="1"/>
  <c r="N207" i="78" s="1"/>
  <c r="N208" i="78" s="1"/>
  <c r="N209" i="78" s="1"/>
  <c r="N210" i="78" s="1"/>
  <c r="N211" i="78" s="1"/>
  <c r="N212" i="78" s="1"/>
  <c r="N213" i="78" s="1"/>
  <c r="N214" i="78" s="1"/>
  <c r="N215" i="78" s="1"/>
  <c r="N216" i="78" s="1"/>
  <c r="N217" i="78" s="1"/>
  <c r="N218" i="78" s="1"/>
  <c r="N219" i="78" s="1"/>
  <c r="N220" i="78" s="1"/>
  <c r="N221" i="78" s="1"/>
  <c r="N222" i="78" s="1"/>
  <c r="N223" i="78" s="1"/>
  <c r="N224" i="78" s="1"/>
  <c r="N225" i="78" s="1"/>
  <c r="N226" i="78" s="1"/>
  <c r="N227" i="78" s="1"/>
  <c r="N228" i="78" s="1"/>
  <c r="N229" i="78" s="1"/>
  <c r="N230" i="78" s="1"/>
  <c r="N231" i="78" s="1"/>
  <c r="N232" i="78" s="1"/>
  <c r="N233" i="78" s="1"/>
  <c r="N234" i="78" s="1"/>
  <c r="N235" i="78" s="1"/>
  <c r="N236" i="78" s="1"/>
  <c r="N237" i="78" s="1"/>
  <c r="N238" i="78" s="1"/>
  <c r="N239" i="78" s="1"/>
  <c r="N240" i="78" s="1"/>
  <c r="N241" i="78" s="1"/>
  <c r="N242" i="78" s="1"/>
  <c r="N243" i="78" s="1"/>
  <c r="N244" i="78" s="1"/>
  <c r="N245" i="78" s="1"/>
  <c r="N246" i="78" s="1"/>
  <c r="N247" i="78" s="1"/>
  <c r="N248" i="78" s="1"/>
  <c r="N249" i="78" s="1"/>
  <c r="N250" i="78" s="1"/>
  <c r="N251" i="78" s="1"/>
  <c r="N252" i="78" s="1"/>
  <c r="N253" i="78" s="1"/>
  <c r="N254" i="78" s="1"/>
  <c r="N255" i="78" s="1"/>
  <c r="N256" i="78" s="1"/>
  <c r="N257" i="78" s="1"/>
  <c r="N258" i="78" s="1"/>
  <c r="N259" i="78" s="1"/>
  <c r="N260" i="78" s="1"/>
  <c r="N261" i="78" s="1"/>
  <c r="N262" i="78" s="1"/>
  <c r="N263" i="78" s="1"/>
  <c r="N264" i="78" s="1"/>
  <c r="N265" i="78" s="1"/>
  <c r="N266" i="78" s="1"/>
  <c r="N267" i="78" s="1"/>
  <c r="N268" i="78" s="1"/>
  <c r="N269" i="78" s="1"/>
  <c r="N270" i="78" s="1"/>
  <c r="N271" i="78" s="1"/>
  <c r="N272" i="78" s="1"/>
  <c r="N273" i="78" s="1"/>
  <c r="N274" i="78" s="1"/>
  <c r="N275" i="78" s="1"/>
  <c r="N276" i="78" s="1"/>
  <c r="N277" i="78" s="1"/>
  <c r="N278" i="78" s="1"/>
  <c r="N279" i="78" s="1"/>
  <c r="N280" i="78" s="1"/>
  <c r="N281" i="78" s="1"/>
  <c r="N282" i="78" s="1"/>
  <c r="N283" i="78" s="1"/>
  <c r="N284" i="78" s="1"/>
  <c r="N285" i="78" s="1"/>
  <c r="N286" i="78" s="1"/>
  <c r="N287" i="78" s="1"/>
  <c r="N288" i="78" s="1"/>
  <c r="N289" i="78" s="1"/>
  <c r="N290" i="78" s="1"/>
  <c r="N291" i="78" s="1"/>
  <c r="N292" i="78" s="1"/>
  <c r="N293" i="78" s="1"/>
  <c r="N294" i="78" s="1"/>
  <c r="N295" i="78" s="1"/>
  <c r="N296" i="78" s="1"/>
  <c r="N297" i="78" s="1"/>
  <c r="N298" i="78" s="1"/>
  <c r="N299" i="78" s="1"/>
  <c r="N300" i="78" s="1"/>
  <c r="N301" i="78" s="1"/>
  <c r="N302" i="78" s="1"/>
  <c r="N303" i="78" s="1"/>
  <c r="N304" i="78" s="1"/>
  <c r="N305" i="78" s="1"/>
  <c r="N306" i="78" s="1"/>
  <c r="N307" i="78" s="1"/>
  <c r="N308" i="78" s="1"/>
  <c r="N309" i="78" s="1"/>
  <c r="N310" i="78" s="1"/>
  <c r="N311" i="78" s="1"/>
  <c r="N312" i="78" s="1"/>
  <c r="N313" i="78" s="1"/>
  <c r="N314" i="78" s="1"/>
  <c r="N315" i="78" s="1"/>
  <c r="N316" i="78" s="1"/>
  <c r="N317" i="78" s="1"/>
  <c r="N318" i="78" s="1"/>
  <c r="N319" i="78" s="1"/>
  <c r="N320" i="78" s="1"/>
  <c r="N321" i="78" s="1"/>
  <c r="N322" i="78" s="1"/>
  <c r="N323" i="78" s="1"/>
  <c r="N324" i="78" s="1"/>
  <c r="N325" i="78" s="1"/>
  <c r="N326" i="78" s="1"/>
  <c r="N327" i="78" s="1"/>
  <c r="N328" i="78" s="1"/>
  <c r="N329" i="78" s="1"/>
  <c r="N330" i="78" s="1"/>
  <c r="N331" i="78" s="1"/>
  <c r="N332" i="78" s="1"/>
  <c r="N333" i="78" s="1"/>
  <c r="N334" i="78" s="1"/>
  <c r="N335" i="78" s="1"/>
  <c r="N336" i="78" s="1"/>
  <c r="N337" i="78" s="1"/>
  <c r="N338" i="78" s="1"/>
  <c r="N339" i="78" s="1"/>
  <c r="N340" i="78" s="1"/>
  <c r="N341" i="78" s="1"/>
  <c r="N342" i="78" s="1"/>
  <c r="N343" i="78" s="1"/>
  <c r="N344" i="78" s="1"/>
  <c r="N345" i="78" s="1"/>
  <c r="N346" i="78" s="1"/>
  <c r="N347" i="78" s="1"/>
  <c r="N348" i="78" s="1"/>
  <c r="N349" i="78" s="1"/>
  <c r="N350" i="78" s="1"/>
  <c r="N351" i="78" s="1"/>
  <c r="N352" i="78" s="1"/>
  <c r="N353" i="78" s="1"/>
  <c r="N354" i="78" s="1"/>
  <c r="N355" i="78" s="1"/>
  <c r="N356" i="78" s="1"/>
  <c r="N357" i="78" s="1"/>
  <c r="N358" i="78" s="1"/>
  <c r="N359" i="78" s="1"/>
  <c r="N360" i="78" s="1"/>
  <c r="N361" i="78" s="1"/>
  <c r="N362" i="78" s="1"/>
  <c r="N363" i="78" s="1"/>
  <c r="N364" i="78" s="1"/>
  <c r="N365" i="78" s="1"/>
  <c r="N366" i="78" s="1"/>
  <c r="N367" i="78" s="1"/>
  <c r="N368" i="78" s="1"/>
  <c r="N369" i="78" s="1"/>
  <c r="N370" i="78" s="1"/>
  <c r="N371" i="78" s="1"/>
  <c r="N372" i="78" s="1"/>
  <c r="N373" i="78" s="1"/>
  <c r="N374" i="78" s="1"/>
  <c r="N375" i="78" s="1"/>
  <c r="N376" i="78" s="1"/>
  <c r="N377" i="78" s="1"/>
  <c r="N378" i="78" s="1"/>
  <c r="N379" i="78" s="1"/>
  <c r="N380" i="78" s="1"/>
  <c r="N381" i="78" s="1"/>
  <c r="N382" i="78" s="1"/>
  <c r="N383" i="78" s="1"/>
  <c r="N384" i="78" s="1"/>
  <c r="N385" i="78" s="1"/>
  <c r="N386" i="78" s="1"/>
  <c r="N387" i="78" s="1"/>
  <c r="N388" i="78" s="1"/>
  <c r="N389" i="78" s="1"/>
  <c r="N390" i="78" s="1"/>
  <c r="N391" i="78" s="1"/>
  <c r="N392" i="78" s="1"/>
  <c r="N393" i="78" s="1"/>
  <c r="N394" i="78" s="1"/>
  <c r="N395" i="78" s="1"/>
  <c r="N396" i="78" s="1"/>
  <c r="N397" i="78" s="1"/>
  <c r="N398" i="78" s="1"/>
  <c r="N399" i="78" s="1"/>
  <c r="N400" i="78" s="1"/>
  <c r="N401" i="78" s="1"/>
  <c r="N402" i="78" s="1"/>
  <c r="N403" i="78" s="1"/>
  <c r="N404" i="78" s="1"/>
  <c r="N405" i="78" s="1"/>
  <c r="N406" i="78" s="1"/>
  <c r="N407" i="78" s="1"/>
  <c r="N408" i="78" s="1"/>
  <c r="N409" i="78" s="1"/>
  <c r="N410" i="78" s="1"/>
  <c r="N411" i="78" s="1"/>
  <c r="N412" i="78" s="1"/>
  <c r="N413" i="78" s="1"/>
  <c r="N414" i="78" s="1"/>
  <c r="N415" i="78" s="1"/>
  <c r="N416" i="78" s="1"/>
  <c r="N417" i="78" s="1"/>
  <c r="N418" i="78" s="1"/>
  <c r="N419" i="78" s="1"/>
  <c r="N420" i="78" s="1"/>
  <c r="N421" i="78" s="1"/>
  <c r="N422" i="78" s="1"/>
  <c r="N423" i="78" s="1"/>
  <c r="N424" i="78" s="1"/>
  <c r="N425" i="78" s="1"/>
  <c r="N426" i="78" s="1"/>
  <c r="N427" i="78" s="1"/>
  <c r="N428" i="78" s="1"/>
  <c r="N429" i="78" s="1"/>
  <c r="N430" i="78" s="1"/>
  <c r="N431" i="78" s="1"/>
  <c r="N432" i="78" s="1"/>
  <c r="N433" i="78" s="1"/>
  <c r="N434" i="78" s="1"/>
  <c r="N435" i="78" s="1"/>
  <c r="N436" i="78" s="1"/>
  <c r="N437" i="78" s="1"/>
  <c r="N438" i="78" s="1"/>
  <c r="N439" i="78" s="1"/>
  <c r="N440" i="78" s="1"/>
  <c r="N441" i="78" s="1"/>
  <c r="N442" i="78" s="1"/>
  <c r="Q12" i="78"/>
  <c r="Q13" i="78" s="1"/>
  <c r="Q14" i="78" s="1"/>
  <c r="Q15" i="78" s="1"/>
  <c r="Q16" i="78" s="1"/>
  <c r="Q17" i="78" s="1"/>
  <c r="Q18" i="78" s="1"/>
  <c r="Q19" i="78" s="1"/>
  <c r="Q20" i="78" s="1"/>
  <c r="Q21" i="78" s="1"/>
  <c r="Q22" i="78" s="1"/>
  <c r="Q23" i="78" s="1"/>
  <c r="Q24" i="78" s="1"/>
  <c r="Q25" i="78" s="1"/>
  <c r="Q26" i="78" s="1"/>
  <c r="Q27" i="78" s="1"/>
  <c r="Q28" i="78" s="1"/>
  <c r="Q29" i="78" s="1"/>
  <c r="Q30" i="78" s="1"/>
  <c r="Q31" i="78" s="1"/>
  <c r="Q32" i="78" s="1"/>
  <c r="Q33" i="78" s="1"/>
  <c r="Q34" i="78" s="1"/>
  <c r="Q35" i="78" s="1"/>
  <c r="Q36" i="78" s="1"/>
  <c r="Q37" i="78" s="1"/>
  <c r="Q38" i="78" s="1"/>
  <c r="Q39" i="78" s="1"/>
  <c r="Q40" i="78" s="1"/>
  <c r="Q41" i="78" s="1"/>
  <c r="Q42" i="78" s="1"/>
  <c r="Q43" i="78" s="1"/>
  <c r="Q44" i="78" s="1"/>
  <c r="Q45" i="78" s="1"/>
  <c r="Q46" i="78" s="1"/>
  <c r="Q47" i="78" s="1"/>
  <c r="Q48" i="78" s="1"/>
  <c r="Q49" i="78" s="1"/>
  <c r="Q50" i="78" s="1"/>
  <c r="Q51" i="78" s="1"/>
  <c r="Q52" i="78" s="1"/>
  <c r="Q53" i="78" s="1"/>
  <c r="Q54" i="78" s="1"/>
  <c r="Q55" i="78" s="1"/>
  <c r="Q56" i="78" s="1"/>
  <c r="Q57" i="78" s="1"/>
  <c r="Q58" i="78" s="1"/>
  <c r="Q59" i="78" s="1"/>
  <c r="Q60" i="78" s="1"/>
  <c r="Q61" i="78" s="1"/>
  <c r="Q62" i="78" s="1"/>
  <c r="Q63" i="78" s="1"/>
  <c r="Q64" i="78" s="1"/>
  <c r="Q65" i="78" s="1"/>
  <c r="Q66" i="78" s="1"/>
  <c r="Q67" i="78" s="1"/>
  <c r="Q68" i="78" s="1"/>
  <c r="Q69" i="78" s="1"/>
  <c r="Q70" i="78" s="1"/>
  <c r="Q71" i="78" s="1"/>
  <c r="Q72" i="78" s="1"/>
  <c r="Q73" i="78" s="1"/>
  <c r="Q74" i="78" s="1"/>
  <c r="Q75" i="78" s="1"/>
  <c r="Q76" i="78" s="1"/>
  <c r="Q77" i="78" s="1"/>
  <c r="Q78" i="78" s="1"/>
  <c r="Q79" i="78" s="1"/>
  <c r="Q80" i="78" s="1"/>
  <c r="Q81" i="78" s="1"/>
  <c r="Q82" i="78" s="1"/>
  <c r="Q83" i="78" s="1"/>
  <c r="Q84" i="78" s="1"/>
  <c r="Q85" i="78" s="1"/>
  <c r="Q86" i="78" s="1"/>
  <c r="Q87" i="78" s="1"/>
  <c r="Q88" i="78" s="1"/>
  <c r="Q89" i="78" s="1"/>
  <c r="Q90" i="78" s="1"/>
  <c r="Q91" i="78" s="1"/>
  <c r="Q92" i="78" s="1"/>
  <c r="Q93" i="78" s="1"/>
  <c r="Q94" i="78" s="1"/>
  <c r="Q95" i="78" s="1"/>
  <c r="Q96" i="78" s="1"/>
  <c r="Q97" i="78" s="1"/>
  <c r="Q98" i="78" s="1"/>
  <c r="Q99" i="78" s="1"/>
  <c r="Q100" i="78" s="1"/>
  <c r="Q101" i="78" s="1"/>
  <c r="Q102" i="78" s="1"/>
  <c r="Q103" i="78" s="1"/>
  <c r="Q104" i="78" s="1"/>
  <c r="Q105" i="78" s="1"/>
  <c r="Q106" i="78" s="1"/>
  <c r="Q107" i="78" s="1"/>
  <c r="Q108" i="78" s="1"/>
  <c r="Q109" i="78" s="1"/>
  <c r="Q110" i="78" s="1"/>
  <c r="Q111" i="78" s="1"/>
  <c r="Q112" i="78" s="1"/>
  <c r="Q113" i="78" s="1"/>
  <c r="Q114" i="78" s="1"/>
  <c r="Q115" i="78" s="1"/>
  <c r="Q116" i="78" s="1"/>
  <c r="Q117" i="78" s="1"/>
  <c r="Q118" i="78" s="1"/>
  <c r="Q119" i="78" s="1"/>
  <c r="Q120" i="78" s="1"/>
  <c r="Q121" i="78" s="1"/>
  <c r="Q122" i="78" s="1"/>
  <c r="Q123" i="78" s="1"/>
  <c r="Q124" i="78" s="1"/>
  <c r="Q125" i="78" s="1"/>
  <c r="Q126" i="78" s="1"/>
  <c r="Q127" i="78" s="1"/>
  <c r="Q128" i="78" s="1"/>
  <c r="Q129" i="78" s="1"/>
  <c r="Q130" i="78" s="1"/>
  <c r="Q131" i="78" s="1"/>
  <c r="Q132" i="78" s="1"/>
  <c r="Q133" i="78" s="1"/>
  <c r="Q134" i="78" s="1"/>
  <c r="Q135" i="78" s="1"/>
  <c r="Q136" i="78" s="1"/>
  <c r="Q137" i="78" s="1"/>
  <c r="Q138" i="78" s="1"/>
  <c r="Q139" i="78" s="1"/>
  <c r="Q140" i="78" s="1"/>
  <c r="Q141" i="78" s="1"/>
  <c r="Q142" i="78" s="1"/>
  <c r="Q143" i="78" s="1"/>
  <c r="Q144" i="78" s="1"/>
  <c r="Q145" i="78" s="1"/>
  <c r="Q146" i="78" s="1"/>
  <c r="Q147" i="78" s="1"/>
  <c r="Q148" i="78" s="1"/>
  <c r="Q149" i="78" s="1"/>
  <c r="Q150" i="78" s="1"/>
  <c r="Q151" i="78" s="1"/>
  <c r="Q152" i="78" s="1"/>
  <c r="Q153" i="78" s="1"/>
  <c r="Q154" i="78" s="1"/>
  <c r="Q155" i="78" s="1"/>
  <c r="Q156" i="78" s="1"/>
  <c r="Q157" i="78" s="1"/>
  <c r="Q158" i="78" s="1"/>
  <c r="Q159" i="78" s="1"/>
  <c r="Q160" i="78" s="1"/>
  <c r="Q161" i="78" s="1"/>
  <c r="Q162" i="78" s="1"/>
  <c r="Q163" i="78" s="1"/>
  <c r="Q164" i="78" s="1"/>
  <c r="Q165" i="78" s="1"/>
  <c r="Q166" i="78" s="1"/>
  <c r="Q167" i="78" s="1"/>
  <c r="Q168" i="78" s="1"/>
  <c r="Q169" i="78" s="1"/>
  <c r="Q170" i="78" s="1"/>
  <c r="Q171" i="78" s="1"/>
  <c r="Q172" i="78" s="1"/>
  <c r="Q173" i="78" s="1"/>
  <c r="Q174" i="78" s="1"/>
  <c r="Q175" i="78" s="1"/>
  <c r="Q176" i="78" s="1"/>
  <c r="Q177" i="78" s="1"/>
  <c r="Q178" i="78" s="1"/>
  <c r="Q179" i="78" s="1"/>
  <c r="Q180" i="78" s="1"/>
  <c r="Q181" i="78" s="1"/>
  <c r="Q182" i="78" s="1"/>
  <c r="Q183" i="78" s="1"/>
  <c r="Q184" i="78" s="1"/>
  <c r="Q185" i="78" s="1"/>
  <c r="Q186" i="78" s="1"/>
  <c r="Q187" i="78" s="1"/>
  <c r="Q188" i="78" s="1"/>
  <c r="Q189" i="78" s="1"/>
  <c r="Q190" i="78" s="1"/>
  <c r="Q191" i="78" s="1"/>
  <c r="Q192" i="78" s="1"/>
  <c r="Q193" i="78" s="1"/>
  <c r="Q194" i="78" s="1"/>
  <c r="Q195" i="78" s="1"/>
  <c r="Q196" i="78" s="1"/>
  <c r="Q197" i="78" s="1"/>
  <c r="Q198" i="78" s="1"/>
  <c r="Q199" i="78" s="1"/>
  <c r="Q200" i="78" s="1"/>
  <c r="Q201" i="78" s="1"/>
  <c r="Q202" i="78" s="1"/>
  <c r="Q203" i="78" s="1"/>
  <c r="Q204" i="78" s="1"/>
  <c r="Q205" i="78" s="1"/>
  <c r="Q206" i="78" s="1"/>
  <c r="Q207" i="78" s="1"/>
  <c r="Q208" i="78" s="1"/>
  <c r="Q209" i="78" s="1"/>
  <c r="Q210" i="78" s="1"/>
  <c r="Q211" i="78" s="1"/>
  <c r="Q212" i="78" s="1"/>
  <c r="Q213" i="78" s="1"/>
  <c r="Q214" i="78" s="1"/>
  <c r="Q215" i="78" s="1"/>
  <c r="Q216" i="78" s="1"/>
  <c r="Q217" i="78" s="1"/>
  <c r="Q218" i="78" s="1"/>
  <c r="Q219" i="78" s="1"/>
  <c r="Q220" i="78" s="1"/>
  <c r="Q221" i="78" s="1"/>
  <c r="Q222" i="78" s="1"/>
  <c r="Q223" i="78" s="1"/>
  <c r="Q224" i="78" s="1"/>
  <c r="Q225" i="78" s="1"/>
  <c r="Q226" i="78" s="1"/>
  <c r="Q227" i="78" s="1"/>
  <c r="Q228" i="78" s="1"/>
  <c r="Q229" i="78" s="1"/>
  <c r="Q230" i="78" s="1"/>
  <c r="Q231" i="78" s="1"/>
  <c r="Q232" i="78" s="1"/>
  <c r="Q233" i="78" s="1"/>
  <c r="Q234" i="78" s="1"/>
  <c r="Q235" i="78" s="1"/>
  <c r="Q236" i="78" s="1"/>
  <c r="Q237" i="78" s="1"/>
  <c r="Q238" i="78" s="1"/>
  <c r="Q239" i="78" s="1"/>
  <c r="Q240" i="78" s="1"/>
  <c r="Q241" i="78" s="1"/>
  <c r="Q242" i="78" s="1"/>
  <c r="Q243" i="78" s="1"/>
  <c r="Q244" i="78" s="1"/>
  <c r="Q245" i="78" s="1"/>
  <c r="Q246" i="78" s="1"/>
  <c r="Q247" i="78" s="1"/>
  <c r="Q248" i="78" s="1"/>
  <c r="Q249" i="78" s="1"/>
  <c r="Q250" i="78" s="1"/>
  <c r="Q251" i="78" s="1"/>
  <c r="Q252" i="78" s="1"/>
  <c r="Q253" i="78" s="1"/>
  <c r="Q254" i="78" s="1"/>
  <c r="Q255" i="78" s="1"/>
  <c r="Q256" i="78" s="1"/>
  <c r="Q257" i="78" s="1"/>
  <c r="Q258" i="78" s="1"/>
  <c r="Q259" i="78" s="1"/>
  <c r="Q260" i="78" s="1"/>
  <c r="Q261" i="78" s="1"/>
  <c r="Q262" i="78" s="1"/>
  <c r="Q263" i="78" s="1"/>
  <c r="Q264" i="78" s="1"/>
  <c r="Q265" i="78" s="1"/>
  <c r="Q266" i="78" s="1"/>
  <c r="Q267" i="78" s="1"/>
  <c r="Q268" i="78" s="1"/>
  <c r="Q269" i="78" s="1"/>
  <c r="Q270" i="78" s="1"/>
  <c r="Q271" i="78" s="1"/>
  <c r="Q272" i="78" s="1"/>
  <c r="Q273" i="78" s="1"/>
  <c r="Q274" i="78" s="1"/>
  <c r="Q275" i="78" s="1"/>
  <c r="Q276" i="78" s="1"/>
  <c r="Q277" i="78" s="1"/>
  <c r="Q278" i="78" s="1"/>
  <c r="Q279" i="78" s="1"/>
  <c r="Q280" i="78" s="1"/>
  <c r="Q281" i="78" s="1"/>
  <c r="Q282" i="78" s="1"/>
  <c r="Q283" i="78" s="1"/>
  <c r="Q284" i="78" s="1"/>
  <c r="Q285" i="78" s="1"/>
  <c r="Q286" i="78" s="1"/>
  <c r="Q287" i="78" s="1"/>
  <c r="Q288" i="78" s="1"/>
  <c r="Q289" i="78" s="1"/>
  <c r="Q290" i="78" s="1"/>
  <c r="Q291" i="78" s="1"/>
  <c r="Q292" i="78" s="1"/>
  <c r="Q293" i="78" s="1"/>
  <c r="Q294" i="78" s="1"/>
  <c r="Q295" i="78" s="1"/>
  <c r="Q296" i="78" s="1"/>
  <c r="Q297" i="78" s="1"/>
  <c r="Q298" i="78" s="1"/>
  <c r="Q299" i="78" s="1"/>
  <c r="Q300" i="78" s="1"/>
  <c r="Q301" i="78" s="1"/>
  <c r="Q302" i="78" s="1"/>
  <c r="Q303" i="78" s="1"/>
  <c r="Q304" i="78" s="1"/>
  <c r="Q305" i="78" s="1"/>
  <c r="Q306" i="78" s="1"/>
  <c r="Q307" i="78" s="1"/>
  <c r="Q308" i="78" s="1"/>
  <c r="Q309" i="78" s="1"/>
  <c r="Q310" i="78" s="1"/>
  <c r="Q311" i="78" s="1"/>
  <c r="Q312" i="78" s="1"/>
  <c r="Q313" i="78" s="1"/>
  <c r="Q314" i="78" s="1"/>
  <c r="Q315" i="78" s="1"/>
  <c r="Q316" i="78" s="1"/>
  <c r="Q317" i="78" s="1"/>
  <c r="Q318" i="78" s="1"/>
  <c r="Q319" i="78" s="1"/>
  <c r="Q320" i="78" s="1"/>
  <c r="Q321" i="78" s="1"/>
  <c r="Q322" i="78" s="1"/>
  <c r="Q323" i="78" s="1"/>
  <c r="Q324" i="78" s="1"/>
  <c r="Q325" i="78" s="1"/>
  <c r="Q326" i="78" s="1"/>
  <c r="Q327" i="78" s="1"/>
  <c r="Q328" i="78" s="1"/>
  <c r="Q329" i="78" s="1"/>
  <c r="Q330" i="78" s="1"/>
  <c r="Q331" i="78" s="1"/>
  <c r="Q332" i="78" s="1"/>
  <c r="Q333" i="78" s="1"/>
  <c r="Q334" i="78" s="1"/>
  <c r="Q335" i="78" s="1"/>
  <c r="Q336" i="78" s="1"/>
  <c r="Q337" i="78" s="1"/>
  <c r="Q338" i="78" s="1"/>
  <c r="Q339" i="78" s="1"/>
  <c r="Q340" i="78" s="1"/>
  <c r="Q341" i="78" s="1"/>
  <c r="Q342" i="78" s="1"/>
  <c r="Q343" i="78" s="1"/>
  <c r="Q344" i="78" s="1"/>
  <c r="Q345" i="78" s="1"/>
  <c r="Q346" i="78" s="1"/>
  <c r="Q347" i="78" s="1"/>
  <c r="Q348" i="78" s="1"/>
  <c r="Q349" i="78" s="1"/>
  <c r="Q350" i="78" s="1"/>
  <c r="Q351" i="78" s="1"/>
  <c r="Q352" i="78" s="1"/>
  <c r="Q353" i="78" s="1"/>
  <c r="Q354" i="78" s="1"/>
  <c r="Q355" i="78" s="1"/>
  <c r="Q356" i="78" s="1"/>
  <c r="Q357" i="78" s="1"/>
  <c r="Q358" i="78" s="1"/>
  <c r="Q359" i="78" s="1"/>
  <c r="Q360" i="78" s="1"/>
  <c r="Q361" i="78" s="1"/>
  <c r="Q362" i="78" s="1"/>
  <c r="Q363" i="78" s="1"/>
  <c r="Q364" i="78" s="1"/>
  <c r="Q365" i="78" s="1"/>
  <c r="Q366" i="78" s="1"/>
  <c r="Q367" i="78" s="1"/>
  <c r="Q368" i="78" s="1"/>
  <c r="Q369" i="78" s="1"/>
  <c r="Q370" i="78" s="1"/>
  <c r="Q371" i="78" s="1"/>
  <c r="Q372" i="78" s="1"/>
  <c r="Q373" i="78" s="1"/>
  <c r="Q374" i="78" s="1"/>
  <c r="Q375" i="78" s="1"/>
  <c r="Q376" i="78" s="1"/>
  <c r="Q377" i="78" s="1"/>
  <c r="Q378" i="78" s="1"/>
  <c r="Q379" i="78" s="1"/>
  <c r="Q380" i="78" s="1"/>
  <c r="Q381" i="78" s="1"/>
  <c r="Q382" i="78" s="1"/>
  <c r="Q383" i="78" s="1"/>
  <c r="Q384" i="78" s="1"/>
  <c r="Q385" i="78" s="1"/>
  <c r="Q386" i="78" s="1"/>
  <c r="Q387" i="78" s="1"/>
  <c r="Q388" i="78" s="1"/>
  <c r="Q389" i="78" s="1"/>
  <c r="Q390" i="78" s="1"/>
  <c r="Q391" i="78" s="1"/>
  <c r="Q392" i="78" s="1"/>
  <c r="Q393" i="78" s="1"/>
  <c r="Q394" i="78" s="1"/>
  <c r="Q395" i="78" s="1"/>
  <c r="Q396" i="78" s="1"/>
  <c r="Q397" i="78" s="1"/>
  <c r="Q398" i="78" s="1"/>
  <c r="Q399" i="78" s="1"/>
  <c r="Q400" i="78" s="1"/>
  <c r="Q401" i="78" s="1"/>
  <c r="Q402" i="78" s="1"/>
  <c r="Q403" i="78" s="1"/>
  <c r="Q404" i="78" s="1"/>
  <c r="Q405" i="78" s="1"/>
  <c r="Q406" i="78" s="1"/>
  <c r="Q407" i="78" s="1"/>
  <c r="Q408" i="78" s="1"/>
  <c r="Q409" i="78" s="1"/>
  <c r="Q410" i="78" s="1"/>
  <c r="Q411" i="78" s="1"/>
  <c r="Q412" i="78" s="1"/>
  <c r="Q413" i="78" s="1"/>
  <c r="Q414" i="78" s="1"/>
  <c r="Q415" i="78" s="1"/>
  <c r="Q416" i="78" s="1"/>
  <c r="Q417" i="78" s="1"/>
  <c r="Q418" i="78" s="1"/>
  <c r="Q419" i="78" s="1"/>
  <c r="Q420" i="78" s="1"/>
  <c r="Q421" i="78" s="1"/>
  <c r="Q422" i="78" s="1"/>
  <c r="Q423" i="78" s="1"/>
  <c r="Q424" i="78" s="1"/>
  <c r="Q425" i="78" s="1"/>
  <c r="Q426" i="78" s="1"/>
  <c r="Q427" i="78" s="1"/>
  <c r="Q428" i="78" s="1"/>
  <c r="Q429" i="78" s="1"/>
  <c r="Q430" i="78" s="1"/>
  <c r="Q431" i="78" s="1"/>
  <c r="Q432" i="78" s="1"/>
  <c r="Q433" i="78" s="1"/>
  <c r="Q434" i="78" s="1"/>
  <c r="Q435" i="78" s="1"/>
  <c r="Q436" i="78" s="1"/>
  <c r="Q437" i="78" s="1"/>
  <c r="Q438" i="78" s="1"/>
  <c r="Q439" i="78" s="1"/>
  <c r="Q440" i="78" s="1"/>
  <c r="Q441" i="78" s="1"/>
  <c r="Q442" i="78" s="1"/>
  <c r="R11" i="78"/>
  <c r="R12" i="78" s="1"/>
  <c r="R13" i="78" s="1"/>
  <c r="R14" i="78" s="1"/>
  <c r="R15" i="78" s="1"/>
  <c r="R16" i="78" s="1"/>
  <c r="R17" i="78" s="1"/>
  <c r="R18" i="78" s="1"/>
  <c r="R19" i="78" s="1"/>
  <c r="R20" i="78" s="1"/>
  <c r="R21" i="78" s="1"/>
  <c r="R22" i="78" s="1"/>
  <c r="R23" i="78" s="1"/>
  <c r="R24" i="78" s="1"/>
  <c r="R25" i="78" s="1"/>
  <c r="R26" i="78" s="1"/>
  <c r="R27" i="78" s="1"/>
  <c r="R28" i="78" s="1"/>
  <c r="R29" i="78" s="1"/>
  <c r="R30" i="78" s="1"/>
  <c r="R31" i="78" s="1"/>
  <c r="R32" i="78" s="1"/>
  <c r="R33" i="78" s="1"/>
  <c r="R34" i="78" s="1"/>
  <c r="R35" i="78" s="1"/>
  <c r="R36" i="78" s="1"/>
  <c r="R37" i="78" s="1"/>
  <c r="R38" i="78" s="1"/>
  <c r="R39" i="78" s="1"/>
  <c r="R40" i="78" s="1"/>
  <c r="R41" i="78" s="1"/>
  <c r="R42" i="78" s="1"/>
  <c r="R43" i="78" s="1"/>
  <c r="R44" i="78" s="1"/>
  <c r="R45" i="78" s="1"/>
  <c r="R46" i="78" s="1"/>
  <c r="R47" i="78" s="1"/>
  <c r="R48" i="78" s="1"/>
  <c r="R49" i="78" s="1"/>
  <c r="R50" i="78" s="1"/>
  <c r="R51" i="78" s="1"/>
  <c r="R52" i="78" s="1"/>
  <c r="R53" i="78" s="1"/>
  <c r="R54" i="78" s="1"/>
  <c r="R55" i="78" s="1"/>
  <c r="R56" i="78" s="1"/>
  <c r="R57" i="78" s="1"/>
  <c r="R58" i="78" s="1"/>
  <c r="R59" i="78" s="1"/>
  <c r="R60" i="78" s="1"/>
  <c r="R61" i="78" s="1"/>
  <c r="R62" i="78" s="1"/>
  <c r="R63" i="78" s="1"/>
  <c r="R64" i="78" s="1"/>
  <c r="R65" i="78" s="1"/>
  <c r="R66" i="78" s="1"/>
  <c r="R67" i="78" s="1"/>
  <c r="R68" i="78" s="1"/>
  <c r="R69" i="78" s="1"/>
  <c r="R70" i="78" s="1"/>
  <c r="R71" i="78" s="1"/>
  <c r="R72" i="78" s="1"/>
  <c r="R73" i="78" s="1"/>
  <c r="R74" i="78" s="1"/>
  <c r="R75" i="78" s="1"/>
  <c r="R76" i="78" s="1"/>
  <c r="R77" i="78" s="1"/>
  <c r="R78" i="78" s="1"/>
  <c r="R79" i="78" s="1"/>
  <c r="R80" i="78" s="1"/>
  <c r="R81" i="78" s="1"/>
  <c r="R82" i="78" s="1"/>
  <c r="R83" i="78" s="1"/>
  <c r="R84" i="78" s="1"/>
  <c r="R85" i="78" s="1"/>
  <c r="R86" i="78" s="1"/>
  <c r="R87" i="78" s="1"/>
  <c r="R88" i="78" s="1"/>
  <c r="R89" i="78" s="1"/>
  <c r="R90" i="78" s="1"/>
  <c r="R91" i="78" s="1"/>
  <c r="R92" i="78" s="1"/>
  <c r="R93" i="78" s="1"/>
  <c r="R94" i="78" s="1"/>
  <c r="R95" i="78" s="1"/>
  <c r="R96" i="78" s="1"/>
  <c r="R97" i="78" s="1"/>
  <c r="R98" i="78" s="1"/>
  <c r="R99" i="78" s="1"/>
  <c r="R100" i="78" s="1"/>
  <c r="R101" i="78" s="1"/>
  <c r="R102" i="78" s="1"/>
  <c r="R103" i="78" s="1"/>
  <c r="R104" i="78" s="1"/>
  <c r="R105" i="78" s="1"/>
  <c r="R106" i="78" s="1"/>
  <c r="R107" i="78" s="1"/>
  <c r="R108" i="78" s="1"/>
  <c r="R109" i="78" s="1"/>
  <c r="R110" i="78" s="1"/>
  <c r="R111" i="78" s="1"/>
  <c r="R112" i="78" s="1"/>
  <c r="R113" i="78" s="1"/>
  <c r="R114" i="78" s="1"/>
  <c r="R115" i="78" s="1"/>
  <c r="R116" i="78" s="1"/>
  <c r="R117" i="78" s="1"/>
  <c r="R118" i="78" s="1"/>
  <c r="R119" i="78" s="1"/>
  <c r="R120" i="78" s="1"/>
  <c r="R121" i="78" s="1"/>
  <c r="R122" i="78" s="1"/>
  <c r="R123" i="78" s="1"/>
  <c r="R124" i="78" s="1"/>
  <c r="R125" i="78" s="1"/>
  <c r="R126" i="78" s="1"/>
  <c r="R127" i="78" s="1"/>
  <c r="R128" i="78" s="1"/>
  <c r="R129" i="78" s="1"/>
  <c r="R130" i="78" s="1"/>
  <c r="R131" i="78" s="1"/>
  <c r="R132" i="78" s="1"/>
  <c r="R133" i="78" s="1"/>
  <c r="R134" i="78" s="1"/>
  <c r="R135" i="78" s="1"/>
  <c r="R136" i="78" s="1"/>
  <c r="R137" i="78" s="1"/>
  <c r="R138" i="78" s="1"/>
  <c r="R139" i="78" s="1"/>
  <c r="R140" i="78" s="1"/>
  <c r="R141" i="78" s="1"/>
  <c r="R142" i="78" s="1"/>
  <c r="R143" i="78" s="1"/>
  <c r="R144" i="78" s="1"/>
  <c r="R145" i="78" s="1"/>
  <c r="R146" i="78" s="1"/>
  <c r="R147" i="78" s="1"/>
  <c r="R148" i="78" s="1"/>
  <c r="R149" i="78" s="1"/>
  <c r="R150" i="78" s="1"/>
  <c r="R151" i="78" s="1"/>
  <c r="R152" i="78" s="1"/>
  <c r="R153" i="78" s="1"/>
  <c r="R154" i="78" s="1"/>
  <c r="R155" i="78" s="1"/>
  <c r="R156" i="78" s="1"/>
  <c r="R157" i="78" s="1"/>
  <c r="R158" i="78" s="1"/>
  <c r="R159" i="78" s="1"/>
  <c r="R160" i="78" s="1"/>
  <c r="R161" i="78" s="1"/>
  <c r="R162" i="78" s="1"/>
  <c r="R163" i="78" s="1"/>
  <c r="R164" i="78" s="1"/>
  <c r="R165" i="78" s="1"/>
  <c r="R166" i="78" s="1"/>
  <c r="R167" i="78" s="1"/>
  <c r="R168" i="78" s="1"/>
  <c r="R169" i="78" s="1"/>
  <c r="R170" i="78" s="1"/>
  <c r="R171" i="78" s="1"/>
  <c r="R172" i="78" s="1"/>
  <c r="R173" i="78" s="1"/>
  <c r="R174" i="78" s="1"/>
  <c r="R175" i="78" s="1"/>
  <c r="R176" i="78" s="1"/>
  <c r="R177" i="78" s="1"/>
  <c r="R178" i="78" s="1"/>
  <c r="R179" i="78" s="1"/>
  <c r="R180" i="78" s="1"/>
  <c r="R181" i="78" s="1"/>
  <c r="R182" i="78" s="1"/>
  <c r="R183" i="78" s="1"/>
  <c r="R184" i="78" s="1"/>
  <c r="R185" i="78" s="1"/>
  <c r="R186" i="78" s="1"/>
  <c r="R187" i="78" s="1"/>
  <c r="R188" i="78" s="1"/>
  <c r="R189" i="78" s="1"/>
  <c r="R190" i="78" s="1"/>
  <c r="R191" i="78" s="1"/>
  <c r="R192" i="78" s="1"/>
  <c r="R193" i="78" s="1"/>
  <c r="R194" i="78" s="1"/>
  <c r="R195" i="78" s="1"/>
  <c r="R196" i="78" s="1"/>
  <c r="R197" i="78" s="1"/>
  <c r="R198" i="78" s="1"/>
  <c r="R199" i="78" s="1"/>
  <c r="R200" i="78" s="1"/>
  <c r="R201" i="78" s="1"/>
  <c r="R202" i="78" s="1"/>
  <c r="R203" i="78" s="1"/>
  <c r="R204" i="78" s="1"/>
  <c r="R205" i="78" s="1"/>
  <c r="R206" i="78" s="1"/>
  <c r="R207" i="78" s="1"/>
  <c r="R208" i="78" s="1"/>
  <c r="R209" i="78" s="1"/>
  <c r="R210" i="78" s="1"/>
  <c r="R211" i="78" s="1"/>
  <c r="R212" i="78" s="1"/>
  <c r="R213" i="78" s="1"/>
  <c r="R214" i="78" s="1"/>
  <c r="R215" i="78" s="1"/>
  <c r="R216" i="78" s="1"/>
  <c r="R217" i="78" s="1"/>
  <c r="R218" i="78" s="1"/>
  <c r="R219" i="78" s="1"/>
  <c r="R220" i="78" s="1"/>
  <c r="R221" i="78" s="1"/>
  <c r="R222" i="78" s="1"/>
  <c r="R223" i="78" s="1"/>
  <c r="R224" i="78" s="1"/>
  <c r="R225" i="78" s="1"/>
  <c r="R226" i="78" s="1"/>
  <c r="R227" i="78" s="1"/>
  <c r="R228" i="78" s="1"/>
  <c r="R229" i="78" s="1"/>
  <c r="R230" i="78" s="1"/>
  <c r="R231" i="78" s="1"/>
  <c r="R232" i="78" s="1"/>
  <c r="R233" i="78" s="1"/>
  <c r="R234" i="78" s="1"/>
  <c r="R235" i="78" s="1"/>
  <c r="R236" i="78" s="1"/>
  <c r="R237" i="78" s="1"/>
  <c r="R238" i="78" s="1"/>
  <c r="R239" i="78" s="1"/>
  <c r="R240" i="78" s="1"/>
  <c r="R241" i="78" s="1"/>
  <c r="R242" i="78" s="1"/>
  <c r="R243" i="78" s="1"/>
  <c r="R244" i="78" s="1"/>
  <c r="R245" i="78" s="1"/>
  <c r="R246" i="78" s="1"/>
  <c r="R247" i="78" s="1"/>
  <c r="R248" i="78" s="1"/>
  <c r="R249" i="78" s="1"/>
  <c r="R250" i="78" s="1"/>
  <c r="R251" i="78" s="1"/>
  <c r="R252" i="78" s="1"/>
  <c r="R253" i="78" s="1"/>
  <c r="R254" i="78" s="1"/>
  <c r="R255" i="78" s="1"/>
  <c r="R256" i="78" s="1"/>
  <c r="R257" i="78" s="1"/>
  <c r="R258" i="78" s="1"/>
  <c r="R259" i="78" s="1"/>
  <c r="R260" i="78" s="1"/>
  <c r="R261" i="78" s="1"/>
  <c r="R262" i="78" s="1"/>
  <c r="R263" i="78" s="1"/>
  <c r="R264" i="78" s="1"/>
  <c r="R265" i="78" s="1"/>
  <c r="R266" i="78" s="1"/>
  <c r="R267" i="78" s="1"/>
  <c r="R268" i="78" s="1"/>
  <c r="R269" i="78" s="1"/>
  <c r="R270" i="78" s="1"/>
  <c r="R271" i="78" s="1"/>
  <c r="R272" i="78" s="1"/>
  <c r="R273" i="78" s="1"/>
  <c r="R274" i="78" s="1"/>
  <c r="R275" i="78" s="1"/>
  <c r="R276" i="78" s="1"/>
  <c r="R277" i="78" s="1"/>
  <c r="R278" i="78" s="1"/>
  <c r="R279" i="78" s="1"/>
  <c r="R280" i="78" s="1"/>
  <c r="R281" i="78" s="1"/>
  <c r="R282" i="78" s="1"/>
  <c r="R283" i="78" s="1"/>
  <c r="R284" i="78" s="1"/>
  <c r="R285" i="78" s="1"/>
  <c r="R286" i="78" s="1"/>
  <c r="R287" i="78" s="1"/>
  <c r="R288" i="78" s="1"/>
  <c r="R289" i="78" s="1"/>
  <c r="R290" i="78" s="1"/>
  <c r="R291" i="78" s="1"/>
  <c r="R292" i="78" s="1"/>
  <c r="R293" i="78" s="1"/>
  <c r="R294" i="78" s="1"/>
  <c r="R295" i="78" s="1"/>
  <c r="R296" i="78" s="1"/>
  <c r="R297" i="78" s="1"/>
  <c r="R298" i="78" s="1"/>
  <c r="R299" i="78" s="1"/>
  <c r="R300" i="78" s="1"/>
  <c r="R301" i="78" s="1"/>
  <c r="R302" i="78" s="1"/>
  <c r="R303" i="78" s="1"/>
  <c r="R304" i="78" s="1"/>
  <c r="R305" i="78" s="1"/>
  <c r="R306" i="78" s="1"/>
  <c r="R307" i="78" s="1"/>
  <c r="R308" i="78" s="1"/>
  <c r="R309" i="78" s="1"/>
  <c r="R310" i="78" s="1"/>
  <c r="R311" i="78" s="1"/>
  <c r="R312" i="78" s="1"/>
  <c r="R313" i="78" s="1"/>
  <c r="R314" i="78" s="1"/>
  <c r="R315" i="78" s="1"/>
  <c r="R316" i="78" s="1"/>
  <c r="R317" i="78" s="1"/>
  <c r="R318" i="78" s="1"/>
  <c r="R319" i="78" s="1"/>
  <c r="R320" i="78" s="1"/>
  <c r="R321" i="78" s="1"/>
  <c r="R322" i="78" s="1"/>
  <c r="R323" i="78" s="1"/>
  <c r="R324" i="78" s="1"/>
  <c r="R325" i="78" s="1"/>
  <c r="R326" i="78" s="1"/>
  <c r="R327" i="78" s="1"/>
  <c r="R328" i="78" s="1"/>
  <c r="R329" i="78" s="1"/>
  <c r="R330" i="78" s="1"/>
  <c r="R331" i="78" s="1"/>
  <c r="R332" i="78" s="1"/>
  <c r="R333" i="78" s="1"/>
  <c r="R334" i="78" s="1"/>
  <c r="R335" i="78" s="1"/>
  <c r="R336" i="78" s="1"/>
  <c r="R337" i="78" s="1"/>
  <c r="R338" i="78" s="1"/>
  <c r="R339" i="78" s="1"/>
  <c r="R340" i="78" s="1"/>
  <c r="R341" i="78" s="1"/>
  <c r="R342" i="78" s="1"/>
  <c r="R343" i="78" s="1"/>
  <c r="R344" i="78" s="1"/>
  <c r="R345" i="78" s="1"/>
  <c r="R346" i="78" s="1"/>
  <c r="R347" i="78" s="1"/>
  <c r="R348" i="78" s="1"/>
  <c r="R349" i="78" s="1"/>
  <c r="R350" i="78" s="1"/>
  <c r="R351" i="78" s="1"/>
  <c r="R352" i="78" s="1"/>
  <c r="R353" i="78" s="1"/>
  <c r="R354" i="78" s="1"/>
  <c r="R355" i="78" s="1"/>
  <c r="R356" i="78" s="1"/>
  <c r="R357" i="78" s="1"/>
  <c r="R358" i="78" s="1"/>
  <c r="R359" i="78" s="1"/>
  <c r="R360" i="78" s="1"/>
  <c r="R361" i="78" s="1"/>
  <c r="R362" i="78" s="1"/>
  <c r="R363" i="78" s="1"/>
  <c r="R364" i="78" s="1"/>
  <c r="R365" i="78" s="1"/>
  <c r="R366" i="78" s="1"/>
  <c r="R367" i="78" s="1"/>
  <c r="R368" i="78" s="1"/>
  <c r="R369" i="78" s="1"/>
  <c r="R370" i="78" s="1"/>
  <c r="R371" i="78" s="1"/>
  <c r="R372" i="78" s="1"/>
  <c r="R373" i="78" s="1"/>
  <c r="R374" i="78" s="1"/>
  <c r="R375" i="78" s="1"/>
  <c r="R376" i="78" s="1"/>
  <c r="R377" i="78" s="1"/>
  <c r="R378" i="78" s="1"/>
  <c r="R379" i="78" s="1"/>
  <c r="R380" i="78" s="1"/>
  <c r="R381" i="78" s="1"/>
  <c r="R382" i="78" s="1"/>
  <c r="R383" i="78" s="1"/>
  <c r="R384" i="78" s="1"/>
  <c r="R385" i="78" s="1"/>
  <c r="R386" i="78" s="1"/>
  <c r="R387" i="78" s="1"/>
  <c r="R388" i="78" s="1"/>
  <c r="R389" i="78" s="1"/>
  <c r="R390" i="78" s="1"/>
  <c r="R391" i="78" s="1"/>
  <c r="R392" i="78" s="1"/>
  <c r="R393" i="78" s="1"/>
  <c r="R394" i="78" s="1"/>
  <c r="R395" i="78" s="1"/>
  <c r="R396" i="78" s="1"/>
  <c r="R397" i="78" s="1"/>
  <c r="R398" i="78" s="1"/>
  <c r="R399" i="78" s="1"/>
  <c r="R400" i="78" s="1"/>
  <c r="R401" i="78" s="1"/>
  <c r="R402" i="78" s="1"/>
  <c r="R403" i="78" s="1"/>
  <c r="R404" i="78" s="1"/>
  <c r="R405" i="78" s="1"/>
  <c r="R406" i="78" s="1"/>
  <c r="R407" i="78" s="1"/>
  <c r="R408" i="78" s="1"/>
  <c r="R409" i="78" s="1"/>
  <c r="R410" i="78" s="1"/>
  <c r="R411" i="78" s="1"/>
  <c r="R412" i="78" s="1"/>
  <c r="R413" i="78" s="1"/>
  <c r="R414" i="78" s="1"/>
  <c r="R415" i="78" s="1"/>
  <c r="R416" i="78" s="1"/>
  <c r="R417" i="78" s="1"/>
  <c r="R418" i="78" s="1"/>
  <c r="R419" i="78" s="1"/>
  <c r="R420" i="78" s="1"/>
  <c r="R421" i="78" s="1"/>
  <c r="R422" i="78" s="1"/>
  <c r="R423" i="78" s="1"/>
  <c r="R424" i="78" s="1"/>
  <c r="R425" i="78" s="1"/>
  <c r="R426" i="78" s="1"/>
  <c r="R427" i="78" s="1"/>
  <c r="R428" i="78" s="1"/>
  <c r="R429" i="78" s="1"/>
  <c r="R430" i="78" s="1"/>
  <c r="R431" i="78" s="1"/>
  <c r="R432" i="78" s="1"/>
  <c r="R433" i="78" s="1"/>
  <c r="R434" i="78" s="1"/>
  <c r="R435" i="78" s="1"/>
  <c r="R436" i="78" s="1"/>
  <c r="R437" i="78" s="1"/>
  <c r="R438" i="78" s="1"/>
  <c r="R439" i="78" s="1"/>
  <c r="R440" i="78" s="1"/>
  <c r="R441" i="78" s="1"/>
  <c r="R442" i="78" s="1"/>
  <c r="D204" i="77"/>
  <c r="D109" i="77"/>
  <c r="D13" i="77"/>
  <c r="E12" i="77"/>
  <c r="Q11" i="77"/>
  <c r="Q12" i="77" s="1"/>
  <c r="Q13" i="77" s="1"/>
  <c r="Q14" i="77" s="1"/>
  <c r="Q15" i="77" s="1"/>
  <c r="Q16" i="77" s="1"/>
  <c r="Q17" i="77" s="1"/>
  <c r="Q18" i="77" s="1"/>
  <c r="Q19" i="77" s="1"/>
  <c r="Q20" i="77" s="1"/>
  <c r="Q21" i="77" s="1"/>
  <c r="Q22" i="77" s="1"/>
  <c r="Q23" i="77" s="1"/>
  <c r="Q24" i="77" s="1"/>
  <c r="Q25" i="77" s="1"/>
  <c r="Q26" i="77" s="1"/>
  <c r="Q27" i="77" s="1"/>
  <c r="Q28" i="77" s="1"/>
  <c r="Q29" i="77" s="1"/>
  <c r="Q30" i="77" s="1"/>
  <c r="Q31" i="77" s="1"/>
  <c r="Q32" i="77" s="1"/>
  <c r="Q33" i="77" s="1"/>
  <c r="Q34" i="77" s="1"/>
  <c r="Q35" i="77" s="1"/>
  <c r="Q36" i="77" s="1"/>
  <c r="Q37" i="77" s="1"/>
  <c r="Q38" i="77" s="1"/>
  <c r="Q39" i="77" s="1"/>
  <c r="Q40" i="77" s="1"/>
  <c r="Q41" i="77" s="1"/>
  <c r="Q42" i="77" s="1"/>
  <c r="Q43" i="77" s="1"/>
  <c r="Q44" i="77" s="1"/>
  <c r="Q45" i="77" s="1"/>
  <c r="Q46" i="77" s="1"/>
  <c r="Q47" i="77" s="1"/>
  <c r="Q48" i="77" s="1"/>
  <c r="Q49" i="77" s="1"/>
  <c r="Q50" i="77" s="1"/>
  <c r="Q51" i="77" s="1"/>
  <c r="Q52" i="77" s="1"/>
  <c r="Q53" i="77" s="1"/>
  <c r="Q54" i="77" s="1"/>
  <c r="Q55" i="77" s="1"/>
  <c r="Q56" i="77" s="1"/>
  <c r="Q57" i="77" s="1"/>
  <c r="Q58" i="77" s="1"/>
  <c r="Q59" i="77" s="1"/>
  <c r="Q60" i="77" s="1"/>
  <c r="Q61" i="77" s="1"/>
  <c r="Q62" i="77" s="1"/>
  <c r="Q63" i="77" s="1"/>
  <c r="Q64" i="77" s="1"/>
  <c r="Q65" i="77" s="1"/>
  <c r="Q66" i="77" s="1"/>
  <c r="Q67" i="77" s="1"/>
  <c r="Q68" i="77" s="1"/>
  <c r="Q69" i="77" s="1"/>
  <c r="Q70" i="77" s="1"/>
  <c r="Q71" i="77" s="1"/>
  <c r="Q72" i="77" s="1"/>
  <c r="Q73" i="77" s="1"/>
  <c r="Q74" i="77" s="1"/>
  <c r="Q75" i="77" s="1"/>
  <c r="Q76" i="77" s="1"/>
  <c r="Q77" i="77" s="1"/>
  <c r="Q78" i="77" s="1"/>
  <c r="Q79" i="77" s="1"/>
  <c r="Q80" i="77" s="1"/>
  <c r="Q81" i="77" s="1"/>
  <c r="Q82" i="77" s="1"/>
  <c r="Q83" i="77" s="1"/>
  <c r="Q84" i="77" s="1"/>
  <c r="Q85" i="77" s="1"/>
  <c r="Q86" i="77" s="1"/>
  <c r="Q87" i="77" s="1"/>
  <c r="Q88" i="77" s="1"/>
  <c r="Q89" i="77" s="1"/>
  <c r="Q90" i="77" s="1"/>
  <c r="Q91" i="77" s="1"/>
  <c r="Q92" i="77" s="1"/>
  <c r="Q93" i="77" s="1"/>
  <c r="Q94" i="77" s="1"/>
  <c r="Q95" i="77" s="1"/>
  <c r="Q96" i="77" s="1"/>
  <c r="Q97" i="77" s="1"/>
  <c r="Q98" i="77" s="1"/>
  <c r="Q99" i="77" s="1"/>
  <c r="Q100" i="77" s="1"/>
  <c r="Q101" i="77" s="1"/>
  <c r="Q102" i="77" s="1"/>
  <c r="Q103" i="77" s="1"/>
  <c r="Q104" i="77" s="1"/>
  <c r="Q105" i="77" s="1"/>
  <c r="Q106" i="77" s="1"/>
  <c r="Q107" i="77" s="1"/>
  <c r="Q108" i="77" s="1"/>
  <c r="Q109" i="77" s="1"/>
  <c r="Q110" i="77" s="1"/>
  <c r="Q111" i="77" s="1"/>
  <c r="Q112" i="77" s="1"/>
  <c r="Q113" i="77" s="1"/>
  <c r="Q114" i="77" s="1"/>
  <c r="Q115" i="77" s="1"/>
  <c r="Q116" i="77" s="1"/>
  <c r="Q117" i="77" s="1"/>
  <c r="Q118" i="77" s="1"/>
  <c r="Q119" i="77" s="1"/>
  <c r="Q120" i="77" s="1"/>
  <c r="Q121" i="77" s="1"/>
  <c r="Q122" i="77" s="1"/>
  <c r="Q123" i="77" s="1"/>
  <c r="Q124" i="77" s="1"/>
  <c r="Q125" i="77" s="1"/>
  <c r="Q126" i="77" s="1"/>
  <c r="Q127" i="77" s="1"/>
  <c r="Q128" i="77" s="1"/>
  <c r="Q129" i="77" s="1"/>
  <c r="Q130" i="77" s="1"/>
  <c r="Q131" i="77" s="1"/>
  <c r="Q132" i="77" s="1"/>
  <c r="Q133" i="77" s="1"/>
  <c r="Q134" i="77" s="1"/>
  <c r="Q135" i="77" s="1"/>
  <c r="Q136" i="77" s="1"/>
  <c r="Q137" i="77" s="1"/>
  <c r="Q138" i="77" s="1"/>
  <c r="Q139" i="77" s="1"/>
  <c r="Q140" i="77" s="1"/>
  <c r="Q141" i="77" s="1"/>
  <c r="Q142" i="77" s="1"/>
  <c r="Q143" i="77" s="1"/>
  <c r="Q144" i="77" s="1"/>
  <c r="Q145" i="77" s="1"/>
  <c r="Q146" i="77" s="1"/>
  <c r="Q147" i="77" s="1"/>
  <c r="Q148" i="77" s="1"/>
  <c r="Q149" i="77" s="1"/>
  <c r="Q150" i="77" s="1"/>
  <c r="Q151" i="77" s="1"/>
  <c r="Q152" i="77" s="1"/>
  <c r="Q153" i="77" s="1"/>
  <c r="Q154" i="77" s="1"/>
  <c r="Q155" i="77" s="1"/>
  <c r="Q156" i="77" s="1"/>
  <c r="Q157" i="77" s="1"/>
  <c r="Q158" i="77" s="1"/>
  <c r="Q159" i="77" s="1"/>
  <c r="Q160" i="77" s="1"/>
  <c r="Q161" i="77" s="1"/>
  <c r="Q162" i="77" s="1"/>
  <c r="Q163" i="77" s="1"/>
  <c r="Q164" i="77" s="1"/>
  <c r="Q165" i="77" s="1"/>
  <c r="Q166" i="77" s="1"/>
  <c r="Q167" i="77" s="1"/>
  <c r="Q168" i="77" s="1"/>
  <c r="Q169" i="77" s="1"/>
  <c r="Q170" i="77" s="1"/>
  <c r="Q171" i="77" s="1"/>
  <c r="Q172" i="77" s="1"/>
  <c r="Q173" i="77" s="1"/>
  <c r="Q174" i="77" s="1"/>
  <c r="Q175" i="77" s="1"/>
  <c r="Q176" i="77" s="1"/>
  <c r="Q177" i="77" s="1"/>
  <c r="Q178" i="77" s="1"/>
  <c r="Q179" i="77" s="1"/>
  <c r="Q180" i="77" s="1"/>
  <c r="Q181" i="77" s="1"/>
  <c r="Q182" i="77" s="1"/>
  <c r="Q183" i="77" s="1"/>
  <c r="Q184" i="77" s="1"/>
  <c r="Q185" i="77" s="1"/>
  <c r="Q186" i="77" s="1"/>
  <c r="Q187" i="77" s="1"/>
  <c r="Q188" i="77" s="1"/>
  <c r="Q189" i="77" s="1"/>
  <c r="Q190" i="77" s="1"/>
  <c r="Q191" i="77" s="1"/>
  <c r="Q192" i="77" s="1"/>
  <c r="Q193" i="77" s="1"/>
  <c r="Q194" i="77" s="1"/>
  <c r="Q195" i="77" s="1"/>
  <c r="Q196" i="77" s="1"/>
  <c r="Q197" i="77" s="1"/>
  <c r="Q198" i="77" s="1"/>
  <c r="Q199" i="77" s="1"/>
  <c r="Q200" i="77" s="1"/>
  <c r="Q201" i="77" s="1"/>
  <c r="Q202" i="77" s="1"/>
  <c r="Q203" i="77" s="1"/>
  <c r="Q204" i="77" s="1"/>
  <c r="Q205" i="77" s="1"/>
  <c r="Q206" i="77" s="1"/>
  <c r="Q207" i="77" s="1"/>
  <c r="Q208" i="77" s="1"/>
  <c r="Q209" i="77" s="1"/>
  <c r="Q210" i="77" s="1"/>
  <c r="Q211" i="77" s="1"/>
  <c r="Q212" i="77" s="1"/>
  <c r="Q213" i="77" s="1"/>
  <c r="Q214" i="77" s="1"/>
  <c r="Q215" i="77" s="1"/>
  <c r="Q216" i="77" s="1"/>
  <c r="Q217" i="77" s="1"/>
  <c r="Q218" i="77" s="1"/>
  <c r="Q219" i="77" s="1"/>
  <c r="Q220" i="77" s="1"/>
  <c r="Q221" i="77" s="1"/>
  <c r="Q222" i="77" s="1"/>
  <c r="Q223" i="77" s="1"/>
  <c r="Q224" i="77" s="1"/>
  <c r="Q225" i="77" s="1"/>
  <c r="Q226" i="77" s="1"/>
  <c r="Q227" i="77" s="1"/>
  <c r="Q228" i="77" s="1"/>
  <c r="Q229" i="77" s="1"/>
  <c r="Q230" i="77" s="1"/>
  <c r="Q231" i="77" s="1"/>
  <c r="Q232" i="77" s="1"/>
  <c r="Q233" i="77" s="1"/>
  <c r="Q234" i="77" s="1"/>
  <c r="Q235" i="77" s="1"/>
  <c r="Q236" i="77" s="1"/>
  <c r="Q237" i="77" s="1"/>
  <c r="Q238" i="77" s="1"/>
  <c r="Q239" i="77" s="1"/>
  <c r="Q240" i="77" s="1"/>
  <c r="Q241" i="77" s="1"/>
  <c r="Q242" i="77" s="1"/>
  <c r="Q243" i="77" s="1"/>
  <c r="Q244" i="77" s="1"/>
  <c r="Q245" i="77" s="1"/>
  <c r="Q246" i="77" s="1"/>
  <c r="Q247" i="77" s="1"/>
  <c r="Q248" i="77" s="1"/>
  <c r="Q249" i="77" s="1"/>
  <c r="Q250" i="77" s="1"/>
  <c r="Q251" i="77" s="1"/>
  <c r="Q252" i="77" s="1"/>
  <c r="Q253" i="77" s="1"/>
  <c r="Q254" i="77" s="1"/>
  <c r="Q255" i="77" s="1"/>
  <c r="Q256" i="77" s="1"/>
  <c r="Q257" i="77" s="1"/>
  <c r="Q258" i="77" s="1"/>
  <c r="Q259" i="77" s="1"/>
  <c r="Q260" i="77" s="1"/>
  <c r="Q261" i="77" s="1"/>
  <c r="Q262" i="77" s="1"/>
  <c r="Q263" i="77" s="1"/>
  <c r="Q264" i="77" s="1"/>
  <c r="Q265" i="77" s="1"/>
  <c r="Q266" i="77" s="1"/>
  <c r="Q267" i="77" s="1"/>
  <c r="Q268" i="77" s="1"/>
  <c r="Q269" i="77" s="1"/>
  <c r="Q270" i="77" s="1"/>
  <c r="Q271" i="77" s="1"/>
  <c r="Q272" i="77" s="1"/>
  <c r="Q273" i="77" s="1"/>
  <c r="Q274" i="77" s="1"/>
  <c r="Q275" i="77" s="1"/>
  <c r="Q276" i="77" s="1"/>
  <c r="Q277" i="77" s="1"/>
  <c r="Q278" i="77" s="1"/>
  <c r="Q279" i="77" s="1"/>
  <c r="Q280" i="77" s="1"/>
  <c r="Q281" i="77" s="1"/>
  <c r="Q282" i="77" s="1"/>
  <c r="Q283" i="77" s="1"/>
  <c r="Q284" i="77" s="1"/>
  <c r="Q285" i="77" s="1"/>
  <c r="Q286" i="77" s="1"/>
  <c r="Q287" i="77" s="1"/>
  <c r="Q288" i="77" s="1"/>
  <c r="Q289" i="77" s="1"/>
  <c r="Q290" i="77" s="1"/>
  <c r="Q291" i="77" s="1"/>
  <c r="Q292" i="77" s="1"/>
  <c r="Q293" i="77" s="1"/>
  <c r="Q294" i="77" s="1"/>
  <c r="Q295" i="77" s="1"/>
  <c r="Q296" i="77" s="1"/>
  <c r="Q297" i="77" s="1"/>
  <c r="Q298" i="77" s="1"/>
  <c r="E11" i="77"/>
  <c r="F13" i="76"/>
  <c r="E11" i="75"/>
  <c r="F11" i="75" s="1"/>
  <c r="D12" i="75"/>
  <c r="D13" i="74"/>
  <c r="K12" i="74"/>
  <c r="E11" i="74"/>
  <c r="E12" i="74" s="1"/>
  <c r="E13" i="74" s="1"/>
  <c r="E14" i="74" s="1"/>
  <c r="E15" i="74" s="1"/>
  <c r="E16" i="74" s="1"/>
  <c r="E17" i="74" s="1"/>
  <c r="E18" i="74" s="1"/>
  <c r="E19" i="74" s="1"/>
  <c r="E20" i="74" s="1"/>
  <c r="E21" i="74" s="1"/>
  <c r="E22" i="74" s="1"/>
  <c r="E23" i="74" s="1"/>
  <c r="E24" i="74" s="1"/>
  <c r="E25" i="74" s="1"/>
  <c r="E26" i="74" s="1"/>
  <c r="E27" i="74" s="1"/>
  <c r="E28" i="74" s="1"/>
  <c r="E29" i="74" s="1"/>
  <c r="E30" i="74" s="1"/>
  <c r="E31" i="74" s="1"/>
  <c r="E32" i="74" s="1"/>
  <c r="E33" i="74" s="1"/>
  <c r="E34" i="74" s="1"/>
  <c r="E35" i="74" s="1"/>
  <c r="E36" i="74" s="1"/>
  <c r="E37" i="74" s="1"/>
  <c r="E38" i="74" s="1"/>
  <c r="E39" i="74" s="1"/>
  <c r="E40" i="74" s="1"/>
  <c r="E41" i="74" s="1"/>
  <c r="E42" i="74" s="1"/>
  <c r="E43" i="74" s="1"/>
  <c r="E44" i="74" s="1"/>
  <c r="E45" i="74" s="1"/>
  <c r="E46" i="74" s="1"/>
  <c r="E47" i="74" s="1"/>
  <c r="E48" i="74" s="1"/>
  <c r="E49" i="74" s="1"/>
  <c r="E50" i="74" s="1"/>
  <c r="E51" i="74" s="1"/>
  <c r="E52" i="74" s="1"/>
  <c r="E53" i="74" s="1"/>
  <c r="E54" i="74" s="1"/>
  <c r="E55" i="74" s="1"/>
  <c r="E56" i="74" s="1"/>
  <c r="E57" i="74" s="1"/>
  <c r="E58" i="74" s="1"/>
  <c r="E59" i="74" s="1"/>
  <c r="E60" i="74" s="1"/>
  <c r="E61" i="74" s="1"/>
  <c r="E62" i="74" s="1"/>
  <c r="E63" i="74" s="1"/>
  <c r="E64" i="74" s="1"/>
  <c r="E65" i="74" s="1"/>
  <c r="E66" i="74" s="1"/>
  <c r="E67" i="74" s="1"/>
  <c r="E68" i="74" s="1"/>
  <c r="E69" i="74" s="1"/>
  <c r="E70" i="74" s="1"/>
  <c r="E71" i="74" s="1"/>
  <c r="E72" i="74" s="1"/>
  <c r="E73" i="74" s="1"/>
  <c r="E74" i="74" s="1"/>
  <c r="E75" i="74" s="1"/>
  <c r="E76" i="74" s="1"/>
  <c r="E77" i="74" s="1"/>
  <c r="E78" i="74" s="1"/>
  <c r="E79" i="74" s="1"/>
  <c r="E80" i="74" s="1"/>
  <c r="E81" i="74" s="1"/>
  <c r="E82" i="74" s="1"/>
  <c r="F12" i="74"/>
  <c r="K11" i="74"/>
  <c r="J40" i="73"/>
  <c r="J39" i="73"/>
  <c r="J38" i="73"/>
  <c r="J37" i="73"/>
  <c r="J36" i="73"/>
  <c r="J35" i="73"/>
  <c r="J34" i="73"/>
  <c r="J33" i="73"/>
  <c r="J32" i="73"/>
  <c r="J31" i="73"/>
  <c r="J30" i="73"/>
  <c r="J29" i="73"/>
  <c r="J28" i="73"/>
  <c r="J27" i="73"/>
  <c r="J26" i="73"/>
  <c r="J25" i="73"/>
  <c r="J24" i="73"/>
  <c r="J23" i="73"/>
  <c r="J22" i="73"/>
  <c r="J21" i="73"/>
  <c r="J20" i="73"/>
  <c r="J19" i="73"/>
  <c r="J18" i="73"/>
  <c r="J17" i="73"/>
  <c r="J16" i="73"/>
  <c r="J15" i="73"/>
  <c r="J14" i="73"/>
  <c r="J13" i="73"/>
  <c r="J12" i="73"/>
  <c r="B12" i="73"/>
  <c r="B13" i="73" s="1"/>
  <c r="B14" i="73" s="1"/>
  <c r="B15" i="73" s="1"/>
  <c r="B16" i="73" s="1"/>
  <c r="B17" i="73" s="1"/>
  <c r="B18" i="73" s="1"/>
  <c r="B19" i="73" s="1"/>
  <c r="B20" i="73" s="1"/>
  <c r="B21" i="73" s="1"/>
  <c r="B22" i="73" s="1"/>
  <c r="B23" i="73" s="1"/>
  <c r="B24" i="73" s="1"/>
  <c r="B25" i="73" s="1"/>
  <c r="B26" i="73" s="1"/>
  <c r="B27" i="73" s="1"/>
  <c r="B28" i="73" s="1"/>
  <c r="B29" i="73" s="1"/>
  <c r="B30" i="73" s="1"/>
  <c r="B31" i="73" s="1"/>
  <c r="B32" i="73" s="1"/>
  <c r="B33" i="73" s="1"/>
  <c r="B34" i="73" s="1"/>
  <c r="B35" i="73" s="1"/>
  <c r="B36" i="73" s="1"/>
  <c r="B37" i="73" s="1"/>
  <c r="B38" i="73" s="1"/>
  <c r="B39" i="73" s="1"/>
  <c r="B40" i="73" s="1"/>
  <c r="M11" i="73"/>
  <c r="M12" i="73" s="1"/>
  <c r="M13" i="73" s="1"/>
  <c r="M14" i="73" s="1"/>
  <c r="M15" i="73" s="1"/>
  <c r="M16" i="73" s="1"/>
  <c r="M17" i="73" s="1"/>
  <c r="M18" i="73" s="1"/>
  <c r="M19" i="73" s="1"/>
  <c r="M20" i="73" s="1"/>
  <c r="M21" i="73" s="1"/>
  <c r="M22" i="73" s="1"/>
  <c r="M23" i="73" s="1"/>
  <c r="M24" i="73" s="1"/>
  <c r="M25" i="73" s="1"/>
  <c r="M26" i="73" s="1"/>
  <c r="M27" i="73" s="1"/>
  <c r="M28" i="73" s="1"/>
  <c r="M29" i="73" s="1"/>
  <c r="M30" i="73" s="1"/>
  <c r="M31" i="73" s="1"/>
  <c r="M32" i="73" s="1"/>
  <c r="M33" i="73" s="1"/>
  <c r="M34" i="73" s="1"/>
  <c r="M35" i="73" s="1"/>
  <c r="M36" i="73" s="1"/>
  <c r="M37" i="73" s="1"/>
  <c r="M38" i="73" s="1"/>
  <c r="M39" i="73" s="1"/>
  <c r="M40" i="73" s="1"/>
  <c r="L11" i="73"/>
  <c r="L12" i="73" s="1"/>
  <c r="L13" i="73" s="1"/>
  <c r="L14" i="73" s="1"/>
  <c r="L15" i="73" s="1"/>
  <c r="L16" i="73" s="1"/>
  <c r="L17" i="73" s="1"/>
  <c r="L18" i="73" s="1"/>
  <c r="L19" i="73" s="1"/>
  <c r="L20" i="73" s="1"/>
  <c r="L21" i="73" s="1"/>
  <c r="L22" i="73" s="1"/>
  <c r="L23" i="73" s="1"/>
  <c r="L24" i="73" s="1"/>
  <c r="L25" i="73" s="1"/>
  <c r="L26" i="73" s="1"/>
  <c r="L27" i="73" s="1"/>
  <c r="L28" i="73" s="1"/>
  <c r="L29" i="73" s="1"/>
  <c r="L30" i="73" s="1"/>
  <c r="L31" i="73" s="1"/>
  <c r="L32" i="73" s="1"/>
  <c r="L33" i="73" s="1"/>
  <c r="L34" i="73" s="1"/>
  <c r="L35" i="73" s="1"/>
  <c r="L36" i="73" s="1"/>
  <c r="L37" i="73" s="1"/>
  <c r="L38" i="73" s="1"/>
  <c r="L39" i="73" s="1"/>
  <c r="L40" i="73" s="1"/>
  <c r="J11" i="73"/>
  <c r="I11" i="73"/>
  <c r="I12" i="73" s="1"/>
  <c r="I13" i="73" s="1"/>
  <c r="I14" i="73" s="1"/>
  <c r="I15" i="73" s="1"/>
  <c r="I16" i="73" s="1"/>
  <c r="I17" i="73" s="1"/>
  <c r="I18" i="73" s="1"/>
  <c r="I19" i="73" s="1"/>
  <c r="I20" i="73" s="1"/>
  <c r="I21" i="73" s="1"/>
  <c r="I22" i="73" s="1"/>
  <c r="I23" i="73" s="1"/>
  <c r="I24" i="73" s="1"/>
  <c r="I25" i="73" s="1"/>
  <c r="I26" i="73" s="1"/>
  <c r="I27" i="73" s="1"/>
  <c r="I28" i="73" s="1"/>
  <c r="I29" i="73" s="1"/>
  <c r="I30" i="73" s="1"/>
  <c r="I31" i="73" s="1"/>
  <c r="I32" i="73" s="1"/>
  <c r="I33" i="73" s="1"/>
  <c r="I34" i="73" s="1"/>
  <c r="I35" i="73" s="1"/>
  <c r="I36" i="73" s="1"/>
  <c r="I37" i="73" s="1"/>
  <c r="I38" i="73" s="1"/>
  <c r="I39" i="73" s="1"/>
  <c r="I40" i="73" s="1"/>
  <c r="B10" i="73"/>
  <c r="C32" i="1"/>
  <c r="D188" i="47" l="1"/>
  <c r="Q220" i="95"/>
  <c r="S219" i="95"/>
  <c r="H228" i="95"/>
  <c r="G228" i="95"/>
  <c r="T142" i="41"/>
  <c r="U142" i="41" s="1"/>
  <c r="W142" i="41" s="1"/>
  <c r="D57" i="42"/>
  <c r="H148" i="41"/>
  <c r="G148" i="41"/>
  <c r="R219" i="95"/>
  <c r="T218" i="95"/>
  <c r="U218" i="95" s="1"/>
  <c r="D230" i="95"/>
  <c r="E229" i="95"/>
  <c r="F229" i="95" s="1"/>
  <c r="K229" i="95"/>
  <c r="U150" i="96"/>
  <c r="V150" i="96" s="1"/>
  <c r="W150" i="96" s="1"/>
  <c r="X150" i="96" s="1"/>
  <c r="T151" i="96"/>
  <c r="E43" i="48"/>
  <c r="F43" i="48" s="1"/>
  <c r="K43" i="48"/>
  <c r="C43" i="48" s="1"/>
  <c r="D44" i="48"/>
  <c r="H42" i="48"/>
  <c r="G42" i="48"/>
  <c r="H12" i="74"/>
  <c r="G12" i="74"/>
  <c r="G13" i="76"/>
  <c r="H13" i="76"/>
  <c r="H12" i="76"/>
  <c r="G12" i="76"/>
  <c r="H548" i="61"/>
  <c r="G548" i="61"/>
  <c r="R548" i="61"/>
  <c r="S548" i="61"/>
  <c r="T547" i="61"/>
  <c r="U547" i="61" s="1"/>
  <c r="E549" i="61"/>
  <c r="F549" i="61" s="1"/>
  <c r="P549" i="61"/>
  <c r="Q549" i="61" s="1"/>
  <c r="D550" i="61"/>
  <c r="C550" i="61" s="1"/>
  <c r="E12" i="78"/>
  <c r="H11" i="75"/>
  <c r="G11" i="75"/>
  <c r="D11" i="73"/>
  <c r="D11" i="76"/>
  <c r="N11" i="73"/>
  <c r="N12" i="73" s="1"/>
  <c r="N13" i="73" s="1"/>
  <c r="N14" i="73" s="1"/>
  <c r="N15" i="73" s="1"/>
  <c r="N16" i="73" s="1"/>
  <c r="N17" i="73" s="1"/>
  <c r="N18" i="73" s="1"/>
  <c r="N19" i="73" s="1"/>
  <c r="N20" i="73" s="1"/>
  <c r="N21" i="73" s="1"/>
  <c r="N22" i="73" s="1"/>
  <c r="N23" i="73" s="1"/>
  <c r="N24" i="73" s="1"/>
  <c r="N25" i="73" s="1"/>
  <c r="N26" i="73" s="1"/>
  <c r="N27" i="73" s="1"/>
  <c r="N28" i="73" s="1"/>
  <c r="N29" i="73" s="1"/>
  <c r="N30" i="73" s="1"/>
  <c r="N31" i="73" s="1"/>
  <c r="N32" i="73" s="1"/>
  <c r="N33" i="73" s="1"/>
  <c r="N34" i="73" s="1"/>
  <c r="N35" i="73" s="1"/>
  <c r="N36" i="73" s="1"/>
  <c r="N37" i="73" s="1"/>
  <c r="N38" i="73" s="1"/>
  <c r="N39" i="73" s="1"/>
  <c r="N40" i="73" s="1"/>
  <c r="E300" i="78"/>
  <c r="D301" i="78"/>
  <c r="D159" i="78"/>
  <c r="E158" i="78"/>
  <c r="E13" i="78"/>
  <c r="D14" i="78"/>
  <c r="E204" i="77"/>
  <c r="D205" i="77"/>
  <c r="D110" i="77"/>
  <c r="E109" i="77"/>
  <c r="E13" i="77"/>
  <c r="D14" i="77"/>
  <c r="F14" i="76"/>
  <c r="E12" i="75"/>
  <c r="E13" i="75" s="1"/>
  <c r="E14" i="75" s="1"/>
  <c r="E15" i="75" s="1"/>
  <c r="E16" i="75" s="1"/>
  <c r="E17" i="75" s="1"/>
  <c r="E18" i="75" s="1"/>
  <c r="E19" i="75" s="1"/>
  <c r="E20" i="75" s="1"/>
  <c r="E21" i="75" s="1"/>
  <c r="E22" i="75" s="1"/>
  <c r="E23" i="75" s="1"/>
  <c r="E24" i="75" s="1"/>
  <c r="E25" i="75" s="1"/>
  <c r="E26" i="75" s="1"/>
  <c r="E27" i="75" s="1"/>
  <c r="E28" i="75" s="1"/>
  <c r="K12" i="75"/>
  <c r="D13" i="75"/>
  <c r="F13" i="74"/>
  <c r="D14" i="74"/>
  <c r="K13" i="74"/>
  <c r="D36" i="72"/>
  <c r="E36" i="72" s="1"/>
  <c r="D37" i="72"/>
  <c r="E37" i="72" s="1"/>
  <c r="D38" i="72"/>
  <c r="E38" i="72" s="1"/>
  <c r="D39" i="72"/>
  <c r="E39" i="72" s="1"/>
  <c r="D40" i="72"/>
  <c r="E40" i="72" s="1"/>
  <c r="D41" i="72"/>
  <c r="E41" i="72" s="1"/>
  <c r="D42" i="72"/>
  <c r="E42" i="72" s="1"/>
  <c r="D43" i="72"/>
  <c r="E43" i="72" s="1"/>
  <c r="D44" i="72"/>
  <c r="E44" i="72" s="1"/>
  <c r="D45" i="72"/>
  <c r="E45" i="72" s="1"/>
  <c r="D46" i="72"/>
  <c r="E46" i="72" s="1"/>
  <c r="D35" i="72"/>
  <c r="E35" i="72" s="1"/>
  <c r="D24" i="72"/>
  <c r="E24" i="72" s="1"/>
  <c r="D25" i="72"/>
  <c r="E25" i="72" s="1"/>
  <c r="D26" i="72"/>
  <c r="E26" i="72" s="1"/>
  <c r="D27" i="72"/>
  <c r="E27" i="72" s="1"/>
  <c r="D28" i="72"/>
  <c r="E28" i="72" s="1"/>
  <c r="D29" i="72"/>
  <c r="E29" i="72" s="1"/>
  <c r="D30" i="72"/>
  <c r="E30" i="72" s="1"/>
  <c r="D31" i="72"/>
  <c r="E31" i="72" s="1"/>
  <c r="D32" i="72"/>
  <c r="E32" i="72" s="1"/>
  <c r="D33" i="72"/>
  <c r="E33" i="72" s="1"/>
  <c r="D34" i="72"/>
  <c r="E34" i="72" s="1"/>
  <c r="D23" i="72"/>
  <c r="E23" i="72" s="1"/>
  <c r="D11" i="72"/>
  <c r="E11" i="72" s="1"/>
  <c r="M46" i="72"/>
  <c r="M45" i="72"/>
  <c r="M44" i="72"/>
  <c r="M43" i="72"/>
  <c r="M42" i="72"/>
  <c r="M41" i="72"/>
  <c r="M40" i="72"/>
  <c r="M39" i="72"/>
  <c r="M38" i="72"/>
  <c r="M37" i="72"/>
  <c r="M36" i="72"/>
  <c r="M35" i="72"/>
  <c r="M34" i="72"/>
  <c r="M33" i="72"/>
  <c r="M32" i="72"/>
  <c r="M31" i="72"/>
  <c r="M30" i="72"/>
  <c r="M29" i="72"/>
  <c r="M28" i="72"/>
  <c r="M27" i="72"/>
  <c r="M26" i="72"/>
  <c r="M25" i="72"/>
  <c r="M24" i="72"/>
  <c r="M23" i="72"/>
  <c r="M20" i="72"/>
  <c r="M21" i="72"/>
  <c r="M22" i="72"/>
  <c r="M19" i="72"/>
  <c r="M16" i="72"/>
  <c r="M17" i="72"/>
  <c r="M18" i="72"/>
  <c r="M15" i="72"/>
  <c r="L13" i="72"/>
  <c r="L14" i="72"/>
  <c r="L15" i="72"/>
  <c r="L16" i="72"/>
  <c r="L17" i="72"/>
  <c r="L18" i="72"/>
  <c r="L19" i="72"/>
  <c r="L20" i="72"/>
  <c r="L21" i="72"/>
  <c r="L22" i="72"/>
  <c r="L23" i="72"/>
  <c r="L24" i="72"/>
  <c r="L25" i="72"/>
  <c r="L26" i="72"/>
  <c r="L27" i="72"/>
  <c r="L28" i="72"/>
  <c r="L29" i="72"/>
  <c r="L30" i="72"/>
  <c r="L31" i="72"/>
  <c r="L32" i="72"/>
  <c r="L33" i="72"/>
  <c r="L34" i="72"/>
  <c r="L35" i="72"/>
  <c r="L36" i="72"/>
  <c r="L37" i="72"/>
  <c r="L38" i="72"/>
  <c r="L39" i="72"/>
  <c r="L40" i="72"/>
  <c r="L41" i="72"/>
  <c r="L42" i="72"/>
  <c r="L43" i="72"/>
  <c r="L44" i="72"/>
  <c r="L45" i="72"/>
  <c r="L46" i="72"/>
  <c r="L12" i="72"/>
  <c r="M13" i="72"/>
  <c r="M14" i="72"/>
  <c r="M12" i="72"/>
  <c r="I12" i="72"/>
  <c r="I13" i="72" s="1"/>
  <c r="I14" i="72" s="1"/>
  <c r="I15" i="72" s="1"/>
  <c r="I16" i="72" s="1"/>
  <c r="I17" i="72" s="1"/>
  <c r="I18" i="72" s="1"/>
  <c r="I19" i="72" s="1"/>
  <c r="I20" i="72" s="1"/>
  <c r="I21" i="72" s="1"/>
  <c r="I22" i="72" s="1"/>
  <c r="I23" i="72" s="1"/>
  <c r="I24" i="72" s="1"/>
  <c r="I25" i="72" s="1"/>
  <c r="I26" i="72" s="1"/>
  <c r="I27" i="72" s="1"/>
  <c r="I28" i="72" s="1"/>
  <c r="I29" i="72" s="1"/>
  <c r="I30" i="72" s="1"/>
  <c r="I31" i="72" s="1"/>
  <c r="I32" i="72" s="1"/>
  <c r="I33" i="72" s="1"/>
  <c r="I34" i="72" s="1"/>
  <c r="I35" i="72" s="1"/>
  <c r="I36" i="72" s="1"/>
  <c r="I37" i="72" s="1"/>
  <c r="I38" i="72" s="1"/>
  <c r="I39" i="72" s="1"/>
  <c r="I40" i="72" s="1"/>
  <c r="I41" i="72" s="1"/>
  <c r="I42" i="72" s="1"/>
  <c r="I43" i="72" s="1"/>
  <c r="I44" i="72" s="1"/>
  <c r="I45" i="72" s="1"/>
  <c r="I46" i="72" s="1"/>
  <c r="B12" i="72"/>
  <c r="B13" i="72" s="1"/>
  <c r="B14" i="72" s="1"/>
  <c r="B15" i="72" s="1"/>
  <c r="B16" i="72" s="1"/>
  <c r="B17" i="72" s="1"/>
  <c r="B18" i="72" s="1"/>
  <c r="B19" i="72" s="1"/>
  <c r="B20" i="72" s="1"/>
  <c r="B21" i="72" s="1"/>
  <c r="B22" i="72" s="1"/>
  <c r="B23" i="72" s="1"/>
  <c r="B24" i="72" s="1"/>
  <c r="B25" i="72" s="1"/>
  <c r="B26" i="72" s="1"/>
  <c r="B27" i="72" s="1"/>
  <c r="B28" i="72" s="1"/>
  <c r="B29" i="72" s="1"/>
  <c r="B30" i="72" s="1"/>
  <c r="B31" i="72" s="1"/>
  <c r="B32" i="72" s="1"/>
  <c r="B33" i="72" s="1"/>
  <c r="B34" i="72" s="1"/>
  <c r="B35" i="72" s="1"/>
  <c r="B36" i="72" s="1"/>
  <c r="B37" i="72" s="1"/>
  <c r="B38" i="72" s="1"/>
  <c r="B39" i="72" s="1"/>
  <c r="B40" i="72" s="1"/>
  <c r="B41" i="72" s="1"/>
  <c r="B42" i="72" s="1"/>
  <c r="B43" i="72" s="1"/>
  <c r="B44" i="72" s="1"/>
  <c r="B45" i="72" s="1"/>
  <c r="B46" i="72" s="1"/>
  <c r="P11" i="72"/>
  <c r="P12" i="72" s="1"/>
  <c r="P13" i="72" s="1"/>
  <c r="P14" i="72" s="1"/>
  <c r="P15" i="72" s="1"/>
  <c r="P16" i="72" s="1"/>
  <c r="P17" i="72" s="1"/>
  <c r="P18" i="72" s="1"/>
  <c r="P19" i="72" s="1"/>
  <c r="P20" i="72" s="1"/>
  <c r="P21" i="72" s="1"/>
  <c r="P22" i="72" s="1"/>
  <c r="P23" i="72" s="1"/>
  <c r="P24" i="72" s="1"/>
  <c r="P25" i="72" s="1"/>
  <c r="P26" i="72" s="1"/>
  <c r="P27" i="72" s="1"/>
  <c r="P28" i="72" s="1"/>
  <c r="P29" i="72" s="1"/>
  <c r="P30" i="72" s="1"/>
  <c r="P31" i="72" s="1"/>
  <c r="P32" i="72" s="1"/>
  <c r="P33" i="72" s="1"/>
  <c r="P34" i="72" s="1"/>
  <c r="P35" i="72" s="1"/>
  <c r="P36" i="72" s="1"/>
  <c r="P37" i="72" s="1"/>
  <c r="P38" i="72" s="1"/>
  <c r="P39" i="72" s="1"/>
  <c r="P40" i="72" s="1"/>
  <c r="P41" i="72" s="1"/>
  <c r="P42" i="72" s="1"/>
  <c r="P43" i="72" s="1"/>
  <c r="P44" i="72" s="1"/>
  <c r="P45" i="72" s="1"/>
  <c r="P46" i="72" s="1"/>
  <c r="N11" i="72"/>
  <c r="N12" i="72" s="1"/>
  <c r="N13" i="72" s="1"/>
  <c r="N14" i="72" s="1"/>
  <c r="N15" i="72" s="1"/>
  <c r="N16" i="72" s="1"/>
  <c r="N17" i="72" s="1"/>
  <c r="N18" i="72" s="1"/>
  <c r="N19" i="72" s="1"/>
  <c r="N20" i="72" s="1"/>
  <c r="N21" i="72" s="1"/>
  <c r="N22" i="72" s="1"/>
  <c r="N23" i="72" s="1"/>
  <c r="N24" i="72" s="1"/>
  <c r="N25" i="72" s="1"/>
  <c r="N26" i="72" s="1"/>
  <c r="N27" i="72" s="1"/>
  <c r="N28" i="72" s="1"/>
  <c r="N29" i="72" s="1"/>
  <c r="N30" i="72" s="1"/>
  <c r="N31" i="72" s="1"/>
  <c r="N32" i="72" s="1"/>
  <c r="N33" i="72" s="1"/>
  <c r="N34" i="72" s="1"/>
  <c r="N35" i="72" s="1"/>
  <c r="N36" i="72" s="1"/>
  <c r="N37" i="72" s="1"/>
  <c r="N38" i="72" s="1"/>
  <c r="N39" i="72" s="1"/>
  <c r="N40" i="72" s="1"/>
  <c r="N41" i="72" s="1"/>
  <c r="N42" i="72" s="1"/>
  <c r="N43" i="72" s="1"/>
  <c r="N44" i="72" s="1"/>
  <c r="N45" i="72" s="1"/>
  <c r="N46" i="72" s="1"/>
  <c r="M11" i="72"/>
  <c r="L11" i="72"/>
  <c r="J11" i="72"/>
  <c r="J12" i="72" s="1"/>
  <c r="J13" i="72" s="1"/>
  <c r="J14" i="72" s="1"/>
  <c r="J15" i="72" s="1"/>
  <c r="J16" i="72" s="1"/>
  <c r="J17" i="72" s="1"/>
  <c r="J18" i="72" s="1"/>
  <c r="J19" i="72" s="1"/>
  <c r="J20" i="72" s="1"/>
  <c r="J21" i="72" s="1"/>
  <c r="J22" i="72" s="1"/>
  <c r="J23" i="72" s="1"/>
  <c r="J24" i="72" s="1"/>
  <c r="J25" i="72" s="1"/>
  <c r="J26" i="72" s="1"/>
  <c r="J27" i="72" s="1"/>
  <c r="J28" i="72" s="1"/>
  <c r="J29" i="72" s="1"/>
  <c r="J30" i="72" s="1"/>
  <c r="J31" i="72" s="1"/>
  <c r="J32" i="72" s="1"/>
  <c r="J33" i="72" s="1"/>
  <c r="J34" i="72" s="1"/>
  <c r="J35" i="72" s="1"/>
  <c r="J36" i="72" s="1"/>
  <c r="J37" i="72" s="1"/>
  <c r="J38" i="72" s="1"/>
  <c r="J39" i="72" s="1"/>
  <c r="J40" i="72" s="1"/>
  <c r="J41" i="72" s="1"/>
  <c r="J42" i="72" s="1"/>
  <c r="J43" i="72" s="1"/>
  <c r="J44" i="72" s="1"/>
  <c r="J45" i="72" s="1"/>
  <c r="J46" i="72" s="1"/>
  <c r="B10" i="72"/>
  <c r="D11" i="71"/>
  <c r="D12" i="71" s="1"/>
  <c r="P55" i="71"/>
  <c r="P56" i="71" s="1"/>
  <c r="P57" i="71" s="1"/>
  <c r="P58" i="71" s="1"/>
  <c r="P51" i="71"/>
  <c r="P52" i="71" s="1"/>
  <c r="P53" i="71" s="1"/>
  <c r="P54" i="71" s="1"/>
  <c r="K48" i="71"/>
  <c r="K49" i="71" s="1"/>
  <c r="K50" i="71" s="1"/>
  <c r="K51" i="71" s="1"/>
  <c r="K52" i="71" s="1"/>
  <c r="K53" i="71" s="1"/>
  <c r="K54" i="71" s="1"/>
  <c r="K55" i="71" s="1"/>
  <c r="K56" i="71" s="1"/>
  <c r="K57" i="71" s="1"/>
  <c r="K58" i="71" s="1"/>
  <c r="P47" i="71"/>
  <c r="P48" i="71" s="1"/>
  <c r="P49" i="71" s="1"/>
  <c r="P50" i="71" s="1"/>
  <c r="P43" i="71"/>
  <c r="P44" i="71" s="1"/>
  <c r="P45" i="71" s="1"/>
  <c r="P46" i="71" s="1"/>
  <c r="P39" i="71"/>
  <c r="P40" i="71" s="1"/>
  <c r="P41" i="71" s="1"/>
  <c r="P42" i="71" s="1"/>
  <c r="K36" i="71"/>
  <c r="K37" i="71" s="1"/>
  <c r="K38" i="71" s="1"/>
  <c r="K39" i="71" s="1"/>
  <c r="K40" i="71" s="1"/>
  <c r="K41" i="71" s="1"/>
  <c r="K42" i="71" s="1"/>
  <c r="K43" i="71" s="1"/>
  <c r="K44" i="71" s="1"/>
  <c r="K45" i="71" s="1"/>
  <c r="K46" i="71" s="1"/>
  <c r="P35" i="71"/>
  <c r="P36" i="71" s="1"/>
  <c r="P37" i="71" s="1"/>
  <c r="P38" i="71" s="1"/>
  <c r="P31" i="71"/>
  <c r="P32" i="71" s="1"/>
  <c r="P33" i="71" s="1"/>
  <c r="P34" i="71" s="1"/>
  <c r="P27" i="71"/>
  <c r="P28" i="71" s="1"/>
  <c r="P29" i="71" s="1"/>
  <c r="P30" i="71" s="1"/>
  <c r="P23" i="71"/>
  <c r="P24" i="71" s="1"/>
  <c r="P25" i="71" s="1"/>
  <c r="P26" i="71" s="1"/>
  <c r="P19" i="71"/>
  <c r="P20" i="71" s="1"/>
  <c r="P21" i="71" s="1"/>
  <c r="P22" i="71" s="1"/>
  <c r="P15" i="71"/>
  <c r="P16" i="71" s="1"/>
  <c r="P17" i="71" s="1"/>
  <c r="P18" i="71" s="1"/>
  <c r="L12" i="71"/>
  <c r="L13" i="71" s="1"/>
  <c r="L14" i="71" s="1"/>
  <c r="L15" i="71" s="1"/>
  <c r="L16" i="71" s="1"/>
  <c r="L17" i="71" s="1"/>
  <c r="L18" i="71" s="1"/>
  <c r="L19" i="71" s="1"/>
  <c r="L20" i="71" s="1"/>
  <c r="L21" i="71" s="1"/>
  <c r="L22" i="71" s="1"/>
  <c r="L23" i="71" s="1"/>
  <c r="L24" i="71" s="1"/>
  <c r="L25" i="71" s="1"/>
  <c r="L26" i="71" s="1"/>
  <c r="L27" i="71" s="1"/>
  <c r="L28" i="71" s="1"/>
  <c r="L29" i="71" s="1"/>
  <c r="L30" i="71" s="1"/>
  <c r="L31" i="71" s="1"/>
  <c r="L32" i="71" s="1"/>
  <c r="L33" i="71" s="1"/>
  <c r="L34" i="71" s="1"/>
  <c r="L35" i="71" s="1"/>
  <c r="L36" i="71" s="1"/>
  <c r="L37" i="71" s="1"/>
  <c r="L38" i="71" s="1"/>
  <c r="L39" i="71" s="1"/>
  <c r="L40" i="71" s="1"/>
  <c r="L41" i="71" s="1"/>
  <c r="L42" i="71" s="1"/>
  <c r="L43" i="71" s="1"/>
  <c r="L44" i="71" s="1"/>
  <c r="L45" i="71" s="1"/>
  <c r="L46" i="71" s="1"/>
  <c r="L47" i="71" s="1"/>
  <c r="L48" i="71" s="1"/>
  <c r="L49" i="71" s="1"/>
  <c r="L50" i="71" s="1"/>
  <c r="L51" i="71" s="1"/>
  <c r="L52" i="71" s="1"/>
  <c r="L53" i="71" s="1"/>
  <c r="L54" i="71" s="1"/>
  <c r="L55" i="71" s="1"/>
  <c r="L56" i="71" s="1"/>
  <c r="L57" i="71" s="1"/>
  <c r="L58" i="71" s="1"/>
  <c r="K12" i="7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24" i="71" s="1"/>
  <c r="K25" i="71" s="1"/>
  <c r="K26" i="71" s="1"/>
  <c r="K27" i="71" s="1"/>
  <c r="K28" i="71" s="1"/>
  <c r="K29" i="71" s="1"/>
  <c r="K30" i="71" s="1"/>
  <c r="K31" i="71" s="1"/>
  <c r="K32" i="71" s="1"/>
  <c r="K33" i="71" s="1"/>
  <c r="K34" i="71" s="1"/>
  <c r="B12" i="71"/>
  <c r="B13" i="71" s="1"/>
  <c r="B14" i="71" s="1"/>
  <c r="B15" i="71" s="1"/>
  <c r="B16" i="71" s="1"/>
  <c r="B17" i="71" s="1"/>
  <c r="B18" i="71" s="1"/>
  <c r="B19" i="71" s="1"/>
  <c r="B20" i="71" s="1"/>
  <c r="B21" i="71" s="1"/>
  <c r="B22" i="71" s="1"/>
  <c r="B23" i="71" s="1"/>
  <c r="B24" i="71" s="1"/>
  <c r="B25" i="71" s="1"/>
  <c r="B26" i="71" s="1"/>
  <c r="B27" i="71" s="1"/>
  <c r="B28" i="71" s="1"/>
  <c r="B29" i="71" s="1"/>
  <c r="B30" i="71" s="1"/>
  <c r="B31" i="71" s="1"/>
  <c r="B32" i="71" s="1"/>
  <c r="B33" i="71" s="1"/>
  <c r="B34" i="71" s="1"/>
  <c r="B35" i="71" s="1"/>
  <c r="B36" i="71" s="1"/>
  <c r="B37" i="71" s="1"/>
  <c r="B38" i="71" s="1"/>
  <c r="B39" i="71" s="1"/>
  <c r="B40" i="71" s="1"/>
  <c r="B41" i="71" s="1"/>
  <c r="B42" i="71" s="1"/>
  <c r="B43" i="71" s="1"/>
  <c r="B44" i="71" s="1"/>
  <c r="B45" i="71" s="1"/>
  <c r="B46" i="71" s="1"/>
  <c r="B47" i="71" s="1"/>
  <c r="B48" i="71" s="1"/>
  <c r="B49" i="71" s="1"/>
  <c r="B50" i="71" s="1"/>
  <c r="B51" i="71" s="1"/>
  <c r="B52" i="71" s="1"/>
  <c r="B53" i="71" s="1"/>
  <c r="B54" i="71" s="1"/>
  <c r="B55" i="71" s="1"/>
  <c r="B56" i="71" s="1"/>
  <c r="B57" i="71" s="1"/>
  <c r="B58" i="71" s="1"/>
  <c r="S11" i="71"/>
  <c r="T11" i="71" s="1"/>
  <c r="T12" i="71" s="1"/>
  <c r="T13" i="71" s="1"/>
  <c r="T14" i="71" s="1"/>
  <c r="T15" i="71" s="1"/>
  <c r="T16" i="71" s="1"/>
  <c r="T17" i="71" s="1"/>
  <c r="T18" i="71" s="1"/>
  <c r="T19" i="71" s="1"/>
  <c r="T20" i="71" s="1"/>
  <c r="T21" i="71" s="1"/>
  <c r="T22" i="71" s="1"/>
  <c r="T23" i="71" s="1"/>
  <c r="T24" i="71" s="1"/>
  <c r="T25" i="71" s="1"/>
  <c r="T26" i="71" s="1"/>
  <c r="T27" i="71" s="1"/>
  <c r="T28" i="71" s="1"/>
  <c r="T29" i="71" s="1"/>
  <c r="T30" i="71" s="1"/>
  <c r="T31" i="71" s="1"/>
  <c r="T32" i="71" s="1"/>
  <c r="T33" i="71" s="1"/>
  <c r="T34" i="71" s="1"/>
  <c r="T35" i="71" s="1"/>
  <c r="T36" i="71" s="1"/>
  <c r="T37" i="71" s="1"/>
  <c r="T38" i="71" s="1"/>
  <c r="T39" i="71" s="1"/>
  <c r="T40" i="71" s="1"/>
  <c r="T41" i="71" s="1"/>
  <c r="T42" i="71" s="1"/>
  <c r="T43" i="71" s="1"/>
  <c r="T44" i="71" s="1"/>
  <c r="T45" i="71" s="1"/>
  <c r="T46" i="71" s="1"/>
  <c r="T47" i="71" s="1"/>
  <c r="T48" i="71" s="1"/>
  <c r="T49" i="71" s="1"/>
  <c r="T50" i="71" s="1"/>
  <c r="T51" i="71" s="1"/>
  <c r="T52" i="71" s="1"/>
  <c r="T53" i="71" s="1"/>
  <c r="T54" i="71" s="1"/>
  <c r="T55" i="71" s="1"/>
  <c r="T56" i="71" s="1"/>
  <c r="T57" i="71" s="1"/>
  <c r="T58" i="71" s="1"/>
  <c r="Q12" i="71"/>
  <c r="Q13" i="71" s="1"/>
  <c r="Q14" i="71" s="1"/>
  <c r="Q15" i="71" s="1"/>
  <c r="Q16" i="71" s="1"/>
  <c r="Q17" i="71" s="1"/>
  <c r="Q18" i="71" s="1"/>
  <c r="Q19" i="71" s="1"/>
  <c r="Q20" i="71" s="1"/>
  <c r="Q21" i="71" s="1"/>
  <c r="Q22" i="71" s="1"/>
  <c r="Q23" i="71" s="1"/>
  <c r="Q24" i="71" s="1"/>
  <c r="Q25" i="71" s="1"/>
  <c r="Q26" i="71" s="1"/>
  <c r="Q27" i="71" s="1"/>
  <c r="Q28" i="71" s="1"/>
  <c r="Q29" i="71" s="1"/>
  <c r="Q30" i="71" s="1"/>
  <c r="Q31" i="71" s="1"/>
  <c r="Q32" i="71" s="1"/>
  <c r="Q33" i="71" s="1"/>
  <c r="Q34" i="71" s="1"/>
  <c r="Q35" i="71" s="1"/>
  <c r="Q36" i="71" s="1"/>
  <c r="Q37" i="71" s="1"/>
  <c r="Q38" i="71" s="1"/>
  <c r="Q39" i="71" s="1"/>
  <c r="Q40" i="71" s="1"/>
  <c r="Q41" i="71" s="1"/>
  <c r="Q42" i="71" s="1"/>
  <c r="Q43" i="71" s="1"/>
  <c r="Q44" i="71" s="1"/>
  <c r="Q45" i="71" s="1"/>
  <c r="Q46" i="71" s="1"/>
  <c r="Q47" i="71" s="1"/>
  <c r="Q48" i="71" s="1"/>
  <c r="Q49" i="71" s="1"/>
  <c r="Q50" i="71" s="1"/>
  <c r="Q51" i="71" s="1"/>
  <c r="Q52" i="71" s="1"/>
  <c r="Q53" i="71" s="1"/>
  <c r="Q54" i="71" s="1"/>
  <c r="Q55" i="71" s="1"/>
  <c r="Q56" i="71" s="1"/>
  <c r="Q57" i="71" s="1"/>
  <c r="Q58" i="71" s="1"/>
  <c r="P11" i="71"/>
  <c r="P12" i="71" s="1"/>
  <c r="P13" i="71" s="1"/>
  <c r="P14" i="71" s="1"/>
  <c r="O11" i="71"/>
  <c r="O12" i="71" s="1"/>
  <c r="O13" i="71" s="1"/>
  <c r="O14" i="71" s="1"/>
  <c r="O15" i="71" s="1"/>
  <c r="O16" i="71" s="1"/>
  <c r="O17" i="71" s="1"/>
  <c r="O18" i="71" s="1"/>
  <c r="O19" i="71" s="1"/>
  <c r="O20" i="71" s="1"/>
  <c r="O21" i="71" s="1"/>
  <c r="O22" i="71" s="1"/>
  <c r="O23" i="71" s="1"/>
  <c r="O24" i="71" s="1"/>
  <c r="O25" i="71" s="1"/>
  <c r="O26" i="71" s="1"/>
  <c r="O27" i="71" s="1"/>
  <c r="O28" i="71" s="1"/>
  <c r="O29" i="71" s="1"/>
  <c r="O30" i="71" s="1"/>
  <c r="O31" i="71" s="1"/>
  <c r="O32" i="71" s="1"/>
  <c r="O33" i="71" s="1"/>
  <c r="O34" i="71" s="1"/>
  <c r="O35" i="71" s="1"/>
  <c r="O36" i="71" s="1"/>
  <c r="O37" i="71" s="1"/>
  <c r="O38" i="71" s="1"/>
  <c r="O39" i="71" s="1"/>
  <c r="O40" i="71" s="1"/>
  <c r="O41" i="71" s="1"/>
  <c r="O42" i="71" s="1"/>
  <c r="O43" i="71" s="1"/>
  <c r="O44" i="71" s="1"/>
  <c r="O45" i="71" s="1"/>
  <c r="O46" i="71" s="1"/>
  <c r="O47" i="71" s="1"/>
  <c r="O48" i="71" s="1"/>
  <c r="O49" i="71" s="1"/>
  <c r="O50" i="71" s="1"/>
  <c r="O51" i="71" s="1"/>
  <c r="O52" i="71" s="1"/>
  <c r="O53" i="71" s="1"/>
  <c r="O54" i="71" s="1"/>
  <c r="O55" i="71" s="1"/>
  <c r="O56" i="71" s="1"/>
  <c r="O57" i="71" s="1"/>
  <c r="O58" i="71" s="1"/>
  <c r="M11" i="71"/>
  <c r="M12" i="71" s="1"/>
  <c r="M13" i="71" s="1"/>
  <c r="M14" i="71" s="1"/>
  <c r="M15" i="71" s="1"/>
  <c r="M16" i="71" s="1"/>
  <c r="M17" i="71" s="1"/>
  <c r="M18" i="71" s="1"/>
  <c r="M19" i="71" s="1"/>
  <c r="M20" i="71" s="1"/>
  <c r="M21" i="71" s="1"/>
  <c r="M22" i="71" s="1"/>
  <c r="M23" i="71" s="1"/>
  <c r="M24" i="71" s="1"/>
  <c r="M25" i="71" s="1"/>
  <c r="M26" i="71" s="1"/>
  <c r="M27" i="71" s="1"/>
  <c r="M28" i="71" s="1"/>
  <c r="M29" i="71" s="1"/>
  <c r="M30" i="71" s="1"/>
  <c r="M31" i="71" s="1"/>
  <c r="M32" i="71" s="1"/>
  <c r="M33" i="71" s="1"/>
  <c r="M34" i="71" s="1"/>
  <c r="M35" i="71" s="1"/>
  <c r="M36" i="71" s="1"/>
  <c r="M37" i="71" s="1"/>
  <c r="M38" i="71" s="1"/>
  <c r="M39" i="71" s="1"/>
  <c r="M40" i="71" s="1"/>
  <c r="M41" i="71" s="1"/>
  <c r="M42" i="71" s="1"/>
  <c r="M43" i="71" s="1"/>
  <c r="M44" i="71" s="1"/>
  <c r="M45" i="71" s="1"/>
  <c r="M46" i="71" s="1"/>
  <c r="M47" i="71" s="1"/>
  <c r="M48" i="71" s="1"/>
  <c r="M49" i="71" s="1"/>
  <c r="M50" i="71" s="1"/>
  <c r="M51" i="71" s="1"/>
  <c r="M52" i="71" s="1"/>
  <c r="M53" i="71" s="1"/>
  <c r="M54" i="71" s="1"/>
  <c r="M55" i="71" s="1"/>
  <c r="M56" i="71" s="1"/>
  <c r="M57" i="71" s="1"/>
  <c r="M58" i="71" s="1"/>
  <c r="G11" i="71"/>
  <c r="G12" i="71" s="1"/>
  <c r="G13" i="71" s="1"/>
  <c r="B10" i="71"/>
  <c r="M82" i="70"/>
  <c r="L82" i="70"/>
  <c r="M81" i="70"/>
  <c r="L81" i="70"/>
  <c r="M80" i="70"/>
  <c r="L80" i="70"/>
  <c r="M79" i="70"/>
  <c r="L79" i="70"/>
  <c r="M78" i="70"/>
  <c r="L78" i="70"/>
  <c r="M77" i="70"/>
  <c r="L77" i="70"/>
  <c r="M76" i="70"/>
  <c r="L76" i="70"/>
  <c r="M75" i="70"/>
  <c r="L75" i="70"/>
  <c r="M74" i="70"/>
  <c r="L74" i="70"/>
  <c r="M73" i="70"/>
  <c r="L73" i="70"/>
  <c r="M72" i="70"/>
  <c r="L72" i="70"/>
  <c r="M71" i="70"/>
  <c r="L71" i="70"/>
  <c r="M70" i="70"/>
  <c r="L70" i="70"/>
  <c r="M69" i="70"/>
  <c r="L69" i="70"/>
  <c r="M68" i="70"/>
  <c r="L68" i="70"/>
  <c r="M67" i="70"/>
  <c r="L67" i="70"/>
  <c r="M66" i="70"/>
  <c r="L66" i="70"/>
  <c r="M65" i="70"/>
  <c r="L65" i="70"/>
  <c r="M64" i="70"/>
  <c r="L64" i="70"/>
  <c r="M63" i="70"/>
  <c r="L63" i="70"/>
  <c r="M62" i="70"/>
  <c r="L62" i="70"/>
  <c r="M61" i="70"/>
  <c r="L61" i="70"/>
  <c r="M60" i="70"/>
  <c r="L60" i="70"/>
  <c r="M59" i="70"/>
  <c r="L59" i="70"/>
  <c r="D60" i="70"/>
  <c r="E60" i="70" s="1"/>
  <c r="D61" i="70"/>
  <c r="E61" i="70" s="1"/>
  <c r="D62" i="70"/>
  <c r="E62" i="70" s="1"/>
  <c r="D63" i="70"/>
  <c r="E63" i="70" s="1"/>
  <c r="D64" i="70"/>
  <c r="E64" i="70" s="1"/>
  <c r="D65" i="70"/>
  <c r="E65" i="70" s="1"/>
  <c r="D66" i="70"/>
  <c r="E66" i="70" s="1"/>
  <c r="D67" i="70"/>
  <c r="E67" i="70" s="1"/>
  <c r="D68" i="70"/>
  <c r="E68" i="70" s="1"/>
  <c r="D69" i="70"/>
  <c r="E69" i="70" s="1"/>
  <c r="D70" i="70"/>
  <c r="E70" i="70" s="1"/>
  <c r="D71" i="70"/>
  <c r="E71" i="70" s="1"/>
  <c r="D72" i="70"/>
  <c r="E72" i="70" s="1"/>
  <c r="D73" i="70"/>
  <c r="E73" i="70" s="1"/>
  <c r="D74" i="70"/>
  <c r="E74" i="70" s="1"/>
  <c r="D75" i="70"/>
  <c r="E75" i="70" s="1"/>
  <c r="D76" i="70"/>
  <c r="E76" i="70" s="1"/>
  <c r="D77" i="70"/>
  <c r="E77" i="70" s="1"/>
  <c r="D78" i="70"/>
  <c r="E78" i="70" s="1"/>
  <c r="D79" i="70"/>
  <c r="E79" i="70" s="1"/>
  <c r="D80" i="70"/>
  <c r="E80" i="70" s="1"/>
  <c r="D81" i="70"/>
  <c r="E81" i="70" s="1"/>
  <c r="D82" i="70"/>
  <c r="E82" i="70" s="1"/>
  <c r="D59" i="70"/>
  <c r="E59" i="70" s="1"/>
  <c r="D36" i="70"/>
  <c r="D37" i="70"/>
  <c r="D38" i="70"/>
  <c r="D39" i="70"/>
  <c r="D40" i="70"/>
  <c r="D41" i="70"/>
  <c r="D42" i="70"/>
  <c r="D43" i="70"/>
  <c r="D44" i="70"/>
  <c r="D45" i="70"/>
  <c r="D46" i="70"/>
  <c r="D47" i="70"/>
  <c r="D48" i="70"/>
  <c r="D49" i="70"/>
  <c r="D50" i="70"/>
  <c r="D51" i="70"/>
  <c r="D52" i="70"/>
  <c r="D53" i="70"/>
  <c r="D54" i="70"/>
  <c r="D55" i="70"/>
  <c r="D56" i="70"/>
  <c r="D57" i="70"/>
  <c r="D58" i="70"/>
  <c r="D35" i="70"/>
  <c r="D11" i="70"/>
  <c r="D12" i="70" s="1"/>
  <c r="J11" i="70"/>
  <c r="J12" i="70" s="1"/>
  <c r="J13" i="70" s="1"/>
  <c r="J14" i="70" s="1"/>
  <c r="J15" i="70" s="1"/>
  <c r="J16" i="70" s="1"/>
  <c r="J17" i="70" s="1"/>
  <c r="J18" i="70" s="1"/>
  <c r="J19" i="70" s="1"/>
  <c r="J20" i="70" s="1"/>
  <c r="J21" i="70" s="1"/>
  <c r="J22" i="70" s="1"/>
  <c r="J23" i="70" s="1"/>
  <c r="J24" i="70" s="1"/>
  <c r="J25" i="70" s="1"/>
  <c r="J26" i="70" s="1"/>
  <c r="J27" i="70" s="1"/>
  <c r="J28" i="70" s="1"/>
  <c r="J29" i="70" s="1"/>
  <c r="J30" i="70" s="1"/>
  <c r="J31" i="70" s="1"/>
  <c r="J32" i="70" s="1"/>
  <c r="J33" i="70" s="1"/>
  <c r="J34" i="70" s="1"/>
  <c r="J11" i="68"/>
  <c r="J12" i="68" s="1"/>
  <c r="J13" i="68" s="1"/>
  <c r="J14" i="68" s="1"/>
  <c r="J15" i="68" s="1"/>
  <c r="J16" i="68" s="1"/>
  <c r="J17" i="68" s="1"/>
  <c r="J18" i="68" s="1"/>
  <c r="J19" i="68" s="1"/>
  <c r="J20" i="68" s="1"/>
  <c r="J21" i="68" s="1"/>
  <c r="J22" i="68" s="1"/>
  <c r="J23" i="68" s="1"/>
  <c r="J24" i="68" s="1"/>
  <c r="J25" i="68" s="1"/>
  <c r="J26" i="68" s="1"/>
  <c r="J27" i="68" s="1"/>
  <c r="J28" i="68" s="1"/>
  <c r="J29" i="68" s="1"/>
  <c r="J30" i="68" s="1"/>
  <c r="J31" i="68" s="1"/>
  <c r="J32" i="68" s="1"/>
  <c r="J33" i="68" s="1"/>
  <c r="J34" i="68" s="1"/>
  <c r="J35" i="68" s="1"/>
  <c r="J36" i="68" s="1"/>
  <c r="J37" i="68" s="1"/>
  <c r="J38" i="68" s="1"/>
  <c r="J39" i="68" s="1"/>
  <c r="J40" i="68" s="1"/>
  <c r="J41" i="68" s="1"/>
  <c r="J42" i="68" s="1"/>
  <c r="J43" i="68" s="1"/>
  <c r="J44" i="68" s="1"/>
  <c r="J45" i="68" s="1"/>
  <c r="J46" i="68" s="1"/>
  <c r="J47" i="68" s="1"/>
  <c r="J48" i="68" s="1"/>
  <c r="J49" i="68" s="1"/>
  <c r="J50" i="68" s="1"/>
  <c r="J51" i="68" s="1"/>
  <c r="J52" i="68" s="1"/>
  <c r="J53" i="68" s="1"/>
  <c r="J54" i="68" s="1"/>
  <c r="J55" i="68" s="1"/>
  <c r="J56" i="68" s="1"/>
  <c r="J57" i="68" s="1"/>
  <c r="J58" i="68" s="1"/>
  <c r="J59" i="68" s="1"/>
  <c r="J60" i="68" s="1"/>
  <c r="J61" i="68" s="1"/>
  <c r="J62" i="68" s="1"/>
  <c r="J63" i="68" s="1"/>
  <c r="J64" i="68" s="1"/>
  <c r="J65" i="68" s="1"/>
  <c r="J66" i="68" s="1"/>
  <c r="J67" i="68" s="1"/>
  <c r="J68" i="68" s="1"/>
  <c r="J69" i="68" s="1"/>
  <c r="J70" i="68" s="1"/>
  <c r="J71" i="68" s="1"/>
  <c r="J72" i="68" s="1"/>
  <c r="J73" i="68" s="1"/>
  <c r="J74" i="68" s="1"/>
  <c r="J75" i="68" s="1"/>
  <c r="J76" i="68" s="1"/>
  <c r="J77" i="68" s="1"/>
  <c r="J78" i="68" s="1"/>
  <c r="J79" i="68" s="1"/>
  <c r="J80" i="68" s="1"/>
  <c r="J81" i="68" s="1"/>
  <c r="J82" i="68" s="1"/>
  <c r="J83" i="68" s="1"/>
  <c r="J84" i="68" s="1"/>
  <c r="J85" i="68" s="1"/>
  <c r="J86" i="68" s="1"/>
  <c r="J87" i="68" s="1"/>
  <c r="J88" i="68" s="1"/>
  <c r="J89" i="68" s="1"/>
  <c r="J90" i="68" s="1"/>
  <c r="J91" i="68" s="1"/>
  <c r="J92" i="68" s="1"/>
  <c r="J93" i="68" s="1"/>
  <c r="J94" i="68" s="1"/>
  <c r="J95" i="68" s="1"/>
  <c r="J96" i="68" s="1"/>
  <c r="J97" i="68" s="1"/>
  <c r="J98" i="68" s="1"/>
  <c r="J99" i="68" s="1"/>
  <c r="J100" i="68" s="1"/>
  <c r="J101" i="68" s="1"/>
  <c r="J102" i="68" s="1"/>
  <c r="J103" i="68" s="1"/>
  <c r="J104" i="68" s="1"/>
  <c r="J105" i="68" s="1"/>
  <c r="J106" i="68" s="1"/>
  <c r="J107" i="68" s="1"/>
  <c r="J108" i="68" s="1"/>
  <c r="J109" i="68" s="1"/>
  <c r="J110" i="68" s="1"/>
  <c r="J111" i="68" s="1"/>
  <c r="J112" i="68" s="1"/>
  <c r="J113" i="68" s="1"/>
  <c r="J114" i="68" s="1"/>
  <c r="J115" i="68" s="1"/>
  <c r="J116" i="68" s="1"/>
  <c r="J117" i="68" s="1"/>
  <c r="J118" i="68" s="1"/>
  <c r="J119" i="68" s="1"/>
  <c r="J120" i="68" s="1"/>
  <c r="J121" i="68" s="1"/>
  <c r="J122" i="68" s="1"/>
  <c r="J123" i="68" s="1"/>
  <c r="J124" i="68" s="1"/>
  <c r="J125" i="68" s="1"/>
  <c r="J126" i="68" s="1"/>
  <c r="J127" i="68" s="1"/>
  <c r="J128" i="68" s="1"/>
  <c r="J129" i="68" s="1"/>
  <c r="J130" i="68" s="1"/>
  <c r="J131" i="68" s="1"/>
  <c r="J132" i="68" s="1"/>
  <c r="J133" i="68" s="1"/>
  <c r="J134" i="68" s="1"/>
  <c r="J135" i="68" s="1"/>
  <c r="J136" i="68" s="1"/>
  <c r="J137" i="68" s="1"/>
  <c r="J138" i="68" s="1"/>
  <c r="J139" i="68" s="1"/>
  <c r="J140" i="68" s="1"/>
  <c r="J141" i="68" s="1"/>
  <c r="J142" i="68" s="1"/>
  <c r="J143" i="68" s="1"/>
  <c r="J144" i="68" s="1"/>
  <c r="J145" i="68" s="1"/>
  <c r="J146" i="68" s="1"/>
  <c r="J147" i="68" s="1"/>
  <c r="J148" i="68" s="1"/>
  <c r="J149" i="68" s="1"/>
  <c r="J150" i="68" s="1"/>
  <c r="J151" i="68" s="1"/>
  <c r="J152" i="68" s="1"/>
  <c r="J153" i="68" s="1"/>
  <c r="J154" i="68" s="1"/>
  <c r="J155" i="68" s="1"/>
  <c r="J156" i="68" s="1"/>
  <c r="J157" i="68" s="1"/>
  <c r="J158" i="68" s="1"/>
  <c r="J159" i="68" s="1"/>
  <c r="J160" i="68" s="1"/>
  <c r="J161" i="68" s="1"/>
  <c r="J162" i="68" s="1"/>
  <c r="J163" i="68" s="1"/>
  <c r="J164" i="68" s="1"/>
  <c r="J165" i="68" s="1"/>
  <c r="J166" i="68" s="1"/>
  <c r="J167" i="68" s="1"/>
  <c r="J168" i="68" s="1"/>
  <c r="J169" i="68" s="1"/>
  <c r="J170" i="68" s="1"/>
  <c r="J171" i="68" s="1"/>
  <c r="J172" i="68" s="1"/>
  <c r="J173" i="68" s="1"/>
  <c r="J174" i="68" s="1"/>
  <c r="J175" i="68" s="1"/>
  <c r="J176" i="68" s="1"/>
  <c r="J177" i="68" s="1"/>
  <c r="J178" i="68" s="1"/>
  <c r="J179" i="68" s="1"/>
  <c r="J180" i="68" s="1"/>
  <c r="J181" i="68" s="1"/>
  <c r="J182" i="68" s="1"/>
  <c r="J183" i="68" s="1"/>
  <c r="J184" i="68" s="1"/>
  <c r="J185" i="68" s="1"/>
  <c r="J186" i="68" s="1"/>
  <c r="J187" i="68" s="1"/>
  <c r="J188" i="68" s="1"/>
  <c r="J189" i="68" s="1"/>
  <c r="J190" i="68" s="1"/>
  <c r="J191" i="68" s="1"/>
  <c r="J192" i="68" s="1"/>
  <c r="J193" i="68" s="1"/>
  <c r="J194" i="68" s="1"/>
  <c r="J195" i="68" s="1"/>
  <c r="J196" i="68" s="1"/>
  <c r="J197" i="68" s="1"/>
  <c r="J198" i="68" s="1"/>
  <c r="J199" i="68" s="1"/>
  <c r="J200" i="68" s="1"/>
  <c r="J201" i="68" s="1"/>
  <c r="J202" i="68" s="1"/>
  <c r="J203" i="68" s="1"/>
  <c r="J204" i="68" s="1"/>
  <c r="J205" i="68" s="1"/>
  <c r="J206" i="68" s="1"/>
  <c r="J207" i="68" s="1"/>
  <c r="J208" i="68" s="1"/>
  <c r="J209" i="68" s="1"/>
  <c r="J210" i="68" s="1"/>
  <c r="J211" i="68" s="1"/>
  <c r="J212" i="68" s="1"/>
  <c r="J213" i="68" s="1"/>
  <c r="J214" i="68" s="1"/>
  <c r="J215" i="68" s="1"/>
  <c r="J216" i="68" s="1"/>
  <c r="J217" i="68" s="1"/>
  <c r="J218" i="68" s="1"/>
  <c r="J219" i="68" s="1"/>
  <c r="J220" i="68" s="1"/>
  <c r="J221" i="68" s="1"/>
  <c r="J222" i="68" s="1"/>
  <c r="J223" i="68" s="1"/>
  <c r="J224" i="68" s="1"/>
  <c r="J225" i="68" s="1"/>
  <c r="J226" i="68" s="1"/>
  <c r="J227" i="68" s="1"/>
  <c r="J228" i="68" s="1"/>
  <c r="J229" i="68" s="1"/>
  <c r="J230" i="68" s="1"/>
  <c r="J231" i="68" s="1"/>
  <c r="J232" i="68" s="1"/>
  <c r="J233" i="68" s="1"/>
  <c r="J234" i="68" s="1"/>
  <c r="J235" i="68" s="1"/>
  <c r="J236" i="68" s="1"/>
  <c r="J237" i="68" s="1"/>
  <c r="J238" i="68" s="1"/>
  <c r="J239" i="68" s="1"/>
  <c r="J240" i="68" s="1"/>
  <c r="J241" i="68" s="1"/>
  <c r="J242" i="68" s="1"/>
  <c r="J243" i="68" s="1"/>
  <c r="J244" i="68" s="1"/>
  <c r="J245" i="68" s="1"/>
  <c r="J246" i="68" s="1"/>
  <c r="J247" i="68" s="1"/>
  <c r="J248" i="68" s="1"/>
  <c r="J249" i="68" s="1"/>
  <c r="J250" i="68" s="1"/>
  <c r="J251" i="68" s="1"/>
  <c r="J252" i="68" s="1"/>
  <c r="J253" i="68" s="1"/>
  <c r="J254" i="68" s="1"/>
  <c r="J255" i="68" s="1"/>
  <c r="J256" i="68" s="1"/>
  <c r="J257" i="68" s="1"/>
  <c r="J258" i="68" s="1"/>
  <c r="J259" i="68" s="1"/>
  <c r="J260" i="68" s="1"/>
  <c r="J261" i="68" s="1"/>
  <c r="J262" i="68" s="1"/>
  <c r="J263" i="68" s="1"/>
  <c r="J264" i="68" s="1"/>
  <c r="J265" i="68" s="1"/>
  <c r="J266" i="68" s="1"/>
  <c r="J267" i="68" s="1"/>
  <c r="J268" i="68" s="1"/>
  <c r="J269" i="68" s="1"/>
  <c r="J270" i="68" s="1"/>
  <c r="J271" i="68" s="1"/>
  <c r="J272" i="68" s="1"/>
  <c r="J273" i="68" s="1"/>
  <c r="J274" i="68" s="1"/>
  <c r="J275" i="68" s="1"/>
  <c r="J276" i="68" s="1"/>
  <c r="J277" i="68" s="1"/>
  <c r="J278" i="68" s="1"/>
  <c r="J279" i="68" s="1"/>
  <c r="J280" i="68" s="1"/>
  <c r="J281" i="68" s="1"/>
  <c r="J282" i="68" s="1"/>
  <c r="J283" i="68" s="1"/>
  <c r="J284" i="68" s="1"/>
  <c r="J285" i="68" s="1"/>
  <c r="J286" i="68" s="1"/>
  <c r="J287" i="68" s="1"/>
  <c r="J288" i="68" s="1"/>
  <c r="J289" i="68" s="1"/>
  <c r="J290" i="68" s="1"/>
  <c r="J291" i="68" s="1"/>
  <c r="J292" i="68" s="1"/>
  <c r="J293" i="68" s="1"/>
  <c r="J294" i="68" s="1"/>
  <c r="J295" i="68" s="1"/>
  <c r="J296" i="68" s="1"/>
  <c r="J297" i="68" s="1"/>
  <c r="J298" i="68" s="1"/>
  <c r="L35" i="70"/>
  <c r="M58" i="70"/>
  <c r="L58" i="70"/>
  <c r="M57" i="70"/>
  <c r="L57" i="70"/>
  <c r="M56" i="70"/>
  <c r="L56" i="70"/>
  <c r="M55" i="70"/>
  <c r="L55" i="70"/>
  <c r="M54" i="70"/>
  <c r="L54" i="70"/>
  <c r="M53" i="70"/>
  <c r="L53" i="70"/>
  <c r="M52" i="70"/>
  <c r="L52" i="70"/>
  <c r="I52" i="70"/>
  <c r="I53" i="70" s="1"/>
  <c r="I54" i="70" s="1"/>
  <c r="I55" i="70" s="1"/>
  <c r="I56" i="70" s="1"/>
  <c r="I57" i="70" s="1"/>
  <c r="I58" i="70" s="1"/>
  <c r="I59" i="70" s="1"/>
  <c r="I60" i="70" s="1"/>
  <c r="I61" i="70" s="1"/>
  <c r="I62" i="70" s="1"/>
  <c r="I63" i="70" s="1"/>
  <c r="I64" i="70" s="1"/>
  <c r="I65" i="70" s="1"/>
  <c r="I66" i="70" s="1"/>
  <c r="I67" i="70" s="1"/>
  <c r="I68" i="70" s="1"/>
  <c r="I69" i="70" s="1"/>
  <c r="I70" i="70" s="1"/>
  <c r="I71" i="70" s="1"/>
  <c r="I72" i="70" s="1"/>
  <c r="I73" i="70" s="1"/>
  <c r="I74" i="70" s="1"/>
  <c r="M51" i="70"/>
  <c r="L51" i="70"/>
  <c r="M50" i="70"/>
  <c r="L50" i="70"/>
  <c r="M49" i="70"/>
  <c r="L49" i="70"/>
  <c r="M48" i="70"/>
  <c r="L48" i="70"/>
  <c r="M47" i="70"/>
  <c r="L47" i="70"/>
  <c r="M46" i="70"/>
  <c r="L46" i="70"/>
  <c r="M45" i="70"/>
  <c r="L45" i="70"/>
  <c r="M44" i="70"/>
  <c r="L44" i="70"/>
  <c r="M43" i="70"/>
  <c r="L43" i="70"/>
  <c r="M42" i="70"/>
  <c r="L42" i="70"/>
  <c r="M41" i="70"/>
  <c r="L41" i="70"/>
  <c r="M40" i="70"/>
  <c r="L40" i="70"/>
  <c r="M39" i="70"/>
  <c r="L39" i="70"/>
  <c r="M38" i="70"/>
  <c r="L38" i="70"/>
  <c r="M37" i="70"/>
  <c r="L37" i="70"/>
  <c r="M36" i="70"/>
  <c r="L36" i="70"/>
  <c r="I36" i="70"/>
  <c r="I37" i="70" s="1"/>
  <c r="I38" i="70" s="1"/>
  <c r="I39" i="70" s="1"/>
  <c r="I40" i="70" s="1"/>
  <c r="I41" i="70" s="1"/>
  <c r="I42" i="70" s="1"/>
  <c r="I43" i="70" s="1"/>
  <c r="I44" i="70" s="1"/>
  <c r="I45" i="70" s="1"/>
  <c r="I46" i="70" s="1"/>
  <c r="I47" i="70" s="1"/>
  <c r="I48" i="70" s="1"/>
  <c r="I49" i="70" s="1"/>
  <c r="I50" i="70" s="1"/>
  <c r="M35" i="70"/>
  <c r="M34" i="70"/>
  <c r="M33" i="70"/>
  <c r="M32" i="70"/>
  <c r="M31" i="70"/>
  <c r="M30" i="70"/>
  <c r="M29" i="70"/>
  <c r="M28" i="70"/>
  <c r="M27" i="70"/>
  <c r="M26" i="70"/>
  <c r="M25" i="70"/>
  <c r="M24" i="70"/>
  <c r="M23" i="70"/>
  <c r="L13" i="70"/>
  <c r="L14" i="70"/>
  <c r="L15" i="70"/>
  <c r="L16" i="70"/>
  <c r="L17" i="70"/>
  <c r="L18" i="70"/>
  <c r="L19" i="70"/>
  <c r="L20" i="70"/>
  <c r="L21" i="70"/>
  <c r="L22" i="70"/>
  <c r="L23" i="70"/>
  <c r="L24" i="70"/>
  <c r="L25" i="70"/>
  <c r="L26" i="70"/>
  <c r="L27" i="70"/>
  <c r="L28" i="70"/>
  <c r="L29" i="70"/>
  <c r="L30" i="70"/>
  <c r="L31" i="70"/>
  <c r="L32" i="70"/>
  <c r="L33" i="70"/>
  <c r="L34" i="70"/>
  <c r="L12" i="70"/>
  <c r="M20" i="70"/>
  <c r="M21" i="70"/>
  <c r="M22" i="70"/>
  <c r="M19" i="70"/>
  <c r="M16" i="70"/>
  <c r="M17" i="70"/>
  <c r="M18" i="70"/>
  <c r="M15" i="70"/>
  <c r="M13" i="70"/>
  <c r="M14" i="70"/>
  <c r="M12" i="70"/>
  <c r="I76" i="70"/>
  <c r="I77" i="70" s="1"/>
  <c r="I78" i="70" s="1"/>
  <c r="I79" i="70" s="1"/>
  <c r="I80" i="70" s="1"/>
  <c r="I81" i="70" s="1"/>
  <c r="I82" i="70" s="1"/>
  <c r="I28" i="70"/>
  <c r="I29" i="70" s="1"/>
  <c r="I30" i="70" s="1"/>
  <c r="I31" i="70" s="1"/>
  <c r="I32" i="70" s="1"/>
  <c r="I33" i="70" s="1"/>
  <c r="I34" i="70" s="1"/>
  <c r="I12" i="70"/>
  <c r="I13" i="70" s="1"/>
  <c r="I14" i="70" s="1"/>
  <c r="I15" i="70" s="1"/>
  <c r="I16" i="70" s="1"/>
  <c r="I17" i="70" s="1"/>
  <c r="I18" i="70" s="1"/>
  <c r="I19" i="70" s="1"/>
  <c r="I20" i="70" s="1"/>
  <c r="I21" i="70" s="1"/>
  <c r="I22" i="70" s="1"/>
  <c r="I23" i="70" s="1"/>
  <c r="I24" i="70" s="1"/>
  <c r="I25" i="70" s="1"/>
  <c r="I26" i="70" s="1"/>
  <c r="B12" i="70"/>
  <c r="B13" i="70" s="1"/>
  <c r="B14" i="70" s="1"/>
  <c r="B15" i="70" s="1"/>
  <c r="B16" i="70" s="1"/>
  <c r="B17" i="70" s="1"/>
  <c r="B18" i="70" s="1"/>
  <c r="B19" i="70" s="1"/>
  <c r="B20" i="70" s="1"/>
  <c r="B21" i="70" s="1"/>
  <c r="B22" i="70" s="1"/>
  <c r="B23" i="70" s="1"/>
  <c r="B24" i="70" s="1"/>
  <c r="B25" i="70" s="1"/>
  <c r="B26" i="70" s="1"/>
  <c r="B27" i="70" s="1"/>
  <c r="B28" i="70" s="1"/>
  <c r="B29" i="70" s="1"/>
  <c r="B30" i="70" s="1"/>
  <c r="B31" i="70" s="1"/>
  <c r="B32" i="70" s="1"/>
  <c r="B33" i="70" s="1"/>
  <c r="B34" i="70" s="1"/>
  <c r="P11" i="70"/>
  <c r="Q11" i="70" s="1"/>
  <c r="N11" i="70"/>
  <c r="N12" i="70" s="1"/>
  <c r="N13" i="70" s="1"/>
  <c r="N14" i="70" s="1"/>
  <c r="N15" i="70" s="1"/>
  <c r="N16" i="70" s="1"/>
  <c r="N17" i="70" s="1"/>
  <c r="N18" i="70" s="1"/>
  <c r="N19" i="70" s="1"/>
  <c r="N20" i="70" s="1"/>
  <c r="N21" i="70" s="1"/>
  <c r="N22" i="70" s="1"/>
  <c r="N23" i="70" s="1"/>
  <c r="N24" i="70" s="1"/>
  <c r="N25" i="70" s="1"/>
  <c r="N26" i="70" s="1"/>
  <c r="N27" i="70" s="1"/>
  <c r="N28" i="70" s="1"/>
  <c r="N29" i="70" s="1"/>
  <c r="N30" i="70" s="1"/>
  <c r="N31" i="70" s="1"/>
  <c r="N32" i="70" s="1"/>
  <c r="N33" i="70" s="1"/>
  <c r="N34" i="70" s="1"/>
  <c r="M11" i="70"/>
  <c r="L11" i="70"/>
  <c r="B10" i="70"/>
  <c r="D85" i="69"/>
  <c r="D86" i="69"/>
  <c r="D87" i="69"/>
  <c r="D88" i="69"/>
  <c r="D89" i="69"/>
  <c r="D90" i="69"/>
  <c r="D91" i="69"/>
  <c r="D92" i="69"/>
  <c r="D93" i="69"/>
  <c r="D94" i="69"/>
  <c r="D95" i="69"/>
  <c r="F95" i="69" s="1"/>
  <c r="F96" i="69" s="1"/>
  <c r="F97" i="69" s="1"/>
  <c r="F98" i="69" s="1"/>
  <c r="F99" i="69" s="1"/>
  <c r="F100" i="69" s="1"/>
  <c r="F101" i="69" s="1"/>
  <c r="F102" i="69" s="1"/>
  <c r="F103" i="69" s="1"/>
  <c r="F104" i="69" s="1"/>
  <c r="F105" i="69" s="1"/>
  <c r="F106" i="69" s="1"/>
  <c r="D96" i="69"/>
  <c r="D97" i="69"/>
  <c r="D98" i="69"/>
  <c r="D99" i="69"/>
  <c r="D100" i="69"/>
  <c r="D101" i="69"/>
  <c r="D102" i="69"/>
  <c r="D103" i="69"/>
  <c r="D104" i="69"/>
  <c r="D105" i="69"/>
  <c r="D106" i="69"/>
  <c r="D107" i="69"/>
  <c r="F107" i="69" s="1"/>
  <c r="F108" i="69" s="1"/>
  <c r="F109" i="69" s="1"/>
  <c r="F110" i="69" s="1"/>
  <c r="F111" i="69" s="1"/>
  <c r="F112" i="69" s="1"/>
  <c r="F113" i="69" s="1"/>
  <c r="F114" i="69" s="1"/>
  <c r="F115" i="69" s="1"/>
  <c r="F116" i="69" s="1"/>
  <c r="F117" i="69" s="1"/>
  <c r="F118" i="69" s="1"/>
  <c r="D108" i="69"/>
  <c r="D109" i="69"/>
  <c r="D110" i="69"/>
  <c r="D111" i="69"/>
  <c r="D112" i="69"/>
  <c r="D113" i="69"/>
  <c r="D114" i="69"/>
  <c r="D115" i="69"/>
  <c r="D116" i="69"/>
  <c r="D117" i="69"/>
  <c r="D118" i="69"/>
  <c r="D119" i="69"/>
  <c r="F119" i="69" s="1"/>
  <c r="F120" i="69" s="1"/>
  <c r="F121" i="69" s="1"/>
  <c r="F122" i="69" s="1"/>
  <c r="F123" i="69" s="1"/>
  <c r="F124" i="69" s="1"/>
  <c r="F125" i="69" s="1"/>
  <c r="F126" i="69" s="1"/>
  <c r="F127" i="69" s="1"/>
  <c r="F128" i="69" s="1"/>
  <c r="F129" i="69" s="1"/>
  <c r="F130" i="69" s="1"/>
  <c r="D120" i="69"/>
  <c r="D121" i="69"/>
  <c r="D122" i="69"/>
  <c r="D123" i="69"/>
  <c r="D124" i="69"/>
  <c r="D125" i="69"/>
  <c r="D126" i="69"/>
  <c r="D127" i="69"/>
  <c r="D128" i="69"/>
  <c r="D129" i="69"/>
  <c r="D130" i="69"/>
  <c r="D131" i="69"/>
  <c r="F131" i="69" s="1"/>
  <c r="F132" i="69" s="1"/>
  <c r="F133" i="69" s="1"/>
  <c r="F134" i="69" s="1"/>
  <c r="F135" i="69" s="1"/>
  <c r="F136" i="69" s="1"/>
  <c r="F137" i="69" s="1"/>
  <c r="F138" i="69" s="1"/>
  <c r="F139" i="69" s="1"/>
  <c r="F140" i="69" s="1"/>
  <c r="F141" i="69" s="1"/>
  <c r="F142" i="69" s="1"/>
  <c r="D132" i="69"/>
  <c r="D133" i="69"/>
  <c r="D134" i="69"/>
  <c r="D135" i="69"/>
  <c r="D136" i="69"/>
  <c r="D137" i="69"/>
  <c r="D138" i="69"/>
  <c r="D139" i="69"/>
  <c r="D140" i="69"/>
  <c r="D141" i="69"/>
  <c r="D142" i="69"/>
  <c r="D143" i="69"/>
  <c r="F143" i="69" s="1"/>
  <c r="F144" i="69" s="1"/>
  <c r="F145" i="69" s="1"/>
  <c r="F146" i="69" s="1"/>
  <c r="F147" i="69" s="1"/>
  <c r="F148" i="69" s="1"/>
  <c r="F149" i="69" s="1"/>
  <c r="F150" i="69" s="1"/>
  <c r="F151" i="69" s="1"/>
  <c r="F152" i="69" s="1"/>
  <c r="F153" i="69" s="1"/>
  <c r="F154" i="69" s="1"/>
  <c r="D144" i="69"/>
  <c r="D145" i="69"/>
  <c r="D146" i="69"/>
  <c r="D147" i="69"/>
  <c r="D148" i="69"/>
  <c r="D149" i="69"/>
  <c r="D150" i="69"/>
  <c r="D151" i="69"/>
  <c r="D152" i="69"/>
  <c r="D153" i="69"/>
  <c r="D154" i="69"/>
  <c r="D84" i="69"/>
  <c r="D83" i="69"/>
  <c r="F83" i="69" s="1"/>
  <c r="F84" i="69" s="1"/>
  <c r="F85" i="69" s="1"/>
  <c r="F86" i="69" s="1"/>
  <c r="F87" i="69" s="1"/>
  <c r="F88" i="69" s="1"/>
  <c r="F89" i="69" s="1"/>
  <c r="F90" i="69" s="1"/>
  <c r="F91" i="69" s="1"/>
  <c r="F92" i="69" s="1"/>
  <c r="F93" i="69" s="1"/>
  <c r="F94" i="69" s="1"/>
  <c r="D38" i="69"/>
  <c r="D39" i="69"/>
  <c r="D40" i="69"/>
  <c r="D41" i="69"/>
  <c r="D42" i="69"/>
  <c r="D43" i="69"/>
  <c r="D44" i="69"/>
  <c r="D45" i="69"/>
  <c r="D46" i="69"/>
  <c r="D47" i="69"/>
  <c r="F47" i="69" s="1"/>
  <c r="F48" i="69" s="1"/>
  <c r="F49" i="69" s="1"/>
  <c r="F50" i="69" s="1"/>
  <c r="F51" i="69" s="1"/>
  <c r="F52" i="69" s="1"/>
  <c r="F53" i="69" s="1"/>
  <c r="F54" i="69" s="1"/>
  <c r="F55" i="69" s="1"/>
  <c r="F56" i="69" s="1"/>
  <c r="F57" i="69" s="1"/>
  <c r="F58" i="69" s="1"/>
  <c r="D48" i="69"/>
  <c r="D49" i="69"/>
  <c r="D50" i="69"/>
  <c r="D51" i="69"/>
  <c r="D52" i="69"/>
  <c r="D53" i="69"/>
  <c r="D54" i="69"/>
  <c r="D55" i="69"/>
  <c r="D56" i="69"/>
  <c r="D57" i="69"/>
  <c r="D58" i="69"/>
  <c r="D59" i="69"/>
  <c r="F59" i="69" s="1"/>
  <c r="F60" i="69" s="1"/>
  <c r="F61" i="69" s="1"/>
  <c r="F62" i="69" s="1"/>
  <c r="F63" i="69" s="1"/>
  <c r="F64" i="69" s="1"/>
  <c r="F65" i="69" s="1"/>
  <c r="F66" i="69" s="1"/>
  <c r="F67" i="69" s="1"/>
  <c r="F68" i="69" s="1"/>
  <c r="F69" i="69" s="1"/>
  <c r="F70" i="69" s="1"/>
  <c r="D60" i="69"/>
  <c r="D61" i="69"/>
  <c r="D62" i="69"/>
  <c r="D63" i="69"/>
  <c r="D64" i="69"/>
  <c r="D65" i="69"/>
  <c r="D66" i="69"/>
  <c r="D67" i="69"/>
  <c r="D68" i="69"/>
  <c r="D69" i="69"/>
  <c r="D70" i="69"/>
  <c r="D71" i="69"/>
  <c r="F71" i="69" s="1"/>
  <c r="F72" i="69" s="1"/>
  <c r="F73" i="69" s="1"/>
  <c r="F74" i="69" s="1"/>
  <c r="F75" i="69" s="1"/>
  <c r="F76" i="69" s="1"/>
  <c r="F77" i="69" s="1"/>
  <c r="F78" i="69" s="1"/>
  <c r="F79" i="69" s="1"/>
  <c r="F80" i="69" s="1"/>
  <c r="F81" i="69" s="1"/>
  <c r="F82" i="69" s="1"/>
  <c r="D72" i="69"/>
  <c r="D73" i="69"/>
  <c r="D74" i="69"/>
  <c r="D75" i="69"/>
  <c r="D76" i="69"/>
  <c r="D77" i="69"/>
  <c r="D78" i="69"/>
  <c r="D79" i="69"/>
  <c r="D80" i="69"/>
  <c r="D81" i="69"/>
  <c r="D82" i="69"/>
  <c r="D13" i="69"/>
  <c r="D14" i="69"/>
  <c r="D15" i="69"/>
  <c r="D16" i="69"/>
  <c r="D17" i="69"/>
  <c r="D18" i="69"/>
  <c r="D19" i="69"/>
  <c r="D20" i="69"/>
  <c r="D21" i="69"/>
  <c r="D22" i="69"/>
  <c r="D23" i="69"/>
  <c r="F23" i="69" s="1"/>
  <c r="F24" i="69" s="1"/>
  <c r="F25" i="69" s="1"/>
  <c r="F26" i="69" s="1"/>
  <c r="F27" i="69" s="1"/>
  <c r="F28" i="69" s="1"/>
  <c r="F29" i="69" s="1"/>
  <c r="F30" i="69" s="1"/>
  <c r="F31" i="69" s="1"/>
  <c r="F32" i="69" s="1"/>
  <c r="F33" i="69" s="1"/>
  <c r="F34" i="69" s="1"/>
  <c r="D24" i="69"/>
  <c r="D25" i="69"/>
  <c r="D26" i="69"/>
  <c r="D27" i="69"/>
  <c r="D28" i="69"/>
  <c r="D29" i="69"/>
  <c r="D30" i="69"/>
  <c r="D31" i="69"/>
  <c r="D32" i="69"/>
  <c r="D33" i="69"/>
  <c r="D34" i="69"/>
  <c r="D35" i="69"/>
  <c r="F35" i="69" s="1"/>
  <c r="F36" i="69" s="1"/>
  <c r="F37" i="69" s="1"/>
  <c r="F38" i="69" s="1"/>
  <c r="F39" i="69" s="1"/>
  <c r="F40" i="69" s="1"/>
  <c r="F41" i="69" s="1"/>
  <c r="F42" i="69" s="1"/>
  <c r="F43" i="69" s="1"/>
  <c r="F44" i="69" s="1"/>
  <c r="F45" i="69" s="1"/>
  <c r="F46" i="69" s="1"/>
  <c r="D36" i="69"/>
  <c r="D37" i="69"/>
  <c r="D12" i="69"/>
  <c r="D11" i="69"/>
  <c r="F11" i="69" s="1"/>
  <c r="F12" i="69" s="1"/>
  <c r="F13" i="69" s="1"/>
  <c r="F14" i="69" s="1"/>
  <c r="F15" i="69" s="1"/>
  <c r="F16" i="69" s="1"/>
  <c r="F17" i="69" s="1"/>
  <c r="F18" i="69" s="1"/>
  <c r="F19" i="69" s="1"/>
  <c r="F20" i="69" s="1"/>
  <c r="F21" i="69" s="1"/>
  <c r="F22" i="69" s="1"/>
  <c r="K151" i="69"/>
  <c r="K152" i="69" s="1"/>
  <c r="K153" i="69" s="1"/>
  <c r="K154" i="69" s="1"/>
  <c r="K147" i="69"/>
  <c r="K148" i="69" s="1"/>
  <c r="K149" i="69" s="1"/>
  <c r="K150" i="69" s="1"/>
  <c r="K143" i="69"/>
  <c r="K144" i="69" s="1"/>
  <c r="K145" i="69" s="1"/>
  <c r="K146" i="69" s="1"/>
  <c r="G141" i="69"/>
  <c r="G142" i="69" s="1"/>
  <c r="G143" i="69" s="1"/>
  <c r="G144" i="69" s="1"/>
  <c r="G145" i="69" s="1"/>
  <c r="G146" i="69" s="1"/>
  <c r="G147" i="69" s="1"/>
  <c r="G148" i="69" s="1"/>
  <c r="G149" i="69" s="1"/>
  <c r="G150" i="69" s="1"/>
  <c r="G151" i="69" s="1"/>
  <c r="G152" i="69" s="1"/>
  <c r="G153" i="69" s="1"/>
  <c r="G154" i="69" s="1"/>
  <c r="H140" i="69"/>
  <c r="H141" i="69" s="1"/>
  <c r="H142" i="69" s="1"/>
  <c r="H143" i="69" s="1"/>
  <c r="H144" i="69" s="1"/>
  <c r="H145" i="69" s="1"/>
  <c r="H146" i="69" s="1"/>
  <c r="H147" i="69" s="1"/>
  <c r="H148" i="69" s="1"/>
  <c r="H149" i="69" s="1"/>
  <c r="H150" i="69" s="1"/>
  <c r="H151" i="69" s="1"/>
  <c r="H152" i="69" s="1"/>
  <c r="H153" i="69" s="1"/>
  <c r="H154" i="69" s="1"/>
  <c r="G140" i="69"/>
  <c r="K139" i="69"/>
  <c r="K140" i="69" s="1"/>
  <c r="K141" i="69" s="1"/>
  <c r="K142" i="69" s="1"/>
  <c r="K135" i="69"/>
  <c r="K136" i="69" s="1"/>
  <c r="K137" i="69" s="1"/>
  <c r="K138" i="69" s="1"/>
  <c r="K131" i="69"/>
  <c r="K132" i="69" s="1"/>
  <c r="K133" i="69" s="1"/>
  <c r="K134" i="69" s="1"/>
  <c r="K127" i="69"/>
  <c r="K128" i="69" s="1"/>
  <c r="K129" i="69" s="1"/>
  <c r="K130" i="69" s="1"/>
  <c r="K123" i="69"/>
  <c r="K124" i="69" s="1"/>
  <c r="K125" i="69" s="1"/>
  <c r="K126" i="69" s="1"/>
  <c r="K119" i="69"/>
  <c r="K120" i="69" s="1"/>
  <c r="K121" i="69" s="1"/>
  <c r="K122" i="69" s="1"/>
  <c r="H116" i="69"/>
  <c r="H117" i="69" s="1"/>
  <c r="H118" i="69" s="1"/>
  <c r="H119" i="69" s="1"/>
  <c r="H120" i="69" s="1"/>
  <c r="H121" i="69" s="1"/>
  <c r="H122" i="69" s="1"/>
  <c r="H123" i="69" s="1"/>
  <c r="H124" i="69" s="1"/>
  <c r="H125" i="69" s="1"/>
  <c r="H126" i="69" s="1"/>
  <c r="H127" i="69" s="1"/>
  <c r="H128" i="69" s="1"/>
  <c r="H129" i="69" s="1"/>
  <c r="H130" i="69" s="1"/>
  <c r="H131" i="69" s="1"/>
  <c r="H132" i="69" s="1"/>
  <c r="H133" i="69" s="1"/>
  <c r="H134" i="69" s="1"/>
  <c r="H135" i="69" s="1"/>
  <c r="H136" i="69" s="1"/>
  <c r="H137" i="69" s="1"/>
  <c r="H138" i="69" s="1"/>
  <c r="G116" i="69"/>
  <c r="G117" i="69" s="1"/>
  <c r="G118" i="69" s="1"/>
  <c r="G119" i="69" s="1"/>
  <c r="G120" i="69" s="1"/>
  <c r="G121" i="69" s="1"/>
  <c r="G122" i="69" s="1"/>
  <c r="G123" i="69" s="1"/>
  <c r="G124" i="69" s="1"/>
  <c r="G125" i="69" s="1"/>
  <c r="G126" i="69" s="1"/>
  <c r="G127" i="69" s="1"/>
  <c r="G128" i="69" s="1"/>
  <c r="G129" i="69" s="1"/>
  <c r="G130" i="69" s="1"/>
  <c r="G131" i="69" s="1"/>
  <c r="G132" i="69" s="1"/>
  <c r="G133" i="69" s="1"/>
  <c r="G134" i="69" s="1"/>
  <c r="G135" i="69" s="1"/>
  <c r="G136" i="69" s="1"/>
  <c r="G137" i="69" s="1"/>
  <c r="G138" i="69" s="1"/>
  <c r="K115" i="69"/>
  <c r="K116" i="69" s="1"/>
  <c r="K117" i="69" s="1"/>
  <c r="K118" i="69" s="1"/>
  <c r="K111" i="69"/>
  <c r="K112" i="69" s="1"/>
  <c r="K113" i="69" s="1"/>
  <c r="K114" i="69" s="1"/>
  <c r="K107" i="69"/>
  <c r="K108" i="69" s="1"/>
  <c r="K109" i="69" s="1"/>
  <c r="K110" i="69" s="1"/>
  <c r="K103" i="69"/>
  <c r="K104" i="69" s="1"/>
  <c r="K105" i="69" s="1"/>
  <c r="K106" i="69" s="1"/>
  <c r="H100" i="69"/>
  <c r="H101" i="69" s="1"/>
  <c r="H102" i="69" s="1"/>
  <c r="H103" i="69" s="1"/>
  <c r="H104" i="69" s="1"/>
  <c r="H105" i="69" s="1"/>
  <c r="H106" i="69" s="1"/>
  <c r="H107" i="69" s="1"/>
  <c r="H108" i="69" s="1"/>
  <c r="H109" i="69" s="1"/>
  <c r="H110" i="69" s="1"/>
  <c r="H111" i="69" s="1"/>
  <c r="H112" i="69" s="1"/>
  <c r="H113" i="69" s="1"/>
  <c r="H114" i="69" s="1"/>
  <c r="G100" i="69"/>
  <c r="G101" i="69" s="1"/>
  <c r="G102" i="69" s="1"/>
  <c r="G103" i="69" s="1"/>
  <c r="G104" i="69" s="1"/>
  <c r="G105" i="69" s="1"/>
  <c r="G106" i="69" s="1"/>
  <c r="G107" i="69" s="1"/>
  <c r="G108" i="69" s="1"/>
  <c r="G109" i="69" s="1"/>
  <c r="G110" i="69" s="1"/>
  <c r="G111" i="69" s="1"/>
  <c r="G112" i="69" s="1"/>
  <c r="G113" i="69" s="1"/>
  <c r="G114" i="69" s="1"/>
  <c r="K99" i="69"/>
  <c r="K100" i="69" s="1"/>
  <c r="K101" i="69" s="1"/>
  <c r="K102" i="69" s="1"/>
  <c r="K95" i="69"/>
  <c r="K96" i="69" s="1"/>
  <c r="K97" i="69" s="1"/>
  <c r="K98" i="69" s="1"/>
  <c r="K91" i="69"/>
  <c r="K92" i="69" s="1"/>
  <c r="K93" i="69" s="1"/>
  <c r="K94" i="69" s="1"/>
  <c r="K87" i="69"/>
  <c r="K88" i="69" s="1"/>
  <c r="K89" i="69" s="1"/>
  <c r="K90" i="69" s="1"/>
  <c r="K83" i="69"/>
  <c r="K84" i="69" s="1"/>
  <c r="K85" i="69" s="1"/>
  <c r="K86" i="69" s="1"/>
  <c r="K79" i="69"/>
  <c r="K80" i="69" s="1"/>
  <c r="K81" i="69" s="1"/>
  <c r="K82" i="69" s="1"/>
  <c r="K75" i="69"/>
  <c r="K76" i="69" s="1"/>
  <c r="K77" i="69" s="1"/>
  <c r="K78" i="69" s="1"/>
  <c r="K71" i="69"/>
  <c r="K72" i="69" s="1"/>
  <c r="K73" i="69" s="1"/>
  <c r="K74" i="69" s="1"/>
  <c r="H68" i="69"/>
  <c r="H69" i="69" s="1"/>
  <c r="H70" i="69" s="1"/>
  <c r="H71" i="69" s="1"/>
  <c r="H72" i="69" s="1"/>
  <c r="H73" i="69" s="1"/>
  <c r="H74" i="69" s="1"/>
  <c r="H75" i="69" s="1"/>
  <c r="H76" i="69" s="1"/>
  <c r="H77" i="69" s="1"/>
  <c r="H78" i="69" s="1"/>
  <c r="H79" i="69" s="1"/>
  <c r="H80" i="69" s="1"/>
  <c r="H81" i="69" s="1"/>
  <c r="H82" i="69" s="1"/>
  <c r="H83" i="69" s="1"/>
  <c r="H84" i="69" s="1"/>
  <c r="H85" i="69" s="1"/>
  <c r="H86" i="69" s="1"/>
  <c r="H87" i="69" s="1"/>
  <c r="H88" i="69" s="1"/>
  <c r="H89" i="69" s="1"/>
  <c r="H90" i="69" s="1"/>
  <c r="H91" i="69" s="1"/>
  <c r="H92" i="69" s="1"/>
  <c r="H93" i="69" s="1"/>
  <c r="H94" i="69" s="1"/>
  <c r="H95" i="69" s="1"/>
  <c r="H96" i="69" s="1"/>
  <c r="H97" i="69" s="1"/>
  <c r="H98" i="69" s="1"/>
  <c r="G68" i="69"/>
  <c r="G69" i="69" s="1"/>
  <c r="G70" i="69" s="1"/>
  <c r="G71" i="69" s="1"/>
  <c r="G72" i="69" s="1"/>
  <c r="G73" i="69" s="1"/>
  <c r="G74" i="69" s="1"/>
  <c r="G75" i="69" s="1"/>
  <c r="G76" i="69" s="1"/>
  <c r="G77" i="69" s="1"/>
  <c r="G78" i="69" s="1"/>
  <c r="G79" i="69" s="1"/>
  <c r="G80" i="69" s="1"/>
  <c r="G81" i="69" s="1"/>
  <c r="G82" i="69" s="1"/>
  <c r="G83" i="69" s="1"/>
  <c r="G84" i="69" s="1"/>
  <c r="G85" i="69" s="1"/>
  <c r="G86" i="69" s="1"/>
  <c r="G87" i="69" s="1"/>
  <c r="G88" i="69" s="1"/>
  <c r="G89" i="69" s="1"/>
  <c r="G90" i="69" s="1"/>
  <c r="G91" i="69" s="1"/>
  <c r="G92" i="69" s="1"/>
  <c r="G93" i="69" s="1"/>
  <c r="G94" i="69" s="1"/>
  <c r="G95" i="69" s="1"/>
  <c r="G96" i="69" s="1"/>
  <c r="G97" i="69" s="1"/>
  <c r="G98" i="69" s="1"/>
  <c r="K67" i="69"/>
  <c r="K68" i="69" s="1"/>
  <c r="K69" i="69" s="1"/>
  <c r="K70" i="69" s="1"/>
  <c r="K63" i="69"/>
  <c r="K64" i="69" s="1"/>
  <c r="K65" i="69" s="1"/>
  <c r="K66" i="69" s="1"/>
  <c r="K59" i="69"/>
  <c r="K60" i="69" s="1"/>
  <c r="K61" i="69" s="1"/>
  <c r="K62" i="69" s="1"/>
  <c r="K55" i="69"/>
  <c r="K56" i="69" s="1"/>
  <c r="K57" i="69" s="1"/>
  <c r="K58" i="69" s="1"/>
  <c r="K51" i="69"/>
  <c r="K52" i="69" s="1"/>
  <c r="K53" i="69" s="1"/>
  <c r="K54" i="69" s="1"/>
  <c r="K47" i="69"/>
  <c r="K48" i="69" s="1"/>
  <c r="K49" i="69" s="1"/>
  <c r="K50" i="69" s="1"/>
  <c r="H44" i="69"/>
  <c r="H45" i="69" s="1"/>
  <c r="H46" i="69" s="1"/>
  <c r="H47" i="69" s="1"/>
  <c r="H48" i="69" s="1"/>
  <c r="H49" i="69" s="1"/>
  <c r="H50" i="69" s="1"/>
  <c r="H51" i="69" s="1"/>
  <c r="H52" i="69" s="1"/>
  <c r="H53" i="69" s="1"/>
  <c r="H54" i="69" s="1"/>
  <c r="H55" i="69" s="1"/>
  <c r="H56" i="69" s="1"/>
  <c r="H57" i="69" s="1"/>
  <c r="H58" i="69" s="1"/>
  <c r="H59" i="69" s="1"/>
  <c r="H60" i="69" s="1"/>
  <c r="H61" i="69" s="1"/>
  <c r="H62" i="69" s="1"/>
  <c r="H63" i="69" s="1"/>
  <c r="H64" i="69" s="1"/>
  <c r="H65" i="69" s="1"/>
  <c r="H66" i="69" s="1"/>
  <c r="G44" i="69"/>
  <c r="G45" i="69" s="1"/>
  <c r="G46" i="69" s="1"/>
  <c r="G47" i="69" s="1"/>
  <c r="G48" i="69" s="1"/>
  <c r="G49" i="69" s="1"/>
  <c r="G50" i="69" s="1"/>
  <c r="G51" i="69" s="1"/>
  <c r="G52" i="69" s="1"/>
  <c r="G53" i="69" s="1"/>
  <c r="G54" i="69" s="1"/>
  <c r="G55" i="69" s="1"/>
  <c r="G56" i="69" s="1"/>
  <c r="G57" i="69" s="1"/>
  <c r="G58" i="69" s="1"/>
  <c r="G59" i="69" s="1"/>
  <c r="G60" i="69" s="1"/>
  <c r="G61" i="69" s="1"/>
  <c r="G62" i="69" s="1"/>
  <c r="G63" i="69" s="1"/>
  <c r="G64" i="69" s="1"/>
  <c r="G65" i="69" s="1"/>
  <c r="G66" i="69" s="1"/>
  <c r="K43" i="69"/>
  <c r="K44" i="69" s="1"/>
  <c r="K45" i="69" s="1"/>
  <c r="K46" i="69" s="1"/>
  <c r="K39" i="69"/>
  <c r="K40" i="69" s="1"/>
  <c r="K41" i="69" s="1"/>
  <c r="K42" i="69" s="1"/>
  <c r="K35" i="69"/>
  <c r="K36" i="69" s="1"/>
  <c r="K37" i="69" s="1"/>
  <c r="K38" i="69" s="1"/>
  <c r="K31" i="69"/>
  <c r="K32" i="69" s="1"/>
  <c r="K33" i="69" s="1"/>
  <c r="K34" i="69" s="1"/>
  <c r="H28" i="69"/>
  <c r="H29" i="69" s="1"/>
  <c r="H30" i="69" s="1"/>
  <c r="H31" i="69" s="1"/>
  <c r="H32" i="69" s="1"/>
  <c r="H33" i="69" s="1"/>
  <c r="H34" i="69" s="1"/>
  <c r="H35" i="69" s="1"/>
  <c r="H36" i="69" s="1"/>
  <c r="H37" i="69" s="1"/>
  <c r="H38" i="69" s="1"/>
  <c r="H39" i="69" s="1"/>
  <c r="H40" i="69" s="1"/>
  <c r="H41" i="69" s="1"/>
  <c r="H42" i="69" s="1"/>
  <c r="G28" i="69"/>
  <c r="G29" i="69" s="1"/>
  <c r="G30" i="69" s="1"/>
  <c r="G31" i="69" s="1"/>
  <c r="G32" i="69" s="1"/>
  <c r="G33" i="69" s="1"/>
  <c r="G34" i="69" s="1"/>
  <c r="G35" i="69" s="1"/>
  <c r="G36" i="69" s="1"/>
  <c r="G37" i="69" s="1"/>
  <c r="G38" i="69" s="1"/>
  <c r="G39" i="69" s="1"/>
  <c r="G40" i="69" s="1"/>
  <c r="G41" i="69" s="1"/>
  <c r="G42" i="69" s="1"/>
  <c r="K27" i="69"/>
  <c r="K28" i="69" s="1"/>
  <c r="K29" i="69" s="1"/>
  <c r="K30" i="69" s="1"/>
  <c r="K23" i="69"/>
  <c r="K24" i="69" s="1"/>
  <c r="K25" i="69" s="1"/>
  <c r="K26" i="69" s="1"/>
  <c r="K19" i="69"/>
  <c r="K20" i="69" s="1"/>
  <c r="K21" i="69" s="1"/>
  <c r="K22" i="69" s="1"/>
  <c r="K15" i="69"/>
  <c r="K16" i="69" s="1"/>
  <c r="K17" i="69" s="1"/>
  <c r="K18" i="69" s="1"/>
  <c r="G12" i="69"/>
  <c r="G13" i="69" s="1"/>
  <c r="G14" i="69" s="1"/>
  <c r="G15" i="69" s="1"/>
  <c r="G16" i="69" s="1"/>
  <c r="G17" i="69" s="1"/>
  <c r="G18" i="69" s="1"/>
  <c r="G19" i="69" s="1"/>
  <c r="G20" i="69" s="1"/>
  <c r="G21" i="69" s="1"/>
  <c r="G22" i="69" s="1"/>
  <c r="G23" i="69" s="1"/>
  <c r="G24" i="69" s="1"/>
  <c r="G25" i="69" s="1"/>
  <c r="G26" i="69" s="1"/>
  <c r="B12" i="69"/>
  <c r="B13" i="69" s="1"/>
  <c r="B14" i="69" s="1"/>
  <c r="B15" i="69" s="1"/>
  <c r="B16" i="69" s="1"/>
  <c r="B17" i="69" s="1"/>
  <c r="B18" i="69" s="1"/>
  <c r="B19" i="69" s="1"/>
  <c r="B20" i="69" s="1"/>
  <c r="B21" i="69" s="1"/>
  <c r="B22" i="69" s="1"/>
  <c r="B23" i="69" s="1"/>
  <c r="B24" i="69" s="1"/>
  <c r="B25" i="69" s="1"/>
  <c r="B26" i="69" s="1"/>
  <c r="B27" i="69" s="1"/>
  <c r="B28" i="69" s="1"/>
  <c r="B29" i="69" s="1"/>
  <c r="B30" i="69" s="1"/>
  <c r="B31" i="69" s="1"/>
  <c r="B32" i="69" s="1"/>
  <c r="B33" i="69" s="1"/>
  <c r="B34" i="69" s="1"/>
  <c r="B35" i="69" s="1"/>
  <c r="B36" i="69" s="1"/>
  <c r="B37" i="69" s="1"/>
  <c r="B38" i="69" s="1"/>
  <c r="B39" i="69" s="1"/>
  <c r="B40" i="69" s="1"/>
  <c r="B41" i="69" s="1"/>
  <c r="B42" i="69" s="1"/>
  <c r="B43" i="69" s="1"/>
  <c r="B44" i="69" s="1"/>
  <c r="B45" i="69" s="1"/>
  <c r="B46" i="69" s="1"/>
  <c r="B47" i="69" s="1"/>
  <c r="B48" i="69" s="1"/>
  <c r="B49" i="69" s="1"/>
  <c r="B50" i="69" s="1"/>
  <c r="B51" i="69" s="1"/>
  <c r="B52" i="69" s="1"/>
  <c r="B53" i="69" s="1"/>
  <c r="B54" i="69" s="1"/>
  <c r="B55" i="69" s="1"/>
  <c r="B56" i="69" s="1"/>
  <c r="B57" i="69" s="1"/>
  <c r="B58" i="69" s="1"/>
  <c r="B59" i="69" s="1"/>
  <c r="B60" i="69" s="1"/>
  <c r="B61" i="69" s="1"/>
  <c r="B62" i="69" s="1"/>
  <c r="B63" i="69" s="1"/>
  <c r="B64" i="69" s="1"/>
  <c r="B65" i="69" s="1"/>
  <c r="B66" i="69" s="1"/>
  <c r="B67" i="69" s="1"/>
  <c r="B68" i="69" s="1"/>
  <c r="B69" i="69" s="1"/>
  <c r="B70" i="69" s="1"/>
  <c r="B71" i="69" s="1"/>
  <c r="B72" i="69" s="1"/>
  <c r="B73" i="69" s="1"/>
  <c r="B74" i="69" s="1"/>
  <c r="B75" i="69" s="1"/>
  <c r="B76" i="69" s="1"/>
  <c r="B77" i="69" s="1"/>
  <c r="B78" i="69" s="1"/>
  <c r="B79" i="69" s="1"/>
  <c r="B80" i="69" s="1"/>
  <c r="B81" i="69" s="1"/>
  <c r="B82" i="69" s="1"/>
  <c r="B83" i="69" s="1"/>
  <c r="B84" i="69" s="1"/>
  <c r="B85" i="69" s="1"/>
  <c r="B86" i="69" s="1"/>
  <c r="B87" i="69" s="1"/>
  <c r="B88" i="69" s="1"/>
  <c r="B89" i="69" s="1"/>
  <c r="B90" i="69" s="1"/>
  <c r="B91" i="69" s="1"/>
  <c r="B92" i="69" s="1"/>
  <c r="B93" i="69" s="1"/>
  <c r="B94" i="69" s="1"/>
  <c r="B95" i="69" s="1"/>
  <c r="B96" i="69" s="1"/>
  <c r="B97" i="69" s="1"/>
  <c r="B98" i="69" s="1"/>
  <c r="B99" i="69" s="1"/>
  <c r="B100" i="69" s="1"/>
  <c r="B101" i="69" s="1"/>
  <c r="B102" i="69" s="1"/>
  <c r="B103" i="69" s="1"/>
  <c r="B104" i="69" s="1"/>
  <c r="B105" i="69" s="1"/>
  <c r="B106" i="69" s="1"/>
  <c r="B107" i="69" s="1"/>
  <c r="B108" i="69" s="1"/>
  <c r="B109" i="69" s="1"/>
  <c r="B110" i="69" s="1"/>
  <c r="B111" i="69" s="1"/>
  <c r="B112" i="69" s="1"/>
  <c r="B113" i="69" s="1"/>
  <c r="B114" i="69" s="1"/>
  <c r="B115" i="69" s="1"/>
  <c r="B116" i="69" s="1"/>
  <c r="B117" i="69" s="1"/>
  <c r="B118" i="69" s="1"/>
  <c r="B119" i="69" s="1"/>
  <c r="B120" i="69" s="1"/>
  <c r="B121" i="69" s="1"/>
  <c r="B122" i="69" s="1"/>
  <c r="B123" i="69" s="1"/>
  <c r="B124" i="69" s="1"/>
  <c r="B125" i="69" s="1"/>
  <c r="B126" i="69" s="1"/>
  <c r="B127" i="69" s="1"/>
  <c r="B128" i="69" s="1"/>
  <c r="B129" i="69" s="1"/>
  <c r="B130" i="69" s="1"/>
  <c r="B131" i="69" s="1"/>
  <c r="B132" i="69" s="1"/>
  <c r="B133" i="69" s="1"/>
  <c r="B134" i="69" s="1"/>
  <c r="B135" i="69" s="1"/>
  <c r="B136" i="69" s="1"/>
  <c r="B137" i="69" s="1"/>
  <c r="B138" i="69" s="1"/>
  <c r="B139" i="69" s="1"/>
  <c r="B140" i="69" s="1"/>
  <c r="B141" i="69" s="1"/>
  <c r="B142" i="69" s="1"/>
  <c r="B143" i="69" s="1"/>
  <c r="B144" i="69" s="1"/>
  <c r="B145" i="69" s="1"/>
  <c r="B146" i="69" s="1"/>
  <c r="B147" i="69" s="1"/>
  <c r="B148" i="69" s="1"/>
  <c r="B149" i="69" s="1"/>
  <c r="B150" i="69" s="1"/>
  <c r="B151" i="69" s="1"/>
  <c r="B152" i="69" s="1"/>
  <c r="B153" i="69" s="1"/>
  <c r="B154" i="69" s="1"/>
  <c r="N11" i="69"/>
  <c r="L11" i="69"/>
  <c r="L12" i="69" s="1"/>
  <c r="L13" i="69" s="1"/>
  <c r="L14" i="69" s="1"/>
  <c r="L15" i="69" s="1"/>
  <c r="L16" i="69" s="1"/>
  <c r="L17" i="69" s="1"/>
  <c r="L18" i="69" s="1"/>
  <c r="L19" i="69" s="1"/>
  <c r="L20" i="69" s="1"/>
  <c r="L21" i="69" s="1"/>
  <c r="L22" i="69" s="1"/>
  <c r="L23" i="69" s="1"/>
  <c r="L24" i="69" s="1"/>
  <c r="L25" i="69" s="1"/>
  <c r="L26" i="69" s="1"/>
  <c r="L27" i="69" s="1"/>
  <c r="L28" i="69" s="1"/>
  <c r="L29" i="69" s="1"/>
  <c r="L30" i="69" s="1"/>
  <c r="L31" i="69" s="1"/>
  <c r="L32" i="69" s="1"/>
  <c r="L33" i="69" s="1"/>
  <c r="L34" i="69" s="1"/>
  <c r="L35" i="69" s="1"/>
  <c r="L36" i="69" s="1"/>
  <c r="L37" i="69" s="1"/>
  <c r="L38" i="69" s="1"/>
  <c r="L39" i="69" s="1"/>
  <c r="L40" i="69" s="1"/>
  <c r="L41" i="69" s="1"/>
  <c r="L42" i="69" s="1"/>
  <c r="L43" i="69" s="1"/>
  <c r="L44" i="69" s="1"/>
  <c r="L45" i="69" s="1"/>
  <c r="L46" i="69" s="1"/>
  <c r="L47" i="69" s="1"/>
  <c r="L48" i="69" s="1"/>
  <c r="L49" i="69" s="1"/>
  <c r="L50" i="69" s="1"/>
  <c r="L51" i="69" s="1"/>
  <c r="L52" i="69" s="1"/>
  <c r="L53" i="69" s="1"/>
  <c r="L54" i="69" s="1"/>
  <c r="L55" i="69" s="1"/>
  <c r="L56" i="69" s="1"/>
  <c r="L57" i="69" s="1"/>
  <c r="L58" i="69" s="1"/>
  <c r="L59" i="69" s="1"/>
  <c r="L60" i="69" s="1"/>
  <c r="L61" i="69" s="1"/>
  <c r="L62" i="69" s="1"/>
  <c r="L63" i="69" s="1"/>
  <c r="L64" i="69" s="1"/>
  <c r="L65" i="69" s="1"/>
  <c r="L66" i="69" s="1"/>
  <c r="L67" i="69" s="1"/>
  <c r="L68" i="69" s="1"/>
  <c r="L69" i="69" s="1"/>
  <c r="L70" i="69" s="1"/>
  <c r="L71" i="69" s="1"/>
  <c r="L72" i="69" s="1"/>
  <c r="L73" i="69" s="1"/>
  <c r="L74" i="69" s="1"/>
  <c r="L75" i="69" s="1"/>
  <c r="L76" i="69" s="1"/>
  <c r="L77" i="69" s="1"/>
  <c r="L78" i="69" s="1"/>
  <c r="L79" i="69" s="1"/>
  <c r="L80" i="69" s="1"/>
  <c r="L81" i="69" s="1"/>
  <c r="L82" i="69" s="1"/>
  <c r="L83" i="69" s="1"/>
  <c r="L84" i="69" s="1"/>
  <c r="L85" i="69" s="1"/>
  <c r="L86" i="69" s="1"/>
  <c r="L87" i="69" s="1"/>
  <c r="L88" i="69" s="1"/>
  <c r="L89" i="69" s="1"/>
  <c r="L90" i="69" s="1"/>
  <c r="L91" i="69" s="1"/>
  <c r="L92" i="69" s="1"/>
  <c r="L93" i="69" s="1"/>
  <c r="L94" i="69" s="1"/>
  <c r="L95" i="69" s="1"/>
  <c r="L96" i="69" s="1"/>
  <c r="L97" i="69" s="1"/>
  <c r="L98" i="69" s="1"/>
  <c r="L99" i="69" s="1"/>
  <c r="L100" i="69" s="1"/>
  <c r="L101" i="69" s="1"/>
  <c r="L102" i="69" s="1"/>
  <c r="L103" i="69" s="1"/>
  <c r="L104" i="69" s="1"/>
  <c r="L105" i="69" s="1"/>
  <c r="L106" i="69" s="1"/>
  <c r="L107" i="69" s="1"/>
  <c r="L108" i="69" s="1"/>
  <c r="L109" i="69" s="1"/>
  <c r="L110" i="69" s="1"/>
  <c r="L111" i="69" s="1"/>
  <c r="L112" i="69" s="1"/>
  <c r="L113" i="69" s="1"/>
  <c r="L114" i="69" s="1"/>
  <c r="L115" i="69" s="1"/>
  <c r="L116" i="69" s="1"/>
  <c r="L117" i="69" s="1"/>
  <c r="L118" i="69" s="1"/>
  <c r="L119" i="69" s="1"/>
  <c r="L120" i="69" s="1"/>
  <c r="L121" i="69" s="1"/>
  <c r="L122" i="69" s="1"/>
  <c r="L123" i="69" s="1"/>
  <c r="L124" i="69" s="1"/>
  <c r="L125" i="69" s="1"/>
  <c r="L126" i="69" s="1"/>
  <c r="L127" i="69" s="1"/>
  <c r="L128" i="69" s="1"/>
  <c r="L129" i="69" s="1"/>
  <c r="L130" i="69" s="1"/>
  <c r="L131" i="69" s="1"/>
  <c r="L132" i="69" s="1"/>
  <c r="L133" i="69" s="1"/>
  <c r="L134" i="69" s="1"/>
  <c r="L135" i="69" s="1"/>
  <c r="L136" i="69" s="1"/>
  <c r="L137" i="69" s="1"/>
  <c r="L138" i="69" s="1"/>
  <c r="L139" i="69" s="1"/>
  <c r="L140" i="69" s="1"/>
  <c r="L141" i="69" s="1"/>
  <c r="L142" i="69" s="1"/>
  <c r="L143" i="69" s="1"/>
  <c r="L144" i="69" s="1"/>
  <c r="L145" i="69" s="1"/>
  <c r="L146" i="69" s="1"/>
  <c r="L147" i="69" s="1"/>
  <c r="L148" i="69" s="1"/>
  <c r="L149" i="69" s="1"/>
  <c r="L150" i="69" s="1"/>
  <c r="L151" i="69" s="1"/>
  <c r="L152" i="69" s="1"/>
  <c r="L153" i="69" s="1"/>
  <c r="L154" i="69" s="1"/>
  <c r="K11" i="69"/>
  <c r="K12" i="69" s="1"/>
  <c r="K13" i="69" s="1"/>
  <c r="K14" i="69" s="1"/>
  <c r="J11" i="69"/>
  <c r="J12" i="69" s="1"/>
  <c r="J13" i="69" s="1"/>
  <c r="J14" i="69" s="1"/>
  <c r="J15" i="69" s="1"/>
  <c r="J16" i="69" s="1"/>
  <c r="J17" i="69" s="1"/>
  <c r="J18" i="69" s="1"/>
  <c r="J19" i="69" s="1"/>
  <c r="J20" i="69" s="1"/>
  <c r="J21" i="69" s="1"/>
  <c r="J22" i="69" s="1"/>
  <c r="J23" i="69" s="1"/>
  <c r="J24" i="69" s="1"/>
  <c r="J25" i="69" s="1"/>
  <c r="J26" i="69" s="1"/>
  <c r="J27" i="69" s="1"/>
  <c r="J28" i="69" s="1"/>
  <c r="J29" i="69" s="1"/>
  <c r="J30" i="69" s="1"/>
  <c r="J31" i="69" s="1"/>
  <c r="J32" i="69" s="1"/>
  <c r="J33" i="69" s="1"/>
  <c r="J34" i="69" s="1"/>
  <c r="J35" i="69" s="1"/>
  <c r="J36" i="69" s="1"/>
  <c r="J37" i="69" s="1"/>
  <c r="J38" i="69" s="1"/>
  <c r="J39" i="69" s="1"/>
  <c r="J40" i="69" s="1"/>
  <c r="J41" i="69" s="1"/>
  <c r="J42" i="69" s="1"/>
  <c r="J43" i="69" s="1"/>
  <c r="J44" i="69" s="1"/>
  <c r="J45" i="69" s="1"/>
  <c r="J46" i="69" s="1"/>
  <c r="J47" i="69" s="1"/>
  <c r="J48" i="69" s="1"/>
  <c r="J49" i="69" s="1"/>
  <c r="J50" i="69" s="1"/>
  <c r="J51" i="69" s="1"/>
  <c r="J52" i="69" s="1"/>
  <c r="J53" i="69" s="1"/>
  <c r="J54" i="69" s="1"/>
  <c r="J55" i="69" s="1"/>
  <c r="J56" i="69" s="1"/>
  <c r="J57" i="69" s="1"/>
  <c r="J58" i="69" s="1"/>
  <c r="J59" i="69" s="1"/>
  <c r="J60" i="69" s="1"/>
  <c r="J61" i="69" s="1"/>
  <c r="J62" i="69" s="1"/>
  <c r="J63" i="69" s="1"/>
  <c r="J64" i="69" s="1"/>
  <c r="J65" i="69" s="1"/>
  <c r="J66" i="69" s="1"/>
  <c r="J67" i="69" s="1"/>
  <c r="J68" i="69" s="1"/>
  <c r="J69" i="69" s="1"/>
  <c r="J70" i="69" s="1"/>
  <c r="J71" i="69" s="1"/>
  <c r="J72" i="69" s="1"/>
  <c r="J73" i="69" s="1"/>
  <c r="J74" i="69" s="1"/>
  <c r="J75" i="69" s="1"/>
  <c r="J76" i="69" s="1"/>
  <c r="J77" i="69" s="1"/>
  <c r="J78" i="69" s="1"/>
  <c r="J79" i="69" s="1"/>
  <c r="J80" i="69" s="1"/>
  <c r="J81" i="69" s="1"/>
  <c r="J82" i="69" s="1"/>
  <c r="J83" i="69" s="1"/>
  <c r="J84" i="69" s="1"/>
  <c r="J85" i="69" s="1"/>
  <c r="J86" i="69" s="1"/>
  <c r="J87" i="69" s="1"/>
  <c r="J88" i="69" s="1"/>
  <c r="J89" i="69" s="1"/>
  <c r="J90" i="69" s="1"/>
  <c r="J91" i="69" s="1"/>
  <c r="J92" i="69" s="1"/>
  <c r="J93" i="69" s="1"/>
  <c r="J94" i="69" s="1"/>
  <c r="J95" i="69" s="1"/>
  <c r="J96" i="69" s="1"/>
  <c r="J97" i="69" s="1"/>
  <c r="J98" i="69" s="1"/>
  <c r="J99" i="69" s="1"/>
  <c r="J100" i="69" s="1"/>
  <c r="J101" i="69" s="1"/>
  <c r="J102" i="69" s="1"/>
  <c r="J103" i="69" s="1"/>
  <c r="J104" i="69" s="1"/>
  <c r="J105" i="69" s="1"/>
  <c r="J106" i="69" s="1"/>
  <c r="J107" i="69" s="1"/>
  <c r="J108" i="69" s="1"/>
  <c r="J109" i="69" s="1"/>
  <c r="J110" i="69" s="1"/>
  <c r="J111" i="69" s="1"/>
  <c r="J112" i="69" s="1"/>
  <c r="J113" i="69" s="1"/>
  <c r="J114" i="69" s="1"/>
  <c r="J115" i="69" s="1"/>
  <c r="J116" i="69" s="1"/>
  <c r="J117" i="69" s="1"/>
  <c r="J118" i="69" s="1"/>
  <c r="J119" i="69" s="1"/>
  <c r="J120" i="69" s="1"/>
  <c r="J121" i="69" s="1"/>
  <c r="J122" i="69" s="1"/>
  <c r="J123" i="69" s="1"/>
  <c r="J124" i="69" s="1"/>
  <c r="J125" i="69" s="1"/>
  <c r="J126" i="69" s="1"/>
  <c r="J127" i="69" s="1"/>
  <c r="J128" i="69" s="1"/>
  <c r="J129" i="69" s="1"/>
  <c r="J130" i="69" s="1"/>
  <c r="J131" i="69" s="1"/>
  <c r="J132" i="69" s="1"/>
  <c r="J133" i="69" s="1"/>
  <c r="J134" i="69" s="1"/>
  <c r="J135" i="69" s="1"/>
  <c r="J136" i="69" s="1"/>
  <c r="J137" i="69" s="1"/>
  <c r="J138" i="69" s="1"/>
  <c r="J139" i="69" s="1"/>
  <c r="J140" i="69" s="1"/>
  <c r="J141" i="69" s="1"/>
  <c r="J142" i="69" s="1"/>
  <c r="J143" i="69" s="1"/>
  <c r="J144" i="69" s="1"/>
  <c r="J145" i="69" s="1"/>
  <c r="J146" i="69" s="1"/>
  <c r="J147" i="69" s="1"/>
  <c r="J148" i="69" s="1"/>
  <c r="J149" i="69" s="1"/>
  <c r="J150" i="69" s="1"/>
  <c r="J151" i="69" s="1"/>
  <c r="J152" i="69" s="1"/>
  <c r="J153" i="69" s="1"/>
  <c r="J154" i="69" s="1"/>
  <c r="H11" i="69"/>
  <c r="H12" i="69" s="1"/>
  <c r="H13" i="69" s="1"/>
  <c r="H14" i="69" s="1"/>
  <c r="H15" i="69" s="1"/>
  <c r="H16" i="69" s="1"/>
  <c r="H17" i="69" s="1"/>
  <c r="H18" i="69" s="1"/>
  <c r="H19" i="69" s="1"/>
  <c r="H20" i="69" s="1"/>
  <c r="H21" i="69" s="1"/>
  <c r="H22" i="69" s="1"/>
  <c r="H23" i="69" s="1"/>
  <c r="H24" i="69" s="1"/>
  <c r="H25" i="69" s="1"/>
  <c r="H26" i="69" s="1"/>
  <c r="E11" i="69"/>
  <c r="E12" i="69" s="1"/>
  <c r="E13" i="69" s="1"/>
  <c r="E14" i="69" s="1"/>
  <c r="E15" i="69" s="1"/>
  <c r="E16" i="69" s="1"/>
  <c r="E17" i="69" s="1"/>
  <c r="E18" i="69" s="1"/>
  <c r="E19" i="69" s="1"/>
  <c r="E20" i="69" s="1"/>
  <c r="E21" i="69" s="1"/>
  <c r="E22" i="69" s="1"/>
  <c r="E23" i="69" s="1"/>
  <c r="E24" i="69" s="1"/>
  <c r="E25" i="69" s="1"/>
  <c r="E26" i="69" s="1"/>
  <c r="E27" i="69" s="1"/>
  <c r="E28" i="69" s="1"/>
  <c r="E29" i="69" s="1"/>
  <c r="E30" i="69" s="1"/>
  <c r="E31" i="69" s="1"/>
  <c r="E32" i="69" s="1"/>
  <c r="E33" i="69" s="1"/>
  <c r="E34" i="69" s="1"/>
  <c r="E35" i="69" s="1"/>
  <c r="E36" i="69" s="1"/>
  <c r="E37" i="69" s="1"/>
  <c r="E38" i="69" s="1"/>
  <c r="E39" i="69" s="1"/>
  <c r="E40" i="69" s="1"/>
  <c r="E41" i="69" s="1"/>
  <c r="E42" i="69" s="1"/>
  <c r="E43" i="69" s="1"/>
  <c r="E44" i="69" s="1"/>
  <c r="E45" i="69" s="1"/>
  <c r="E46" i="69" s="1"/>
  <c r="E47" i="69" s="1"/>
  <c r="E48" i="69" s="1"/>
  <c r="E49" i="69" s="1"/>
  <c r="E50" i="69" s="1"/>
  <c r="E51" i="69" s="1"/>
  <c r="E52" i="69" s="1"/>
  <c r="E53" i="69" s="1"/>
  <c r="E54" i="69" s="1"/>
  <c r="E55" i="69" s="1"/>
  <c r="E56" i="69" s="1"/>
  <c r="E57" i="69" s="1"/>
  <c r="E58" i="69" s="1"/>
  <c r="E59" i="69" s="1"/>
  <c r="E60" i="69" s="1"/>
  <c r="E61" i="69" s="1"/>
  <c r="E62" i="69" s="1"/>
  <c r="E63" i="69" s="1"/>
  <c r="E64" i="69" s="1"/>
  <c r="E65" i="69" s="1"/>
  <c r="E66" i="69" s="1"/>
  <c r="E67" i="69" s="1"/>
  <c r="E68" i="69" s="1"/>
  <c r="E69" i="69" s="1"/>
  <c r="E70" i="69" s="1"/>
  <c r="E71" i="69" s="1"/>
  <c r="E72" i="69" s="1"/>
  <c r="E73" i="69" s="1"/>
  <c r="E74" i="69" s="1"/>
  <c r="E75" i="69" s="1"/>
  <c r="E76" i="69" s="1"/>
  <c r="E77" i="69" s="1"/>
  <c r="E78" i="69" s="1"/>
  <c r="E79" i="69" s="1"/>
  <c r="E80" i="69" s="1"/>
  <c r="E81" i="69" s="1"/>
  <c r="E82" i="69" s="1"/>
  <c r="E83" i="69" s="1"/>
  <c r="E84" i="69" s="1"/>
  <c r="E85" i="69" s="1"/>
  <c r="E86" i="69" s="1"/>
  <c r="E87" i="69" s="1"/>
  <c r="E88" i="69" s="1"/>
  <c r="E89" i="69" s="1"/>
  <c r="E90" i="69" s="1"/>
  <c r="E91" i="69" s="1"/>
  <c r="E92" i="69" s="1"/>
  <c r="E93" i="69" s="1"/>
  <c r="E94" i="69" s="1"/>
  <c r="E95" i="69" s="1"/>
  <c r="E96" i="69" s="1"/>
  <c r="E97" i="69" s="1"/>
  <c r="E98" i="69" s="1"/>
  <c r="E99" i="69" s="1"/>
  <c r="E100" i="69" s="1"/>
  <c r="E101" i="69" s="1"/>
  <c r="E102" i="69" s="1"/>
  <c r="E103" i="69" s="1"/>
  <c r="E104" i="69" s="1"/>
  <c r="E105" i="69" s="1"/>
  <c r="E106" i="69" s="1"/>
  <c r="E107" i="69" s="1"/>
  <c r="E108" i="69" s="1"/>
  <c r="E109" i="69" s="1"/>
  <c r="E110" i="69" s="1"/>
  <c r="E111" i="69" s="1"/>
  <c r="E112" i="69" s="1"/>
  <c r="E113" i="69" s="1"/>
  <c r="E114" i="69" s="1"/>
  <c r="E115" i="69" s="1"/>
  <c r="E116" i="69" s="1"/>
  <c r="E117" i="69" s="1"/>
  <c r="E118" i="69" s="1"/>
  <c r="E119" i="69" s="1"/>
  <c r="E120" i="69" s="1"/>
  <c r="E121" i="69" s="1"/>
  <c r="E122" i="69" s="1"/>
  <c r="E123" i="69" s="1"/>
  <c r="E124" i="69" s="1"/>
  <c r="E125" i="69" s="1"/>
  <c r="E126" i="69" s="1"/>
  <c r="E127" i="69" s="1"/>
  <c r="E128" i="69" s="1"/>
  <c r="E129" i="69" s="1"/>
  <c r="E130" i="69" s="1"/>
  <c r="E131" i="69" s="1"/>
  <c r="E132" i="69" s="1"/>
  <c r="E133" i="69" s="1"/>
  <c r="E134" i="69" s="1"/>
  <c r="E135" i="69" s="1"/>
  <c r="E136" i="69" s="1"/>
  <c r="E137" i="69" s="1"/>
  <c r="E138" i="69" s="1"/>
  <c r="E139" i="69" s="1"/>
  <c r="E140" i="69" s="1"/>
  <c r="E141" i="69" s="1"/>
  <c r="E142" i="69" s="1"/>
  <c r="E143" i="69" s="1"/>
  <c r="E144" i="69" s="1"/>
  <c r="E145" i="69" s="1"/>
  <c r="E146" i="69" s="1"/>
  <c r="E147" i="69" s="1"/>
  <c r="E148" i="69" s="1"/>
  <c r="E149" i="69" s="1"/>
  <c r="E150" i="69" s="1"/>
  <c r="E151" i="69" s="1"/>
  <c r="E152" i="69" s="1"/>
  <c r="E153" i="69" s="1"/>
  <c r="E154" i="69" s="1"/>
  <c r="B10" i="69"/>
  <c r="D298" i="68"/>
  <c r="E298" i="68" s="1"/>
  <c r="D297" i="68"/>
  <c r="E297" i="68" s="1"/>
  <c r="I296" i="68"/>
  <c r="I297" i="68" s="1"/>
  <c r="I298" i="68" s="1"/>
  <c r="D296" i="68"/>
  <c r="E296" i="68" s="1"/>
  <c r="D295" i="68"/>
  <c r="E295" i="68" s="1"/>
  <c r="D294" i="68"/>
  <c r="E294" i="68" s="1"/>
  <c r="D293" i="68"/>
  <c r="E293" i="68" s="1"/>
  <c r="D292" i="68"/>
  <c r="E292" i="68" s="1"/>
  <c r="D291" i="68"/>
  <c r="E291" i="68" s="1"/>
  <c r="D290" i="68"/>
  <c r="E290" i="68" s="1"/>
  <c r="D289" i="68"/>
  <c r="E289" i="68" s="1"/>
  <c r="D288" i="68"/>
  <c r="E288" i="68" s="1"/>
  <c r="M287" i="68"/>
  <c r="M288" i="68" s="1"/>
  <c r="M289" i="68" s="1"/>
  <c r="M290" i="68" s="1"/>
  <c r="M291" i="68" s="1"/>
  <c r="M292" i="68" s="1"/>
  <c r="M293" i="68" s="1"/>
  <c r="M294" i="68" s="1"/>
  <c r="M295" i="68" s="1"/>
  <c r="M296" i="68" s="1"/>
  <c r="M297" i="68" s="1"/>
  <c r="M298" i="68" s="1"/>
  <c r="D287" i="68"/>
  <c r="E287" i="68" s="1"/>
  <c r="D286" i="68"/>
  <c r="E286" i="68" s="1"/>
  <c r="D285" i="68"/>
  <c r="E285" i="68" s="1"/>
  <c r="D284" i="68"/>
  <c r="E284" i="68" s="1"/>
  <c r="D283" i="68"/>
  <c r="E283" i="68" s="1"/>
  <c r="D282" i="68"/>
  <c r="E282" i="68" s="1"/>
  <c r="D281" i="68"/>
  <c r="E281" i="68" s="1"/>
  <c r="I280" i="68"/>
  <c r="I281" i="68" s="1"/>
  <c r="I282" i="68" s="1"/>
  <c r="I283" i="68" s="1"/>
  <c r="I284" i="68" s="1"/>
  <c r="I285" i="68" s="1"/>
  <c r="I286" i="68" s="1"/>
  <c r="I287" i="68" s="1"/>
  <c r="I288" i="68" s="1"/>
  <c r="I289" i="68" s="1"/>
  <c r="I290" i="68" s="1"/>
  <c r="I291" i="68" s="1"/>
  <c r="I292" i="68" s="1"/>
  <c r="I293" i="68" s="1"/>
  <c r="I294" i="68" s="1"/>
  <c r="D280" i="68"/>
  <c r="E280" i="68" s="1"/>
  <c r="D279" i="68"/>
  <c r="E279" i="68" s="1"/>
  <c r="D278" i="68"/>
  <c r="E278" i="68" s="1"/>
  <c r="D277" i="68"/>
  <c r="E277" i="68" s="1"/>
  <c r="D276" i="68"/>
  <c r="E276" i="68" s="1"/>
  <c r="M275" i="68"/>
  <c r="M276" i="68" s="1"/>
  <c r="M277" i="68" s="1"/>
  <c r="M278" i="68" s="1"/>
  <c r="M279" i="68" s="1"/>
  <c r="M280" i="68" s="1"/>
  <c r="M281" i="68" s="1"/>
  <c r="M282" i="68" s="1"/>
  <c r="M283" i="68" s="1"/>
  <c r="M284" i="68" s="1"/>
  <c r="M285" i="68" s="1"/>
  <c r="M286" i="68" s="1"/>
  <c r="D275" i="68"/>
  <c r="E275" i="68" s="1"/>
  <c r="D274" i="68"/>
  <c r="E274" i="68" s="1"/>
  <c r="D273" i="68"/>
  <c r="E273" i="68" s="1"/>
  <c r="D272" i="68"/>
  <c r="E272" i="68" s="1"/>
  <c r="D271" i="68"/>
  <c r="E271" i="68" s="1"/>
  <c r="D270" i="68"/>
  <c r="E270" i="68" s="1"/>
  <c r="D269" i="68"/>
  <c r="E269" i="68" s="1"/>
  <c r="D268" i="68"/>
  <c r="E268" i="68" s="1"/>
  <c r="D267" i="68"/>
  <c r="E267" i="68" s="1"/>
  <c r="D266" i="68"/>
  <c r="E266" i="68" s="1"/>
  <c r="D265" i="68"/>
  <c r="E265" i="68" s="1"/>
  <c r="D264" i="68"/>
  <c r="E264" i="68" s="1"/>
  <c r="M263" i="68"/>
  <c r="M264" i="68" s="1"/>
  <c r="M265" i="68" s="1"/>
  <c r="M266" i="68" s="1"/>
  <c r="M267" i="68" s="1"/>
  <c r="M268" i="68" s="1"/>
  <c r="M269" i="68" s="1"/>
  <c r="M270" i="68" s="1"/>
  <c r="M271" i="68" s="1"/>
  <c r="M272" i="68" s="1"/>
  <c r="M273" i="68" s="1"/>
  <c r="M274" i="68" s="1"/>
  <c r="D263" i="68"/>
  <c r="E263" i="68" s="1"/>
  <c r="D262" i="68"/>
  <c r="E262" i="68" s="1"/>
  <c r="D261" i="68"/>
  <c r="E261" i="68" s="1"/>
  <c r="I260" i="68"/>
  <c r="I261" i="68" s="1"/>
  <c r="I262" i="68" s="1"/>
  <c r="I263" i="68" s="1"/>
  <c r="I264" i="68" s="1"/>
  <c r="I265" i="68" s="1"/>
  <c r="I266" i="68" s="1"/>
  <c r="I267" i="68" s="1"/>
  <c r="I268" i="68" s="1"/>
  <c r="I269" i="68" s="1"/>
  <c r="I270" i="68" s="1"/>
  <c r="I271" i="68" s="1"/>
  <c r="I272" i="68" s="1"/>
  <c r="I273" i="68" s="1"/>
  <c r="I274" i="68" s="1"/>
  <c r="I275" i="68" s="1"/>
  <c r="I276" i="68" s="1"/>
  <c r="I277" i="68" s="1"/>
  <c r="I278" i="68" s="1"/>
  <c r="D260" i="68"/>
  <c r="E260" i="68" s="1"/>
  <c r="D259" i="68"/>
  <c r="E259" i="68" s="1"/>
  <c r="D258" i="68"/>
  <c r="E258" i="68" s="1"/>
  <c r="D257" i="68"/>
  <c r="E257" i="68" s="1"/>
  <c r="D256" i="68"/>
  <c r="E256" i="68" s="1"/>
  <c r="D255" i="68"/>
  <c r="E255" i="68" s="1"/>
  <c r="D254" i="68"/>
  <c r="E254" i="68" s="1"/>
  <c r="D253" i="68"/>
  <c r="E253" i="68" s="1"/>
  <c r="D252" i="68"/>
  <c r="E252" i="68" s="1"/>
  <c r="M251" i="68"/>
  <c r="M252" i="68" s="1"/>
  <c r="M253" i="68" s="1"/>
  <c r="M254" i="68" s="1"/>
  <c r="M255" i="68" s="1"/>
  <c r="M256" i="68" s="1"/>
  <c r="M257" i="68" s="1"/>
  <c r="M258" i="68" s="1"/>
  <c r="M259" i="68" s="1"/>
  <c r="M260" i="68" s="1"/>
  <c r="M261" i="68" s="1"/>
  <c r="M262" i="68" s="1"/>
  <c r="D251" i="68"/>
  <c r="E251" i="68" s="1"/>
  <c r="D250" i="68"/>
  <c r="E250" i="68" s="1"/>
  <c r="D249" i="68"/>
  <c r="E249" i="68" s="1"/>
  <c r="D248" i="68"/>
  <c r="E248" i="68" s="1"/>
  <c r="D247" i="68"/>
  <c r="E247" i="68" s="1"/>
  <c r="D246" i="68"/>
  <c r="E246" i="68" s="1"/>
  <c r="D245" i="68"/>
  <c r="E245" i="68" s="1"/>
  <c r="I244" i="68"/>
  <c r="I245" i="68" s="1"/>
  <c r="I246" i="68" s="1"/>
  <c r="I247" i="68" s="1"/>
  <c r="I248" i="68" s="1"/>
  <c r="I249" i="68" s="1"/>
  <c r="I250" i="68" s="1"/>
  <c r="I251" i="68" s="1"/>
  <c r="I252" i="68" s="1"/>
  <c r="I253" i="68" s="1"/>
  <c r="I254" i="68" s="1"/>
  <c r="I255" i="68" s="1"/>
  <c r="I256" i="68" s="1"/>
  <c r="I257" i="68" s="1"/>
  <c r="I258" i="68" s="1"/>
  <c r="D244" i="68"/>
  <c r="E244" i="68" s="1"/>
  <c r="D243" i="68"/>
  <c r="E243" i="68" s="1"/>
  <c r="D242" i="68"/>
  <c r="E242" i="68" s="1"/>
  <c r="D241" i="68"/>
  <c r="E241" i="68" s="1"/>
  <c r="D240" i="68"/>
  <c r="E240" i="68" s="1"/>
  <c r="M239" i="68"/>
  <c r="M240" i="68" s="1"/>
  <c r="M241" i="68" s="1"/>
  <c r="M242" i="68" s="1"/>
  <c r="M243" i="68" s="1"/>
  <c r="M244" i="68" s="1"/>
  <c r="M245" i="68" s="1"/>
  <c r="M246" i="68" s="1"/>
  <c r="M247" i="68" s="1"/>
  <c r="M248" i="68" s="1"/>
  <c r="M249" i="68" s="1"/>
  <c r="M250" i="68" s="1"/>
  <c r="D239" i="68"/>
  <c r="E239" i="68" s="1"/>
  <c r="D238" i="68"/>
  <c r="E238" i="68" s="1"/>
  <c r="D237" i="68"/>
  <c r="E237" i="68" s="1"/>
  <c r="D236" i="68"/>
  <c r="E236" i="68" s="1"/>
  <c r="D235" i="68"/>
  <c r="E235" i="68" s="1"/>
  <c r="D234" i="68"/>
  <c r="E234" i="68" s="1"/>
  <c r="D233" i="68"/>
  <c r="E233" i="68" s="1"/>
  <c r="D232" i="68"/>
  <c r="E232" i="68" s="1"/>
  <c r="D231" i="68"/>
  <c r="E231" i="68" s="1"/>
  <c r="D230" i="68"/>
  <c r="E230" i="68" s="1"/>
  <c r="D229" i="68"/>
  <c r="E229" i="68" s="1"/>
  <c r="D228" i="68"/>
  <c r="E228" i="68" s="1"/>
  <c r="M227" i="68"/>
  <c r="M228" i="68" s="1"/>
  <c r="M229" i="68" s="1"/>
  <c r="M230" i="68" s="1"/>
  <c r="M231" i="68" s="1"/>
  <c r="M232" i="68" s="1"/>
  <c r="M233" i="68" s="1"/>
  <c r="M234" i="68" s="1"/>
  <c r="M235" i="68" s="1"/>
  <c r="M236" i="68" s="1"/>
  <c r="M237" i="68" s="1"/>
  <c r="M238" i="68" s="1"/>
  <c r="D227" i="68"/>
  <c r="E227" i="68" s="1"/>
  <c r="D226" i="68"/>
  <c r="E226" i="68" s="1"/>
  <c r="D225" i="68"/>
  <c r="E225" i="68" s="1"/>
  <c r="I224" i="68"/>
  <c r="I225" i="68" s="1"/>
  <c r="I226" i="68" s="1"/>
  <c r="I227" i="68" s="1"/>
  <c r="I228" i="68" s="1"/>
  <c r="I229" i="68" s="1"/>
  <c r="I230" i="68" s="1"/>
  <c r="I231" i="68" s="1"/>
  <c r="I232" i="68" s="1"/>
  <c r="I233" i="68" s="1"/>
  <c r="I234" i="68" s="1"/>
  <c r="I235" i="68" s="1"/>
  <c r="I236" i="68" s="1"/>
  <c r="I237" i="68" s="1"/>
  <c r="I238" i="68" s="1"/>
  <c r="I239" i="68" s="1"/>
  <c r="I240" i="68" s="1"/>
  <c r="I241" i="68" s="1"/>
  <c r="I242" i="68" s="1"/>
  <c r="D224" i="68"/>
  <c r="E224" i="68" s="1"/>
  <c r="D223" i="68"/>
  <c r="E223" i="68" s="1"/>
  <c r="D222" i="68"/>
  <c r="E222" i="68" s="1"/>
  <c r="D221" i="68"/>
  <c r="E221" i="68" s="1"/>
  <c r="D220" i="68"/>
  <c r="E220" i="68" s="1"/>
  <c r="D219" i="68"/>
  <c r="E219" i="68" s="1"/>
  <c r="D218" i="68"/>
  <c r="E218" i="68" s="1"/>
  <c r="D217" i="68"/>
  <c r="E217" i="68" s="1"/>
  <c r="D216" i="68"/>
  <c r="E216" i="68" s="1"/>
  <c r="M215" i="68"/>
  <c r="M216" i="68" s="1"/>
  <c r="M217" i="68" s="1"/>
  <c r="M218" i="68" s="1"/>
  <c r="M219" i="68" s="1"/>
  <c r="M220" i="68" s="1"/>
  <c r="M221" i="68" s="1"/>
  <c r="M222" i="68" s="1"/>
  <c r="M223" i="68" s="1"/>
  <c r="M224" i="68" s="1"/>
  <c r="M225" i="68" s="1"/>
  <c r="M226" i="68" s="1"/>
  <c r="D215" i="68"/>
  <c r="E215" i="68" s="1"/>
  <c r="D214" i="68"/>
  <c r="E214" i="68" s="1"/>
  <c r="D213" i="68"/>
  <c r="E213" i="68" s="1"/>
  <c r="D212" i="68"/>
  <c r="E212" i="68" s="1"/>
  <c r="D211" i="68"/>
  <c r="E211" i="68" s="1"/>
  <c r="D210" i="68"/>
  <c r="E210" i="68" s="1"/>
  <c r="D209" i="68"/>
  <c r="E209" i="68" s="1"/>
  <c r="I208" i="68"/>
  <c r="I209" i="68" s="1"/>
  <c r="I210" i="68" s="1"/>
  <c r="I211" i="68" s="1"/>
  <c r="I212" i="68" s="1"/>
  <c r="I213" i="68" s="1"/>
  <c r="I214" i="68" s="1"/>
  <c r="I215" i="68" s="1"/>
  <c r="I216" i="68" s="1"/>
  <c r="I217" i="68" s="1"/>
  <c r="I218" i="68" s="1"/>
  <c r="I219" i="68" s="1"/>
  <c r="I220" i="68" s="1"/>
  <c r="I221" i="68" s="1"/>
  <c r="I222" i="68" s="1"/>
  <c r="D208" i="68"/>
  <c r="E208" i="68" s="1"/>
  <c r="D207" i="68"/>
  <c r="E207" i="68" s="1"/>
  <c r="D206" i="68"/>
  <c r="E206" i="68" s="1"/>
  <c r="D205" i="68"/>
  <c r="E205" i="68" s="1"/>
  <c r="D204" i="68"/>
  <c r="E204" i="68" s="1"/>
  <c r="M203" i="68"/>
  <c r="M204" i="68" s="1"/>
  <c r="M205" i="68" s="1"/>
  <c r="M206" i="68" s="1"/>
  <c r="M207" i="68" s="1"/>
  <c r="M208" i="68" s="1"/>
  <c r="M209" i="68" s="1"/>
  <c r="M210" i="68" s="1"/>
  <c r="M211" i="68" s="1"/>
  <c r="M212" i="68" s="1"/>
  <c r="M213" i="68" s="1"/>
  <c r="M214" i="68" s="1"/>
  <c r="D203" i="68"/>
  <c r="E203" i="68" s="1"/>
  <c r="D202" i="68"/>
  <c r="E202" i="68" s="1"/>
  <c r="D201" i="68"/>
  <c r="E201" i="68" s="1"/>
  <c r="D200" i="68"/>
  <c r="E200" i="68" s="1"/>
  <c r="D199" i="68"/>
  <c r="E199" i="68" s="1"/>
  <c r="D198" i="68"/>
  <c r="E198" i="68" s="1"/>
  <c r="D197" i="68"/>
  <c r="E197" i="68" s="1"/>
  <c r="D196" i="68"/>
  <c r="E196" i="68" s="1"/>
  <c r="D195" i="68"/>
  <c r="E195" i="68" s="1"/>
  <c r="D194" i="68"/>
  <c r="E194" i="68" s="1"/>
  <c r="D193" i="68"/>
  <c r="E193" i="68" s="1"/>
  <c r="D192" i="68"/>
  <c r="E192" i="68" s="1"/>
  <c r="M191" i="68"/>
  <c r="M192" i="68" s="1"/>
  <c r="M193" i="68" s="1"/>
  <c r="M194" i="68" s="1"/>
  <c r="M195" i="68" s="1"/>
  <c r="M196" i="68" s="1"/>
  <c r="M197" i="68" s="1"/>
  <c r="M198" i="68" s="1"/>
  <c r="M199" i="68" s="1"/>
  <c r="M200" i="68" s="1"/>
  <c r="M201" i="68" s="1"/>
  <c r="M202" i="68" s="1"/>
  <c r="D191" i="68"/>
  <c r="E191" i="68" s="1"/>
  <c r="D190" i="68"/>
  <c r="E190" i="68" s="1"/>
  <c r="D189" i="68"/>
  <c r="E189" i="68" s="1"/>
  <c r="I188" i="68"/>
  <c r="I189" i="68" s="1"/>
  <c r="I190" i="68" s="1"/>
  <c r="I191" i="68" s="1"/>
  <c r="I192" i="68" s="1"/>
  <c r="I193" i="68" s="1"/>
  <c r="I194" i="68" s="1"/>
  <c r="I195" i="68" s="1"/>
  <c r="I196" i="68" s="1"/>
  <c r="I197" i="68" s="1"/>
  <c r="I198" i="68" s="1"/>
  <c r="I199" i="68" s="1"/>
  <c r="I200" i="68" s="1"/>
  <c r="I201" i="68" s="1"/>
  <c r="I202" i="68" s="1"/>
  <c r="I203" i="68" s="1"/>
  <c r="I204" i="68" s="1"/>
  <c r="I205" i="68" s="1"/>
  <c r="I206" i="68" s="1"/>
  <c r="D188" i="68"/>
  <c r="E188" i="68" s="1"/>
  <c r="D187" i="68"/>
  <c r="E187" i="68" s="1"/>
  <c r="D186" i="68"/>
  <c r="E186" i="68" s="1"/>
  <c r="D185" i="68"/>
  <c r="E185" i="68" s="1"/>
  <c r="D184" i="68"/>
  <c r="E184" i="68" s="1"/>
  <c r="D183" i="68"/>
  <c r="E183" i="68" s="1"/>
  <c r="D182" i="68"/>
  <c r="E182" i="68" s="1"/>
  <c r="D181" i="68"/>
  <c r="E181" i="68" s="1"/>
  <c r="D180" i="68"/>
  <c r="E180" i="68" s="1"/>
  <c r="M179" i="68"/>
  <c r="M180" i="68" s="1"/>
  <c r="M181" i="68" s="1"/>
  <c r="M182" i="68" s="1"/>
  <c r="M183" i="68" s="1"/>
  <c r="M184" i="68" s="1"/>
  <c r="M185" i="68" s="1"/>
  <c r="M186" i="68" s="1"/>
  <c r="M187" i="68" s="1"/>
  <c r="M188" i="68" s="1"/>
  <c r="M189" i="68" s="1"/>
  <c r="M190" i="68" s="1"/>
  <c r="D179" i="68"/>
  <c r="E179" i="68" s="1"/>
  <c r="D178" i="68"/>
  <c r="E178" i="68" s="1"/>
  <c r="D177" i="68"/>
  <c r="E177" i="68" s="1"/>
  <c r="D176" i="68"/>
  <c r="E176" i="68" s="1"/>
  <c r="D175" i="68"/>
  <c r="E175" i="68" s="1"/>
  <c r="D174" i="68"/>
  <c r="E174" i="68" s="1"/>
  <c r="D173" i="68"/>
  <c r="E173" i="68" s="1"/>
  <c r="I172" i="68"/>
  <c r="I173" i="68" s="1"/>
  <c r="I174" i="68" s="1"/>
  <c r="I175" i="68" s="1"/>
  <c r="I176" i="68" s="1"/>
  <c r="I177" i="68" s="1"/>
  <c r="I178" i="68" s="1"/>
  <c r="I179" i="68" s="1"/>
  <c r="I180" i="68" s="1"/>
  <c r="I181" i="68" s="1"/>
  <c r="I182" i="68" s="1"/>
  <c r="I183" i="68" s="1"/>
  <c r="I184" i="68" s="1"/>
  <c r="I185" i="68" s="1"/>
  <c r="I186" i="68" s="1"/>
  <c r="D172" i="68"/>
  <c r="E172" i="68" s="1"/>
  <c r="D171" i="68"/>
  <c r="E171" i="68" s="1"/>
  <c r="D170" i="68"/>
  <c r="E170" i="68" s="1"/>
  <c r="D169" i="68"/>
  <c r="E169" i="68" s="1"/>
  <c r="D168" i="68"/>
  <c r="E168" i="68" s="1"/>
  <c r="M167" i="68"/>
  <c r="M168" i="68" s="1"/>
  <c r="M169" i="68" s="1"/>
  <c r="M170" i="68" s="1"/>
  <c r="M171" i="68" s="1"/>
  <c r="M172" i="68" s="1"/>
  <c r="M173" i="68" s="1"/>
  <c r="M174" i="68" s="1"/>
  <c r="M175" i="68" s="1"/>
  <c r="M176" i="68" s="1"/>
  <c r="M177" i="68" s="1"/>
  <c r="M178" i="68" s="1"/>
  <c r="D167" i="68"/>
  <c r="E167" i="68" s="1"/>
  <c r="D166" i="68"/>
  <c r="E166" i="68" s="1"/>
  <c r="D165" i="68"/>
  <c r="E165" i="68" s="1"/>
  <c r="D164" i="68"/>
  <c r="E164" i="68" s="1"/>
  <c r="D163" i="68"/>
  <c r="E163" i="68" s="1"/>
  <c r="D162" i="68"/>
  <c r="E162" i="68" s="1"/>
  <c r="D161" i="68"/>
  <c r="E161" i="68" s="1"/>
  <c r="D160" i="68"/>
  <c r="E160" i="68" s="1"/>
  <c r="D159" i="68"/>
  <c r="E159" i="68" s="1"/>
  <c r="D158" i="68"/>
  <c r="E158" i="68" s="1"/>
  <c r="D157" i="68"/>
  <c r="E157" i="68" s="1"/>
  <c r="D156" i="68"/>
  <c r="E156" i="68" s="1"/>
  <c r="M155" i="68"/>
  <c r="M156" i="68" s="1"/>
  <c r="M157" i="68" s="1"/>
  <c r="M158" i="68" s="1"/>
  <c r="M159" i="68" s="1"/>
  <c r="M160" i="68" s="1"/>
  <c r="M161" i="68" s="1"/>
  <c r="M162" i="68" s="1"/>
  <c r="M163" i="68" s="1"/>
  <c r="M164" i="68" s="1"/>
  <c r="M165" i="68" s="1"/>
  <c r="M166" i="68" s="1"/>
  <c r="D155" i="68"/>
  <c r="E155" i="68" s="1"/>
  <c r="I152" i="68"/>
  <c r="I153" i="68" s="1"/>
  <c r="I154" i="68" s="1"/>
  <c r="I155" i="68" s="1"/>
  <c r="I156" i="68" s="1"/>
  <c r="I157" i="68" s="1"/>
  <c r="I158" i="68" s="1"/>
  <c r="I159" i="68" s="1"/>
  <c r="I160" i="68" s="1"/>
  <c r="I161" i="68" s="1"/>
  <c r="I162" i="68" s="1"/>
  <c r="I163" i="68" s="1"/>
  <c r="I164" i="68" s="1"/>
  <c r="I165" i="68" s="1"/>
  <c r="I166" i="68" s="1"/>
  <c r="I167" i="68" s="1"/>
  <c r="I168" i="68" s="1"/>
  <c r="I169" i="68" s="1"/>
  <c r="I170" i="68" s="1"/>
  <c r="M143" i="68"/>
  <c r="M144" i="68" s="1"/>
  <c r="M145" i="68" s="1"/>
  <c r="M146" i="68" s="1"/>
  <c r="M147" i="68" s="1"/>
  <c r="M148" i="68" s="1"/>
  <c r="M149" i="68" s="1"/>
  <c r="M150" i="68" s="1"/>
  <c r="M151" i="68" s="1"/>
  <c r="M152" i="68" s="1"/>
  <c r="M153" i="68" s="1"/>
  <c r="M154" i="68" s="1"/>
  <c r="I136" i="68"/>
  <c r="I137" i="68" s="1"/>
  <c r="I138" i="68" s="1"/>
  <c r="I139" i="68" s="1"/>
  <c r="I140" i="68" s="1"/>
  <c r="I141" i="68" s="1"/>
  <c r="I142" i="68" s="1"/>
  <c r="I143" i="68" s="1"/>
  <c r="I144" i="68" s="1"/>
  <c r="I145" i="68" s="1"/>
  <c r="I146" i="68" s="1"/>
  <c r="I147" i="68" s="1"/>
  <c r="I148" i="68" s="1"/>
  <c r="I149" i="68" s="1"/>
  <c r="I150" i="68" s="1"/>
  <c r="M131" i="68"/>
  <c r="M132" i="68" s="1"/>
  <c r="M133" i="68" s="1"/>
  <c r="M134" i="68" s="1"/>
  <c r="M135" i="68" s="1"/>
  <c r="M136" i="68" s="1"/>
  <c r="M137" i="68" s="1"/>
  <c r="M138" i="68" s="1"/>
  <c r="M139" i="68" s="1"/>
  <c r="M140" i="68" s="1"/>
  <c r="M141" i="68" s="1"/>
  <c r="M142" i="68" s="1"/>
  <c r="M119" i="68"/>
  <c r="M120" i="68" s="1"/>
  <c r="M121" i="68" s="1"/>
  <c r="M122" i="68" s="1"/>
  <c r="M123" i="68" s="1"/>
  <c r="M124" i="68" s="1"/>
  <c r="M125" i="68" s="1"/>
  <c r="M126" i="68" s="1"/>
  <c r="M127" i="68" s="1"/>
  <c r="M128" i="68" s="1"/>
  <c r="M129" i="68" s="1"/>
  <c r="M130" i="68" s="1"/>
  <c r="I116" i="68"/>
  <c r="I117" i="68" s="1"/>
  <c r="I118" i="68" s="1"/>
  <c r="I119" i="68" s="1"/>
  <c r="I120" i="68" s="1"/>
  <c r="I121" i="68" s="1"/>
  <c r="I122" i="68" s="1"/>
  <c r="I123" i="68" s="1"/>
  <c r="I124" i="68" s="1"/>
  <c r="I125" i="68" s="1"/>
  <c r="I126" i="68" s="1"/>
  <c r="I127" i="68" s="1"/>
  <c r="I128" i="68" s="1"/>
  <c r="I129" i="68" s="1"/>
  <c r="I130" i="68" s="1"/>
  <c r="I131" i="68" s="1"/>
  <c r="I132" i="68" s="1"/>
  <c r="I133" i="68" s="1"/>
  <c r="I134" i="68" s="1"/>
  <c r="M107" i="68"/>
  <c r="M108" i="68" s="1"/>
  <c r="M109" i="68" s="1"/>
  <c r="M110" i="68" s="1"/>
  <c r="M111" i="68" s="1"/>
  <c r="M112" i="68" s="1"/>
  <c r="M113" i="68" s="1"/>
  <c r="M114" i="68" s="1"/>
  <c r="M115" i="68" s="1"/>
  <c r="M116" i="68" s="1"/>
  <c r="M117" i="68" s="1"/>
  <c r="M118" i="68" s="1"/>
  <c r="I100" i="68"/>
  <c r="I101" i="68" s="1"/>
  <c r="I102" i="68" s="1"/>
  <c r="I103" i="68" s="1"/>
  <c r="I104" i="68" s="1"/>
  <c r="I105" i="68" s="1"/>
  <c r="I106" i="68" s="1"/>
  <c r="I107" i="68" s="1"/>
  <c r="I108" i="68" s="1"/>
  <c r="I109" i="68" s="1"/>
  <c r="I110" i="68" s="1"/>
  <c r="I111" i="68" s="1"/>
  <c r="I112" i="68" s="1"/>
  <c r="I113" i="68" s="1"/>
  <c r="I114" i="68" s="1"/>
  <c r="M95" i="68"/>
  <c r="M96" i="68" s="1"/>
  <c r="M97" i="68" s="1"/>
  <c r="M98" i="68" s="1"/>
  <c r="M99" i="68" s="1"/>
  <c r="M100" i="68" s="1"/>
  <c r="M101" i="68" s="1"/>
  <c r="M102" i="68" s="1"/>
  <c r="M103" i="68" s="1"/>
  <c r="M104" i="68" s="1"/>
  <c r="M105" i="68" s="1"/>
  <c r="M106" i="68" s="1"/>
  <c r="M83" i="68"/>
  <c r="M84" i="68" s="1"/>
  <c r="M85" i="68" s="1"/>
  <c r="M86" i="68" s="1"/>
  <c r="M87" i="68" s="1"/>
  <c r="M88" i="68" s="1"/>
  <c r="M89" i="68" s="1"/>
  <c r="M90" i="68" s="1"/>
  <c r="M91" i="68" s="1"/>
  <c r="M92" i="68" s="1"/>
  <c r="M93" i="68" s="1"/>
  <c r="M94" i="68" s="1"/>
  <c r="D82" i="68"/>
  <c r="E82" i="68" s="1"/>
  <c r="D81" i="68"/>
  <c r="E81" i="68" s="1"/>
  <c r="I80" i="68"/>
  <c r="I81" i="68" s="1"/>
  <c r="I82" i="68" s="1"/>
  <c r="I83" i="68" s="1"/>
  <c r="I84" i="68" s="1"/>
  <c r="I85" i="68" s="1"/>
  <c r="I86" i="68" s="1"/>
  <c r="I87" i="68" s="1"/>
  <c r="I88" i="68" s="1"/>
  <c r="I89" i="68" s="1"/>
  <c r="I90" i="68" s="1"/>
  <c r="I91" i="68" s="1"/>
  <c r="I92" i="68" s="1"/>
  <c r="I93" i="68" s="1"/>
  <c r="I94" i="68" s="1"/>
  <c r="I95" i="68" s="1"/>
  <c r="I96" i="68" s="1"/>
  <c r="I97" i="68" s="1"/>
  <c r="I98" i="68" s="1"/>
  <c r="D80" i="68"/>
  <c r="E80" i="68" s="1"/>
  <c r="D79" i="68"/>
  <c r="E79" i="68" s="1"/>
  <c r="D78" i="68"/>
  <c r="E78" i="68" s="1"/>
  <c r="D77" i="68"/>
  <c r="E77" i="68" s="1"/>
  <c r="D76" i="68"/>
  <c r="E76" i="68" s="1"/>
  <c r="D75" i="68"/>
  <c r="E75" i="68" s="1"/>
  <c r="D74" i="68"/>
  <c r="E74" i="68" s="1"/>
  <c r="D73" i="68"/>
  <c r="E73" i="68" s="1"/>
  <c r="D72" i="68"/>
  <c r="E72" i="68" s="1"/>
  <c r="M71" i="68"/>
  <c r="M72" i="68" s="1"/>
  <c r="M73" i="68" s="1"/>
  <c r="M74" i="68" s="1"/>
  <c r="M75" i="68" s="1"/>
  <c r="M76" i="68" s="1"/>
  <c r="M77" i="68" s="1"/>
  <c r="M78" i="68" s="1"/>
  <c r="M79" i="68" s="1"/>
  <c r="M80" i="68" s="1"/>
  <c r="M81" i="68" s="1"/>
  <c r="M82" i="68" s="1"/>
  <c r="D71" i="68"/>
  <c r="E71" i="68" s="1"/>
  <c r="D70" i="68"/>
  <c r="E70" i="68" s="1"/>
  <c r="D69" i="68"/>
  <c r="E69" i="68" s="1"/>
  <c r="D68" i="68"/>
  <c r="E68" i="68" s="1"/>
  <c r="D67" i="68"/>
  <c r="E67" i="68" s="1"/>
  <c r="D66" i="68"/>
  <c r="E66" i="68" s="1"/>
  <c r="D65" i="68"/>
  <c r="E65" i="68" s="1"/>
  <c r="I64" i="68"/>
  <c r="I65" i="68" s="1"/>
  <c r="I66" i="68" s="1"/>
  <c r="I67" i="68" s="1"/>
  <c r="I68" i="68" s="1"/>
  <c r="I69" i="68" s="1"/>
  <c r="I70" i="68" s="1"/>
  <c r="I71" i="68" s="1"/>
  <c r="I72" i="68" s="1"/>
  <c r="I73" i="68" s="1"/>
  <c r="I74" i="68" s="1"/>
  <c r="I75" i="68" s="1"/>
  <c r="I76" i="68" s="1"/>
  <c r="I77" i="68" s="1"/>
  <c r="I78" i="68" s="1"/>
  <c r="D64" i="68"/>
  <c r="E64" i="68" s="1"/>
  <c r="D63" i="68"/>
  <c r="E63" i="68" s="1"/>
  <c r="D62" i="68"/>
  <c r="E62" i="68" s="1"/>
  <c r="D61" i="68"/>
  <c r="E61" i="68" s="1"/>
  <c r="D60" i="68"/>
  <c r="E60" i="68" s="1"/>
  <c r="M59" i="68"/>
  <c r="M60" i="68" s="1"/>
  <c r="M61" i="68" s="1"/>
  <c r="M62" i="68" s="1"/>
  <c r="M63" i="68" s="1"/>
  <c r="M64" i="68" s="1"/>
  <c r="M65" i="68" s="1"/>
  <c r="M66" i="68" s="1"/>
  <c r="M67" i="68" s="1"/>
  <c r="M68" i="68" s="1"/>
  <c r="M69" i="68" s="1"/>
  <c r="M70" i="68" s="1"/>
  <c r="D59" i="68"/>
  <c r="E59" i="68" s="1"/>
  <c r="D58" i="68"/>
  <c r="E58" i="68" s="1"/>
  <c r="D57" i="68"/>
  <c r="E57" i="68" s="1"/>
  <c r="D56" i="68"/>
  <c r="E56" i="68" s="1"/>
  <c r="D55" i="68"/>
  <c r="E55" i="68" s="1"/>
  <c r="D54" i="68"/>
  <c r="E54" i="68" s="1"/>
  <c r="D53" i="68"/>
  <c r="E53" i="68" s="1"/>
  <c r="D52" i="68"/>
  <c r="E52" i="68" s="1"/>
  <c r="D51" i="68"/>
  <c r="E51" i="68" s="1"/>
  <c r="D50" i="68"/>
  <c r="E50" i="68" s="1"/>
  <c r="D49" i="68"/>
  <c r="E49" i="68" s="1"/>
  <c r="D48" i="68"/>
  <c r="E48" i="68" s="1"/>
  <c r="M47" i="68"/>
  <c r="M48" i="68" s="1"/>
  <c r="M49" i="68" s="1"/>
  <c r="M50" i="68" s="1"/>
  <c r="M51" i="68" s="1"/>
  <c r="M52" i="68" s="1"/>
  <c r="M53" i="68" s="1"/>
  <c r="M54" i="68" s="1"/>
  <c r="M55" i="68" s="1"/>
  <c r="M56" i="68" s="1"/>
  <c r="M57" i="68" s="1"/>
  <c r="M58" i="68" s="1"/>
  <c r="D47" i="68"/>
  <c r="E47" i="68" s="1"/>
  <c r="D46" i="68"/>
  <c r="E46" i="68" s="1"/>
  <c r="D45" i="68"/>
  <c r="E45" i="68" s="1"/>
  <c r="I44" i="68"/>
  <c r="I45" i="68" s="1"/>
  <c r="I46" i="68" s="1"/>
  <c r="I47" i="68" s="1"/>
  <c r="I48" i="68" s="1"/>
  <c r="I49" i="68" s="1"/>
  <c r="I50" i="68" s="1"/>
  <c r="I51" i="68" s="1"/>
  <c r="I52" i="68" s="1"/>
  <c r="I53" i="68" s="1"/>
  <c r="I54" i="68" s="1"/>
  <c r="I55" i="68" s="1"/>
  <c r="I56" i="68" s="1"/>
  <c r="I57" i="68" s="1"/>
  <c r="I58" i="68" s="1"/>
  <c r="I59" i="68" s="1"/>
  <c r="I60" i="68" s="1"/>
  <c r="I61" i="68" s="1"/>
  <c r="I62" i="68" s="1"/>
  <c r="D44" i="68"/>
  <c r="E44" i="68" s="1"/>
  <c r="D43" i="68"/>
  <c r="E43" i="68" s="1"/>
  <c r="D42" i="68"/>
  <c r="E42" i="68" s="1"/>
  <c r="D41" i="68"/>
  <c r="E41" i="68" s="1"/>
  <c r="D40" i="68"/>
  <c r="E40" i="68" s="1"/>
  <c r="D39" i="68"/>
  <c r="E39" i="68" s="1"/>
  <c r="D38" i="68"/>
  <c r="E38" i="68" s="1"/>
  <c r="D37" i="68"/>
  <c r="E37" i="68" s="1"/>
  <c r="D36" i="68"/>
  <c r="E36" i="68" s="1"/>
  <c r="M35" i="68"/>
  <c r="M36" i="68" s="1"/>
  <c r="M37" i="68" s="1"/>
  <c r="M38" i="68" s="1"/>
  <c r="M39" i="68" s="1"/>
  <c r="M40" i="68" s="1"/>
  <c r="M41" i="68" s="1"/>
  <c r="M42" i="68" s="1"/>
  <c r="M43" i="68" s="1"/>
  <c r="M44" i="68" s="1"/>
  <c r="M45" i="68" s="1"/>
  <c r="M46" i="68" s="1"/>
  <c r="D35" i="68"/>
  <c r="E35" i="68" s="1"/>
  <c r="D34" i="68"/>
  <c r="E34" i="68" s="1"/>
  <c r="D33" i="68"/>
  <c r="E33" i="68" s="1"/>
  <c r="D32" i="68"/>
  <c r="E32" i="68" s="1"/>
  <c r="D31" i="68"/>
  <c r="E31" i="68" s="1"/>
  <c r="D30" i="68"/>
  <c r="E30" i="68" s="1"/>
  <c r="D29" i="68"/>
  <c r="E29" i="68" s="1"/>
  <c r="I28" i="68"/>
  <c r="I29" i="68" s="1"/>
  <c r="I30" i="68" s="1"/>
  <c r="I31" i="68" s="1"/>
  <c r="I32" i="68" s="1"/>
  <c r="I33" i="68" s="1"/>
  <c r="I34" i="68" s="1"/>
  <c r="I35" i="68" s="1"/>
  <c r="I36" i="68" s="1"/>
  <c r="I37" i="68" s="1"/>
  <c r="I38" i="68" s="1"/>
  <c r="I39" i="68" s="1"/>
  <c r="I40" i="68" s="1"/>
  <c r="I41" i="68" s="1"/>
  <c r="I42" i="68" s="1"/>
  <c r="D28" i="68"/>
  <c r="E28" i="68" s="1"/>
  <c r="D27" i="68"/>
  <c r="E27" i="68" s="1"/>
  <c r="D26" i="68"/>
  <c r="E26" i="68" s="1"/>
  <c r="D25" i="68"/>
  <c r="E25" i="68" s="1"/>
  <c r="D24" i="68"/>
  <c r="E24" i="68" s="1"/>
  <c r="M23" i="68"/>
  <c r="M24" i="68" s="1"/>
  <c r="M25" i="68" s="1"/>
  <c r="M26" i="68" s="1"/>
  <c r="M27" i="68" s="1"/>
  <c r="M28" i="68" s="1"/>
  <c r="M29" i="68" s="1"/>
  <c r="M30" i="68" s="1"/>
  <c r="M31" i="68" s="1"/>
  <c r="M32" i="68" s="1"/>
  <c r="M33" i="68" s="1"/>
  <c r="M34" i="68" s="1"/>
  <c r="D23" i="68"/>
  <c r="E23" i="68" s="1"/>
  <c r="D22" i="68"/>
  <c r="E22" i="68" s="1"/>
  <c r="D21" i="68"/>
  <c r="E21" i="68" s="1"/>
  <c r="D20" i="68"/>
  <c r="E20" i="68" s="1"/>
  <c r="D19" i="68"/>
  <c r="E19" i="68" s="1"/>
  <c r="D18" i="68"/>
  <c r="E18" i="68" s="1"/>
  <c r="D17" i="68"/>
  <c r="E17" i="68" s="1"/>
  <c r="D16" i="68"/>
  <c r="E16" i="68" s="1"/>
  <c r="D15" i="68"/>
  <c r="E15" i="68" s="1"/>
  <c r="D14" i="68"/>
  <c r="E14" i="68" s="1"/>
  <c r="D13" i="68"/>
  <c r="E13" i="68" s="1"/>
  <c r="I12" i="68"/>
  <c r="I13" i="68" s="1"/>
  <c r="I14" i="68" s="1"/>
  <c r="I15" i="68" s="1"/>
  <c r="I16" i="68" s="1"/>
  <c r="I17" i="68" s="1"/>
  <c r="I18" i="68" s="1"/>
  <c r="I19" i="68" s="1"/>
  <c r="I20" i="68" s="1"/>
  <c r="I21" i="68" s="1"/>
  <c r="I22" i="68" s="1"/>
  <c r="I23" i="68" s="1"/>
  <c r="I24" i="68" s="1"/>
  <c r="I25" i="68" s="1"/>
  <c r="I26" i="68" s="1"/>
  <c r="D12" i="68"/>
  <c r="E12" i="68" s="1"/>
  <c r="B12" i="68"/>
  <c r="B13" i="68" s="1"/>
  <c r="B14" i="68" s="1"/>
  <c r="B15" i="68" s="1"/>
  <c r="B16" i="68" s="1"/>
  <c r="B17" i="68" s="1"/>
  <c r="B18" i="68" s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6" i="68" s="1"/>
  <c r="B67" i="68" s="1"/>
  <c r="B68" i="68" s="1"/>
  <c r="B69" i="68" s="1"/>
  <c r="B70" i="68" s="1"/>
  <c r="B71" i="68" s="1"/>
  <c r="B72" i="68" s="1"/>
  <c r="B73" i="68" s="1"/>
  <c r="B74" i="68" s="1"/>
  <c r="B75" i="68" s="1"/>
  <c r="B76" i="68" s="1"/>
  <c r="B77" i="68" s="1"/>
  <c r="B78" i="68" s="1"/>
  <c r="B79" i="68" s="1"/>
  <c r="B80" i="68" s="1"/>
  <c r="B81" i="68" s="1"/>
  <c r="B82" i="68" s="1"/>
  <c r="B83" i="68" s="1"/>
  <c r="B84" i="68" s="1"/>
  <c r="B85" i="68" s="1"/>
  <c r="B86" i="68" s="1"/>
  <c r="B87" i="68" s="1"/>
  <c r="B88" i="68" s="1"/>
  <c r="B89" i="68" s="1"/>
  <c r="B90" i="68" s="1"/>
  <c r="B91" i="68" s="1"/>
  <c r="B92" i="68" s="1"/>
  <c r="B93" i="68" s="1"/>
  <c r="B94" i="68" s="1"/>
  <c r="B95" i="68" s="1"/>
  <c r="B96" i="68" s="1"/>
  <c r="B97" i="68" s="1"/>
  <c r="B98" i="68" s="1"/>
  <c r="B99" i="68" s="1"/>
  <c r="B100" i="68" s="1"/>
  <c r="B101" i="68" s="1"/>
  <c r="B102" i="68" s="1"/>
  <c r="B103" i="68" s="1"/>
  <c r="B104" i="68" s="1"/>
  <c r="B105" i="68" s="1"/>
  <c r="B106" i="68" s="1"/>
  <c r="B107" i="68" s="1"/>
  <c r="B108" i="68" s="1"/>
  <c r="B109" i="68" s="1"/>
  <c r="B110" i="68" s="1"/>
  <c r="B111" i="68" s="1"/>
  <c r="B112" i="68" s="1"/>
  <c r="B113" i="68" s="1"/>
  <c r="B114" i="68" s="1"/>
  <c r="B115" i="68" s="1"/>
  <c r="B116" i="68" s="1"/>
  <c r="B117" i="68" s="1"/>
  <c r="B118" i="68" s="1"/>
  <c r="B119" i="68" s="1"/>
  <c r="B120" i="68" s="1"/>
  <c r="B121" i="68" s="1"/>
  <c r="B122" i="68" s="1"/>
  <c r="B123" i="68" s="1"/>
  <c r="B124" i="68" s="1"/>
  <c r="B125" i="68" s="1"/>
  <c r="B126" i="68" s="1"/>
  <c r="B127" i="68" s="1"/>
  <c r="B128" i="68" s="1"/>
  <c r="B129" i="68" s="1"/>
  <c r="B130" i="68" s="1"/>
  <c r="B131" i="68" s="1"/>
  <c r="B132" i="68" s="1"/>
  <c r="B133" i="68" s="1"/>
  <c r="B134" i="68" s="1"/>
  <c r="B135" i="68" s="1"/>
  <c r="B136" i="68" s="1"/>
  <c r="B137" i="68" s="1"/>
  <c r="B138" i="68" s="1"/>
  <c r="B139" i="68" s="1"/>
  <c r="B140" i="68" s="1"/>
  <c r="B141" i="68" s="1"/>
  <c r="B142" i="68" s="1"/>
  <c r="B143" i="68" s="1"/>
  <c r="B144" i="68" s="1"/>
  <c r="B145" i="68" s="1"/>
  <c r="B146" i="68" s="1"/>
  <c r="B147" i="68" s="1"/>
  <c r="B148" i="68" s="1"/>
  <c r="B149" i="68" s="1"/>
  <c r="B150" i="68" s="1"/>
  <c r="B151" i="68" s="1"/>
  <c r="B152" i="68" s="1"/>
  <c r="B153" i="68" s="1"/>
  <c r="B154" i="68" s="1"/>
  <c r="B155" i="68" s="1"/>
  <c r="B156" i="68" s="1"/>
  <c r="B157" i="68" s="1"/>
  <c r="B158" i="68" s="1"/>
  <c r="B159" i="68" s="1"/>
  <c r="B160" i="68" s="1"/>
  <c r="B161" i="68" s="1"/>
  <c r="B162" i="68" s="1"/>
  <c r="B163" i="68" s="1"/>
  <c r="B164" i="68" s="1"/>
  <c r="B165" i="68" s="1"/>
  <c r="B166" i="68" s="1"/>
  <c r="B167" i="68" s="1"/>
  <c r="B168" i="68" s="1"/>
  <c r="B169" i="68" s="1"/>
  <c r="B170" i="68" s="1"/>
  <c r="B171" i="68" s="1"/>
  <c r="B172" i="68" s="1"/>
  <c r="B173" i="68" s="1"/>
  <c r="B174" i="68" s="1"/>
  <c r="B175" i="68" s="1"/>
  <c r="B176" i="68" s="1"/>
  <c r="B177" i="68" s="1"/>
  <c r="B178" i="68" s="1"/>
  <c r="B179" i="68" s="1"/>
  <c r="B180" i="68" s="1"/>
  <c r="B181" i="68" s="1"/>
  <c r="B182" i="68" s="1"/>
  <c r="B183" i="68" s="1"/>
  <c r="B184" i="68" s="1"/>
  <c r="B185" i="68" s="1"/>
  <c r="B186" i="68" s="1"/>
  <c r="B187" i="68" s="1"/>
  <c r="B188" i="68" s="1"/>
  <c r="B189" i="68" s="1"/>
  <c r="B190" i="68" s="1"/>
  <c r="B191" i="68" s="1"/>
  <c r="B192" i="68" s="1"/>
  <c r="B193" i="68" s="1"/>
  <c r="B194" i="68" s="1"/>
  <c r="B195" i="68" s="1"/>
  <c r="B196" i="68" s="1"/>
  <c r="B197" i="68" s="1"/>
  <c r="B198" i="68" s="1"/>
  <c r="B199" i="68" s="1"/>
  <c r="B200" i="68" s="1"/>
  <c r="B201" i="68" s="1"/>
  <c r="B202" i="68" s="1"/>
  <c r="B203" i="68" s="1"/>
  <c r="B204" i="68" s="1"/>
  <c r="B205" i="68" s="1"/>
  <c r="B206" i="68" s="1"/>
  <c r="B207" i="68" s="1"/>
  <c r="B208" i="68" s="1"/>
  <c r="B209" i="68" s="1"/>
  <c r="B210" i="68" s="1"/>
  <c r="B211" i="68" s="1"/>
  <c r="B212" i="68" s="1"/>
  <c r="B213" i="68" s="1"/>
  <c r="B214" i="68" s="1"/>
  <c r="B215" i="68" s="1"/>
  <c r="B216" i="68" s="1"/>
  <c r="B217" i="68" s="1"/>
  <c r="B218" i="68" s="1"/>
  <c r="B219" i="68" s="1"/>
  <c r="B220" i="68" s="1"/>
  <c r="B221" i="68" s="1"/>
  <c r="B222" i="68" s="1"/>
  <c r="B223" i="68" s="1"/>
  <c r="B224" i="68" s="1"/>
  <c r="B225" i="68" s="1"/>
  <c r="B226" i="68" s="1"/>
  <c r="B227" i="68" s="1"/>
  <c r="B228" i="68" s="1"/>
  <c r="B229" i="68" s="1"/>
  <c r="B230" i="68" s="1"/>
  <c r="B231" i="68" s="1"/>
  <c r="B232" i="68" s="1"/>
  <c r="B233" i="68" s="1"/>
  <c r="B234" i="68" s="1"/>
  <c r="B235" i="68" s="1"/>
  <c r="B236" i="68" s="1"/>
  <c r="B237" i="68" s="1"/>
  <c r="B238" i="68" s="1"/>
  <c r="B239" i="68" s="1"/>
  <c r="B240" i="68" s="1"/>
  <c r="B241" i="68" s="1"/>
  <c r="B242" i="68" s="1"/>
  <c r="B243" i="68" s="1"/>
  <c r="B244" i="68" s="1"/>
  <c r="B245" i="68" s="1"/>
  <c r="B246" i="68" s="1"/>
  <c r="B247" i="68" s="1"/>
  <c r="B248" i="68" s="1"/>
  <c r="B249" i="68" s="1"/>
  <c r="B250" i="68" s="1"/>
  <c r="B251" i="68" s="1"/>
  <c r="B252" i="68" s="1"/>
  <c r="B253" i="68" s="1"/>
  <c r="B254" i="68" s="1"/>
  <c r="B255" i="68" s="1"/>
  <c r="B256" i="68" s="1"/>
  <c r="B257" i="68" s="1"/>
  <c r="B258" i="68" s="1"/>
  <c r="B259" i="68" s="1"/>
  <c r="B260" i="68" s="1"/>
  <c r="B261" i="68" s="1"/>
  <c r="B262" i="68" s="1"/>
  <c r="B263" i="68" s="1"/>
  <c r="B264" i="68" s="1"/>
  <c r="B265" i="68" s="1"/>
  <c r="B266" i="68" s="1"/>
  <c r="B267" i="68" s="1"/>
  <c r="B268" i="68" s="1"/>
  <c r="B269" i="68" s="1"/>
  <c r="B270" i="68" s="1"/>
  <c r="B271" i="68" s="1"/>
  <c r="B272" i="68" s="1"/>
  <c r="B273" i="68" s="1"/>
  <c r="B274" i="68" s="1"/>
  <c r="B275" i="68" s="1"/>
  <c r="B276" i="68" s="1"/>
  <c r="B277" i="68" s="1"/>
  <c r="B278" i="68" s="1"/>
  <c r="B279" i="68" s="1"/>
  <c r="B280" i="68" s="1"/>
  <c r="B281" i="68" s="1"/>
  <c r="B282" i="68" s="1"/>
  <c r="B283" i="68" s="1"/>
  <c r="B284" i="68" s="1"/>
  <c r="B285" i="68" s="1"/>
  <c r="B286" i="68" s="1"/>
  <c r="B287" i="68" s="1"/>
  <c r="B288" i="68" s="1"/>
  <c r="B289" i="68" s="1"/>
  <c r="B290" i="68" s="1"/>
  <c r="B291" i="68" s="1"/>
  <c r="B292" i="68" s="1"/>
  <c r="B293" i="68" s="1"/>
  <c r="B294" i="68" s="1"/>
  <c r="B295" i="68" s="1"/>
  <c r="B296" i="68" s="1"/>
  <c r="B297" i="68" s="1"/>
  <c r="B298" i="68" s="1"/>
  <c r="Q11" i="68"/>
  <c r="Q12" i="68" s="1"/>
  <c r="Q13" i="68" s="1"/>
  <c r="Q14" i="68" s="1"/>
  <c r="Q15" i="68" s="1"/>
  <c r="Q16" i="68" s="1"/>
  <c r="Q17" i="68" s="1"/>
  <c r="Q18" i="68" s="1"/>
  <c r="Q19" i="68" s="1"/>
  <c r="Q20" i="68" s="1"/>
  <c r="Q21" i="68" s="1"/>
  <c r="Q22" i="68" s="1"/>
  <c r="Q23" i="68" s="1"/>
  <c r="Q24" i="68" s="1"/>
  <c r="Q25" i="68" s="1"/>
  <c r="Q26" i="68" s="1"/>
  <c r="Q27" i="68" s="1"/>
  <c r="Q28" i="68" s="1"/>
  <c r="Q29" i="68" s="1"/>
  <c r="Q30" i="68" s="1"/>
  <c r="Q31" i="68" s="1"/>
  <c r="Q32" i="68" s="1"/>
  <c r="Q33" i="68" s="1"/>
  <c r="Q34" i="68" s="1"/>
  <c r="Q35" i="68" s="1"/>
  <c r="Q36" i="68" s="1"/>
  <c r="Q37" i="68" s="1"/>
  <c r="Q38" i="68" s="1"/>
  <c r="Q39" i="68" s="1"/>
  <c r="Q40" i="68" s="1"/>
  <c r="Q41" i="68" s="1"/>
  <c r="Q42" i="68" s="1"/>
  <c r="Q43" i="68" s="1"/>
  <c r="Q44" i="68" s="1"/>
  <c r="Q45" i="68" s="1"/>
  <c r="Q46" i="68" s="1"/>
  <c r="Q47" i="68" s="1"/>
  <c r="Q48" i="68" s="1"/>
  <c r="Q49" i="68" s="1"/>
  <c r="Q50" i="68" s="1"/>
  <c r="Q51" i="68" s="1"/>
  <c r="Q52" i="68" s="1"/>
  <c r="Q53" i="68" s="1"/>
  <c r="Q54" i="68" s="1"/>
  <c r="Q55" i="68" s="1"/>
  <c r="Q56" i="68" s="1"/>
  <c r="Q57" i="68" s="1"/>
  <c r="Q58" i="68" s="1"/>
  <c r="Q59" i="68" s="1"/>
  <c r="Q60" i="68" s="1"/>
  <c r="Q61" i="68" s="1"/>
  <c r="Q62" i="68" s="1"/>
  <c r="Q63" i="68" s="1"/>
  <c r="Q64" i="68" s="1"/>
  <c r="Q65" i="68" s="1"/>
  <c r="Q66" i="68" s="1"/>
  <c r="Q67" i="68" s="1"/>
  <c r="Q68" i="68" s="1"/>
  <c r="Q69" i="68" s="1"/>
  <c r="Q70" i="68" s="1"/>
  <c r="Q71" i="68" s="1"/>
  <c r="Q72" i="68" s="1"/>
  <c r="Q73" i="68" s="1"/>
  <c r="Q74" i="68" s="1"/>
  <c r="Q75" i="68" s="1"/>
  <c r="Q76" i="68" s="1"/>
  <c r="Q77" i="68" s="1"/>
  <c r="Q78" i="68" s="1"/>
  <c r="Q79" i="68" s="1"/>
  <c r="Q80" i="68" s="1"/>
  <c r="Q81" i="68" s="1"/>
  <c r="Q82" i="68" s="1"/>
  <c r="Q83" i="68" s="1"/>
  <c r="Q84" i="68" s="1"/>
  <c r="Q85" i="68" s="1"/>
  <c r="Q86" i="68" s="1"/>
  <c r="Q87" i="68" s="1"/>
  <c r="Q88" i="68" s="1"/>
  <c r="Q89" i="68" s="1"/>
  <c r="Q90" i="68" s="1"/>
  <c r="Q91" i="68" s="1"/>
  <c r="Q92" i="68" s="1"/>
  <c r="Q93" i="68" s="1"/>
  <c r="Q94" i="68" s="1"/>
  <c r="Q95" i="68" s="1"/>
  <c r="Q96" i="68" s="1"/>
  <c r="Q97" i="68" s="1"/>
  <c r="Q98" i="68" s="1"/>
  <c r="Q99" i="68" s="1"/>
  <c r="Q100" i="68" s="1"/>
  <c r="Q101" i="68" s="1"/>
  <c r="Q102" i="68" s="1"/>
  <c r="Q103" i="68" s="1"/>
  <c r="Q104" i="68" s="1"/>
  <c r="Q105" i="68" s="1"/>
  <c r="Q106" i="68" s="1"/>
  <c r="Q107" i="68" s="1"/>
  <c r="Q108" i="68" s="1"/>
  <c r="Q109" i="68" s="1"/>
  <c r="Q110" i="68" s="1"/>
  <c r="Q111" i="68" s="1"/>
  <c r="Q112" i="68" s="1"/>
  <c r="Q113" i="68" s="1"/>
  <c r="Q114" i="68" s="1"/>
  <c r="Q115" i="68" s="1"/>
  <c r="Q116" i="68" s="1"/>
  <c r="Q117" i="68" s="1"/>
  <c r="Q118" i="68" s="1"/>
  <c r="Q119" i="68" s="1"/>
  <c r="Q120" i="68" s="1"/>
  <c r="Q121" i="68" s="1"/>
  <c r="Q122" i="68" s="1"/>
  <c r="Q123" i="68" s="1"/>
  <c r="Q124" i="68" s="1"/>
  <c r="Q125" i="68" s="1"/>
  <c r="Q126" i="68" s="1"/>
  <c r="Q127" i="68" s="1"/>
  <c r="Q128" i="68" s="1"/>
  <c r="Q129" i="68" s="1"/>
  <c r="Q130" i="68" s="1"/>
  <c r="Q131" i="68" s="1"/>
  <c r="Q132" i="68" s="1"/>
  <c r="Q133" i="68" s="1"/>
  <c r="Q134" i="68" s="1"/>
  <c r="Q135" i="68" s="1"/>
  <c r="Q136" i="68" s="1"/>
  <c r="Q137" i="68" s="1"/>
  <c r="Q138" i="68" s="1"/>
  <c r="Q139" i="68" s="1"/>
  <c r="Q140" i="68" s="1"/>
  <c r="Q141" i="68" s="1"/>
  <c r="Q142" i="68" s="1"/>
  <c r="Q143" i="68" s="1"/>
  <c r="Q144" i="68" s="1"/>
  <c r="Q145" i="68" s="1"/>
  <c r="Q146" i="68" s="1"/>
  <c r="Q147" i="68" s="1"/>
  <c r="Q148" i="68" s="1"/>
  <c r="Q149" i="68" s="1"/>
  <c r="Q150" i="68" s="1"/>
  <c r="Q151" i="68" s="1"/>
  <c r="Q152" i="68" s="1"/>
  <c r="Q153" i="68" s="1"/>
  <c r="Q154" i="68" s="1"/>
  <c r="Q155" i="68" s="1"/>
  <c r="Q156" i="68" s="1"/>
  <c r="Q157" i="68" s="1"/>
  <c r="Q158" i="68" s="1"/>
  <c r="Q159" i="68" s="1"/>
  <c r="Q160" i="68" s="1"/>
  <c r="Q161" i="68" s="1"/>
  <c r="Q162" i="68" s="1"/>
  <c r="Q163" i="68" s="1"/>
  <c r="Q164" i="68" s="1"/>
  <c r="Q165" i="68" s="1"/>
  <c r="Q166" i="68" s="1"/>
  <c r="Q167" i="68" s="1"/>
  <c r="Q168" i="68" s="1"/>
  <c r="Q169" i="68" s="1"/>
  <c r="Q170" i="68" s="1"/>
  <c r="Q171" i="68" s="1"/>
  <c r="Q172" i="68" s="1"/>
  <c r="Q173" i="68" s="1"/>
  <c r="Q174" i="68" s="1"/>
  <c r="Q175" i="68" s="1"/>
  <c r="Q176" i="68" s="1"/>
  <c r="Q177" i="68" s="1"/>
  <c r="Q178" i="68" s="1"/>
  <c r="Q179" i="68" s="1"/>
  <c r="Q180" i="68" s="1"/>
  <c r="Q181" i="68" s="1"/>
  <c r="Q182" i="68" s="1"/>
  <c r="Q183" i="68" s="1"/>
  <c r="Q184" i="68" s="1"/>
  <c r="Q185" i="68" s="1"/>
  <c r="Q186" i="68" s="1"/>
  <c r="Q187" i="68" s="1"/>
  <c r="Q188" i="68" s="1"/>
  <c r="Q189" i="68" s="1"/>
  <c r="Q190" i="68" s="1"/>
  <c r="Q191" i="68" s="1"/>
  <c r="Q192" i="68" s="1"/>
  <c r="Q193" i="68" s="1"/>
  <c r="Q194" i="68" s="1"/>
  <c r="Q195" i="68" s="1"/>
  <c r="Q196" i="68" s="1"/>
  <c r="Q197" i="68" s="1"/>
  <c r="Q198" i="68" s="1"/>
  <c r="Q199" i="68" s="1"/>
  <c r="Q200" i="68" s="1"/>
  <c r="Q201" i="68" s="1"/>
  <c r="Q202" i="68" s="1"/>
  <c r="Q203" i="68" s="1"/>
  <c r="Q204" i="68" s="1"/>
  <c r="Q205" i="68" s="1"/>
  <c r="Q206" i="68" s="1"/>
  <c r="Q207" i="68" s="1"/>
  <c r="Q208" i="68" s="1"/>
  <c r="Q209" i="68" s="1"/>
  <c r="Q210" i="68" s="1"/>
  <c r="Q211" i="68" s="1"/>
  <c r="Q212" i="68" s="1"/>
  <c r="Q213" i="68" s="1"/>
  <c r="Q214" i="68" s="1"/>
  <c r="Q215" i="68" s="1"/>
  <c r="Q216" i="68" s="1"/>
  <c r="Q217" i="68" s="1"/>
  <c r="Q218" i="68" s="1"/>
  <c r="Q219" i="68" s="1"/>
  <c r="Q220" i="68" s="1"/>
  <c r="Q221" i="68" s="1"/>
  <c r="Q222" i="68" s="1"/>
  <c r="Q223" i="68" s="1"/>
  <c r="Q224" i="68" s="1"/>
  <c r="Q225" i="68" s="1"/>
  <c r="Q226" i="68" s="1"/>
  <c r="Q227" i="68" s="1"/>
  <c r="Q228" i="68" s="1"/>
  <c r="Q229" i="68" s="1"/>
  <c r="Q230" i="68" s="1"/>
  <c r="Q231" i="68" s="1"/>
  <c r="Q232" i="68" s="1"/>
  <c r="Q233" i="68" s="1"/>
  <c r="Q234" i="68" s="1"/>
  <c r="Q235" i="68" s="1"/>
  <c r="Q236" i="68" s="1"/>
  <c r="Q237" i="68" s="1"/>
  <c r="Q238" i="68" s="1"/>
  <c r="Q239" i="68" s="1"/>
  <c r="Q240" i="68" s="1"/>
  <c r="Q241" i="68" s="1"/>
  <c r="Q242" i="68" s="1"/>
  <c r="Q243" i="68" s="1"/>
  <c r="Q244" i="68" s="1"/>
  <c r="Q245" i="68" s="1"/>
  <c r="Q246" i="68" s="1"/>
  <c r="Q247" i="68" s="1"/>
  <c r="Q248" i="68" s="1"/>
  <c r="Q249" i="68" s="1"/>
  <c r="Q250" i="68" s="1"/>
  <c r="Q251" i="68" s="1"/>
  <c r="Q252" i="68" s="1"/>
  <c r="Q253" i="68" s="1"/>
  <c r="Q254" i="68" s="1"/>
  <c r="Q255" i="68" s="1"/>
  <c r="Q256" i="68" s="1"/>
  <c r="Q257" i="68" s="1"/>
  <c r="Q258" i="68" s="1"/>
  <c r="Q259" i="68" s="1"/>
  <c r="Q260" i="68" s="1"/>
  <c r="Q261" i="68" s="1"/>
  <c r="Q262" i="68" s="1"/>
  <c r="Q263" i="68" s="1"/>
  <c r="Q264" i="68" s="1"/>
  <c r="Q265" i="68" s="1"/>
  <c r="Q266" i="68" s="1"/>
  <c r="Q267" i="68" s="1"/>
  <c r="Q268" i="68" s="1"/>
  <c r="Q269" i="68" s="1"/>
  <c r="Q270" i="68" s="1"/>
  <c r="Q271" i="68" s="1"/>
  <c r="Q272" i="68" s="1"/>
  <c r="Q273" i="68" s="1"/>
  <c r="Q274" i="68" s="1"/>
  <c r="Q275" i="68" s="1"/>
  <c r="Q276" i="68" s="1"/>
  <c r="Q277" i="68" s="1"/>
  <c r="Q278" i="68" s="1"/>
  <c r="Q279" i="68" s="1"/>
  <c r="Q280" i="68" s="1"/>
  <c r="Q281" i="68" s="1"/>
  <c r="Q282" i="68" s="1"/>
  <c r="Q283" i="68" s="1"/>
  <c r="Q284" i="68" s="1"/>
  <c r="Q285" i="68" s="1"/>
  <c r="Q286" i="68" s="1"/>
  <c r="Q287" i="68" s="1"/>
  <c r="Q288" i="68" s="1"/>
  <c r="Q289" i="68" s="1"/>
  <c r="Q290" i="68" s="1"/>
  <c r="Q291" i="68" s="1"/>
  <c r="Q292" i="68" s="1"/>
  <c r="Q293" i="68" s="1"/>
  <c r="Q294" i="68" s="1"/>
  <c r="Q295" i="68" s="1"/>
  <c r="Q296" i="68" s="1"/>
  <c r="Q297" i="68" s="1"/>
  <c r="Q298" i="68" s="1"/>
  <c r="N11" i="68"/>
  <c r="N12" i="68" s="1"/>
  <c r="N13" i="68" s="1"/>
  <c r="N14" i="68" s="1"/>
  <c r="N15" i="68" s="1"/>
  <c r="N16" i="68" s="1"/>
  <c r="N17" i="68" s="1"/>
  <c r="N18" i="68" s="1"/>
  <c r="N19" i="68" s="1"/>
  <c r="N20" i="68" s="1"/>
  <c r="N21" i="68" s="1"/>
  <c r="N22" i="68" s="1"/>
  <c r="N23" i="68" s="1"/>
  <c r="N24" i="68" s="1"/>
  <c r="N25" i="68" s="1"/>
  <c r="N26" i="68" s="1"/>
  <c r="N27" i="68" s="1"/>
  <c r="N28" i="68" s="1"/>
  <c r="N29" i="68" s="1"/>
  <c r="N30" i="68" s="1"/>
  <c r="N31" i="68" s="1"/>
  <c r="N32" i="68" s="1"/>
  <c r="N33" i="68" s="1"/>
  <c r="N34" i="68" s="1"/>
  <c r="N35" i="68" s="1"/>
  <c r="N36" i="68" s="1"/>
  <c r="N37" i="68" s="1"/>
  <c r="N38" i="68" s="1"/>
  <c r="N39" i="68" s="1"/>
  <c r="N40" i="68" s="1"/>
  <c r="N41" i="68" s="1"/>
  <c r="N42" i="68" s="1"/>
  <c r="N43" i="68" s="1"/>
  <c r="N44" i="68" s="1"/>
  <c r="N45" i="68" s="1"/>
  <c r="N46" i="68" s="1"/>
  <c r="N47" i="68" s="1"/>
  <c r="N48" i="68" s="1"/>
  <c r="N49" i="68" s="1"/>
  <c r="N50" i="68" s="1"/>
  <c r="N51" i="68" s="1"/>
  <c r="N52" i="68" s="1"/>
  <c r="N53" i="68" s="1"/>
  <c r="N54" i="68" s="1"/>
  <c r="N55" i="68" s="1"/>
  <c r="N56" i="68" s="1"/>
  <c r="N57" i="68" s="1"/>
  <c r="N58" i="68" s="1"/>
  <c r="N59" i="68" s="1"/>
  <c r="N60" i="68" s="1"/>
  <c r="N61" i="68" s="1"/>
  <c r="N62" i="68" s="1"/>
  <c r="N63" i="68" s="1"/>
  <c r="N64" i="68" s="1"/>
  <c r="N65" i="68" s="1"/>
  <c r="N66" i="68" s="1"/>
  <c r="N67" i="68" s="1"/>
  <c r="N68" i="68" s="1"/>
  <c r="N69" i="68" s="1"/>
  <c r="N70" i="68" s="1"/>
  <c r="N71" i="68" s="1"/>
  <c r="N72" i="68" s="1"/>
  <c r="N73" i="68" s="1"/>
  <c r="N74" i="68" s="1"/>
  <c r="N75" i="68" s="1"/>
  <c r="N76" i="68" s="1"/>
  <c r="N77" i="68" s="1"/>
  <c r="N78" i="68" s="1"/>
  <c r="N79" i="68" s="1"/>
  <c r="N80" i="68" s="1"/>
  <c r="N81" i="68" s="1"/>
  <c r="N82" i="68" s="1"/>
  <c r="N83" i="68" s="1"/>
  <c r="N84" i="68" s="1"/>
  <c r="N85" i="68" s="1"/>
  <c r="N86" i="68" s="1"/>
  <c r="N87" i="68" s="1"/>
  <c r="N88" i="68" s="1"/>
  <c r="N89" i="68" s="1"/>
  <c r="N90" i="68" s="1"/>
  <c r="N91" i="68" s="1"/>
  <c r="N92" i="68" s="1"/>
  <c r="N93" i="68" s="1"/>
  <c r="N94" i="68" s="1"/>
  <c r="N95" i="68" s="1"/>
  <c r="N96" i="68" s="1"/>
  <c r="N97" i="68" s="1"/>
  <c r="N98" i="68" s="1"/>
  <c r="N99" i="68" s="1"/>
  <c r="N100" i="68" s="1"/>
  <c r="N101" i="68" s="1"/>
  <c r="N102" i="68" s="1"/>
  <c r="N103" i="68" s="1"/>
  <c r="N104" i="68" s="1"/>
  <c r="N105" i="68" s="1"/>
  <c r="N106" i="68" s="1"/>
  <c r="N107" i="68" s="1"/>
  <c r="N108" i="68" s="1"/>
  <c r="N109" i="68" s="1"/>
  <c r="N110" i="68" s="1"/>
  <c r="N111" i="68" s="1"/>
  <c r="N112" i="68" s="1"/>
  <c r="N113" i="68" s="1"/>
  <c r="N114" i="68" s="1"/>
  <c r="N115" i="68" s="1"/>
  <c r="N116" i="68" s="1"/>
  <c r="N117" i="68" s="1"/>
  <c r="N118" i="68" s="1"/>
  <c r="N119" i="68" s="1"/>
  <c r="N120" i="68" s="1"/>
  <c r="N121" i="68" s="1"/>
  <c r="N122" i="68" s="1"/>
  <c r="N123" i="68" s="1"/>
  <c r="N124" i="68" s="1"/>
  <c r="N125" i="68" s="1"/>
  <c r="N126" i="68" s="1"/>
  <c r="N127" i="68" s="1"/>
  <c r="N128" i="68" s="1"/>
  <c r="N129" i="68" s="1"/>
  <c r="N130" i="68" s="1"/>
  <c r="N131" i="68" s="1"/>
  <c r="N132" i="68" s="1"/>
  <c r="N133" i="68" s="1"/>
  <c r="N134" i="68" s="1"/>
  <c r="N135" i="68" s="1"/>
  <c r="N136" i="68" s="1"/>
  <c r="N137" i="68" s="1"/>
  <c r="N138" i="68" s="1"/>
  <c r="N139" i="68" s="1"/>
  <c r="N140" i="68" s="1"/>
  <c r="N141" i="68" s="1"/>
  <c r="N142" i="68" s="1"/>
  <c r="N143" i="68" s="1"/>
  <c r="N144" i="68" s="1"/>
  <c r="N145" i="68" s="1"/>
  <c r="N146" i="68" s="1"/>
  <c r="N147" i="68" s="1"/>
  <c r="N148" i="68" s="1"/>
  <c r="N149" i="68" s="1"/>
  <c r="N150" i="68" s="1"/>
  <c r="N151" i="68" s="1"/>
  <c r="N152" i="68" s="1"/>
  <c r="N153" i="68" s="1"/>
  <c r="N154" i="68" s="1"/>
  <c r="N155" i="68" s="1"/>
  <c r="N156" i="68" s="1"/>
  <c r="N157" i="68" s="1"/>
  <c r="N158" i="68" s="1"/>
  <c r="N159" i="68" s="1"/>
  <c r="N160" i="68" s="1"/>
  <c r="N161" i="68" s="1"/>
  <c r="N162" i="68" s="1"/>
  <c r="N163" i="68" s="1"/>
  <c r="N164" i="68" s="1"/>
  <c r="N165" i="68" s="1"/>
  <c r="N166" i="68" s="1"/>
  <c r="N167" i="68" s="1"/>
  <c r="N168" i="68" s="1"/>
  <c r="N169" i="68" s="1"/>
  <c r="N170" i="68" s="1"/>
  <c r="N171" i="68" s="1"/>
  <c r="N172" i="68" s="1"/>
  <c r="N173" i="68" s="1"/>
  <c r="N174" i="68" s="1"/>
  <c r="N175" i="68" s="1"/>
  <c r="N176" i="68" s="1"/>
  <c r="N177" i="68" s="1"/>
  <c r="N178" i="68" s="1"/>
  <c r="N179" i="68" s="1"/>
  <c r="N180" i="68" s="1"/>
  <c r="N181" i="68" s="1"/>
  <c r="N182" i="68" s="1"/>
  <c r="N183" i="68" s="1"/>
  <c r="N184" i="68" s="1"/>
  <c r="N185" i="68" s="1"/>
  <c r="N186" i="68" s="1"/>
  <c r="N187" i="68" s="1"/>
  <c r="N188" i="68" s="1"/>
  <c r="N189" i="68" s="1"/>
  <c r="N190" i="68" s="1"/>
  <c r="N191" i="68" s="1"/>
  <c r="N192" i="68" s="1"/>
  <c r="N193" i="68" s="1"/>
  <c r="N194" i="68" s="1"/>
  <c r="N195" i="68" s="1"/>
  <c r="N196" i="68" s="1"/>
  <c r="N197" i="68" s="1"/>
  <c r="N198" i="68" s="1"/>
  <c r="N199" i="68" s="1"/>
  <c r="N200" i="68" s="1"/>
  <c r="N201" i="68" s="1"/>
  <c r="N202" i="68" s="1"/>
  <c r="N203" i="68" s="1"/>
  <c r="N204" i="68" s="1"/>
  <c r="N205" i="68" s="1"/>
  <c r="N206" i="68" s="1"/>
  <c r="N207" i="68" s="1"/>
  <c r="N208" i="68" s="1"/>
  <c r="N209" i="68" s="1"/>
  <c r="N210" i="68" s="1"/>
  <c r="N211" i="68" s="1"/>
  <c r="N212" i="68" s="1"/>
  <c r="N213" i="68" s="1"/>
  <c r="N214" i="68" s="1"/>
  <c r="N215" i="68" s="1"/>
  <c r="N216" i="68" s="1"/>
  <c r="N217" i="68" s="1"/>
  <c r="N218" i="68" s="1"/>
  <c r="N219" i="68" s="1"/>
  <c r="N220" i="68" s="1"/>
  <c r="N221" i="68" s="1"/>
  <c r="N222" i="68" s="1"/>
  <c r="N223" i="68" s="1"/>
  <c r="N224" i="68" s="1"/>
  <c r="N225" i="68" s="1"/>
  <c r="N226" i="68" s="1"/>
  <c r="N227" i="68" s="1"/>
  <c r="N228" i="68" s="1"/>
  <c r="N229" i="68" s="1"/>
  <c r="N230" i="68" s="1"/>
  <c r="N231" i="68" s="1"/>
  <c r="N232" i="68" s="1"/>
  <c r="N233" i="68" s="1"/>
  <c r="N234" i="68" s="1"/>
  <c r="N235" i="68" s="1"/>
  <c r="N236" i="68" s="1"/>
  <c r="N237" i="68" s="1"/>
  <c r="N238" i="68" s="1"/>
  <c r="N239" i="68" s="1"/>
  <c r="N240" i="68" s="1"/>
  <c r="N241" i="68" s="1"/>
  <c r="N242" i="68" s="1"/>
  <c r="N243" i="68" s="1"/>
  <c r="N244" i="68" s="1"/>
  <c r="N245" i="68" s="1"/>
  <c r="N246" i="68" s="1"/>
  <c r="N247" i="68" s="1"/>
  <c r="N248" i="68" s="1"/>
  <c r="N249" i="68" s="1"/>
  <c r="N250" i="68" s="1"/>
  <c r="N251" i="68" s="1"/>
  <c r="N252" i="68" s="1"/>
  <c r="N253" i="68" s="1"/>
  <c r="N254" i="68" s="1"/>
  <c r="N255" i="68" s="1"/>
  <c r="N256" i="68" s="1"/>
  <c r="N257" i="68" s="1"/>
  <c r="N258" i="68" s="1"/>
  <c r="N259" i="68" s="1"/>
  <c r="N260" i="68" s="1"/>
  <c r="N261" i="68" s="1"/>
  <c r="N262" i="68" s="1"/>
  <c r="N263" i="68" s="1"/>
  <c r="N264" i="68" s="1"/>
  <c r="N265" i="68" s="1"/>
  <c r="N266" i="68" s="1"/>
  <c r="N267" i="68" s="1"/>
  <c r="N268" i="68" s="1"/>
  <c r="N269" i="68" s="1"/>
  <c r="N270" i="68" s="1"/>
  <c r="N271" i="68" s="1"/>
  <c r="N272" i="68" s="1"/>
  <c r="N273" i="68" s="1"/>
  <c r="N274" i="68" s="1"/>
  <c r="N275" i="68" s="1"/>
  <c r="N276" i="68" s="1"/>
  <c r="N277" i="68" s="1"/>
  <c r="N278" i="68" s="1"/>
  <c r="N279" i="68" s="1"/>
  <c r="N280" i="68" s="1"/>
  <c r="N281" i="68" s="1"/>
  <c r="N282" i="68" s="1"/>
  <c r="N283" i="68" s="1"/>
  <c r="N284" i="68" s="1"/>
  <c r="N285" i="68" s="1"/>
  <c r="N286" i="68" s="1"/>
  <c r="N287" i="68" s="1"/>
  <c r="N288" i="68" s="1"/>
  <c r="N289" i="68" s="1"/>
  <c r="N290" i="68" s="1"/>
  <c r="N291" i="68" s="1"/>
  <c r="N292" i="68" s="1"/>
  <c r="N293" i="68" s="1"/>
  <c r="N294" i="68" s="1"/>
  <c r="N295" i="68" s="1"/>
  <c r="N296" i="68" s="1"/>
  <c r="N297" i="68" s="1"/>
  <c r="N298" i="68" s="1"/>
  <c r="M11" i="68"/>
  <c r="M12" i="68" s="1"/>
  <c r="M13" i="68" s="1"/>
  <c r="M14" i="68" s="1"/>
  <c r="M15" i="68" s="1"/>
  <c r="M16" i="68" s="1"/>
  <c r="M17" i="68" s="1"/>
  <c r="M18" i="68" s="1"/>
  <c r="M19" i="68" s="1"/>
  <c r="M20" i="68" s="1"/>
  <c r="M21" i="68" s="1"/>
  <c r="M22" i="68" s="1"/>
  <c r="L11" i="68"/>
  <c r="L12" i="68" s="1"/>
  <c r="L13" i="68" s="1"/>
  <c r="L14" i="68" s="1"/>
  <c r="L15" i="68" s="1"/>
  <c r="L16" i="68" s="1"/>
  <c r="L17" i="68" s="1"/>
  <c r="L18" i="68" s="1"/>
  <c r="L19" i="68" s="1"/>
  <c r="L20" i="68" s="1"/>
  <c r="L21" i="68" s="1"/>
  <c r="L22" i="68" s="1"/>
  <c r="L23" i="68" s="1"/>
  <c r="L24" i="68" s="1"/>
  <c r="L25" i="68" s="1"/>
  <c r="L26" i="68" s="1"/>
  <c r="L27" i="68" s="1"/>
  <c r="L28" i="68" s="1"/>
  <c r="L29" i="68" s="1"/>
  <c r="L30" i="68" s="1"/>
  <c r="L31" i="68" s="1"/>
  <c r="L32" i="68" s="1"/>
  <c r="L33" i="68" s="1"/>
  <c r="L34" i="68" s="1"/>
  <c r="L35" i="68" s="1"/>
  <c r="L36" i="68" s="1"/>
  <c r="L37" i="68" s="1"/>
  <c r="L38" i="68" s="1"/>
  <c r="L39" i="68" s="1"/>
  <c r="L40" i="68" s="1"/>
  <c r="L41" i="68" s="1"/>
  <c r="L42" i="68" s="1"/>
  <c r="L43" i="68" s="1"/>
  <c r="L44" i="68" s="1"/>
  <c r="L45" i="68" s="1"/>
  <c r="L46" i="68" s="1"/>
  <c r="L47" i="68" s="1"/>
  <c r="L48" i="68" s="1"/>
  <c r="L49" i="68" s="1"/>
  <c r="L50" i="68" s="1"/>
  <c r="L51" i="68" s="1"/>
  <c r="L52" i="68" s="1"/>
  <c r="L53" i="68" s="1"/>
  <c r="L54" i="68" s="1"/>
  <c r="L55" i="68" s="1"/>
  <c r="L56" i="68" s="1"/>
  <c r="L57" i="68" s="1"/>
  <c r="L58" i="68" s="1"/>
  <c r="L59" i="68" s="1"/>
  <c r="L60" i="68" s="1"/>
  <c r="L61" i="68" s="1"/>
  <c r="L62" i="68" s="1"/>
  <c r="L63" i="68" s="1"/>
  <c r="L64" i="68" s="1"/>
  <c r="L65" i="68" s="1"/>
  <c r="L66" i="68" s="1"/>
  <c r="L67" i="68" s="1"/>
  <c r="L68" i="68" s="1"/>
  <c r="L69" i="68" s="1"/>
  <c r="L70" i="68" s="1"/>
  <c r="L71" i="68" s="1"/>
  <c r="L72" i="68" s="1"/>
  <c r="L73" i="68" s="1"/>
  <c r="L74" i="68" s="1"/>
  <c r="L75" i="68" s="1"/>
  <c r="L76" i="68" s="1"/>
  <c r="L77" i="68" s="1"/>
  <c r="L78" i="68" s="1"/>
  <c r="L79" i="68" s="1"/>
  <c r="L80" i="68" s="1"/>
  <c r="L81" i="68" s="1"/>
  <c r="L82" i="68" s="1"/>
  <c r="L83" i="68" s="1"/>
  <c r="L84" i="68" s="1"/>
  <c r="L85" i="68" s="1"/>
  <c r="L86" i="68" s="1"/>
  <c r="L87" i="68" s="1"/>
  <c r="L88" i="68" s="1"/>
  <c r="L89" i="68" s="1"/>
  <c r="L90" i="68" s="1"/>
  <c r="L91" i="68" s="1"/>
  <c r="L92" i="68" s="1"/>
  <c r="L93" i="68" s="1"/>
  <c r="L94" i="68" s="1"/>
  <c r="L95" i="68" s="1"/>
  <c r="L96" i="68" s="1"/>
  <c r="L97" i="68" s="1"/>
  <c r="L98" i="68" s="1"/>
  <c r="L99" i="68" s="1"/>
  <c r="L100" i="68" s="1"/>
  <c r="L101" i="68" s="1"/>
  <c r="L102" i="68" s="1"/>
  <c r="L103" i="68" s="1"/>
  <c r="L104" i="68" s="1"/>
  <c r="L105" i="68" s="1"/>
  <c r="L106" i="68" s="1"/>
  <c r="L107" i="68" s="1"/>
  <c r="L108" i="68" s="1"/>
  <c r="L109" i="68" s="1"/>
  <c r="L110" i="68" s="1"/>
  <c r="L111" i="68" s="1"/>
  <c r="L112" i="68" s="1"/>
  <c r="L113" i="68" s="1"/>
  <c r="L114" i="68" s="1"/>
  <c r="L115" i="68" s="1"/>
  <c r="L116" i="68" s="1"/>
  <c r="L117" i="68" s="1"/>
  <c r="L118" i="68" s="1"/>
  <c r="L119" i="68" s="1"/>
  <c r="L120" i="68" s="1"/>
  <c r="L121" i="68" s="1"/>
  <c r="L122" i="68" s="1"/>
  <c r="L123" i="68" s="1"/>
  <c r="L124" i="68" s="1"/>
  <c r="L125" i="68" s="1"/>
  <c r="L126" i="68" s="1"/>
  <c r="L127" i="68" s="1"/>
  <c r="L128" i="68" s="1"/>
  <c r="L129" i="68" s="1"/>
  <c r="L130" i="68" s="1"/>
  <c r="L131" i="68" s="1"/>
  <c r="L132" i="68" s="1"/>
  <c r="L133" i="68" s="1"/>
  <c r="L134" i="68" s="1"/>
  <c r="L135" i="68" s="1"/>
  <c r="L136" i="68" s="1"/>
  <c r="L137" i="68" s="1"/>
  <c r="L138" i="68" s="1"/>
  <c r="L139" i="68" s="1"/>
  <c r="L140" i="68" s="1"/>
  <c r="L141" i="68" s="1"/>
  <c r="L142" i="68" s="1"/>
  <c r="L143" i="68" s="1"/>
  <c r="L144" i="68" s="1"/>
  <c r="L145" i="68" s="1"/>
  <c r="L146" i="68" s="1"/>
  <c r="L147" i="68" s="1"/>
  <c r="L148" i="68" s="1"/>
  <c r="L149" i="68" s="1"/>
  <c r="L150" i="68" s="1"/>
  <c r="L151" i="68" s="1"/>
  <c r="L152" i="68" s="1"/>
  <c r="L153" i="68" s="1"/>
  <c r="L154" i="68" s="1"/>
  <c r="L155" i="68" s="1"/>
  <c r="L156" i="68" s="1"/>
  <c r="L157" i="68" s="1"/>
  <c r="L158" i="68" s="1"/>
  <c r="L159" i="68" s="1"/>
  <c r="L160" i="68" s="1"/>
  <c r="L161" i="68" s="1"/>
  <c r="L162" i="68" s="1"/>
  <c r="L163" i="68" s="1"/>
  <c r="L164" i="68" s="1"/>
  <c r="L165" i="68" s="1"/>
  <c r="L166" i="68" s="1"/>
  <c r="L167" i="68" s="1"/>
  <c r="L168" i="68" s="1"/>
  <c r="L169" i="68" s="1"/>
  <c r="L170" i="68" s="1"/>
  <c r="L171" i="68" s="1"/>
  <c r="L172" i="68" s="1"/>
  <c r="L173" i="68" s="1"/>
  <c r="L174" i="68" s="1"/>
  <c r="L175" i="68" s="1"/>
  <c r="L176" i="68" s="1"/>
  <c r="L177" i="68" s="1"/>
  <c r="L178" i="68" s="1"/>
  <c r="L179" i="68" s="1"/>
  <c r="L180" i="68" s="1"/>
  <c r="L181" i="68" s="1"/>
  <c r="L182" i="68" s="1"/>
  <c r="L183" i="68" s="1"/>
  <c r="L184" i="68" s="1"/>
  <c r="L185" i="68" s="1"/>
  <c r="L186" i="68" s="1"/>
  <c r="L187" i="68" s="1"/>
  <c r="L188" i="68" s="1"/>
  <c r="L189" i="68" s="1"/>
  <c r="L190" i="68" s="1"/>
  <c r="L191" i="68" s="1"/>
  <c r="L192" i="68" s="1"/>
  <c r="L193" i="68" s="1"/>
  <c r="L194" i="68" s="1"/>
  <c r="L195" i="68" s="1"/>
  <c r="L196" i="68" s="1"/>
  <c r="L197" i="68" s="1"/>
  <c r="L198" i="68" s="1"/>
  <c r="L199" i="68" s="1"/>
  <c r="L200" i="68" s="1"/>
  <c r="L201" i="68" s="1"/>
  <c r="L202" i="68" s="1"/>
  <c r="L203" i="68" s="1"/>
  <c r="L204" i="68" s="1"/>
  <c r="L205" i="68" s="1"/>
  <c r="L206" i="68" s="1"/>
  <c r="L207" i="68" s="1"/>
  <c r="L208" i="68" s="1"/>
  <c r="L209" i="68" s="1"/>
  <c r="L210" i="68" s="1"/>
  <c r="L211" i="68" s="1"/>
  <c r="L212" i="68" s="1"/>
  <c r="L213" i="68" s="1"/>
  <c r="L214" i="68" s="1"/>
  <c r="L215" i="68" s="1"/>
  <c r="L216" i="68" s="1"/>
  <c r="L217" i="68" s="1"/>
  <c r="L218" i="68" s="1"/>
  <c r="L219" i="68" s="1"/>
  <c r="L220" i="68" s="1"/>
  <c r="L221" i="68" s="1"/>
  <c r="L222" i="68" s="1"/>
  <c r="L223" i="68" s="1"/>
  <c r="L224" i="68" s="1"/>
  <c r="L225" i="68" s="1"/>
  <c r="L226" i="68" s="1"/>
  <c r="L227" i="68" s="1"/>
  <c r="L228" i="68" s="1"/>
  <c r="L229" i="68" s="1"/>
  <c r="L230" i="68" s="1"/>
  <c r="L231" i="68" s="1"/>
  <c r="L232" i="68" s="1"/>
  <c r="L233" i="68" s="1"/>
  <c r="L234" i="68" s="1"/>
  <c r="L235" i="68" s="1"/>
  <c r="L236" i="68" s="1"/>
  <c r="L237" i="68" s="1"/>
  <c r="L238" i="68" s="1"/>
  <c r="L239" i="68" s="1"/>
  <c r="L240" i="68" s="1"/>
  <c r="L241" i="68" s="1"/>
  <c r="L242" i="68" s="1"/>
  <c r="L243" i="68" s="1"/>
  <c r="L244" i="68" s="1"/>
  <c r="L245" i="68" s="1"/>
  <c r="L246" i="68" s="1"/>
  <c r="L247" i="68" s="1"/>
  <c r="L248" i="68" s="1"/>
  <c r="L249" i="68" s="1"/>
  <c r="L250" i="68" s="1"/>
  <c r="L251" i="68" s="1"/>
  <c r="L252" i="68" s="1"/>
  <c r="L253" i="68" s="1"/>
  <c r="L254" i="68" s="1"/>
  <c r="L255" i="68" s="1"/>
  <c r="L256" i="68" s="1"/>
  <c r="L257" i="68" s="1"/>
  <c r="L258" i="68" s="1"/>
  <c r="L259" i="68" s="1"/>
  <c r="L260" i="68" s="1"/>
  <c r="L261" i="68" s="1"/>
  <c r="L262" i="68" s="1"/>
  <c r="L263" i="68" s="1"/>
  <c r="L264" i="68" s="1"/>
  <c r="L265" i="68" s="1"/>
  <c r="L266" i="68" s="1"/>
  <c r="L267" i="68" s="1"/>
  <c r="L268" i="68" s="1"/>
  <c r="L269" i="68" s="1"/>
  <c r="L270" i="68" s="1"/>
  <c r="L271" i="68" s="1"/>
  <c r="L272" i="68" s="1"/>
  <c r="L273" i="68" s="1"/>
  <c r="L274" i="68" s="1"/>
  <c r="L275" i="68" s="1"/>
  <c r="L276" i="68" s="1"/>
  <c r="L277" i="68" s="1"/>
  <c r="L278" i="68" s="1"/>
  <c r="L279" i="68" s="1"/>
  <c r="L280" i="68" s="1"/>
  <c r="L281" i="68" s="1"/>
  <c r="L282" i="68" s="1"/>
  <c r="L283" i="68" s="1"/>
  <c r="L284" i="68" s="1"/>
  <c r="L285" i="68" s="1"/>
  <c r="L286" i="68" s="1"/>
  <c r="L287" i="68" s="1"/>
  <c r="L288" i="68" s="1"/>
  <c r="L289" i="68" s="1"/>
  <c r="L290" i="68" s="1"/>
  <c r="L291" i="68" s="1"/>
  <c r="L292" i="68" s="1"/>
  <c r="L293" i="68" s="1"/>
  <c r="L294" i="68" s="1"/>
  <c r="L295" i="68" s="1"/>
  <c r="L296" i="68" s="1"/>
  <c r="L297" i="68" s="1"/>
  <c r="L298" i="68" s="1"/>
  <c r="D11" i="68"/>
  <c r="E11" i="68" s="1"/>
  <c r="B10" i="68"/>
  <c r="D228" i="67"/>
  <c r="D229" i="67"/>
  <c r="D230" i="67"/>
  <c r="D231" i="67"/>
  <c r="D232" i="67"/>
  <c r="D233" i="67"/>
  <c r="D234" i="67"/>
  <c r="D235" i="67"/>
  <c r="D236" i="67"/>
  <c r="D237" i="67"/>
  <c r="D238" i="67"/>
  <c r="D239" i="67"/>
  <c r="D240" i="67"/>
  <c r="D241" i="67"/>
  <c r="D242" i="67"/>
  <c r="D243" i="67"/>
  <c r="D244" i="67"/>
  <c r="D245" i="67"/>
  <c r="D246" i="67"/>
  <c r="D247" i="67"/>
  <c r="D248" i="67"/>
  <c r="D249" i="67"/>
  <c r="D250" i="67"/>
  <c r="D251" i="67"/>
  <c r="D252" i="67"/>
  <c r="D253" i="67"/>
  <c r="D254" i="67"/>
  <c r="D255" i="67"/>
  <c r="D256" i="67"/>
  <c r="D257" i="67"/>
  <c r="D258" i="67"/>
  <c r="D259" i="67"/>
  <c r="D260" i="67"/>
  <c r="D261" i="67"/>
  <c r="D262" i="67"/>
  <c r="D263" i="67"/>
  <c r="F263" i="67" s="1"/>
  <c r="F264" i="67" s="1"/>
  <c r="F265" i="67" s="1"/>
  <c r="F266" i="67" s="1"/>
  <c r="F267" i="67" s="1"/>
  <c r="F268" i="67" s="1"/>
  <c r="F269" i="67" s="1"/>
  <c r="F270" i="67" s="1"/>
  <c r="F271" i="67" s="1"/>
  <c r="F272" i="67" s="1"/>
  <c r="F273" i="67" s="1"/>
  <c r="F274" i="67" s="1"/>
  <c r="F275" i="67" s="1"/>
  <c r="F276" i="67" s="1"/>
  <c r="F277" i="67" s="1"/>
  <c r="F278" i="67" s="1"/>
  <c r="F279" i="67" s="1"/>
  <c r="F280" i="67" s="1"/>
  <c r="F281" i="67" s="1"/>
  <c r="F282" i="67" s="1"/>
  <c r="F283" i="67" s="1"/>
  <c r="F284" i="67" s="1"/>
  <c r="F285" i="67" s="1"/>
  <c r="F286" i="67" s="1"/>
  <c r="F287" i="67" s="1"/>
  <c r="F288" i="67" s="1"/>
  <c r="F289" i="67" s="1"/>
  <c r="F290" i="67" s="1"/>
  <c r="F291" i="67" s="1"/>
  <c r="F292" i="67" s="1"/>
  <c r="F293" i="67" s="1"/>
  <c r="F294" i="67" s="1"/>
  <c r="F295" i="67" s="1"/>
  <c r="F296" i="67" s="1"/>
  <c r="F297" i="67" s="1"/>
  <c r="F298" i="67" s="1"/>
  <c r="D264" i="67"/>
  <c r="D265" i="67"/>
  <c r="D266" i="67"/>
  <c r="D267" i="67"/>
  <c r="D268" i="67"/>
  <c r="D269" i="67"/>
  <c r="D270" i="67"/>
  <c r="D271" i="67"/>
  <c r="D272" i="67"/>
  <c r="D273" i="67"/>
  <c r="D274" i="67"/>
  <c r="D275" i="67"/>
  <c r="D276" i="67"/>
  <c r="D277" i="67"/>
  <c r="D278" i="67"/>
  <c r="D279" i="67"/>
  <c r="D280" i="67"/>
  <c r="D281" i="67"/>
  <c r="D282" i="67"/>
  <c r="D283" i="67"/>
  <c r="D284" i="67"/>
  <c r="D285" i="67"/>
  <c r="D286" i="67"/>
  <c r="D287" i="67"/>
  <c r="D288" i="67"/>
  <c r="D289" i="67"/>
  <c r="D290" i="67"/>
  <c r="D291" i="67"/>
  <c r="D292" i="67"/>
  <c r="D293" i="67"/>
  <c r="D294" i="67"/>
  <c r="D295" i="67"/>
  <c r="D296" i="67"/>
  <c r="D297" i="67"/>
  <c r="D298" i="67"/>
  <c r="D227" i="67"/>
  <c r="F227" i="67" s="1"/>
  <c r="F228" i="67" s="1"/>
  <c r="F229" i="67" s="1"/>
  <c r="F230" i="67" s="1"/>
  <c r="F231" i="67" s="1"/>
  <c r="F232" i="67" s="1"/>
  <c r="F233" i="67" s="1"/>
  <c r="F234" i="67" s="1"/>
  <c r="F235" i="67" s="1"/>
  <c r="F236" i="67" s="1"/>
  <c r="F237" i="67" s="1"/>
  <c r="F238" i="67" s="1"/>
  <c r="F239" i="67" s="1"/>
  <c r="F240" i="67" s="1"/>
  <c r="F241" i="67" s="1"/>
  <c r="F242" i="67" s="1"/>
  <c r="F243" i="67" s="1"/>
  <c r="F244" i="67" s="1"/>
  <c r="F245" i="67" s="1"/>
  <c r="F246" i="67" s="1"/>
  <c r="F247" i="67" s="1"/>
  <c r="F248" i="67" s="1"/>
  <c r="F249" i="67" s="1"/>
  <c r="F250" i="67" s="1"/>
  <c r="F251" i="67" s="1"/>
  <c r="F252" i="67" s="1"/>
  <c r="F253" i="67" s="1"/>
  <c r="F254" i="67" s="1"/>
  <c r="F255" i="67" s="1"/>
  <c r="F256" i="67" s="1"/>
  <c r="F257" i="67" s="1"/>
  <c r="F258" i="67" s="1"/>
  <c r="F259" i="67" s="1"/>
  <c r="F260" i="67" s="1"/>
  <c r="F261" i="67" s="1"/>
  <c r="F262" i="67" s="1"/>
  <c r="H296" i="67"/>
  <c r="H297" i="67" s="1"/>
  <c r="H298" i="67" s="1"/>
  <c r="G296" i="67"/>
  <c r="G297" i="67" s="1"/>
  <c r="G298" i="67" s="1"/>
  <c r="K287" i="67"/>
  <c r="K288" i="67" s="1"/>
  <c r="K289" i="67" s="1"/>
  <c r="K290" i="67" s="1"/>
  <c r="K291" i="67" s="1"/>
  <c r="K292" i="67" s="1"/>
  <c r="K293" i="67" s="1"/>
  <c r="K294" i="67" s="1"/>
  <c r="K295" i="67" s="1"/>
  <c r="K296" i="67" s="1"/>
  <c r="K297" i="67" s="1"/>
  <c r="K298" i="67" s="1"/>
  <c r="H280" i="67"/>
  <c r="H281" i="67" s="1"/>
  <c r="H282" i="67" s="1"/>
  <c r="H283" i="67" s="1"/>
  <c r="H284" i="67" s="1"/>
  <c r="H285" i="67" s="1"/>
  <c r="H286" i="67" s="1"/>
  <c r="H287" i="67" s="1"/>
  <c r="H288" i="67" s="1"/>
  <c r="H289" i="67" s="1"/>
  <c r="H290" i="67" s="1"/>
  <c r="H291" i="67" s="1"/>
  <c r="H292" i="67" s="1"/>
  <c r="H293" i="67" s="1"/>
  <c r="H294" i="67" s="1"/>
  <c r="G280" i="67"/>
  <c r="G281" i="67" s="1"/>
  <c r="G282" i="67" s="1"/>
  <c r="G283" i="67" s="1"/>
  <c r="G284" i="67" s="1"/>
  <c r="G285" i="67" s="1"/>
  <c r="G286" i="67" s="1"/>
  <c r="G287" i="67" s="1"/>
  <c r="G288" i="67" s="1"/>
  <c r="G289" i="67" s="1"/>
  <c r="G290" i="67" s="1"/>
  <c r="G291" i="67" s="1"/>
  <c r="G292" i="67" s="1"/>
  <c r="G293" i="67" s="1"/>
  <c r="G294" i="67" s="1"/>
  <c r="K275" i="67"/>
  <c r="K276" i="67" s="1"/>
  <c r="K277" i="67" s="1"/>
  <c r="K278" i="67" s="1"/>
  <c r="K279" i="67" s="1"/>
  <c r="K280" i="67" s="1"/>
  <c r="K281" i="67" s="1"/>
  <c r="K282" i="67" s="1"/>
  <c r="K283" i="67" s="1"/>
  <c r="K284" i="67" s="1"/>
  <c r="K285" i="67" s="1"/>
  <c r="K286" i="67" s="1"/>
  <c r="K263" i="67"/>
  <c r="K264" i="67" s="1"/>
  <c r="K265" i="67" s="1"/>
  <c r="K266" i="67" s="1"/>
  <c r="K267" i="67" s="1"/>
  <c r="K268" i="67" s="1"/>
  <c r="K269" i="67" s="1"/>
  <c r="K270" i="67" s="1"/>
  <c r="K271" i="67" s="1"/>
  <c r="K272" i="67" s="1"/>
  <c r="K273" i="67" s="1"/>
  <c r="K274" i="67" s="1"/>
  <c r="H260" i="67"/>
  <c r="H261" i="67" s="1"/>
  <c r="H262" i="67" s="1"/>
  <c r="H263" i="67" s="1"/>
  <c r="H264" i="67" s="1"/>
  <c r="H265" i="67" s="1"/>
  <c r="H266" i="67" s="1"/>
  <c r="H267" i="67" s="1"/>
  <c r="H268" i="67" s="1"/>
  <c r="H269" i="67" s="1"/>
  <c r="H270" i="67" s="1"/>
  <c r="H271" i="67" s="1"/>
  <c r="H272" i="67" s="1"/>
  <c r="H273" i="67" s="1"/>
  <c r="H274" i="67" s="1"/>
  <c r="H275" i="67" s="1"/>
  <c r="H276" i="67" s="1"/>
  <c r="H277" i="67" s="1"/>
  <c r="H278" i="67" s="1"/>
  <c r="G260" i="67"/>
  <c r="G261" i="67" s="1"/>
  <c r="G262" i="67" s="1"/>
  <c r="G263" i="67" s="1"/>
  <c r="G264" i="67" s="1"/>
  <c r="G265" i="67" s="1"/>
  <c r="G266" i="67" s="1"/>
  <c r="G267" i="67" s="1"/>
  <c r="G268" i="67" s="1"/>
  <c r="G269" i="67" s="1"/>
  <c r="G270" i="67" s="1"/>
  <c r="G271" i="67" s="1"/>
  <c r="G272" i="67" s="1"/>
  <c r="G273" i="67" s="1"/>
  <c r="G274" i="67" s="1"/>
  <c r="G275" i="67" s="1"/>
  <c r="G276" i="67" s="1"/>
  <c r="G277" i="67" s="1"/>
  <c r="G278" i="67" s="1"/>
  <c r="K251" i="67"/>
  <c r="K252" i="67" s="1"/>
  <c r="K253" i="67" s="1"/>
  <c r="K254" i="67" s="1"/>
  <c r="K255" i="67" s="1"/>
  <c r="K256" i="67" s="1"/>
  <c r="K257" i="67" s="1"/>
  <c r="K258" i="67" s="1"/>
  <c r="K259" i="67" s="1"/>
  <c r="K260" i="67" s="1"/>
  <c r="K261" i="67" s="1"/>
  <c r="K262" i="67" s="1"/>
  <c r="H244" i="67"/>
  <c r="H245" i="67" s="1"/>
  <c r="H246" i="67" s="1"/>
  <c r="H247" i="67" s="1"/>
  <c r="H248" i="67" s="1"/>
  <c r="H249" i="67" s="1"/>
  <c r="H250" i="67" s="1"/>
  <c r="H251" i="67" s="1"/>
  <c r="H252" i="67" s="1"/>
  <c r="H253" i="67" s="1"/>
  <c r="H254" i="67" s="1"/>
  <c r="H255" i="67" s="1"/>
  <c r="H256" i="67" s="1"/>
  <c r="H257" i="67" s="1"/>
  <c r="H258" i="67" s="1"/>
  <c r="G244" i="67"/>
  <c r="G245" i="67" s="1"/>
  <c r="G246" i="67" s="1"/>
  <c r="G247" i="67" s="1"/>
  <c r="G248" i="67" s="1"/>
  <c r="G249" i="67" s="1"/>
  <c r="G250" i="67" s="1"/>
  <c r="G251" i="67" s="1"/>
  <c r="G252" i="67" s="1"/>
  <c r="G253" i="67" s="1"/>
  <c r="G254" i="67" s="1"/>
  <c r="G255" i="67" s="1"/>
  <c r="G256" i="67" s="1"/>
  <c r="G257" i="67" s="1"/>
  <c r="G258" i="67" s="1"/>
  <c r="K239" i="67"/>
  <c r="K240" i="67" s="1"/>
  <c r="K241" i="67" s="1"/>
  <c r="K242" i="67" s="1"/>
  <c r="K243" i="67" s="1"/>
  <c r="K244" i="67" s="1"/>
  <c r="K245" i="67" s="1"/>
  <c r="K246" i="67" s="1"/>
  <c r="K247" i="67" s="1"/>
  <c r="K248" i="67" s="1"/>
  <c r="K249" i="67" s="1"/>
  <c r="K250" i="67" s="1"/>
  <c r="K227" i="67"/>
  <c r="K228" i="67" s="1"/>
  <c r="K229" i="67" s="1"/>
  <c r="K230" i="67" s="1"/>
  <c r="K231" i="67" s="1"/>
  <c r="K232" i="67" s="1"/>
  <c r="K233" i="67" s="1"/>
  <c r="K234" i="67" s="1"/>
  <c r="K235" i="67" s="1"/>
  <c r="K236" i="67" s="1"/>
  <c r="K237" i="67" s="1"/>
  <c r="K238" i="67" s="1"/>
  <c r="D156" i="67"/>
  <c r="D157" i="67"/>
  <c r="D158" i="67"/>
  <c r="D159" i="67"/>
  <c r="D160" i="67"/>
  <c r="D161" i="67"/>
  <c r="D162" i="67"/>
  <c r="D163" i="67"/>
  <c r="D164" i="67"/>
  <c r="D165" i="67"/>
  <c r="D166" i="67"/>
  <c r="D167" i="67"/>
  <c r="D168" i="67"/>
  <c r="D169" i="67"/>
  <c r="D170" i="67"/>
  <c r="D171" i="67"/>
  <c r="D172" i="67"/>
  <c r="D173" i="67"/>
  <c r="D174" i="67"/>
  <c r="D175" i="67"/>
  <c r="D176" i="67"/>
  <c r="D177" i="67"/>
  <c r="D178" i="67"/>
  <c r="D179" i="67"/>
  <c r="D180" i="67"/>
  <c r="D181" i="67"/>
  <c r="D182" i="67"/>
  <c r="D183" i="67"/>
  <c r="D184" i="67"/>
  <c r="D185" i="67"/>
  <c r="D186" i="67"/>
  <c r="D187" i="67"/>
  <c r="D188" i="67"/>
  <c r="D189" i="67"/>
  <c r="D190" i="67"/>
  <c r="D191" i="67"/>
  <c r="F191" i="67" s="1"/>
  <c r="F192" i="67" s="1"/>
  <c r="F193" i="67" s="1"/>
  <c r="F194" i="67" s="1"/>
  <c r="F195" i="67" s="1"/>
  <c r="F196" i="67" s="1"/>
  <c r="F197" i="67" s="1"/>
  <c r="F198" i="67" s="1"/>
  <c r="F199" i="67" s="1"/>
  <c r="F200" i="67" s="1"/>
  <c r="F201" i="67" s="1"/>
  <c r="F202" i="67" s="1"/>
  <c r="F203" i="67" s="1"/>
  <c r="F204" i="67" s="1"/>
  <c r="F205" i="67" s="1"/>
  <c r="F206" i="67" s="1"/>
  <c r="F207" i="67" s="1"/>
  <c r="F208" i="67" s="1"/>
  <c r="F209" i="67" s="1"/>
  <c r="F210" i="67" s="1"/>
  <c r="F211" i="67" s="1"/>
  <c r="F212" i="67" s="1"/>
  <c r="F213" i="67" s="1"/>
  <c r="F214" i="67" s="1"/>
  <c r="F215" i="67" s="1"/>
  <c r="F216" i="67" s="1"/>
  <c r="F217" i="67" s="1"/>
  <c r="F218" i="67" s="1"/>
  <c r="F219" i="67" s="1"/>
  <c r="F220" i="67" s="1"/>
  <c r="F221" i="67" s="1"/>
  <c r="F222" i="67" s="1"/>
  <c r="F223" i="67" s="1"/>
  <c r="F224" i="67" s="1"/>
  <c r="F225" i="67" s="1"/>
  <c r="F226" i="67" s="1"/>
  <c r="D192" i="67"/>
  <c r="D193" i="67"/>
  <c r="D194" i="67"/>
  <c r="D195" i="67"/>
  <c r="D196" i="67"/>
  <c r="D197" i="67"/>
  <c r="D198" i="67"/>
  <c r="D199" i="67"/>
  <c r="D200" i="67"/>
  <c r="D201" i="67"/>
  <c r="D202" i="67"/>
  <c r="D203" i="67"/>
  <c r="D204" i="67"/>
  <c r="D205" i="67"/>
  <c r="D206" i="67"/>
  <c r="D207" i="67"/>
  <c r="D208" i="67"/>
  <c r="D209" i="67"/>
  <c r="D210" i="67"/>
  <c r="D211" i="67"/>
  <c r="D212" i="67"/>
  <c r="D213" i="67"/>
  <c r="D214" i="67"/>
  <c r="D215" i="67"/>
  <c r="D216" i="67"/>
  <c r="D217" i="67"/>
  <c r="D218" i="67"/>
  <c r="D219" i="67"/>
  <c r="D220" i="67"/>
  <c r="D221" i="67"/>
  <c r="D222" i="67"/>
  <c r="D223" i="67"/>
  <c r="D224" i="67"/>
  <c r="D225" i="67"/>
  <c r="D226" i="67"/>
  <c r="D155" i="67"/>
  <c r="F155" i="67" s="1"/>
  <c r="F156" i="67" s="1"/>
  <c r="F157" i="67" s="1"/>
  <c r="F158" i="67" s="1"/>
  <c r="F159" i="67" s="1"/>
  <c r="F160" i="67" s="1"/>
  <c r="F161" i="67" s="1"/>
  <c r="F162" i="67" s="1"/>
  <c r="F163" i="67" s="1"/>
  <c r="F164" i="67" s="1"/>
  <c r="F165" i="67" s="1"/>
  <c r="F166" i="67" s="1"/>
  <c r="F167" i="67" s="1"/>
  <c r="F168" i="67" s="1"/>
  <c r="F169" i="67" s="1"/>
  <c r="F170" i="67" s="1"/>
  <c r="F171" i="67" s="1"/>
  <c r="F172" i="67" s="1"/>
  <c r="F173" i="67" s="1"/>
  <c r="F174" i="67" s="1"/>
  <c r="F175" i="67" s="1"/>
  <c r="F176" i="67" s="1"/>
  <c r="F177" i="67" s="1"/>
  <c r="F178" i="67" s="1"/>
  <c r="F179" i="67" s="1"/>
  <c r="F180" i="67" s="1"/>
  <c r="F181" i="67" s="1"/>
  <c r="F182" i="67" s="1"/>
  <c r="F183" i="67" s="1"/>
  <c r="F184" i="67" s="1"/>
  <c r="F185" i="67" s="1"/>
  <c r="F186" i="67" s="1"/>
  <c r="F187" i="67" s="1"/>
  <c r="F188" i="67" s="1"/>
  <c r="F189" i="67" s="1"/>
  <c r="F190" i="67" s="1"/>
  <c r="H224" i="67"/>
  <c r="H225" i="67" s="1"/>
  <c r="H226" i="67" s="1"/>
  <c r="H227" i="67" s="1"/>
  <c r="H228" i="67" s="1"/>
  <c r="H229" i="67" s="1"/>
  <c r="H230" i="67" s="1"/>
  <c r="H231" i="67" s="1"/>
  <c r="H232" i="67" s="1"/>
  <c r="H233" i="67" s="1"/>
  <c r="H234" i="67" s="1"/>
  <c r="H235" i="67" s="1"/>
  <c r="H236" i="67" s="1"/>
  <c r="H237" i="67" s="1"/>
  <c r="H238" i="67" s="1"/>
  <c r="H239" i="67" s="1"/>
  <c r="H240" i="67" s="1"/>
  <c r="H241" i="67" s="1"/>
  <c r="H242" i="67" s="1"/>
  <c r="G224" i="67"/>
  <c r="G225" i="67" s="1"/>
  <c r="G226" i="67" s="1"/>
  <c r="G227" i="67" s="1"/>
  <c r="G228" i="67" s="1"/>
  <c r="G229" i="67" s="1"/>
  <c r="G230" i="67" s="1"/>
  <c r="G231" i="67" s="1"/>
  <c r="G232" i="67" s="1"/>
  <c r="G233" i="67" s="1"/>
  <c r="G234" i="67" s="1"/>
  <c r="G235" i="67" s="1"/>
  <c r="G236" i="67" s="1"/>
  <c r="G237" i="67" s="1"/>
  <c r="G238" i="67" s="1"/>
  <c r="G239" i="67" s="1"/>
  <c r="G240" i="67" s="1"/>
  <c r="G241" i="67" s="1"/>
  <c r="G242" i="67" s="1"/>
  <c r="K215" i="67"/>
  <c r="K216" i="67" s="1"/>
  <c r="K217" i="67" s="1"/>
  <c r="K218" i="67" s="1"/>
  <c r="K219" i="67" s="1"/>
  <c r="K220" i="67" s="1"/>
  <c r="K221" i="67" s="1"/>
  <c r="K222" i="67" s="1"/>
  <c r="K223" i="67" s="1"/>
  <c r="K224" i="67" s="1"/>
  <c r="K225" i="67" s="1"/>
  <c r="K226" i="67" s="1"/>
  <c r="H208" i="67"/>
  <c r="H209" i="67" s="1"/>
  <c r="H210" i="67" s="1"/>
  <c r="H211" i="67" s="1"/>
  <c r="H212" i="67" s="1"/>
  <c r="H213" i="67" s="1"/>
  <c r="H214" i="67" s="1"/>
  <c r="H215" i="67" s="1"/>
  <c r="H216" i="67" s="1"/>
  <c r="H217" i="67" s="1"/>
  <c r="H218" i="67" s="1"/>
  <c r="H219" i="67" s="1"/>
  <c r="H220" i="67" s="1"/>
  <c r="H221" i="67" s="1"/>
  <c r="H222" i="67" s="1"/>
  <c r="G208" i="67"/>
  <c r="G209" i="67" s="1"/>
  <c r="G210" i="67" s="1"/>
  <c r="G211" i="67" s="1"/>
  <c r="G212" i="67" s="1"/>
  <c r="G213" i="67" s="1"/>
  <c r="G214" i="67" s="1"/>
  <c r="G215" i="67" s="1"/>
  <c r="G216" i="67" s="1"/>
  <c r="G217" i="67" s="1"/>
  <c r="G218" i="67" s="1"/>
  <c r="G219" i="67" s="1"/>
  <c r="G220" i="67" s="1"/>
  <c r="G221" i="67" s="1"/>
  <c r="G222" i="67" s="1"/>
  <c r="K203" i="67"/>
  <c r="K204" i="67" s="1"/>
  <c r="K205" i="67" s="1"/>
  <c r="K206" i="67" s="1"/>
  <c r="K207" i="67" s="1"/>
  <c r="K208" i="67" s="1"/>
  <c r="K209" i="67" s="1"/>
  <c r="K210" i="67" s="1"/>
  <c r="K211" i="67" s="1"/>
  <c r="K212" i="67" s="1"/>
  <c r="K213" i="67" s="1"/>
  <c r="K214" i="67" s="1"/>
  <c r="K191" i="67"/>
  <c r="K192" i="67" s="1"/>
  <c r="K193" i="67" s="1"/>
  <c r="K194" i="67" s="1"/>
  <c r="K195" i="67" s="1"/>
  <c r="K196" i="67" s="1"/>
  <c r="K197" i="67" s="1"/>
  <c r="K198" i="67" s="1"/>
  <c r="K199" i="67" s="1"/>
  <c r="K200" i="67" s="1"/>
  <c r="K201" i="67" s="1"/>
  <c r="K202" i="67" s="1"/>
  <c r="H188" i="67"/>
  <c r="H189" i="67" s="1"/>
  <c r="H190" i="67" s="1"/>
  <c r="H191" i="67" s="1"/>
  <c r="H192" i="67" s="1"/>
  <c r="H193" i="67" s="1"/>
  <c r="H194" i="67" s="1"/>
  <c r="H195" i="67" s="1"/>
  <c r="H196" i="67" s="1"/>
  <c r="H197" i="67" s="1"/>
  <c r="H198" i="67" s="1"/>
  <c r="H199" i="67" s="1"/>
  <c r="H200" i="67" s="1"/>
  <c r="H201" i="67" s="1"/>
  <c r="H202" i="67" s="1"/>
  <c r="H203" i="67" s="1"/>
  <c r="H204" i="67" s="1"/>
  <c r="H205" i="67" s="1"/>
  <c r="H206" i="67" s="1"/>
  <c r="G188" i="67"/>
  <c r="G189" i="67" s="1"/>
  <c r="G190" i="67" s="1"/>
  <c r="G191" i="67" s="1"/>
  <c r="G192" i="67" s="1"/>
  <c r="G193" i="67" s="1"/>
  <c r="G194" i="67" s="1"/>
  <c r="G195" i="67" s="1"/>
  <c r="G196" i="67" s="1"/>
  <c r="G197" i="67" s="1"/>
  <c r="G198" i="67" s="1"/>
  <c r="G199" i="67" s="1"/>
  <c r="G200" i="67" s="1"/>
  <c r="G201" i="67" s="1"/>
  <c r="G202" i="67" s="1"/>
  <c r="G203" i="67" s="1"/>
  <c r="G204" i="67" s="1"/>
  <c r="G205" i="67" s="1"/>
  <c r="G206" i="67" s="1"/>
  <c r="K179" i="67"/>
  <c r="K180" i="67" s="1"/>
  <c r="K181" i="67" s="1"/>
  <c r="K182" i="67" s="1"/>
  <c r="K183" i="67" s="1"/>
  <c r="K184" i="67" s="1"/>
  <c r="K185" i="67" s="1"/>
  <c r="K186" i="67" s="1"/>
  <c r="K187" i="67" s="1"/>
  <c r="K188" i="67" s="1"/>
  <c r="K189" i="67" s="1"/>
  <c r="K190" i="67" s="1"/>
  <c r="H172" i="67"/>
  <c r="H173" i="67" s="1"/>
  <c r="H174" i="67" s="1"/>
  <c r="H175" i="67" s="1"/>
  <c r="H176" i="67" s="1"/>
  <c r="H177" i="67" s="1"/>
  <c r="H178" i="67" s="1"/>
  <c r="H179" i="67" s="1"/>
  <c r="H180" i="67" s="1"/>
  <c r="H181" i="67" s="1"/>
  <c r="H182" i="67" s="1"/>
  <c r="H183" i="67" s="1"/>
  <c r="H184" i="67" s="1"/>
  <c r="H185" i="67" s="1"/>
  <c r="H186" i="67" s="1"/>
  <c r="G172" i="67"/>
  <c r="G173" i="67" s="1"/>
  <c r="G174" i="67" s="1"/>
  <c r="G175" i="67" s="1"/>
  <c r="G176" i="67" s="1"/>
  <c r="G177" i="67" s="1"/>
  <c r="G178" i="67" s="1"/>
  <c r="G179" i="67" s="1"/>
  <c r="G180" i="67" s="1"/>
  <c r="G181" i="67" s="1"/>
  <c r="G182" i="67" s="1"/>
  <c r="G183" i="67" s="1"/>
  <c r="G184" i="67" s="1"/>
  <c r="G185" i="67" s="1"/>
  <c r="G186" i="67" s="1"/>
  <c r="K167" i="67"/>
  <c r="K168" i="67" s="1"/>
  <c r="K169" i="67" s="1"/>
  <c r="K170" i="67" s="1"/>
  <c r="K171" i="67" s="1"/>
  <c r="K172" i="67" s="1"/>
  <c r="K173" i="67" s="1"/>
  <c r="K174" i="67" s="1"/>
  <c r="K175" i="67" s="1"/>
  <c r="K176" i="67" s="1"/>
  <c r="K177" i="67" s="1"/>
  <c r="K178" i="67" s="1"/>
  <c r="K155" i="67"/>
  <c r="K156" i="67" s="1"/>
  <c r="K157" i="67" s="1"/>
  <c r="K158" i="67" s="1"/>
  <c r="K159" i="67" s="1"/>
  <c r="K160" i="67" s="1"/>
  <c r="K161" i="67" s="1"/>
  <c r="K162" i="67" s="1"/>
  <c r="K163" i="67" s="1"/>
  <c r="K164" i="67" s="1"/>
  <c r="K165" i="67" s="1"/>
  <c r="K166" i="67" s="1"/>
  <c r="G155" i="67"/>
  <c r="G156" i="67" s="1"/>
  <c r="G157" i="67" s="1"/>
  <c r="G158" i="67" s="1"/>
  <c r="G159" i="67" s="1"/>
  <c r="G160" i="67" s="1"/>
  <c r="G161" i="67" s="1"/>
  <c r="G162" i="67" s="1"/>
  <c r="G163" i="67" s="1"/>
  <c r="G164" i="67" s="1"/>
  <c r="G165" i="67" s="1"/>
  <c r="G166" i="67" s="1"/>
  <c r="G167" i="67" s="1"/>
  <c r="G168" i="67" s="1"/>
  <c r="G169" i="67" s="1"/>
  <c r="G170" i="67" s="1"/>
  <c r="H152" i="67"/>
  <c r="H153" i="67" s="1"/>
  <c r="H154" i="67" s="1"/>
  <c r="H155" i="67" s="1"/>
  <c r="H156" i="67" s="1"/>
  <c r="H157" i="67" s="1"/>
  <c r="H158" i="67" s="1"/>
  <c r="H159" i="67" s="1"/>
  <c r="H160" i="67" s="1"/>
  <c r="H161" i="67" s="1"/>
  <c r="H162" i="67" s="1"/>
  <c r="H163" i="67" s="1"/>
  <c r="H164" i="67" s="1"/>
  <c r="H165" i="67" s="1"/>
  <c r="H166" i="67" s="1"/>
  <c r="H167" i="67" s="1"/>
  <c r="H168" i="67" s="1"/>
  <c r="H169" i="67" s="1"/>
  <c r="H170" i="67" s="1"/>
  <c r="G152" i="67"/>
  <c r="G153" i="67" s="1"/>
  <c r="G154" i="67" s="1"/>
  <c r="K143" i="67"/>
  <c r="K144" i="67" s="1"/>
  <c r="K145" i="67" s="1"/>
  <c r="K146" i="67" s="1"/>
  <c r="K147" i="67" s="1"/>
  <c r="K148" i="67" s="1"/>
  <c r="K149" i="67" s="1"/>
  <c r="K150" i="67" s="1"/>
  <c r="K151" i="67" s="1"/>
  <c r="K152" i="67" s="1"/>
  <c r="K153" i="67" s="1"/>
  <c r="K154" i="67" s="1"/>
  <c r="H136" i="67"/>
  <c r="H137" i="67" s="1"/>
  <c r="H138" i="67" s="1"/>
  <c r="H139" i="67" s="1"/>
  <c r="H140" i="67" s="1"/>
  <c r="H141" i="67" s="1"/>
  <c r="H142" i="67" s="1"/>
  <c r="H143" i="67" s="1"/>
  <c r="H144" i="67" s="1"/>
  <c r="H145" i="67" s="1"/>
  <c r="H146" i="67" s="1"/>
  <c r="H147" i="67" s="1"/>
  <c r="H148" i="67" s="1"/>
  <c r="H149" i="67" s="1"/>
  <c r="H150" i="67" s="1"/>
  <c r="G136" i="67"/>
  <c r="G137" i="67" s="1"/>
  <c r="G138" i="67" s="1"/>
  <c r="G139" i="67" s="1"/>
  <c r="G140" i="67" s="1"/>
  <c r="G141" i="67" s="1"/>
  <c r="G142" i="67" s="1"/>
  <c r="G143" i="67" s="1"/>
  <c r="G144" i="67" s="1"/>
  <c r="G145" i="67" s="1"/>
  <c r="G146" i="67" s="1"/>
  <c r="G147" i="67" s="1"/>
  <c r="G148" i="67" s="1"/>
  <c r="G149" i="67" s="1"/>
  <c r="G150" i="67" s="1"/>
  <c r="K131" i="67"/>
  <c r="K132" i="67" s="1"/>
  <c r="K133" i="67" s="1"/>
  <c r="K134" i="67" s="1"/>
  <c r="K135" i="67" s="1"/>
  <c r="K136" i="67" s="1"/>
  <c r="K137" i="67" s="1"/>
  <c r="K138" i="67" s="1"/>
  <c r="K139" i="67" s="1"/>
  <c r="K140" i="67" s="1"/>
  <c r="K141" i="67" s="1"/>
  <c r="K142" i="67" s="1"/>
  <c r="K119" i="67"/>
  <c r="K120" i="67" s="1"/>
  <c r="K121" i="67" s="1"/>
  <c r="K122" i="67" s="1"/>
  <c r="K123" i="67" s="1"/>
  <c r="K124" i="67" s="1"/>
  <c r="K125" i="67" s="1"/>
  <c r="K126" i="67" s="1"/>
  <c r="K127" i="67" s="1"/>
  <c r="K128" i="67" s="1"/>
  <c r="K129" i="67" s="1"/>
  <c r="K130" i="67" s="1"/>
  <c r="H119" i="67"/>
  <c r="H120" i="67" s="1"/>
  <c r="H121" i="67" s="1"/>
  <c r="H122" i="67" s="1"/>
  <c r="H123" i="67" s="1"/>
  <c r="H124" i="67" s="1"/>
  <c r="H125" i="67" s="1"/>
  <c r="H126" i="67" s="1"/>
  <c r="H127" i="67" s="1"/>
  <c r="H128" i="67" s="1"/>
  <c r="H129" i="67" s="1"/>
  <c r="H130" i="67" s="1"/>
  <c r="H131" i="67" s="1"/>
  <c r="H132" i="67" s="1"/>
  <c r="H133" i="67" s="1"/>
  <c r="H134" i="67" s="1"/>
  <c r="H116" i="67"/>
  <c r="H117" i="67" s="1"/>
  <c r="H118" i="67" s="1"/>
  <c r="G116" i="67"/>
  <c r="G117" i="67" s="1"/>
  <c r="G118" i="67" s="1"/>
  <c r="G119" i="67" s="1"/>
  <c r="G120" i="67" s="1"/>
  <c r="G121" i="67" s="1"/>
  <c r="G122" i="67" s="1"/>
  <c r="G123" i="67" s="1"/>
  <c r="G124" i="67" s="1"/>
  <c r="G125" i="67" s="1"/>
  <c r="G126" i="67" s="1"/>
  <c r="G127" i="67" s="1"/>
  <c r="G128" i="67" s="1"/>
  <c r="G129" i="67" s="1"/>
  <c r="G130" i="67" s="1"/>
  <c r="G131" i="67" s="1"/>
  <c r="G132" i="67" s="1"/>
  <c r="G133" i="67" s="1"/>
  <c r="G134" i="67" s="1"/>
  <c r="K107" i="67"/>
  <c r="K108" i="67" s="1"/>
  <c r="K109" i="67" s="1"/>
  <c r="K110" i="67" s="1"/>
  <c r="K111" i="67" s="1"/>
  <c r="K112" i="67" s="1"/>
  <c r="K113" i="67" s="1"/>
  <c r="K114" i="67" s="1"/>
  <c r="K115" i="67" s="1"/>
  <c r="K116" i="67" s="1"/>
  <c r="K117" i="67" s="1"/>
  <c r="K118" i="67" s="1"/>
  <c r="H100" i="67"/>
  <c r="H101" i="67" s="1"/>
  <c r="H102" i="67" s="1"/>
  <c r="H103" i="67" s="1"/>
  <c r="H104" i="67" s="1"/>
  <c r="H105" i="67" s="1"/>
  <c r="H106" i="67" s="1"/>
  <c r="H107" i="67" s="1"/>
  <c r="H108" i="67" s="1"/>
  <c r="H109" i="67" s="1"/>
  <c r="H110" i="67" s="1"/>
  <c r="H111" i="67" s="1"/>
  <c r="H112" i="67" s="1"/>
  <c r="H113" i="67" s="1"/>
  <c r="H114" i="67" s="1"/>
  <c r="G100" i="67"/>
  <c r="G101" i="67" s="1"/>
  <c r="G102" i="67" s="1"/>
  <c r="G103" i="67" s="1"/>
  <c r="G104" i="67" s="1"/>
  <c r="G105" i="67" s="1"/>
  <c r="G106" i="67" s="1"/>
  <c r="G107" i="67" s="1"/>
  <c r="G108" i="67" s="1"/>
  <c r="G109" i="67" s="1"/>
  <c r="G110" i="67" s="1"/>
  <c r="G111" i="67" s="1"/>
  <c r="G112" i="67" s="1"/>
  <c r="G113" i="67" s="1"/>
  <c r="G114" i="67" s="1"/>
  <c r="K95" i="67"/>
  <c r="K96" i="67" s="1"/>
  <c r="K97" i="67" s="1"/>
  <c r="K98" i="67" s="1"/>
  <c r="K99" i="67" s="1"/>
  <c r="K100" i="67" s="1"/>
  <c r="K101" i="67" s="1"/>
  <c r="K102" i="67" s="1"/>
  <c r="K103" i="67" s="1"/>
  <c r="K104" i="67" s="1"/>
  <c r="K105" i="67" s="1"/>
  <c r="K106" i="67" s="1"/>
  <c r="K83" i="67"/>
  <c r="K84" i="67" s="1"/>
  <c r="K85" i="67" s="1"/>
  <c r="K86" i="67" s="1"/>
  <c r="K87" i="67" s="1"/>
  <c r="K88" i="67" s="1"/>
  <c r="K89" i="67" s="1"/>
  <c r="K90" i="67" s="1"/>
  <c r="K91" i="67" s="1"/>
  <c r="K92" i="67" s="1"/>
  <c r="K93" i="67" s="1"/>
  <c r="K94" i="67" s="1"/>
  <c r="D82" i="67"/>
  <c r="D81" i="67"/>
  <c r="H80" i="67"/>
  <c r="H81" i="67" s="1"/>
  <c r="H82" i="67" s="1"/>
  <c r="H83" i="67" s="1"/>
  <c r="H84" i="67" s="1"/>
  <c r="H85" i="67" s="1"/>
  <c r="H86" i="67" s="1"/>
  <c r="H87" i="67" s="1"/>
  <c r="H88" i="67" s="1"/>
  <c r="H89" i="67" s="1"/>
  <c r="H90" i="67" s="1"/>
  <c r="H91" i="67" s="1"/>
  <c r="H92" i="67" s="1"/>
  <c r="H93" i="67" s="1"/>
  <c r="H94" i="67" s="1"/>
  <c r="H95" i="67" s="1"/>
  <c r="H96" i="67" s="1"/>
  <c r="H97" i="67" s="1"/>
  <c r="H98" i="67" s="1"/>
  <c r="G80" i="67"/>
  <c r="G81" i="67" s="1"/>
  <c r="G82" i="67" s="1"/>
  <c r="G83" i="67" s="1"/>
  <c r="G84" i="67" s="1"/>
  <c r="G85" i="67" s="1"/>
  <c r="G86" i="67" s="1"/>
  <c r="G87" i="67" s="1"/>
  <c r="G88" i="67" s="1"/>
  <c r="G89" i="67" s="1"/>
  <c r="G90" i="67" s="1"/>
  <c r="G91" i="67" s="1"/>
  <c r="G92" i="67" s="1"/>
  <c r="G93" i="67" s="1"/>
  <c r="G94" i="67" s="1"/>
  <c r="G95" i="67" s="1"/>
  <c r="G96" i="67" s="1"/>
  <c r="G97" i="67" s="1"/>
  <c r="G98" i="67" s="1"/>
  <c r="D80" i="67"/>
  <c r="D79" i="67"/>
  <c r="D78" i="67"/>
  <c r="D77" i="67"/>
  <c r="D76" i="67"/>
  <c r="D75" i="67"/>
  <c r="D74" i="67"/>
  <c r="D73" i="67"/>
  <c r="D72" i="67"/>
  <c r="K71" i="67"/>
  <c r="K72" i="67" s="1"/>
  <c r="K73" i="67" s="1"/>
  <c r="K74" i="67" s="1"/>
  <c r="K75" i="67" s="1"/>
  <c r="K76" i="67" s="1"/>
  <c r="K77" i="67" s="1"/>
  <c r="K78" i="67" s="1"/>
  <c r="K79" i="67" s="1"/>
  <c r="K80" i="67" s="1"/>
  <c r="K81" i="67" s="1"/>
  <c r="K82" i="67" s="1"/>
  <c r="D71" i="67"/>
  <c r="D70" i="67"/>
  <c r="D69" i="67"/>
  <c r="D68" i="67"/>
  <c r="D67" i="67"/>
  <c r="D66" i="67"/>
  <c r="D65" i="67"/>
  <c r="H64" i="67"/>
  <c r="H65" i="67" s="1"/>
  <c r="H66" i="67" s="1"/>
  <c r="H67" i="67" s="1"/>
  <c r="H68" i="67" s="1"/>
  <c r="H69" i="67" s="1"/>
  <c r="H70" i="67" s="1"/>
  <c r="H71" i="67" s="1"/>
  <c r="H72" i="67" s="1"/>
  <c r="H73" i="67" s="1"/>
  <c r="H74" i="67" s="1"/>
  <c r="H75" i="67" s="1"/>
  <c r="H76" i="67" s="1"/>
  <c r="H77" i="67" s="1"/>
  <c r="H78" i="67" s="1"/>
  <c r="G64" i="67"/>
  <c r="G65" i="67" s="1"/>
  <c r="G66" i="67" s="1"/>
  <c r="G67" i="67" s="1"/>
  <c r="G68" i="67" s="1"/>
  <c r="G69" i="67" s="1"/>
  <c r="G70" i="67" s="1"/>
  <c r="G71" i="67" s="1"/>
  <c r="G72" i="67" s="1"/>
  <c r="G73" i="67" s="1"/>
  <c r="G74" i="67" s="1"/>
  <c r="G75" i="67" s="1"/>
  <c r="G76" i="67" s="1"/>
  <c r="G77" i="67" s="1"/>
  <c r="G78" i="67" s="1"/>
  <c r="D64" i="67"/>
  <c r="D63" i="67"/>
  <c r="D62" i="67"/>
  <c r="D61" i="67"/>
  <c r="D60" i="67"/>
  <c r="K59" i="67"/>
  <c r="K60" i="67" s="1"/>
  <c r="K61" i="67" s="1"/>
  <c r="K62" i="67" s="1"/>
  <c r="K63" i="67" s="1"/>
  <c r="K64" i="67" s="1"/>
  <c r="K65" i="67" s="1"/>
  <c r="K66" i="67" s="1"/>
  <c r="K67" i="67" s="1"/>
  <c r="K68" i="67" s="1"/>
  <c r="K69" i="67" s="1"/>
  <c r="K70" i="67" s="1"/>
  <c r="D59" i="67"/>
  <c r="D58" i="67"/>
  <c r="D57" i="67"/>
  <c r="D56" i="67"/>
  <c r="D55" i="67"/>
  <c r="D54" i="67"/>
  <c r="D53" i="67"/>
  <c r="D52" i="67"/>
  <c r="D51" i="67"/>
  <c r="D50" i="67"/>
  <c r="D49" i="67"/>
  <c r="D48" i="67"/>
  <c r="K47" i="67"/>
  <c r="K48" i="67" s="1"/>
  <c r="K49" i="67" s="1"/>
  <c r="K50" i="67" s="1"/>
  <c r="K51" i="67" s="1"/>
  <c r="K52" i="67" s="1"/>
  <c r="K53" i="67" s="1"/>
  <c r="K54" i="67" s="1"/>
  <c r="K55" i="67" s="1"/>
  <c r="K56" i="67" s="1"/>
  <c r="K57" i="67" s="1"/>
  <c r="K58" i="67" s="1"/>
  <c r="D47" i="67"/>
  <c r="D13" i="67"/>
  <c r="D14" i="67"/>
  <c r="D15" i="67"/>
  <c r="D16" i="67"/>
  <c r="D17" i="67"/>
  <c r="D18" i="67"/>
  <c r="D19" i="67"/>
  <c r="D20" i="67"/>
  <c r="D21" i="67"/>
  <c r="D22" i="67"/>
  <c r="D23" i="67"/>
  <c r="D24" i="67"/>
  <c r="D25" i="67"/>
  <c r="D26" i="67"/>
  <c r="D27" i="67"/>
  <c r="D28" i="67"/>
  <c r="D29" i="67"/>
  <c r="D30" i="67"/>
  <c r="D31" i="67"/>
  <c r="D32" i="67"/>
  <c r="D33" i="67"/>
  <c r="D34" i="67"/>
  <c r="D35" i="67"/>
  <c r="D36" i="67"/>
  <c r="D37" i="67"/>
  <c r="D38" i="67"/>
  <c r="D39" i="67"/>
  <c r="D40" i="67"/>
  <c r="D41" i="67"/>
  <c r="D42" i="67"/>
  <c r="D43" i="67"/>
  <c r="D44" i="67"/>
  <c r="D45" i="67"/>
  <c r="D46" i="67"/>
  <c r="D12" i="67"/>
  <c r="D11" i="67"/>
  <c r="F11" i="67" s="1"/>
  <c r="F12" i="67" s="1"/>
  <c r="F13" i="67" s="1"/>
  <c r="F14" i="67" s="1"/>
  <c r="F15" i="67" s="1"/>
  <c r="F16" i="67" s="1"/>
  <c r="F17" i="67" s="1"/>
  <c r="F18" i="67" s="1"/>
  <c r="F19" i="67" s="1"/>
  <c r="F20" i="67" s="1"/>
  <c r="F21" i="67" s="1"/>
  <c r="F22" i="67" s="1"/>
  <c r="F23" i="67" s="1"/>
  <c r="F24" i="67" s="1"/>
  <c r="F25" i="67" s="1"/>
  <c r="F26" i="67" s="1"/>
  <c r="F27" i="67" s="1"/>
  <c r="F28" i="67" s="1"/>
  <c r="F29" i="67" s="1"/>
  <c r="F30" i="67" s="1"/>
  <c r="F31" i="67" s="1"/>
  <c r="F32" i="67" s="1"/>
  <c r="F33" i="67" s="1"/>
  <c r="F34" i="67" s="1"/>
  <c r="F35" i="67" s="1"/>
  <c r="F36" i="67" s="1"/>
  <c r="F37" i="67" s="1"/>
  <c r="F38" i="67" s="1"/>
  <c r="F39" i="67" s="1"/>
  <c r="F40" i="67" s="1"/>
  <c r="F41" i="67" s="1"/>
  <c r="F42" i="67" s="1"/>
  <c r="F43" i="67" s="1"/>
  <c r="F44" i="67" s="1"/>
  <c r="F45" i="67" s="1"/>
  <c r="F46" i="67" s="1"/>
  <c r="K35" i="67"/>
  <c r="K36" i="67" s="1"/>
  <c r="K37" i="67" s="1"/>
  <c r="K38" i="67" s="1"/>
  <c r="K39" i="67" s="1"/>
  <c r="K40" i="67" s="1"/>
  <c r="K41" i="67" s="1"/>
  <c r="K42" i="67" s="1"/>
  <c r="K43" i="67" s="1"/>
  <c r="K44" i="67" s="1"/>
  <c r="K45" i="67" s="1"/>
  <c r="K46" i="67" s="1"/>
  <c r="K23" i="67"/>
  <c r="K24" i="67" s="1"/>
  <c r="K25" i="67" s="1"/>
  <c r="K26" i="67" s="1"/>
  <c r="K27" i="67" s="1"/>
  <c r="K28" i="67" s="1"/>
  <c r="K29" i="67" s="1"/>
  <c r="K30" i="67" s="1"/>
  <c r="K31" i="67" s="1"/>
  <c r="K32" i="67" s="1"/>
  <c r="K33" i="67" s="1"/>
  <c r="K34" i="67" s="1"/>
  <c r="G45" i="67"/>
  <c r="G46" i="67" s="1"/>
  <c r="G47" i="67" s="1"/>
  <c r="G48" i="67" s="1"/>
  <c r="G49" i="67" s="1"/>
  <c r="G50" i="67" s="1"/>
  <c r="G51" i="67" s="1"/>
  <c r="G52" i="67" s="1"/>
  <c r="G53" i="67" s="1"/>
  <c r="G54" i="67" s="1"/>
  <c r="G55" i="67" s="1"/>
  <c r="G56" i="67" s="1"/>
  <c r="G57" i="67" s="1"/>
  <c r="G58" i="67" s="1"/>
  <c r="G59" i="67" s="1"/>
  <c r="G60" i="67" s="1"/>
  <c r="G61" i="67" s="1"/>
  <c r="G62" i="67" s="1"/>
  <c r="H44" i="67"/>
  <c r="H45" i="67" s="1"/>
  <c r="H46" i="67" s="1"/>
  <c r="H47" i="67" s="1"/>
  <c r="H48" i="67" s="1"/>
  <c r="H49" i="67" s="1"/>
  <c r="H50" i="67" s="1"/>
  <c r="H51" i="67" s="1"/>
  <c r="H52" i="67" s="1"/>
  <c r="H53" i="67" s="1"/>
  <c r="H54" i="67" s="1"/>
  <c r="H55" i="67" s="1"/>
  <c r="H56" i="67" s="1"/>
  <c r="H57" i="67" s="1"/>
  <c r="H58" i="67" s="1"/>
  <c r="H59" i="67" s="1"/>
  <c r="H60" i="67" s="1"/>
  <c r="H61" i="67" s="1"/>
  <c r="H62" i="67" s="1"/>
  <c r="G44" i="67"/>
  <c r="H28" i="67"/>
  <c r="H29" i="67" s="1"/>
  <c r="H30" i="67" s="1"/>
  <c r="H31" i="67" s="1"/>
  <c r="H32" i="67" s="1"/>
  <c r="H33" i="67" s="1"/>
  <c r="H34" i="67" s="1"/>
  <c r="H35" i="67" s="1"/>
  <c r="H36" i="67" s="1"/>
  <c r="H37" i="67" s="1"/>
  <c r="H38" i="67" s="1"/>
  <c r="H39" i="67" s="1"/>
  <c r="H40" i="67" s="1"/>
  <c r="H41" i="67" s="1"/>
  <c r="H42" i="67" s="1"/>
  <c r="G28" i="67"/>
  <c r="G29" i="67" s="1"/>
  <c r="G30" i="67" s="1"/>
  <c r="G31" i="67" s="1"/>
  <c r="G32" i="67" s="1"/>
  <c r="G33" i="67" s="1"/>
  <c r="G34" i="67" s="1"/>
  <c r="G35" i="67" s="1"/>
  <c r="G36" i="67" s="1"/>
  <c r="G37" i="67" s="1"/>
  <c r="G38" i="67" s="1"/>
  <c r="G39" i="67" s="1"/>
  <c r="G40" i="67" s="1"/>
  <c r="G41" i="67" s="1"/>
  <c r="G42" i="67" s="1"/>
  <c r="G12" i="67"/>
  <c r="G13" i="67" s="1"/>
  <c r="G14" i="67" s="1"/>
  <c r="G15" i="67" s="1"/>
  <c r="G16" i="67" s="1"/>
  <c r="G17" i="67" s="1"/>
  <c r="G18" i="67" s="1"/>
  <c r="G19" i="67" s="1"/>
  <c r="G20" i="67" s="1"/>
  <c r="G21" i="67" s="1"/>
  <c r="G22" i="67" s="1"/>
  <c r="G23" i="67" s="1"/>
  <c r="G24" i="67" s="1"/>
  <c r="G25" i="67" s="1"/>
  <c r="G26" i="67" s="1"/>
  <c r="B12" i="67"/>
  <c r="B13" i="67" s="1"/>
  <c r="B14" i="67" s="1"/>
  <c r="B15" i="67" s="1"/>
  <c r="B16" i="67" s="1"/>
  <c r="B17" i="67" s="1"/>
  <c r="B18" i="67" s="1"/>
  <c r="B19" i="67" s="1"/>
  <c r="B20" i="67" s="1"/>
  <c r="B21" i="67" s="1"/>
  <c r="B22" i="67" s="1"/>
  <c r="B23" i="67" s="1"/>
  <c r="B24" i="67" s="1"/>
  <c r="B25" i="67" s="1"/>
  <c r="B26" i="67" s="1"/>
  <c r="B27" i="67" s="1"/>
  <c r="B28" i="67" s="1"/>
  <c r="B29" i="67" s="1"/>
  <c r="B30" i="67" s="1"/>
  <c r="B31" i="67" s="1"/>
  <c r="B32" i="67" s="1"/>
  <c r="B33" i="67" s="1"/>
  <c r="B34" i="67" s="1"/>
  <c r="B35" i="67" s="1"/>
  <c r="B36" i="67" s="1"/>
  <c r="B37" i="67" s="1"/>
  <c r="B38" i="67" s="1"/>
  <c r="B39" i="67" s="1"/>
  <c r="B40" i="67" s="1"/>
  <c r="B41" i="67" s="1"/>
  <c r="B42" i="67" s="1"/>
  <c r="B43" i="67" s="1"/>
  <c r="B44" i="67" s="1"/>
  <c r="B45" i="67" s="1"/>
  <c r="B46" i="67" s="1"/>
  <c r="B47" i="67" s="1"/>
  <c r="B48" i="67" s="1"/>
  <c r="B49" i="67" s="1"/>
  <c r="B50" i="67" s="1"/>
  <c r="B51" i="67" s="1"/>
  <c r="B52" i="67" s="1"/>
  <c r="B53" i="67" s="1"/>
  <c r="B54" i="67" s="1"/>
  <c r="B55" i="67" s="1"/>
  <c r="B56" i="67" s="1"/>
  <c r="B57" i="67" s="1"/>
  <c r="B58" i="67" s="1"/>
  <c r="B59" i="67" s="1"/>
  <c r="B60" i="67" s="1"/>
  <c r="B61" i="67" s="1"/>
  <c r="B62" i="67" s="1"/>
  <c r="B63" i="67" s="1"/>
  <c r="B64" i="67" s="1"/>
  <c r="B65" i="67" s="1"/>
  <c r="B66" i="67" s="1"/>
  <c r="B67" i="67" s="1"/>
  <c r="B68" i="67" s="1"/>
  <c r="B69" i="67" s="1"/>
  <c r="B70" i="67" s="1"/>
  <c r="B71" i="67" s="1"/>
  <c r="B72" i="67" s="1"/>
  <c r="B73" i="67" s="1"/>
  <c r="B74" i="67" s="1"/>
  <c r="B75" i="67" s="1"/>
  <c r="B76" i="67" s="1"/>
  <c r="B77" i="67" s="1"/>
  <c r="B78" i="67" s="1"/>
  <c r="B79" i="67" s="1"/>
  <c r="B80" i="67" s="1"/>
  <c r="B81" i="67" s="1"/>
  <c r="B82" i="67" s="1"/>
  <c r="B83" i="67" s="1"/>
  <c r="B84" i="67" s="1"/>
  <c r="B85" i="67" s="1"/>
  <c r="B86" i="67" s="1"/>
  <c r="B87" i="67" s="1"/>
  <c r="B88" i="67" s="1"/>
  <c r="B89" i="67" s="1"/>
  <c r="B90" i="67" s="1"/>
  <c r="B91" i="67" s="1"/>
  <c r="B92" i="67" s="1"/>
  <c r="B93" i="67" s="1"/>
  <c r="B94" i="67" s="1"/>
  <c r="B95" i="67" s="1"/>
  <c r="B96" i="67" s="1"/>
  <c r="B97" i="67" s="1"/>
  <c r="B98" i="67" s="1"/>
  <c r="B99" i="67" s="1"/>
  <c r="B100" i="67" s="1"/>
  <c r="B101" i="67" s="1"/>
  <c r="B102" i="67" s="1"/>
  <c r="B103" i="67" s="1"/>
  <c r="B104" i="67" s="1"/>
  <c r="B105" i="67" s="1"/>
  <c r="B106" i="67" s="1"/>
  <c r="B107" i="67" s="1"/>
  <c r="B108" i="67" s="1"/>
  <c r="B109" i="67" s="1"/>
  <c r="B110" i="67" s="1"/>
  <c r="B111" i="67" s="1"/>
  <c r="B112" i="67" s="1"/>
  <c r="B113" i="67" s="1"/>
  <c r="B114" i="67" s="1"/>
  <c r="B115" i="67" s="1"/>
  <c r="B116" i="67" s="1"/>
  <c r="B117" i="67" s="1"/>
  <c r="B118" i="67" s="1"/>
  <c r="B119" i="67" s="1"/>
  <c r="B120" i="67" s="1"/>
  <c r="B121" i="67" s="1"/>
  <c r="B122" i="67" s="1"/>
  <c r="B123" i="67" s="1"/>
  <c r="B124" i="67" s="1"/>
  <c r="B125" i="67" s="1"/>
  <c r="B126" i="67" s="1"/>
  <c r="B127" i="67" s="1"/>
  <c r="B128" i="67" s="1"/>
  <c r="B129" i="67" s="1"/>
  <c r="B130" i="67" s="1"/>
  <c r="B131" i="67" s="1"/>
  <c r="B132" i="67" s="1"/>
  <c r="B133" i="67" s="1"/>
  <c r="B134" i="67" s="1"/>
  <c r="B135" i="67" s="1"/>
  <c r="B136" i="67" s="1"/>
  <c r="B137" i="67" s="1"/>
  <c r="B138" i="67" s="1"/>
  <c r="B139" i="67" s="1"/>
  <c r="B140" i="67" s="1"/>
  <c r="B141" i="67" s="1"/>
  <c r="B142" i="67" s="1"/>
  <c r="B143" i="67" s="1"/>
  <c r="B144" i="67" s="1"/>
  <c r="B145" i="67" s="1"/>
  <c r="B146" i="67" s="1"/>
  <c r="B147" i="67" s="1"/>
  <c r="B148" i="67" s="1"/>
  <c r="B149" i="67" s="1"/>
  <c r="B150" i="67" s="1"/>
  <c r="B151" i="67" s="1"/>
  <c r="B152" i="67" s="1"/>
  <c r="B153" i="67" s="1"/>
  <c r="B154" i="67" s="1"/>
  <c r="B155" i="67" s="1"/>
  <c r="B156" i="67" s="1"/>
  <c r="B157" i="67" s="1"/>
  <c r="B158" i="67" s="1"/>
  <c r="B159" i="67" s="1"/>
  <c r="B160" i="67" s="1"/>
  <c r="B161" i="67" s="1"/>
  <c r="B162" i="67" s="1"/>
  <c r="B163" i="67" s="1"/>
  <c r="B164" i="67" s="1"/>
  <c r="B165" i="67" s="1"/>
  <c r="B166" i="67" s="1"/>
  <c r="B167" i="67" s="1"/>
  <c r="B168" i="67" s="1"/>
  <c r="B169" i="67" s="1"/>
  <c r="B170" i="67" s="1"/>
  <c r="B171" i="67" s="1"/>
  <c r="B172" i="67" s="1"/>
  <c r="B173" i="67" s="1"/>
  <c r="B174" i="67" s="1"/>
  <c r="B175" i="67" s="1"/>
  <c r="B176" i="67" s="1"/>
  <c r="B177" i="67" s="1"/>
  <c r="B178" i="67" s="1"/>
  <c r="B179" i="67" s="1"/>
  <c r="B180" i="67" s="1"/>
  <c r="B181" i="67" s="1"/>
  <c r="B182" i="67" s="1"/>
  <c r="B183" i="67" s="1"/>
  <c r="B184" i="67" s="1"/>
  <c r="B185" i="67" s="1"/>
  <c r="B186" i="67" s="1"/>
  <c r="B187" i="67" s="1"/>
  <c r="B188" i="67" s="1"/>
  <c r="B189" i="67" s="1"/>
  <c r="B190" i="67" s="1"/>
  <c r="B191" i="67" s="1"/>
  <c r="B192" i="67" s="1"/>
  <c r="B193" i="67" s="1"/>
  <c r="B194" i="67" s="1"/>
  <c r="B195" i="67" s="1"/>
  <c r="B196" i="67" s="1"/>
  <c r="B197" i="67" s="1"/>
  <c r="B198" i="67" s="1"/>
  <c r="B199" i="67" s="1"/>
  <c r="B200" i="67" s="1"/>
  <c r="B201" i="67" s="1"/>
  <c r="B202" i="67" s="1"/>
  <c r="B203" i="67" s="1"/>
  <c r="B204" i="67" s="1"/>
  <c r="B205" i="67" s="1"/>
  <c r="B206" i="67" s="1"/>
  <c r="B207" i="67" s="1"/>
  <c r="B208" i="67" s="1"/>
  <c r="B209" i="67" s="1"/>
  <c r="B210" i="67" s="1"/>
  <c r="B211" i="67" s="1"/>
  <c r="B212" i="67" s="1"/>
  <c r="B213" i="67" s="1"/>
  <c r="B214" i="67" s="1"/>
  <c r="B215" i="67" s="1"/>
  <c r="B216" i="67" s="1"/>
  <c r="B217" i="67" s="1"/>
  <c r="B218" i="67" s="1"/>
  <c r="B219" i="67" s="1"/>
  <c r="B220" i="67" s="1"/>
  <c r="B221" i="67" s="1"/>
  <c r="B222" i="67" s="1"/>
  <c r="B223" i="67" s="1"/>
  <c r="B224" i="67" s="1"/>
  <c r="B225" i="67" s="1"/>
  <c r="B226" i="67" s="1"/>
  <c r="B227" i="67" s="1"/>
  <c r="B228" i="67" s="1"/>
  <c r="B229" i="67" s="1"/>
  <c r="B230" i="67" s="1"/>
  <c r="B231" i="67" s="1"/>
  <c r="B232" i="67" s="1"/>
  <c r="B233" i="67" s="1"/>
  <c r="B234" i="67" s="1"/>
  <c r="B235" i="67" s="1"/>
  <c r="B236" i="67" s="1"/>
  <c r="B237" i="67" s="1"/>
  <c r="B238" i="67" s="1"/>
  <c r="B239" i="67" s="1"/>
  <c r="B240" i="67" s="1"/>
  <c r="B241" i="67" s="1"/>
  <c r="B242" i="67" s="1"/>
  <c r="B243" i="67" s="1"/>
  <c r="B244" i="67" s="1"/>
  <c r="B245" i="67" s="1"/>
  <c r="B246" i="67" s="1"/>
  <c r="B247" i="67" s="1"/>
  <c r="B248" i="67" s="1"/>
  <c r="B249" i="67" s="1"/>
  <c r="B250" i="67" s="1"/>
  <c r="B251" i="67" s="1"/>
  <c r="B252" i="67" s="1"/>
  <c r="B253" i="67" s="1"/>
  <c r="B254" i="67" s="1"/>
  <c r="B255" i="67" s="1"/>
  <c r="B256" i="67" s="1"/>
  <c r="B257" i="67" s="1"/>
  <c r="B258" i="67" s="1"/>
  <c r="B259" i="67" s="1"/>
  <c r="B260" i="67" s="1"/>
  <c r="B261" i="67" s="1"/>
  <c r="B262" i="67" s="1"/>
  <c r="B263" i="67" s="1"/>
  <c r="B264" i="67" s="1"/>
  <c r="B265" i="67" s="1"/>
  <c r="B266" i="67" s="1"/>
  <c r="B267" i="67" s="1"/>
  <c r="B268" i="67" s="1"/>
  <c r="B269" i="67" s="1"/>
  <c r="B270" i="67" s="1"/>
  <c r="B271" i="67" s="1"/>
  <c r="B272" i="67" s="1"/>
  <c r="B273" i="67" s="1"/>
  <c r="B274" i="67" s="1"/>
  <c r="B275" i="67" s="1"/>
  <c r="B276" i="67" s="1"/>
  <c r="B277" i="67" s="1"/>
  <c r="B278" i="67" s="1"/>
  <c r="B279" i="67" s="1"/>
  <c r="B280" i="67" s="1"/>
  <c r="B281" i="67" s="1"/>
  <c r="B282" i="67" s="1"/>
  <c r="B283" i="67" s="1"/>
  <c r="B284" i="67" s="1"/>
  <c r="B285" i="67" s="1"/>
  <c r="B286" i="67" s="1"/>
  <c r="B287" i="67" s="1"/>
  <c r="B288" i="67" s="1"/>
  <c r="B289" i="67" s="1"/>
  <c r="B290" i="67" s="1"/>
  <c r="B291" i="67" s="1"/>
  <c r="B292" i="67" s="1"/>
  <c r="B293" i="67" s="1"/>
  <c r="B294" i="67" s="1"/>
  <c r="B295" i="67" s="1"/>
  <c r="B296" i="67" s="1"/>
  <c r="B297" i="67" s="1"/>
  <c r="B298" i="67" s="1"/>
  <c r="O11" i="67"/>
  <c r="L11" i="67"/>
  <c r="L12" i="67" s="1"/>
  <c r="L13" i="67" s="1"/>
  <c r="L14" i="67" s="1"/>
  <c r="L15" i="67" s="1"/>
  <c r="L16" i="67" s="1"/>
  <c r="L17" i="67" s="1"/>
  <c r="L18" i="67" s="1"/>
  <c r="L19" i="67" s="1"/>
  <c r="L20" i="67" s="1"/>
  <c r="L21" i="67" s="1"/>
  <c r="L22" i="67" s="1"/>
  <c r="L23" i="67" s="1"/>
  <c r="L24" i="67" s="1"/>
  <c r="L25" i="67" s="1"/>
  <c r="L26" i="67" s="1"/>
  <c r="L27" i="67" s="1"/>
  <c r="L28" i="67" s="1"/>
  <c r="L29" i="67" s="1"/>
  <c r="L30" i="67" s="1"/>
  <c r="L31" i="67" s="1"/>
  <c r="L32" i="67" s="1"/>
  <c r="L33" i="67" s="1"/>
  <c r="L34" i="67" s="1"/>
  <c r="L35" i="67" s="1"/>
  <c r="L36" i="67" s="1"/>
  <c r="L37" i="67" s="1"/>
  <c r="L38" i="67" s="1"/>
  <c r="L39" i="67" s="1"/>
  <c r="L40" i="67" s="1"/>
  <c r="L41" i="67" s="1"/>
  <c r="L42" i="67" s="1"/>
  <c r="L43" i="67" s="1"/>
  <c r="L44" i="67" s="1"/>
  <c r="L45" i="67" s="1"/>
  <c r="L46" i="67" s="1"/>
  <c r="L47" i="67" s="1"/>
  <c r="L48" i="67" s="1"/>
  <c r="L49" i="67" s="1"/>
  <c r="L50" i="67" s="1"/>
  <c r="L51" i="67" s="1"/>
  <c r="L52" i="67" s="1"/>
  <c r="L53" i="67" s="1"/>
  <c r="L54" i="67" s="1"/>
  <c r="L55" i="67" s="1"/>
  <c r="L56" i="67" s="1"/>
  <c r="L57" i="67" s="1"/>
  <c r="L58" i="67" s="1"/>
  <c r="L59" i="67" s="1"/>
  <c r="L60" i="67" s="1"/>
  <c r="L61" i="67" s="1"/>
  <c r="L62" i="67" s="1"/>
  <c r="L63" i="67" s="1"/>
  <c r="L64" i="67" s="1"/>
  <c r="L65" i="67" s="1"/>
  <c r="L66" i="67" s="1"/>
  <c r="L67" i="67" s="1"/>
  <c r="L68" i="67" s="1"/>
  <c r="L69" i="67" s="1"/>
  <c r="L70" i="67" s="1"/>
  <c r="L71" i="67" s="1"/>
  <c r="L72" i="67" s="1"/>
  <c r="L73" i="67" s="1"/>
  <c r="L74" i="67" s="1"/>
  <c r="L75" i="67" s="1"/>
  <c r="L76" i="67" s="1"/>
  <c r="L77" i="67" s="1"/>
  <c r="L78" i="67" s="1"/>
  <c r="L79" i="67" s="1"/>
  <c r="L80" i="67" s="1"/>
  <c r="L81" i="67" s="1"/>
  <c r="L82" i="67" s="1"/>
  <c r="L83" i="67" s="1"/>
  <c r="L84" i="67" s="1"/>
  <c r="L85" i="67" s="1"/>
  <c r="L86" i="67" s="1"/>
  <c r="L87" i="67" s="1"/>
  <c r="L88" i="67" s="1"/>
  <c r="L89" i="67" s="1"/>
  <c r="L90" i="67" s="1"/>
  <c r="L91" i="67" s="1"/>
  <c r="L92" i="67" s="1"/>
  <c r="L93" i="67" s="1"/>
  <c r="L94" i="67" s="1"/>
  <c r="L95" i="67" s="1"/>
  <c r="L96" i="67" s="1"/>
  <c r="L97" i="67" s="1"/>
  <c r="L98" i="67" s="1"/>
  <c r="L99" i="67" s="1"/>
  <c r="L100" i="67" s="1"/>
  <c r="L101" i="67" s="1"/>
  <c r="L102" i="67" s="1"/>
  <c r="L103" i="67" s="1"/>
  <c r="L104" i="67" s="1"/>
  <c r="L105" i="67" s="1"/>
  <c r="L106" i="67" s="1"/>
  <c r="L107" i="67" s="1"/>
  <c r="L108" i="67" s="1"/>
  <c r="L109" i="67" s="1"/>
  <c r="L110" i="67" s="1"/>
  <c r="L111" i="67" s="1"/>
  <c r="L112" i="67" s="1"/>
  <c r="L113" i="67" s="1"/>
  <c r="L114" i="67" s="1"/>
  <c r="L115" i="67" s="1"/>
  <c r="L116" i="67" s="1"/>
  <c r="L117" i="67" s="1"/>
  <c r="L118" i="67" s="1"/>
  <c r="L119" i="67" s="1"/>
  <c r="L120" i="67" s="1"/>
  <c r="L121" i="67" s="1"/>
  <c r="L122" i="67" s="1"/>
  <c r="L123" i="67" s="1"/>
  <c r="L124" i="67" s="1"/>
  <c r="L125" i="67" s="1"/>
  <c r="L126" i="67" s="1"/>
  <c r="L127" i="67" s="1"/>
  <c r="L128" i="67" s="1"/>
  <c r="L129" i="67" s="1"/>
  <c r="L130" i="67" s="1"/>
  <c r="L131" i="67" s="1"/>
  <c r="L132" i="67" s="1"/>
  <c r="L133" i="67" s="1"/>
  <c r="L134" i="67" s="1"/>
  <c r="L135" i="67" s="1"/>
  <c r="L136" i="67" s="1"/>
  <c r="L137" i="67" s="1"/>
  <c r="L138" i="67" s="1"/>
  <c r="L139" i="67" s="1"/>
  <c r="L140" i="67" s="1"/>
  <c r="L141" i="67" s="1"/>
  <c r="L142" i="67" s="1"/>
  <c r="L143" i="67" s="1"/>
  <c r="L144" i="67" s="1"/>
  <c r="L145" i="67" s="1"/>
  <c r="L146" i="67" s="1"/>
  <c r="L147" i="67" s="1"/>
  <c r="L148" i="67" s="1"/>
  <c r="L149" i="67" s="1"/>
  <c r="L150" i="67" s="1"/>
  <c r="L151" i="67" s="1"/>
  <c r="L152" i="67" s="1"/>
  <c r="L153" i="67" s="1"/>
  <c r="L154" i="67" s="1"/>
  <c r="L155" i="67" s="1"/>
  <c r="L156" i="67" s="1"/>
  <c r="L157" i="67" s="1"/>
  <c r="L158" i="67" s="1"/>
  <c r="L159" i="67" s="1"/>
  <c r="L160" i="67" s="1"/>
  <c r="L161" i="67" s="1"/>
  <c r="L162" i="67" s="1"/>
  <c r="L163" i="67" s="1"/>
  <c r="L164" i="67" s="1"/>
  <c r="L165" i="67" s="1"/>
  <c r="L166" i="67" s="1"/>
  <c r="L167" i="67" s="1"/>
  <c r="L168" i="67" s="1"/>
  <c r="L169" i="67" s="1"/>
  <c r="L170" i="67" s="1"/>
  <c r="L171" i="67" s="1"/>
  <c r="L172" i="67" s="1"/>
  <c r="L173" i="67" s="1"/>
  <c r="L174" i="67" s="1"/>
  <c r="L175" i="67" s="1"/>
  <c r="L176" i="67" s="1"/>
  <c r="L177" i="67" s="1"/>
  <c r="L178" i="67" s="1"/>
  <c r="L179" i="67" s="1"/>
  <c r="L180" i="67" s="1"/>
  <c r="L181" i="67" s="1"/>
  <c r="L182" i="67" s="1"/>
  <c r="L183" i="67" s="1"/>
  <c r="L184" i="67" s="1"/>
  <c r="L185" i="67" s="1"/>
  <c r="L186" i="67" s="1"/>
  <c r="L187" i="67" s="1"/>
  <c r="L188" i="67" s="1"/>
  <c r="L189" i="67" s="1"/>
  <c r="L190" i="67" s="1"/>
  <c r="L191" i="67" s="1"/>
  <c r="L192" i="67" s="1"/>
  <c r="L193" i="67" s="1"/>
  <c r="L194" i="67" s="1"/>
  <c r="L195" i="67" s="1"/>
  <c r="L196" i="67" s="1"/>
  <c r="L197" i="67" s="1"/>
  <c r="L198" i="67" s="1"/>
  <c r="L199" i="67" s="1"/>
  <c r="L200" i="67" s="1"/>
  <c r="L201" i="67" s="1"/>
  <c r="L202" i="67" s="1"/>
  <c r="L203" i="67" s="1"/>
  <c r="L204" i="67" s="1"/>
  <c r="L205" i="67" s="1"/>
  <c r="L206" i="67" s="1"/>
  <c r="L207" i="67" s="1"/>
  <c r="L208" i="67" s="1"/>
  <c r="L209" i="67" s="1"/>
  <c r="L210" i="67" s="1"/>
  <c r="L211" i="67" s="1"/>
  <c r="L212" i="67" s="1"/>
  <c r="L213" i="67" s="1"/>
  <c r="L214" i="67" s="1"/>
  <c r="L215" i="67" s="1"/>
  <c r="L216" i="67" s="1"/>
  <c r="L217" i="67" s="1"/>
  <c r="L218" i="67" s="1"/>
  <c r="L219" i="67" s="1"/>
  <c r="L220" i="67" s="1"/>
  <c r="L221" i="67" s="1"/>
  <c r="L222" i="67" s="1"/>
  <c r="L223" i="67" s="1"/>
  <c r="L224" i="67" s="1"/>
  <c r="L225" i="67" s="1"/>
  <c r="L226" i="67" s="1"/>
  <c r="L227" i="67" s="1"/>
  <c r="L228" i="67" s="1"/>
  <c r="L229" i="67" s="1"/>
  <c r="L230" i="67" s="1"/>
  <c r="L231" i="67" s="1"/>
  <c r="L232" i="67" s="1"/>
  <c r="L233" i="67" s="1"/>
  <c r="L234" i="67" s="1"/>
  <c r="L235" i="67" s="1"/>
  <c r="L236" i="67" s="1"/>
  <c r="L237" i="67" s="1"/>
  <c r="L238" i="67" s="1"/>
  <c r="L239" i="67" s="1"/>
  <c r="L240" i="67" s="1"/>
  <c r="L241" i="67" s="1"/>
  <c r="L242" i="67" s="1"/>
  <c r="L243" i="67" s="1"/>
  <c r="L244" i="67" s="1"/>
  <c r="L245" i="67" s="1"/>
  <c r="L246" i="67" s="1"/>
  <c r="L247" i="67" s="1"/>
  <c r="L248" i="67" s="1"/>
  <c r="L249" i="67" s="1"/>
  <c r="L250" i="67" s="1"/>
  <c r="L251" i="67" s="1"/>
  <c r="L252" i="67" s="1"/>
  <c r="L253" i="67" s="1"/>
  <c r="L254" i="67" s="1"/>
  <c r="L255" i="67" s="1"/>
  <c r="L256" i="67" s="1"/>
  <c r="L257" i="67" s="1"/>
  <c r="L258" i="67" s="1"/>
  <c r="L259" i="67" s="1"/>
  <c r="L260" i="67" s="1"/>
  <c r="L261" i="67" s="1"/>
  <c r="L262" i="67" s="1"/>
  <c r="L263" i="67" s="1"/>
  <c r="L264" i="67" s="1"/>
  <c r="L265" i="67" s="1"/>
  <c r="L266" i="67" s="1"/>
  <c r="L267" i="67" s="1"/>
  <c r="L268" i="67" s="1"/>
  <c r="L269" i="67" s="1"/>
  <c r="L270" i="67" s="1"/>
  <c r="L271" i="67" s="1"/>
  <c r="L272" i="67" s="1"/>
  <c r="L273" i="67" s="1"/>
  <c r="L274" i="67" s="1"/>
  <c r="L275" i="67" s="1"/>
  <c r="L276" i="67" s="1"/>
  <c r="L277" i="67" s="1"/>
  <c r="L278" i="67" s="1"/>
  <c r="L279" i="67" s="1"/>
  <c r="L280" i="67" s="1"/>
  <c r="L281" i="67" s="1"/>
  <c r="L282" i="67" s="1"/>
  <c r="L283" i="67" s="1"/>
  <c r="L284" i="67" s="1"/>
  <c r="L285" i="67" s="1"/>
  <c r="L286" i="67" s="1"/>
  <c r="L287" i="67" s="1"/>
  <c r="L288" i="67" s="1"/>
  <c r="L289" i="67" s="1"/>
  <c r="L290" i="67" s="1"/>
  <c r="L291" i="67" s="1"/>
  <c r="L292" i="67" s="1"/>
  <c r="L293" i="67" s="1"/>
  <c r="L294" i="67" s="1"/>
  <c r="L295" i="67" s="1"/>
  <c r="L296" i="67" s="1"/>
  <c r="L297" i="67" s="1"/>
  <c r="L298" i="67" s="1"/>
  <c r="K11" i="67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J11" i="67"/>
  <c r="J12" i="67" s="1"/>
  <c r="J13" i="67" s="1"/>
  <c r="J14" i="67" s="1"/>
  <c r="J15" i="67" s="1"/>
  <c r="J16" i="67" s="1"/>
  <c r="J17" i="67" s="1"/>
  <c r="J18" i="67" s="1"/>
  <c r="J19" i="67" s="1"/>
  <c r="J20" i="67" s="1"/>
  <c r="J21" i="67" s="1"/>
  <c r="J22" i="67" s="1"/>
  <c r="J23" i="67" s="1"/>
  <c r="J24" i="67" s="1"/>
  <c r="J25" i="67" s="1"/>
  <c r="J26" i="67" s="1"/>
  <c r="J27" i="67" s="1"/>
  <c r="J28" i="67" s="1"/>
  <c r="J29" i="67" s="1"/>
  <c r="J30" i="67" s="1"/>
  <c r="J31" i="67" s="1"/>
  <c r="J32" i="67" s="1"/>
  <c r="J33" i="67" s="1"/>
  <c r="J34" i="67" s="1"/>
  <c r="J35" i="67" s="1"/>
  <c r="J36" i="67" s="1"/>
  <c r="J37" i="67" s="1"/>
  <c r="J38" i="67" s="1"/>
  <c r="J39" i="67" s="1"/>
  <c r="J40" i="67" s="1"/>
  <c r="J41" i="67" s="1"/>
  <c r="J42" i="67" s="1"/>
  <c r="J43" i="67" s="1"/>
  <c r="J44" i="67" s="1"/>
  <c r="J45" i="67" s="1"/>
  <c r="J46" i="67" s="1"/>
  <c r="J47" i="67" s="1"/>
  <c r="J48" i="67" s="1"/>
  <c r="J49" i="67" s="1"/>
  <c r="J50" i="67" s="1"/>
  <c r="J51" i="67" s="1"/>
  <c r="J52" i="67" s="1"/>
  <c r="J53" i="67" s="1"/>
  <c r="J54" i="67" s="1"/>
  <c r="J55" i="67" s="1"/>
  <c r="J56" i="67" s="1"/>
  <c r="J57" i="67" s="1"/>
  <c r="J58" i="67" s="1"/>
  <c r="J59" i="67" s="1"/>
  <c r="J60" i="67" s="1"/>
  <c r="J61" i="67" s="1"/>
  <c r="J62" i="67" s="1"/>
  <c r="J63" i="67" s="1"/>
  <c r="J64" i="67" s="1"/>
  <c r="J65" i="67" s="1"/>
  <c r="J66" i="67" s="1"/>
  <c r="J67" i="67" s="1"/>
  <c r="J68" i="67" s="1"/>
  <c r="J69" i="67" s="1"/>
  <c r="J70" i="67" s="1"/>
  <c r="J71" i="67" s="1"/>
  <c r="J72" i="67" s="1"/>
  <c r="J73" i="67" s="1"/>
  <c r="J74" i="67" s="1"/>
  <c r="J75" i="67" s="1"/>
  <c r="J76" i="67" s="1"/>
  <c r="J77" i="67" s="1"/>
  <c r="J78" i="67" s="1"/>
  <c r="J79" i="67" s="1"/>
  <c r="J80" i="67" s="1"/>
  <c r="J81" i="67" s="1"/>
  <c r="J82" i="67" s="1"/>
  <c r="J83" i="67" s="1"/>
  <c r="J84" i="67" s="1"/>
  <c r="J85" i="67" s="1"/>
  <c r="J86" i="67" s="1"/>
  <c r="J87" i="67" s="1"/>
  <c r="J88" i="67" s="1"/>
  <c r="J89" i="67" s="1"/>
  <c r="J90" i="67" s="1"/>
  <c r="J91" i="67" s="1"/>
  <c r="J92" i="67" s="1"/>
  <c r="J93" i="67" s="1"/>
  <c r="J94" i="67" s="1"/>
  <c r="J95" i="67" s="1"/>
  <c r="J96" i="67" s="1"/>
  <c r="J97" i="67" s="1"/>
  <c r="J98" i="67" s="1"/>
  <c r="J99" i="67" s="1"/>
  <c r="J100" i="67" s="1"/>
  <c r="J101" i="67" s="1"/>
  <c r="J102" i="67" s="1"/>
  <c r="J103" i="67" s="1"/>
  <c r="J104" i="67" s="1"/>
  <c r="J105" i="67" s="1"/>
  <c r="J106" i="67" s="1"/>
  <c r="J107" i="67" s="1"/>
  <c r="J108" i="67" s="1"/>
  <c r="J109" i="67" s="1"/>
  <c r="J110" i="67" s="1"/>
  <c r="J111" i="67" s="1"/>
  <c r="J112" i="67" s="1"/>
  <c r="J113" i="67" s="1"/>
  <c r="J114" i="67" s="1"/>
  <c r="J115" i="67" s="1"/>
  <c r="J116" i="67" s="1"/>
  <c r="J117" i="67" s="1"/>
  <c r="J118" i="67" s="1"/>
  <c r="J119" i="67" s="1"/>
  <c r="J120" i="67" s="1"/>
  <c r="J121" i="67" s="1"/>
  <c r="J122" i="67" s="1"/>
  <c r="J123" i="67" s="1"/>
  <c r="J124" i="67" s="1"/>
  <c r="J125" i="67" s="1"/>
  <c r="J126" i="67" s="1"/>
  <c r="J127" i="67" s="1"/>
  <c r="J128" i="67" s="1"/>
  <c r="J129" i="67" s="1"/>
  <c r="J130" i="67" s="1"/>
  <c r="J131" i="67" s="1"/>
  <c r="J132" i="67" s="1"/>
  <c r="J133" i="67" s="1"/>
  <c r="J134" i="67" s="1"/>
  <c r="J135" i="67" s="1"/>
  <c r="J136" i="67" s="1"/>
  <c r="J137" i="67" s="1"/>
  <c r="J138" i="67" s="1"/>
  <c r="J139" i="67" s="1"/>
  <c r="J140" i="67" s="1"/>
  <c r="J141" i="67" s="1"/>
  <c r="J142" i="67" s="1"/>
  <c r="J143" i="67" s="1"/>
  <c r="J144" i="67" s="1"/>
  <c r="J145" i="67" s="1"/>
  <c r="J146" i="67" s="1"/>
  <c r="J147" i="67" s="1"/>
  <c r="J148" i="67" s="1"/>
  <c r="J149" i="67" s="1"/>
  <c r="J150" i="67" s="1"/>
  <c r="J151" i="67" s="1"/>
  <c r="J152" i="67" s="1"/>
  <c r="J153" i="67" s="1"/>
  <c r="J154" i="67" s="1"/>
  <c r="J155" i="67" s="1"/>
  <c r="J156" i="67" s="1"/>
  <c r="J157" i="67" s="1"/>
  <c r="J158" i="67" s="1"/>
  <c r="J159" i="67" s="1"/>
  <c r="J160" i="67" s="1"/>
  <c r="J161" i="67" s="1"/>
  <c r="J162" i="67" s="1"/>
  <c r="J163" i="67" s="1"/>
  <c r="J164" i="67" s="1"/>
  <c r="J165" i="67" s="1"/>
  <c r="J166" i="67" s="1"/>
  <c r="J167" i="67" s="1"/>
  <c r="J168" i="67" s="1"/>
  <c r="J169" i="67" s="1"/>
  <c r="J170" i="67" s="1"/>
  <c r="J171" i="67" s="1"/>
  <c r="J172" i="67" s="1"/>
  <c r="J173" i="67" s="1"/>
  <c r="J174" i="67" s="1"/>
  <c r="J175" i="67" s="1"/>
  <c r="J176" i="67" s="1"/>
  <c r="J177" i="67" s="1"/>
  <c r="J178" i="67" s="1"/>
  <c r="J179" i="67" s="1"/>
  <c r="J180" i="67" s="1"/>
  <c r="J181" i="67" s="1"/>
  <c r="J182" i="67" s="1"/>
  <c r="J183" i="67" s="1"/>
  <c r="J184" i="67" s="1"/>
  <c r="J185" i="67" s="1"/>
  <c r="J186" i="67" s="1"/>
  <c r="J187" i="67" s="1"/>
  <c r="J188" i="67" s="1"/>
  <c r="J189" i="67" s="1"/>
  <c r="J190" i="67" s="1"/>
  <c r="J191" i="67" s="1"/>
  <c r="J192" i="67" s="1"/>
  <c r="J193" i="67" s="1"/>
  <c r="J194" i="67" s="1"/>
  <c r="J195" i="67" s="1"/>
  <c r="J196" i="67" s="1"/>
  <c r="J197" i="67" s="1"/>
  <c r="J198" i="67" s="1"/>
  <c r="J199" i="67" s="1"/>
  <c r="J200" i="67" s="1"/>
  <c r="J201" i="67" s="1"/>
  <c r="J202" i="67" s="1"/>
  <c r="J203" i="67" s="1"/>
  <c r="J204" i="67" s="1"/>
  <c r="J205" i="67" s="1"/>
  <c r="J206" i="67" s="1"/>
  <c r="J207" i="67" s="1"/>
  <c r="J208" i="67" s="1"/>
  <c r="J209" i="67" s="1"/>
  <c r="J210" i="67" s="1"/>
  <c r="J211" i="67" s="1"/>
  <c r="J212" i="67" s="1"/>
  <c r="J213" i="67" s="1"/>
  <c r="J214" i="67" s="1"/>
  <c r="J215" i="67" s="1"/>
  <c r="J216" i="67" s="1"/>
  <c r="J217" i="67" s="1"/>
  <c r="J218" i="67" s="1"/>
  <c r="J219" i="67" s="1"/>
  <c r="J220" i="67" s="1"/>
  <c r="J221" i="67" s="1"/>
  <c r="J222" i="67" s="1"/>
  <c r="J223" i="67" s="1"/>
  <c r="J224" i="67" s="1"/>
  <c r="J225" i="67" s="1"/>
  <c r="J226" i="67" s="1"/>
  <c r="J227" i="67" s="1"/>
  <c r="J228" i="67" s="1"/>
  <c r="J229" i="67" s="1"/>
  <c r="J230" i="67" s="1"/>
  <c r="J231" i="67" s="1"/>
  <c r="J232" i="67" s="1"/>
  <c r="J233" i="67" s="1"/>
  <c r="J234" i="67" s="1"/>
  <c r="J235" i="67" s="1"/>
  <c r="J236" i="67" s="1"/>
  <c r="J237" i="67" s="1"/>
  <c r="J238" i="67" s="1"/>
  <c r="J239" i="67" s="1"/>
  <c r="J240" i="67" s="1"/>
  <c r="J241" i="67" s="1"/>
  <c r="J242" i="67" s="1"/>
  <c r="J243" i="67" s="1"/>
  <c r="J244" i="67" s="1"/>
  <c r="J245" i="67" s="1"/>
  <c r="J246" i="67" s="1"/>
  <c r="J247" i="67" s="1"/>
  <c r="J248" i="67" s="1"/>
  <c r="J249" i="67" s="1"/>
  <c r="J250" i="67" s="1"/>
  <c r="J251" i="67" s="1"/>
  <c r="J252" i="67" s="1"/>
  <c r="J253" i="67" s="1"/>
  <c r="J254" i="67" s="1"/>
  <c r="J255" i="67" s="1"/>
  <c r="J256" i="67" s="1"/>
  <c r="J257" i="67" s="1"/>
  <c r="J258" i="67" s="1"/>
  <c r="J259" i="67" s="1"/>
  <c r="J260" i="67" s="1"/>
  <c r="J261" i="67" s="1"/>
  <c r="J262" i="67" s="1"/>
  <c r="J263" i="67" s="1"/>
  <c r="J264" i="67" s="1"/>
  <c r="J265" i="67" s="1"/>
  <c r="J266" i="67" s="1"/>
  <c r="J267" i="67" s="1"/>
  <c r="J268" i="67" s="1"/>
  <c r="J269" i="67" s="1"/>
  <c r="J270" i="67" s="1"/>
  <c r="J271" i="67" s="1"/>
  <c r="J272" i="67" s="1"/>
  <c r="J273" i="67" s="1"/>
  <c r="J274" i="67" s="1"/>
  <c r="J275" i="67" s="1"/>
  <c r="J276" i="67" s="1"/>
  <c r="J277" i="67" s="1"/>
  <c r="J278" i="67" s="1"/>
  <c r="J279" i="67" s="1"/>
  <c r="J280" i="67" s="1"/>
  <c r="J281" i="67" s="1"/>
  <c r="J282" i="67" s="1"/>
  <c r="J283" i="67" s="1"/>
  <c r="J284" i="67" s="1"/>
  <c r="J285" i="67" s="1"/>
  <c r="J286" i="67" s="1"/>
  <c r="J287" i="67" s="1"/>
  <c r="J288" i="67" s="1"/>
  <c r="J289" i="67" s="1"/>
  <c r="J290" i="67" s="1"/>
  <c r="J291" i="67" s="1"/>
  <c r="J292" i="67" s="1"/>
  <c r="J293" i="67" s="1"/>
  <c r="J294" i="67" s="1"/>
  <c r="J295" i="67" s="1"/>
  <c r="J296" i="67" s="1"/>
  <c r="J297" i="67" s="1"/>
  <c r="J298" i="67" s="1"/>
  <c r="H11" i="67"/>
  <c r="H12" i="67" s="1"/>
  <c r="H13" i="67" s="1"/>
  <c r="H14" i="67" s="1"/>
  <c r="H15" i="67" s="1"/>
  <c r="H16" i="67" s="1"/>
  <c r="H17" i="67" s="1"/>
  <c r="H18" i="67" s="1"/>
  <c r="H19" i="67" s="1"/>
  <c r="H20" i="67" s="1"/>
  <c r="H21" i="67" s="1"/>
  <c r="H22" i="67" s="1"/>
  <c r="H23" i="67" s="1"/>
  <c r="H24" i="67" s="1"/>
  <c r="H25" i="67" s="1"/>
  <c r="H26" i="67" s="1"/>
  <c r="E11" i="67"/>
  <c r="E12" i="67" s="1"/>
  <c r="E13" i="67" s="1"/>
  <c r="E14" i="67" s="1"/>
  <c r="E15" i="67" s="1"/>
  <c r="E16" i="67" s="1"/>
  <c r="E17" i="67" s="1"/>
  <c r="E18" i="67" s="1"/>
  <c r="E19" i="67" s="1"/>
  <c r="E20" i="67" s="1"/>
  <c r="E21" i="67" s="1"/>
  <c r="E22" i="67" s="1"/>
  <c r="E23" i="67" s="1"/>
  <c r="E24" i="67" s="1"/>
  <c r="E25" i="67" s="1"/>
  <c r="E26" i="67" s="1"/>
  <c r="E27" i="67" s="1"/>
  <c r="E28" i="67" s="1"/>
  <c r="E29" i="67" s="1"/>
  <c r="E30" i="67" s="1"/>
  <c r="E31" i="67" s="1"/>
  <c r="E32" i="67" s="1"/>
  <c r="E33" i="67" s="1"/>
  <c r="E34" i="67" s="1"/>
  <c r="E35" i="67" s="1"/>
  <c r="E36" i="67" s="1"/>
  <c r="E37" i="67" s="1"/>
  <c r="E38" i="67" s="1"/>
  <c r="E39" i="67" s="1"/>
  <c r="E40" i="67" s="1"/>
  <c r="E41" i="67" s="1"/>
  <c r="E42" i="67" s="1"/>
  <c r="E43" i="67" s="1"/>
  <c r="E44" i="67" s="1"/>
  <c r="E45" i="67" s="1"/>
  <c r="E46" i="67" s="1"/>
  <c r="E47" i="67" s="1"/>
  <c r="E48" i="67" s="1"/>
  <c r="E49" i="67" s="1"/>
  <c r="E50" i="67" s="1"/>
  <c r="E51" i="67" s="1"/>
  <c r="E52" i="67" s="1"/>
  <c r="E53" i="67" s="1"/>
  <c r="E54" i="67" s="1"/>
  <c r="E55" i="67" s="1"/>
  <c r="E56" i="67" s="1"/>
  <c r="E57" i="67" s="1"/>
  <c r="E58" i="67" s="1"/>
  <c r="E59" i="67" s="1"/>
  <c r="E60" i="67" s="1"/>
  <c r="E61" i="67" s="1"/>
  <c r="E62" i="67" s="1"/>
  <c r="E63" i="67" s="1"/>
  <c r="E64" i="67" s="1"/>
  <c r="E65" i="67" s="1"/>
  <c r="E66" i="67" s="1"/>
  <c r="E67" i="67" s="1"/>
  <c r="E68" i="67" s="1"/>
  <c r="E69" i="67" s="1"/>
  <c r="E70" i="67" s="1"/>
  <c r="E71" i="67" s="1"/>
  <c r="E72" i="67" s="1"/>
  <c r="E73" i="67" s="1"/>
  <c r="E74" i="67" s="1"/>
  <c r="E75" i="67" s="1"/>
  <c r="E76" i="67" s="1"/>
  <c r="E77" i="67" s="1"/>
  <c r="E78" i="67" s="1"/>
  <c r="E79" i="67" s="1"/>
  <c r="E80" i="67" s="1"/>
  <c r="E81" i="67" s="1"/>
  <c r="E82" i="67" s="1"/>
  <c r="E83" i="67" s="1"/>
  <c r="E84" i="67" s="1"/>
  <c r="E85" i="67" s="1"/>
  <c r="E86" i="67" s="1"/>
  <c r="E87" i="67" s="1"/>
  <c r="E88" i="67" s="1"/>
  <c r="E89" i="67" s="1"/>
  <c r="E90" i="67" s="1"/>
  <c r="E91" i="67" s="1"/>
  <c r="E92" i="67" s="1"/>
  <c r="E93" i="67" s="1"/>
  <c r="E94" i="67" s="1"/>
  <c r="E95" i="67" s="1"/>
  <c r="E96" i="67" s="1"/>
  <c r="E97" i="67" s="1"/>
  <c r="E98" i="67" s="1"/>
  <c r="E99" i="67" s="1"/>
  <c r="E100" i="67" s="1"/>
  <c r="E101" i="67" s="1"/>
  <c r="E102" i="67" s="1"/>
  <c r="E103" i="67" s="1"/>
  <c r="E104" i="67" s="1"/>
  <c r="E105" i="67" s="1"/>
  <c r="E106" i="67" s="1"/>
  <c r="E107" i="67" s="1"/>
  <c r="E108" i="67" s="1"/>
  <c r="E109" i="67" s="1"/>
  <c r="E110" i="67" s="1"/>
  <c r="E111" i="67" s="1"/>
  <c r="E112" i="67" s="1"/>
  <c r="E113" i="67" s="1"/>
  <c r="E114" i="67" s="1"/>
  <c r="E115" i="67" s="1"/>
  <c r="E116" i="67" s="1"/>
  <c r="E117" i="67" s="1"/>
  <c r="E118" i="67" s="1"/>
  <c r="E119" i="67" s="1"/>
  <c r="E120" i="67" s="1"/>
  <c r="E121" i="67" s="1"/>
  <c r="E122" i="67" s="1"/>
  <c r="E123" i="67" s="1"/>
  <c r="E124" i="67" s="1"/>
  <c r="E125" i="67" s="1"/>
  <c r="E126" i="67" s="1"/>
  <c r="E127" i="67" s="1"/>
  <c r="E128" i="67" s="1"/>
  <c r="E129" i="67" s="1"/>
  <c r="E130" i="67" s="1"/>
  <c r="E131" i="67" s="1"/>
  <c r="E132" i="67" s="1"/>
  <c r="E133" i="67" s="1"/>
  <c r="E134" i="67" s="1"/>
  <c r="E135" i="67" s="1"/>
  <c r="E136" i="67" s="1"/>
  <c r="E137" i="67" s="1"/>
  <c r="E138" i="67" s="1"/>
  <c r="E139" i="67" s="1"/>
  <c r="E140" i="67" s="1"/>
  <c r="E141" i="67" s="1"/>
  <c r="E142" i="67" s="1"/>
  <c r="E143" i="67" s="1"/>
  <c r="E144" i="67" s="1"/>
  <c r="E145" i="67" s="1"/>
  <c r="E146" i="67" s="1"/>
  <c r="E147" i="67" s="1"/>
  <c r="E148" i="67" s="1"/>
  <c r="E149" i="67" s="1"/>
  <c r="E150" i="67" s="1"/>
  <c r="E151" i="67" s="1"/>
  <c r="E152" i="67" s="1"/>
  <c r="E153" i="67" s="1"/>
  <c r="E154" i="67" s="1"/>
  <c r="E155" i="67" s="1"/>
  <c r="E156" i="67" s="1"/>
  <c r="E157" i="67" s="1"/>
  <c r="E158" i="67" s="1"/>
  <c r="E159" i="67" s="1"/>
  <c r="E160" i="67" s="1"/>
  <c r="E161" i="67" s="1"/>
  <c r="E162" i="67" s="1"/>
  <c r="E163" i="67" s="1"/>
  <c r="E164" i="67" s="1"/>
  <c r="E165" i="67" s="1"/>
  <c r="E166" i="67" s="1"/>
  <c r="E167" i="67" s="1"/>
  <c r="E168" i="67" s="1"/>
  <c r="E169" i="67" s="1"/>
  <c r="E170" i="67" s="1"/>
  <c r="E171" i="67" s="1"/>
  <c r="E172" i="67" s="1"/>
  <c r="E173" i="67" s="1"/>
  <c r="E174" i="67" s="1"/>
  <c r="E175" i="67" s="1"/>
  <c r="E176" i="67" s="1"/>
  <c r="E177" i="67" s="1"/>
  <c r="E178" i="67" s="1"/>
  <c r="E179" i="67" s="1"/>
  <c r="E180" i="67" s="1"/>
  <c r="E181" i="67" s="1"/>
  <c r="E182" i="67" s="1"/>
  <c r="E183" i="67" s="1"/>
  <c r="E184" i="67" s="1"/>
  <c r="E185" i="67" s="1"/>
  <c r="E186" i="67" s="1"/>
  <c r="E187" i="67" s="1"/>
  <c r="E188" i="67" s="1"/>
  <c r="E189" i="67" s="1"/>
  <c r="E190" i="67" s="1"/>
  <c r="E191" i="67" s="1"/>
  <c r="E192" i="67" s="1"/>
  <c r="E193" i="67" s="1"/>
  <c r="E194" i="67" s="1"/>
  <c r="E195" i="67" s="1"/>
  <c r="E196" i="67" s="1"/>
  <c r="E197" i="67" s="1"/>
  <c r="E198" i="67" s="1"/>
  <c r="E199" i="67" s="1"/>
  <c r="E200" i="67" s="1"/>
  <c r="E201" i="67" s="1"/>
  <c r="E202" i="67" s="1"/>
  <c r="E203" i="67" s="1"/>
  <c r="E204" i="67" s="1"/>
  <c r="E205" i="67" s="1"/>
  <c r="E206" i="67" s="1"/>
  <c r="E207" i="67" s="1"/>
  <c r="E208" i="67" s="1"/>
  <c r="E209" i="67" s="1"/>
  <c r="E210" i="67" s="1"/>
  <c r="E211" i="67" s="1"/>
  <c r="E212" i="67" s="1"/>
  <c r="E213" i="67" s="1"/>
  <c r="E214" i="67" s="1"/>
  <c r="E215" i="67" s="1"/>
  <c r="E216" i="67" s="1"/>
  <c r="E217" i="67" s="1"/>
  <c r="E218" i="67" s="1"/>
  <c r="E219" i="67" s="1"/>
  <c r="E220" i="67" s="1"/>
  <c r="E221" i="67" s="1"/>
  <c r="E222" i="67" s="1"/>
  <c r="E223" i="67" s="1"/>
  <c r="E224" i="67" s="1"/>
  <c r="E225" i="67" s="1"/>
  <c r="E226" i="67" s="1"/>
  <c r="E227" i="67" s="1"/>
  <c r="E228" i="67" s="1"/>
  <c r="E229" i="67" s="1"/>
  <c r="E230" i="67" s="1"/>
  <c r="E231" i="67" s="1"/>
  <c r="E232" i="67" s="1"/>
  <c r="E233" i="67" s="1"/>
  <c r="E234" i="67" s="1"/>
  <c r="E235" i="67" s="1"/>
  <c r="E236" i="67" s="1"/>
  <c r="E237" i="67" s="1"/>
  <c r="E238" i="67" s="1"/>
  <c r="E239" i="67" s="1"/>
  <c r="E240" i="67" s="1"/>
  <c r="E241" i="67" s="1"/>
  <c r="E242" i="67" s="1"/>
  <c r="E243" i="67" s="1"/>
  <c r="E244" i="67" s="1"/>
  <c r="E245" i="67" s="1"/>
  <c r="E246" i="67" s="1"/>
  <c r="E247" i="67" s="1"/>
  <c r="E248" i="67" s="1"/>
  <c r="E249" i="67" s="1"/>
  <c r="E250" i="67" s="1"/>
  <c r="E251" i="67" s="1"/>
  <c r="E252" i="67" s="1"/>
  <c r="E253" i="67" s="1"/>
  <c r="E254" i="67" s="1"/>
  <c r="E255" i="67" s="1"/>
  <c r="E256" i="67" s="1"/>
  <c r="E257" i="67" s="1"/>
  <c r="E258" i="67" s="1"/>
  <c r="E259" i="67" s="1"/>
  <c r="E260" i="67" s="1"/>
  <c r="E261" i="67" s="1"/>
  <c r="E262" i="67" s="1"/>
  <c r="E263" i="67" s="1"/>
  <c r="E264" i="67" s="1"/>
  <c r="E265" i="67" s="1"/>
  <c r="E266" i="67" s="1"/>
  <c r="E267" i="67" s="1"/>
  <c r="E268" i="67" s="1"/>
  <c r="E269" i="67" s="1"/>
  <c r="E270" i="67" s="1"/>
  <c r="E271" i="67" s="1"/>
  <c r="E272" i="67" s="1"/>
  <c r="E273" i="67" s="1"/>
  <c r="E274" i="67" s="1"/>
  <c r="E275" i="67" s="1"/>
  <c r="E276" i="67" s="1"/>
  <c r="E277" i="67" s="1"/>
  <c r="E278" i="67" s="1"/>
  <c r="E279" i="67" s="1"/>
  <c r="E280" i="67" s="1"/>
  <c r="E281" i="67" s="1"/>
  <c r="E282" i="67" s="1"/>
  <c r="E283" i="67" s="1"/>
  <c r="E284" i="67" s="1"/>
  <c r="E285" i="67" s="1"/>
  <c r="E286" i="67" s="1"/>
  <c r="E287" i="67" s="1"/>
  <c r="E288" i="67" s="1"/>
  <c r="E289" i="67" s="1"/>
  <c r="E290" i="67" s="1"/>
  <c r="E291" i="67" s="1"/>
  <c r="E292" i="67" s="1"/>
  <c r="E293" i="67" s="1"/>
  <c r="E294" i="67" s="1"/>
  <c r="E295" i="67" s="1"/>
  <c r="E296" i="67" s="1"/>
  <c r="E297" i="67" s="1"/>
  <c r="E298" i="67" s="1"/>
  <c r="B10" i="67"/>
  <c r="G11" i="66"/>
  <c r="D202" i="66"/>
  <c r="D201" i="66"/>
  <c r="D200" i="66"/>
  <c r="E200" i="66" s="1"/>
  <c r="D199" i="66"/>
  <c r="E199" i="66" s="1"/>
  <c r="D198" i="66"/>
  <c r="E198" i="66" s="1"/>
  <c r="D197" i="66"/>
  <c r="E197" i="66" s="1"/>
  <c r="D196" i="66"/>
  <c r="E196" i="66" s="1"/>
  <c r="D195" i="66"/>
  <c r="E195" i="66" s="1"/>
  <c r="D194" i="66"/>
  <c r="E194" i="66" s="1"/>
  <c r="D193" i="66"/>
  <c r="E193" i="66" s="1"/>
  <c r="D192" i="66"/>
  <c r="E192" i="66" s="1"/>
  <c r="D191" i="66"/>
  <c r="E191" i="66" s="1"/>
  <c r="D190" i="66"/>
  <c r="E190" i="66" s="1"/>
  <c r="D189" i="66"/>
  <c r="E189" i="66" s="1"/>
  <c r="D188" i="66"/>
  <c r="E188" i="66" s="1"/>
  <c r="D187" i="66"/>
  <c r="E187" i="66" s="1"/>
  <c r="D186" i="66"/>
  <c r="E186" i="66" s="1"/>
  <c r="D185" i="66"/>
  <c r="E185" i="66" s="1"/>
  <c r="D184" i="66"/>
  <c r="E184" i="66" s="1"/>
  <c r="D183" i="66"/>
  <c r="E183" i="66" s="1"/>
  <c r="D182" i="66"/>
  <c r="E182" i="66" s="1"/>
  <c r="D181" i="66"/>
  <c r="E181" i="66" s="1"/>
  <c r="D180" i="66"/>
  <c r="E180" i="66" s="1"/>
  <c r="D179" i="66"/>
  <c r="E179" i="66" s="1"/>
  <c r="D178" i="66"/>
  <c r="E178" i="66" s="1"/>
  <c r="D177" i="66"/>
  <c r="E177" i="66" s="1"/>
  <c r="D176" i="66"/>
  <c r="E176" i="66" s="1"/>
  <c r="D175" i="66"/>
  <c r="E175" i="66" s="1"/>
  <c r="D174" i="66"/>
  <c r="E174" i="66" s="1"/>
  <c r="D173" i="66"/>
  <c r="E173" i="66" s="1"/>
  <c r="D172" i="66"/>
  <c r="E172" i="66" s="1"/>
  <c r="D171" i="66"/>
  <c r="E171" i="66" s="1"/>
  <c r="D170" i="66"/>
  <c r="E170" i="66" s="1"/>
  <c r="D169" i="66"/>
  <c r="E169" i="66" s="1"/>
  <c r="D168" i="66"/>
  <c r="E168" i="66" s="1"/>
  <c r="D167" i="66"/>
  <c r="E167" i="66" s="1"/>
  <c r="D166" i="66"/>
  <c r="E166" i="66" s="1"/>
  <c r="D165" i="66"/>
  <c r="E165" i="66" s="1"/>
  <c r="D164" i="66"/>
  <c r="E164" i="66" s="1"/>
  <c r="D163" i="66"/>
  <c r="E163" i="66" s="1"/>
  <c r="D162" i="66"/>
  <c r="E162" i="66" s="1"/>
  <c r="D161" i="66"/>
  <c r="E161" i="66" s="1"/>
  <c r="D160" i="66"/>
  <c r="E160" i="66" s="1"/>
  <c r="D159" i="66"/>
  <c r="E159" i="66" s="1"/>
  <c r="D158" i="66"/>
  <c r="E158" i="66" s="1"/>
  <c r="D157" i="66"/>
  <c r="E157" i="66" s="1"/>
  <c r="D156" i="66"/>
  <c r="E156" i="66" s="1"/>
  <c r="D155" i="66"/>
  <c r="E155" i="66" s="1"/>
  <c r="D154" i="66"/>
  <c r="E154" i="66" s="1"/>
  <c r="D153" i="66"/>
  <c r="E153" i="66" s="1"/>
  <c r="D152" i="66"/>
  <c r="E152" i="66" s="1"/>
  <c r="D151" i="66"/>
  <c r="E151" i="66" s="1"/>
  <c r="D150" i="66"/>
  <c r="E150" i="66" s="1"/>
  <c r="D149" i="66"/>
  <c r="E149" i="66" s="1"/>
  <c r="D148" i="66"/>
  <c r="E148" i="66" s="1"/>
  <c r="D147" i="66"/>
  <c r="E147" i="66" s="1"/>
  <c r="D146" i="66"/>
  <c r="E146" i="66" s="1"/>
  <c r="D145" i="66"/>
  <c r="E145" i="66" s="1"/>
  <c r="D144" i="66"/>
  <c r="E144" i="66" s="1"/>
  <c r="D143" i="66"/>
  <c r="E143" i="66" s="1"/>
  <c r="D142" i="66"/>
  <c r="E142" i="66" s="1"/>
  <c r="D141" i="66"/>
  <c r="E141" i="66" s="1"/>
  <c r="D140" i="66"/>
  <c r="E140" i="66" s="1"/>
  <c r="D139" i="66"/>
  <c r="E139" i="66" s="1"/>
  <c r="D138" i="66"/>
  <c r="E138" i="66" s="1"/>
  <c r="D137" i="66"/>
  <c r="E137" i="66" s="1"/>
  <c r="D136" i="66"/>
  <c r="E136" i="66" s="1"/>
  <c r="D135" i="66"/>
  <c r="E135" i="66" s="1"/>
  <c r="D134" i="66"/>
  <c r="E134" i="66" s="1"/>
  <c r="D133" i="66"/>
  <c r="E133" i="66" s="1"/>
  <c r="D132" i="66"/>
  <c r="E132" i="66" s="1"/>
  <c r="D131" i="66"/>
  <c r="E131" i="66" s="1"/>
  <c r="D130" i="66"/>
  <c r="E130" i="66" s="1"/>
  <c r="D129" i="66"/>
  <c r="E129" i="66" s="1"/>
  <c r="D128" i="66"/>
  <c r="E128" i="66" s="1"/>
  <c r="D127" i="66"/>
  <c r="E127" i="66" s="1"/>
  <c r="D126" i="66"/>
  <c r="E126" i="66" s="1"/>
  <c r="D125" i="66"/>
  <c r="E125" i="66" s="1"/>
  <c r="D124" i="66"/>
  <c r="E124" i="66" s="1"/>
  <c r="D123" i="66"/>
  <c r="E123" i="66" s="1"/>
  <c r="D122" i="66"/>
  <c r="E122" i="66" s="1"/>
  <c r="D121" i="66"/>
  <c r="E121" i="66" s="1"/>
  <c r="D120" i="66"/>
  <c r="E120" i="66" s="1"/>
  <c r="D119" i="66"/>
  <c r="E119" i="66" s="1"/>
  <c r="D118" i="66"/>
  <c r="E118" i="66" s="1"/>
  <c r="D117" i="66"/>
  <c r="E117" i="66" s="1"/>
  <c r="D116" i="66"/>
  <c r="E116" i="66" s="1"/>
  <c r="D115" i="66"/>
  <c r="E115" i="66" s="1"/>
  <c r="D114" i="66"/>
  <c r="E114" i="66" s="1"/>
  <c r="D113" i="66"/>
  <c r="E113" i="66" s="1"/>
  <c r="D112" i="66"/>
  <c r="E112" i="66" s="1"/>
  <c r="D111" i="66"/>
  <c r="E111" i="66" s="1"/>
  <c r="D110" i="66"/>
  <c r="E110" i="66" s="1"/>
  <c r="D109" i="66"/>
  <c r="E109" i="66" s="1"/>
  <c r="D108" i="66"/>
  <c r="E108" i="66" s="1"/>
  <c r="D107" i="66"/>
  <c r="E107" i="66" s="1"/>
  <c r="D58" i="66"/>
  <c r="E58" i="66" s="1"/>
  <c r="D57" i="66"/>
  <c r="E57" i="66" s="1"/>
  <c r="D56" i="66"/>
  <c r="E56" i="66" s="1"/>
  <c r="D55" i="66"/>
  <c r="E55" i="66" s="1"/>
  <c r="D54" i="66"/>
  <c r="E54" i="66" s="1"/>
  <c r="D53" i="66"/>
  <c r="E53" i="66" s="1"/>
  <c r="D52" i="66"/>
  <c r="E52" i="66" s="1"/>
  <c r="D51" i="66"/>
  <c r="E51" i="66" s="1"/>
  <c r="D50" i="66"/>
  <c r="E50" i="66" s="1"/>
  <c r="D49" i="66"/>
  <c r="E49" i="66" s="1"/>
  <c r="D48" i="66"/>
  <c r="E48" i="66" s="1"/>
  <c r="D47" i="66"/>
  <c r="E47" i="66" s="1"/>
  <c r="D46" i="66"/>
  <c r="E46" i="66" s="1"/>
  <c r="D45" i="66"/>
  <c r="E45" i="66" s="1"/>
  <c r="D44" i="66"/>
  <c r="E44" i="66" s="1"/>
  <c r="D43" i="66"/>
  <c r="E43" i="66" s="1"/>
  <c r="D42" i="66"/>
  <c r="E42" i="66" s="1"/>
  <c r="D41" i="66"/>
  <c r="E41" i="66" s="1"/>
  <c r="D40" i="66"/>
  <c r="E40" i="66" s="1"/>
  <c r="D39" i="66"/>
  <c r="E39" i="66" s="1"/>
  <c r="D38" i="66"/>
  <c r="E38" i="66" s="1"/>
  <c r="D37" i="66"/>
  <c r="E37" i="66" s="1"/>
  <c r="D36" i="66"/>
  <c r="E36" i="66" s="1"/>
  <c r="D35" i="66"/>
  <c r="D34" i="66"/>
  <c r="D33" i="66"/>
  <c r="D32" i="66"/>
  <c r="D31" i="66"/>
  <c r="D30" i="66"/>
  <c r="D29" i="66"/>
  <c r="D28" i="66"/>
  <c r="D27" i="66"/>
  <c r="E27" i="66" s="1"/>
  <c r="D26" i="66"/>
  <c r="E26" i="66" s="1"/>
  <c r="D25" i="66"/>
  <c r="E25" i="66" s="1"/>
  <c r="D24" i="66"/>
  <c r="E24" i="66" s="1"/>
  <c r="D23" i="66"/>
  <c r="E23" i="66" s="1"/>
  <c r="D22" i="66"/>
  <c r="E22" i="66" s="1"/>
  <c r="D21" i="66"/>
  <c r="E21" i="66" s="1"/>
  <c r="D20" i="66"/>
  <c r="E20" i="66" s="1"/>
  <c r="D19" i="66"/>
  <c r="E19" i="66" s="1"/>
  <c r="D18" i="66"/>
  <c r="E18" i="66" s="1"/>
  <c r="D17" i="66"/>
  <c r="E17" i="66" s="1"/>
  <c r="D16" i="66"/>
  <c r="E16" i="66" s="1"/>
  <c r="D15" i="66"/>
  <c r="E15" i="66" s="1"/>
  <c r="D14" i="66"/>
  <c r="E14" i="66" s="1"/>
  <c r="D13" i="66"/>
  <c r="E13" i="66" s="1"/>
  <c r="D12" i="66"/>
  <c r="E12" i="66" s="1"/>
  <c r="D11" i="66"/>
  <c r="E11" i="66" s="1"/>
  <c r="H11" i="66" s="1"/>
  <c r="M187" i="66"/>
  <c r="M188" i="66" s="1"/>
  <c r="M189" i="66" s="1"/>
  <c r="M190" i="66" s="1"/>
  <c r="M191" i="66" s="1"/>
  <c r="M192" i="66" s="1"/>
  <c r="M193" i="66" s="1"/>
  <c r="M194" i="66" s="1"/>
  <c r="M195" i="66" s="1"/>
  <c r="M196" i="66" s="1"/>
  <c r="M197" i="66" s="1"/>
  <c r="M198" i="66" s="1"/>
  <c r="M199" i="66" s="1"/>
  <c r="M200" i="66" s="1"/>
  <c r="M201" i="66" s="1"/>
  <c r="M202" i="66" s="1"/>
  <c r="M171" i="66"/>
  <c r="M172" i="66" s="1"/>
  <c r="M173" i="66" s="1"/>
  <c r="M174" i="66" s="1"/>
  <c r="M175" i="66" s="1"/>
  <c r="M176" i="66" s="1"/>
  <c r="M177" i="66" s="1"/>
  <c r="M178" i="66" s="1"/>
  <c r="M179" i="66" s="1"/>
  <c r="M180" i="66" s="1"/>
  <c r="M181" i="66" s="1"/>
  <c r="M182" i="66" s="1"/>
  <c r="M183" i="66" s="1"/>
  <c r="M184" i="66" s="1"/>
  <c r="M185" i="66" s="1"/>
  <c r="M186" i="66" s="1"/>
  <c r="M155" i="66"/>
  <c r="M156" i="66" s="1"/>
  <c r="M157" i="66" s="1"/>
  <c r="M158" i="66" s="1"/>
  <c r="M159" i="66" s="1"/>
  <c r="M160" i="66" s="1"/>
  <c r="M161" i="66" s="1"/>
  <c r="M162" i="66" s="1"/>
  <c r="M163" i="66" s="1"/>
  <c r="M164" i="66" s="1"/>
  <c r="M165" i="66" s="1"/>
  <c r="M166" i="66" s="1"/>
  <c r="M167" i="66" s="1"/>
  <c r="M168" i="66" s="1"/>
  <c r="M169" i="66" s="1"/>
  <c r="M170" i="66" s="1"/>
  <c r="M139" i="66"/>
  <c r="M140" i="66" s="1"/>
  <c r="M141" i="66" s="1"/>
  <c r="M142" i="66" s="1"/>
  <c r="M143" i="66" s="1"/>
  <c r="M144" i="66" s="1"/>
  <c r="M145" i="66" s="1"/>
  <c r="M146" i="66" s="1"/>
  <c r="M147" i="66" s="1"/>
  <c r="M148" i="66" s="1"/>
  <c r="M149" i="66" s="1"/>
  <c r="M150" i="66" s="1"/>
  <c r="M151" i="66" s="1"/>
  <c r="M152" i="66" s="1"/>
  <c r="M153" i="66" s="1"/>
  <c r="M154" i="66" s="1"/>
  <c r="M123" i="66"/>
  <c r="M124" i="66" s="1"/>
  <c r="M125" i="66" s="1"/>
  <c r="M126" i="66" s="1"/>
  <c r="M127" i="66" s="1"/>
  <c r="M128" i="66" s="1"/>
  <c r="M129" i="66" s="1"/>
  <c r="M130" i="66" s="1"/>
  <c r="M131" i="66" s="1"/>
  <c r="M132" i="66" s="1"/>
  <c r="M133" i="66" s="1"/>
  <c r="M134" i="66" s="1"/>
  <c r="M135" i="66" s="1"/>
  <c r="M136" i="66" s="1"/>
  <c r="M137" i="66" s="1"/>
  <c r="M138" i="66" s="1"/>
  <c r="M107" i="66"/>
  <c r="M108" i="66" s="1"/>
  <c r="M109" i="66" s="1"/>
  <c r="M110" i="66" s="1"/>
  <c r="M111" i="66" s="1"/>
  <c r="M112" i="66" s="1"/>
  <c r="M113" i="66" s="1"/>
  <c r="M114" i="66" s="1"/>
  <c r="M115" i="66" s="1"/>
  <c r="M116" i="66" s="1"/>
  <c r="M117" i="66" s="1"/>
  <c r="M118" i="66" s="1"/>
  <c r="M119" i="66" s="1"/>
  <c r="M120" i="66" s="1"/>
  <c r="M121" i="66" s="1"/>
  <c r="M122" i="66" s="1"/>
  <c r="M91" i="66"/>
  <c r="M92" i="66" s="1"/>
  <c r="M93" i="66" s="1"/>
  <c r="M94" i="66" s="1"/>
  <c r="M95" i="66" s="1"/>
  <c r="M96" i="66" s="1"/>
  <c r="M97" i="66" s="1"/>
  <c r="M98" i="66" s="1"/>
  <c r="M99" i="66" s="1"/>
  <c r="M100" i="66" s="1"/>
  <c r="M101" i="66" s="1"/>
  <c r="M102" i="66" s="1"/>
  <c r="M103" i="66" s="1"/>
  <c r="M104" i="66" s="1"/>
  <c r="M105" i="66" s="1"/>
  <c r="M106" i="66" s="1"/>
  <c r="M75" i="66"/>
  <c r="M76" i="66" s="1"/>
  <c r="M77" i="66" s="1"/>
  <c r="M78" i="66" s="1"/>
  <c r="M79" i="66" s="1"/>
  <c r="M80" i="66" s="1"/>
  <c r="M81" i="66" s="1"/>
  <c r="M82" i="66" s="1"/>
  <c r="M83" i="66" s="1"/>
  <c r="M84" i="66" s="1"/>
  <c r="M85" i="66" s="1"/>
  <c r="M86" i="66" s="1"/>
  <c r="M87" i="66" s="1"/>
  <c r="M88" i="66" s="1"/>
  <c r="M89" i="66" s="1"/>
  <c r="M90" i="66" s="1"/>
  <c r="M59" i="66"/>
  <c r="M60" i="66" s="1"/>
  <c r="M61" i="66" s="1"/>
  <c r="M62" i="66" s="1"/>
  <c r="M63" i="66" s="1"/>
  <c r="M64" i="66" s="1"/>
  <c r="M65" i="66" s="1"/>
  <c r="M66" i="66" s="1"/>
  <c r="M67" i="66" s="1"/>
  <c r="M68" i="66" s="1"/>
  <c r="M69" i="66" s="1"/>
  <c r="M70" i="66" s="1"/>
  <c r="M71" i="66" s="1"/>
  <c r="M72" i="66" s="1"/>
  <c r="M73" i="66" s="1"/>
  <c r="M74" i="66" s="1"/>
  <c r="M43" i="66"/>
  <c r="M44" i="66" s="1"/>
  <c r="M45" i="66" s="1"/>
  <c r="M46" i="66" s="1"/>
  <c r="M47" i="66" s="1"/>
  <c r="M48" i="66" s="1"/>
  <c r="M49" i="66" s="1"/>
  <c r="M50" i="66" s="1"/>
  <c r="M51" i="66" s="1"/>
  <c r="M52" i="66" s="1"/>
  <c r="M53" i="66" s="1"/>
  <c r="M54" i="66" s="1"/>
  <c r="M55" i="66" s="1"/>
  <c r="M56" i="66" s="1"/>
  <c r="M57" i="66" s="1"/>
  <c r="M58" i="66" s="1"/>
  <c r="M27" i="66"/>
  <c r="M28" i="66" s="1"/>
  <c r="M29" i="66" s="1"/>
  <c r="M30" i="66" s="1"/>
  <c r="M31" i="66" s="1"/>
  <c r="M32" i="66" s="1"/>
  <c r="M33" i="66" s="1"/>
  <c r="M34" i="66" s="1"/>
  <c r="M35" i="66" s="1"/>
  <c r="M36" i="66" s="1"/>
  <c r="M37" i="66" s="1"/>
  <c r="M38" i="66" s="1"/>
  <c r="M39" i="66" s="1"/>
  <c r="M40" i="66" s="1"/>
  <c r="M41" i="66" s="1"/>
  <c r="M42" i="66" s="1"/>
  <c r="J12" i="66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J55" i="66" s="1"/>
  <c r="J56" i="66" s="1"/>
  <c r="J57" i="66" s="1"/>
  <c r="J58" i="66" s="1"/>
  <c r="J59" i="66" s="1"/>
  <c r="J60" i="66" s="1"/>
  <c r="J61" i="66" s="1"/>
  <c r="J62" i="66" s="1"/>
  <c r="J63" i="66" s="1"/>
  <c r="J64" i="66" s="1"/>
  <c r="J65" i="66" s="1"/>
  <c r="J66" i="66" s="1"/>
  <c r="J67" i="66" s="1"/>
  <c r="J68" i="66" s="1"/>
  <c r="J69" i="66" s="1"/>
  <c r="J70" i="66" s="1"/>
  <c r="J71" i="66" s="1"/>
  <c r="J72" i="66" s="1"/>
  <c r="J73" i="66" s="1"/>
  <c r="J74" i="66" s="1"/>
  <c r="J75" i="66" s="1"/>
  <c r="J76" i="66" s="1"/>
  <c r="J77" i="66" s="1"/>
  <c r="J78" i="66" s="1"/>
  <c r="J79" i="66" s="1"/>
  <c r="J80" i="66" s="1"/>
  <c r="J81" i="66" s="1"/>
  <c r="J82" i="66" s="1"/>
  <c r="J83" i="66" s="1"/>
  <c r="J84" i="66" s="1"/>
  <c r="J85" i="66" s="1"/>
  <c r="J86" i="66" s="1"/>
  <c r="J87" i="66" s="1"/>
  <c r="J88" i="66" s="1"/>
  <c r="J89" i="66" s="1"/>
  <c r="J90" i="66" s="1"/>
  <c r="J91" i="66" s="1"/>
  <c r="J92" i="66" s="1"/>
  <c r="J93" i="66" s="1"/>
  <c r="J94" i="66" s="1"/>
  <c r="J95" i="66" s="1"/>
  <c r="J96" i="66" s="1"/>
  <c r="J97" i="66" s="1"/>
  <c r="J98" i="66" s="1"/>
  <c r="J99" i="66" s="1"/>
  <c r="J100" i="66" s="1"/>
  <c r="J101" i="66" s="1"/>
  <c r="J102" i="66" s="1"/>
  <c r="J103" i="66" s="1"/>
  <c r="J104" i="66" s="1"/>
  <c r="J105" i="66" s="1"/>
  <c r="J106" i="66" s="1"/>
  <c r="J107" i="66" s="1"/>
  <c r="J108" i="66" s="1"/>
  <c r="J109" i="66" s="1"/>
  <c r="J110" i="66" s="1"/>
  <c r="J111" i="66" s="1"/>
  <c r="J112" i="66" s="1"/>
  <c r="J113" i="66" s="1"/>
  <c r="J114" i="66" s="1"/>
  <c r="J115" i="66" s="1"/>
  <c r="J116" i="66" s="1"/>
  <c r="J117" i="66" s="1"/>
  <c r="J118" i="66" s="1"/>
  <c r="J119" i="66" s="1"/>
  <c r="J120" i="66" s="1"/>
  <c r="J121" i="66" s="1"/>
  <c r="J122" i="66" s="1"/>
  <c r="J123" i="66" s="1"/>
  <c r="J124" i="66" s="1"/>
  <c r="J125" i="66" s="1"/>
  <c r="J126" i="66" s="1"/>
  <c r="J127" i="66" s="1"/>
  <c r="J128" i="66" s="1"/>
  <c r="J129" i="66" s="1"/>
  <c r="J130" i="66" s="1"/>
  <c r="J131" i="66" s="1"/>
  <c r="J132" i="66" s="1"/>
  <c r="J133" i="66" s="1"/>
  <c r="J134" i="66" s="1"/>
  <c r="J135" i="66" s="1"/>
  <c r="J136" i="66" s="1"/>
  <c r="J137" i="66" s="1"/>
  <c r="J138" i="66" s="1"/>
  <c r="J139" i="66" s="1"/>
  <c r="J140" i="66" s="1"/>
  <c r="J141" i="66" s="1"/>
  <c r="J142" i="66" s="1"/>
  <c r="J143" i="66" s="1"/>
  <c r="J144" i="66" s="1"/>
  <c r="J145" i="66" s="1"/>
  <c r="J146" i="66" s="1"/>
  <c r="J147" i="66" s="1"/>
  <c r="J148" i="66" s="1"/>
  <c r="J149" i="66" s="1"/>
  <c r="J150" i="66" s="1"/>
  <c r="J151" i="66" s="1"/>
  <c r="J152" i="66" s="1"/>
  <c r="J153" i="66" s="1"/>
  <c r="J154" i="66" s="1"/>
  <c r="J155" i="66" s="1"/>
  <c r="J156" i="66" s="1"/>
  <c r="J157" i="66" s="1"/>
  <c r="J158" i="66" s="1"/>
  <c r="J159" i="66" s="1"/>
  <c r="J160" i="66" s="1"/>
  <c r="J161" i="66" s="1"/>
  <c r="J162" i="66" s="1"/>
  <c r="J163" i="66" s="1"/>
  <c r="J164" i="66" s="1"/>
  <c r="J165" i="66" s="1"/>
  <c r="J166" i="66" s="1"/>
  <c r="J167" i="66" s="1"/>
  <c r="J168" i="66" s="1"/>
  <c r="J169" i="66" s="1"/>
  <c r="J170" i="66" s="1"/>
  <c r="J171" i="66" s="1"/>
  <c r="J172" i="66" s="1"/>
  <c r="J173" i="66" s="1"/>
  <c r="J174" i="66" s="1"/>
  <c r="J175" i="66" s="1"/>
  <c r="J176" i="66" s="1"/>
  <c r="J177" i="66" s="1"/>
  <c r="J178" i="66" s="1"/>
  <c r="J179" i="66" s="1"/>
  <c r="J180" i="66" s="1"/>
  <c r="J181" i="66" s="1"/>
  <c r="J182" i="66" s="1"/>
  <c r="J183" i="66" s="1"/>
  <c r="J184" i="66" s="1"/>
  <c r="J185" i="66" s="1"/>
  <c r="J186" i="66" s="1"/>
  <c r="J187" i="66" s="1"/>
  <c r="J188" i="66" s="1"/>
  <c r="J189" i="66" s="1"/>
  <c r="J190" i="66" s="1"/>
  <c r="J191" i="66" s="1"/>
  <c r="J192" i="66" s="1"/>
  <c r="J193" i="66" s="1"/>
  <c r="J194" i="66" s="1"/>
  <c r="J195" i="66" s="1"/>
  <c r="J196" i="66" s="1"/>
  <c r="J197" i="66" s="1"/>
  <c r="J198" i="66" s="1"/>
  <c r="J199" i="66" s="1"/>
  <c r="J200" i="66" s="1"/>
  <c r="J201" i="66" s="1"/>
  <c r="J202" i="66" s="1"/>
  <c r="I12" i="66"/>
  <c r="I13" i="66" s="1"/>
  <c r="I14" i="66" s="1"/>
  <c r="I15" i="66" s="1"/>
  <c r="I16" i="66" s="1"/>
  <c r="I17" i="66" s="1"/>
  <c r="I18" i="66" s="1"/>
  <c r="I19" i="66" s="1"/>
  <c r="I20" i="66" s="1"/>
  <c r="I21" i="66" s="1"/>
  <c r="I22" i="66" s="1"/>
  <c r="I23" i="66" s="1"/>
  <c r="I24" i="66" s="1"/>
  <c r="I25" i="66" s="1"/>
  <c r="I26" i="66" s="1"/>
  <c r="I27" i="66" s="1"/>
  <c r="I28" i="66" s="1"/>
  <c r="I29" i="66" s="1"/>
  <c r="I30" i="66" s="1"/>
  <c r="I31" i="66" s="1"/>
  <c r="I32" i="66" s="1"/>
  <c r="I33" i="66" s="1"/>
  <c r="I34" i="66" s="1"/>
  <c r="I35" i="66" s="1"/>
  <c r="I36" i="66" s="1"/>
  <c r="I37" i="66" s="1"/>
  <c r="I38" i="66" s="1"/>
  <c r="I39" i="66" s="1"/>
  <c r="I40" i="66" s="1"/>
  <c r="I41" i="66" s="1"/>
  <c r="I42" i="66" s="1"/>
  <c r="I43" i="66" s="1"/>
  <c r="I44" i="66" s="1"/>
  <c r="I45" i="66" s="1"/>
  <c r="I46" i="66" s="1"/>
  <c r="I47" i="66" s="1"/>
  <c r="I48" i="66" s="1"/>
  <c r="I49" i="66" s="1"/>
  <c r="I50" i="66" s="1"/>
  <c r="I51" i="66" s="1"/>
  <c r="I52" i="66" s="1"/>
  <c r="I53" i="66" s="1"/>
  <c r="I54" i="66" s="1"/>
  <c r="I55" i="66" s="1"/>
  <c r="I56" i="66" s="1"/>
  <c r="I57" i="66" s="1"/>
  <c r="I58" i="66" s="1"/>
  <c r="I59" i="66" s="1"/>
  <c r="I60" i="66" s="1"/>
  <c r="I61" i="66" s="1"/>
  <c r="I62" i="66" s="1"/>
  <c r="I63" i="66" s="1"/>
  <c r="I64" i="66" s="1"/>
  <c r="I65" i="66" s="1"/>
  <c r="I66" i="66" s="1"/>
  <c r="I67" i="66" s="1"/>
  <c r="I68" i="66" s="1"/>
  <c r="I69" i="66" s="1"/>
  <c r="I70" i="66" s="1"/>
  <c r="I71" i="66" s="1"/>
  <c r="I72" i="66" s="1"/>
  <c r="I73" i="66" s="1"/>
  <c r="I74" i="66" s="1"/>
  <c r="I75" i="66" s="1"/>
  <c r="I76" i="66" s="1"/>
  <c r="I77" i="66" s="1"/>
  <c r="I78" i="66" s="1"/>
  <c r="I79" i="66" s="1"/>
  <c r="I80" i="66" s="1"/>
  <c r="I81" i="66" s="1"/>
  <c r="I82" i="66" s="1"/>
  <c r="I83" i="66" s="1"/>
  <c r="I84" i="66" s="1"/>
  <c r="I85" i="66" s="1"/>
  <c r="I86" i="66" s="1"/>
  <c r="I87" i="66" s="1"/>
  <c r="I88" i="66" s="1"/>
  <c r="I89" i="66" s="1"/>
  <c r="I90" i="66" s="1"/>
  <c r="I91" i="66" s="1"/>
  <c r="I92" i="66" s="1"/>
  <c r="I93" i="66" s="1"/>
  <c r="I94" i="66" s="1"/>
  <c r="I95" i="66" s="1"/>
  <c r="I96" i="66" s="1"/>
  <c r="I97" i="66" s="1"/>
  <c r="I98" i="66" s="1"/>
  <c r="I99" i="66" s="1"/>
  <c r="I100" i="66" s="1"/>
  <c r="I101" i="66" s="1"/>
  <c r="I102" i="66" s="1"/>
  <c r="I103" i="66" s="1"/>
  <c r="I104" i="66" s="1"/>
  <c r="I105" i="66" s="1"/>
  <c r="I106" i="66" s="1"/>
  <c r="I107" i="66" s="1"/>
  <c r="I108" i="66" s="1"/>
  <c r="I109" i="66" s="1"/>
  <c r="I110" i="66" s="1"/>
  <c r="I111" i="66" s="1"/>
  <c r="I112" i="66" s="1"/>
  <c r="I113" i="66" s="1"/>
  <c r="I114" i="66" s="1"/>
  <c r="I115" i="66" s="1"/>
  <c r="I116" i="66" s="1"/>
  <c r="I117" i="66" s="1"/>
  <c r="I118" i="66" s="1"/>
  <c r="I119" i="66" s="1"/>
  <c r="I120" i="66" s="1"/>
  <c r="I121" i="66" s="1"/>
  <c r="I122" i="66" s="1"/>
  <c r="I123" i="66" s="1"/>
  <c r="I124" i="66" s="1"/>
  <c r="I125" i="66" s="1"/>
  <c r="I126" i="66" s="1"/>
  <c r="I127" i="66" s="1"/>
  <c r="I128" i="66" s="1"/>
  <c r="I129" i="66" s="1"/>
  <c r="I130" i="66" s="1"/>
  <c r="I131" i="66" s="1"/>
  <c r="I132" i="66" s="1"/>
  <c r="I133" i="66" s="1"/>
  <c r="I134" i="66" s="1"/>
  <c r="I135" i="66" s="1"/>
  <c r="I136" i="66" s="1"/>
  <c r="I137" i="66" s="1"/>
  <c r="I138" i="66" s="1"/>
  <c r="I139" i="66" s="1"/>
  <c r="I140" i="66" s="1"/>
  <c r="I141" i="66" s="1"/>
  <c r="I142" i="66" s="1"/>
  <c r="I143" i="66" s="1"/>
  <c r="I144" i="66" s="1"/>
  <c r="I145" i="66" s="1"/>
  <c r="I146" i="66" s="1"/>
  <c r="I147" i="66" s="1"/>
  <c r="I148" i="66" s="1"/>
  <c r="I149" i="66" s="1"/>
  <c r="I150" i="66" s="1"/>
  <c r="I151" i="66" s="1"/>
  <c r="I152" i="66" s="1"/>
  <c r="I153" i="66" s="1"/>
  <c r="I154" i="66" s="1"/>
  <c r="I155" i="66" s="1"/>
  <c r="I156" i="66" s="1"/>
  <c r="I157" i="66" s="1"/>
  <c r="I158" i="66" s="1"/>
  <c r="I159" i="66" s="1"/>
  <c r="I160" i="66" s="1"/>
  <c r="I161" i="66" s="1"/>
  <c r="I162" i="66" s="1"/>
  <c r="I163" i="66" s="1"/>
  <c r="I164" i="66" s="1"/>
  <c r="I165" i="66" s="1"/>
  <c r="I166" i="66" s="1"/>
  <c r="I167" i="66" s="1"/>
  <c r="I168" i="66" s="1"/>
  <c r="I169" i="66" s="1"/>
  <c r="I170" i="66" s="1"/>
  <c r="I171" i="66" s="1"/>
  <c r="I172" i="66" s="1"/>
  <c r="I173" i="66" s="1"/>
  <c r="I174" i="66" s="1"/>
  <c r="I175" i="66" s="1"/>
  <c r="I176" i="66" s="1"/>
  <c r="I177" i="66" s="1"/>
  <c r="I178" i="66" s="1"/>
  <c r="I179" i="66" s="1"/>
  <c r="I180" i="66" s="1"/>
  <c r="I181" i="66" s="1"/>
  <c r="I182" i="66" s="1"/>
  <c r="I183" i="66" s="1"/>
  <c r="I184" i="66" s="1"/>
  <c r="I185" i="66" s="1"/>
  <c r="I186" i="66" s="1"/>
  <c r="I187" i="66" s="1"/>
  <c r="I188" i="66" s="1"/>
  <c r="I189" i="66" s="1"/>
  <c r="I190" i="66" s="1"/>
  <c r="I191" i="66" s="1"/>
  <c r="I192" i="66" s="1"/>
  <c r="I193" i="66" s="1"/>
  <c r="I194" i="66" s="1"/>
  <c r="I195" i="66" s="1"/>
  <c r="I196" i="66" s="1"/>
  <c r="I197" i="66" s="1"/>
  <c r="I198" i="66" s="1"/>
  <c r="I199" i="66" s="1"/>
  <c r="I200" i="66" s="1"/>
  <c r="I201" i="66" s="1"/>
  <c r="I202" i="66" s="1"/>
  <c r="F12" i="66"/>
  <c r="G12" i="66" s="1"/>
  <c r="B12" i="66"/>
  <c r="B13" i="66" s="1"/>
  <c r="B14" i="66" s="1"/>
  <c r="B15" i="66" s="1"/>
  <c r="B16" i="66" s="1"/>
  <c r="B17" i="66" s="1"/>
  <c r="B18" i="66" s="1"/>
  <c r="B19" i="66" s="1"/>
  <c r="B20" i="66" s="1"/>
  <c r="B21" i="66" s="1"/>
  <c r="B22" i="66" s="1"/>
  <c r="B23" i="66" s="1"/>
  <c r="B24" i="66" s="1"/>
  <c r="B25" i="66" s="1"/>
  <c r="B26" i="66" s="1"/>
  <c r="B27" i="66" s="1"/>
  <c r="B28" i="66" s="1"/>
  <c r="B29" i="66" s="1"/>
  <c r="B30" i="66" s="1"/>
  <c r="B31" i="66" s="1"/>
  <c r="B32" i="66" s="1"/>
  <c r="B33" i="66" s="1"/>
  <c r="B34" i="66" s="1"/>
  <c r="B35" i="66" s="1"/>
  <c r="B36" i="66" s="1"/>
  <c r="B37" i="66" s="1"/>
  <c r="B38" i="66" s="1"/>
  <c r="B39" i="66" s="1"/>
  <c r="B40" i="66" s="1"/>
  <c r="B41" i="66" s="1"/>
  <c r="B42" i="66" s="1"/>
  <c r="B43" i="66" s="1"/>
  <c r="B44" i="66" s="1"/>
  <c r="B45" i="66" s="1"/>
  <c r="B46" i="66" s="1"/>
  <c r="B47" i="66" s="1"/>
  <c r="B48" i="66" s="1"/>
  <c r="B49" i="66" s="1"/>
  <c r="B50" i="66" s="1"/>
  <c r="B51" i="66" s="1"/>
  <c r="B52" i="66" s="1"/>
  <c r="B53" i="66" s="1"/>
  <c r="B54" i="66" s="1"/>
  <c r="B55" i="66" s="1"/>
  <c r="B56" i="66" s="1"/>
  <c r="B57" i="66" s="1"/>
  <c r="B58" i="66" s="1"/>
  <c r="B59" i="66" s="1"/>
  <c r="B60" i="66" s="1"/>
  <c r="B61" i="66" s="1"/>
  <c r="B62" i="66" s="1"/>
  <c r="B63" i="66" s="1"/>
  <c r="B64" i="66" s="1"/>
  <c r="B65" i="66" s="1"/>
  <c r="B66" i="66" s="1"/>
  <c r="B67" i="66" s="1"/>
  <c r="B68" i="66" s="1"/>
  <c r="B69" i="66" s="1"/>
  <c r="B70" i="66" s="1"/>
  <c r="B71" i="66" s="1"/>
  <c r="B72" i="66" s="1"/>
  <c r="B73" i="66" s="1"/>
  <c r="B74" i="66" s="1"/>
  <c r="B75" i="66" s="1"/>
  <c r="B76" i="66" s="1"/>
  <c r="B77" i="66" s="1"/>
  <c r="B78" i="66" s="1"/>
  <c r="B79" i="66" s="1"/>
  <c r="B80" i="66" s="1"/>
  <c r="B81" i="66" s="1"/>
  <c r="B82" i="66" s="1"/>
  <c r="B83" i="66" s="1"/>
  <c r="B84" i="66" s="1"/>
  <c r="B85" i="66" s="1"/>
  <c r="B86" i="66" s="1"/>
  <c r="B87" i="66" s="1"/>
  <c r="B88" i="66" s="1"/>
  <c r="B89" i="66" s="1"/>
  <c r="B90" i="66" s="1"/>
  <c r="B91" i="66" s="1"/>
  <c r="B92" i="66" s="1"/>
  <c r="B93" i="66" s="1"/>
  <c r="B94" i="66" s="1"/>
  <c r="B95" i="66" s="1"/>
  <c r="B96" i="66" s="1"/>
  <c r="B97" i="66" s="1"/>
  <c r="B98" i="66" s="1"/>
  <c r="B99" i="66" s="1"/>
  <c r="B100" i="66" s="1"/>
  <c r="B101" i="66" s="1"/>
  <c r="B102" i="66" s="1"/>
  <c r="B103" i="66" s="1"/>
  <c r="B104" i="66" s="1"/>
  <c r="B105" i="66" s="1"/>
  <c r="B106" i="66" s="1"/>
  <c r="B107" i="66" s="1"/>
  <c r="B108" i="66" s="1"/>
  <c r="B109" i="66" s="1"/>
  <c r="B110" i="66" s="1"/>
  <c r="B111" i="66" s="1"/>
  <c r="B112" i="66" s="1"/>
  <c r="B113" i="66" s="1"/>
  <c r="B114" i="66" s="1"/>
  <c r="B115" i="66" s="1"/>
  <c r="B116" i="66" s="1"/>
  <c r="B117" i="66" s="1"/>
  <c r="B118" i="66" s="1"/>
  <c r="B119" i="66" s="1"/>
  <c r="B120" i="66" s="1"/>
  <c r="B121" i="66" s="1"/>
  <c r="B122" i="66" s="1"/>
  <c r="B123" i="66" s="1"/>
  <c r="B124" i="66" s="1"/>
  <c r="B125" i="66" s="1"/>
  <c r="B126" i="66" s="1"/>
  <c r="B127" i="66" s="1"/>
  <c r="B128" i="66" s="1"/>
  <c r="B129" i="66" s="1"/>
  <c r="B130" i="66" s="1"/>
  <c r="B131" i="66" s="1"/>
  <c r="B132" i="66" s="1"/>
  <c r="B133" i="66" s="1"/>
  <c r="B134" i="66" s="1"/>
  <c r="B135" i="66" s="1"/>
  <c r="B136" i="66" s="1"/>
  <c r="B137" i="66" s="1"/>
  <c r="B138" i="66" s="1"/>
  <c r="B139" i="66" s="1"/>
  <c r="B140" i="66" s="1"/>
  <c r="B141" i="66" s="1"/>
  <c r="B142" i="66" s="1"/>
  <c r="B143" i="66" s="1"/>
  <c r="B144" i="66" s="1"/>
  <c r="B145" i="66" s="1"/>
  <c r="B146" i="66" s="1"/>
  <c r="B147" i="66" s="1"/>
  <c r="B148" i="66" s="1"/>
  <c r="B149" i="66" s="1"/>
  <c r="B150" i="66" s="1"/>
  <c r="B151" i="66" s="1"/>
  <c r="B152" i="66" s="1"/>
  <c r="B153" i="66" s="1"/>
  <c r="B154" i="66" s="1"/>
  <c r="B155" i="66" s="1"/>
  <c r="B156" i="66" s="1"/>
  <c r="B157" i="66" s="1"/>
  <c r="B158" i="66" s="1"/>
  <c r="B159" i="66" s="1"/>
  <c r="B160" i="66" s="1"/>
  <c r="B161" i="66" s="1"/>
  <c r="B162" i="66" s="1"/>
  <c r="B163" i="66" s="1"/>
  <c r="B164" i="66" s="1"/>
  <c r="B165" i="66" s="1"/>
  <c r="B166" i="66" s="1"/>
  <c r="B167" i="66" s="1"/>
  <c r="B168" i="66" s="1"/>
  <c r="B169" i="66" s="1"/>
  <c r="B170" i="66" s="1"/>
  <c r="B171" i="66" s="1"/>
  <c r="B172" i="66" s="1"/>
  <c r="B173" i="66" s="1"/>
  <c r="B174" i="66" s="1"/>
  <c r="B175" i="66" s="1"/>
  <c r="B176" i="66" s="1"/>
  <c r="B177" i="66" s="1"/>
  <c r="B178" i="66" s="1"/>
  <c r="B179" i="66" s="1"/>
  <c r="B180" i="66" s="1"/>
  <c r="B181" i="66" s="1"/>
  <c r="B182" i="66" s="1"/>
  <c r="B183" i="66" s="1"/>
  <c r="B184" i="66" s="1"/>
  <c r="B185" i="66" s="1"/>
  <c r="B186" i="66" s="1"/>
  <c r="B187" i="66" s="1"/>
  <c r="B188" i="66" s="1"/>
  <c r="B189" i="66" s="1"/>
  <c r="B190" i="66" s="1"/>
  <c r="B191" i="66" s="1"/>
  <c r="B192" i="66" s="1"/>
  <c r="B193" i="66" s="1"/>
  <c r="B194" i="66" s="1"/>
  <c r="B195" i="66" s="1"/>
  <c r="B196" i="66" s="1"/>
  <c r="B197" i="66" s="1"/>
  <c r="B198" i="66" s="1"/>
  <c r="B199" i="66" s="1"/>
  <c r="B200" i="66" s="1"/>
  <c r="B201" i="66" s="1"/>
  <c r="B202" i="66" s="1"/>
  <c r="Q11" i="66"/>
  <c r="N11" i="66"/>
  <c r="N12" i="66" s="1"/>
  <c r="N13" i="66" s="1"/>
  <c r="N14" i="66" s="1"/>
  <c r="N15" i="66" s="1"/>
  <c r="N16" i="66" s="1"/>
  <c r="N17" i="66" s="1"/>
  <c r="N18" i="66" s="1"/>
  <c r="N19" i="66" s="1"/>
  <c r="N20" i="66" s="1"/>
  <c r="N21" i="66" s="1"/>
  <c r="N22" i="66" s="1"/>
  <c r="N23" i="66" s="1"/>
  <c r="N24" i="66" s="1"/>
  <c r="N25" i="66" s="1"/>
  <c r="N26" i="66" s="1"/>
  <c r="N27" i="66" s="1"/>
  <c r="N28" i="66" s="1"/>
  <c r="N29" i="66" s="1"/>
  <c r="N30" i="66" s="1"/>
  <c r="N31" i="66" s="1"/>
  <c r="N32" i="66" s="1"/>
  <c r="N33" i="66" s="1"/>
  <c r="N34" i="66" s="1"/>
  <c r="N35" i="66" s="1"/>
  <c r="N36" i="66" s="1"/>
  <c r="N37" i="66" s="1"/>
  <c r="N38" i="66" s="1"/>
  <c r="N39" i="66" s="1"/>
  <c r="N40" i="66" s="1"/>
  <c r="N41" i="66" s="1"/>
  <c r="N42" i="66" s="1"/>
  <c r="N43" i="66" s="1"/>
  <c r="N44" i="66" s="1"/>
  <c r="N45" i="66" s="1"/>
  <c r="N46" i="66" s="1"/>
  <c r="N47" i="66" s="1"/>
  <c r="N48" i="66" s="1"/>
  <c r="N49" i="66" s="1"/>
  <c r="N50" i="66" s="1"/>
  <c r="N51" i="66" s="1"/>
  <c r="N52" i="66" s="1"/>
  <c r="N53" i="66" s="1"/>
  <c r="N54" i="66" s="1"/>
  <c r="N55" i="66" s="1"/>
  <c r="N56" i="66" s="1"/>
  <c r="N57" i="66" s="1"/>
  <c r="N58" i="66" s="1"/>
  <c r="N59" i="66" s="1"/>
  <c r="N60" i="66" s="1"/>
  <c r="N61" i="66" s="1"/>
  <c r="N62" i="66" s="1"/>
  <c r="N63" i="66" s="1"/>
  <c r="N64" i="66" s="1"/>
  <c r="N65" i="66" s="1"/>
  <c r="N66" i="66" s="1"/>
  <c r="N67" i="66" s="1"/>
  <c r="N68" i="66" s="1"/>
  <c r="N69" i="66" s="1"/>
  <c r="N70" i="66" s="1"/>
  <c r="N71" i="66" s="1"/>
  <c r="N72" i="66" s="1"/>
  <c r="N73" i="66" s="1"/>
  <c r="N74" i="66" s="1"/>
  <c r="N75" i="66" s="1"/>
  <c r="N76" i="66" s="1"/>
  <c r="N77" i="66" s="1"/>
  <c r="N78" i="66" s="1"/>
  <c r="N79" i="66" s="1"/>
  <c r="N80" i="66" s="1"/>
  <c r="N81" i="66" s="1"/>
  <c r="N82" i="66" s="1"/>
  <c r="N83" i="66" s="1"/>
  <c r="N84" i="66" s="1"/>
  <c r="N85" i="66" s="1"/>
  <c r="N86" i="66" s="1"/>
  <c r="N87" i="66" s="1"/>
  <c r="N88" i="66" s="1"/>
  <c r="N89" i="66" s="1"/>
  <c r="N90" i="66" s="1"/>
  <c r="N91" i="66" s="1"/>
  <c r="N92" i="66" s="1"/>
  <c r="N93" i="66" s="1"/>
  <c r="N94" i="66" s="1"/>
  <c r="N95" i="66" s="1"/>
  <c r="N96" i="66" s="1"/>
  <c r="N97" i="66" s="1"/>
  <c r="N98" i="66" s="1"/>
  <c r="N99" i="66" s="1"/>
  <c r="N100" i="66" s="1"/>
  <c r="N101" i="66" s="1"/>
  <c r="N102" i="66" s="1"/>
  <c r="N103" i="66" s="1"/>
  <c r="N104" i="66" s="1"/>
  <c r="N105" i="66" s="1"/>
  <c r="N106" i="66" s="1"/>
  <c r="N107" i="66" s="1"/>
  <c r="N108" i="66" s="1"/>
  <c r="N109" i="66" s="1"/>
  <c r="N110" i="66" s="1"/>
  <c r="N111" i="66" s="1"/>
  <c r="N112" i="66" s="1"/>
  <c r="N113" i="66" s="1"/>
  <c r="N114" i="66" s="1"/>
  <c r="N115" i="66" s="1"/>
  <c r="N116" i="66" s="1"/>
  <c r="N117" i="66" s="1"/>
  <c r="N118" i="66" s="1"/>
  <c r="N119" i="66" s="1"/>
  <c r="N120" i="66" s="1"/>
  <c r="N121" i="66" s="1"/>
  <c r="N122" i="66" s="1"/>
  <c r="N123" i="66" s="1"/>
  <c r="N124" i="66" s="1"/>
  <c r="N125" i="66" s="1"/>
  <c r="N126" i="66" s="1"/>
  <c r="N127" i="66" s="1"/>
  <c r="N128" i="66" s="1"/>
  <c r="N129" i="66" s="1"/>
  <c r="N130" i="66" s="1"/>
  <c r="N131" i="66" s="1"/>
  <c r="N132" i="66" s="1"/>
  <c r="N133" i="66" s="1"/>
  <c r="N134" i="66" s="1"/>
  <c r="N135" i="66" s="1"/>
  <c r="N136" i="66" s="1"/>
  <c r="N137" i="66" s="1"/>
  <c r="N138" i="66" s="1"/>
  <c r="N139" i="66" s="1"/>
  <c r="N140" i="66" s="1"/>
  <c r="N141" i="66" s="1"/>
  <c r="N142" i="66" s="1"/>
  <c r="N143" i="66" s="1"/>
  <c r="N144" i="66" s="1"/>
  <c r="N145" i="66" s="1"/>
  <c r="N146" i="66" s="1"/>
  <c r="N147" i="66" s="1"/>
  <c r="N148" i="66" s="1"/>
  <c r="N149" i="66" s="1"/>
  <c r="N150" i="66" s="1"/>
  <c r="N151" i="66" s="1"/>
  <c r="N152" i="66" s="1"/>
  <c r="N153" i="66" s="1"/>
  <c r="N154" i="66" s="1"/>
  <c r="N155" i="66" s="1"/>
  <c r="N156" i="66" s="1"/>
  <c r="N157" i="66" s="1"/>
  <c r="N158" i="66" s="1"/>
  <c r="N159" i="66" s="1"/>
  <c r="N160" i="66" s="1"/>
  <c r="N161" i="66" s="1"/>
  <c r="N162" i="66" s="1"/>
  <c r="N163" i="66" s="1"/>
  <c r="N164" i="66" s="1"/>
  <c r="N165" i="66" s="1"/>
  <c r="N166" i="66" s="1"/>
  <c r="N167" i="66" s="1"/>
  <c r="N168" i="66" s="1"/>
  <c r="N169" i="66" s="1"/>
  <c r="N170" i="66" s="1"/>
  <c r="N171" i="66" s="1"/>
  <c r="N172" i="66" s="1"/>
  <c r="N173" i="66" s="1"/>
  <c r="N174" i="66" s="1"/>
  <c r="N175" i="66" s="1"/>
  <c r="N176" i="66" s="1"/>
  <c r="N177" i="66" s="1"/>
  <c r="N178" i="66" s="1"/>
  <c r="N179" i="66" s="1"/>
  <c r="N180" i="66" s="1"/>
  <c r="N181" i="66" s="1"/>
  <c r="N182" i="66" s="1"/>
  <c r="N183" i="66" s="1"/>
  <c r="N184" i="66" s="1"/>
  <c r="N185" i="66" s="1"/>
  <c r="N186" i="66" s="1"/>
  <c r="N187" i="66" s="1"/>
  <c r="N188" i="66" s="1"/>
  <c r="N189" i="66" s="1"/>
  <c r="N190" i="66" s="1"/>
  <c r="N191" i="66" s="1"/>
  <c r="N192" i="66" s="1"/>
  <c r="N193" i="66" s="1"/>
  <c r="N194" i="66" s="1"/>
  <c r="N195" i="66" s="1"/>
  <c r="N196" i="66" s="1"/>
  <c r="N197" i="66" s="1"/>
  <c r="N198" i="66" s="1"/>
  <c r="N199" i="66" s="1"/>
  <c r="N200" i="66" s="1"/>
  <c r="N201" i="66" s="1"/>
  <c r="N202" i="66" s="1"/>
  <c r="M11" i="66"/>
  <c r="M12" i="66" s="1"/>
  <c r="M13" i="66" s="1"/>
  <c r="M14" i="66" s="1"/>
  <c r="M15" i="66" s="1"/>
  <c r="M16" i="66" s="1"/>
  <c r="M17" i="66" s="1"/>
  <c r="M18" i="66" s="1"/>
  <c r="M19" i="66" s="1"/>
  <c r="M20" i="66" s="1"/>
  <c r="M21" i="66" s="1"/>
  <c r="M22" i="66" s="1"/>
  <c r="M23" i="66" s="1"/>
  <c r="M24" i="66" s="1"/>
  <c r="M25" i="66" s="1"/>
  <c r="M26" i="66" s="1"/>
  <c r="L11" i="66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L55" i="66" s="1"/>
  <c r="L56" i="66" s="1"/>
  <c r="L57" i="66" s="1"/>
  <c r="L58" i="66" s="1"/>
  <c r="L59" i="66" s="1"/>
  <c r="L60" i="66" s="1"/>
  <c r="L61" i="66" s="1"/>
  <c r="L62" i="66" s="1"/>
  <c r="L63" i="66" s="1"/>
  <c r="L64" i="66" s="1"/>
  <c r="L65" i="66" s="1"/>
  <c r="L66" i="66" s="1"/>
  <c r="L67" i="66" s="1"/>
  <c r="L68" i="66" s="1"/>
  <c r="L69" i="66" s="1"/>
  <c r="L70" i="66" s="1"/>
  <c r="L71" i="66" s="1"/>
  <c r="L72" i="66" s="1"/>
  <c r="L73" i="66" s="1"/>
  <c r="L74" i="66" s="1"/>
  <c r="L75" i="66" s="1"/>
  <c r="L76" i="66" s="1"/>
  <c r="L77" i="66" s="1"/>
  <c r="L78" i="66" s="1"/>
  <c r="L79" i="66" s="1"/>
  <c r="L80" i="66" s="1"/>
  <c r="L81" i="66" s="1"/>
  <c r="L82" i="66" s="1"/>
  <c r="L83" i="66" s="1"/>
  <c r="L84" i="66" s="1"/>
  <c r="L85" i="66" s="1"/>
  <c r="L86" i="66" s="1"/>
  <c r="L87" i="66" s="1"/>
  <c r="L88" i="66" s="1"/>
  <c r="L89" i="66" s="1"/>
  <c r="L90" i="66" s="1"/>
  <c r="L91" i="66" s="1"/>
  <c r="L92" i="66" s="1"/>
  <c r="L93" i="66" s="1"/>
  <c r="L94" i="66" s="1"/>
  <c r="L95" i="66" s="1"/>
  <c r="L96" i="66" s="1"/>
  <c r="L97" i="66" s="1"/>
  <c r="L98" i="66" s="1"/>
  <c r="L99" i="66" s="1"/>
  <c r="L100" i="66" s="1"/>
  <c r="L101" i="66" s="1"/>
  <c r="L102" i="66" s="1"/>
  <c r="L103" i="66" s="1"/>
  <c r="L104" i="66" s="1"/>
  <c r="L105" i="66" s="1"/>
  <c r="L106" i="66" s="1"/>
  <c r="L107" i="66" s="1"/>
  <c r="L108" i="66" s="1"/>
  <c r="L109" i="66" s="1"/>
  <c r="L110" i="66" s="1"/>
  <c r="L111" i="66" s="1"/>
  <c r="L112" i="66" s="1"/>
  <c r="L113" i="66" s="1"/>
  <c r="L114" i="66" s="1"/>
  <c r="L115" i="66" s="1"/>
  <c r="L116" i="66" s="1"/>
  <c r="L117" i="66" s="1"/>
  <c r="L118" i="66" s="1"/>
  <c r="L119" i="66" s="1"/>
  <c r="L120" i="66" s="1"/>
  <c r="L121" i="66" s="1"/>
  <c r="L122" i="66" s="1"/>
  <c r="L123" i="66" s="1"/>
  <c r="L124" i="66" s="1"/>
  <c r="L125" i="66" s="1"/>
  <c r="L126" i="66" s="1"/>
  <c r="L127" i="66" s="1"/>
  <c r="L128" i="66" s="1"/>
  <c r="L129" i="66" s="1"/>
  <c r="L130" i="66" s="1"/>
  <c r="L131" i="66" s="1"/>
  <c r="L132" i="66" s="1"/>
  <c r="L133" i="66" s="1"/>
  <c r="L134" i="66" s="1"/>
  <c r="L135" i="66" s="1"/>
  <c r="L136" i="66" s="1"/>
  <c r="L137" i="66" s="1"/>
  <c r="L138" i="66" s="1"/>
  <c r="L139" i="66" s="1"/>
  <c r="L140" i="66" s="1"/>
  <c r="L141" i="66" s="1"/>
  <c r="L142" i="66" s="1"/>
  <c r="L143" i="66" s="1"/>
  <c r="L144" i="66" s="1"/>
  <c r="L145" i="66" s="1"/>
  <c r="L146" i="66" s="1"/>
  <c r="L147" i="66" s="1"/>
  <c r="L148" i="66" s="1"/>
  <c r="L149" i="66" s="1"/>
  <c r="L150" i="66" s="1"/>
  <c r="L151" i="66" s="1"/>
  <c r="L152" i="66" s="1"/>
  <c r="L153" i="66" s="1"/>
  <c r="L154" i="66" s="1"/>
  <c r="L155" i="66" s="1"/>
  <c r="L156" i="66" s="1"/>
  <c r="L157" i="66" s="1"/>
  <c r="L158" i="66" s="1"/>
  <c r="L159" i="66" s="1"/>
  <c r="L160" i="66" s="1"/>
  <c r="L161" i="66" s="1"/>
  <c r="L162" i="66" s="1"/>
  <c r="L163" i="66" s="1"/>
  <c r="L164" i="66" s="1"/>
  <c r="L165" i="66" s="1"/>
  <c r="L166" i="66" s="1"/>
  <c r="L167" i="66" s="1"/>
  <c r="L168" i="66" s="1"/>
  <c r="L169" i="66" s="1"/>
  <c r="L170" i="66" s="1"/>
  <c r="L171" i="66" s="1"/>
  <c r="L172" i="66" s="1"/>
  <c r="L173" i="66" s="1"/>
  <c r="L174" i="66" s="1"/>
  <c r="L175" i="66" s="1"/>
  <c r="L176" i="66" s="1"/>
  <c r="L177" i="66" s="1"/>
  <c r="L178" i="66" s="1"/>
  <c r="L179" i="66" s="1"/>
  <c r="L180" i="66" s="1"/>
  <c r="L181" i="66" s="1"/>
  <c r="L182" i="66" s="1"/>
  <c r="L183" i="66" s="1"/>
  <c r="L184" i="66" s="1"/>
  <c r="L185" i="66" s="1"/>
  <c r="L186" i="66" s="1"/>
  <c r="L187" i="66" s="1"/>
  <c r="L188" i="66" s="1"/>
  <c r="L189" i="66" s="1"/>
  <c r="L190" i="66" s="1"/>
  <c r="L191" i="66" s="1"/>
  <c r="L192" i="66" s="1"/>
  <c r="L193" i="66" s="1"/>
  <c r="L194" i="66" s="1"/>
  <c r="L195" i="66" s="1"/>
  <c r="L196" i="66" s="1"/>
  <c r="L197" i="66" s="1"/>
  <c r="L198" i="66" s="1"/>
  <c r="L199" i="66" s="1"/>
  <c r="L200" i="66" s="1"/>
  <c r="L201" i="66" s="1"/>
  <c r="L202" i="66" s="1"/>
  <c r="B10" i="66"/>
  <c r="D59" i="47"/>
  <c r="D60" i="47"/>
  <c r="D61" i="47"/>
  <c r="D62" i="47"/>
  <c r="D63" i="47"/>
  <c r="D64" i="47"/>
  <c r="D65" i="47"/>
  <c r="D66" i="47"/>
  <c r="D67" i="47"/>
  <c r="D68" i="47"/>
  <c r="D69" i="47"/>
  <c r="D70" i="47"/>
  <c r="D71" i="47"/>
  <c r="D72" i="47"/>
  <c r="D73" i="47"/>
  <c r="D74" i="47"/>
  <c r="D75" i="47"/>
  <c r="D76" i="47"/>
  <c r="D77" i="47"/>
  <c r="D78" i="47"/>
  <c r="D79" i="47"/>
  <c r="D80" i="47"/>
  <c r="D81" i="47"/>
  <c r="D82" i="47"/>
  <c r="D83" i="47"/>
  <c r="D84" i="47"/>
  <c r="D85" i="47"/>
  <c r="D86" i="47"/>
  <c r="D87" i="47"/>
  <c r="D88" i="47"/>
  <c r="D89" i="47"/>
  <c r="D90" i="47"/>
  <c r="D91" i="47"/>
  <c r="D92" i="47"/>
  <c r="D93" i="47"/>
  <c r="D94" i="47"/>
  <c r="D95" i="47"/>
  <c r="D96" i="47"/>
  <c r="D97" i="47"/>
  <c r="D98" i="47"/>
  <c r="D99" i="47"/>
  <c r="D100" i="47"/>
  <c r="D101" i="47"/>
  <c r="D102" i="47"/>
  <c r="D103" i="47"/>
  <c r="D104" i="47"/>
  <c r="D105" i="47"/>
  <c r="D106" i="47"/>
  <c r="E155" i="47"/>
  <c r="E156" i="47"/>
  <c r="E157" i="47"/>
  <c r="E158" i="47"/>
  <c r="E159" i="47"/>
  <c r="E160" i="47"/>
  <c r="E161" i="47"/>
  <c r="E162" i="47"/>
  <c r="E163" i="47"/>
  <c r="E164" i="47"/>
  <c r="E165" i="47"/>
  <c r="E166" i="47"/>
  <c r="E167" i="47"/>
  <c r="E168" i="47"/>
  <c r="E169" i="47"/>
  <c r="E170" i="47"/>
  <c r="E171" i="47"/>
  <c r="E172" i="47"/>
  <c r="E173" i="47"/>
  <c r="E174" i="47"/>
  <c r="E175" i="47"/>
  <c r="E176" i="47"/>
  <c r="E177" i="47"/>
  <c r="E178" i="47"/>
  <c r="E179" i="47"/>
  <c r="E180" i="47"/>
  <c r="E181" i="47"/>
  <c r="E182" i="47"/>
  <c r="E183" i="47"/>
  <c r="E184" i="47"/>
  <c r="E185" i="47"/>
  <c r="E186" i="47"/>
  <c r="E187" i="47"/>
  <c r="E188" i="47"/>
  <c r="D189" i="65"/>
  <c r="E189" i="65" s="1"/>
  <c r="D190" i="65"/>
  <c r="E190" i="65" s="1"/>
  <c r="D191" i="65"/>
  <c r="E191" i="65" s="1"/>
  <c r="D192" i="65"/>
  <c r="E192" i="65" s="1"/>
  <c r="D193" i="65"/>
  <c r="E193" i="65" s="1"/>
  <c r="D194" i="65"/>
  <c r="E194" i="65" s="1"/>
  <c r="D195" i="65"/>
  <c r="E195" i="65" s="1"/>
  <c r="D196" i="65"/>
  <c r="E196" i="65" s="1"/>
  <c r="D197" i="65"/>
  <c r="E197" i="65" s="1"/>
  <c r="D198" i="65"/>
  <c r="E198" i="65" s="1"/>
  <c r="D199" i="65"/>
  <c r="E199" i="65" s="1"/>
  <c r="D200" i="65"/>
  <c r="E200" i="65" s="1"/>
  <c r="D201" i="65"/>
  <c r="E201" i="65" s="1"/>
  <c r="D202" i="65"/>
  <c r="E202" i="65" s="1"/>
  <c r="D171" i="65"/>
  <c r="E171" i="65" s="1"/>
  <c r="D172" i="65"/>
  <c r="E172" i="65" s="1"/>
  <c r="D173" i="65"/>
  <c r="E173" i="65" s="1"/>
  <c r="D174" i="65"/>
  <c r="E174" i="65" s="1"/>
  <c r="D175" i="65"/>
  <c r="E175" i="65" s="1"/>
  <c r="D176" i="65"/>
  <c r="E176" i="65" s="1"/>
  <c r="D177" i="65"/>
  <c r="E177" i="65" s="1"/>
  <c r="D178" i="65"/>
  <c r="E178" i="65" s="1"/>
  <c r="D179" i="65"/>
  <c r="E179" i="65" s="1"/>
  <c r="D180" i="65"/>
  <c r="E180" i="65" s="1"/>
  <c r="D181" i="65"/>
  <c r="E181" i="65" s="1"/>
  <c r="D182" i="65"/>
  <c r="E182" i="65" s="1"/>
  <c r="D183" i="65"/>
  <c r="E183" i="65" s="1"/>
  <c r="D184" i="65"/>
  <c r="E184" i="65" s="1"/>
  <c r="D185" i="65"/>
  <c r="E185" i="65" s="1"/>
  <c r="D186" i="65"/>
  <c r="E186" i="65" s="1"/>
  <c r="D187" i="65"/>
  <c r="E187" i="65" s="1"/>
  <c r="D188" i="65"/>
  <c r="E188" i="65" s="1"/>
  <c r="D156" i="65"/>
  <c r="E156" i="65" s="1"/>
  <c r="D157" i="65"/>
  <c r="E157" i="65" s="1"/>
  <c r="D158" i="65"/>
  <c r="E158" i="65" s="1"/>
  <c r="D159" i="65"/>
  <c r="E159" i="65" s="1"/>
  <c r="D160" i="65"/>
  <c r="E160" i="65" s="1"/>
  <c r="D161" i="65"/>
  <c r="E161" i="65" s="1"/>
  <c r="D162" i="65"/>
  <c r="E162" i="65" s="1"/>
  <c r="D163" i="65"/>
  <c r="E163" i="65" s="1"/>
  <c r="D164" i="65"/>
  <c r="E164" i="65" s="1"/>
  <c r="D165" i="65"/>
  <c r="E165" i="65" s="1"/>
  <c r="D166" i="65"/>
  <c r="E166" i="65" s="1"/>
  <c r="D167" i="65"/>
  <c r="E167" i="65" s="1"/>
  <c r="D168" i="65"/>
  <c r="E168" i="65" s="1"/>
  <c r="D169" i="65"/>
  <c r="E169" i="65" s="1"/>
  <c r="D170" i="65"/>
  <c r="E170" i="65" s="1"/>
  <c r="D155" i="65"/>
  <c r="E155" i="65" s="1"/>
  <c r="D150" i="65"/>
  <c r="E150" i="65" s="1"/>
  <c r="D151" i="65"/>
  <c r="E151" i="65" s="1"/>
  <c r="D152" i="65"/>
  <c r="E152" i="65" s="1"/>
  <c r="D153" i="65"/>
  <c r="E153" i="65" s="1"/>
  <c r="D154" i="65"/>
  <c r="E154" i="65" s="1"/>
  <c r="D134" i="65"/>
  <c r="E134" i="65" s="1"/>
  <c r="D135" i="65"/>
  <c r="E135" i="65" s="1"/>
  <c r="D136" i="65"/>
  <c r="E136" i="65" s="1"/>
  <c r="D137" i="65"/>
  <c r="E137" i="65" s="1"/>
  <c r="D138" i="65"/>
  <c r="E138" i="65" s="1"/>
  <c r="D139" i="65"/>
  <c r="E139" i="65" s="1"/>
  <c r="D140" i="65"/>
  <c r="E140" i="65" s="1"/>
  <c r="D141" i="65"/>
  <c r="E141" i="65" s="1"/>
  <c r="D142" i="65"/>
  <c r="E142" i="65" s="1"/>
  <c r="D143" i="65"/>
  <c r="E143" i="65" s="1"/>
  <c r="D144" i="65"/>
  <c r="E144" i="65" s="1"/>
  <c r="D145" i="65"/>
  <c r="E145" i="65" s="1"/>
  <c r="D146" i="65"/>
  <c r="E146" i="65" s="1"/>
  <c r="D147" i="65"/>
  <c r="E147" i="65" s="1"/>
  <c r="D148" i="65"/>
  <c r="E148" i="65" s="1"/>
  <c r="D149" i="65"/>
  <c r="E149" i="65" s="1"/>
  <c r="D121" i="65"/>
  <c r="E121" i="65" s="1"/>
  <c r="D122" i="65"/>
  <c r="E122" i="65" s="1"/>
  <c r="D123" i="65"/>
  <c r="E123" i="65" s="1"/>
  <c r="D124" i="65"/>
  <c r="E124" i="65" s="1"/>
  <c r="D125" i="65"/>
  <c r="E125" i="65" s="1"/>
  <c r="D126" i="65"/>
  <c r="E126" i="65" s="1"/>
  <c r="D127" i="65"/>
  <c r="E127" i="65" s="1"/>
  <c r="D128" i="65"/>
  <c r="E128" i="65" s="1"/>
  <c r="D129" i="65"/>
  <c r="E129" i="65" s="1"/>
  <c r="D130" i="65"/>
  <c r="E130" i="65" s="1"/>
  <c r="D131" i="65"/>
  <c r="E131" i="65" s="1"/>
  <c r="D132" i="65"/>
  <c r="E132" i="65" s="1"/>
  <c r="D133" i="65"/>
  <c r="E133" i="65" s="1"/>
  <c r="D108" i="65"/>
  <c r="E108" i="65" s="1"/>
  <c r="D109" i="65"/>
  <c r="E109" i="65" s="1"/>
  <c r="D110" i="65"/>
  <c r="E110" i="65" s="1"/>
  <c r="D111" i="65"/>
  <c r="E111" i="65" s="1"/>
  <c r="D112" i="65"/>
  <c r="E112" i="65" s="1"/>
  <c r="D113" i="65"/>
  <c r="E113" i="65" s="1"/>
  <c r="D114" i="65"/>
  <c r="E114" i="65" s="1"/>
  <c r="D115" i="65"/>
  <c r="E115" i="65" s="1"/>
  <c r="D116" i="65"/>
  <c r="E116" i="65" s="1"/>
  <c r="D117" i="65"/>
  <c r="E117" i="65" s="1"/>
  <c r="D118" i="65"/>
  <c r="E118" i="65" s="1"/>
  <c r="D119" i="65"/>
  <c r="E119" i="65" s="1"/>
  <c r="D120" i="65"/>
  <c r="E120" i="65" s="1"/>
  <c r="D107" i="65"/>
  <c r="E107" i="65" s="1"/>
  <c r="D45" i="65"/>
  <c r="E45" i="65" s="1"/>
  <c r="D46" i="65"/>
  <c r="E46" i="65" s="1"/>
  <c r="D47" i="65"/>
  <c r="E47" i="65" s="1"/>
  <c r="D48" i="65"/>
  <c r="E48" i="65" s="1"/>
  <c r="D49" i="65"/>
  <c r="E49" i="65" s="1"/>
  <c r="D50" i="65"/>
  <c r="E50" i="65" s="1"/>
  <c r="D51" i="65"/>
  <c r="E51" i="65" s="1"/>
  <c r="D52" i="65"/>
  <c r="E52" i="65" s="1"/>
  <c r="D53" i="65"/>
  <c r="E53" i="65" s="1"/>
  <c r="D54" i="65"/>
  <c r="E54" i="65" s="1"/>
  <c r="D55" i="65"/>
  <c r="E55" i="65" s="1"/>
  <c r="D56" i="65"/>
  <c r="E56" i="65" s="1"/>
  <c r="D57" i="65"/>
  <c r="E57" i="65" s="1"/>
  <c r="D58" i="65"/>
  <c r="E58" i="65" s="1"/>
  <c r="D35" i="65"/>
  <c r="E35" i="65" s="1"/>
  <c r="D36" i="65"/>
  <c r="E36" i="65" s="1"/>
  <c r="D37" i="65"/>
  <c r="E37" i="65" s="1"/>
  <c r="D38" i="65"/>
  <c r="E38" i="65" s="1"/>
  <c r="D39" i="65"/>
  <c r="E39" i="65" s="1"/>
  <c r="D40" i="65"/>
  <c r="E40" i="65" s="1"/>
  <c r="D41" i="65"/>
  <c r="E41" i="65" s="1"/>
  <c r="D42" i="65"/>
  <c r="E42" i="65" s="1"/>
  <c r="D43" i="65"/>
  <c r="E43" i="65" s="1"/>
  <c r="D44" i="65"/>
  <c r="E44" i="65" s="1"/>
  <c r="D23" i="65"/>
  <c r="E23" i="65" s="1"/>
  <c r="D24" i="65"/>
  <c r="E24" i="65" s="1"/>
  <c r="D25" i="65"/>
  <c r="E25" i="65" s="1"/>
  <c r="D26" i="65"/>
  <c r="E26" i="65" s="1"/>
  <c r="D27" i="65"/>
  <c r="E27" i="65" s="1"/>
  <c r="D28" i="65"/>
  <c r="E28" i="65" s="1"/>
  <c r="D29" i="65"/>
  <c r="E29" i="65" s="1"/>
  <c r="D30" i="65"/>
  <c r="E30" i="65" s="1"/>
  <c r="D31" i="65"/>
  <c r="E31" i="65" s="1"/>
  <c r="D32" i="65"/>
  <c r="E32" i="65" s="1"/>
  <c r="D33" i="65"/>
  <c r="E33" i="65" s="1"/>
  <c r="D34" i="65"/>
  <c r="E34" i="65" s="1"/>
  <c r="D13" i="65"/>
  <c r="E13" i="65" s="1"/>
  <c r="D14" i="65"/>
  <c r="E14" i="65" s="1"/>
  <c r="D15" i="65"/>
  <c r="E15" i="65" s="1"/>
  <c r="D16" i="65"/>
  <c r="E16" i="65" s="1"/>
  <c r="D17" i="65"/>
  <c r="E17" i="65" s="1"/>
  <c r="D18" i="65"/>
  <c r="E18" i="65" s="1"/>
  <c r="D19" i="65"/>
  <c r="E19" i="65" s="1"/>
  <c r="D20" i="65"/>
  <c r="E20" i="65" s="1"/>
  <c r="D21" i="65"/>
  <c r="E21" i="65" s="1"/>
  <c r="D22" i="65"/>
  <c r="E22" i="65" s="1"/>
  <c r="D12" i="65"/>
  <c r="E12" i="65" s="1"/>
  <c r="D11" i="65"/>
  <c r="E91" i="47" l="1"/>
  <c r="E59" i="47"/>
  <c r="E98" i="47"/>
  <c r="D231" i="95"/>
  <c r="K230" i="95"/>
  <c r="E230" i="95"/>
  <c r="F230" i="95" s="1"/>
  <c r="E83" i="47"/>
  <c r="D58" i="42"/>
  <c r="E105" i="47"/>
  <c r="E97" i="47"/>
  <c r="E89" i="47"/>
  <c r="E81" i="47"/>
  <c r="E73" i="47"/>
  <c r="E65" i="47"/>
  <c r="E104" i="47"/>
  <c r="E96" i="47"/>
  <c r="E88" i="47"/>
  <c r="E80" i="47"/>
  <c r="E72" i="47"/>
  <c r="E64" i="47"/>
  <c r="R220" i="95"/>
  <c r="T219" i="95"/>
  <c r="U219" i="95" s="1"/>
  <c r="E75" i="47"/>
  <c r="E106" i="47"/>
  <c r="E66" i="47"/>
  <c r="E103" i="47"/>
  <c r="E95" i="47"/>
  <c r="E87" i="47"/>
  <c r="E79" i="47"/>
  <c r="E71" i="47"/>
  <c r="E63" i="47"/>
  <c r="E102" i="47"/>
  <c r="E94" i="47"/>
  <c r="E86" i="47"/>
  <c r="E78" i="47"/>
  <c r="E70" i="47"/>
  <c r="E62" i="47"/>
  <c r="Q221" i="95"/>
  <c r="S220" i="95"/>
  <c r="E99" i="47"/>
  <c r="E67" i="47"/>
  <c r="E90" i="47"/>
  <c r="E82" i="47"/>
  <c r="E74" i="47"/>
  <c r="E101" i="47"/>
  <c r="E93" i="47"/>
  <c r="E85" i="47"/>
  <c r="E77" i="47"/>
  <c r="E69" i="47"/>
  <c r="E61" i="47"/>
  <c r="E100" i="47"/>
  <c r="E92" i="47"/>
  <c r="E84" i="47"/>
  <c r="E76" i="47"/>
  <c r="E68" i="47"/>
  <c r="E60" i="47"/>
  <c r="G229" i="95"/>
  <c r="H229" i="95"/>
  <c r="D189" i="47"/>
  <c r="T152" i="96"/>
  <c r="U151" i="96"/>
  <c r="V151" i="96" s="1"/>
  <c r="W151" i="96" s="1"/>
  <c r="X151" i="96" s="1"/>
  <c r="G43" i="48"/>
  <c r="H43" i="48"/>
  <c r="K44" i="48"/>
  <c r="C44" i="48" s="1"/>
  <c r="E44" i="48"/>
  <c r="F44" i="48" s="1"/>
  <c r="D45" i="48"/>
  <c r="H13" i="74"/>
  <c r="G13" i="74"/>
  <c r="H14" i="76"/>
  <c r="G14" i="76"/>
  <c r="T548" i="61"/>
  <c r="U548" i="61" s="1"/>
  <c r="D551" i="61"/>
  <c r="C551" i="61" s="1"/>
  <c r="P550" i="61"/>
  <c r="Q550" i="61" s="1"/>
  <c r="E550" i="61"/>
  <c r="F550" i="61" s="1"/>
  <c r="R549" i="61"/>
  <c r="S549" i="61"/>
  <c r="H549" i="61"/>
  <c r="G549" i="61"/>
  <c r="N35" i="70"/>
  <c r="N36" i="70" s="1"/>
  <c r="N37" i="70" s="1"/>
  <c r="N38" i="70" s="1"/>
  <c r="N39" i="70" s="1"/>
  <c r="N40" i="70" s="1"/>
  <c r="N41" i="70" s="1"/>
  <c r="N42" i="70" s="1"/>
  <c r="N43" i="70" s="1"/>
  <c r="N44" i="70" s="1"/>
  <c r="N45" i="70" s="1"/>
  <c r="N46" i="70" s="1"/>
  <c r="N47" i="70" s="1"/>
  <c r="N48" i="70" s="1"/>
  <c r="N49" i="70" s="1"/>
  <c r="N50" i="70" s="1"/>
  <c r="N51" i="70" s="1"/>
  <c r="N52" i="70" s="1"/>
  <c r="N53" i="70" s="1"/>
  <c r="N54" i="70" s="1"/>
  <c r="N55" i="70" s="1"/>
  <c r="N56" i="70" s="1"/>
  <c r="N57" i="70" s="1"/>
  <c r="N58" i="70" s="1"/>
  <c r="B35" i="70"/>
  <c r="B36" i="70" s="1"/>
  <c r="B37" i="70" s="1"/>
  <c r="B38" i="70" s="1"/>
  <c r="B39" i="70" s="1"/>
  <c r="B40" i="70" s="1"/>
  <c r="B41" i="70" s="1"/>
  <c r="B42" i="70" s="1"/>
  <c r="B43" i="70" s="1"/>
  <c r="B44" i="70" s="1"/>
  <c r="B45" i="70" s="1"/>
  <c r="B46" i="70" s="1"/>
  <c r="B47" i="70" s="1"/>
  <c r="B48" i="70" s="1"/>
  <c r="B49" i="70" s="1"/>
  <c r="B50" i="70" s="1"/>
  <c r="B51" i="70" s="1"/>
  <c r="B52" i="70" s="1"/>
  <c r="B53" i="70" s="1"/>
  <c r="B54" i="70" s="1"/>
  <c r="B55" i="70" s="1"/>
  <c r="B56" i="70" s="1"/>
  <c r="B57" i="70" s="1"/>
  <c r="B58" i="70" s="1"/>
  <c r="J35" i="70"/>
  <c r="J36" i="70" s="1"/>
  <c r="J37" i="70" s="1"/>
  <c r="J38" i="70" s="1"/>
  <c r="J39" i="70" s="1"/>
  <c r="J40" i="70" s="1"/>
  <c r="J41" i="70" s="1"/>
  <c r="J42" i="70" s="1"/>
  <c r="J43" i="70" s="1"/>
  <c r="J44" i="70" s="1"/>
  <c r="J45" i="70" s="1"/>
  <c r="J46" i="70" s="1"/>
  <c r="J47" i="70" s="1"/>
  <c r="J48" i="70" s="1"/>
  <c r="J49" i="70" s="1"/>
  <c r="J50" i="70" s="1"/>
  <c r="J51" i="70" s="1"/>
  <c r="J52" i="70" s="1"/>
  <c r="J53" i="70" s="1"/>
  <c r="J54" i="70" s="1"/>
  <c r="J55" i="70" s="1"/>
  <c r="J56" i="70" s="1"/>
  <c r="J57" i="70" s="1"/>
  <c r="J58" i="70" s="1"/>
  <c r="D12" i="76"/>
  <c r="K11" i="76"/>
  <c r="E11" i="76"/>
  <c r="E12" i="76" s="1"/>
  <c r="E13" i="76" s="1"/>
  <c r="E14" i="76" s="1"/>
  <c r="E15" i="76" s="1"/>
  <c r="E16" i="76" s="1"/>
  <c r="E17" i="76" s="1"/>
  <c r="E18" i="76" s="1"/>
  <c r="E19" i="76" s="1"/>
  <c r="E20" i="76" s="1"/>
  <c r="E21" i="76" s="1"/>
  <c r="E22" i="76" s="1"/>
  <c r="E23" i="76" s="1"/>
  <c r="E24" i="76" s="1"/>
  <c r="E25" i="76" s="1"/>
  <c r="E26" i="76" s="1"/>
  <c r="E27" i="76" s="1"/>
  <c r="E28" i="76" s="1"/>
  <c r="E29" i="76" s="1"/>
  <c r="E30" i="76" s="1"/>
  <c r="E31" i="76" s="1"/>
  <c r="E32" i="76" s="1"/>
  <c r="E33" i="76" s="1"/>
  <c r="E34" i="76" s="1"/>
  <c r="E35" i="76" s="1"/>
  <c r="E36" i="76" s="1"/>
  <c r="E37" i="76" s="1"/>
  <c r="E38" i="76" s="1"/>
  <c r="E39" i="76" s="1"/>
  <c r="E40" i="76" s="1"/>
  <c r="E41" i="76" s="1"/>
  <c r="E42" i="76" s="1"/>
  <c r="E43" i="76" s="1"/>
  <c r="E44" i="76" s="1"/>
  <c r="E45" i="76" s="1"/>
  <c r="E46" i="76" s="1"/>
  <c r="E47" i="76" s="1"/>
  <c r="E48" i="76" s="1"/>
  <c r="E49" i="76" s="1"/>
  <c r="E50" i="76" s="1"/>
  <c r="E51" i="76" s="1"/>
  <c r="E52" i="76" s="1"/>
  <c r="E53" i="76" s="1"/>
  <c r="E54" i="76" s="1"/>
  <c r="E55" i="76" s="1"/>
  <c r="E56" i="76" s="1"/>
  <c r="E57" i="76" s="1"/>
  <c r="E58" i="76" s="1"/>
  <c r="E59" i="76" s="1"/>
  <c r="E60" i="76" s="1"/>
  <c r="E61" i="76" s="1"/>
  <c r="E62" i="76" s="1"/>
  <c r="E63" i="76" s="1"/>
  <c r="E64" i="76" s="1"/>
  <c r="E65" i="76" s="1"/>
  <c r="E66" i="76" s="1"/>
  <c r="E67" i="76" s="1"/>
  <c r="E68" i="76" s="1"/>
  <c r="E69" i="76" s="1"/>
  <c r="E70" i="76" s="1"/>
  <c r="E71" i="76" s="1"/>
  <c r="E72" i="76" s="1"/>
  <c r="E73" i="76" s="1"/>
  <c r="E74" i="76" s="1"/>
  <c r="E75" i="76" s="1"/>
  <c r="E76" i="76" s="1"/>
  <c r="E77" i="76" s="1"/>
  <c r="E78" i="76" s="1"/>
  <c r="E79" i="76" s="1"/>
  <c r="E80" i="76" s="1"/>
  <c r="E81" i="76" s="1"/>
  <c r="E82" i="76" s="1"/>
  <c r="E83" i="76" s="1"/>
  <c r="E84" i="76" s="1"/>
  <c r="E85" i="76" s="1"/>
  <c r="E86" i="76" s="1"/>
  <c r="E87" i="76" s="1"/>
  <c r="E88" i="76" s="1"/>
  <c r="E89" i="76" s="1"/>
  <c r="E90" i="76" s="1"/>
  <c r="E91" i="76" s="1"/>
  <c r="E92" i="76" s="1"/>
  <c r="E93" i="76" s="1"/>
  <c r="E94" i="76" s="1"/>
  <c r="E95" i="76" s="1"/>
  <c r="E96" i="76" s="1"/>
  <c r="E97" i="76" s="1"/>
  <c r="E98" i="76" s="1"/>
  <c r="E99" i="76" s="1"/>
  <c r="E100" i="76" s="1"/>
  <c r="E101" i="76" s="1"/>
  <c r="E102" i="76" s="1"/>
  <c r="E103" i="76" s="1"/>
  <c r="E104" i="76" s="1"/>
  <c r="E105" i="76" s="1"/>
  <c r="E106" i="76" s="1"/>
  <c r="E107" i="76" s="1"/>
  <c r="E108" i="76" s="1"/>
  <c r="E109" i="76" s="1"/>
  <c r="E110" i="76" s="1"/>
  <c r="E111" i="76" s="1"/>
  <c r="E112" i="76" s="1"/>
  <c r="E113" i="76" s="1"/>
  <c r="E114" i="76" s="1"/>
  <c r="E115" i="76" s="1"/>
  <c r="E116" i="76" s="1"/>
  <c r="E117" i="76" s="1"/>
  <c r="E118" i="76" s="1"/>
  <c r="K11" i="73"/>
  <c r="D12" i="73"/>
  <c r="D13" i="73" s="1"/>
  <c r="K13" i="73" s="1"/>
  <c r="E11" i="73"/>
  <c r="F11" i="73" s="1"/>
  <c r="E301" i="78"/>
  <c r="D302" i="78"/>
  <c r="E159" i="78"/>
  <c r="D160" i="78"/>
  <c r="D15" i="78"/>
  <c r="E14" i="78"/>
  <c r="E205" i="77"/>
  <c r="D206" i="77"/>
  <c r="E110" i="77"/>
  <c r="D111" i="77"/>
  <c r="E14" i="77"/>
  <c r="D15" i="77"/>
  <c r="F15" i="76"/>
  <c r="D14" i="75"/>
  <c r="K13" i="75"/>
  <c r="F12" i="75"/>
  <c r="D15" i="74"/>
  <c r="K14" i="74"/>
  <c r="F14" i="74"/>
  <c r="E11" i="70"/>
  <c r="E11" i="71"/>
  <c r="D13" i="70"/>
  <c r="D14" i="70" s="1"/>
  <c r="E12" i="70"/>
  <c r="D13" i="71"/>
  <c r="E12" i="71"/>
  <c r="Q12" i="70"/>
  <c r="Q13" i="70" s="1"/>
  <c r="Q14" i="70" s="1"/>
  <c r="Q15" i="70" s="1"/>
  <c r="Q16" i="70" s="1"/>
  <c r="Q17" i="70" s="1"/>
  <c r="Q18" i="70" s="1"/>
  <c r="Q19" i="70" s="1"/>
  <c r="Q20" i="70" s="1"/>
  <c r="Q21" i="70" s="1"/>
  <c r="Q22" i="70" s="1"/>
  <c r="Q23" i="70" s="1"/>
  <c r="Q24" i="70" s="1"/>
  <c r="Q25" i="70" s="1"/>
  <c r="Q26" i="70" s="1"/>
  <c r="Q27" i="70" s="1"/>
  <c r="Q28" i="70" s="1"/>
  <c r="Q29" i="70" s="1"/>
  <c r="Q30" i="70" s="1"/>
  <c r="Q31" i="70" s="1"/>
  <c r="Q32" i="70" s="1"/>
  <c r="Q33" i="70" s="1"/>
  <c r="Q34" i="70" s="1"/>
  <c r="D12" i="72"/>
  <c r="Q11" i="72"/>
  <c r="Q12" i="72" s="1"/>
  <c r="Q13" i="72" s="1"/>
  <c r="Q14" i="72" s="1"/>
  <c r="Q15" i="72" s="1"/>
  <c r="Q16" i="72" s="1"/>
  <c r="Q17" i="72" s="1"/>
  <c r="Q18" i="72" s="1"/>
  <c r="Q19" i="72" s="1"/>
  <c r="Q20" i="72" s="1"/>
  <c r="Q21" i="72" s="1"/>
  <c r="Q22" i="72" s="1"/>
  <c r="Q23" i="72" s="1"/>
  <c r="Q24" i="72" s="1"/>
  <c r="Q25" i="72" s="1"/>
  <c r="Q26" i="72" s="1"/>
  <c r="Q27" i="72" s="1"/>
  <c r="Q28" i="72" s="1"/>
  <c r="Q29" i="72" s="1"/>
  <c r="Q30" i="72" s="1"/>
  <c r="Q31" i="72" s="1"/>
  <c r="Q32" i="72" s="1"/>
  <c r="Q33" i="72" s="1"/>
  <c r="Q34" i="72" s="1"/>
  <c r="Q35" i="72" s="1"/>
  <c r="Q36" i="72" s="1"/>
  <c r="Q37" i="72" s="1"/>
  <c r="Q38" i="72" s="1"/>
  <c r="Q39" i="72" s="1"/>
  <c r="Q40" i="72" s="1"/>
  <c r="Q41" i="72" s="1"/>
  <c r="Q42" i="72" s="1"/>
  <c r="Q43" i="72" s="1"/>
  <c r="Q44" i="72" s="1"/>
  <c r="Q45" i="72" s="1"/>
  <c r="Q46" i="72" s="1"/>
  <c r="G14" i="71"/>
  <c r="G15" i="71" s="1"/>
  <c r="H11" i="71"/>
  <c r="H12" i="71"/>
  <c r="S12" i="71"/>
  <c r="S13" i="71" s="1"/>
  <c r="S14" i="71" s="1"/>
  <c r="S15" i="71" s="1"/>
  <c r="S16" i="71" s="1"/>
  <c r="S17" i="71" s="1"/>
  <c r="S18" i="71" s="1"/>
  <c r="S19" i="71" s="1"/>
  <c r="S20" i="71" s="1"/>
  <c r="S21" i="71" s="1"/>
  <c r="S22" i="71" s="1"/>
  <c r="S23" i="71" s="1"/>
  <c r="S24" i="71" s="1"/>
  <c r="S25" i="71" s="1"/>
  <c r="S26" i="71" s="1"/>
  <c r="S27" i="71" s="1"/>
  <c r="S28" i="71" s="1"/>
  <c r="S29" i="71" s="1"/>
  <c r="S30" i="71" s="1"/>
  <c r="S31" i="71" s="1"/>
  <c r="S32" i="71" s="1"/>
  <c r="S33" i="71" s="1"/>
  <c r="S34" i="71" s="1"/>
  <c r="S35" i="71" s="1"/>
  <c r="S36" i="71" s="1"/>
  <c r="S37" i="71" s="1"/>
  <c r="S38" i="71" s="1"/>
  <c r="S39" i="71" s="1"/>
  <c r="S40" i="71" s="1"/>
  <c r="S41" i="71" s="1"/>
  <c r="S42" i="71" s="1"/>
  <c r="S43" i="71" s="1"/>
  <c r="S44" i="71" s="1"/>
  <c r="S45" i="71" s="1"/>
  <c r="S46" i="71" s="1"/>
  <c r="S47" i="71" s="1"/>
  <c r="S48" i="71" s="1"/>
  <c r="S49" i="71" s="1"/>
  <c r="S50" i="71" s="1"/>
  <c r="S51" i="71" s="1"/>
  <c r="S52" i="71" s="1"/>
  <c r="S53" i="71" s="1"/>
  <c r="S54" i="71" s="1"/>
  <c r="S55" i="71" s="1"/>
  <c r="S56" i="71" s="1"/>
  <c r="S57" i="71" s="1"/>
  <c r="S58" i="71" s="1"/>
  <c r="P12" i="70"/>
  <c r="P13" i="70" s="1"/>
  <c r="P14" i="70" s="1"/>
  <c r="P15" i="70" s="1"/>
  <c r="P16" i="70" s="1"/>
  <c r="P17" i="70" s="1"/>
  <c r="P18" i="70" s="1"/>
  <c r="P19" i="70" s="1"/>
  <c r="P20" i="70" s="1"/>
  <c r="P21" i="70" s="1"/>
  <c r="P22" i="70" s="1"/>
  <c r="P23" i="70" s="1"/>
  <c r="P24" i="70" s="1"/>
  <c r="P25" i="70" s="1"/>
  <c r="P26" i="70" s="1"/>
  <c r="P27" i="70" s="1"/>
  <c r="P28" i="70" s="1"/>
  <c r="P29" i="70" s="1"/>
  <c r="P30" i="70" s="1"/>
  <c r="P31" i="70" s="1"/>
  <c r="P32" i="70" s="1"/>
  <c r="P33" i="70" s="1"/>
  <c r="P34" i="70" s="1"/>
  <c r="Q12" i="66"/>
  <c r="Q13" i="66" s="1"/>
  <c r="Q14" i="66" s="1"/>
  <c r="Q15" i="66" s="1"/>
  <c r="Q16" i="66" s="1"/>
  <c r="Q17" i="66" s="1"/>
  <c r="Q18" i="66" s="1"/>
  <c r="Q19" i="66" s="1"/>
  <c r="Q20" i="66" s="1"/>
  <c r="Q21" i="66" s="1"/>
  <c r="Q22" i="66" s="1"/>
  <c r="Q23" i="66" s="1"/>
  <c r="Q24" i="66" s="1"/>
  <c r="Q25" i="66" s="1"/>
  <c r="Q26" i="66" s="1"/>
  <c r="Q27" i="66" s="1"/>
  <c r="Q28" i="66" s="1"/>
  <c r="Q29" i="66" s="1"/>
  <c r="Q30" i="66" s="1"/>
  <c r="Q31" i="66" s="1"/>
  <c r="Q32" i="66" s="1"/>
  <c r="Q33" i="66" s="1"/>
  <c r="Q34" i="66" s="1"/>
  <c r="Q35" i="66" s="1"/>
  <c r="Q36" i="66" s="1"/>
  <c r="Q37" i="66" s="1"/>
  <c r="Q38" i="66" s="1"/>
  <c r="Q39" i="66" s="1"/>
  <c r="Q40" i="66" s="1"/>
  <c r="Q41" i="66" s="1"/>
  <c r="Q42" i="66" s="1"/>
  <c r="Q43" i="66" s="1"/>
  <c r="Q44" i="66" s="1"/>
  <c r="Q45" i="66" s="1"/>
  <c r="Q46" i="66" s="1"/>
  <c r="Q47" i="66" s="1"/>
  <c r="Q48" i="66" s="1"/>
  <c r="Q49" i="66" s="1"/>
  <c r="Q50" i="66" s="1"/>
  <c r="Q51" i="66" s="1"/>
  <c r="Q52" i="66" s="1"/>
  <c r="Q53" i="66" s="1"/>
  <c r="Q54" i="66" s="1"/>
  <c r="Q55" i="66" s="1"/>
  <c r="Q56" i="66" s="1"/>
  <c r="Q57" i="66" s="1"/>
  <c r="Q58" i="66" s="1"/>
  <c r="Q59" i="66" s="1"/>
  <c r="Q60" i="66" s="1"/>
  <c r="Q61" i="66" s="1"/>
  <c r="Q62" i="66" s="1"/>
  <c r="Q63" i="66" s="1"/>
  <c r="Q64" i="66" s="1"/>
  <c r="Q65" i="66" s="1"/>
  <c r="Q66" i="66" s="1"/>
  <c r="Q67" i="66" s="1"/>
  <c r="Q68" i="66" s="1"/>
  <c r="Q69" i="66" s="1"/>
  <c r="Q70" i="66" s="1"/>
  <c r="Q71" i="66" s="1"/>
  <c r="Q72" i="66" s="1"/>
  <c r="Q73" i="66" s="1"/>
  <c r="Q74" i="66" s="1"/>
  <c r="Q75" i="66" s="1"/>
  <c r="Q76" i="66" s="1"/>
  <c r="Q77" i="66" s="1"/>
  <c r="Q78" i="66" s="1"/>
  <c r="Q79" i="66" s="1"/>
  <c r="Q80" i="66" s="1"/>
  <c r="Q81" i="66" s="1"/>
  <c r="Q82" i="66" s="1"/>
  <c r="Q83" i="66" s="1"/>
  <c r="Q84" i="66" s="1"/>
  <c r="Q85" i="66" s="1"/>
  <c r="Q86" i="66" s="1"/>
  <c r="Q87" i="66" s="1"/>
  <c r="Q88" i="66" s="1"/>
  <c r="Q89" i="66" s="1"/>
  <c r="Q90" i="66" s="1"/>
  <c r="Q91" i="66" s="1"/>
  <c r="Q92" i="66" s="1"/>
  <c r="Q93" i="66" s="1"/>
  <c r="Q94" i="66" s="1"/>
  <c r="Q95" i="66" s="1"/>
  <c r="Q96" i="66" s="1"/>
  <c r="Q97" i="66" s="1"/>
  <c r="Q98" i="66" s="1"/>
  <c r="Q99" i="66" s="1"/>
  <c r="Q100" i="66" s="1"/>
  <c r="Q101" i="66" s="1"/>
  <c r="Q102" i="66" s="1"/>
  <c r="Q103" i="66" s="1"/>
  <c r="Q104" i="66" s="1"/>
  <c r="Q105" i="66" s="1"/>
  <c r="Q106" i="66" s="1"/>
  <c r="Q107" i="66" s="1"/>
  <c r="Q108" i="66" s="1"/>
  <c r="Q109" i="66" s="1"/>
  <c r="Q110" i="66" s="1"/>
  <c r="Q111" i="66" s="1"/>
  <c r="Q112" i="66" s="1"/>
  <c r="Q113" i="66" s="1"/>
  <c r="Q114" i="66" s="1"/>
  <c r="Q115" i="66" s="1"/>
  <c r="Q116" i="66" s="1"/>
  <c r="Q117" i="66" s="1"/>
  <c r="Q118" i="66" s="1"/>
  <c r="Q119" i="66" s="1"/>
  <c r="Q120" i="66" s="1"/>
  <c r="Q121" i="66" s="1"/>
  <c r="Q122" i="66" s="1"/>
  <c r="Q123" i="66" s="1"/>
  <c r="Q124" i="66" s="1"/>
  <c r="Q125" i="66" s="1"/>
  <c r="Q126" i="66" s="1"/>
  <c r="Q127" i="66" s="1"/>
  <c r="Q128" i="66" s="1"/>
  <c r="Q129" i="66" s="1"/>
  <c r="Q130" i="66" s="1"/>
  <c r="Q131" i="66" s="1"/>
  <c r="Q132" i="66" s="1"/>
  <c r="Q133" i="66" s="1"/>
  <c r="Q134" i="66" s="1"/>
  <c r="Q135" i="66" s="1"/>
  <c r="Q136" i="66" s="1"/>
  <c r="Q137" i="66" s="1"/>
  <c r="Q138" i="66" s="1"/>
  <c r="Q139" i="66" s="1"/>
  <c r="Q140" i="66" s="1"/>
  <c r="Q141" i="66" s="1"/>
  <c r="Q142" i="66" s="1"/>
  <c r="Q143" i="66" s="1"/>
  <c r="Q144" i="66" s="1"/>
  <c r="Q145" i="66" s="1"/>
  <c r="Q146" i="66" s="1"/>
  <c r="Q147" i="66" s="1"/>
  <c r="Q148" i="66" s="1"/>
  <c r="Q149" i="66" s="1"/>
  <c r="Q150" i="66" s="1"/>
  <c r="Q151" i="66" s="1"/>
  <c r="Q152" i="66" s="1"/>
  <c r="Q153" i="66" s="1"/>
  <c r="Q154" i="66" s="1"/>
  <c r="Q155" i="66" s="1"/>
  <c r="Q156" i="66" s="1"/>
  <c r="Q157" i="66" s="1"/>
  <c r="Q158" i="66" s="1"/>
  <c r="Q159" i="66" s="1"/>
  <c r="Q160" i="66" s="1"/>
  <c r="Q161" i="66" s="1"/>
  <c r="Q162" i="66" s="1"/>
  <c r="Q163" i="66" s="1"/>
  <c r="Q164" i="66" s="1"/>
  <c r="Q165" i="66" s="1"/>
  <c r="Q166" i="66" s="1"/>
  <c r="Q167" i="66" s="1"/>
  <c r="Q168" i="66" s="1"/>
  <c r="Q169" i="66" s="1"/>
  <c r="Q170" i="66" s="1"/>
  <c r="Q171" i="66" s="1"/>
  <c r="Q172" i="66" s="1"/>
  <c r="Q173" i="66" s="1"/>
  <c r="Q174" i="66" s="1"/>
  <c r="Q175" i="66" s="1"/>
  <c r="Q176" i="66" s="1"/>
  <c r="Q177" i="66" s="1"/>
  <c r="Q178" i="66" s="1"/>
  <c r="Q179" i="66" s="1"/>
  <c r="Q180" i="66" s="1"/>
  <c r="Q181" i="66" s="1"/>
  <c r="Q182" i="66" s="1"/>
  <c r="Q183" i="66" s="1"/>
  <c r="Q184" i="66" s="1"/>
  <c r="Q185" i="66" s="1"/>
  <c r="Q186" i="66" s="1"/>
  <c r="Q187" i="66" s="1"/>
  <c r="Q188" i="66" s="1"/>
  <c r="Q189" i="66" s="1"/>
  <c r="Q190" i="66" s="1"/>
  <c r="Q191" i="66" s="1"/>
  <c r="Q192" i="66" s="1"/>
  <c r="Q193" i="66" s="1"/>
  <c r="Q194" i="66" s="1"/>
  <c r="Q195" i="66" s="1"/>
  <c r="Q196" i="66" s="1"/>
  <c r="Q197" i="66" s="1"/>
  <c r="Q198" i="66" s="1"/>
  <c r="Q199" i="66" s="1"/>
  <c r="Q200" i="66" s="1"/>
  <c r="Q201" i="66" s="1"/>
  <c r="Q202" i="66" s="1"/>
  <c r="R11" i="66"/>
  <c r="R12" i="66" s="1"/>
  <c r="R13" i="66" s="1"/>
  <c r="R14" i="66" s="1"/>
  <c r="R15" i="66" s="1"/>
  <c r="R16" i="66" s="1"/>
  <c r="R17" i="66" s="1"/>
  <c r="R18" i="66" s="1"/>
  <c r="R19" i="66" s="1"/>
  <c r="R20" i="66" s="1"/>
  <c r="R21" i="66" s="1"/>
  <c r="R22" i="66" s="1"/>
  <c r="R23" i="66" s="1"/>
  <c r="R24" i="66" s="1"/>
  <c r="R25" i="66" s="1"/>
  <c r="R26" i="66" s="1"/>
  <c r="R27" i="66" s="1"/>
  <c r="R28" i="66" s="1"/>
  <c r="R29" i="66" s="1"/>
  <c r="R30" i="66" s="1"/>
  <c r="R31" i="66" s="1"/>
  <c r="R32" i="66" s="1"/>
  <c r="R33" i="66" s="1"/>
  <c r="R34" i="66" s="1"/>
  <c r="R35" i="66" s="1"/>
  <c r="R36" i="66" s="1"/>
  <c r="R37" i="66" s="1"/>
  <c r="R38" i="66" s="1"/>
  <c r="R39" i="66" s="1"/>
  <c r="R40" i="66" s="1"/>
  <c r="R41" i="66" s="1"/>
  <c r="R42" i="66" s="1"/>
  <c r="R43" i="66" s="1"/>
  <c r="R44" i="66" s="1"/>
  <c r="R45" i="66" s="1"/>
  <c r="R46" i="66" s="1"/>
  <c r="R47" i="66" s="1"/>
  <c r="R48" i="66" s="1"/>
  <c r="R49" i="66" s="1"/>
  <c r="R50" i="66" s="1"/>
  <c r="R51" i="66" s="1"/>
  <c r="R52" i="66" s="1"/>
  <c r="R53" i="66" s="1"/>
  <c r="R54" i="66" s="1"/>
  <c r="R55" i="66" s="1"/>
  <c r="R56" i="66" s="1"/>
  <c r="R57" i="66" s="1"/>
  <c r="R58" i="66" s="1"/>
  <c r="R59" i="66" s="1"/>
  <c r="R60" i="66" s="1"/>
  <c r="R61" i="66" s="1"/>
  <c r="R62" i="66" s="1"/>
  <c r="R63" i="66" s="1"/>
  <c r="R64" i="66" s="1"/>
  <c r="R65" i="66" s="1"/>
  <c r="R66" i="66" s="1"/>
  <c r="R67" i="66" s="1"/>
  <c r="R68" i="66" s="1"/>
  <c r="R69" i="66" s="1"/>
  <c r="R70" i="66" s="1"/>
  <c r="R71" i="66" s="1"/>
  <c r="R72" i="66" s="1"/>
  <c r="R73" i="66" s="1"/>
  <c r="R74" i="66" s="1"/>
  <c r="R75" i="66" s="1"/>
  <c r="R76" i="66" s="1"/>
  <c r="R77" i="66" s="1"/>
  <c r="R78" i="66" s="1"/>
  <c r="R79" i="66" s="1"/>
  <c r="R80" i="66" s="1"/>
  <c r="R81" i="66" s="1"/>
  <c r="R82" i="66" s="1"/>
  <c r="R83" i="66" s="1"/>
  <c r="R84" i="66" s="1"/>
  <c r="R85" i="66" s="1"/>
  <c r="R86" i="66" s="1"/>
  <c r="R87" i="66" s="1"/>
  <c r="R88" i="66" s="1"/>
  <c r="R89" i="66" s="1"/>
  <c r="R90" i="66" s="1"/>
  <c r="R91" i="66" s="1"/>
  <c r="R92" i="66" s="1"/>
  <c r="R93" i="66" s="1"/>
  <c r="R94" i="66" s="1"/>
  <c r="R95" i="66" s="1"/>
  <c r="R96" i="66" s="1"/>
  <c r="R97" i="66" s="1"/>
  <c r="R98" i="66" s="1"/>
  <c r="R99" i="66" s="1"/>
  <c r="R100" i="66" s="1"/>
  <c r="R101" i="66" s="1"/>
  <c r="R102" i="66" s="1"/>
  <c r="R103" i="66" s="1"/>
  <c r="R104" i="66" s="1"/>
  <c r="R105" i="66" s="1"/>
  <c r="R106" i="66" s="1"/>
  <c r="R107" i="66" s="1"/>
  <c r="R108" i="66" s="1"/>
  <c r="R109" i="66" s="1"/>
  <c r="R110" i="66" s="1"/>
  <c r="R111" i="66" s="1"/>
  <c r="R112" i="66" s="1"/>
  <c r="R113" i="66" s="1"/>
  <c r="R114" i="66" s="1"/>
  <c r="R115" i="66" s="1"/>
  <c r="R116" i="66" s="1"/>
  <c r="R117" i="66" s="1"/>
  <c r="R118" i="66" s="1"/>
  <c r="R119" i="66" s="1"/>
  <c r="R120" i="66" s="1"/>
  <c r="R121" i="66" s="1"/>
  <c r="R122" i="66" s="1"/>
  <c r="R123" i="66" s="1"/>
  <c r="R124" i="66" s="1"/>
  <c r="R125" i="66" s="1"/>
  <c r="R126" i="66" s="1"/>
  <c r="R127" i="66" s="1"/>
  <c r="R128" i="66" s="1"/>
  <c r="R129" i="66" s="1"/>
  <c r="R130" i="66" s="1"/>
  <c r="R131" i="66" s="1"/>
  <c r="R132" i="66" s="1"/>
  <c r="R133" i="66" s="1"/>
  <c r="R134" i="66" s="1"/>
  <c r="R135" i="66" s="1"/>
  <c r="R136" i="66" s="1"/>
  <c r="R137" i="66" s="1"/>
  <c r="R138" i="66" s="1"/>
  <c r="R139" i="66" s="1"/>
  <c r="R140" i="66" s="1"/>
  <c r="R141" i="66" s="1"/>
  <c r="R142" i="66" s="1"/>
  <c r="R143" i="66" s="1"/>
  <c r="R144" i="66" s="1"/>
  <c r="R145" i="66" s="1"/>
  <c r="R146" i="66" s="1"/>
  <c r="R147" i="66" s="1"/>
  <c r="R148" i="66" s="1"/>
  <c r="R149" i="66" s="1"/>
  <c r="R150" i="66" s="1"/>
  <c r="R151" i="66" s="1"/>
  <c r="R152" i="66" s="1"/>
  <c r="R153" i="66" s="1"/>
  <c r="R154" i="66" s="1"/>
  <c r="R155" i="66" s="1"/>
  <c r="R156" i="66" s="1"/>
  <c r="R157" i="66" s="1"/>
  <c r="R158" i="66" s="1"/>
  <c r="R159" i="66" s="1"/>
  <c r="R160" i="66" s="1"/>
  <c r="R161" i="66" s="1"/>
  <c r="R162" i="66" s="1"/>
  <c r="R163" i="66" s="1"/>
  <c r="R164" i="66" s="1"/>
  <c r="R165" i="66" s="1"/>
  <c r="R166" i="66" s="1"/>
  <c r="R167" i="66" s="1"/>
  <c r="R168" i="66" s="1"/>
  <c r="R169" i="66" s="1"/>
  <c r="R170" i="66" s="1"/>
  <c r="R171" i="66" s="1"/>
  <c r="R172" i="66" s="1"/>
  <c r="R173" i="66" s="1"/>
  <c r="R174" i="66" s="1"/>
  <c r="R175" i="66" s="1"/>
  <c r="R176" i="66" s="1"/>
  <c r="R177" i="66" s="1"/>
  <c r="R178" i="66" s="1"/>
  <c r="R179" i="66" s="1"/>
  <c r="R180" i="66" s="1"/>
  <c r="R181" i="66" s="1"/>
  <c r="R182" i="66" s="1"/>
  <c r="R183" i="66" s="1"/>
  <c r="R184" i="66" s="1"/>
  <c r="R185" i="66" s="1"/>
  <c r="R186" i="66" s="1"/>
  <c r="R187" i="66" s="1"/>
  <c r="R188" i="66" s="1"/>
  <c r="R189" i="66" s="1"/>
  <c r="R190" i="66" s="1"/>
  <c r="R191" i="66" s="1"/>
  <c r="R192" i="66" s="1"/>
  <c r="R193" i="66" s="1"/>
  <c r="R194" i="66" s="1"/>
  <c r="R195" i="66" s="1"/>
  <c r="R196" i="66" s="1"/>
  <c r="R197" i="66" s="1"/>
  <c r="R198" i="66" s="1"/>
  <c r="R199" i="66" s="1"/>
  <c r="R200" i="66" s="1"/>
  <c r="R201" i="66" s="1"/>
  <c r="R202" i="66" s="1"/>
  <c r="F47" i="67"/>
  <c r="F48" i="67" s="1"/>
  <c r="F49" i="67" s="1"/>
  <c r="F50" i="67" s="1"/>
  <c r="F51" i="67" s="1"/>
  <c r="F52" i="67" s="1"/>
  <c r="F53" i="67" s="1"/>
  <c r="F54" i="67" s="1"/>
  <c r="F55" i="67" s="1"/>
  <c r="F56" i="67" s="1"/>
  <c r="F57" i="67" s="1"/>
  <c r="F58" i="67" s="1"/>
  <c r="F59" i="67" s="1"/>
  <c r="F60" i="67" s="1"/>
  <c r="F61" i="67" s="1"/>
  <c r="F62" i="67" s="1"/>
  <c r="F63" i="67" s="1"/>
  <c r="F64" i="67" s="1"/>
  <c r="F65" i="67" s="1"/>
  <c r="F66" i="67" s="1"/>
  <c r="F67" i="67" s="1"/>
  <c r="F68" i="67" s="1"/>
  <c r="F69" i="67" s="1"/>
  <c r="F70" i="67" s="1"/>
  <c r="F71" i="67" s="1"/>
  <c r="F72" i="67" s="1"/>
  <c r="F73" i="67" s="1"/>
  <c r="F74" i="67" s="1"/>
  <c r="F75" i="67" s="1"/>
  <c r="F76" i="67" s="1"/>
  <c r="F77" i="67" s="1"/>
  <c r="F78" i="67" s="1"/>
  <c r="F79" i="67" s="1"/>
  <c r="F80" i="67" s="1"/>
  <c r="F81" i="67" s="1"/>
  <c r="F82" i="67" s="1"/>
  <c r="H12" i="66"/>
  <c r="N12" i="69"/>
  <c r="N13" i="69" s="1"/>
  <c r="N14" i="69" s="1"/>
  <c r="N15" i="69" s="1"/>
  <c r="N16" i="69" s="1"/>
  <c r="N17" i="69" s="1"/>
  <c r="N18" i="69" s="1"/>
  <c r="N19" i="69" s="1"/>
  <c r="N20" i="69" s="1"/>
  <c r="N21" i="69" s="1"/>
  <c r="N22" i="69" s="1"/>
  <c r="N23" i="69" s="1"/>
  <c r="N24" i="69" s="1"/>
  <c r="N25" i="69" s="1"/>
  <c r="N26" i="69" s="1"/>
  <c r="N27" i="69" s="1"/>
  <c r="N28" i="69" s="1"/>
  <c r="N29" i="69" s="1"/>
  <c r="N30" i="69" s="1"/>
  <c r="N31" i="69" s="1"/>
  <c r="N32" i="69" s="1"/>
  <c r="N33" i="69" s="1"/>
  <c r="N34" i="69" s="1"/>
  <c r="N35" i="69" s="1"/>
  <c r="N36" i="69" s="1"/>
  <c r="N37" i="69" s="1"/>
  <c r="N38" i="69" s="1"/>
  <c r="N39" i="69" s="1"/>
  <c r="N40" i="69" s="1"/>
  <c r="N41" i="69" s="1"/>
  <c r="N42" i="69" s="1"/>
  <c r="N43" i="69" s="1"/>
  <c r="N44" i="69" s="1"/>
  <c r="N45" i="69" s="1"/>
  <c r="N46" i="69" s="1"/>
  <c r="N47" i="69" s="1"/>
  <c r="N48" i="69" s="1"/>
  <c r="N49" i="69" s="1"/>
  <c r="N50" i="69" s="1"/>
  <c r="N51" i="69" s="1"/>
  <c r="N52" i="69" s="1"/>
  <c r="N53" i="69" s="1"/>
  <c r="N54" i="69" s="1"/>
  <c r="N55" i="69" s="1"/>
  <c r="N56" i="69" s="1"/>
  <c r="N57" i="69" s="1"/>
  <c r="N58" i="69" s="1"/>
  <c r="N59" i="69" s="1"/>
  <c r="N60" i="69" s="1"/>
  <c r="N61" i="69" s="1"/>
  <c r="N62" i="69" s="1"/>
  <c r="N63" i="69" s="1"/>
  <c r="N64" i="69" s="1"/>
  <c r="N65" i="69" s="1"/>
  <c r="N66" i="69" s="1"/>
  <c r="N67" i="69" s="1"/>
  <c r="N68" i="69" s="1"/>
  <c r="N69" i="69" s="1"/>
  <c r="N70" i="69" s="1"/>
  <c r="N71" i="69" s="1"/>
  <c r="N72" i="69" s="1"/>
  <c r="N73" i="69" s="1"/>
  <c r="N74" i="69" s="1"/>
  <c r="N75" i="69" s="1"/>
  <c r="N76" i="69" s="1"/>
  <c r="N77" i="69" s="1"/>
  <c r="N78" i="69" s="1"/>
  <c r="N79" i="69" s="1"/>
  <c r="N80" i="69" s="1"/>
  <c r="N81" i="69" s="1"/>
  <c r="N82" i="69" s="1"/>
  <c r="N83" i="69" s="1"/>
  <c r="N84" i="69" s="1"/>
  <c r="N85" i="69" s="1"/>
  <c r="N86" i="69" s="1"/>
  <c r="N87" i="69" s="1"/>
  <c r="N88" i="69" s="1"/>
  <c r="N89" i="69" s="1"/>
  <c r="N90" i="69" s="1"/>
  <c r="N91" i="69" s="1"/>
  <c r="N92" i="69" s="1"/>
  <c r="N93" i="69" s="1"/>
  <c r="N94" i="69" s="1"/>
  <c r="N95" i="69" s="1"/>
  <c r="N96" i="69" s="1"/>
  <c r="N97" i="69" s="1"/>
  <c r="N98" i="69" s="1"/>
  <c r="N99" i="69" s="1"/>
  <c r="N100" i="69" s="1"/>
  <c r="N101" i="69" s="1"/>
  <c r="N102" i="69" s="1"/>
  <c r="N103" i="69" s="1"/>
  <c r="N104" i="69" s="1"/>
  <c r="N105" i="69" s="1"/>
  <c r="N106" i="69" s="1"/>
  <c r="N107" i="69" s="1"/>
  <c r="N108" i="69" s="1"/>
  <c r="N109" i="69" s="1"/>
  <c r="N110" i="69" s="1"/>
  <c r="N111" i="69" s="1"/>
  <c r="N112" i="69" s="1"/>
  <c r="N113" i="69" s="1"/>
  <c r="N114" i="69" s="1"/>
  <c r="N115" i="69" s="1"/>
  <c r="N116" i="69" s="1"/>
  <c r="N117" i="69" s="1"/>
  <c r="N118" i="69" s="1"/>
  <c r="N119" i="69" s="1"/>
  <c r="N120" i="69" s="1"/>
  <c r="N121" i="69" s="1"/>
  <c r="N122" i="69" s="1"/>
  <c r="N123" i="69" s="1"/>
  <c r="N124" i="69" s="1"/>
  <c r="N125" i="69" s="1"/>
  <c r="N126" i="69" s="1"/>
  <c r="N127" i="69" s="1"/>
  <c r="N128" i="69" s="1"/>
  <c r="N129" i="69" s="1"/>
  <c r="N130" i="69" s="1"/>
  <c r="N131" i="69" s="1"/>
  <c r="N132" i="69" s="1"/>
  <c r="N133" i="69" s="1"/>
  <c r="N134" i="69" s="1"/>
  <c r="N135" i="69" s="1"/>
  <c r="N136" i="69" s="1"/>
  <c r="N137" i="69" s="1"/>
  <c r="N138" i="69" s="1"/>
  <c r="N139" i="69" s="1"/>
  <c r="N140" i="69" s="1"/>
  <c r="N141" i="69" s="1"/>
  <c r="N142" i="69" s="1"/>
  <c r="N143" i="69" s="1"/>
  <c r="N144" i="69" s="1"/>
  <c r="N145" i="69" s="1"/>
  <c r="N146" i="69" s="1"/>
  <c r="N147" i="69" s="1"/>
  <c r="N148" i="69" s="1"/>
  <c r="N149" i="69" s="1"/>
  <c r="N150" i="69" s="1"/>
  <c r="N151" i="69" s="1"/>
  <c r="N152" i="69" s="1"/>
  <c r="N153" i="69" s="1"/>
  <c r="N154" i="69" s="1"/>
  <c r="O11" i="69"/>
  <c r="O12" i="69" s="1"/>
  <c r="O13" i="69" s="1"/>
  <c r="O14" i="69" s="1"/>
  <c r="O15" i="69" s="1"/>
  <c r="O16" i="69" s="1"/>
  <c r="O17" i="69" s="1"/>
  <c r="O18" i="69" s="1"/>
  <c r="O19" i="69" s="1"/>
  <c r="O20" i="69" s="1"/>
  <c r="O21" i="69" s="1"/>
  <c r="O22" i="69" s="1"/>
  <c r="O23" i="69" s="1"/>
  <c r="O24" i="69" s="1"/>
  <c r="O25" i="69" s="1"/>
  <c r="O26" i="69" s="1"/>
  <c r="O27" i="69" s="1"/>
  <c r="O28" i="69" s="1"/>
  <c r="O29" i="69" s="1"/>
  <c r="O30" i="69" s="1"/>
  <c r="O31" i="69" s="1"/>
  <c r="O32" i="69" s="1"/>
  <c r="O33" i="69" s="1"/>
  <c r="O34" i="69" s="1"/>
  <c r="O35" i="69" s="1"/>
  <c r="O36" i="69" s="1"/>
  <c r="O37" i="69" s="1"/>
  <c r="O38" i="69" s="1"/>
  <c r="O39" i="69" s="1"/>
  <c r="O40" i="69" s="1"/>
  <c r="O41" i="69" s="1"/>
  <c r="O42" i="69" s="1"/>
  <c r="O43" i="69" s="1"/>
  <c r="O44" i="69" s="1"/>
  <c r="O45" i="69" s="1"/>
  <c r="O46" i="69" s="1"/>
  <c r="O47" i="69" s="1"/>
  <c r="O48" i="69" s="1"/>
  <c r="O49" i="69" s="1"/>
  <c r="O50" i="69" s="1"/>
  <c r="O51" i="69" s="1"/>
  <c r="O52" i="69" s="1"/>
  <c r="O53" i="69" s="1"/>
  <c r="O54" i="69" s="1"/>
  <c r="O55" i="69" s="1"/>
  <c r="O56" i="69" s="1"/>
  <c r="O57" i="69" s="1"/>
  <c r="O58" i="69" s="1"/>
  <c r="O59" i="69" s="1"/>
  <c r="O60" i="69" s="1"/>
  <c r="O61" i="69" s="1"/>
  <c r="O62" i="69" s="1"/>
  <c r="O63" i="69" s="1"/>
  <c r="O64" i="69" s="1"/>
  <c r="O65" i="69" s="1"/>
  <c r="O66" i="69" s="1"/>
  <c r="O67" i="69" s="1"/>
  <c r="O68" i="69" s="1"/>
  <c r="O69" i="69" s="1"/>
  <c r="O70" i="69" s="1"/>
  <c r="O71" i="69" s="1"/>
  <c r="O72" i="69" s="1"/>
  <c r="O73" i="69" s="1"/>
  <c r="O74" i="69" s="1"/>
  <c r="O75" i="69" s="1"/>
  <c r="O76" i="69" s="1"/>
  <c r="O77" i="69" s="1"/>
  <c r="O78" i="69" s="1"/>
  <c r="O79" i="69" s="1"/>
  <c r="O80" i="69" s="1"/>
  <c r="O81" i="69" s="1"/>
  <c r="O82" i="69" s="1"/>
  <c r="O83" i="69" s="1"/>
  <c r="O84" i="69" s="1"/>
  <c r="O85" i="69" s="1"/>
  <c r="O86" i="69" s="1"/>
  <c r="O87" i="69" s="1"/>
  <c r="O88" i="69" s="1"/>
  <c r="O89" i="69" s="1"/>
  <c r="O90" i="69" s="1"/>
  <c r="O91" i="69" s="1"/>
  <c r="O92" i="69" s="1"/>
  <c r="O93" i="69" s="1"/>
  <c r="O94" i="69" s="1"/>
  <c r="O95" i="69" s="1"/>
  <c r="O96" i="69" s="1"/>
  <c r="O97" i="69" s="1"/>
  <c r="O98" i="69" s="1"/>
  <c r="O99" i="69" s="1"/>
  <c r="O100" i="69" s="1"/>
  <c r="O101" i="69" s="1"/>
  <c r="O102" i="69" s="1"/>
  <c r="O103" i="69" s="1"/>
  <c r="O104" i="69" s="1"/>
  <c r="O105" i="69" s="1"/>
  <c r="O106" i="69" s="1"/>
  <c r="O107" i="69" s="1"/>
  <c r="O108" i="69" s="1"/>
  <c r="O109" i="69" s="1"/>
  <c r="O110" i="69" s="1"/>
  <c r="O111" i="69" s="1"/>
  <c r="O112" i="69" s="1"/>
  <c r="O113" i="69" s="1"/>
  <c r="O114" i="69" s="1"/>
  <c r="O115" i="69" s="1"/>
  <c r="O116" i="69" s="1"/>
  <c r="O117" i="69" s="1"/>
  <c r="O118" i="69" s="1"/>
  <c r="O119" i="69" s="1"/>
  <c r="O120" i="69" s="1"/>
  <c r="O121" i="69" s="1"/>
  <c r="O122" i="69" s="1"/>
  <c r="O123" i="69" s="1"/>
  <c r="O124" i="69" s="1"/>
  <c r="O125" i="69" s="1"/>
  <c r="O126" i="69" s="1"/>
  <c r="O127" i="69" s="1"/>
  <c r="O128" i="69" s="1"/>
  <c r="O129" i="69" s="1"/>
  <c r="O130" i="69" s="1"/>
  <c r="O131" i="69" s="1"/>
  <c r="O132" i="69" s="1"/>
  <c r="O133" i="69" s="1"/>
  <c r="O134" i="69" s="1"/>
  <c r="O135" i="69" s="1"/>
  <c r="O136" i="69" s="1"/>
  <c r="O137" i="69" s="1"/>
  <c r="O138" i="69" s="1"/>
  <c r="O139" i="69" s="1"/>
  <c r="O140" i="69" s="1"/>
  <c r="O141" i="69" s="1"/>
  <c r="O142" i="69" s="1"/>
  <c r="O143" i="69" s="1"/>
  <c r="O144" i="69" s="1"/>
  <c r="O145" i="69" s="1"/>
  <c r="O146" i="69" s="1"/>
  <c r="O147" i="69" s="1"/>
  <c r="O148" i="69" s="1"/>
  <c r="O149" i="69" s="1"/>
  <c r="O150" i="69" s="1"/>
  <c r="O151" i="69" s="1"/>
  <c r="O152" i="69" s="1"/>
  <c r="O153" i="69" s="1"/>
  <c r="O154" i="69" s="1"/>
  <c r="R11" i="68"/>
  <c r="R12" i="68" s="1"/>
  <c r="R13" i="68" s="1"/>
  <c r="R14" i="68" s="1"/>
  <c r="R15" i="68" s="1"/>
  <c r="R16" i="68" s="1"/>
  <c r="R17" i="68" s="1"/>
  <c r="R18" i="68" s="1"/>
  <c r="R19" i="68" s="1"/>
  <c r="R20" i="68" s="1"/>
  <c r="R21" i="68" s="1"/>
  <c r="R22" i="68" s="1"/>
  <c r="R23" i="68" s="1"/>
  <c r="R24" i="68" s="1"/>
  <c r="R25" i="68" s="1"/>
  <c r="R26" i="68" s="1"/>
  <c r="R27" i="68" s="1"/>
  <c r="R28" i="68" s="1"/>
  <c r="R29" i="68" s="1"/>
  <c r="R30" i="68" s="1"/>
  <c r="R31" i="68" s="1"/>
  <c r="R32" i="68" s="1"/>
  <c r="R33" i="68" s="1"/>
  <c r="R34" i="68" s="1"/>
  <c r="R35" i="68" s="1"/>
  <c r="R36" i="68" s="1"/>
  <c r="R37" i="68" s="1"/>
  <c r="R38" i="68" s="1"/>
  <c r="R39" i="68" s="1"/>
  <c r="R40" i="68" s="1"/>
  <c r="R41" i="68" s="1"/>
  <c r="R42" i="68" s="1"/>
  <c r="R43" i="68" s="1"/>
  <c r="R44" i="68" s="1"/>
  <c r="R45" i="68" s="1"/>
  <c r="R46" i="68" s="1"/>
  <c r="R47" i="68" s="1"/>
  <c r="R48" i="68" s="1"/>
  <c r="R49" i="68" s="1"/>
  <c r="R50" i="68" s="1"/>
  <c r="R51" i="68" s="1"/>
  <c r="R52" i="68" s="1"/>
  <c r="R53" i="68" s="1"/>
  <c r="R54" i="68" s="1"/>
  <c r="R55" i="68" s="1"/>
  <c r="R56" i="68" s="1"/>
  <c r="R57" i="68" s="1"/>
  <c r="R58" i="68" s="1"/>
  <c r="R59" i="68" s="1"/>
  <c r="R60" i="68" s="1"/>
  <c r="R61" i="68" s="1"/>
  <c r="R62" i="68" s="1"/>
  <c r="R63" i="68" s="1"/>
  <c r="R64" i="68" s="1"/>
  <c r="R65" i="68" s="1"/>
  <c r="R66" i="68" s="1"/>
  <c r="R67" i="68" s="1"/>
  <c r="R68" i="68" s="1"/>
  <c r="R69" i="68" s="1"/>
  <c r="R70" i="68" s="1"/>
  <c r="R71" i="68" s="1"/>
  <c r="R72" i="68" s="1"/>
  <c r="R73" i="68" s="1"/>
  <c r="R74" i="68" s="1"/>
  <c r="R75" i="68" s="1"/>
  <c r="R76" i="68" s="1"/>
  <c r="R77" i="68" s="1"/>
  <c r="R78" i="68" s="1"/>
  <c r="R79" i="68" s="1"/>
  <c r="R80" i="68" s="1"/>
  <c r="R81" i="68" s="1"/>
  <c r="R82" i="68" s="1"/>
  <c r="R83" i="68" s="1"/>
  <c r="R84" i="68" s="1"/>
  <c r="R85" i="68" s="1"/>
  <c r="R86" i="68" s="1"/>
  <c r="R87" i="68" s="1"/>
  <c r="R88" i="68" s="1"/>
  <c r="R89" i="68" s="1"/>
  <c r="R90" i="68" s="1"/>
  <c r="R91" i="68" s="1"/>
  <c r="R92" i="68" s="1"/>
  <c r="R93" i="68" s="1"/>
  <c r="R94" i="68" s="1"/>
  <c r="R95" i="68" s="1"/>
  <c r="R96" i="68" s="1"/>
  <c r="R97" i="68" s="1"/>
  <c r="R98" i="68" s="1"/>
  <c r="R99" i="68" s="1"/>
  <c r="R100" i="68" s="1"/>
  <c r="R101" i="68" s="1"/>
  <c r="R102" i="68" s="1"/>
  <c r="R103" i="68" s="1"/>
  <c r="R104" i="68" s="1"/>
  <c r="R105" i="68" s="1"/>
  <c r="R106" i="68" s="1"/>
  <c r="R107" i="68" s="1"/>
  <c r="R108" i="68" s="1"/>
  <c r="R109" i="68" s="1"/>
  <c r="R110" i="68" s="1"/>
  <c r="R111" i="68" s="1"/>
  <c r="R112" i="68" s="1"/>
  <c r="R113" i="68" s="1"/>
  <c r="R114" i="68" s="1"/>
  <c r="R115" i="68" s="1"/>
  <c r="R116" i="68" s="1"/>
  <c r="R117" i="68" s="1"/>
  <c r="R118" i="68" s="1"/>
  <c r="R119" i="68" s="1"/>
  <c r="R120" i="68" s="1"/>
  <c r="R121" i="68" s="1"/>
  <c r="R122" i="68" s="1"/>
  <c r="R123" i="68" s="1"/>
  <c r="R124" i="68" s="1"/>
  <c r="R125" i="68" s="1"/>
  <c r="R126" i="68" s="1"/>
  <c r="R127" i="68" s="1"/>
  <c r="R128" i="68" s="1"/>
  <c r="R129" i="68" s="1"/>
  <c r="R130" i="68" s="1"/>
  <c r="R131" i="68" s="1"/>
  <c r="R132" i="68" s="1"/>
  <c r="R133" i="68" s="1"/>
  <c r="R134" i="68" s="1"/>
  <c r="R135" i="68" s="1"/>
  <c r="R136" i="68" s="1"/>
  <c r="R137" i="68" s="1"/>
  <c r="R138" i="68" s="1"/>
  <c r="R139" i="68" s="1"/>
  <c r="R140" i="68" s="1"/>
  <c r="R141" i="68" s="1"/>
  <c r="R142" i="68" s="1"/>
  <c r="R143" i="68" s="1"/>
  <c r="R144" i="68" s="1"/>
  <c r="R145" i="68" s="1"/>
  <c r="R146" i="68" s="1"/>
  <c r="R147" i="68" s="1"/>
  <c r="R148" i="68" s="1"/>
  <c r="R149" i="68" s="1"/>
  <c r="R150" i="68" s="1"/>
  <c r="R151" i="68" s="1"/>
  <c r="R152" i="68" s="1"/>
  <c r="R153" i="68" s="1"/>
  <c r="R154" i="68" s="1"/>
  <c r="R155" i="68" s="1"/>
  <c r="R156" i="68" s="1"/>
  <c r="R157" i="68" s="1"/>
  <c r="R158" i="68" s="1"/>
  <c r="R159" i="68" s="1"/>
  <c r="R160" i="68" s="1"/>
  <c r="R161" i="68" s="1"/>
  <c r="R162" i="68" s="1"/>
  <c r="R163" i="68" s="1"/>
  <c r="R164" i="68" s="1"/>
  <c r="R165" i="68" s="1"/>
  <c r="R166" i="68" s="1"/>
  <c r="R167" i="68" s="1"/>
  <c r="R168" i="68" s="1"/>
  <c r="R169" i="68" s="1"/>
  <c r="R170" i="68" s="1"/>
  <c r="R171" i="68" s="1"/>
  <c r="R172" i="68" s="1"/>
  <c r="R173" i="68" s="1"/>
  <c r="R174" i="68" s="1"/>
  <c r="R175" i="68" s="1"/>
  <c r="R176" i="68" s="1"/>
  <c r="R177" i="68" s="1"/>
  <c r="R178" i="68" s="1"/>
  <c r="R179" i="68" s="1"/>
  <c r="R180" i="68" s="1"/>
  <c r="R181" i="68" s="1"/>
  <c r="R182" i="68" s="1"/>
  <c r="R183" i="68" s="1"/>
  <c r="R184" i="68" s="1"/>
  <c r="R185" i="68" s="1"/>
  <c r="R186" i="68" s="1"/>
  <c r="R187" i="68" s="1"/>
  <c r="R188" i="68" s="1"/>
  <c r="R189" i="68" s="1"/>
  <c r="R190" i="68" s="1"/>
  <c r="R191" i="68" s="1"/>
  <c r="R192" i="68" s="1"/>
  <c r="R193" i="68" s="1"/>
  <c r="R194" i="68" s="1"/>
  <c r="R195" i="68" s="1"/>
  <c r="R196" i="68" s="1"/>
  <c r="R197" i="68" s="1"/>
  <c r="R198" i="68" s="1"/>
  <c r="R199" i="68" s="1"/>
  <c r="R200" i="68" s="1"/>
  <c r="R201" i="68" s="1"/>
  <c r="R202" i="68" s="1"/>
  <c r="R203" i="68" s="1"/>
  <c r="R204" i="68" s="1"/>
  <c r="R205" i="68" s="1"/>
  <c r="R206" i="68" s="1"/>
  <c r="R207" i="68" s="1"/>
  <c r="R208" i="68" s="1"/>
  <c r="R209" i="68" s="1"/>
  <c r="R210" i="68" s="1"/>
  <c r="R211" i="68" s="1"/>
  <c r="R212" i="68" s="1"/>
  <c r="R213" i="68" s="1"/>
  <c r="R214" i="68" s="1"/>
  <c r="R215" i="68" s="1"/>
  <c r="R216" i="68" s="1"/>
  <c r="R217" i="68" s="1"/>
  <c r="R218" i="68" s="1"/>
  <c r="R219" i="68" s="1"/>
  <c r="R220" i="68" s="1"/>
  <c r="R221" i="68" s="1"/>
  <c r="R222" i="68" s="1"/>
  <c r="R223" i="68" s="1"/>
  <c r="R224" i="68" s="1"/>
  <c r="R225" i="68" s="1"/>
  <c r="R226" i="68" s="1"/>
  <c r="R227" i="68" s="1"/>
  <c r="R228" i="68" s="1"/>
  <c r="R229" i="68" s="1"/>
  <c r="R230" i="68" s="1"/>
  <c r="R231" i="68" s="1"/>
  <c r="R232" i="68" s="1"/>
  <c r="R233" i="68" s="1"/>
  <c r="R234" i="68" s="1"/>
  <c r="R235" i="68" s="1"/>
  <c r="R236" i="68" s="1"/>
  <c r="R237" i="68" s="1"/>
  <c r="R238" i="68" s="1"/>
  <c r="R239" i="68" s="1"/>
  <c r="R240" i="68" s="1"/>
  <c r="R241" i="68" s="1"/>
  <c r="R242" i="68" s="1"/>
  <c r="R243" i="68" s="1"/>
  <c r="R244" i="68" s="1"/>
  <c r="R245" i="68" s="1"/>
  <c r="R246" i="68" s="1"/>
  <c r="R247" i="68" s="1"/>
  <c r="R248" i="68" s="1"/>
  <c r="R249" i="68" s="1"/>
  <c r="R250" i="68" s="1"/>
  <c r="R251" i="68" s="1"/>
  <c r="R252" i="68" s="1"/>
  <c r="R253" i="68" s="1"/>
  <c r="R254" i="68" s="1"/>
  <c r="R255" i="68" s="1"/>
  <c r="R256" i="68" s="1"/>
  <c r="R257" i="68" s="1"/>
  <c r="R258" i="68" s="1"/>
  <c r="R259" i="68" s="1"/>
  <c r="R260" i="68" s="1"/>
  <c r="R261" i="68" s="1"/>
  <c r="R262" i="68" s="1"/>
  <c r="R263" i="68" s="1"/>
  <c r="R264" i="68" s="1"/>
  <c r="R265" i="68" s="1"/>
  <c r="R266" i="68" s="1"/>
  <c r="R267" i="68" s="1"/>
  <c r="R268" i="68" s="1"/>
  <c r="R269" i="68" s="1"/>
  <c r="R270" i="68" s="1"/>
  <c r="R271" i="68" s="1"/>
  <c r="R272" i="68" s="1"/>
  <c r="R273" i="68" s="1"/>
  <c r="R274" i="68" s="1"/>
  <c r="R275" i="68" s="1"/>
  <c r="R276" i="68" s="1"/>
  <c r="R277" i="68" s="1"/>
  <c r="R278" i="68" s="1"/>
  <c r="R279" i="68" s="1"/>
  <c r="R280" i="68" s="1"/>
  <c r="R281" i="68" s="1"/>
  <c r="R282" i="68" s="1"/>
  <c r="R283" i="68" s="1"/>
  <c r="R284" i="68" s="1"/>
  <c r="R285" i="68" s="1"/>
  <c r="R286" i="68" s="1"/>
  <c r="R287" i="68" s="1"/>
  <c r="R288" i="68" s="1"/>
  <c r="R289" i="68" s="1"/>
  <c r="R290" i="68" s="1"/>
  <c r="R291" i="68" s="1"/>
  <c r="R292" i="68" s="1"/>
  <c r="R293" i="68" s="1"/>
  <c r="R294" i="68" s="1"/>
  <c r="R295" i="68" s="1"/>
  <c r="R296" i="68" s="1"/>
  <c r="R297" i="68" s="1"/>
  <c r="R298" i="68" s="1"/>
  <c r="O12" i="67"/>
  <c r="O13" i="67" s="1"/>
  <c r="O14" i="67" s="1"/>
  <c r="O15" i="67" s="1"/>
  <c r="O16" i="67" s="1"/>
  <c r="O17" i="67" s="1"/>
  <c r="O18" i="67" s="1"/>
  <c r="O19" i="67" s="1"/>
  <c r="O20" i="67" s="1"/>
  <c r="O21" i="67" s="1"/>
  <c r="O22" i="67" s="1"/>
  <c r="O23" i="67" s="1"/>
  <c r="O24" i="67" s="1"/>
  <c r="O25" i="67" s="1"/>
  <c r="O26" i="67" s="1"/>
  <c r="O27" i="67" s="1"/>
  <c r="O28" i="67" s="1"/>
  <c r="O29" i="67" s="1"/>
  <c r="O30" i="67" s="1"/>
  <c r="O31" i="67" s="1"/>
  <c r="O32" i="67" s="1"/>
  <c r="O33" i="67" s="1"/>
  <c r="O34" i="67" s="1"/>
  <c r="O35" i="67" s="1"/>
  <c r="O36" i="67" s="1"/>
  <c r="O37" i="67" s="1"/>
  <c r="O38" i="67" s="1"/>
  <c r="O39" i="67" s="1"/>
  <c r="O40" i="67" s="1"/>
  <c r="O41" i="67" s="1"/>
  <c r="O42" i="67" s="1"/>
  <c r="O43" i="67" s="1"/>
  <c r="O44" i="67" s="1"/>
  <c r="O45" i="67" s="1"/>
  <c r="O46" i="67" s="1"/>
  <c r="O47" i="67" s="1"/>
  <c r="O48" i="67" s="1"/>
  <c r="O49" i="67" s="1"/>
  <c r="O50" i="67" s="1"/>
  <c r="O51" i="67" s="1"/>
  <c r="O52" i="67" s="1"/>
  <c r="O53" i="67" s="1"/>
  <c r="O54" i="67" s="1"/>
  <c r="O55" i="67" s="1"/>
  <c r="O56" i="67" s="1"/>
  <c r="O57" i="67" s="1"/>
  <c r="O58" i="67" s="1"/>
  <c r="O59" i="67" s="1"/>
  <c r="O60" i="67" s="1"/>
  <c r="O61" i="67" s="1"/>
  <c r="O62" i="67" s="1"/>
  <c r="O63" i="67" s="1"/>
  <c r="O64" i="67" s="1"/>
  <c r="O65" i="67" s="1"/>
  <c r="O66" i="67" s="1"/>
  <c r="O67" i="67" s="1"/>
  <c r="O68" i="67" s="1"/>
  <c r="O69" i="67" s="1"/>
  <c r="O70" i="67" s="1"/>
  <c r="O71" i="67" s="1"/>
  <c r="O72" i="67" s="1"/>
  <c r="O73" i="67" s="1"/>
  <c r="O74" i="67" s="1"/>
  <c r="O75" i="67" s="1"/>
  <c r="O76" i="67" s="1"/>
  <c r="O77" i="67" s="1"/>
  <c r="O78" i="67" s="1"/>
  <c r="O79" i="67" s="1"/>
  <c r="O80" i="67" s="1"/>
  <c r="O81" i="67" s="1"/>
  <c r="O82" i="67" s="1"/>
  <c r="O83" i="67" s="1"/>
  <c r="O84" i="67" s="1"/>
  <c r="O85" i="67" s="1"/>
  <c r="O86" i="67" s="1"/>
  <c r="O87" i="67" s="1"/>
  <c r="O88" i="67" s="1"/>
  <c r="O89" i="67" s="1"/>
  <c r="O90" i="67" s="1"/>
  <c r="O91" i="67" s="1"/>
  <c r="O92" i="67" s="1"/>
  <c r="O93" i="67" s="1"/>
  <c r="O94" i="67" s="1"/>
  <c r="O95" i="67" s="1"/>
  <c r="O96" i="67" s="1"/>
  <c r="O97" i="67" s="1"/>
  <c r="O98" i="67" s="1"/>
  <c r="O99" i="67" s="1"/>
  <c r="O100" i="67" s="1"/>
  <c r="O101" i="67" s="1"/>
  <c r="O102" i="67" s="1"/>
  <c r="O103" i="67" s="1"/>
  <c r="O104" i="67" s="1"/>
  <c r="O105" i="67" s="1"/>
  <c r="O106" i="67" s="1"/>
  <c r="O107" i="67" s="1"/>
  <c r="O108" i="67" s="1"/>
  <c r="O109" i="67" s="1"/>
  <c r="O110" i="67" s="1"/>
  <c r="O111" i="67" s="1"/>
  <c r="O112" i="67" s="1"/>
  <c r="O113" i="67" s="1"/>
  <c r="O114" i="67" s="1"/>
  <c r="O115" i="67" s="1"/>
  <c r="O116" i="67" s="1"/>
  <c r="O117" i="67" s="1"/>
  <c r="O118" i="67" s="1"/>
  <c r="O119" i="67" s="1"/>
  <c r="O120" i="67" s="1"/>
  <c r="O121" i="67" s="1"/>
  <c r="O122" i="67" s="1"/>
  <c r="O123" i="67" s="1"/>
  <c r="O124" i="67" s="1"/>
  <c r="O125" i="67" s="1"/>
  <c r="O126" i="67" s="1"/>
  <c r="O127" i="67" s="1"/>
  <c r="O128" i="67" s="1"/>
  <c r="O129" i="67" s="1"/>
  <c r="O130" i="67" s="1"/>
  <c r="O131" i="67" s="1"/>
  <c r="O132" i="67" s="1"/>
  <c r="O133" i="67" s="1"/>
  <c r="O134" i="67" s="1"/>
  <c r="O135" i="67" s="1"/>
  <c r="O136" i="67" s="1"/>
  <c r="O137" i="67" s="1"/>
  <c r="O138" i="67" s="1"/>
  <c r="O139" i="67" s="1"/>
  <c r="O140" i="67" s="1"/>
  <c r="O141" i="67" s="1"/>
  <c r="O142" i="67" s="1"/>
  <c r="O143" i="67" s="1"/>
  <c r="O144" i="67" s="1"/>
  <c r="O145" i="67" s="1"/>
  <c r="O146" i="67" s="1"/>
  <c r="O147" i="67" s="1"/>
  <c r="O148" i="67" s="1"/>
  <c r="O149" i="67" s="1"/>
  <c r="O150" i="67" s="1"/>
  <c r="O151" i="67" s="1"/>
  <c r="O152" i="67" s="1"/>
  <c r="O153" i="67" s="1"/>
  <c r="O154" i="67" s="1"/>
  <c r="O155" i="67" s="1"/>
  <c r="O156" i="67" s="1"/>
  <c r="O157" i="67" s="1"/>
  <c r="O158" i="67" s="1"/>
  <c r="O159" i="67" s="1"/>
  <c r="O160" i="67" s="1"/>
  <c r="O161" i="67" s="1"/>
  <c r="O162" i="67" s="1"/>
  <c r="O163" i="67" s="1"/>
  <c r="O164" i="67" s="1"/>
  <c r="O165" i="67" s="1"/>
  <c r="O166" i="67" s="1"/>
  <c r="O167" i="67" s="1"/>
  <c r="O168" i="67" s="1"/>
  <c r="O169" i="67" s="1"/>
  <c r="O170" i="67" s="1"/>
  <c r="O171" i="67" s="1"/>
  <c r="O172" i="67" s="1"/>
  <c r="O173" i="67" s="1"/>
  <c r="O174" i="67" s="1"/>
  <c r="O175" i="67" s="1"/>
  <c r="O176" i="67" s="1"/>
  <c r="O177" i="67" s="1"/>
  <c r="O178" i="67" s="1"/>
  <c r="O179" i="67" s="1"/>
  <c r="O180" i="67" s="1"/>
  <c r="O181" i="67" s="1"/>
  <c r="O182" i="67" s="1"/>
  <c r="O183" i="67" s="1"/>
  <c r="O184" i="67" s="1"/>
  <c r="O185" i="67" s="1"/>
  <c r="O186" i="67" s="1"/>
  <c r="O187" i="67" s="1"/>
  <c r="O188" i="67" s="1"/>
  <c r="O189" i="67" s="1"/>
  <c r="O190" i="67" s="1"/>
  <c r="O191" i="67" s="1"/>
  <c r="O192" i="67" s="1"/>
  <c r="O193" i="67" s="1"/>
  <c r="O194" i="67" s="1"/>
  <c r="O195" i="67" s="1"/>
  <c r="O196" i="67" s="1"/>
  <c r="O197" i="67" s="1"/>
  <c r="O198" i="67" s="1"/>
  <c r="O199" i="67" s="1"/>
  <c r="O200" i="67" s="1"/>
  <c r="O201" i="67" s="1"/>
  <c r="O202" i="67" s="1"/>
  <c r="O203" i="67" s="1"/>
  <c r="O204" i="67" s="1"/>
  <c r="O205" i="67" s="1"/>
  <c r="O206" i="67" s="1"/>
  <c r="O207" i="67" s="1"/>
  <c r="O208" i="67" s="1"/>
  <c r="O209" i="67" s="1"/>
  <c r="O210" i="67" s="1"/>
  <c r="O211" i="67" s="1"/>
  <c r="O212" i="67" s="1"/>
  <c r="O213" i="67" s="1"/>
  <c r="O214" i="67" s="1"/>
  <c r="O215" i="67" s="1"/>
  <c r="O216" i="67" s="1"/>
  <c r="O217" i="67" s="1"/>
  <c r="O218" i="67" s="1"/>
  <c r="O219" i="67" s="1"/>
  <c r="O220" i="67" s="1"/>
  <c r="O221" i="67" s="1"/>
  <c r="O222" i="67" s="1"/>
  <c r="O223" i="67" s="1"/>
  <c r="O224" i="67" s="1"/>
  <c r="O225" i="67" s="1"/>
  <c r="O226" i="67" s="1"/>
  <c r="O227" i="67" s="1"/>
  <c r="O228" i="67" s="1"/>
  <c r="O229" i="67" s="1"/>
  <c r="O230" i="67" s="1"/>
  <c r="O231" i="67" s="1"/>
  <c r="O232" i="67" s="1"/>
  <c r="O233" i="67" s="1"/>
  <c r="O234" i="67" s="1"/>
  <c r="O235" i="67" s="1"/>
  <c r="O236" i="67" s="1"/>
  <c r="O237" i="67" s="1"/>
  <c r="O238" i="67" s="1"/>
  <c r="O239" i="67" s="1"/>
  <c r="O240" i="67" s="1"/>
  <c r="O241" i="67" s="1"/>
  <c r="O242" i="67" s="1"/>
  <c r="O243" i="67" s="1"/>
  <c r="O244" i="67" s="1"/>
  <c r="O245" i="67" s="1"/>
  <c r="O246" i="67" s="1"/>
  <c r="O247" i="67" s="1"/>
  <c r="O248" i="67" s="1"/>
  <c r="O249" i="67" s="1"/>
  <c r="O250" i="67" s="1"/>
  <c r="O251" i="67" s="1"/>
  <c r="O252" i="67" s="1"/>
  <c r="O253" i="67" s="1"/>
  <c r="O254" i="67" s="1"/>
  <c r="O255" i="67" s="1"/>
  <c r="O256" i="67" s="1"/>
  <c r="O257" i="67" s="1"/>
  <c r="O258" i="67" s="1"/>
  <c r="O259" i="67" s="1"/>
  <c r="O260" i="67" s="1"/>
  <c r="O261" i="67" s="1"/>
  <c r="O262" i="67" s="1"/>
  <c r="O263" i="67" s="1"/>
  <c r="O264" i="67" s="1"/>
  <c r="O265" i="67" s="1"/>
  <c r="O266" i="67" s="1"/>
  <c r="O267" i="67" s="1"/>
  <c r="O268" i="67" s="1"/>
  <c r="O269" i="67" s="1"/>
  <c r="O270" i="67" s="1"/>
  <c r="O271" i="67" s="1"/>
  <c r="O272" i="67" s="1"/>
  <c r="O273" i="67" s="1"/>
  <c r="O274" i="67" s="1"/>
  <c r="O275" i="67" s="1"/>
  <c r="O276" i="67" s="1"/>
  <c r="O277" i="67" s="1"/>
  <c r="O278" i="67" s="1"/>
  <c r="O279" i="67" s="1"/>
  <c r="O280" i="67" s="1"/>
  <c r="O281" i="67" s="1"/>
  <c r="O282" i="67" s="1"/>
  <c r="O283" i="67" s="1"/>
  <c r="O284" i="67" s="1"/>
  <c r="O285" i="67" s="1"/>
  <c r="O286" i="67" s="1"/>
  <c r="O287" i="67" s="1"/>
  <c r="O288" i="67" s="1"/>
  <c r="O289" i="67" s="1"/>
  <c r="O290" i="67" s="1"/>
  <c r="O291" i="67" s="1"/>
  <c r="O292" i="67" s="1"/>
  <c r="O293" i="67" s="1"/>
  <c r="O294" i="67" s="1"/>
  <c r="O295" i="67" s="1"/>
  <c r="O296" i="67" s="1"/>
  <c r="O297" i="67" s="1"/>
  <c r="O298" i="67" s="1"/>
  <c r="P11" i="67"/>
  <c r="P12" i="67" s="1"/>
  <c r="P13" i="67" s="1"/>
  <c r="P14" i="67" s="1"/>
  <c r="P15" i="67" s="1"/>
  <c r="P16" i="67" s="1"/>
  <c r="P17" i="67" s="1"/>
  <c r="P18" i="67" s="1"/>
  <c r="P19" i="67" s="1"/>
  <c r="P20" i="67" s="1"/>
  <c r="P21" i="67" s="1"/>
  <c r="P22" i="67" s="1"/>
  <c r="P23" i="67" s="1"/>
  <c r="P24" i="67" s="1"/>
  <c r="P25" i="67" s="1"/>
  <c r="P26" i="67" s="1"/>
  <c r="P27" i="67" s="1"/>
  <c r="P28" i="67" s="1"/>
  <c r="P29" i="67" s="1"/>
  <c r="P30" i="67" s="1"/>
  <c r="P31" i="67" s="1"/>
  <c r="P32" i="67" s="1"/>
  <c r="P33" i="67" s="1"/>
  <c r="P34" i="67" s="1"/>
  <c r="P35" i="67" s="1"/>
  <c r="P36" i="67" s="1"/>
  <c r="P37" i="67" s="1"/>
  <c r="P38" i="67" s="1"/>
  <c r="P39" i="67" s="1"/>
  <c r="P40" i="67" s="1"/>
  <c r="P41" i="67" s="1"/>
  <c r="P42" i="67" s="1"/>
  <c r="P43" i="67" s="1"/>
  <c r="P44" i="67" s="1"/>
  <c r="P45" i="67" s="1"/>
  <c r="P46" i="67" s="1"/>
  <c r="P47" i="67" s="1"/>
  <c r="P48" i="67" s="1"/>
  <c r="P49" i="67" s="1"/>
  <c r="P50" i="67" s="1"/>
  <c r="P51" i="67" s="1"/>
  <c r="P52" i="67" s="1"/>
  <c r="P53" i="67" s="1"/>
  <c r="P54" i="67" s="1"/>
  <c r="P55" i="67" s="1"/>
  <c r="P56" i="67" s="1"/>
  <c r="P57" i="67" s="1"/>
  <c r="P58" i="67" s="1"/>
  <c r="P59" i="67" s="1"/>
  <c r="P60" i="67" s="1"/>
  <c r="P61" i="67" s="1"/>
  <c r="P62" i="67" s="1"/>
  <c r="P63" i="67" s="1"/>
  <c r="P64" i="67" s="1"/>
  <c r="P65" i="67" s="1"/>
  <c r="P66" i="67" s="1"/>
  <c r="P67" i="67" s="1"/>
  <c r="P68" i="67" s="1"/>
  <c r="P69" i="67" s="1"/>
  <c r="P70" i="67" s="1"/>
  <c r="P71" i="67" s="1"/>
  <c r="P72" i="67" s="1"/>
  <c r="P73" i="67" s="1"/>
  <c r="P74" i="67" s="1"/>
  <c r="P75" i="67" s="1"/>
  <c r="P76" i="67" s="1"/>
  <c r="P77" i="67" s="1"/>
  <c r="P78" i="67" s="1"/>
  <c r="P79" i="67" s="1"/>
  <c r="P80" i="67" s="1"/>
  <c r="P81" i="67" s="1"/>
  <c r="P82" i="67" s="1"/>
  <c r="P83" i="67" s="1"/>
  <c r="P84" i="67" s="1"/>
  <c r="P85" i="67" s="1"/>
  <c r="P86" i="67" s="1"/>
  <c r="P87" i="67" s="1"/>
  <c r="P88" i="67" s="1"/>
  <c r="P89" i="67" s="1"/>
  <c r="P90" i="67" s="1"/>
  <c r="P91" i="67" s="1"/>
  <c r="P92" i="67" s="1"/>
  <c r="P93" i="67" s="1"/>
  <c r="P94" i="67" s="1"/>
  <c r="P95" i="67" s="1"/>
  <c r="P96" i="67" s="1"/>
  <c r="P97" i="67" s="1"/>
  <c r="P98" i="67" s="1"/>
  <c r="P99" i="67" s="1"/>
  <c r="P100" i="67" s="1"/>
  <c r="P101" i="67" s="1"/>
  <c r="P102" i="67" s="1"/>
  <c r="P103" i="67" s="1"/>
  <c r="P104" i="67" s="1"/>
  <c r="P105" i="67" s="1"/>
  <c r="P106" i="67" s="1"/>
  <c r="P107" i="67" s="1"/>
  <c r="P108" i="67" s="1"/>
  <c r="P109" i="67" s="1"/>
  <c r="P110" i="67" s="1"/>
  <c r="P111" i="67" s="1"/>
  <c r="P112" i="67" s="1"/>
  <c r="P113" i="67" s="1"/>
  <c r="P114" i="67" s="1"/>
  <c r="P115" i="67" s="1"/>
  <c r="P116" i="67" s="1"/>
  <c r="P117" i="67" s="1"/>
  <c r="P118" i="67" s="1"/>
  <c r="P119" i="67" s="1"/>
  <c r="P120" i="67" s="1"/>
  <c r="P121" i="67" s="1"/>
  <c r="P122" i="67" s="1"/>
  <c r="P123" i="67" s="1"/>
  <c r="P124" i="67" s="1"/>
  <c r="P125" i="67" s="1"/>
  <c r="P126" i="67" s="1"/>
  <c r="P127" i="67" s="1"/>
  <c r="P128" i="67" s="1"/>
  <c r="P129" i="67" s="1"/>
  <c r="P130" i="67" s="1"/>
  <c r="P131" i="67" s="1"/>
  <c r="P132" i="67" s="1"/>
  <c r="P133" i="67" s="1"/>
  <c r="P134" i="67" s="1"/>
  <c r="P135" i="67" s="1"/>
  <c r="P136" i="67" s="1"/>
  <c r="P137" i="67" s="1"/>
  <c r="P138" i="67" s="1"/>
  <c r="P139" i="67" s="1"/>
  <c r="P140" i="67" s="1"/>
  <c r="P141" i="67" s="1"/>
  <c r="P142" i="67" s="1"/>
  <c r="P143" i="67" s="1"/>
  <c r="P144" i="67" s="1"/>
  <c r="P145" i="67" s="1"/>
  <c r="P146" i="67" s="1"/>
  <c r="P147" i="67" s="1"/>
  <c r="P148" i="67" s="1"/>
  <c r="P149" i="67" s="1"/>
  <c r="P150" i="67" s="1"/>
  <c r="P151" i="67" s="1"/>
  <c r="P152" i="67" s="1"/>
  <c r="P153" i="67" s="1"/>
  <c r="P154" i="67" s="1"/>
  <c r="P155" i="67" s="1"/>
  <c r="P156" i="67" s="1"/>
  <c r="P157" i="67" s="1"/>
  <c r="P158" i="67" s="1"/>
  <c r="P159" i="67" s="1"/>
  <c r="P160" i="67" s="1"/>
  <c r="P161" i="67" s="1"/>
  <c r="P162" i="67" s="1"/>
  <c r="P163" i="67" s="1"/>
  <c r="P164" i="67" s="1"/>
  <c r="P165" i="67" s="1"/>
  <c r="P166" i="67" s="1"/>
  <c r="P167" i="67" s="1"/>
  <c r="P168" i="67" s="1"/>
  <c r="P169" i="67" s="1"/>
  <c r="P170" i="67" s="1"/>
  <c r="P171" i="67" s="1"/>
  <c r="P172" i="67" s="1"/>
  <c r="P173" i="67" s="1"/>
  <c r="P174" i="67" s="1"/>
  <c r="P175" i="67" s="1"/>
  <c r="P176" i="67" s="1"/>
  <c r="P177" i="67" s="1"/>
  <c r="P178" i="67" s="1"/>
  <c r="P179" i="67" s="1"/>
  <c r="P180" i="67" s="1"/>
  <c r="P181" i="67" s="1"/>
  <c r="P182" i="67" s="1"/>
  <c r="P183" i="67" s="1"/>
  <c r="P184" i="67" s="1"/>
  <c r="P185" i="67" s="1"/>
  <c r="P186" i="67" s="1"/>
  <c r="P187" i="67" s="1"/>
  <c r="P188" i="67" s="1"/>
  <c r="P189" i="67" s="1"/>
  <c r="P190" i="67" s="1"/>
  <c r="P191" i="67" s="1"/>
  <c r="P192" i="67" s="1"/>
  <c r="P193" i="67" s="1"/>
  <c r="P194" i="67" s="1"/>
  <c r="P195" i="67" s="1"/>
  <c r="P196" i="67" s="1"/>
  <c r="P197" i="67" s="1"/>
  <c r="P198" i="67" s="1"/>
  <c r="P199" i="67" s="1"/>
  <c r="P200" i="67" s="1"/>
  <c r="P201" i="67" s="1"/>
  <c r="P202" i="67" s="1"/>
  <c r="P203" i="67" s="1"/>
  <c r="P204" i="67" s="1"/>
  <c r="P205" i="67" s="1"/>
  <c r="P206" i="67" s="1"/>
  <c r="P207" i="67" s="1"/>
  <c r="P208" i="67" s="1"/>
  <c r="P209" i="67" s="1"/>
  <c r="P210" i="67" s="1"/>
  <c r="P211" i="67" s="1"/>
  <c r="P212" i="67" s="1"/>
  <c r="P213" i="67" s="1"/>
  <c r="P214" i="67" s="1"/>
  <c r="P215" i="67" s="1"/>
  <c r="P216" i="67" s="1"/>
  <c r="P217" i="67" s="1"/>
  <c r="P218" i="67" s="1"/>
  <c r="P219" i="67" s="1"/>
  <c r="P220" i="67" s="1"/>
  <c r="P221" i="67" s="1"/>
  <c r="P222" i="67" s="1"/>
  <c r="P223" i="67" s="1"/>
  <c r="P224" i="67" s="1"/>
  <c r="P225" i="67" s="1"/>
  <c r="P226" i="67" s="1"/>
  <c r="P227" i="67" s="1"/>
  <c r="P228" i="67" s="1"/>
  <c r="P229" i="67" s="1"/>
  <c r="P230" i="67" s="1"/>
  <c r="P231" i="67" s="1"/>
  <c r="P232" i="67" s="1"/>
  <c r="P233" i="67" s="1"/>
  <c r="P234" i="67" s="1"/>
  <c r="P235" i="67" s="1"/>
  <c r="P236" i="67" s="1"/>
  <c r="P237" i="67" s="1"/>
  <c r="P238" i="67" s="1"/>
  <c r="P239" i="67" s="1"/>
  <c r="P240" i="67" s="1"/>
  <c r="P241" i="67" s="1"/>
  <c r="P242" i="67" s="1"/>
  <c r="P243" i="67" s="1"/>
  <c r="P244" i="67" s="1"/>
  <c r="P245" i="67" s="1"/>
  <c r="P246" i="67" s="1"/>
  <c r="P247" i="67" s="1"/>
  <c r="P248" i="67" s="1"/>
  <c r="P249" i="67" s="1"/>
  <c r="P250" i="67" s="1"/>
  <c r="P251" i="67" s="1"/>
  <c r="P252" i="67" s="1"/>
  <c r="P253" i="67" s="1"/>
  <c r="P254" i="67" s="1"/>
  <c r="P255" i="67" s="1"/>
  <c r="P256" i="67" s="1"/>
  <c r="P257" i="67" s="1"/>
  <c r="P258" i="67" s="1"/>
  <c r="P259" i="67" s="1"/>
  <c r="P260" i="67" s="1"/>
  <c r="P261" i="67" s="1"/>
  <c r="P262" i="67" s="1"/>
  <c r="P263" i="67" s="1"/>
  <c r="P264" i="67" s="1"/>
  <c r="P265" i="67" s="1"/>
  <c r="P266" i="67" s="1"/>
  <c r="P267" i="67" s="1"/>
  <c r="P268" i="67" s="1"/>
  <c r="P269" i="67" s="1"/>
  <c r="P270" i="67" s="1"/>
  <c r="P271" i="67" s="1"/>
  <c r="P272" i="67" s="1"/>
  <c r="P273" i="67" s="1"/>
  <c r="P274" i="67" s="1"/>
  <c r="P275" i="67" s="1"/>
  <c r="P276" i="67" s="1"/>
  <c r="P277" i="67" s="1"/>
  <c r="P278" i="67" s="1"/>
  <c r="P279" i="67" s="1"/>
  <c r="P280" i="67" s="1"/>
  <c r="P281" i="67" s="1"/>
  <c r="P282" i="67" s="1"/>
  <c r="P283" i="67" s="1"/>
  <c r="P284" i="67" s="1"/>
  <c r="P285" i="67" s="1"/>
  <c r="P286" i="67" s="1"/>
  <c r="P287" i="67" s="1"/>
  <c r="P288" i="67" s="1"/>
  <c r="P289" i="67" s="1"/>
  <c r="P290" i="67" s="1"/>
  <c r="P291" i="67" s="1"/>
  <c r="P292" i="67" s="1"/>
  <c r="P293" i="67" s="1"/>
  <c r="P294" i="67" s="1"/>
  <c r="P295" i="67" s="1"/>
  <c r="P296" i="67" s="1"/>
  <c r="P297" i="67" s="1"/>
  <c r="P298" i="67" s="1"/>
  <c r="F13" i="66"/>
  <c r="G13" i="66" s="1"/>
  <c r="H13" i="66" s="1"/>
  <c r="E28" i="66"/>
  <c r="E30" i="66"/>
  <c r="E32" i="66"/>
  <c r="E34" i="66"/>
  <c r="E29" i="66"/>
  <c r="E31" i="66"/>
  <c r="E33" i="66"/>
  <c r="E35" i="66"/>
  <c r="E201" i="66"/>
  <c r="E202" i="66"/>
  <c r="D59" i="42" l="1"/>
  <c r="D190" i="47"/>
  <c r="E189" i="47"/>
  <c r="D232" i="95"/>
  <c r="K231" i="95"/>
  <c r="E231" i="95"/>
  <c r="F231" i="95" s="1"/>
  <c r="G230" i="95"/>
  <c r="H230" i="95"/>
  <c r="Q222" i="95"/>
  <c r="S221" i="95"/>
  <c r="R221" i="95"/>
  <c r="T220" i="95"/>
  <c r="U220" i="95" s="1"/>
  <c r="U152" i="96"/>
  <c r="V152" i="96" s="1"/>
  <c r="W152" i="96" s="1"/>
  <c r="X152" i="96" s="1"/>
  <c r="T153" i="96"/>
  <c r="H44" i="48"/>
  <c r="G44" i="48"/>
  <c r="D46" i="48"/>
  <c r="E45" i="48"/>
  <c r="F45" i="48" s="1"/>
  <c r="K45" i="48"/>
  <c r="C45" i="48" s="1"/>
  <c r="G15" i="76"/>
  <c r="H15" i="76"/>
  <c r="G14" i="74"/>
  <c r="H14" i="74"/>
  <c r="H550" i="61"/>
  <c r="G550" i="61"/>
  <c r="R550" i="61"/>
  <c r="S550" i="61"/>
  <c r="T549" i="61"/>
  <c r="U549" i="61" s="1"/>
  <c r="E551" i="61"/>
  <c r="F551" i="61" s="1"/>
  <c r="P551" i="61"/>
  <c r="Q551" i="61" s="1"/>
  <c r="D552" i="61"/>
  <c r="C552" i="61" s="1"/>
  <c r="K12" i="73"/>
  <c r="G12" i="75"/>
  <c r="H12" i="75"/>
  <c r="G11" i="73"/>
  <c r="H11" i="73"/>
  <c r="D14" i="73"/>
  <c r="K14" i="73" s="1"/>
  <c r="J59" i="70"/>
  <c r="J60" i="70" s="1"/>
  <c r="J61" i="70" s="1"/>
  <c r="J62" i="70" s="1"/>
  <c r="J63" i="70" s="1"/>
  <c r="J64" i="70" s="1"/>
  <c r="J65" i="70" s="1"/>
  <c r="J66" i="70" s="1"/>
  <c r="J67" i="70" s="1"/>
  <c r="J68" i="70" s="1"/>
  <c r="J69" i="70" s="1"/>
  <c r="J70" i="70" s="1"/>
  <c r="J71" i="70" s="1"/>
  <c r="J72" i="70" s="1"/>
  <c r="J73" i="70" s="1"/>
  <c r="J74" i="70" s="1"/>
  <c r="J75" i="70" s="1"/>
  <c r="J76" i="70" s="1"/>
  <c r="J77" i="70" s="1"/>
  <c r="J78" i="70" s="1"/>
  <c r="J79" i="70" s="1"/>
  <c r="J80" i="70" s="1"/>
  <c r="J81" i="70" s="1"/>
  <c r="J82" i="70" s="1"/>
  <c r="B59" i="70"/>
  <c r="B60" i="70" s="1"/>
  <c r="B61" i="70" s="1"/>
  <c r="B62" i="70" s="1"/>
  <c r="B63" i="70" s="1"/>
  <c r="B64" i="70" s="1"/>
  <c r="B65" i="70" s="1"/>
  <c r="B66" i="70" s="1"/>
  <c r="B67" i="70" s="1"/>
  <c r="B68" i="70" s="1"/>
  <c r="B69" i="70" s="1"/>
  <c r="B70" i="70" s="1"/>
  <c r="B71" i="70" s="1"/>
  <c r="B72" i="70" s="1"/>
  <c r="B73" i="70" s="1"/>
  <c r="B74" i="70" s="1"/>
  <c r="B75" i="70" s="1"/>
  <c r="B76" i="70" s="1"/>
  <c r="B77" i="70" s="1"/>
  <c r="B78" i="70" s="1"/>
  <c r="B79" i="70" s="1"/>
  <c r="B80" i="70" s="1"/>
  <c r="B81" i="70" s="1"/>
  <c r="B82" i="70" s="1"/>
  <c r="N59" i="70"/>
  <c r="N60" i="70" s="1"/>
  <c r="N61" i="70" s="1"/>
  <c r="N62" i="70" s="1"/>
  <c r="N63" i="70" s="1"/>
  <c r="N64" i="70" s="1"/>
  <c r="N65" i="70" s="1"/>
  <c r="N66" i="70" s="1"/>
  <c r="N67" i="70" s="1"/>
  <c r="N68" i="70" s="1"/>
  <c r="N69" i="70" s="1"/>
  <c r="N70" i="70" s="1"/>
  <c r="N71" i="70" s="1"/>
  <c r="N72" i="70" s="1"/>
  <c r="N73" i="70" s="1"/>
  <c r="N74" i="70" s="1"/>
  <c r="N75" i="70" s="1"/>
  <c r="N76" i="70" s="1"/>
  <c r="N77" i="70" s="1"/>
  <c r="N78" i="70" s="1"/>
  <c r="N79" i="70" s="1"/>
  <c r="N80" i="70" s="1"/>
  <c r="N81" i="70" s="1"/>
  <c r="N82" i="70" s="1"/>
  <c r="P35" i="70"/>
  <c r="P36" i="70" s="1"/>
  <c r="P37" i="70" s="1"/>
  <c r="P38" i="70" s="1"/>
  <c r="P39" i="70" s="1"/>
  <c r="P40" i="70" s="1"/>
  <c r="P41" i="70" s="1"/>
  <c r="P42" i="70" s="1"/>
  <c r="P43" i="70" s="1"/>
  <c r="P44" i="70" s="1"/>
  <c r="P45" i="70" s="1"/>
  <c r="P46" i="70" s="1"/>
  <c r="P47" i="70" s="1"/>
  <c r="P48" i="70" s="1"/>
  <c r="P49" i="70" s="1"/>
  <c r="P50" i="70" s="1"/>
  <c r="P51" i="70" s="1"/>
  <c r="P52" i="70" s="1"/>
  <c r="P53" i="70" s="1"/>
  <c r="P54" i="70" s="1"/>
  <c r="P55" i="70" s="1"/>
  <c r="P56" i="70" s="1"/>
  <c r="P57" i="70" s="1"/>
  <c r="P58" i="70" s="1"/>
  <c r="Q35" i="70"/>
  <c r="Q36" i="70" s="1"/>
  <c r="Q37" i="70" s="1"/>
  <c r="Q38" i="70" s="1"/>
  <c r="Q39" i="70" s="1"/>
  <c r="Q40" i="70" s="1"/>
  <c r="Q41" i="70" s="1"/>
  <c r="Q42" i="70" s="1"/>
  <c r="Q43" i="70" s="1"/>
  <c r="Q44" i="70" s="1"/>
  <c r="Q45" i="70" s="1"/>
  <c r="Q46" i="70" s="1"/>
  <c r="Q47" i="70" s="1"/>
  <c r="Q48" i="70" s="1"/>
  <c r="Q49" i="70" s="1"/>
  <c r="Q50" i="70" s="1"/>
  <c r="Q51" i="70" s="1"/>
  <c r="Q52" i="70" s="1"/>
  <c r="Q53" i="70" s="1"/>
  <c r="Q54" i="70" s="1"/>
  <c r="Q55" i="70" s="1"/>
  <c r="Q56" i="70" s="1"/>
  <c r="Q57" i="70" s="1"/>
  <c r="Q58" i="70" s="1"/>
  <c r="E12" i="73"/>
  <c r="E13" i="73" s="1"/>
  <c r="E14" i="73" s="1"/>
  <c r="E15" i="73" s="1"/>
  <c r="E16" i="73" s="1"/>
  <c r="E17" i="73" s="1"/>
  <c r="E18" i="73" s="1"/>
  <c r="E19" i="73" s="1"/>
  <c r="E20" i="73" s="1"/>
  <c r="E21" i="73" s="1"/>
  <c r="E22" i="73" s="1"/>
  <c r="E23" i="73" s="1"/>
  <c r="E24" i="73" s="1"/>
  <c r="E25" i="73" s="1"/>
  <c r="E26" i="73" s="1"/>
  <c r="E27" i="73" s="1"/>
  <c r="E28" i="73" s="1"/>
  <c r="E29" i="73" s="1"/>
  <c r="E30" i="73" s="1"/>
  <c r="E31" i="73" s="1"/>
  <c r="E32" i="73" s="1"/>
  <c r="E33" i="73" s="1"/>
  <c r="E34" i="73" s="1"/>
  <c r="E35" i="73" s="1"/>
  <c r="E36" i="73" s="1"/>
  <c r="E37" i="73" s="1"/>
  <c r="E38" i="73" s="1"/>
  <c r="E39" i="73" s="1"/>
  <c r="E40" i="73" s="1"/>
  <c r="K12" i="76"/>
  <c r="D13" i="76"/>
  <c r="D303" i="78"/>
  <c r="E302" i="78"/>
  <c r="D161" i="78"/>
  <c r="E160" i="78"/>
  <c r="E15" i="78"/>
  <c r="D16" i="78"/>
  <c r="E206" i="77"/>
  <c r="D207" i="77"/>
  <c r="E111" i="77"/>
  <c r="D112" i="77"/>
  <c r="D16" i="77"/>
  <c r="E15" i="77"/>
  <c r="F16" i="76"/>
  <c r="F13" i="75"/>
  <c r="D15" i="75"/>
  <c r="K14" i="75"/>
  <c r="F15" i="74"/>
  <c r="D16" i="74"/>
  <c r="K15" i="74"/>
  <c r="E13" i="70"/>
  <c r="D14" i="71"/>
  <c r="E14" i="71" s="1"/>
  <c r="E13" i="71"/>
  <c r="H13" i="71"/>
  <c r="D13" i="72"/>
  <c r="E12" i="72"/>
  <c r="G16" i="71"/>
  <c r="D15" i="70"/>
  <c r="E14" i="70"/>
  <c r="F14" i="66"/>
  <c r="G14" i="66" s="1"/>
  <c r="H14" i="66" s="1"/>
  <c r="F15" i="66"/>
  <c r="G15" i="66" s="1"/>
  <c r="H15" i="66" s="1"/>
  <c r="Q223" i="95" l="1"/>
  <c r="S222" i="95"/>
  <c r="D233" i="95"/>
  <c r="K232" i="95"/>
  <c r="E232" i="95"/>
  <c r="F232" i="95" s="1"/>
  <c r="D191" i="47"/>
  <c r="E190" i="47"/>
  <c r="R222" i="95"/>
  <c r="T221" i="95"/>
  <c r="U221" i="95" s="1"/>
  <c r="G231" i="95"/>
  <c r="H231" i="95"/>
  <c r="D60" i="42"/>
  <c r="U154" i="96"/>
  <c r="U153" i="96"/>
  <c r="V153" i="96" s="1"/>
  <c r="W153" i="96" s="1"/>
  <c r="X153" i="96" s="1"/>
  <c r="T154" i="96"/>
  <c r="G45" i="48"/>
  <c r="H45" i="48"/>
  <c r="D47" i="48"/>
  <c r="E46" i="48"/>
  <c r="F46" i="48" s="1"/>
  <c r="K46" i="48"/>
  <c r="C46" i="48" s="1"/>
  <c r="H15" i="74"/>
  <c r="G15" i="74"/>
  <c r="H16" i="76"/>
  <c r="G16" i="76"/>
  <c r="T550" i="61"/>
  <c r="U550" i="61" s="1"/>
  <c r="D553" i="61"/>
  <c r="C553" i="61" s="1"/>
  <c r="P552" i="61"/>
  <c r="Q552" i="61" s="1"/>
  <c r="E552" i="61"/>
  <c r="F552" i="61" s="1"/>
  <c r="R551" i="61"/>
  <c r="S551" i="61"/>
  <c r="H551" i="61"/>
  <c r="G551" i="61"/>
  <c r="G13" i="75"/>
  <c r="H13" i="75"/>
  <c r="D15" i="73"/>
  <c r="P59" i="70"/>
  <c r="P60" i="70" s="1"/>
  <c r="P61" i="70" s="1"/>
  <c r="P62" i="70" s="1"/>
  <c r="P63" i="70" s="1"/>
  <c r="P64" i="70" s="1"/>
  <c r="P65" i="70" s="1"/>
  <c r="P66" i="70" s="1"/>
  <c r="P67" i="70" s="1"/>
  <c r="P68" i="70" s="1"/>
  <c r="P69" i="70" s="1"/>
  <c r="P70" i="70" s="1"/>
  <c r="P71" i="70" s="1"/>
  <c r="P72" i="70" s="1"/>
  <c r="P73" i="70" s="1"/>
  <c r="P74" i="70" s="1"/>
  <c r="P75" i="70" s="1"/>
  <c r="P76" i="70" s="1"/>
  <c r="P77" i="70" s="1"/>
  <c r="P78" i="70" s="1"/>
  <c r="P79" i="70" s="1"/>
  <c r="P80" i="70" s="1"/>
  <c r="P81" i="70" s="1"/>
  <c r="P82" i="70" s="1"/>
  <c r="Q59" i="70"/>
  <c r="Q60" i="70" s="1"/>
  <c r="Q61" i="70" s="1"/>
  <c r="Q62" i="70" s="1"/>
  <c r="Q63" i="70" s="1"/>
  <c r="Q64" i="70" s="1"/>
  <c r="Q65" i="70" s="1"/>
  <c r="Q66" i="70" s="1"/>
  <c r="Q67" i="70" s="1"/>
  <c r="Q68" i="70" s="1"/>
  <c r="Q69" i="70" s="1"/>
  <c r="Q70" i="70" s="1"/>
  <c r="Q71" i="70" s="1"/>
  <c r="Q72" i="70" s="1"/>
  <c r="Q73" i="70" s="1"/>
  <c r="Q74" i="70" s="1"/>
  <c r="Q75" i="70" s="1"/>
  <c r="Q76" i="70" s="1"/>
  <c r="Q77" i="70" s="1"/>
  <c r="Q78" i="70" s="1"/>
  <c r="Q79" i="70" s="1"/>
  <c r="Q80" i="70" s="1"/>
  <c r="Q81" i="70" s="1"/>
  <c r="Q82" i="70" s="1"/>
  <c r="D14" i="76"/>
  <c r="K13" i="76"/>
  <c r="F12" i="73"/>
  <c r="E303" i="78"/>
  <c r="D304" i="78"/>
  <c r="E161" i="78"/>
  <c r="D162" i="78"/>
  <c r="E16" i="78"/>
  <c r="D17" i="78"/>
  <c r="D208" i="77"/>
  <c r="E207" i="77"/>
  <c r="D113" i="77"/>
  <c r="E112" i="77"/>
  <c r="D17" i="77"/>
  <c r="E16" i="77"/>
  <c r="F17" i="76"/>
  <c r="F14" i="75"/>
  <c r="K15" i="75"/>
  <c r="D16" i="75"/>
  <c r="D17" i="74"/>
  <c r="K16" i="74"/>
  <c r="F16" i="74"/>
  <c r="D15" i="71"/>
  <c r="E15" i="71" s="1"/>
  <c r="H14" i="71"/>
  <c r="D14" i="72"/>
  <c r="E13" i="72"/>
  <c r="G17" i="71"/>
  <c r="E15" i="70"/>
  <c r="D16" i="70"/>
  <c r="F16" i="66"/>
  <c r="G16" i="66" s="1"/>
  <c r="H16" i="66" s="1"/>
  <c r="G232" i="95" l="1"/>
  <c r="H232" i="95"/>
  <c r="R223" i="95"/>
  <c r="T222" i="95"/>
  <c r="U222" i="95" s="1"/>
  <c r="D234" i="95"/>
  <c r="K233" i="95"/>
  <c r="E233" i="95"/>
  <c r="F233" i="95" s="1"/>
  <c r="Q224" i="95"/>
  <c r="S223" i="95"/>
  <c r="D61" i="42"/>
  <c r="D192" i="47"/>
  <c r="E191" i="47"/>
  <c r="V154" i="96"/>
  <c r="W154" i="96" s="1"/>
  <c r="X154" i="96" s="1"/>
  <c r="AB11" i="96" s="1"/>
  <c r="G46" i="48"/>
  <c r="H46" i="48"/>
  <c r="K47" i="48"/>
  <c r="C47" i="48" s="1"/>
  <c r="E47" i="48"/>
  <c r="F47" i="48" s="1"/>
  <c r="D48" i="48"/>
  <c r="G16" i="74"/>
  <c r="H16" i="74"/>
  <c r="G17" i="76"/>
  <c r="H17" i="76"/>
  <c r="H552" i="61"/>
  <c r="G552" i="61"/>
  <c r="R552" i="61"/>
  <c r="S552" i="61"/>
  <c r="T551" i="61"/>
  <c r="U551" i="61" s="1"/>
  <c r="E553" i="61"/>
  <c r="F553" i="61" s="1"/>
  <c r="P553" i="61"/>
  <c r="Q553" i="61" s="1"/>
  <c r="D554" i="61"/>
  <c r="C554" i="61" s="1"/>
  <c r="G12" i="73"/>
  <c r="H12" i="73"/>
  <c r="G14" i="75"/>
  <c r="H14" i="75"/>
  <c r="K15" i="73"/>
  <c r="D16" i="73"/>
  <c r="F13" i="73"/>
  <c r="D15" i="76"/>
  <c r="K14" i="76"/>
  <c r="E304" i="78"/>
  <c r="D305" i="78"/>
  <c r="D163" i="78"/>
  <c r="E162" i="78"/>
  <c r="D18" i="78"/>
  <c r="E17" i="78"/>
  <c r="D209" i="77"/>
  <c r="E208" i="77"/>
  <c r="D114" i="77"/>
  <c r="E113" i="77"/>
  <c r="E17" i="77"/>
  <c r="D18" i="77"/>
  <c r="F18" i="76"/>
  <c r="K16" i="75"/>
  <c r="D17" i="75"/>
  <c r="F15" i="75"/>
  <c r="F17" i="74"/>
  <c r="D18" i="74"/>
  <c r="K17" i="74"/>
  <c r="H15" i="71"/>
  <c r="D16" i="71"/>
  <c r="E16" i="71" s="1"/>
  <c r="D15" i="72"/>
  <c r="E14" i="72"/>
  <c r="G18" i="71"/>
  <c r="E16" i="70"/>
  <c r="D17" i="70"/>
  <c r="F17" i="66"/>
  <c r="G17" i="66" s="1"/>
  <c r="H17" i="66" s="1"/>
  <c r="D62" i="42" l="1"/>
  <c r="D235" i="95"/>
  <c r="E234" i="95"/>
  <c r="F234" i="95" s="1"/>
  <c r="K234" i="95"/>
  <c r="D193" i="47"/>
  <c r="E192" i="47"/>
  <c r="Q225" i="95"/>
  <c r="S224" i="95"/>
  <c r="R224" i="95"/>
  <c r="T223" i="95"/>
  <c r="U223" i="95" s="1"/>
  <c r="G233" i="95"/>
  <c r="H233" i="95"/>
  <c r="E48" i="48"/>
  <c r="F48" i="48" s="1"/>
  <c r="K48" i="48"/>
  <c r="C48" i="48" s="1"/>
  <c r="D49" i="48"/>
  <c r="G47" i="48"/>
  <c r="H47" i="48"/>
  <c r="H17" i="74"/>
  <c r="G17" i="74"/>
  <c r="H18" i="76"/>
  <c r="G18" i="76"/>
  <c r="T552" i="61"/>
  <c r="U552" i="61" s="1"/>
  <c r="D555" i="61"/>
  <c r="C555" i="61" s="1"/>
  <c r="P554" i="61"/>
  <c r="Q554" i="61" s="1"/>
  <c r="E554" i="61"/>
  <c r="F554" i="61" s="1"/>
  <c r="R553" i="61"/>
  <c r="S553" i="61"/>
  <c r="H553" i="61"/>
  <c r="G553" i="61"/>
  <c r="G15" i="75"/>
  <c r="H15" i="75"/>
  <c r="H13" i="73"/>
  <c r="G13" i="73"/>
  <c r="K16" i="73"/>
  <c r="D17" i="73"/>
  <c r="D16" i="76"/>
  <c r="K15" i="76"/>
  <c r="F14" i="73"/>
  <c r="E305" i="78"/>
  <c r="D306" i="78"/>
  <c r="D164" i="78"/>
  <c r="E163" i="78"/>
  <c r="D19" i="78"/>
  <c r="E18" i="78"/>
  <c r="E209" i="77"/>
  <c r="D210" i="77"/>
  <c r="D115" i="77"/>
  <c r="E114" i="77"/>
  <c r="E18" i="77"/>
  <c r="D19" i="77"/>
  <c r="F19" i="76"/>
  <c r="F16" i="75"/>
  <c r="D18" i="75"/>
  <c r="K17" i="75"/>
  <c r="F18" i="74"/>
  <c r="D19" i="74"/>
  <c r="K18" i="74"/>
  <c r="D17" i="71"/>
  <c r="H16" i="71"/>
  <c r="D16" i="72"/>
  <c r="E15" i="72"/>
  <c r="G19" i="71"/>
  <c r="D18" i="70"/>
  <c r="E17" i="70"/>
  <c r="F18" i="66"/>
  <c r="G18" i="66" s="1"/>
  <c r="H18" i="66" s="1"/>
  <c r="D194" i="47" l="1"/>
  <c r="E193" i="47"/>
  <c r="H234" i="95"/>
  <c r="G234" i="95"/>
  <c r="R225" i="95"/>
  <c r="T224" i="95"/>
  <c r="U224" i="95" s="1"/>
  <c r="D236" i="95"/>
  <c r="K235" i="95"/>
  <c r="E235" i="95"/>
  <c r="F235" i="95" s="1"/>
  <c r="Q226" i="95"/>
  <c r="S226" i="95" s="1"/>
  <c r="S225" i="95"/>
  <c r="D63" i="42"/>
  <c r="E49" i="48"/>
  <c r="F49" i="48" s="1"/>
  <c r="K49" i="48"/>
  <c r="C49" i="48" s="1"/>
  <c r="D50" i="48"/>
  <c r="H48" i="48"/>
  <c r="G48" i="48"/>
  <c r="G19" i="76"/>
  <c r="H19" i="76"/>
  <c r="G18" i="74"/>
  <c r="H18" i="74"/>
  <c r="H554" i="61"/>
  <c r="G554" i="61"/>
  <c r="R554" i="61"/>
  <c r="S554" i="61"/>
  <c r="T553" i="61"/>
  <c r="U553" i="61" s="1"/>
  <c r="E555" i="61"/>
  <c r="F555" i="61" s="1"/>
  <c r="P555" i="61"/>
  <c r="Q555" i="61" s="1"/>
  <c r="D556" i="61"/>
  <c r="C556" i="61" s="1"/>
  <c r="G14" i="73"/>
  <c r="H14" i="73"/>
  <c r="G16" i="75"/>
  <c r="H16" i="75"/>
  <c r="K17" i="73"/>
  <c r="D18" i="73"/>
  <c r="F15" i="73"/>
  <c r="K16" i="76"/>
  <c r="D17" i="76"/>
  <c r="D307" i="78"/>
  <c r="E306" i="78"/>
  <c r="D165" i="78"/>
  <c r="E164" i="78"/>
  <c r="E19" i="78"/>
  <c r="D20" i="78"/>
  <c r="D211" i="77"/>
  <c r="E210" i="77"/>
  <c r="E115" i="77"/>
  <c r="D116" i="77"/>
  <c r="D20" i="77"/>
  <c r="E19" i="77"/>
  <c r="F20" i="76"/>
  <c r="D19" i="75"/>
  <c r="K18" i="75"/>
  <c r="F17" i="75"/>
  <c r="D20" i="74"/>
  <c r="K19" i="74"/>
  <c r="F19" i="74"/>
  <c r="E17" i="71"/>
  <c r="D18" i="71"/>
  <c r="H17" i="71"/>
  <c r="D17" i="72"/>
  <c r="E16" i="72"/>
  <c r="G20" i="71"/>
  <c r="E18" i="70"/>
  <c r="D19" i="70"/>
  <c r="F19" i="66"/>
  <c r="G19" i="66" s="1"/>
  <c r="H19" i="66" s="1"/>
  <c r="G235" i="95" l="1"/>
  <c r="H235" i="95"/>
  <c r="R226" i="95"/>
  <c r="T225" i="95"/>
  <c r="U225" i="95" s="1"/>
  <c r="C50" i="48"/>
  <c r="D237" i="95"/>
  <c r="E236" i="95"/>
  <c r="F236" i="95" s="1"/>
  <c r="K236" i="95"/>
  <c r="D64" i="42"/>
  <c r="D195" i="47"/>
  <c r="E194" i="47"/>
  <c r="D51" i="48"/>
  <c r="K50" i="48"/>
  <c r="E50" i="48"/>
  <c r="F50" i="48" s="1"/>
  <c r="H49" i="48"/>
  <c r="G49" i="48"/>
  <c r="H20" i="76"/>
  <c r="G20" i="76"/>
  <c r="H19" i="74"/>
  <c r="G19" i="74"/>
  <c r="T554" i="61"/>
  <c r="U554" i="61" s="1"/>
  <c r="D557" i="61"/>
  <c r="C557" i="61" s="1"/>
  <c r="P556" i="61"/>
  <c r="Q556" i="61" s="1"/>
  <c r="E556" i="61"/>
  <c r="F556" i="61" s="1"/>
  <c r="R555" i="61"/>
  <c r="S555" i="61"/>
  <c r="H555" i="61"/>
  <c r="G555" i="61"/>
  <c r="G17" i="75"/>
  <c r="H17" i="75"/>
  <c r="G15" i="73"/>
  <c r="H15" i="73"/>
  <c r="K18" i="73"/>
  <c r="D19" i="73"/>
  <c r="D18" i="76"/>
  <c r="K17" i="76"/>
  <c r="F16" i="73"/>
  <c r="D308" i="78"/>
  <c r="E307" i="78"/>
  <c r="E165" i="78"/>
  <c r="D166" i="78"/>
  <c r="E20" i="78"/>
  <c r="D21" i="78"/>
  <c r="E211" i="77"/>
  <c r="D212" i="77"/>
  <c r="E116" i="77"/>
  <c r="D117" i="77"/>
  <c r="D21" i="77"/>
  <c r="E20" i="77"/>
  <c r="F21" i="76"/>
  <c r="F18" i="75"/>
  <c r="K19" i="75"/>
  <c r="D20" i="75"/>
  <c r="F20" i="74"/>
  <c r="D21" i="74"/>
  <c r="K20" i="74"/>
  <c r="E18" i="71"/>
  <c r="D19" i="71"/>
  <c r="H18" i="71"/>
  <c r="D18" i="72"/>
  <c r="E17" i="72"/>
  <c r="G21" i="71"/>
  <c r="E19" i="70"/>
  <c r="D20" i="70"/>
  <c r="F20" i="66"/>
  <c r="G20" i="66" s="1"/>
  <c r="H20" i="66" s="1"/>
  <c r="D196" i="47" l="1"/>
  <c r="E195" i="47"/>
  <c r="Q227" i="95"/>
  <c r="T226" i="95"/>
  <c r="U226" i="95" s="1"/>
  <c r="D65" i="42"/>
  <c r="D238" i="95"/>
  <c r="K237" i="95"/>
  <c r="E237" i="95"/>
  <c r="F237" i="95" s="1"/>
  <c r="H236" i="95"/>
  <c r="G236" i="95"/>
  <c r="G50" i="48"/>
  <c r="H50" i="48"/>
  <c r="K51" i="48"/>
  <c r="C51" i="48" s="1"/>
  <c r="D52" i="48"/>
  <c r="E51" i="48"/>
  <c r="F51" i="48" s="1"/>
  <c r="G20" i="74"/>
  <c r="H20" i="74"/>
  <c r="G21" i="76"/>
  <c r="H21" i="76"/>
  <c r="H556" i="61"/>
  <c r="G556" i="61"/>
  <c r="R556" i="61"/>
  <c r="S556" i="61"/>
  <c r="T555" i="61"/>
  <c r="U555" i="61" s="1"/>
  <c r="E557" i="61"/>
  <c r="F557" i="61" s="1"/>
  <c r="P557" i="61"/>
  <c r="Q557" i="61" s="1"/>
  <c r="D558" i="61"/>
  <c r="C558" i="61" s="1"/>
  <c r="G18" i="75"/>
  <c r="H18" i="75"/>
  <c r="G16" i="73"/>
  <c r="H16" i="73"/>
  <c r="K19" i="73"/>
  <c r="D20" i="73"/>
  <c r="D19" i="76"/>
  <c r="K18" i="76"/>
  <c r="F17" i="73"/>
  <c r="D309" i="78"/>
  <c r="E308" i="78"/>
  <c r="E166" i="78"/>
  <c r="D167" i="78"/>
  <c r="D22" i="78"/>
  <c r="E21" i="78"/>
  <c r="D213" i="77"/>
  <c r="E212" i="77"/>
  <c r="D118" i="77"/>
  <c r="E117" i="77"/>
  <c r="E21" i="77"/>
  <c r="D22" i="77"/>
  <c r="F22" i="76"/>
  <c r="K20" i="75"/>
  <c r="D21" i="75"/>
  <c r="F19" i="75"/>
  <c r="F21" i="74"/>
  <c r="D22" i="74"/>
  <c r="K21" i="74"/>
  <c r="E19" i="71"/>
  <c r="H19" i="71"/>
  <c r="D20" i="71"/>
  <c r="E18" i="72"/>
  <c r="D19" i="72"/>
  <c r="G22" i="71"/>
  <c r="D21" i="70"/>
  <c r="E20" i="70"/>
  <c r="F21" i="66"/>
  <c r="G21" i="66" s="1"/>
  <c r="H21" i="66" s="1"/>
  <c r="D66" i="42" l="1"/>
  <c r="G237" i="95"/>
  <c r="H237" i="95"/>
  <c r="S227" i="95"/>
  <c r="R227" i="95"/>
  <c r="Q228" i="95"/>
  <c r="D239" i="95"/>
  <c r="K238" i="95"/>
  <c r="E238" i="95"/>
  <c r="F238" i="95" s="1"/>
  <c r="D197" i="47"/>
  <c r="E196" i="47"/>
  <c r="D53" i="48"/>
  <c r="K52" i="48"/>
  <c r="C52" i="48" s="1"/>
  <c r="E52" i="48"/>
  <c r="F52" i="48" s="1"/>
  <c r="G51" i="48"/>
  <c r="H51" i="48"/>
  <c r="H21" i="74"/>
  <c r="G21" i="74"/>
  <c r="H22" i="76"/>
  <c r="G22" i="76"/>
  <c r="T556" i="61"/>
  <c r="U556" i="61" s="1"/>
  <c r="D559" i="61"/>
  <c r="C559" i="61" s="1"/>
  <c r="P558" i="61"/>
  <c r="Q558" i="61" s="1"/>
  <c r="E558" i="61"/>
  <c r="F558" i="61" s="1"/>
  <c r="R557" i="61"/>
  <c r="S557" i="61"/>
  <c r="H557" i="61"/>
  <c r="G557" i="61"/>
  <c r="G19" i="75"/>
  <c r="H19" i="75"/>
  <c r="H17" i="73"/>
  <c r="G17" i="73"/>
  <c r="D21" i="73"/>
  <c r="K20" i="73"/>
  <c r="K19" i="76"/>
  <c r="D20" i="76"/>
  <c r="F18" i="73"/>
  <c r="D310" i="78"/>
  <c r="E309" i="78"/>
  <c r="D168" i="78"/>
  <c r="E167" i="78"/>
  <c r="D23" i="78"/>
  <c r="E22" i="78"/>
  <c r="D214" i="77"/>
  <c r="E213" i="77"/>
  <c r="D119" i="77"/>
  <c r="E118" i="77"/>
  <c r="E22" i="77"/>
  <c r="D23" i="77"/>
  <c r="F23" i="76"/>
  <c r="F20" i="75"/>
  <c r="D22" i="75"/>
  <c r="K21" i="75"/>
  <c r="F22" i="74"/>
  <c r="D23" i="74"/>
  <c r="K22" i="74"/>
  <c r="E20" i="71"/>
  <c r="D21" i="71"/>
  <c r="H20" i="71"/>
  <c r="D20" i="72"/>
  <c r="E19" i="72"/>
  <c r="G23" i="71"/>
  <c r="D22" i="70"/>
  <c r="E21" i="70"/>
  <c r="F22" i="66"/>
  <c r="G22" i="66" s="1"/>
  <c r="H22" i="66" s="1"/>
  <c r="R228" i="95" l="1"/>
  <c r="T227" i="95"/>
  <c r="U227" i="95" s="1"/>
  <c r="D198" i="47"/>
  <c r="E197" i="47"/>
  <c r="G238" i="95"/>
  <c r="H238" i="95"/>
  <c r="D240" i="95"/>
  <c r="K239" i="95"/>
  <c r="E239" i="95"/>
  <c r="F239" i="95" s="1"/>
  <c r="Q229" i="95"/>
  <c r="S228" i="95"/>
  <c r="D67" i="42"/>
  <c r="E53" i="48"/>
  <c r="F53" i="48" s="1"/>
  <c r="K53" i="48"/>
  <c r="C53" i="48" s="1"/>
  <c r="D54" i="48"/>
  <c r="G52" i="48"/>
  <c r="H52" i="48"/>
  <c r="G22" i="74"/>
  <c r="H22" i="74"/>
  <c r="G23" i="76"/>
  <c r="H23" i="76"/>
  <c r="H558" i="61"/>
  <c r="G558" i="61"/>
  <c r="R558" i="61"/>
  <c r="S558" i="61"/>
  <c r="T557" i="61"/>
  <c r="U557" i="61" s="1"/>
  <c r="E559" i="61"/>
  <c r="F559" i="61" s="1"/>
  <c r="P559" i="61"/>
  <c r="Q559" i="61" s="1"/>
  <c r="D560" i="61"/>
  <c r="C560" i="61" s="1"/>
  <c r="G20" i="75"/>
  <c r="H20" i="75"/>
  <c r="G18" i="73"/>
  <c r="H18" i="73"/>
  <c r="K21" i="73"/>
  <c r="D22" i="73"/>
  <c r="F19" i="73"/>
  <c r="D21" i="76"/>
  <c r="K20" i="76"/>
  <c r="D311" i="78"/>
  <c r="E310" i="78"/>
  <c r="E168" i="78"/>
  <c r="D169" i="78"/>
  <c r="E23" i="78"/>
  <c r="D24" i="78"/>
  <c r="D215" i="77"/>
  <c r="E214" i="77"/>
  <c r="D120" i="77"/>
  <c r="E119" i="77"/>
  <c r="D24" i="77"/>
  <c r="E23" i="77"/>
  <c r="F24" i="76"/>
  <c r="F21" i="75"/>
  <c r="D23" i="75"/>
  <c r="K22" i="75"/>
  <c r="D24" i="74"/>
  <c r="K23" i="74"/>
  <c r="F23" i="74"/>
  <c r="E21" i="71"/>
  <c r="H21" i="71"/>
  <c r="D22" i="71"/>
  <c r="D21" i="72"/>
  <c r="E20" i="72"/>
  <c r="G24" i="71"/>
  <c r="D23" i="70"/>
  <c r="E22" i="70"/>
  <c r="F23" i="66"/>
  <c r="G23" i="66" s="1"/>
  <c r="H23" i="66" s="1"/>
  <c r="Q230" i="95" l="1"/>
  <c r="S229" i="95"/>
  <c r="H239" i="95"/>
  <c r="G239" i="95"/>
  <c r="D68" i="42"/>
  <c r="D199" i="47"/>
  <c r="E198" i="47"/>
  <c r="D241" i="95"/>
  <c r="K240" i="95"/>
  <c r="E240" i="95"/>
  <c r="F240" i="95" s="1"/>
  <c r="R229" i="95"/>
  <c r="T228" i="95"/>
  <c r="U228" i="95" s="1"/>
  <c r="E54" i="48"/>
  <c r="F54" i="48" s="1"/>
  <c r="D55" i="48"/>
  <c r="K54" i="48"/>
  <c r="C54" i="48" s="1"/>
  <c r="G53" i="48"/>
  <c r="H53" i="48"/>
  <c r="H24" i="76"/>
  <c r="G24" i="76"/>
  <c r="H23" i="74"/>
  <c r="G23" i="74"/>
  <c r="T558" i="61"/>
  <c r="U558" i="61" s="1"/>
  <c r="D561" i="61"/>
  <c r="C561" i="61" s="1"/>
  <c r="P560" i="61"/>
  <c r="Q560" i="61" s="1"/>
  <c r="E560" i="61"/>
  <c r="F560" i="61" s="1"/>
  <c r="R559" i="61"/>
  <c r="S559" i="61"/>
  <c r="H559" i="61"/>
  <c r="G559" i="61"/>
  <c r="G21" i="75"/>
  <c r="H21" i="75"/>
  <c r="G19" i="73"/>
  <c r="H19" i="73"/>
  <c r="K22" i="73"/>
  <c r="D23" i="73"/>
  <c r="D22" i="76"/>
  <c r="K21" i="76"/>
  <c r="F20" i="73"/>
  <c r="E311" i="78"/>
  <c r="D312" i="78"/>
  <c r="E169" i="78"/>
  <c r="D170" i="78"/>
  <c r="E24" i="78"/>
  <c r="D25" i="78"/>
  <c r="D216" i="77"/>
  <c r="E215" i="77"/>
  <c r="E120" i="77"/>
  <c r="D121" i="77"/>
  <c r="D25" i="77"/>
  <c r="E24" i="77"/>
  <c r="F25" i="76"/>
  <c r="K23" i="75"/>
  <c r="D24" i="75"/>
  <c r="F22" i="75"/>
  <c r="F24" i="74"/>
  <c r="D25" i="74"/>
  <c r="K24" i="74"/>
  <c r="E22" i="71"/>
  <c r="D23" i="71"/>
  <c r="H22" i="71"/>
  <c r="D22" i="72"/>
  <c r="E22" i="72" s="1"/>
  <c r="E21" i="72"/>
  <c r="G25" i="71"/>
  <c r="D24" i="70"/>
  <c r="E23" i="70"/>
  <c r="F24" i="66"/>
  <c r="G24" i="66" s="1"/>
  <c r="H24" i="66" s="1"/>
  <c r="G240" i="95" l="1"/>
  <c r="H240" i="95"/>
  <c r="D242" i="95"/>
  <c r="K241" i="95"/>
  <c r="E241" i="95"/>
  <c r="F241" i="95" s="1"/>
  <c r="D69" i="42"/>
  <c r="Q231" i="95"/>
  <c r="S230" i="95"/>
  <c r="R230" i="95"/>
  <c r="T229" i="95"/>
  <c r="U229" i="95" s="1"/>
  <c r="D200" i="47"/>
  <c r="E199" i="47"/>
  <c r="K55" i="48"/>
  <c r="C55" i="48" s="1"/>
  <c r="E55" i="48"/>
  <c r="F55" i="48" s="1"/>
  <c r="D56" i="48"/>
  <c r="G54" i="48"/>
  <c r="H54" i="48"/>
  <c r="G25" i="76"/>
  <c r="H25" i="76"/>
  <c r="G24" i="74"/>
  <c r="H24" i="74"/>
  <c r="H560" i="61"/>
  <c r="G560" i="61"/>
  <c r="R560" i="61"/>
  <c r="S560" i="61"/>
  <c r="T559" i="61"/>
  <c r="U559" i="61" s="1"/>
  <c r="E561" i="61"/>
  <c r="F561" i="61" s="1"/>
  <c r="P561" i="61"/>
  <c r="Q561" i="61" s="1"/>
  <c r="D562" i="61"/>
  <c r="C562" i="61" s="1"/>
  <c r="G22" i="75"/>
  <c r="H22" i="75"/>
  <c r="G20" i="73"/>
  <c r="H20" i="73"/>
  <c r="K23" i="73"/>
  <c r="D24" i="73"/>
  <c r="F21" i="73"/>
  <c r="D23" i="76"/>
  <c r="K22" i="76"/>
  <c r="D313" i="78"/>
  <c r="E312" i="78"/>
  <c r="D171" i="78"/>
  <c r="E170" i="78"/>
  <c r="D26" i="78"/>
  <c r="E25" i="78"/>
  <c r="D217" i="77"/>
  <c r="E216" i="77"/>
  <c r="D122" i="77"/>
  <c r="E121" i="77"/>
  <c r="E25" i="77"/>
  <c r="D26" i="77"/>
  <c r="F26" i="76"/>
  <c r="F23" i="75"/>
  <c r="K24" i="75"/>
  <c r="D25" i="75"/>
  <c r="F25" i="74"/>
  <c r="D26" i="74"/>
  <c r="K25" i="74"/>
  <c r="E23" i="71"/>
  <c r="H23" i="71"/>
  <c r="D24" i="71"/>
  <c r="G26" i="71"/>
  <c r="D25" i="70"/>
  <c r="E24" i="70"/>
  <c r="F25" i="66"/>
  <c r="G25" i="66" s="1"/>
  <c r="H25" i="66" s="1"/>
  <c r="R231" i="95" l="1"/>
  <c r="T230" i="95"/>
  <c r="U230" i="95" s="1"/>
  <c r="D243" i="95"/>
  <c r="E242" i="95"/>
  <c r="F242" i="95" s="1"/>
  <c r="K242" i="95"/>
  <c r="G241" i="95"/>
  <c r="H241" i="95"/>
  <c r="Q232" i="95"/>
  <c r="S231" i="95"/>
  <c r="D70" i="42"/>
  <c r="C56" i="48"/>
  <c r="D201" i="47"/>
  <c r="E200" i="47"/>
  <c r="E56" i="48"/>
  <c r="F56" i="48" s="1"/>
  <c r="D57" i="48"/>
  <c r="K56" i="48"/>
  <c r="H55" i="48"/>
  <c r="G55" i="48"/>
  <c r="H25" i="74"/>
  <c r="G25" i="74"/>
  <c r="H26" i="76"/>
  <c r="G26" i="76"/>
  <c r="T560" i="61"/>
  <c r="U560" i="61" s="1"/>
  <c r="D563" i="61"/>
  <c r="C563" i="61" s="1"/>
  <c r="P562" i="61"/>
  <c r="Q562" i="61" s="1"/>
  <c r="E562" i="61"/>
  <c r="F562" i="61" s="1"/>
  <c r="R561" i="61"/>
  <c r="S561" i="61"/>
  <c r="H561" i="61"/>
  <c r="G561" i="61"/>
  <c r="G23" i="75"/>
  <c r="H23" i="75"/>
  <c r="G21" i="73"/>
  <c r="H21" i="73"/>
  <c r="K24" i="73"/>
  <c r="D25" i="73"/>
  <c r="D24" i="76"/>
  <c r="K23" i="76"/>
  <c r="F22" i="73"/>
  <c r="D314" i="78"/>
  <c r="E313" i="78"/>
  <c r="E171" i="78"/>
  <c r="D172" i="78"/>
  <c r="D27" i="78"/>
  <c r="E26" i="78"/>
  <c r="D218" i="77"/>
  <c r="E217" i="77"/>
  <c r="E122" i="77"/>
  <c r="D123" i="77"/>
  <c r="E26" i="77"/>
  <c r="D27" i="77"/>
  <c r="F27" i="76"/>
  <c r="D26" i="75"/>
  <c r="K25" i="75"/>
  <c r="F24" i="75"/>
  <c r="D27" i="74"/>
  <c r="K26" i="74"/>
  <c r="F26" i="74"/>
  <c r="E24" i="71"/>
  <c r="D25" i="71"/>
  <c r="H24" i="71"/>
  <c r="G27" i="71"/>
  <c r="E25" i="70"/>
  <c r="D26" i="70"/>
  <c r="F26" i="66"/>
  <c r="G26" i="66" s="1"/>
  <c r="H26" i="66" s="1"/>
  <c r="G242" i="95" l="1"/>
  <c r="H242" i="95"/>
  <c r="D71" i="42"/>
  <c r="D244" i="95"/>
  <c r="E243" i="95"/>
  <c r="F243" i="95" s="1"/>
  <c r="K243" i="95"/>
  <c r="Q233" i="95"/>
  <c r="S232" i="95"/>
  <c r="D202" i="47"/>
  <c r="E201" i="47"/>
  <c r="C57" i="48"/>
  <c r="R232" i="95"/>
  <c r="T231" i="95"/>
  <c r="U231" i="95" s="1"/>
  <c r="K57" i="48"/>
  <c r="E57" i="48"/>
  <c r="F57" i="48" s="1"/>
  <c r="D58" i="48"/>
  <c r="G56" i="48"/>
  <c r="H56" i="48"/>
  <c r="G27" i="76"/>
  <c r="H27" i="76"/>
  <c r="G26" i="74"/>
  <c r="H26" i="74"/>
  <c r="G562" i="61"/>
  <c r="H562" i="61"/>
  <c r="S562" i="61"/>
  <c r="R562" i="61"/>
  <c r="T561" i="61"/>
  <c r="U561" i="61" s="1"/>
  <c r="E563" i="61"/>
  <c r="F563" i="61" s="1"/>
  <c r="P563" i="61"/>
  <c r="Q563" i="61" s="1"/>
  <c r="D564" i="61"/>
  <c r="C564" i="61" s="1"/>
  <c r="G24" i="75"/>
  <c r="H24" i="75"/>
  <c r="G22" i="73"/>
  <c r="H22" i="73"/>
  <c r="D26" i="73"/>
  <c r="K25" i="73"/>
  <c r="F23" i="73"/>
  <c r="K24" i="76"/>
  <c r="D25" i="76"/>
  <c r="D315" i="78"/>
  <c r="E314" i="78"/>
  <c r="E172" i="78"/>
  <c r="D173" i="78"/>
  <c r="E27" i="78"/>
  <c r="D28" i="78"/>
  <c r="E218" i="77"/>
  <c r="D219" i="77"/>
  <c r="E123" i="77"/>
  <c r="D124" i="77"/>
  <c r="D28" i="77"/>
  <c r="E27" i="77"/>
  <c r="F28" i="76"/>
  <c r="F25" i="75"/>
  <c r="D27" i="75"/>
  <c r="K26" i="75"/>
  <c r="F27" i="74"/>
  <c r="D28" i="74"/>
  <c r="K27" i="74"/>
  <c r="E25" i="71"/>
  <c r="D26" i="71"/>
  <c r="H25" i="71"/>
  <c r="G28" i="71"/>
  <c r="E26" i="70"/>
  <c r="D27" i="70"/>
  <c r="F27" i="66"/>
  <c r="G27" i="66" s="1"/>
  <c r="H27" i="66" s="1"/>
  <c r="R233" i="95" l="1"/>
  <c r="T232" i="95"/>
  <c r="U232" i="95" s="1"/>
  <c r="D245" i="95"/>
  <c r="E244" i="95"/>
  <c r="F244" i="95" s="1"/>
  <c r="K244" i="95"/>
  <c r="E202" i="47"/>
  <c r="D72" i="42"/>
  <c r="G243" i="95"/>
  <c r="H243" i="95"/>
  <c r="Q234" i="95"/>
  <c r="S233" i="95"/>
  <c r="D59" i="48"/>
  <c r="K58" i="48"/>
  <c r="C58" i="48" s="1"/>
  <c r="E58" i="48"/>
  <c r="F58" i="48" s="1"/>
  <c r="G57" i="48"/>
  <c r="H57" i="48"/>
  <c r="H28" i="76"/>
  <c r="G28" i="76"/>
  <c r="H27" i="74"/>
  <c r="G27" i="74"/>
  <c r="P564" i="61"/>
  <c r="Q564" i="61" s="1"/>
  <c r="E564" i="61"/>
  <c r="F564" i="61" s="1"/>
  <c r="D565" i="61"/>
  <c r="C565" i="61" s="1"/>
  <c r="S563" i="61"/>
  <c r="R563" i="61"/>
  <c r="T562" i="61"/>
  <c r="U562" i="61" s="1"/>
  <c r="H563" i="61"/>
  <c r="G563" i="61"/>
  <c r="G23" i="73"/>
  <c r="H23" i="73"/>
  <c r="G25" i="75"/>
  <c r="H25" i="75"/>
  <c r="K26" i="73"/>
  <c r="D27" i="73"/>
  <c r="K25" i="76"/>
  <c r="D26" i="76"/>
  <c r="F24" i="73"/>
  <c r="E315" i="78"/>
  <c r="D316" i="78"/>
  <c r="D174" i="78"/>
  <c r="E173" i="78"/>
  <c r="D29" i="78"/>
  <c r="E28" i="78"/>
  <c r="D220" i="77"/>
  <c r="E219" i="77"/>
  <c r="D125" i="77"/>
  <c r="E124" i="77"/>
  <c r="E28" i="77"/>
  <c r="D29" i="77"/>
  <c r="F29" i="76"/>
  <c r="K27" i="75"/>
  <c r="D28" i="75"/>
  <c r="F26" i="75"/>
  <c r="D29" i="74"/>
  <c r="K28" i="74"/>
  <c r="F28" i="74"/>
  <c r="E26" i="71"/>
  <c r="H26" i="71"/>
  <c r="D27" i="71"/>
  <c r="G29" i="71"/>
  <c r="D28" i="70"/>
  <c r="E27" i="70"/>
  <c r="F28" i="66"/>
  <c r="G28" i="66" s="1"/>
  <c r="H28" i="66" s="1"/>
  <c r="D246" i="95" l="1"/>
  <c r="E245" i="95"/>
  <c r="F245" i="95" s="1"/>
  <c r="K245" i="95"/>
  <c r="Q235" i="95"/>
  <c r="S234" i="95"/>
  <c r="H244" i="95"/>
  <c r="G244" i="95"/>
  <c r="D73" i="42"/>
  <c r="R234" i="95"/>
  <c r="T233" i="95"/>
  <c r="U233" i="95" s="1"/>
  <c r="G58" i="48"/>
  <c r="H58" i="48"/>
  <c r="D60" i="48"/>
  <c r="K59" i="48"/>
  <c r="C59" i="48" s="1"/>
  <c r="E59" i="48"/>
  <c r="F59" i="48" s="1"/>
  <c r="G28" i="74"/>
  <c r="H28" i="74"/>
  <c r="G29" i="76"/>
  <c r="H29" i="76"/>
  <c r="T563" i="61"/>
  <c r="U563" i="61" s="1"/>
  <c r="E565" i="61"/>
  <c r="F565" i="61" s="1"/>
  <c r="D566" i="61"/>
  <c r="C566" i="61" s="1"/>
  <c r="P565" i="61"/>
  <c r="Q565" i="61" s="1"/>
  <c r="G564" i="61"/>
  <c r="H564" i="61"/>
  <c r="S564" i="61"/>
  <c r="R564" i="61"/>
  <c r="G26" i="75"/>
  <c r="H26" i="75"/>
  <c r="G24" i="73"/>
  <c r="H24" i="73"/>
  <c r="K27" i="73"/>
  <c r="D28" i="73"/>
  <c r="D27" i="76"/>
  <c r="K26" i="76"/>
  <c r="F25" i="73"/>
  <c r="D317" i="78"/>
  <c r="E316" i="78"/>
  <c r="E174" i="78"/>
  <c r="D175" i="78"/>
  <c r="D30" i="78"/>
  <c r="E29" i="78"/>
  <c r="D221" i="77"/>
  <c r="E220" i="77"/>
  <c r="D126" i="77"/>
  <c r="E125" i="77"/>
  <c r="E29" i="77"/>
  <c r="D30" i="77"/>
  <c r="F30" i="76"/>
  <c r="F27" i="75"/>
  <c r="K28" i="75"/>
  <c r="F29" i="74"/>
  <c r="D30" i="74"/>
  <c r="K29" i="74"/>
  <c r="E27" i="71"/>
  <c r="H27" i="71"/>
  <c r="D28" i="71"/>
  <c r="G30" i="71"/>
  <c r="D29" i="70"/>
  <c r="E28" i="70"/>
  <c r="F29" i="66"/>
  <c r="G29" i="66" s="1"/>
  <c r="H29" i="66" s="1"/>
  <c r="Q236" i="95" l="1"/>
  <c r="S235" i="95"/>
  <c r="H245" i="95"/>
  <c r="G245" i="95"/>
  <c r="R235" i="95"/>
  <c r="T234" i="95"/>
  <c r="U234" i="95" s="1"/>
  <c r="D74" i="42"/>
  <c r="D247" i="95"/>
  <c r="K246" i="95"/>
  <c r="E246" i="95"/>
  <c r="F246" i="95" s="1"/>
  <c r="K60" i="48"/>
  <c r="C60" i="48" s="1"/>
  <c r="D61" i="48"/>
  <c r="E60" i="48"/>
  <c r="F60" i="48" s="1"/>
  <c r="G59" i="48"/>
  <c r="H59" i="48"/>
  <c r="H30" i="76"/>
  <c r="G30" i="76"/>
  <c r="H29" i="74"/>
  <c r="G29" i="74"/>
  <c r="R565" i="61"/>
  <c r="S565" i="61"/>
  <c r="T564" i="61"/>
  <c r="U564" i="61" s="1"/>
  <c r="P566" i="61"/>
  <c r="Q566" i="61" s="1"/>
  <c r="E566" i="61"/>
  <c r="F566" i="61" s="1"/>
  <c r="D567" i="61"/>
  <c r="C567" i="61" s="1"/>
  <c r="H565" i="61"/>
  <c r="G565" i="61"/>
  <c r="G25" i="73"/>
  <c r="H25" i="73"/>
  <c r="G27" i="75"/>
  <c r="H27" i="75"/>
  <c r="D29" i="73"/>
  <c r="K28" i="73"/>
  <c r="D28" i="76"/>
  <c r="K27" i="76"/>
  <c r="F26" i="73"/>
  <c r="E317" i="78"/>
  <c r="D318" i="78"/>
  <c r="E175" i="78"/>
  <c r="D176" i="78"/>
  <c r="E30" i="78"/>
  <c r="D31" i="78"/>
  <c r="D222" i="77"/>
  <c r="E221" i="77"/>
  <c r="D127" i="77"/>
  <c r="E126" i="77"/>
  <c r="D31" i="77"/>
  <c r="E30" i="77"/>
  <c r="F31" i="76"/>
  <c r="F28" i="75"/>
  <c r="F30" i="74"/>
  <c r="D31" i="74"/>
  <c r="K30" i="74"/>
  <c r="E28" i="71"/>
  <c r="H28" i="71"/>
  <c r="D29" i="71"/>
  <c r="G31" i="71"/>
  <c r="D30" i="70"/>
  <c r="E29" i="70"/>
  <c r="F30" i="66"/>
  <c r="G30" i="66" s="1"/>
  <c r="H30" i="66" s="1"/>
  <c r="D75" i="42" l="1"/>
  <c r="G246" i="95"/>
  <c r="H246" i="95"/>
  <c r="R236" i="95"/>
  <c r="T235" i="95"/>
  <c r="U235" i="95" s="1"/>
  <c r="D248" i="95"/>
  <c r="K247" i="95"/>
  <c r="E247" i="95"/>
  <c r="F247" i="95" s="1"/>
  <c r="Q237" i="95"/>
  <c r="S236" i="95"/>
  <c r="H60" i="48"/>
  <c r="G60" i="48"/>
  <c r="D62" i="48"/>
  <c r="K61" i="48"/>
  <c r="C61" i="48" s="1"/>
  <c r="E61" i="48"/>
  <c r="F61" i="48" s="1"/>
  <c r="G31" i="76"/>
  <c r="H31" i="76"/>
  <c r="G30" i="74"/>
  <c r="H30" i="74"/>
  <c r="T565" i="61"/>
  <c r="U565" i="61" s="1"/>
  <c r="S566" i="61"/>
  <c r="R566" i="61"/>
  <c r="E567" i="61"/>
  <c r="F567" i="61" s="1"/>
  <c r="D568" i="61"/>
  <c r="C568" i="61" s="1"/>
  <c r="P567" i="61"/>
  <c r="Q567" i="61" s="1"/>
  <c r="G566" i="61"/>
  <c r="H566" i="61"/>
  <c r="G28" i="75"/>
  <c r="H28" i="75"/>
  <c r="G26" i="73"/>
  <c r="H26" i="73"/>
  <c r="K29" i="73"/>
  <c r="D30" i="73"/>
  <c r="F27" i="73"/>
  <c r="D29" i="76"/>
  <c r="K28" i="76"/>
  <c r="D319" i="78"/>
  <c r="E318" i="78"/>
  <c r="D177" i="78"/>
  <c r="E176" i="78"/>
  <c r="E31" i="78"/>
  <c r="D32" i="78"/>
  <c r="D223" i="77"/>
  <c r="E222" i="77"/>
  <c r="D128" i="77"/>
  <c r="E127" i="77"/>
  <c r="D32" i="77"/>
  <c r="E31" i="77"/>
  <c r="F32" i="76"/>
  <c r="D32" i="74"/>
  <c r="K31" i="74"/>
  <c r="F31" i="74"/>
  <c r="E29" i="71"/>
  <c r="D30" i="71"/>
  <c r="H29" i="71"/>
  <c r="G32" i="71"/>
  <c r="E30" i="70"/>
  <c r="D31" i="70"/>
  <c r="F31" i="66"/>
  <c r="G31" i="66" s="1"/>
  <c r="H31" i="66" s="1"/>
  <c r="R237" i="95" l="1"/>
  <c r="T236" i="95"/>
  <c r="U236" i="95" s="1"/>
  <c r="Q238" i="95"/>
  <c r="S237" i="95"/>
  <c r="G247" i="95"/>
  <c r="H247" i="95"/>
  <c r="D76" i="42"/>
  <c r="D249" i="95"/>
  <c r="E248" i="95"/>
  <c r="F248" i="95" s="1"/>
  <c r="K248" i="95"/>
  <c r="H61" i="48"/>
  <c r="G61" i="48"/>
  <c r="K62" i="48"/>
  <c r="C62" i="48" s="1"/>
  <c r="D63" i="48"/>
  <c r="E62" i="48"/>
  <c r="F62" i="48" s="1"/>
  <c r="H31" i="74"/>
  <c r="G31" i="74"/>
  <c r="H32" i="76"/>
  <c r="G32" i="76"/>
  <c r="E568" i="61"/>
  <c r="F568" i="61" s="1"/>
  <c r="P568" i="61"/>
  <c r="Q568" i="61" s="1"/>
  <c r="D569" i="61"/>
  <c r="C569" i="61" s="1"/>
  <c r="G567" i="61"/>
  <c r="H567" i="61"/>
  <c r="R567" i="61"/>
  <c r="S567" i="61"/>
  <c r="T566" i="61"/>
  <c r="U566" i="61" s="1"/>
  <c r="G27" i="73"/>
  <c r="H27" i="73"/>
  <c r="K30" i="73"/>
  <c r="D31" i="73"/>
  <c r="D30" i="76"/>
  <c r="K29" i="76"/>
  <c r="F28" i="73"/>
  <c r="D320" i="78"/>
  <c r="E319" i="78"/>
  <c r="D178" i="78"/>
  <c r="E177" i="78"/>
  <c r="D33" i="78"/>
  <c r="E32" i="78"/>
  <c r="E223" i="77"/>
  <c r="D224" i="77"/>
  <c r="D129" i="77"/>
  <c r="E128" i="77"/>
  <c r="D33" i="77"/>
  <c r="E32" i="77"/>
  <c r="F33" i="76"/>
  <c r="F32" i="74"/>
  <c r="D33" i="74"/>
  <c r="K32" i="74"/>
  <c r="E30" i="71"/>
  <c r="H30" i="71"/>
  <c r="D31" i="71"/>
  <c r="G33" i="71"/>
  <c r="D32" i="70"/>
  <c r="E31" i="70"/>
  <c r="F32" i="66"/>
  <c r="G32" i="66" s="1"/>
  <c r="H32" i="66" s="1"/>
  <c r="G248" i="95" l="1"/>
  <c r="H248" i="95"/>
  <c r="C63" i="48"/>
  <c r="Q239" i="95"/>
  <c r="S238" i="95"/>
  <c r="U238" i="95" s="1"/>
  <c r="D250" i="95"/>
  <c r="K249" i="95"/>
  <c r="E249" i="95"/>
  <c r="F249" i="95" s="1"/>
  <c r="R238" i="95"/>
  <c r="T238" i="95" s="1"/>
  <c r="T237" i="95"/>
  <c r="U237" i="95" s="1"/>
  <c r="D77" i="42"/>
  <c r="G62" i="48"/>
  <c r="H62" i="48"/>
  <c r="K63" i="48"/>
  <c r="E63" i="48"/>
  <c r="F63" i="48" s="1"/>
  <c r="D64" i="48"/>
  <c r="G32" i="74"/>
  <c r="H32" i="74"/>
  <c r="G33" i="76"/>
  <c r="H33" i="76"/>
  <c r="T567" i="61"/>
  <c r="U567" i="61" s="1"/>
  <c r="E569" i="61"/>
  <c r="F569" i="61" s="1"/>
  <c r="P569" i="61"/>
  <c r="Q569" i="61" s="1"/>
  <c r="D570" i="61"/>
  <c r="C570" i="61" s="1"/>
  <c r="S568" i="61"/>
  <c r="R568" i="61"/>
  <c r="G568" i="61"/>
  <c r="H568" i="61"/>
  <c r="G28" i="73"/>
  <c r="H28" i="73"/>
  <c r="K31" i="73"/>
  <c r="D32" i="73"/>
  <c r="F29" i="73"/>
  <c r="D31" i="76"/>
  <c r="K30" i="76"/>
  <c r="D321" i="78"/>
  <c r="E320" i="78"/>
  <c r="D179" i="78"/>
  <c r="E178" i="78"/>
  <c r="D34" i="78"/>
  <c r="E33" i="78"/>
  <c r="D225" i="77"/>
  <c r="E224" i="77"/>
  <c r="D130" i="77"/>
  <c r="E129" i="77"/>
  <c r="E33" i="77"/>
  <c r="D34" i="77"/>
  <c r="F34" i="76"/>
  <c r="D34" i="74"/>
  <c r="K33" i="74"/>
  <c r="F33" i="74"/>
  <c r="E31" i="71"/>
  <c r="D32" i="71"/>
  <c r="H31" i="71"/>
  <c r="G34" i="71"/>
  <c r="D33" i="70"/>
  <c r="E32" i="70"/>
  <c r="F33" i="66"/>
  <c r="G33" i="66" s="1"/>
  <c r="H33" i="66" s="1"/>
  <c r="G249" i="95" l="1"/>
  <c r="H249" i="95"/>
  <c r="D78" i="42"/>
  <c r="S239" i="95"/>
  <c r="R239" i="95"/>
  <c r="Q240" i="95"/>
  <c r="D251" i="95"/>
  <c r="E250" i="95"/>
  <c r="F250" i="95" s="1"/>
  <c r="K250" i="95"/>
  <c r="C64" i="48"/>
  <c r="D65" i="48"/>
  <c r="E64" i="48"/>
  <c r="F64" i="48" s="1"/>
  <c r="K64" i="48"/>
  <c r="H63" i="48"/>
  <c r="G63" i="48"/>
  <c r="H33" i="74"/>
  <c r="G33" i="74"/>
  <c r="H34" i="76"/>
  <c r="G34" i="76"/>
  <c r="T568" i="61"/>
  <c r="U568" i="61" s="1"/>
  <c r="D571" i="61"/>
  <c r="C571" i="61" s="1"/>
  <c r="P570" i="61"/>
  <c r="Q570" i="61" s="1"/>
  <c r="E570" i="61"/>
  <c r="F570" i="61" s="1"/>
  <c r="S569" i="61"/>
  <c r="R569" i="61"/>
  <c r="H569" i="61"/>
  <c r="G569" i="61"/>
  <c r="G29" i="73"/>
  <c r="H29" i="73"/>
  <c r="K32" i="73"/>
  <c r="D33" i="73"/>
  <c r="F30" i="73"/>
  <c r="D32" i="76"/>
  <c r="K31" i="76"/>
  <c r="D322" i="78"/>
  <c r="E321" i="78"/>
  <c r="D180" i="78"/>
  <c r="E179" i="78"/>
  <c r="E34" i="78"/>
  <c r="D35" i="78"/>
  <c r="E225" i="77"/>
  <c r="D226" i="77"/>
  <c r="E130" i="77"/>
  <c r="D131" i="77"/>
  <c r="E34" i="77"/>
  <c r="D35" i="77"/>
  <c r="F35" i="76"/>
  <c r="F34" i="74"/>
  <c r="D35" i="74"/>
  <c r="K34" i="74"/>
  <c r="E32" i="71"/>
  <c r="D33" i="71"/>
  <c r="H32" i="71"/>
  <c r="G35" i="71"/>
  <c r="E33" i="70"/>
  <c r="D34" i="70"/>
  <c r="F34" i="66"/>
  <c r="G34" i="66" s="1"/>
  <c r="H34" i="66" s="1"/>
  <c r="R240" i="95" l="1"/>
  <c r="T239" i="95"/>
  <c r="U239" i="95" s="1"/>
  <c r="D79" i="42"/>
  <c r="G250" i="95"/>
  <c r="H250" i="95"/>
  <c r="C65" i="48"/>
  <c r="D252" i="95"/>
  <c r="E251" i="95"/>
  <c r="F251" i="95" s="1"/>
  <c r="K251" i="95"/>
  <c r="Q241" i="95"/>
  <c r="S240" i="95"/>
  <c r="K65" i="48"/>
  <c r="E65" i="48"/>
  <c r="F65" i="48" s="1"/>
  <c r="D66" i="48"/>
  <c r="G64" i="48"/>
  <c r="H64" i="48"/>
  <c r="G34" i="74"/>
  <c r="H34" i="74"/>
  <c r="G35" i="76"/>
  <c r="H35" i="76"/>
  <c r="T569" i="61"/>
  <c r="U569" i="61" s="1"/>
  <c r="G570" i="61"/>
  <c r="H570" i="61"/>
  <c r="S570" i="61"/>
  <c r="R570" i="61"/>
  <c r="E571" i="61"/>
  <c r="F571" i="61" s="1"/>
  <c r="P571" i="61"/>
  <c r="Q571" i="61" s="1"/>
  <c r="D572" i="61"/>
  <c r="C572" i="61" s="1"/>
  <c r="G30" i="73"/>
  <c r="H30" i="73"/>
  <c r="K33" i="73"/>
  <c r="D34" i="73"/>
  <c r="F31" i="73"/>
  <c r="K32" i="76"/>
  <c r="D33" i="76"/>
  <c r="D323" i="78"/>
  <c r="E322" i="78"/>
  <c r="E180" i="78"/>
  <c r="D181" i="78"/>
  <c r="E35" i="78"/>
  <c r="D36" i="78"/>
  <c r="D227" i="77"/>
  <c r="E226" i="77"/>
  <c r="E131" i="77"/>
  <c r="D132" i="77"/>
  <c r="D36" i="77"/>
  <c r="E35" i="77"/>
  <c r="F36" i="76"/>
  <c r="F35" i="74"/>
  <c r="D36" i="74"/>
  <c r="K35" i="74"/>
  <c r="E33" i="71"/>
  <c r="D34" i="71"/>
  <c r="H33" i="71"/>
  <c r="G36" i="71"/>
  <c r="E34" i="70"/>
  <c r="F35" i="66"/>
  <c r="G35" i="66" s="1"/>
  <c r="H35" i="66" s="1"/>
  <c r="D253" i="95" l="1"/>
  <c r="K252" i="95"/>
  <c r="E252" i="95"/>
  <c r="F252" i="95" s="1"/>
  <c r="Q242" i="95"/>
  <c r="S241" i="95"/>
  <c r="D80" i="42"/>
  <c r="G251" i="95"/>
  <c r="H251" i="95"/>
  <c r="C66" i="48"/>
  <c r="R241" i="95"/>
  <c r="T240" i="95"/>
  <c r="U240" i="95" s="1"/>
  <c r="K66" i="48"/>
  <c r="D67" i="48"/>
  <c r="E66" i="48"/>
  <c r="F66" i="48" s="1"/>
  <c r="H65" i="48"/>
  <c r="G65" i="48"/>
  <c r="H35" i="74"/>
  <c r="G35" i="74"/>
  <c r="H36" i="76"/>
  <c r="G36" i="76"/>
  <c r="D573" i="61"/>
  <c r="C573" i="61" s="1"/>
  <c r="P572" i="61"/>
  <c r="Q572" i="61" s="1"/>
  <c r="E572" i="61"/>
  <c r="F572" i="61" s="1"/>
  <c r="T570" i="61"/>
  <c r="U570" i="61" s="1"/>
  <c r="S571" i="61"/>
  <c r="R571" i="61"/>
  <c r="G571" i="61"/>
  <c r="H571" i="61"/>
  <c r="H31" i="73"/>
  <c r="G31" i="73"/>
  <c r="D35" i="73"/>
  <c r="K34" i="73"/>
  <c r="F32" i="73"/>
  <c r="D34" i="76"/>
  <c r="K33" i="76"/>
  <c r="D324" i="78"/>
  <c r="E323" i="78"/>
  <c r="E181" i="78"/>
  <c r="D182" i="78"/>
  <c r="D37" i="78"/>
  <c r="E36" i="78"/>
  <c r="D228" i="77"/>
  <c r="E227" i="77"/>
  <c r="D133" i="77"/>
  <c r="E132" i="77"/>
  <c r="D37" i="77"/>
  <c r="E36" i="77"/>
  <c r="F37" i="76"/>
  <c r="D37" i="74"/>
  <c r="K36" i="74"/>
  <c r="F36" i="74"/>
  <c r="E34" i="71"/>
  <c r="D35" i="71"/>
  <c r="H34" i="71"/>
  <c r="G37" i="71"/>
  <c r="F36" i="66"/>
  <c r="G36" i="66" s="1"/>
  <c r="H36" i="66" s="1"/>
  <c r="D254" i="95" l="1"/>
  <c r="K253" i="95"/>
  <c r="E253" i="95"/>
  <c r="F253" i="95" s="1"/>
  <c r="D81" i="42"/>
  <c r="R242" i="95"/>
  <c r="T241" i="95"/>
  <c r="U241" i="95" s="1"/>
  <c r="Q243" i="95"/>
  <c r="S242" i="95"/>
  <c r="H252" i="95"/>
  <c r="G252" i="95"/>
  <c r="G66" i="48"/>
  <c r="H66" i="48"/>
  <c r="D68" i="48"/>
  <c r="E67" i="48"/>
  <c r="F67" i="48" s="1"/>
  <c r="K67" i="48"/>
  <c r="C67" i="48" s="1"/>
  <c r="G36" i="74"/>
  <c r="H36" i="74"/>
  <c r="G37" i="76"/>
  <c r="H37" i="76"/>
  <c r="G572" i="61"/>
  <c r="H572" i="61"/>
  <c r="S572" i="61"/>
  <c r="R572" i="61"/>
  <c r="T571" i="61"/>
  <c r="U571" i="61" s="1"/>
  <c r="E573" i="61"/>
  <c r="F573" i="61" s="1"/>
  <c r="D574" i="61"/>
  <c r="C574" i="61" s="1"/>
  <c r="P573" i="61"/>
  <c r="Q573" i="61" s="1"/>
  <c r="G32" i="73"/>
  <c r="H32" i="73"/>
  <c r="D36" i="73"/>
  <c r="K35" i="73"/>
  <c r="D35" i="76"/>
  <c r="K34" i="76"/>
  <c r="F33" i="73"/>
  <c r="E324" i="78"/>
  <c r="D325" i="78"/>
  <c r="E182" i="78"/>
  <c r="D183" i="78"/>
  <c r="D38" i="78"/>
  <c r="E37" i="78"/>
  <c r="D229" i="77"/>
  <c r="E228" i="77"/>
  <c r="D134" i="77"/>
  <c r="E133" i="77"/>
  <c r="E37" i="77"/>
  <c r="D38" i="77"/>
  <c r="F38" i="76"/>
  <c r="F37" i="74"/>
  <c r="D38" i="74"/>
  <c r="K37" i="74"/>
  <c r="E35" i="71"/>
  <c r="H35" i="71"/>
  <c r="D36" i="71"/>
  <c r="G38" i="71"/>
  <c r="F37" i="66"/>
  <c r="G37" i="66" s="1"/>
  <c r="H37" i="66" s="1"/>
  <c r="R243" i="95" l="1"/>
  <c r="T242" i="95"/>
  <c r="U242" i="95" s="1"/>
  <c r="D82" i="42"/>
  <c r="G253" i="95"/>
  <c r="H253" i="95"/>
  <c r="C68" i="48"/>
  <c r="Q244" i="95"/>
  <c r="S243" i="95"/>
  <c r="D255" i="95"/>
  <c r="K254" i="95"/>
  <c r="E254" i="95"/>
  <c r="F254" i="95" s="1"/>
  <c r="K68" i="48"/>
  <c r="E68" i="48"/>
  <c r="F68" i="48" s="1"/>
  <c r="D69" i="48"/>
  <c r="G67" i="48"/>
  <c r="H67" i="48"/>
  <c r="H37" i="74"/>
  <c r="G37" i="74"/>
  <c r="H38" i="76"/>
  <c r="G38" i="76"/>
  <c r="R573" i="61"/>
  <c r="S573" i="61"/>
  <c r="P574" i="61"/>
  <c r="Q574" i="61" s="1"/>
  <c r="D575" i="61"/>
  <c r="C575" i="61" s="1"/>
  <c r="E574" i="61"/>
  <c r="F574" i="61" s="1"/>
  <c r="T572" i="61"/>
  <c r="U572" i="61" s="1"/>
  <c r="G573" i="61"/>
  <c r="H573" i="61"/>
  <c r="G33" i="73"/>
  <c r="H33" i="73"/>
  <c r="K36" i="73"/>
  <c r="D37" i="73"/>
  <c r="F34" i="73"/>
  <c r="K35" i="76"/>
  <c r="D36" i="76"/>
  <c r="E325" i="78"/>
  <c r="D326" i="78"/>
  <c r="E183" i="78"/>
  <c r="D184" i="78"/>
  <c r="E38" i="78"/>
  <c r="D39" i="78"/>
  <c r="D230" i="77"/>
  <c r="E229" i="77"/>
  <c r="D135" i="77"/>
  <c r="E134" i="77"/>
  <c r="D39" i="77"/>
  <c r="E38" i="77"/>
  <c r="F39" i="76"/>
  <c r="D39" i="74"/>
  <c r="K38" i="74"/>
  <c r="F38" i="74"/>
  <c r="E36" i="71"/>
  <c r="H36" i="71"/>
  <c r="D37" i="71"/>
  <c r="G39" i="71"/>
  <c r="F38" i="66"/>
  <c r="G38" i="66" s="1"/>
  <c r="H38" i="66" s="1"/>
  <c r="Q245" i="95" l="1"/>
  <c r="S244" i="95"/>
  <c r="H254" i="95"/>
  <c r="G254" i="95"/>
  <c r="D83" i="42"/>
  <c r="D256" i="95"/>
  <c r="K255" i="95"/>
  <c r="E255" i="95"/>
  <c r="F255" i="95" s="1"/>
  <c r="R244" i="95"/>
  <c r="T243" i="95"/>
  <c r="U243" i="95" s="1"/>
  <c r="E69" i="48"/>
  <c r="F69" i="48" s="1"/>
  <c r="K69" i="48"/>
  <c r="C69" i="48" s="1"/>
  <c r="D70" i="48"/>
  <c r="H68" i="48"/>
  <c r="G68" i="48"/>
  <c r="G38" i="74"/>
  <c r="H38" i="74"/>
  <c r="G39" i="76"/>
  <c r="H39" i="76"/>
  <c r="T573" i="61"/>
  <c r="U573" i="61" s="1"/>
  <c r="E575" i="61"/>
  <c r="F575" i="61" s="1"/>
  <c r="P575" i="61"/>
  <c r="Q575" i="61" s="1"/>
  <c r="D576" i="61"/>
  <c r="C576" i="61" s="1"/>
  <c r="S574" i="61"/>
  <c r="R574" i="61"/>
  <c r="G574" i="61"/>
  <c r="H574" i="61"/>
  <c r="G34" i="73"/>
  <c r="H34" i="73"/>
  <c r="K37" i="73"/>
  <c r="D38" i="73"/>
  <c r="D37" i="76"/>
  <c r="K36" i="76"/>
  <c r="F35" i="73"/>
  <c r="E326" i="78"/>
  <c r="D327" i="78"/>
  <c r="E184" i="78"/>
  <c r="D185" i="78"/>
  <c r="E39" i="78"/>
  <c r="D40" i="78"/>
  <c r="D231" i="77"/>
  <c r="E230" i="77"/>
  <c r="E135" i="77"/>
  <c r="D136" i="77"/>
  <c r="D40" i="77"/>
  <c r="E39" i="77"/>
  <c r="F40" i="76"/>
  <c r="F39" i="74"/>
  <c r="D40" i="74"/>
  <c r="K39" i="74"/>
  <c r="E37" i="71"/>
  <c r="H37" i="71"/>
  <c r="D38" i="71"/>
  <c r="G40" i="71"/>
  <c r="F39" i="66"/>
  <c r="G39" i="66" s="1"/>
  <c r="H39" i="66" s="1"/>
  <c r="Q246" i="95" l="1"/>
  <c r="S245" i="95"/>
  <c r="D257" i="95"/>
  <c r="E256" i="95"/>
  <c r="F256" i="95" s="1"/>
  <c r="K256" i="95"/>
  <c r="R245" i="95"/>
  <c r="T244" i="95"/>
  <c r="U244" i="95" s="1"/>
  <c r="G255" i="95"/>
  <c r="H255" i="95"/>
  <c r="D84" i="42"/>
  <c r="E70" i="48"/>
  <c r="F70" i="48" s="1"/>
  <c r="D71" i="48"/>
  <c r="K70" i="48"/>
  <c r="C70" i="48" s="1"/>
  <c r="G69" i="48"/>
  <c r="H69" i="48"/>
  <c r="H39" i="74"/>
  <c r="G39" i="74"/>
  <c r="H40" i="76"/>
  <c r="G40" i="76"/>
  <c r="T574" i="61"/>
  <c r="U574" i="61" s="1"/>
  <c r="E576" i="61"/>
  <c r="F576" i="61" s="1"/>
  <c r="P576" i="61"/>
  <c r="Q576" i="61" s="1"/>
  <c r="D577" i="61"/>
  <c r="C577" i="61" s="1"/>
  <c r="R575" i="61"/>
  <c r="S575" i="61"/>
  <c r="G575" i="61"/>
  <c r="H575" i="61"/>
  <c r="G35" i="73"/>
  <c r="H35" i="73"/>
  <c r="D39" i="73"/>
  <c r="K38" i="73"/>
  <c r="K37" i="76"/>
  <c r="D38" i="76"/>
  <c r="F36" i="73"/>
  <c r="E327" i="78"/>
  <c r="D328" i="78"/>
  <c r="E185" i="78"/>
  <c r="D186" i="78"/>
  <c r="D41" i="78"/>
  <c r="E40" i="78"/>
  <c r="E231" i="77"/>
  <c r="D232" i="77"/>
  <c r="E136" i="77"/>
  <c r="D137" i="77"/>
  <c r="E40" i="77"/>
  <c r="D41" i="77"/>
  <c r="F41" i="76"/>
  <c r="K40" i="74"/>
  <c r="D41" i="74"/>
  <c r="F40" i="74"/>
  <c r="E38" i="71"/>
  <c r="H38" i="71"/>
  <c r="D39" i="71"/>
  <c r="G41" i="71"/>
  <c r="F40" i="66"/>
  <c r="G40" i="66" s="1"/>
  <c r="H40" i="66" s="1"/>
  <c r="R246" i="95" l="1"/>
  <c r="T245" i="95"/>
  <c r="U245" i="95" s="1"/>
  <c r="H256" i="95"/>
  <c r="G256" i="95"/>
  <c r="D85" i="42"/>
  <c r="D258" i="95"/>
  <c r="E257" i="95"/>
  <c r="F257" i="95" s="1"/>
  <c r="K257" i="95"/>
  <c r="Q247" i="95"/>
  <c r="S246" i="95"/>
  <c r="E71" i="48"/>
  <c r="F71" i="48" s="1"/>
  <c r="D72" i="48"/>
  <c r="K71" i="48"/>
  <c r="C71" i="48" s="1"/>
  <c r="G70" i="48"/>
  <c r="H70" i="48"/>
  <c r="G41" i="76"/>
  <c r="H41" i="76"/>
  <c r="G40" i="74"/>
  <c r="H40" i="74"/>
  <c r="E577" i="61"/>
  <c r="F577" i="61" s="1"/>
  <c r="P577" i="61"/>
  <c r="Q577" i="61" s="1"/>
  <c r="D578" i="61"/>
  <c r="C578" i="61" s="1"/>
  <c r="S576" i="61"/>
  <c r="R576" i="61"/>
  <c r="T575" i="61"/>
  <c r="U575" i="61" s="1"/>
  <c r="G576" i="61"/>
  <c r="H576" i="61"/>
  <c r="G36" i="73"/>
  <c r="H36" i="73"/>
  <c r="D40" i="73"/>
  <c r="K40" i="73" s="1"/>
  <c r="K39" i="73"/>
  <c r="K38" i="76"/>
  <c r="D39" i="76"/>
  <c r="F37" i="73"/>
  <c r="E328" i="78"/>
  <c r="D329" i="78"/>
  <c r="D187" i="78"/>
  <c r="E186" i="78"/>
  <c r="D42" i="78"/>
  <c r="E41" i="78"/>
  <c r="D233" i="77"/>
  <c r="E232" i="77"/>
  <c r="D138" i="77"/>
  <c r="E137" i="77"/>
  <c r="E41" i="77"/>
  <c r="D42" i="77"/>
  <c r="F42" i="76"/>
  <c r="F41" i="74"/>
  <c r="K41" i="74"/>
  <c r="D42" i="74"/>
  <c r="E39" i="71"/>
  <c r="D40" i="71"/>
  <c r="H39" i="71"/>
  <c r="G42" i="71"/>
  <c r="F41" i="66"/>
  <c r="G41" i="66" s="1"/>
  <c r="H41" i="66" s="1"/>
  <c r="D86" i="42" l="1"/>
  <c r="Q248" i="95"/>
  <c r="S247" i="95"/>
  <c r="G257" i="95"/>
  <c r="H257" i="95"/>
  <c r="R247" i="95"/>
  <c r="T246" i="95"/>
  <c r="U246" i="95" s="1"/>
  <c r="D259" i="95"/>
  <c r="E258" i="95"/>
  <c r="F258" i="95" s="1"/>
  <c r="K258" i="95"/>
  <c r="H71" i="48"/>
  <c r="G71" i="48"/>
  <c r="D73" i="48"/>
  <c r="E72" i="48"/>
  <c r="F72" i="48" s="1"/>
  <c r="K72" i="48"/>
  <c r="C72" i="48" s="1"/>
  <c r="H42" i="76"/>
  <c r="G42" i="76"/>
  <c r="H41" i="74"/>
  <c r="G41" i="74"/>
  <c r="T576" i="61"/>
  <c r="U576" i="61" s="1"/>
  <c r="D579" i="61"/>
  <c r="C579" i="61" s="1"/>
  <c r="E578" i="61"/>
  <c r="F578" i="61" s="1"/>
  <c r="P578" i="61"/>
  <c r="Q578" i="61" s="1"/>
  <c r="R577" i="61"/>
  <c r="S577" i="61"/>
  <c r="H577" i="61"/>
  <c r="G577" i="61"/>
  <c r="G37" i="73"/>
  <c r="H37" i="73"/>
  <c r="F38" i="73"/>
  <c r="K39" i="76"/>
  <c r="D40" i="76"/>
  <c r="E329" i="78"/>
  <c r="D330" i="78"/>
  <c r="D188" i="78"/>
  <c r="E187" i="78"/>
  <c r="E42" i="78"/>
  <c r="D43" i="78"/>
  <c r="D234" i="77"/>
  <c r="E233" i="77"/>
  <c r="D139" i="77"/>
  <c r="E138" i="77"/>
  <c r="D43" i="77"/>
  <c r="E42" i="77"/>
  <c r="F43" i="76"/>
  <c r="K42" i="74"/>
  <c r="D43" i="74"/>
  <c r="F42" i="74"/>
  <c r="E40" i="71"/>
  <c r="D41" i="71"/>
  <c r="H40" i="71"/>
  <c r="G43" i="71"/>
  <c r="F42" i="66"/>
  <c r="G42" i="66" s="1"/>
  <c r="H42" i="66" s="1"/>
  <c r="M187" i="65"/>
  <c r="M188" i="65" s="1"/>
  <c r="M189" i="65" s="1"/>
  <c r="M190" i="65" s="1"/>
  <c r="M191" i="65" s="1"/>
  <c r="M192" i="65" s="1"/>
  <c r="M193" i="65" s="1"/>
  <c r="M194" i="65" s="1"/>
  <c r="M195" i="65" s="1"/>
  <c r="M196" i="65" s="1"/>
  <c r="M197" i="65" s="1"/>
  <c r="M198" i="65" s="1"/>
  <c r="M199" i="65" s="1"/>
  <c r="M200" i="65" s="1"/>
  <c r="M201" i="65" s="1"/>
  <c r="M202" i="65" s="1"/>
  <c r="M171" i="65"/>
  <c r="M172" i="65" s="1"/>
  <c r="M173" i="65" s="1"/>
  <c r="M174" i="65" s="1"/>
  <c r="M175" i="65" s="1"/>
  <c r="M176" i="65" s="1"/>
  <c r="M177" i="65" s="1"/>
  <c r="M178" i="65" s="1"/>
  <c r="M179" i="65" s="1"/>
  <c r="M180" i="65" s="1"/>
  <c r="M181" i="65" s="1"/>
  <c r="M182" i="65" s="1"/>
  <c r="M183" i="65" s="1"/>
  <c r="M184" i="65" s="1"/>
  <c r="M185" i="65" s="1"/>
  <c r="M186" i="65" s="1"/>
  <c r="M155" i="65"/>
  <c r="M156" i="65" s="1"/>
  <c r="M157" i="65" s="1"/>
  <c r="M158" i="65" s="1"/>
  <c r="M159" i="65" s="1"/>
  <c r="M160" i="65" s="1"/>
  <c r="M161" i="65" s="1"/>
  <c r="M162" i="65" s="1"/>
  <c r="M163" i="65" s="1"/>
  <c r="M164" i="65" s="1"/>
  <c r="M165" i="65" s="1"/>
  <c r="M166" i="65" s="1"/>
  <c r="M167" i="65" s="1"/>
  <c r="M168" i="65" s="1"/>
  <c r="M169" i="65" s="1"/>
  <c r="M170" i="65" s="1"/>
  <c r="M139" i="65"/>
  <c r="M140" i="65" s="1"/>
  <c r="M141" i="65" s="1"/>
  <c r="M142" i="65" s="1"/>
  <c r="M143" i="65" s="1"/>
  <c r="M144" i="65" s="1"/>
  <c r="M145" i="65" s="1"/>
  <c r="M146" i="65" s="1"/>
  <c r="M147" i="65" s="1"/>
  <c r="M148" i="65" s="1"/>
  <c r="M149" i="65" s="1"/>
  <c r="M150" i="65" s="1"/>
  <c r="M151" i="65" s="1"/>
  <c r="M152" i="65" s="1"/>
  <c r="M153" i="65" s="1"/>
  <c r="M154" i="65" s="1"/>
  <c r="M123" i="65"/>
  <c r="M124" i="65" s="1"/>
  <c r="M125" i="65" s="1"/>
  <c r="M126" i="65" s="1"/>
  <c r="M127" i="65" s="1"/>
  <c r="M128" i="65" s="1"/>
  <c r="M129" i="65" s="1"/>
  <c r="M130" i="65" s="1"/>
  <c r="M131" i="65" s="1"/>
  <c r="M132" i="65" s="1"/>
  <c r="M133" i="65" s="1"/>
  <c r="M134" i="65" s="1"/>
  <c r="M135" i="65" s="1"/>
  <c r="M136" i="65" s="1"/>
  <c r="M137" i="65" s="1"/>
  <c r="M138" i="65" s="1"/>
  <c r="M107" i="65"/>
  <c r="M108" i="65" s="1"/>
  <c r="M109" i="65" s="1"/>
  <c r="M110" i="65" s="1"/>
  <c r="M111" i="65" s="1"/>
  <c r="M112" i="65" s="1"/>
  <c r="M113" i="65" s="1"/>
  <c r="M114" i="65" s="1"/>
  <c r="M115" i="65" s="1"/>
  <c r="M116" i="65" s="1"/>
  <c r="M117" i="65" s="1"/>
  <c r="M118" i="65" s="1"/>
  <c r="M119" i="65" s="1"/>
  <c r="M120" i="65" s="1"/>
  <c r="M121" i="65" s="1"/>
  <c r="M122" i="65" s="1"/>
  <c r="M91" i="65"/>
  <c r="M92" i="65" s="1"/>
  <c r="M93" i="65" s="1"/>
  <c r="M94" i="65" s="1"/>
  <c r="M95" i="65" s="1"/>
  <c r="M96" i="65" s="1"/>
  <c r="M97" i="65" s="1"/>
  <c r="M98" i="65" s="1"/>
  <c r="M99" i="65" s="1"/>
  <c r="M100" i="65" s="1"/>
  <c r="M101" i="65" s="1"/>
  <c r="M102" i="65" s="1"/>
  <c r="M103" i="65" s="1"/>
  <c r="M104" i="65" s="1"/>
  <c r="M105" i="65" s="1"/>
  <c r="M106" i="65" s="1"/>
  <c r="M75" i="65"/>
  <c r="M76" i="65" s="1"/>
  <c r="M77" i="65" s="1"/>
  <c r="M78" i="65" s="1"/>
  <c r="M79" i="65" s="1"/>
  <c r="M80" i="65" s="1"/>
  <c r="M81" i="65" s="1"/>
  <c r="M82" i="65" s="1"/>
  <c r="M83" i="65" s="1"/>
  <c r="M84" i="65" s="1"/>
  <c r="M85" i="65" s="1"/>
  <c r="M86" i="65" s="1"/>
  <c r="M87" i="65" s="1"/>
  <c r="M88" i="65" s="1"/>
  <c r="M89" i="65" s="1"/>
  <c r="M90" i="65" s="1"/>
  <c r="M59" i="65"/>
  <c r="M60" i="65" s="1"/>
  <c r="M61" i="65" s="1"/>
  <c r="M62" i="65" s="1"/>
  <c r="M63" i="65" s="1"/>
  <c r="M64" i="65" s="1"/>
  <c r="M65" i="65" s="1"/>
  <c r="M66" i="65" s="1"/>
  <c r="M67" i="65" s="1"/>
  <c r="M68" i="65" s="1"/>
  <c r="M69" i="65" s="1"/>
  <c r="M70" i="65" s="1"/>
  <c r="M71" i="65" s="1"/>
  <c r="M72" i="65" s="1"/>
  <c r="M73" i="65" s="1"/>
  <c r="M74" i="65" s="1"/>
  <c r="M43" i="65"/>
  <c r="M44" i="65" s="1"/>
  <c r="M45" i="65" s="1"/>
  <c r="M46" i="65" s="1"/>
  <c r="M47" i="65" s="1"/>
  <c r="M48" i="65" s="1"/>
  <c r="M49" i="65" s="1"/>
  <c r="M50" i="65" s="1"/>
  <c r="M51" i="65" s="1"/>
  <c r="M52" i="65" s="1"/>
  <c r="M53" i="65" s="1"/>
  <c r="M54" i="65" s="1"/>
  <c r="M55" i="65" s="1"/>
  <c r="M56" i="65" s="1"/>
  <c r="M57" i="65" s="1"/>
  <c r="M58" i="65" s="1"/>
  <c r="M27" i="65"/>
  <c r="M28" i="65" s="1"/>
  <c r="M29" i="65" s="1"/>
  <c r="M30" i="65" s="1"/>
  <c r="M31" i="65" s="1"/>
  <c r="M32" i="65" s="1"/>
  <c r="M33" i="65" s="1"/>
  <c r="M34" i="65" s="1"/>
  <c r="M35" i="65" s="1"/>
  <c r="M36" i="65" s="1"/>
  <c r="M37" i="65" s="1"/>
  <c r="M38" i="65" s="1"/>
  <c r="M39" i="65" s="1"/>
  <c r="M40" i="65" s="1"/>
  <c r="M41" i="65" s="1"/>
  <c r="M42" i="65" s="1"/>
  <c r="I12" i="65"/>
  <c r="I13" i="65" s="1"/>
  <c r="I14" i="65" s="1"/>
  <c r="I15" i="65" s="1"/>
  <c r="I16" i="65" s="1"/>
  <c r="I17" i="65" s="1"/>
  <c r="I18" i="65" s="1"/>
  <c r="I19" i="65" s="1"/>
  <c r="I20" i="65" s="1"/>
  <c r="I21" i="65" s="1"/>
  <c r="I22" i="65" s="1"/>
  <c r="I23" i="65" s="1"/>
  <c r="I24" i="65" s="1"/>
  <c r="I25" i="65" s="1"/>
  <c r="I26" i="65" s="1"/>
  <c r="I27" i="65" s="1"/>
  <c r="I28" i="65" s="1"/>
  <c r="I29" i="65" s="1"/>
  <c r="I30" i="65" s="1"/>
  <c r="I31" i="65" s="1"/>
  <c r="I32" i="65" s="1"/>
  <c r="I33" i="65" s="1"/>
  <c r="I34" i="65" s="1"/>
  <c r="I35" i="65" s="1"/>
  <c r="I36" i="65" s="1"/>
  <c r="I37" i="65" s="1"/>
  <c r="I38" i="65" s="1"/>
  <c r="I39" i="65" s="1"/>
  <c r="I40" i="65" s="1"/>
  <c r="I41" i="65" s="1"/>
  <c r="I42" i="65" s="1"/>
  <c r="I43" i="65" s="1"/>
  <c r="I44" i="65" s="1"/>
  <c r="I45" i="65" s="1"/>
  <c r="I46" i="65" s="1"/>
  <c r="I47" i="65" s="1"/>
  <c r="I48" i="65" s="1"/>
  <c r="I49" i="65" s="1"/>
  <c r="I50" i="65" s="1"/>
  <c r="I51" i="65" s="1"/>
  <c r="I52" i="65" s="1"/>
  <c r="I53" i="65" s="1"/>
  <c r="I54" i="65" s="1"/>
  <c r="I55" i="65" s="1"/>
  <c r="I56" i="65" s="1"/>
  <c r="I57" i="65" s="1"/>
  <c r="I58" i="65" s="1"/>
  <c r="I59" i="65" s="1"/>
  <c r="I60" i="65" s="1"/>
  <c r="I61" i="65" s="1"/>
  <c r="I62" i="65" s="1"/>
  <c r="I63" i="65" s="1"/>
  <c r="I64" i="65" s="1"/>
  <c r="I65" i="65" s="1"/>
  <c r="I66" i="65" s="1"/>
  <c r="I67" i="65" s="1"/>
  <c r="I68" i="65" s="1"/>
  <c r="I69" i="65" s="1"/>
  <c r="I70" i="65" s="1"/>
  <c r="I71" i="65" s="1"/>
  <c r="I72" i="65" s="1"/>
  <c r="I73" i="65" s="1"/>
  <c r="I74" i="65" s="1"/>
  <c r="I75" i="65" s="1"/>
  <c r="I76" i="65" s="1"/>
  <c r="I77" i="65" s="1"/>
  <c r="I78" i="65" s="1"/>
  <c r="I79" i="65" s="1"/>
  <c r="I80" i="65" s="1"/>
  <c r="I81" i="65" s="1"/>
  <c r="I82" i="65" s="1"/>
  <c r="I83" i="65" s="1"/>
  <c r="I84" i="65" s="1"/>
  <c r="I85" i="65" s="1"/>
  <c r="I86" i="65" s="1"/>
  <c r="I87" i="65" s="1"/>
  <c r="I88" i="65" s="1"/>
  <c r="I89" i="65" s="1"/>
  <c r="I90" i="65" s="1"/>
  <c r="I91" i="65" s="1"/>
  <c r="I92" i="65" s="1"/>
  <c r="I93" i="65" s="1"/>
  <c r="I94" i="65" s="1"/>
  <c r="I95" i="65" s="1"/>
  <c r="I96" i="65" s="1"/>
  <c r="I97" i="65" s="1"/>
  <c r="I98" i="65" s="1"/>
  <c r="I99" i="65" s="1"/>
  <c r="I100" i="65" s="1"/>
  <c r="I101" i="65" s="1"/>
  <c r="I102" i="65" s="1"/>
  <c r="I103" i="65" s="1"/>
  <c r="I104" i="65" s="1"/>
  <c r="I105" i="65" s="1"/>
  <c r="I106" i="65" s="1"/>
  <c r="I107" i="65" s="1"/>
  <c r="I108" i="65" s="1"/>
  <c r="I109" i="65" s="1"/>
  <c r="I110" i="65" s="1"/>
  <c r="I111" i="65" s="1"/>
  <c r="I112" i="65" s="1"/>
  <c r="I113" i="65" s="1"/>
  <c r="I114" i="65" s="1"/>
  <c r="I115" i="65" s="1"/>
  <c r="I116" i="65" s="1"/>
  <c r="I117" i="65" s="1"/>
  <c r="I118" i="65" s="1"/>
  <c r="I119" i="65" s="1"/>
  <c r="I120" i="65" s="1"/>
  <c r="I121" i="65" s="1"/>
  <c r="I122" i="65" s="1"/>
  <c r="I123" i="65" s="1"/>
  <c r="I124" i="65" s="1"/>
  <c r="I125" i="65" s="1"/>
  <c r="I126" i="65" s="1"/>
  <c r="I127" i="65" s="1"/>
  <c r="I128" i="65" s="1"/>
  <c r="I129" i="65" s="1"/>
  <c r="I130" i="65" s="1"/>
  <c r="I131" i="65" s="1"/>
  <c r="I132" i="65" s="1"/>
  <c r="I133" i="65" s="1"/>
  <c r="I134" i="65" s="1"/>
  <c r="I135" i="65" s="1"/>
  <c r="I136" i="65" s="1"/>
  <c r="I137" i="65" s="1"/>
  <c r="I138" i="65" s="1"/>
  <c r="I139" i="65" s="1"/>
  <c r="I140" i="65" s="1"/>
  <c r="I141" i="65" s="1"/>
  <c r="I142" i="65" s="1"/>
  <c r="I143" i="65" s="1"/>
  <c r="I144" i="65" s="1"/>
  <c r="I145" i="65" s="1"/>
  <c r="I146" i="65" s="1"/>
  <c r="I147" i="65" s="1"/>
  <c r="I148" i="65" s="1"/>
  <c r="I149" i="65" s="1"/>
  <c r="I150" i="65" s="1"/>
  <c r="I151" i="65" s="1"/>
  <c r="I152" i="65" s="1"/>
  <c r="I153" i="65" s="1"/>
  <c r="I154" i="65" s="1"/>
  <c r="I155" i="65" s="1"/>
  <c r="I156" i="65" s="1"/>
  <c r="I157" i="65" s="1"/>
  <c r="I158" i="65" s="1"/>
  <c r="I159" i="65" s="1"/>
  <c r="I160" i="65" s="1"/>
  <c r="I161" i="65" s="1"/>
  <c r="I162" i="65" s="1"/>
  <c r="I163" i="65" s="1"/>
  <c r="I164" i="65" s="1"/>
  <c r="I165" i="65" s="1"/>
  <c r="I166" i="65" s="1"/>
  <c r="I167" i="65" s="1"/>
  <c r="I168" i="65" s="1"/>
  <c r="I169" i="65" s="1"/>
  <c r="I170" i="65" s="1"/>
  <c r="I171" i="65" s="1"/>
  <c r="I172" i="65" s="1"/>
  <c r="I173" i="65" s="1"/>
  <c r="I174" i="65" s="1"/>
  <c r="I175" i="65" s="1"/>
  <c r="I176" i="65" s="1"/>
  <c r="I177" i="65" s="1"/>
  <c r="I178" i="65" s="1"/>
  <c r="I179" i="65" s="1"/>
  <c r="I180" i="65" s="1"/>
  <c r="I181" i="65" s="1"/>
  <c r="I182" i="65" s="1"/>
  <c r="I183" i="65" s="1"/>
  <c r="I184" i="65" s="1"/>
  <c r="I185" i="65" s="1"/>
  <c r="I186" i="65" s="1"/>
  <c r="I187" i="65" s="1"/>
  <c r="I188" i="65" s="1"/>
  <c r="I189" i="65" s="1"/>
  <c r="I190" i="65" s="1"/>
  <c r="I191" i="65" s="1"/>
  <c r="I192" i="65" s="1"/>
  <c r="I193" i="65" s="1"/>
  <c r="I194" i="65" s="1"/>
  <c r="I195" i="65" s="1"/>
  <c r="I196" i="65" s="1"/>
  <c r="I197" i="65" s="1"/>
  <c r="I198" i="65" s="1"/>
  <c r="I199" i="65" s="1"/>
  <c r="I200" i="65" s="1"/>
  <c r="I201" i="65" s="1"/>
  <c r="I202" i="65" s="1"/>
  <c r="B12" i="65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B25" i="65" s="1"/>
  <c r="B26" i="65" s="1"/>
  <c r="B27" i="65" s="1"/>
  <c r="B28" i="65" s="1"/>
  <c r="B29" i="65" s="1"/>
  <c r="B30" i="65" s="1"/>
  <c r="B31" i="65" s="1"/>
  <c r="B32" i="65" s="1"/>
  <c r="B33" i="65" s="1"/>
  <c r="B34" i="65" s="1"/>
  <c r="B35" i="65" s="1"/>
  <c r="B36" i="65" s="1"/>
  <c r="B37" i="65" s="1"/>
  <c r="B38" i="65" s="1"/>
  <c r="B39" i="65" s="1"/>
  <c r="B40" i="65" s="1"/>
  <c r="B41" i="65" s="1"/>
  <c r="B42" i="65" s="1"/>
  <c r="B43" i="65" s="1"/>
  <c r="B44" i="65" s="1"/>
  <c r="B45" i="65" s="1"/>
  <c r="B46" i="65" s="1"/>
  <c r="B47" i="65" s="1"/>
  <c r="B48" i="65" s="1"/>
  <c r="B49" i="65" s="1"/>
  <c r="B50" i="65" s="1"/>
  <c r="B51" i="65" s="1"/>
  <c r="B52" i="65" s="1"/>
  <c r="B53" i="65" s="1"/>
  <c r="B54" i="65" s="1"/>
  <c r="B55" i="65" s="1"/>
  <c r="B56" i="65" s="1"/>
  <c r="B57" i="65" s="1"/>
  <c r="B58" i="65" s="1"/>
  <c r="B59" i="65" s="1"/>
  <c r="B60" i="65" s="1"/>
  <c r="B61" i="65" s="1"/>
  <c r="B62" i="65" s="1"/>
  <c r="B63" i="65" s="1"/>
  <c r="B64" i="65" s="1"/>
  <c r="B65" i="65" s="1"/>
  <c r="B66" i="65" s="1"/>
  <c r="B67" i="65" s="1"/>
  <c r="B68" i="65" s="1"/>
  <c r="B69" i="65" s="1"/>
  <c r="B70" i="65" s="1"/>
  <c r="B71" i="65" s="1"/>
  <c r="B72" i="65" s="1"/>
  <c r="B73" i="65" s="1"/>
  <c r="B74" i="65" s="1"/>
  <c r="B75" i="65" s="1"/>
  <c r="B76" i="65" s="1"/>
  <c r="B77" i="65" s="1"/>
  <c r="B78" i="65" s="1"/>
  <c r="B79" i="65" s="1"/>
  <c r="B80" i="65" s="1"/>
  <c r="B81" i="65" s="1"/>
  <c r="B82" i="65" s="1"/>
  <c r="B83" i="65" s="1"/>
  <c r="B84" i="65" s="1"/>
  <c r="B85" i="65" s="1"/>
  <c r="B86" i="65" s="1"/>
  <c r="B87" i="65" s="1"/>
  <c r="B88" i="65" s="1"/>
  <c r="B89" i="65" s="1"/>
  <c r="B90" i="65" s="1"/>
  <c r="B91" i="65" s="1"/>
  <c r="B92" i="65" s="1"/>
  <c r="B93" i="65" s="1"/>
  <c r="B94" i="65" s="1"/>
  <c r="B95" i="65" s="1"/>
  <c r="B96" i="65" s="1"/>
  <c r="B97" i="65" s="1"/>
  <c r="B98" i="65" s="1"/>
  <c r="B99" i="65" s="1"/>
  <c r="B100" i="65" s="1"/>
  <c r="B101" i="65" s="1"/>
  <c r="B102" i="65" s="1"/>
  <c r="B103" i="65" s="1"/>
  <c r="B104" i="65" s="1"/>
  <c r="B105" i="65" s="1"/>
  <c r="B106" i="65" s="1"/>
  <c r="B107" i="65" s="1"/>
  <c r="B108" i="65" s="1"/>
  <c r="B109" i="65" s="1"/>
  <c r="B110" i="65" s="1"/>
  <c r="B111" i="65" s="1"/>
  <c r="B112" i="65" s="1"/>
  <c r="B113" i="65" s="1"/>
  <c r="B114" i="65" s="1"/>
  <c r="B115" i="65" s="1"/>
  <c r="B116" i="65" s="1"/>
  <c r="B117" i="65" s="1"/>
  <c r="B118" i="65" s="1"/>
  <c r="B119" i="65" s="1"/>
  <c r="B120" i="65" s="1"/>
  <c r="B121" i="65" s="1"/>
  <c r="B122" i="65" s="1"/>
  <c r="B123" i="65" s="1"/>
  <c r="B124" i="65" s="1"/>
  <c r="B125" i="65" s="1"/>
  <c r="B126" i="65" s="1"/>
  <c r="B127" i="65" s="1"/>
  <c r="B128" i="65" s="1"/>
  <c r="B129" i="65" s="1"/>
  <c r="B130" i="65" s="1"/>
  <c r="B131" i="65" s="1"/>
  <c r="B132" i="65" s="1"/>
  <c r="B133" i="65" s="1"/>
  <c r="B134" i="65" s="1"/>
  <c r="B135" i="65" s="1"/>
  <c r="B136" i="65" s="1"/>
  <c r="B137" i="65" s="1"/>
  <c r="B138" i="65" s="1"/>
  <c r="B139" i="65" s="1"/>
  <c r="B140" i="65" s="1"/>
  <c r="B141" i="65" s="1"/>
  <c r="B142" i="65" s="1"/>
  <c r="B143" i="65" s="1"/>
  <c r="B144" i="65" s="1"/>
  <c r="B145" i="65" s="1"/>
  <c r="B146" i="65" s="1"/>
  <c r="B147" i="65" s="1"/>
  <c r="B148" i="65" s="1"/>
  <c r="B149" i="65" s="1"/>
  <c r="B150" i="65" s="1"/>
  <c r="B151" i="65" s="1"/>
  <c r="B152" i="65" s="1"/>
  <c r="B153" i="65" s="1"/>
  <c r="B154" i="65" s="1"/>
  <c r="B155" i="65" s="1"/>
  <c r="B156" i="65" s="1"/>
  <c r="B157" i="65" s="1"/>
  <c r="B158" i="65" s="1"/>
  <c r="B159" i="65" s="1"/>
  <c r="B160" i="65" s="1"/>
  <c r="B161" i="65" s="1"/>
  <c r="B162" i="65" s="1"/>
  <c r="B163" i="65" s="1"/>
  <c r="B164" i="65" s="1"/>
  <c r="B165" i="65" s="1"/>
  <c r="B166" i="65" s="1"/>
  <c r="B167" i="65" s="1"/>
  <c r="B168" i="65" s="1"/>
  <c r="B169" i="65" s="1"/>
  <c r="B170" i="65" s="1"/>
  <c r="B171" i="65" s="1"/>
  <c r="B172" i="65" s="1"/>
  <c r="B173" i="65" s="1"/>
  <c r="B174" i="65" s="1"/>
  <c r="B175" i="65" s="1"/>
  <c r="B176" i="65" s="1"/>
  <c r="B177" i="65" s="1"/>
  <c r="B178" i="65" s="1"/>
  <c r="B179" i="65" s="1"/>
  <c r="B180" i="65" s="1"/>
  <c r="B181" i="65" s="1"/>
  <c r="B182" i="65" s="1"/>
  <c r="B183" i="65" s="1"/>
  <c r="B184" i="65" s="1"/>
  <c r="B185" i="65" s="1"/>
  <c r="B186" i="65" s="1"/>
  <c r="B187" i="65" s="1"/>
  <c r="B188" i="65" s="1"/>
  <c r="B189" i="65" s="1"/>
  <c r="B190" i="65" s="1"/>
  <c r="B191" i="65" s="1"/>
  <c r="B192" i="65" s="1"/>
  <c r="B193" i="65" s="1"/>
  <c r="B194" i="65" s="1"/>
  <c r="B195" i="65" s="1"/>
  <c r="B196" i="65" s="1"/>
  <c r="B197" i="65" s="1"/>
  <c r="B198" i="65" s="1"/>
  <c r="B199" i="65" s="1"/>
  <c r="B200" i="65" s="1"/>
  <c r="B201" i="65" s="1"/>
  <c r="B202" i="65" s="1"/>
  <c r="Q11" i="65"/>
  <c r="R11" i="65" s="1"/>
  <c r="R12" i="65" s="1"/>
  <c r="R13" i="65" s="1"/>
  <c r="R14" i="65" s="1"/>
  <c r="R15" i="65" s="1"/>
  <c r="R16" i="65" s="1"/>
  <c r="R17" i="65" s="1"/>
  <c r="R18" i="65" s="1"/>
  <c r="R19" i="65" s="1"/>
  <c r="R20" i="65" s="1"/>
  <c r="R21" i="65" s="1"/>
  <c r="R22" i="65" s="1"/>
  <c r="R23" i="65" s="1"/>
  <c r="R24" i="65" s="1"/>
  <c r="R25" i="65" s="1"/>
  <c r="R26" i="65" s="1"/>
  <c r="R27" i="65" s="1"/>
  <c r="R28" i="65" s="1"/>
  <c r="R29" i="65" s="1"/>
  <c r="R30" i="65" s="1"/>
  <c r="R31" i="65" s="1"/>
  <c r="R32" i="65" s="1"/>
  <c r="R33" i="65" s="1"/>
  <c r="R34" i="65" s="1"/>
  <c r="R35" i="65" s="1"/>
  <c r="R36" i="65" s="1"/>
  <c r="R37" i="65" s="1"/>
  <c r="R38" i="65" s="1"/>
  <c r="R39" i="65" s="1"/>
  <c r="R40" i="65" s="1"/>
  <c r="R41" i="65" s="1"/>
  <c r="R42" i="65" s="1"/>
  <c r="R43" i="65" s="1"/>
  <c r="R44" i="65" s="1"/>
  <c r="R45" i="65" s="1"/>
  <c r="R46" i="65" s="1"/>
  <c r="R47" i="65" s="1"/>
  <c r="R48" i="65" s="1"/>
  <c r="R49" i="65" s="1"/>
  <c r="R50" i="65" s="1"/>
  <c r="R51" i="65" s="1"/>
  <c r="R52" i="65" s="1"/>
  <c r="R53" i="65" s="1"/>
  <c r="R54" i="65" s="1"/>
  <c r="R55" i="65" s="1"/>
  <c r="R56" i="65" s="1"/>
  <c r="R57" i="65" s="1"/>
  <c r="R58" i="65" s="1"/>
  <c r="R59" i="65" s="1"/>
  <c r="R60" i="65" s="1"/>
  <c r="R61" i="65" s="1"/>
  <c r="R62" i="65" s="1"/>
  <c r="R63" i="65" s="1"/>
  <c r="R64" i="65" s="1"/>
  <c r="R65" i="65" s="1"/>
  <c r="R66" i="65" s="1"/>
  <c r="R67" i="65" s="1"/>
  <c r="R68" i="65" s="1"/>
  <c r="R69" i="65" s="1"/>
  <c r="R70" i="65" s="1"/>
  <c r="R71" i="65" s="1"/>
  <c r="R72" i="65" s="1"/>
  <c r="R73" i="65" s="1"/>
  <c r="R74" i="65" s="1"/>
  <c r="R75" i="65" s="1"/>
  <c r="R76" i="65" s="1"/>
  <c r="R77" i="65" s="1"/>
  <c r="R78" i="65" s="1"/>
  <c r="R79" i="65" s="1"/>
  <c r="R80" i="65" s="1"/>
  <c r="R81" i="65" s="1"/>
  <c r="R82" i="65" s="1"/>
  <c r="R83" i="65" s="1"/>
  <c r="R84" i="65" s="1"/>
  <c r="R85" i="65" s="1"/>
  <c r="R86" i="65" s="1"/>
  <c r="R87" i="65" s="1"/>
  <c r="R88" i="65" s="1"/>
  <c r="R89" i="65" s="1"/>
  <c r="R90" i="65" s="1"/>
  <c r="R91" i="65" s="1"/>
  <c r="R92" i="65" s="1"/>
  <c r="R93" i="65" s="1"/>
  <c r="R94" i="65" s="1"/>
  <c r="R95" i="65" s="1"/>
  <c r="R96" i="65" s="1"/>
  <c r="R97" i="65" s="1"/>
  <c r="R98" i="65" s="1"/>
  <c r="R99" i="65" s="1"/>
  <c r="R100" i="65" s="1"/>
  <c r="R101" i="65" s="1"/>
  <c r="R102" i="65" s="1"/>
  <c r="R103" i="65" s="1"/>
  <c r="R104" i="65" s="1"/>
  <c r="R105" i="65" s="1"/>
  <c r="R106" i="65" s="1"/>
  <c r="R107" i="65" s="1"/>
  <c r="R108" i="65" s="1"/>
  <c r="R109" i="65" s="1"/>
  <c r="R110" i="65" s="1"/>
  <c r="R111" i="65" s="1"/>
  <c r="R112" i="65" s="1"/>
  <c r="R113" i="65" s="1"/>
  <c r="R114" i="65" s="1"/>
  <c r="R115" i="65" s="1"/>
  <c r="R116" i="65" s="1"/>
  <c r="R117" i="65" s="1"/>
  <c r="R118" i="65" s="1"/>
  <c r="R119" i="65" s="1"/>
  <c r="R120" i="65" s="1"/>
  <c r="R121" i="65" s="1"/>
  <c r="R122" i="65" s="1"/>
  <c r="R123" i="65" s="1"/>
  <c r="R124" i="65" s="1"/>
  <c r="R125" i="65" s="1"/>
  <c r="R126" i="65" s="1"/>
  <c r="R127" i="65" s="1"/>
  <c r="R128" i="65" s="1"/>
  <c r="R129" i="65" s="1"/>
  <c r="R130" i="65" s="1"/>
  <c r="R131" i="65" s="1"/>
  <c r="R132" i="65" s="1"/>
  <c r="R133" i="65" s="1"/>
  <c r="R134" i="65" s="1"/>
  <c r="R135" i="65" s="1"/>
  <c r="R136" i="65" s="1"/>
  <c r="R137" i="65" s="1"/>
  <c r="R138" i="65" s="1"/>
  <c r="R139" i="65" s="1"/>
  <c r="R140" i="65" s="1"/>
  <c r="R141" i="65" s="1"/>
  <c r="R142" i="65" s="1"/>
  <c r="R143" i="65" s="1"/>
  <c r="R144" i="65" s="1"/>
  <c r="R145" i="65" s="1"/>
  <c r="R146" i="65" s="1"/>
  <c r="R147" i="65" s="1"/>
  <c r="R148" i="65" s="1"/>
  <c r="R149" i="65" s="1"/>
  <c r="R150" i="65" s="1"/>
  <c r="R151" i="65" s="1"/>
  <c r="R152" i="65" s="1"/>
  <c r="R153" i="65" s="1"/>
  <c r="R154" i="65" s="1"/>
  <c r="R155" i="65" s="1"/>
  <c r="R156" i="65" s="1"/>
  <c r="R157" i="65" s="1"/>
  <c r="R158" i="65" s="1"/>
  <c r="R159" i="65" s="1"/>
  <c r="R160" i="65" s="1"/>
  <c r="R161" i="65" s="1"/>
  <c r="R162" i="65" s="1"/>
  <c r="R163" i="65" s="1"/>
  <c r="R164" i="65" s="1"/>
  <c r="R165" i="65" s="1"/>
  <c r="R166" i="65" s="1"/>
  <c r="R167" i="65" s="1"/>
  <c r="R168" i="65" s="1"/>
  <c r="R169" i="65" s="1"/>
  <c r="R170" i="65" s="1"/>
  <c r="R171" i="65" s="1"/>
  <c r="R172" i="65" s="1"/>
  <c r="R173" i="65" s="1"/>
  <c r="R174" i="65" s="1"/>
  <c r="R175" i="65" s="1"/>
  <c r="R176" i="65" s="1"/>
  <c r="R177" i="65" s="1"/>
  <c r="R178" i="65" s="1"/>
  <c r="R179" i="65" s="1"/>
  <c r="R180" i="65" s="1"/>
  <c r="R181" i="65" s="1"/>
  <c r="R182" i="65" s="1"/>
  <c r="R183" i="65" s="1"/>
  <c r="R184" i="65" s="1"/>
  <c r="R185" i="65" s="1"/>
  <c r="R186" i="65" s="1"/>
  <c r="R187" i="65" s="1"/>
  <c r="R188" i="65" s="1"/>
  <c r="R189" i="65" s="1"/>
  <c r="R190" i="65" s="1"/>
  <c r="R191" i="65" s="1"/>
  <c r="R192" i="65" s="1"/>
  <c r="R193" i="65" s="1"/>
  <c r="R194" i="65" s="1"/>
  <c r="R195" i="65" s="1"/>
  <c r="R196" i="65" s="1"/>
  <c r="R197" i="65" s="1"/>
  <c r="R198" i="65" s="1"/>
  <c r="R199" i="65" s="1"/>
  <c r="R200" i="65" s="1"/>
  <c r="R201" i="65" s="1"/>
  <c r="R202" i="65" s="1"/>
  <c r="N11" i="65"/>
  <c r="N12" i="65" s="1"/>
  <c r="N13" i="65" s="1"/>
  <c r="N14" i="65" s="1"/>
  <c r="N15" i="65" s="1"/>
  <c r="N16" i="65" s="1"/>
  <c r="N17" i="65" s="1"/>
  <c r="N18" i="65" s="1"/>
  <c r="N19" i="65" s="1"/>
  <c r="N20" i="65" s="1"/>
  <c r="N21" i="65" s="1"/>
  <c r="N22" i="65" s="1"/>
  <c r="N23" i="65" s="1"/>
  <c r="N24" i="65" s="1"/>
  <c r="N25" i="65" s="1"/>
  <c r="N26" i="65" s="1"/>
  <c r="N27" i="65" s="1"/>
  <c r="N28" i="65" s="1"/>
  <c r="N29" i="65" s="1"/>
  <c r="N30" i="65" s="1"/>
  <c r="N31" i="65" s="1"/>
  <c r="N32" i="65" s="1"/>
  <c r="N33" i="65" s="1"/>
  <c r="N34" i="65" s="1"/>
  <c r="N35" i="65" s="1"/>
  <c r="N36" i="65" s="1"/>
  <c r="N37" i="65" s="1"/>
  <c r="N38" i="65" s="1"/>
  <c r="N39" i="65" s="1"/>
  <c r="N40" i="65" s="1"/>
  <c r="N41" i="65" s="1"/>
  <c r="N42" i="65" s="1"/>
  <c r="N43" i="65" s="1"/>
  <c r="N44" i="65" s="1"/>
  <c r="N45" i="65" s="1"/>
  <c r="N46" i="65" s="1"/>
  <c r="N47" i="65" s="1"/>
  <c r="N48" i="65" s="1"/>
  <c r="N49" i="65" s="1"/>
  <c r="N50" i="65" s="1"/>
  <c r="N51" i="65" s="1"/>
  <c r="N52" i="65" s="1"/>
  <c r="N53" i="65" s="1"/>
  <c r="N54" i="65" s="1"/>
  <c r="N55" i="65" s="1"/>
  <c r="N56" i="65" s="1"/>
  <c r="N57" i="65" s="1"/>
  <c r="N58" i="65" s="1"/>
  <c r="N59" i="65" s="1"/>
  <c r="N60" i="65" s="1"/>
  <c r="N61" i="65" s="1"/>
  <c r="N62" i="65" s="1"/>
  <c r="N63" i="65" s="1"/>
  <c r="N64" i="65" s="1"/>
  <c r="N65" i="65" s="1"/>
  <c r="N66" i="65" s="1"/>
  <c r="N67" i="65" s="1"/>
  <c r="N68" i="65" s="1"/>
  <c r="N69" i="65" s="1"/>
  <c r="N70" i="65" s="1"/>
  <c r="N71" i="65" s="1"/>
  <c r="N72" i="65" s="1"/>
  <c r="N73" i="65" s="1"/>
  <c r="N74" i="65" s="1"/>
  <c r="N75" i="65" s="1"/>
  <c r="N76" i="65" s="1"/>
  <c r="N77" i="65" s="1"/>
  <c r="N78" i="65" s="1"/>
  <c r="N79" i="65" s="1"/>
  <c r="N80" i="65" s="1"/>
  <c r="N81" i="65" s="1"/>
  <c r="N82" i="65" s="1"/>
  <c r="N83" i="65" s="1"/>
  <c r="N84" i="65" s="1"/>
  <c r="N85" i="65" s="1"/>
  <c r="N86" i="65" s="1"/>
  <c r="N87" i="65" s="1"/>
  <c r="N88" i="65" s="1"/>
  <c r="N89" i="65" s="1"/>
  <c r="N90" i="65" s="1"/>
  <c r="N91" i="65" s="1"/>
  <c r="N92" i="65" s="1"/>
  <c r="N93" i="65" s="1"/>
  <c r="N94" i="65" s="1"/>
  <c r="N95" i="65" s="1"/>
  <c r="N96" i="65" s="1"/>
  <c r="N97" i="65" s="1"/>
  <c r="N98" i="65" s="1"/>
  <c r="N99" i="65" s="1"/>
  <c r="N100" i="65" s="1"/>
  <c r="N101" i="65" s="1"/>
  <c r="N102" i="65" s="1"/>
  <c r="N103" i="65" s="1"/>
  <c r="N104" i="65" s="1"/>
  <c r="N105" i="65" s="1"/>
  <c r="N106" i="65" s="1"/>
  <c r="N107" i="65" s="1"/>
  <c r="N108" i="65" s="1"/>
  <c r="N109" i="65" s="1"/>
  <c r="N110" i="65" s="1"/>
  <c r="N111" i="65" s="1"/>
  <c r="N112" i="65" s="1"/>
  <c r="N113" i="65" s="1"/>
  <c r="N114" i="65" s="1"/>
  <c r="N115" i="65" s="1"/>
  <c r="N116" i="65" s="1"/>
  <c r="N117" i="65" s="1"/>
  <c r="N118" i="65" s="1"/>
  <c r="N119" i="65" s="1"/>
  <c r="N120" i="65" s="1"/>
  <c r="N121" i="65" s="1"/>
  <c r="N122" i="65" s="1"/>
  <c r="N123" i="65" s="1"/>
  <c r="N124" i="65" s="1"/>
  <c r="N125" i="65" s="1"/>
  <c r="N126" i="65" s="1"/>
  <c r="N127" i="65" s="1"/>
  <c r="N128" i="65" s="1"/>
  <c r="N129" i="65" s="1"/>
  <c r="N130" i="65" s="1"/>
  <c r="N131" i="65" s="1"/>
  <c r="N132" i="65" s="1"/>
  <c r="N133" i="65" s="1"/>
  <c r="N134" i="65" s="1"/>
  <c r="N135" i="65" s="1"/>
  <c r="N136" i="65" s="1"/>
  <c r="N137" i="65" s="1"/>
  <c r="N138" i="65" s="1"/>
  <c r="N139" i="65" s="1"/>
  <c r="N140" i="65" s="1"/>
  <c r="N141" i="65" s="1"/>
  <c r="N142" i="65" s="1"/>
  <c r="N143" i="65" s="1"/>
  <c r="N144" i="65" s="1"/>
  <c r="N145" i="65" s="1"/>
  <c r="N146" i="65" s="1"/>
  <c r="N147" i="65" s="1"/>
  <c r="N148" i="65" s="1"/>
  <c r="N149" i="65" s="1"/>
  <c r="N150" i="65" s="1"/>
  <c r="N151" i="65" s="1"/>
  <c r="N152" i="65" s="1"/>
  <c r="N153" i="65" s="1"/>
  <c r="N154" i="65" s="1"/>
  <c r="N155" i="65" s="1"/>
  <c r="N156" i="65" s="1"/>
  <c r="N157" i="65" s="1"/>
  <c r="N158" i="65" s="1"/>
  <c r="N159" i="65" s="1"/>
  <c r="N160" i="65" s="1"/>
  <c r="N161" i="65" s="1"/>
  <c r="N162" i="65" s="1"/>
  <c r="N163" i="65" s="1"/>
  <c r="N164" i="65" s="1"/>
  <c r="N165" i="65" s="1"/>
  <c r="N166" i="65" s="1"/>
  <c r="N167" i="65" s="1"/>
  <c r="N168" i="65" s="1"/>
  <c r="N169" i="65" s="1"/>
  <c r="N170" i="65" s="1"/>
  <c r="N171" i="65" s="1"/>
  <c r="N172" i="65" s="1"/>
  <c r="N173" i="65" s="1"/>
  <c r="N174" i="65" s="1"/>
  <c r="N175" i="65" s="1"/>
  <c r="N176" i="65" s="1"/>
  <c r="N177" i="65" s="1"/>
  <c r="N178" i="65" s="1"/>
  <c r="N179" i="65" s="1"/>
  <c r="N180" i="65" s="1"/>
  <c r="N181" i="65" s="1"/>
  <c r="N182" i="65" s="1"/>
  <c r="N183" i="65" s="1"/>
  <c r="N184" i="65" s="1"/>
  <c r="N185" i="65" s="1"/>
  <c r="N186" i="65" s="1"/>
  <c r="N187" i="65" s="1"/>
  <c r="N188" i="65" s="1"/>
  <c r="N189" i="65" s="1"/>
  <c r="N190" i="65" s="1"/>
  <c r="N191" i="65" s="1"/>
  <c r="N192" i="65" s="1"/>
  <c r="N193" i="65" s="1"/>
  <c r="N194" i="65" s="1"/>
  <c r="N195" i="65" s="1"/>
  <c r="N196" i="65" s="1"/>
  <c r="N197" i="65" s="1"/>
  <c r="N198" i="65" s="1"/>
  <c r="N199" i="65" s="1"/>
  <c r="N200" i="65" s="1"/>
  <c r="N201" i="65" s="1"/>
  <c r="N202" i="65" s="1"/>
  <c r="M11" i="65"/>
  <c r="M12" i="65" s="1"/>
  <c r="M13" i="65" s="1"/>
  <c r="M14" i="65" s="1"/>
  <c r="M15" i="65" s="1"/>
  <c r="M16" i="65" s="1"/>
  <c r="M17" i="65" s="1"/>
  <c r="M18" i="65" s="1"/>
  <c r="M19" i="65" s="1"/>
  <c r="M20" i="65" s="1"/>
  <c r="M21" i="65" s="1"/>
  <c r="M22" i="65" s="1"/>
  <c r="M23" i="65" s="1"/>
  <c r="M24" i="65" s="1"/>
  <c r="M25" i="65" s="1"/>
  <c r="M26" i="65" s="1"/>
  <c r="L11" i="65"/>
  <c r="L12" i="65" s="1"/>
  <c r="L13" i="65" s="1"/>
  <c r="L14" i="65" s="1"/>
  <c r="L15" i="65" s="1"/>
  <c r="L16" i="65" s="1"/>
  <c r="L17" i="65" s="1"/>
  <c r="L18" i="65" s="1"/>
  <c r="L19" i="65" s="1"/>
  <c r="L20" i="65" s="1"/>
  <c r="L21" i="65" s="1"/>
  <c r="L22" i="65" s="1"/>
  <c r="L23" i="65" s="1"/>
  <c r="L24" i="65" s="1"/>
  <c r="L25" i="65" s="1"/>
  <c r="L26" i="65" s="1"/>
  <c r="L27" i="65" s="1"/>
  <c r="L28" i="65" s="1"/>
  <c r="L29" i="65" s="1"/>
  <c r="L30" i="65" s="1"/>
  <c r="L31" i="65" s="1"/>
  <c r="L32" i="65" s="1"/>
  <c r="L33" i="65" s="1"/>
  <c r="L34" i="65" s="1"/>
  <c r="L35" i="65" s="1"/>
  <c r="L36" i="65" s="1"/>
  <c r="L37" i="65" s="1"/>
  <c r="L38" i="65" s="1"/>
  <c r="L39" i="65" s="1"/>
  <c r="L40" i="65" s="1"/>
  <c r="L41" i="65" s="1"/>
  <c r="L42" i="65" s="1"/>
  <c r="L43" i="65" s="1"/>
  <c r="L44" i="65" s="1"/>
  <c r="L45" i="65" s="1"/>
  <c r="L46" i="65" s="1"/>
  <c r="L47" i="65" s="1"/>
  <c r="L48" i="65" s="1"/>
  <c r="L49" i="65" s="1"/>
  <c r="L50" i="65" s="1"/>
  <c r="L51" i="65" s="1"/>
  <c r="L52" i="65" s="1"/>
  <c r="L53" i="65" s="1"/>
  <c r="L54" i="65" s="1"/>
  <c r="L55" i="65" s="1"/>
  <c r="L56" i="65" s="1"/>
  <c r="L57" i="65" s="1"/>
  <c r="L58" i="65" s="1"/>
  <c r="L59" i="65" s="1"/>
  <c r="L60" i="65" s="1"/>
  <c r="L61" i="65" s="1"/>
  <c r="L62" i="65" s="1"/>
  <c r="L63" i="65" s="1"/>
  <c r="L64" i="65" s="1"/>
  <c r="L65" i="65" s="1"/>
  <c r="L66" i="65" s="1"/>
  <c r="L67" i="65" s="1"/>
  <c r="L68" i="65" s="1"/>
  <c r="L69" i="65" s="1"/>
  <c r="L70" i="65" s="1"/>
  <c r="L71" i="65" s="1"/>
  <c r="L72" i="65" s="1"/>
  <c r="L73" i="65" s="1"/>
  <c r="L74" i="65" s="1"/>
  <c r="L75" i="65" s="1"/>
  <c r="L76" i="65" s="1"/>
  <c r="L77" i="65" s="1"/>
  <c r="L78" i="65" s="1"/>
  <c r="L79" i="65" s="1"/>
  <c r="L80" i="65" s="1"/>
  <c r="L81" i="65" s="1"/>
  <c r="L82" i="65" s="1"/>
  <c r="L83" i="65" s="1"/>
  <c r="L84" i="65" s="1"/>
  <c r="L85" i="65" s="1"/>
  <c r="L86" i="65" s="1"/>
  <c r="L87" i="65" s="1"/>
  <c r="L88" i="65" s="1"/>
  <c r="L89" i="65" s="1"/>
  <c r="L90" i="65" s="1"/>
  <c r="L91" i="65" s="1"/>
  <c r="L92" i="65" s="1"/>
  <c r="L93" i="65" s="1"/>
  <c r="L94" i="65" s="1"/>
  <c r="L95" i="65" s="1"/>
  <c r="L96" i="65" s="1"/>
  <c r="L97" i="65" s="1"/>
  <c r="L98" i="65" s="1"/>
  <c r="L99" i="65" s="1"/>
  <c r="L100" i="65" s="1"/>
  <c r="L101" i="65" s="1"/>
  <c r="L102" i="65" s="1"/>
  <c r="L103" i="65" s="1"/>
  <c r="L104" i="65" s="1"/>
  <c r="L105" i="65" s="1"/>
  <c r="L106" i="65" s="1"/>
  <c r="L107" i="65" s="1"/>
  <c r="L108" i="65" s="1"/>
  <c r="L109" i="65" s="1"/>
  <c r="L110" i="65" s="1"/>
  <c r="L111" i="65" s="1"/>
  <c r="L112" i="65" s="1"/>
  <c r="L113" i="65" s="1"/>
  <c r="L114" i="65" s="1"/>
  <c r="L115" i="65" s="1"/>
  <c r="L116" i="65" s="1"/>
  <c r="L117" i="65" s="1"/>
  <c r="L118" i="65" s="1"/>
  <c r="L119" i="65" s="1"/>
  <c r="L120" i="65" s="1"/>
  <c r="L121" i="65" s="1"/>
  <c r="L122" i="65" s="1"/>
  <c r="L123" i="65" s="1"/>
  <c r="L124" i="65" s="1"/>
  <c r="L125" i="65" s="1"/>
  <c r="L126" i="65" s="1"/>
  <c r="L127" i="65" s="1"/>
  <c r="L128" i="65" s="1"/>
  <c r="L129" i="65" s="1"/>
  <c r="L130" i="65" s="1"/>
  <c r="L131" i="65" s="1"/>
  <c r="L132" i="65" s="1"/>
  <c r="L133" i="65" s="1"/>
  <c r="L134" i="65" s="1"/>
  <c r="L135" i="65" s="1"/>
  <c r="L136" i="65" s="1"/>
  <c r="L137" i="65" s="1"/>
  <c r="L138" i="65" s="1"/>
  <c r="L139" i="65" s="1"/>
  <c r="L140" i="65" s="1"/>
  <c r="L141" i="65" s="1"/>
  <c r="L142" i="65" s="1"/>
  <c r="L143" i="65" s="1"/>
  <c r="L144" i="65" s="1"/>
  <c r="L145" i="65" s="1"/>
  <c r="L146" i="65" s="1"/>
  <c r="L147" i="65" s="1"/>
  <c r="L148" i="65" s="1"/>
  <c r="L149" i="65" s="1"/>
  <c r="L150" i="65" s="1"/>
  <c r="L151" i="65" s="1"/>
  <c r="L152" i="65" s="1"/>
  <c r="L153" i="65" s="1"/>
  <c r="L154" i="65" s="1"/>
  <c r="L155" i="65" s="1"/>
  <c r="L156" i="65" s="1"/>
  <c r="L157" i="65" s="1"/>
  <c r="L158" i="65" s="1"/>
  <c r="L159" i="65" s="1"/>
  <c r="L160" i="65" s="1"/>
  <c r="L161" i="65" s="1"/>
  <c r="L162" i="65" s="1"/>
  <c r="L163" i="65" s="1"/>
  <c r="L164" i="65" s="1"/>
  <c r="L165" i="65" s="1"/>
  <c r="L166" i="65" s="1"/>
  <c r="L167" i="65" s="1"/>
  <c r="L168" i="65" s="1"/>
  <c r="L169" i="65" s="1"/>
  <c r="L170" i="65" s="1"/>
  <c r="L171" i="65" s="1"/>
  <c r="L172" i="65" s="1"/>
  <c r="L173" i="65" s="1"/>
  <c r="L174" i="65" s="1"/>
  <c r="L175" i="65" s="1"/>
  <c r="L176" i="65" s="1"/>
  <c r="L177" i="65" s="1"/>
  <c r="L178" i="65" s="1"/>
  <c r="L179" i="65" s="1"/>
  <c r="L180" i="65" s="1"/>
  <c r="L181" i="65" s="1"/>
  <c r="L182" i="65" s="1"/>
  <c r="L183" i="65" s="1"/>
  <c r="L184" i="65" s="1"/>
  <c r="L185" i="65" s="1"/>
  <c r="L186" i="65" s="1"/>
  <c r="L187" i="65" s="1"/>
  <c r="L188" i="65" s="1"/>
  <c r="L189" i="65" s="1"/>
  <c r="L190" i="65" s="1"/>
  <c r="L191" i="65" s="1"/>
  <c r="L192" i="65" s="1"/>
  <c r="L193" i="65" s="1"/>
  <c r="L194" i="65" s="1"/>
  <c r="L195" i="65" s="1"/>
  <c r="L196" i="65" s="1"/>
  <c r="L197" i="65" s="1"/>
  <c r="L198" i="65" s="1"/>
  <c r="L199" i="65" s="1"/>
  <c r="L200" i="65" s="1"/>
  <c r="L201" i="65" s="1"/>
  <c r="L202" i="65" s="1"/>
  <c r="J11" i="65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J25" i="65" s="1"/>
  <c r="J26" i="65" s="1"/>
  <c r="J27" i="65" s="1"/>
  <c r="J28" i="65" s="1"/>
  <c r="J29" i="65" s="1"/>
  <c r="J30" i="65" s="1"/>
  <c r="J31" i="65" s="1"/>
  <c r="J32" i="65" s="1"/>
  <c r="J33" i="65" s="1"/>
  <c r="J34" i="65" s="1"/>
  <c r="J35" i="65" s="1"/>
  <c r="J36" i="65" s="1"/>
  <c r="J37" i="65" s="1"/>
  <c r="J38" i="65" s="1"/>
  <c r="J39" i="65" s="1"/>
  <c r="J40" i="65" s="1"/>
  <c r="J41" i="65" s="1"/>
  <c r="J42" i="65" s="1"/>
  <c r="J43" i="65" s="1"/>
  <c r="J44" i="65" s="1"/>
  <c r="J45" i="65" s="1"/>
  <c r="J46" i="65" s="1"/>
  <c r="J47" i="65" s="1"/>
  <c r="J48" i="65" s="1"/>
  <c r="J49" i="65" s="1"/>
  <c r="J50" i="65" s="1"/>
  <c r="J51" i="65" s="1"/>
  <c r="J52" i="65" s="1"/>
  <c r="J53" i="65" s="1"/>
  <c r="J54" i="65" s="1"/>
  <c r="J55" i="65" s="1"/>
  <c r="J56" i="65" s="1"/>
  <c r="J57" i="65" s="1"/>
  <c r="J58" i="65" s="1"/>
  <c r="J59" i="65" s="1"/>
  <c r="J60" i="65" s="1"/>
  <c r="J61" i="65" s="1"/>
  <c r="J62" i="65" s="1"/>
  <c r="J63" i="65" s="1"/>
  <c r="J64" i="65" s="1"/>
  <c r="J65" i="65" s="1"/>
  <c r="J66" i="65" s="1"/>
  <c r="J67" i="65" s="1"/>
  <c r="J68" i="65" s="1"/>
  <c r="J69" i="65" s="1"/>
  <c r="J70" i="65" s="1"/>
  <c r="J71" i="65" s="1"/>
  <c r="J72" i="65" s="1"/>
  <c r="J73" i="65" s="1"/>
  <c r="J74" i="65" s="1"/>
  <c r="J75" i="65" s="1"/>
  <c r="J76" i="65" s="1"/>
  <c r="J77" i="65" s="1"/>
  <c r="J78" i="65" s="1"/>
  <c r="J79" i="65" s="1"/>
  <c r="J80" i="65" s="1"/>
  <c r="J81" i="65" s="1"/>
  <c r="J82" i="65" s="1"/>
  <c r="J83" i="65" s="1"/>
  <c r="J84" i="65" s="1"/>
  <c r="J85" i="65" s="1"/>
  <c r="J86" i="65" s="1"/>
  <c r="J87" i="65" s="1"/>
  <c r="J88" i="65" s="1"/>
  <c r="J89" i="65" s="1"/>
  <c r="J90" i="65" s="1"/>
  <c r="J91" i="65" s="1"/>
  <c r="J92" i="65" s="1"/>
  <c r="J93" i="65" s="1"/>
  <c r="J94" i="65" s="1"/>
  <c r="J95" i="65" s="1"/>
  <c r="J96" i="65" s="1"/>
  <c r="J97" i="65" s="1"/>
  <c r="J98" i="65" s="1"/>
  <c r="J99" i="65" s="1"/>
  <c r="J100" i="65" s="1"/>
  <c r="J101" i="65" s="1"/>
  <c r="J102" i="65" s="1"/>
  <c r="J103" i="65" s="1"/>
  <c r="J104" i="65" s="1"/>
  <c r="J105" i="65" s="1"/>
  <c r="J106" i="65" s="1"/>
  <c r="J107" i="65" s="1"/>
  <c r="J108" i="65" s="1"/>
  <c r="J109" i="65" s="1"/>
  <c r="J110" i="65" s="1"/>
  <c r="J111" i="65" s="1"/>
  <c r="J112" i="65" s="1"/>
  <c r="J113" i="65" s="1"/>
  <c r="J114" i="65" s="1"/>
  <c r="J115" i="65" s="1"/>
  <c r="J116" i="65" s="1"/>
  <c r="J117" i="65" s="1"/>
  <c r="J118" i="65" s="1"/>
  <c r="J119" i="65" s="1"/>
  <c r="J120" i="65" s="1"/>
  <c r="J121" i="65" s="1"/>
  <c r="J122" i="65" s="1"/>
  <c r="J123" i="65" s="1"/>
  <c r="J124" i="65" s="1"/>
  <c r="J125" i="65" s="1"/>
  <c r="J126" i="65" s="1"/>
  <c r="J127" i="65" s="1"/>
  <c r="J128" i="65" s="1"/>
  <c r="J129" i="65" s="1"/>
  <c r="J130" i="65" s="1"/>
  <c r="J131" i="65" s="1"/>
  <c r="J132" i="65" s="1"/>
  <c r="J133" i="65" s="1"/>
  <c r="J134" i="65" s="1"/>
  <c r="J135" i="65" s="1"/>
  <c r="J136" i="65" s="1"/>
  <c r="J137" i="65" s="1"/>
  <c r="J138" i="65" s="1"/>
  <c r="J139" i="65" s="1"/>
  <c r="J140" i="65" s="1"/>
  <c r="J141" i="65" s="1"/>
  <c r="J142" i="65" s="1"/>
  <c r="J143" i="65" s="1"/>
  <c r="J144" i="65" s="1"/>
  <c r="J145" i="65" s="1"/>
  <c r="J146" i="65" s="1"/>
  <c r="J147" i="65" s="1"/>
  <c r="J148" i="65" s="1"/>
  <c r="J149" i="65" s="1"/>
  <c r="J150" i="65" s="1"/>
  <c r="J151" i="65" s="1"/>
  <c r="J152" i="65" s="1"/>
  <c r="J153" i="65" s="1"/>
  <c r="J154" i="65" s="1"/>
  <c r="J155" i="65" s="1"/>
  <c r="J156" i="65" s="1"/>
  <c r="J157" i="65" s="1"/>
  <c r="J158" i="65" s="1"/>
  <c r="J159" i="65" s="1"/>
  <c r="J160" i="65" s="1"/>
  <c r="J161" i="65" s="1"/>
  <c r="J162" i="65" s="1"/>
  <c r="J163" i="65" s="1"/>
  <c r="J164" i="65" s="1"/>
  <c r="J165" i="65" s="1"/>
  <c r="J166" i="65" s="1"/>
  <c r="J167" i="65" s="1"/>
  <c r="J168" i="65" s="1"/>
  <c r="J169" i="65" s="1"/>
  <c r="J170" i="65" s="1"/>
  <c r="J171" i="65" s="1"/>
  <c r="J172" i="65" s="1"/>
  <c r="J173" i="65" s="1"/>
  <c r="J174" i="65" s="1"/>
  <c r="J175" i="65" s="1"/>
  <c r="J176" i="65" s="1"/>
  <c r="J177" i="65" s="1"/>
  <c r="J178" i="65" s="1"/>
  <c r="J179" i="65" s="1"/>
  <c r="J180" i="65" s="1"/>
  <c r="J181" i="65" s="1"/>
  <c r="J182" i="65" s="1"/>
  <c r="J183" i="65" s="1"/>
  <c r="J184" i="65" s="1"/>
  <c r="J185" i="65" s="1"/>
  <c r="J186" i="65" s="1"/>
  <c r="J187" i="65" s="1"/>
  <c r="J188" i="65" s="1"/>
  <c r="J189" i="65" s="1"/>
  <c r="J190" i="65" s="1"/>
  <c r="J191" i="65" s="1"/>
  <c r="J192" i="65" s="1"/>
  <c r="J193" i="65" s="1"/>
  <c r="J194" i="65" s="1"/>
  <c r="J195" i="65" s="1"/>
  <c r="J196" i="65" s="1"/>
  <c r="J197" i="65" s="1"/>
  <c r="J198" i="65" s="1"/>
  <c r="J199" i="65" s="1"/>
  <c r="J200" i="65" s="1"/>
  <c r="J201" i="65" s="1"/>
  <c r="J202" i="65" s="1"/>
  <c r="E11" i="65"/>
  <c r="B10" i="65"/>
  <c r="G258" i="95" l="1"/>
  <c r="H258" i="95"/>
  <c r="D260" i="95"/>
  <c r="K259" i="95"/>
  <c r="E259" i="95"/>
  <c r="F259" i="95" s="1"/>
  <c r="Q249" i="95"/>
  <c r="S248" i="95"/>
  <c r="R248" i="95"/>
  <c r="T247" i="95"/>
  <c r="U247" i="95" s="1"/>
  <c r="D87" i="42"/>
  <c r="G72" i="48"/>
  <c r="H72" i="48"/>
  <c r="E73" i="48"/>
  <c r="F73" i="48" s="1"/>
  <c r="K73" i="48"/>
  <c r="C73" i="48" s="1"/>
  <c r="D74" i="48"/>
  <c r="G43" i="76"/>
  <c r="H43" i="76"/>
  <c r="G42" i="74"/>
  <c r="H42" i="74"/>
  <c r="S578" i="61"/>
  <c r="R578" i="61"/>
  <c r="G578" i="61"/>
  <c r="H578" i="61"/>
  <c r="T577" i="61"/>
  <c r="U577" i="61" s="1"/>
  <c r="E579" i="61"/>
  <c r="F579" i="61" s="1"/>
  <c r="D580" i="61"/>
  <c r="C580" i="61" s="1"/>
  <c r="P579" i="61"/>
  <c r="Q579" i="61" s="1"/>
  <c r="G38" i="73"/>
  <c r="H38" i="73"/>
  <c r="K40" i="76"/>
  <c r="D41" i="76"/>
  <c r="F39" i="73"/>
  <c r="D331" i="78"/>
  <c r="E330" i="78"/>
  <c r="D189" i="78"/>
  <c r="E188" i="78"/>
  <c r="D44" i="78"/>
  <c r="E43" i="78"/>
  <c r="E234" i="77"/>
  <c r="D235" i="77"/>
  <c r="D140" i="77"/>
  <c r="E139" i="77"/>
  <c r="E43" i="77"/>
  <c r="D44" i="77"/>
  <c r="F44" i="76"/>
  <c r="F43" i="74"/>
  <c r="K43" i="74"/>
  <c r="D44" i="74"/>
  <c r="E41" i="71"/>
  <c r="D42" i="71"/>
  <c r="H41" i="71"/>
  <c r="G44" i="71"/>
  <c r="F43" i="66"/>
  <c r="G43" i="66" s="1"/>
  <c r="H43" i="66" s="1"/>
  <c r="Q12" i="65"/>
  <c r="Q13" i="65" s="1"/>
  <c r="Q14" i="65" s="1"/>
  <c r="Q15" i="65" s="1"/>
  <c r="Q16" i="65" s="1"/>
  <c r="Q17" i="65" s="1"/>
  <c r="Q18" i="65" s="1"/>
  <c r="Q19" i="65" s="1"/>
  <c r="Q20" i="65" s="1"/>
  <c r="Q21" i="65" s="1"/>
  <c r="Q22" i="65" s="1"/>
  <c r="Q23" i="65" s="1"/>
  <c r="Q24" i="65" s="1"/>
  <c r="Q25" i="65" s="1"/>
  <c r="Q26" i="65" s="1"/>
  <c r="Q27" i="65" s="1"/>
  <c r="Q28" i="65" s="1"/>
  <c r="Q29" i="65" s="1"/>
  <c r="Q30" i="65" s="1"/>
  <c r="Q31" i="65" s="1"/>
  <c r="Q32" i="65" s="1"/>
  <c r="Q33" i="65" s="1"/>
  <c r="Q34" i="65" s="1"/>
  <c r="Q35" i="65" s="1"/>
  <c r="Q36" i="65" s="1"/>
  <c r="Q37" i="65" s="1"/>
  <c r="Q38" i="65" s="1"/>
  <c r="Q39" i="65" s="1"/>
  <c r="Q40" i="65" s="1"/>
  <c r="Q41" i="65" s="1"/>
  <c r="Q42" i="65" s="1"/>
  <c r="Q43" i="65" s="1"/>
  <c r="Q44" i="65" s="1"/>
  <c r="Q45" i="65" s="1"/>
  <c r="Q46" i="65" s="1"/>
  <c r="Q47" i="65" s="1"/>
  <c r="Q48" i="65" s="1"/>
  <c r="Q49" i="65" s="1"/>
  <c r="Q50" i="65" s="1"/>
  <c r="Q51" i="65" s="1"/>
  <c r="Q52" i="65" s="1"/>
  <c r="Q53" i="65" s="1"/>
  <c r="Q54" i="65" s="1"/>
  <c r="Q55" i="65" s="1"/>
  <c r="Q56" i="65" s="1"/>
  <c r="Q57" i="65" s="1"/>
  <c r="Q58" i="65" s="1"/>
  <c r="Q59" i="65" s="1"/>
  <c r="Q60" i="65" s="1"/>
  <c r="Q61" i="65" s="1"/>
  <c r="Q62" i="65" s="1"/>
  <c r="Q63" i="65" s="1"/>
  <c r="Q64" i="65" s="1"/>
  <c r="Q65" i="65" s="1"/>
  <c r="Q66" i="65" s="1"/>
  <c r="Q67" i="65" s="1"/>
  <c r="Q68" i="65" s="1"/>
  <c r="Q69" i="65" s="1"/>
  <c r="Q70" i="65" s="1"/>
  <c r="Q71" i="65" s="1"/>
  <c r="Q72" i="65" s="1"/>
  <c r="Q73" i="65" s="1"/>
  <c r="Q74" i="65" s="1"/>
  <c r="Q75" i="65" s="1"/>
  <c r="Q76" i="65" s="1"/>
  <c r="Q77" i="65" s="1"/>
  <c r="Q78" i="65" s="1"/>
  <c r="Q79" i="65" s="1"/>
  <c r="Q80" i="65" s="1"/>
  <c r="Q81" i="65" s="1"/>
  <c r="Q82" i="65" s="1"/>
  <c r="Q83" i="65" s="1"/>
  <c r="Q84" i="65" s="1"/>
  <c r="Q85" i="65" s="1"/>
  <c r="Q86" i="65" s="1"/>
  <c r="Q87" i="65" s="1"/>
  <c r="Q88" i="65" s="1"/>
  <c r="Q89" i="65" s="1"/>
  <c r="Q90" i="65" s="1"/>
  <c r="Q91" i="65" s="1"/>
  <c r="Q92" i="65" s="1"/>
  <c r="Q93" i="65" s="1"/>
  <c r="Q94" i="65" s="1"/>
  <c r="Q95" i="65" s="1"/>
  <c r="Q96" i="65" s="1"/>
  <c r="Q97" i="65" s="1"/>
  <c r="Q98" i="65" s="1"/>
  <c r="Q99" i="65" s="1"/>
  <c r="Q100" i="65" s="1"/>
  <c r="Q101" i="65" s="1"/>
  <c r="Q102" i="65" s="1"/>
  <c r="Q103" i="65" s="1"/>
  <c r="Q104" i="65" s="1"/>
  <c r="Q105" i="65" s="1"/>
  <c r="Q106" i="65" s="1"/>
  <c r="Q107" i="65" s="1"/>
  <c r="Q108" i="65" s="1"/>
  <c r="Q109" i="65" s="1"/>
  <c r="Q110" i="65" s="1"/>
  <c r="Q111" i="65" s="1"/>
  <c r="Q112" i="65" s="1"/>
  <c r="Q113" i="65" s="1"/>
  <c r="Q114" i="65" s="1"/>
  <c r="Q115" i="65" s="1"/>
  <c r="Q116" i="65" s="1"/>
  <c r="Q117" i="65" s="1"/>
  <c r="Q118" i="65" s="1"/>
  <c r="Q119" i="65" s="1"/>
  <c r="Q120" i="65" s="1"/>
  <c r="Q121" i="65" s="1"/>
  <c r="Q122" i="65" s="1"/>
  <c r="Q123" i="65" s="1"/>
  <c r="Q124" i="65" s="1"/>
  <c r="Q125" i="65" s="1"/>
  <c r="Q126" i="65" s="1"/>
  <c r="Q127" i="65" s="1"/>
  <c r="Q128" i="65" s="1"/>
  <c r="Q129" i="65" s="1"/>
  <c r="Q130" i="65" s="1"/>
  <c r="Q131" i="65" s="1"/>
  <c r="Q132" i="65" s="1"/>
  <c r="Q133" i="65" s="1"/>
  <c r="Q134" i="65" s="1"/>
  <c r="Q135" i="65" s="1"/>
  <c r="Q136" i="65" s="1"/>
  <c r="Q137" i="65" s="1"/>
  <c r="Q138" i="65" s="1"/>
  <c r="Q139" i="65" s="1"/>
  <c r="Q140" i="65" s="1"/>
  <c r="Q141" i="65" s="1"/>
  <c r="Q142" i="65" s="1"/>
  <c r="Q143" i="65" s="1"/>
  <c r="Q144" i="65" s="1"/>
  <c r="Q145" i="65" s="1"/>
  <c r="Q146" i="65" s="1"/>
  <c r="Q147" i="65" s="1"/>
  <c r="Q148" i="65" s="1"/>
  <c r="Q149" i="65" s="1"/>
  <c r="Q150" i="65" s="1"/>
  <c r="Q151" i="65" s="1"/>
  <c r="Q152" i="65" s="1"/>
  <c r="Q153" i="65" s="1"/>
  <c r="Q154" i="65" s="1"/>
  <c r="Q155" i="65" s="1"/>
  <c r="Q156" i="65" s="1"/>
  <c r="Q157" i="65" s="1"/>
  <c r="Q158" i="65" s="1"/>
  <c r="Q159" i="65" s="1"/>
  <c r="Q160" i="65" s="1"/>
  <c r="Q161" i="65" s="1"/>
  <c r="Q162" i="65" s="1"/>
  <c r="Q163" i="65" s="1"/>
  <c r="Q164" i="65" s="1"/>
  <c r="Q165" i="65" s="1"/>
  <c r="Q166" i="65" s="1"/>
  <c r="Q167" i="65" s="1"/>
  <c r="Q168" i="65" s="1"/>
  <c r="Q169" i="65" s="1"/>
  <c r="Q170" i="65" s="1"/>
  <c r="Q171" i="65" s="1"/>
  <c r="Q172" i="65" s="1"/>
  <c r="Q173" i="65" s="1"/>
  <c r="Q174" i="65" s="1"/>
  <c r="Q175" i="65" s="1"/>
  <c r="Q176" i="65" s="1"/>
  <c r="Q177" i="65" s="1"/>
  <c r="Q178" i="65" s="1"/>
  <c r="Q179" i="65" s="1"/>
  <c r="Q180" i="65" s="1"/>
  <c r="Q181" i="65" s="1"/>
  <c r="Q182" i="65" s="1"/>
  <c r="Q183" i="65" s="1"/>
  <c r="Q184" i="65" s="1"/>
  <c r="Q185" i="65" s="1"/>
  <c r="Q186" i="65" s="1"/>
  <c r="Q187" i="65" s="1"/>
  <c r="Q188" i="65" s="1"/>
  <c r="Q189" i="65" s="1"/>
  <c r="Q190" i="65" s="1"/>
  <c r="Q191" i="65" s="1"/>
  <c r="Q192" i="65" s="1"/>
  <c r="Q193" i="65" s="1"/>
  <c r="Q194" i="65" s="1"/>
  <c r="Q195" i="65" s="1"/>
  <c r="Q196" i="65" s="1"/>
  <c r="Q197" i="65" s="1"/>
  <c r="Q198" i="65" s="1"/>
  <c r="Q199" i="65" s="1"/>
  <c r="Q200" i="65" s="1"/>
  <c r="Q201" i="65" s="1"/>
  <c r="Q202" i="65" s="1"/>
  <c r="G259" i="95" l="1"/>
  <c r="H259" i="95"/>
  <c r="Q250" i="95"/>
  <c r="S250" i="95" s="1"/>
  <c r="S249" i="95"/>
  <c r="D88" i="42"/>
  <c r="D261" i="95"/>
  <c r="E260" i="95"/>
  <c r="F260" i="95" s="1"/>
  <c r="K260" i="95"/>
  <c r="R249" i="95"/>
  <c r="T248" i="95"/>
  <c r="U248" i="95" s="1"/>
  <c r="E74" i="48"/>
  <c r="F74" i="48" s="1"/>
  <c r="D75" i="48"/>
  <c r="K74" i="48"/>
  <c r="C74" i="48" s="1"/>
  <c r="G73" i="48"/>
  <c r="H73" i="48"/>
  <c r="H43" i="74"/>
  <c r="G43" i="74"/>
  <c r="H44" i="76"/>
  <c r="G44" i="76"/>
  <c r="S579" i="61"/>
  <c r="R579" i="61"/>
  <c r="P580" i="61"/>
  <c r="Q580" i="61" s="1"/>
  <c r="E580" i="61"/>
  <c r="F580" i="61" s="1"/>
  <c r="H579" i="61"/>
  <c r="G579" i="61"/>
  <c r="T578" i="61"/>
  <c r="U578" i="61" s="1"/>
  <c r="G39" i="73"/>
  <c r="H39" i="73"/>
  <c r="K41" i="76"/>
  <c r="D42" i="76"/>
  <c r="F40" i="73"/>
  <c r="D332" i="78"/>
  <c r="E331" i="78"/>
  <c r="D190" i="78"/>
  <c r="E189" i="78"/>
  <c r="D45" i="78"/>
  <c r="E44" i="78"/>
  <c r="D236" i="77"/>
  <c r="E235" i="77"/>
  <c r="D141" i="77"/>
  <c r="E140" i="77"/>
  <c r="E44" i="77"/>
  <c r="D45" i="77"/>
  <c r="F45" i="76"/>
  <c r="K44" i="74"/>
  <c r="D45" i="74"/>
  <c r="F44" i="74"/>
  <c r="E42" i="71"/>
  <c r="H42" i="71"/>
  <c r="D43" i="71"/>
  <c r="G45" i="71"/>
  <c r="F44" i="66"/>
  <c r="G44" i="66" s="1"/>
  <c r="H44" i="66" s="1"/>
  <c r="D262" i="95" l="1"/>
  <c r="K261" i="95"/>
  <c r="E261" i="95"/>
  <c r="F261" i="95" s="1"/>
  <c r="D89" i="42"/>
  <c r="R250" i="95"/>
  <c r="T249" i="95"/>
  <c r="U249" i="95" s="1"/>
  <c r="H260" i="95"/>
  <c r="G260" i="95"/>
  <c r="K75" i="48"/>
  <c r="C75" i="48" s="1"/>
  <c r="E75" i="48"/>
  <c r="F75" i="48" s="1"/>
  <c r="D76" i="48"/>
  <c r="H74" i="48"/>
  <c r="G74" i="48"/>
  <c r="G45" i="76"/>
  <c r="H45" i="76"/>
  <c r="G44" i="74"/>
  <c r="H44" i="74"/>
  <c r="G580" i="61"/>
  <c r="H580" i="61"/>
  <c r="S580" i="61"/>
  <c r="R580" i="61"/>
  <c r="T579" i="61"/>
  <c r="U579" i="61" s="1"/>
  <c r="G40" i="73"/>
  <c r="H40" i="73"/>
  <c r="K42" i="76"/>
  <c r="D43" i="76"/>
  <c r="D333" i="78"/>
  <c r="E332" i="78"/>
  <c r="E190" i="78"/>
  <c r="D191" i="78"/>
  <c r="E45" i="78"/>
  <c r="D46" i="78"/>
  <c r="D237" i="77"/>
  <c r="E236" i="77"/>
  <c r="D142" i="77"/>
  <c r="E141" i="77"/>
  <c r="D46" i="77"/>
  <c r="E45" i="77"/>
  <c r="F46" i="76"/>
  <c r="K45" i="74"/>
  <c r="D46" i="74"/>
  <c r="F45" i="74"/>
  <c r="E43" i="71"/>
  <c r="H43" i="71"/>
  <c r="D44" i="71"/>
  <c r="G46" i="71"/>
  <c r="F45" i="66"/>
  <c r="G45" i="66" s="1"/>
  <c r="H45" i="66" s="1"/>
  <c r="Q251" i="95" l="1"/>
  <c r="T250" i="95"/>
  <c r="U250" i="95" s="1"/>
  <c r="C76" i="48"/>
  <c r="D90" i="42"/>
  <c r="G261" i="95"/>
  <c r="H261" i="95"/>
  <c r="D263" i="95"/>
  <c r="K262" i="95"/>
  <c r="E262" i="95"/>
  <c r="F262" i="95" s="1"/>
  <c r="K76" i="48"/>
  <c r="E76" i="48"/>
  <c r="F76" i="48" s="1"/>
  <c r="D77" i="48"/>
  <c r="H75" i="48"/>
  <c r="G75" i="48"/>
  <c r="H46" i="76"/>
  <c r="G46" i="76"/>
  <c r="H45" i="74"/>
  <c r="G45" i="74"/>
  <c r="T580" i="61"/>
  <c r="U580" i="61" s="1"/>
  <c r="D44" i="76"/>
  <c r="K43" i="76"/>
  <c r="D334" i="78"/>
  <c r="E333" i="78"/>
  <c r="E191" i="78"/>
  <c r="D192" i="78"/>
  <c r="E46" i="78"/>
  <c r="D47" i="78"/>
  <c r="D238" i="77"/>
  <c r="E237" i="77"/>
  <c r="D143" i="77"/>
  <c r="E142" i="77"/>
  <c r="D47" i="77"/>
  <c r="E46" i="77"/>
  <c r="F47" i="76"/>
  <c r="F46" i="74"/>
  <c r="K46" i="74"/>
  <c r="D47" i="74"/>
  <c r="E44" i="71"/>
  <c r="D45" i="71"/>
  <c r="H44" i="71"/>
  <c r="G47" i="71"/>
  <c r="F46" i="66"/>
  <c r="G46" i="66" s="1"/>
  <c r="H46" i="66" s="1"/>
  <c r="C77" i="48" l="1"/>
  <c r="S251" i="95"/>
  <c r="Q252" i="95"/>
  <c r="R251" i="95"/>
  <c r="D264" i="95"/>
  <c r="K263" i="95"/>
  <c r="E263" i="95"/>
  <c r="F263" i="95" s="1"/>
  <c r="G262" i="95"/>
  <c r="H262" i="95"/>
  <c r="D91" i="42"/>
  <c r="K77" i="48"/>
  <c r="D78" i="48"/>
  <c r="E77" i="48"/>
  <c r="F77" i="48" s="1"/>
  <c r="G76" i="48"/>
  <c r="H76" i="48"/>
  <c r="G46" i="74"/>
  <c r="H46" i="74"/>
  <c r="G47" i="76"/>
  <c r="H47" i="76"/>
  <c r="D45" i="76"/>
  <c r="K44" i="76"/>
  <c r="D335" i="78"/>
  <c r="E334" i="78"/>
  <c r="D193" i="78"/>
  <c r="E192" i="78"/>
  <c r="D48" i="78"/>
  <c r="E47" i="78"/>
  <c r="E238" i="77"/>
  <c r="D239" i="77"/>
  <c r="E143" i="77"/>
  <c r="D144" i="77"/>
  <c r="E47" i="77"/>
  <c r="D48" i="77"/>
  <c r="F48" i="76"/>
  <c r="K47" i="74"/>
  <c r="D48" i="74"/>
  <c r="F47" i="74"/>
  <c r="E45" i="71"/>
  <c r="D46" i="71"/>
  <c r="H45" i="71"/>
  <c r="G48" i="71"/>
  <c r="F47" i="66"/>
  <c r="G47" i="66" s="1"/>
  <c r="H47" i="66" s="1"/>
  <c r="C78" i="48" l="1"/>
  <c r="G263" i="95"/>
  <c r="H263" i="95"/>
  <c r="D265" i="95"/>
  <c r="E264" i="95"/>
  <c r="F264" i="95" s="1"/>
  <c r="K264" i="95"/>
  <c r="R252" i="95"/>
  <c r="T251" i="95"/>
  <c r="U251" i="95" s="1"/>
  <c r="D92" i="42"/>
  <c r="Q253" i="95"/>
  <c r="S252" i="95"/>
  <c r="G77" i="48"/>
  <c r="H77" i="48"/>
  <c r="D79" i="48"/>
  <c r="K78" i="48"/>
  <c r="E78" i="48"/>
  <c r="F78" i="48" s="1"/>
  <c r="H48" i="76"/>
  <c r="G48" i="76"/>
  <c r="H47" i="74"/>
  <c r="G47" i="74"/>
  <c r="D46" i="76"/>
  <c r="K45" i="76"/>
  <c r="E335" i="78"/>
  <c r="D336" i="78"/>
  <c r="E193" i="78"/>
  <c r="D194" i="78"/>
  <c r="D49" i="78"/>
  <c r="E48" i="78"/>
  <c r="D240" i="77"/>
  <c r="E239" i="77"/>
  <c r="D145" i="77"/>
  <c r="E144" i="77"/>
  <c r="E48" i="77"/>
  <c r="D49" i="77"/>
  <c r="F49" i="76"/>
  <c r="F48" i="74"/>
  <c r="K48" i="74"/>
  <c r="D49" i="74"/>
  <c r="E46" i="71"/>
  <c r="H46" i="71"/>
  <c r="D47" i="71"/>
  <c r="G49" i="71"/>
  <c r="F48" i="66"/>
  <c r="G48" i="66" s="1"/>
  <c r="H48" i="66" s="1"/>
  <c r="O36" i="49"/>
  <c r="O37" i="49"/>
  <c r="O35" i="49"/>
  <c r="O24" i="49"/>
  <c r="O25" i="49"/>
  <c r="O23" i="49"/>
  <c r="O12" i="49"/>
  <c r="O13" i="49"/>
  <c r="O11" i="49"/>
  <c r="L18" i="62"/>
  <c r="N18" i="62" s="1"/>
  <c r="L19" i="62"/>
  <c r="N19" i="62" s="1"/>
  <c r="L17" i="62"/>
  <c r="N17" i="62" s="1"/>
  <c r="L15" i="62"/>
  <c r="N15" i="62" s="1"/>
  <c r="L16" i="62"/>
  <c r="N16" i="62" s="1"/>
  <c r="L14" i="62"/>
  <c r="N14" i="62" s="1"/>
  <c r="L12" i="62"/>
  <c r="N12" i="62" s="1"/>
  <c r="L13" i="62"/>
  <c r="N13" i="62" s="1"/>
  <c r="L11" i="62"/>
  <c r="N11" i="62" s="1"/>
  <c r="R253" i="95" l="1"/>
  <c r="T252" i="95"/>
  <c r="U252" i="95" s="1"/>
  <c r="G264" i="95"/>
  <c r="H264" i="95"/>
  <c r="Q254" i="95"/>
  <c r="S253" i="95"/>
  <c r="D266" i="95"/>
  <c r="E265" i="95"/>
  <c r="F265" i="95" s="1"/>
  <c r="K265" i="95"/>
  <c r="D93" i="42"/>
  <c r="H78" i="48"/>
  <c r="G78" i="48"/>
  <c r="D80" i="48"/>
  <c r="E79" i="48"/>
  <c r="F79" i="48" s="1"/>
  <c r="K79" i="48"/>
  <c r="C79" i="48" s="1"/>
  <c r="G48" i="74"/>
  <c r="H48" i="74"/>
  <c r="G49" i="76"/>
  <c r="H49" i="76"/>
  <c r="D47" i="76"/>
  <c r="K46" i="76"/>
  <c r="D337" i="78"/>
  <c r="E336" i="78"/>
  <c r="E194" i="78"/>
  <c r="D195" i="78"/>
  <c r="E49" i="78"/>
  <c r="D50" i="78"/>
  <c r="D241" i="77"/>
  <c r="E240" i="77"/>
  <c r="D146" i="77"/>
  <c r="E145" i="77"/>
  <c r="D50" i="77"/>
  <c r="E49" i="77"/>
  <c r="F50" i="76"/>
  <c r="K49" i="74"/>
  <c r="D50" i="74"/>
  <c r="F49" i="74"/>
  <c r="E47" i="71"/>
  <c r="D48" i="71"/>
  <c r="H47" i="71"/>
  <c r="G50" i="71"/>
  <c r="F49" i="66"/>
  <c r="G49" i="66" s="1"/>
  <c r="H49" i="66" s="1"/>
  <c r="B10" i="64"/>
  <c r="D267" i="95" l="1"/>
  <c r="K266" i="95"/>
  <c r="E266" i="95"/>
  <c r="F266" i="95" s="1"/>
  <c r="G265" i="95"/>
  <c r="H265" i="95"/>
  <c r="D94" i="42"/>
  <c r="Q255" i="95"/>
  <c r="S254" i="95"/>
  <c r="R254" i="95"/>
  <c r="T253" i="95"/>
  <c r="U253" i="95" s="1"/>
  <c r="G79" i="48"/>
  <c r="H79" i="48"/>
  <c r="D81" i="48"/>
  <c r="E80" i="48"/>
  <c r="F80" i="48" s="1"/>
  <c r="K80" i="48"/>
  <c r="C80" i="48" s="1"/>
  <c r="H49" i="74"/>
  <c r="G49" i="74"/>
  <c r="H50" i="76"/>
  <c r="G50" i="76"/>
  <c r="K47" i="76"/>
  <c r="D48" i="76"/>
  <c r="D338" i="78"/>
  <c r="E337" i="78"/>
  <c r="D196" i="78"/>
  <c r="E195" i="78"/>
  <c r="E50" i="78"/>
  <c r="D51" i="78"/>
  <c r="D242" i="77"/>
  <c r="E241" i="77"/>
  <c r="E146" i="77"/>
  <c r="D147" i="77"/>
  <c r="D51" i="77"/>
  <c r="E50" i="77"/>
  <c r="F51" i="76"/>
  <c r="F50" i="74"/>
  <c r="K50" i="74"/>
  <c r="D51" i="74"/>
  <c r="E48" i="71"/>
  <c r="D49" i="71"/>
  <c r="H48" i="71"/>
  <c r="G51" i="71"/>
  <c r="F50" i="66"/>
  <c r="G50" i="66" s="1"/>
  <c r="H50" i="66" s="1"/>
  <c r="D95" i="42" l="1"/>
  <c r="Q256" i="95"/>
  <c r="S255" i="95"/>
  <c r="D268" i="95"/>
  <c r="E267" i="95"/>
  <c r="F267" i="95" s="1"/>
  <c r="K267" i="95"/>
  <c r="R255" i="95"/>
  <c r="T254" i="95"/>
  <c r="U254" i="95" s="1"/>
  <c r="H266" i="95"/>
  <c r="G266" i="95"/>
  <c r="K81" i="48"/>
  <c r="C81" i="48" s="1"/>
  <c r="E81" i="48"/>
  <c r="F81" i="48" s="1"/>
  <c r="D82" i="48"/>
  <c r="G80" i="48"/>
  <c r="H80" i="48"/>
  <c r="G50" i="74"/>
  <c r="H50" i="74"/>
  <c r="G51" i="76"/>
  <c r="H51" i="76"/>
  <c r="K48" i="76"/>
  <c r="D49" i="76"/>
  <c r="D339" i="78"/>
  <c r="E338" i="78"/>
  <c r="D197" i="78"/>
  <c r="E196" i="78"/>
  <c r="D52" i="78"/>
  <c r="E51" i="78"/>
  <c r="E242" i="77"/>
  <c r="D243" i="77"/>
  <c r="D148" i="77"/>
  <c r="E147" i="77"/>
  <c r="E51" i="77"/>
  <c r="D52" i="77"/>
  <c r="F52" i="76"/>
  <c r="K51" i="74"/>
  <c r="D52" i="74"/>
  <c r="F51" i="74"/>
  <c r="E49" i="71"/>
  <c r="D50" i="71"/>
  <c r="H49" i="71"/>
  <c r="G52" i="71"/>
  <c r="F51" i="66"/>
  <c r="G51" i="66" s="1"/>
  <c r="H51" i="66" s="1"/>
  <c r="D96" i="42" l="1"/>
  <c r="G267" i="95"/>
  <c r="H267" i="95"/>
  <c r="R256" i="95"/>
  <c r="T255" i="95"/>
  <c r="U255" i="95" s="1"/>
  <c r="D269" i="95"/>
  <c r="K268" i="95"/>
  <c r="E268" i="95"/>
  <c r="F268" i="95" s="1"/>
  <c r="C82" i="48"/>
  <c r="Q257" i="95"/>
  <c r="S256" i="95"/>
  <c r="D83" i="48"/>
  <c r="K82" i="48"/>
  <c r="E82" i="48"/>
  <c r="F82" i="48" s="1"/>
  <c r="H81" i="48"/>
  <c r="G81" i="48"/>
  <c r="H52" i="76"/>
  <c r="G52" i="76"/>
  <c r="H51" i="74"/>
  <c r="G51" i="74"/>
  <c r="K49" i="76"/>
  <c r="D50" i="76"/>
  <c r="D340" i="78"/>
  <c r="E339" i="78"/>
  <c r="D198" i="78"/>
  <c r="E197" i="78"/>
  <c r="D53" i="78"/>
  <c r="E52" i="78"/>
  <c r="D244" i="77"/>
  <c r="E243" i="77"/>
  <c r="E148" i="77"/>
  <c r="D149" i="77"/>
  <c r="E52" i="77"/>
  <c r="D53" i="77"/>
  <c r="F53" i="76"/>
  <c r="F52" i="74"/>
  <c r="K52" i="74"/>
  <c r="D53" i="74"/>
  <c r="E50" i="71"/>
  <c r="D51" i="71"/>
  <c r="H50" i="71"/>
  <c r="G53" i="71"/>
  <c r="F52" i="66"/>
  <c r="G52" i="66" s="1"/>
  <c r="H52" i="66" s="1"/>
  <c r="R257" i="95" l="1"/>
  <c r="T256" i="95"/>
  <c r="U256" i="95" s="1"/>
  <c r="D270" i="95"/>
  <c r="K269" i="95"/>
  <c r="E269" i="95"/>
  <c r="F269" i="95" s="1"/>
  <c r="Q258" i="95"/>
  <c r="S257" i="95"/>
  <c r="G268" i="95"/>
  <c r="H268" i="95"/>
  <c r="D97" i="42"/>
  <c r="C83" i="48"/>
  <c r="H82" i="48"/>
  <c r="G82" i="48"/>
  <c r="K83" i="48"/>
  <c r="D84" i="48"/>
  <c r="E83" i="48"/>
  <c r="F83" i="48" s="1"/>
  <c r="G52" i="74"/>
  <c r="H52" i="74"/>
  <c r="G53" i="76"/>
  <c r="H53" i="76"/>
  <c r="K50" i="76"/>
  <c r="D51" i="76"/>
  <c r="E340" i="78"/>
  <c r="D341" i="78"/>
  <c r="D199" i="78"/>
  <c r="E198" i="78"/>
  <c r="E53" i="78"/>
  <c r="D54" i="78"/>
  <c r="D245" i="77"/>
  <c r="E244" i="77"/>
  <c r="D150" i="77"/>
  <c r="E149" i="77"/>
  <c r="D54" i="77"/>
  <c r="E53" i="77"/>
  <c r="F54" i="76"/>
  <c r="K53" i="74"/>
  <c r="D54" i="74"/>
  <c r="F53" i="74"/>
  <c r="E51" i="71"/>
  <c r="D52" i="71"/>
  <c r="H51" i="71"/>
  <c r="G54" i="71"/>
  <c r="F53" i="66"/>
  <c r="G53" i="66" s="1"/>
  <c r="H53" i="66" s="1"/>
  <c r="G269" i="95" l="1"/>
  <c r="H269" i="95"/>
  <c r="C84" i="48"/>
  <c r="D98" i="42"/>
  <c r="D271" i="95"/>
  <c r="E270" i="95"/>
  <c r="F270" i="95" s="1"/>
  <c r="K270" i="95"/>
  <c r="R258" i="95"/>
  <c r="T257" i="95"/>
  <c r="U257" i="95" s="1"/>
  <c r="Q259" i="95"/>
  <c r="S258" i="95"/>
  <c r="G83" i="48"/>
  <c r="H83" i="48"/>
  <c r="K84" i="48"/>
  <c r="D85" i="48"/>
  <c r="E84" i="48"/>
  <c r="F84" i="48" s="1"/>
  <c r="H54" i="76"/>
  <c r="G54" i="76"/>
  <c r="H53" i="74"/>
  <c r="G53" i="74"/>
  <c r="D52" i="76"/>
  <c r="K51" i="76"/>
  <c r="E341" i="78"/>
  <c r="D342" i="78"/>
  <c r="D200" i="78"/>
  <c r="E199" i="78"/>
  <c r="E54" i="78"/>
  <c r="D55" i="78"/>
  <c r="D246" i="77"/>
  <c r="E245" i="77"/>
  <c r="E150" i="77"/>
  <c r="D151" i="77"/>
  <c r="D55" i="77"/>
  <c r="E54" i="77"/>
  <c r="F55" i="76"/>
  <c r="F54" i="74"/>
  <c r="K54" i="74"/>
  <c r="D55" i="74"/>
  <c r="E52" i="71"/>
  <c r="D53" i="71"/>
  <c r="H52" i="71"/>
  <c r="G55" i="71"/>
  <c r="F54" i="66"/>
  <c r="G54" i="66" s="1"/>
  <c r="H54" i="66" s="1"/>
  <c r="D272" i="95" l="1"/>
  <c r="K271" i="95"/>
  <c r="E271" i="95"/>
  <c r="F271" i="95" s="1"/>
  <c r="Q260" i="95"/>
  <c r="S259" i="95"/>
  <c r="D99" i="42"/>
  <c r="R259" i="95"/>
  <c r="T258" i="95"/>
  <c r="U258" i="95" s="1"/>
  <c r="C85" i="48"/>
  <c r="G270" i="95"/>
  <c r="H270" i="95"/>
  <c r="H84" i="48"/>
  <c r="G84" i="48"/>
  <c r="K85" i="48"/>
  <c r="D86" i="48"/>
  <c r="E85" i="48"/>
  <c r="F85" i="48" s="1"/>
  <c r="G54" i="74"/>
  <c r="H54" i="74"/>
  <c r="G55" i="76"/>
  <c r="H55" i="76"/>
  <c r="K52" i="76"/>
  <c r="D53" i="76"/>
  <c r="D343" i="78"/>
  <c r="E342" i="78"/>
  <c r="E200" i="78"/>
  <c r="D201" i="78"/>
  <c r="D56" i="78"/>
  <c r="E55" i="78"/>
  <c r="D247" i="77"/>
  <c r="E246" i="77"/>
  <c r="E151" i="77"/>
  <c r="D152" i="77"/>
  <c r="E55" i="77"/>
  <c r="D56" i="77"/>
  <c r="F56" i="76"/>
  <c r="D56" i="74"/>
  <c r="K55" i="74"/>
  <c r="F55" i="74"/>
  <c r="E53" i="71"/>
  <c r="H53" i="71"/>
  <c r="D54" i="71"/>
  <c r="G56" i="71"/>
  <c r="F55" i="66"/>
  <c r="G55" i="66" s="1"/>
  <c r="H55" i="66" s="1"/>
  <c r="D100" i="42" l="1"/>
  <c r="Q261" i="95"/>
  <c r="S260" i="95"/>
  <c r="H271" i="95"/>
  <c r="G271" i="95"/>
  <c r="R260" i="95"/>
  <c r="T259" i="95"/>
  <c r="U259" i="95" s="1"/>
  <c r="D273" i="95"/>
  <c r="E272" i="95"/>
  <c r="F272" i="95" s="1"/>
  <c r="K272" i="95"/>
  <c r="K86" i="48"/>
  <c r="C86" i="48" s="1"/>
  <c r="E86" i="48"/>
  <c r="F86" i="48" s="1"/>
  <c r="D87" i="48"/>
  <c r="H85" i="48"/>
  <c r="G85" i="48"/>
  <c r="H55" i="74"/>
  <c r="G55" i="74"/>
  <c r="H56" i="76"/>
  <c r="G56" i="76"/>
  <c r="D54" i="76"/>
  <c r="K53" i="76"/>
  <c r="D344" i="78"/>
  <c r="E343" i="78"/>
  <c r="E201" i="78"/>
  <c r="D202" i="78"/>
  <c r="D57" i="78"/>
  <c r="E56" i="78"/>
  <c r="D248" i="77"/>
  <c r="E247" i="77"/>
  <c r="E152" i="77"/>
  <c r="D153" i="77"/>
  <c r="E56" i="77"/>
  <c r="D57" i="77"/>
  <c r="F57" i="76"/>
  <c r="F56" i="74"/>
  <c r="D57" i="74"/>
  <c r="K56" i="74"/>
  <c r="E54" i="71"/>
  <c r="H54" i="71"/>
  <c r="D55" i="71"/>
  <c r="G57" i="71"/>
  <c r="F56" i="66"/>
  <c r="G56" i="66" s="1"/>
  <c r="H56" i="66" s="1"/>
  <c r="G272" i="95" l="1"/>
  <c r="H272" i="95"/>
  <c r="D274" i="95"/>
  <c r="E273" i="95"/>
  <c r="F273" i="95" s="1"/>
  <c r="K273" i="95"/>
  <c r="Q262" i="95"/>
  <c r="S261" i="95"/>
  <c r="R261" i="95"/>
  <c r="T260" i="95"/>
  <c r="U260" i="95" s="1"/>
  <c r="D101" i="42"/>
  <c r="E87" i="48"/>
  <c r="F87" i="48" s="1"/>
  <c r="D88" i="48"/>
  <c r="K87" i="48"/>
  <c r="C87" i="48" s="1"/>
  <c r="H86" i="48"/>
  <c r="G86" i="48"/>
  <c r="G57" i="76"/>
  <c r="H57" i="76"/>
  <c r="G56" i="74"/>
  <c r="H56" i="74"/>
  <c r="K54" i="76"/>
  <c r="D55" i="76"/>
  <c r="D345" i="78"/>
  <c r="E344" i="78"/>
  <c r="D203" i="78"/>
  <c r="E202" i="78"/>
  <c r="E57" i="78"/>
  <c r="D58" i="78"/>
  <c r="D249" i="77"/>
  <c r="E248" i="77"/>
  <c r="D154" i="77"/>
  <c r="E153" i="77"/>
  <c r="D58" i="77"/>
  <c r="E57" i="77"/>
  <c r="F58" i="76"/>
  <c r="F57" i="74"/>
  <c r="D58" i="74"/>
  <c r="K57" i="74"/>
  <c r="E55" i="71"/>
  <c r="D56" i="71"/>
  <c r="H55" i="71"/>
  <c r="G58" i="71"/>
  <c r="F57" i="66"/>
  <c r="G57" i="66" s="1"/>
  <c r="H57" i="66" s="1"/>
  <c r="Q263" i="95" l="1"/>
  <c r="S262" i="95"/>
  <c r="K101" i="42"/>
  <c r="C101" i="42" s="1"/>
  <c r="D102" i="42"/>
  <c r="E101" i="42"/>
  <c r="F101" i="42" s="1"/>
  <c r="G273" i="95"/>
  <c r="H273" i="95"/>
  <c r="R262" i="95"/>
  <c r="T262" i="95" s="1"/>
  <c r="T261" i="95"/>
  <c r="U261" i="95" s="1"/>
  <c r="D275" i="95"/>
  <c r="E274" i="95"/>
  <c r="F274" i="95" s="1"/>
  <c r="K274" i="95"/>
  <c r="E88" i="48"/>
  <c r="F88" i="48" s="1"/>
  <c r="D89" i="48"/>
  <c r="K88" i="48"/>
  <c r="C88" i="48" s="1"/>
  <c r="H87" i="48"/>
  <c r="G87" i="48"/>
  <c r="H58" i="76"/>
  <c r="G58" i="76"/>
  <c r="H57" i="74"/>
  <c r="G57" i="74"/>
  <c r="D56" i="76"/>
  <c r="K55" i="76"/>
  <c r="E345" i="78"/>
  <c r="D346" i="78"/>
  <c r="D204" i="78"/>
  <c r="E203" i="78"/>
  <c r="E155" i="78"/>
  <c r="E58" i="78"/>
  <c r="D59" i="78"/>
  <c r="D250" i="77"/>
  <c r="E249" i="77"/>
  <c r="E154" i="77"/>
  <c r="D155" i="77"/>
  <c r="D59" i="77"/>
  <c r="E58" i="77"/>
  <c r="F59" i="76"/>
  <c r="D59" i="74"/>
  <c r="K58" i="74"/>
  <c r="F58" i="74"/>
  <c r="E56" i="71"/>
  <c r="D57" i="71"/>
  <c r="H56" i="71"/>
  <c r="F58" i="66"/>
  <c r="G58" i="66" s="1"/>
  <c r="H58" i="66" s="1"/>
  <c r="G274" i="95" l="1"/>
  <c r="H274" i="95"/>
  <c r="H101" i="42"/>
  <c r="G101" i="42"/>
  <c r="K102" i="42"/>
  <c r="C102" i="42" s="1"/>
  <c r="D103" i="42"/>
  <c r="E102" i="42"/>
  <c r="F102" i="42" s="1"/>
  <c r="D276" i="95"/>
  <c r="E275" i="95"/>
  <c r="F275" i="95" s="1"/>
  <c r="K275" i="95"/>
  <c r="R275" i="95"/>
  <c r="U262" i="95"/>
  <c r="S263" i="95"/>
  <c r="Q264" i="95"/>
  <c r="R263" i="95"/>
  <c r="H88" i="48"/>
  <c r="G88" i="48"/>
  <c r="D90" i="48"/>
  <c r="E89" i="48"/>
  <c r="F89" i="48" s="1"/>
  <c r="K89" i="48"/>
  <c r="C89" i="48" s="1"/>
  <c r="G58" i="74"/>
  <c r="H58" i="74"/>
  <c r="G59" i="76"/>
  <c r="H59" i="76"/>
  <c r="K56" i="76"/>
  <c r="D57" i="76"/>
  <c r="E346" i="78"/>
  <c r="D347" i="78"/>
  <c r="D205" i="78"/>
  <c r="E204" i="78"/>
  <c r="D60" i="78"/>
  <c r="E59" i="78"/>
  <c r="D251" i="77"/>
  <c r="E250" i="77"/>
  <c r="D156" i="77"/>
  <c r="E155" i="77"/>
  <c r="E59" i="77"/>
  <c r="D60" i="77"/>
  <c r="F60" i="76"/>
  <c r="F59" i="74"/>
  <c r="D60" i="74"/>
  <c r="K59" i="74"/>
  <c r="E57" i="71"/>
  <c r="H57" i="71"/>
  <c r="D58" i="71"/>
  <c r="F59" i="66"/>
  <c r="G59" i="66" s="1"/>
  <c r="D104" i="42" l="1"/>
  <c r="E103" i="42"/>
  <c r="F103" i="42" s="1"/>
  <c r="K103" i="42"/>
  <c r="C103" i="42" s="1"/>
  <c r="G102" i="42"/>
  <c r="H102" i="42"/>
  <c r="T275" i="95"/>
  <c r="R276" i="95"/>
  <c r="G275" i="95"/>
  <c r="H275" i="95"/>
  <c r="R264" i="95"/>
  <c r="T263" i="95"/>
  <c r="U263" i="95" s="1"/>
  <c r="Q265" i="95"/>
  <c r="S264" i="95"/>
  <c r="D277" i="95"/>
  <c r="K276" i="95"/>
  <c r="E276" i="95"/>
  <c r="F276" i="95" s="1"/>
  <c r="E90" i="48"/>
  <c r="F90" i="48" s="1"/>
  <c r="K90" i="48"/>
  <c r="C90" i="48" s="1"/>
  <c r="D91" i="48"/>
  <c r="H89" i="48"/>
  <c r="G89" i="48"/>
  <c r="H60" i="76"/>
  <c r="G60" i="76"/>
  <c r="H59" i="74"/>
  <c r="G59" i="74"/>
  <c r="D58" i="76"/>
  <c r="K57" i="76"/>
  <c r="E347" i="78"/>
  <c r="D348" i="78"/>
  <c r="D206" i="78"/>
  <c r="E205" i="78"/>
  <c r="E60" i="78"/>
  <c r="D61" i="78"/>
  <c r="E251" i="77"/>
  <c r="D252" i="77"/>
  <c r="E156" i="77"/>
  <c r="D157" i="77"/>
  <c r="E60" i="77"/>
  <c r="D61" i="77"/>
  <c r="F61" i="76"/>
  <c r="F60" i="74"/>
  <c r="D61" i="74"/>
  <c r="K60" i="74"/>
  <c r="E58" i="71"/>
  <c r="H58" i="71"/>
  <c r="F60" i="66"/>
  <c r="G60" i="66" s="1"/>
  <c r="Q266" i="95" l="1"/>
  <c r="S265" i="95"/>
  <c r="H276" i="95"/>
  <c r="G276" i="95"/>
  <c r="R265" i="95"/>
  <c r="T264" i="95"/>
  <c r="U264" i="95" s="1"/>
  <c r="G103" i="42"/>
  <c r="H103" i="42"/>
  <c r="E104" i="42"/>
  <c r="F104" i="42" s="1"/>
  <c r="K104" i="42"/>
  <c r="C104" i="42" s="1"/>
  <c r="D105" i="42"/>
  <c r="D278" i="95"/>
  <c r="K277" i="95"/>
  <c r="E277" i="95"/>
  <c r="F277" i="95" s="1"/>
  <c r="R277" i="95"/>
  <c r="T276" i="95"/>
  <c r="D92" i="48"/>
  <c r="E91" i="48"/>
  <c r="F91" i="48" s="1"/>
  <c r="K91" i="48"/>
  <c r="C91" i="48" s="1"/>
  <c r="G90" i="48"/>
  <c r="H90" i="48"/>
  <c r="G61" i="76"/>
  <c r="H61" i="76"/>
  <c r="G60" i="74"/>
  <c r="H60" i="74"/>
  <c r="K58" i="76"/>
  <c r="D59" i="76"/>
  <c r="D349" i="78"/>
  <c r="E348" i="78"/>
  <c r="D207" i="78"/>
  <c r="E206" i="78"/>
  <c r="D62" i="78"/>
  <c r="E61" i="78"/>
  <c r="E252" i="77"/>
  <c r="D253" i="77"/>
  <c r="D158" i="77"/>
  <c r="E157" i="77"/>
  <c r="D62" i="77"/>
  <c r="E61" i="77"/>
  <c r="F62" i="76"/>
  <c r="F61" i="74"/>
  <c r="D62" i="74"/>
  <c r="K61" i="74"/>
  <c r="F61" i="66"/>
  <c r="G61" i="66" s="1"/>
  <c r="K105" i="42" l="1"/>
  <c r="C105" i="42" s="1"/>
  <c r="D106" i="42"/>
  <c r="E105" i="42"/>
  <c r="F105" i="42" s="1"/>
  <c r="G104" i="42"/>
  <c r="H104" i="42"/>
  <c r="R278" i="95"/>
  <c r="T277" i="95"/>
  <c r="H277" i="95"/>
  <c r="G277" i="95"/>
  <c r="Q267" i="95"/>
  <c r="S266" i="95"/>
  <c r="D279" i="95"/>
  <c r="E278" i="95"/>
  <c r="F278" i="95" s="1"/>
  <c r="K278" i="95"/>
  <c r="R266" i="95"/>
  <c r="T265" i="95"/>
  <c r="U265" i="95" s="1"/>
  <c r="G91" i="48"/>
  <c r="H91" i="48"/>
  <c r="K92" i="48"/>
  <c r="C92" i="48" s="1"/>
  <c r="E92" i="48"/>
  <c r="F92" i="48" s="1"/>
  <c r="D93" i="48"/>
  <c r="H62" i="76"/>
  <c r="G62" i="76"/>
  <c r="H61" i="74"/>
  <c r="G61" i="74"/>
  <c r="K59" i="76"/>
  <c r="D60" i="76"/>
  <c r="D350" i="78"/>
  <c r="E349" i="78"/>
  <c r="D208" i="78"/>
  <c r="E207" i="78"/>
  <c r="E62" i="78"/>
  <c r="D63" i="78"/>
  <c r="E253" i="77"/>
  <c r="D254" i="77"/>
  <c r="E158" i="77"/>
  <c r="D159" i="77"/>
  <c r="D63" i="77"/>
  <c r="E62" i="77"/>
  <c r="F63" i="76"/>
  <c r="F62" i="74"/>
  <c r="D63" i="74"/>
  <c r="K62" i="74"/>
  <c r="F62" i="66"/>
  <c r="G62" i="66" s="1"/>
  <c r="R279" i="95" l="1"/>
  <c r="T278" i="95"/>
  <c r="D280" i="95"/>
  <c r="E279" i="95"/>
  <c r="F279" i="95" s="1"/>
  <c r="K279" i="95"/>
  <c r="H105" i="42"/>
  <c r="G105" i="42"/>
  <c r="Q268" i="95"/>
  <c r="S267" i="95"/>
  <c r="D107" i="42"/>
  <c r="E106" i="42"/>
  <c r="F106" i="42" s="1"/>
  <c r="K106" i="42"/>
  <c r="C106" i="42" s="1"/>
  <c r="R267" i="95"/>
  <c r="T266" i="95"/>
  <c r="U266" i="95" s="1"/>
  <c r="G278" i="95"/>
  <c r="H278" i="95"/>
  <c r="D94" i="48"/>
  <c r="E93" i="48"/>
  <c r="F93" i="48" s="1"/>
  <c r="K93" i="48"/>
  <c r="C93" i="48" s="1"/>
  <c r="G92" i="48"/>
  <c r="H92" i="48"/>
  <c r="G63" i="76"/>
  <c r="H63" i="76"/>
  <c r="G62" i="74"/>
  <c r="H62" i="74"/>
  <c r="D61" i="76"/>
  <c r="K60" i="76"/>
  <c r="D351" i="78"/>
  <c r="E350" i="78"/>
  <c r="E208" i="78"/>
  <c r="D209" i="78"/>
  <c r="D64" i="78"/>
  <c r="E63" i="78"/>
  <c r="E254" i="77"/>
  <c r="D255" i="77"/>
  <c r="E159" i="77"/>
  <c r="D160" i="77"/>
  <c r="E63" i="77"/>
  <c r="D64" i="77"/>
  <c r="F64" i="76"/>
  <c r="D64" i="74"/>
  <c r="K63" i="74"/>
  <c r="F63" i="74"/>
  <c r="F63" i="66"/>
  <c r="G63" i="66" s="1"/>
  <c r="R268" i="95" l="1"/>
  <c r="T267" i="95"/>
  <c r="U267" i="95" s="1"/>
  <c r="H106" i="42"/>
  <c r="G106" i="42"/>
  <c r="D108" i="42"/>
  <c r="K107" i="42"/>
  <c r="C107" i="42" s="1"/>
  <c r="E107" i="42"/>
  <c r="F107" i="42" s="1"/>
  <c r="H279" i="95"/>
  <c r="G279" i="95"/>
  <c r="D281" i="95"/>
  <c r="E280" i="95"/>
  <c r="F280" i="95" s="1"/>
  <c r="K280" i="95"/>
  <c r="C94" i="48"/>
  <c r="Q269" i="95"/>
  <c r="S268" i="95"/>
  <c r="R280" i="95"/>
  <c r="T279" i="95"/>
  <c r="G93" i="48"/>
  <c r="H93" i="48"/>
  <c r="K94" i="48"/>
  <c r="E94" i="48"/>
  <c r="F94" i="48" s="1"/>
  <c r="D95" i="48"/>
  <c r="H64" i="76"/>
  <c r="G64" i="76"/>
  <c r="H63" i="74"/>
  <c r="G63" i="74"/>
  <c r="K61" i="76"/>
  <c r="D62" i="76"/>
  <c r="D352" i="78"/>
  <c r="E351" i="78"/>
  <c r="E209" i="78"/>
  <c r="D210" i="78"/>
  <c r="E64" i="78"/>
  <c r="D65" i="78"/>
  <c r="D256" i="77"/>
  <c r="E255" i="77"/>
  <c r="D161" i="77"/>
  <c r="E160" i="77"/>
  <c r="D65" i="77"/>
  <c r="E64" i="77"/>
  <c r="F65" i="76"/>
  <c r="F64" i="74"/>
  <c r="D65" i="74"/>
  <c r="K64" i="74"/>
  <c r="F64" i="66"/>
  <c r="G64" i="66" s="1"/>
  <c r="K108" i="42" l="1"/>
  <c r="C108" i="42" s="1"/>
  <c r="D109" i="42"/>
  <c r="E108" i="42"/>
  <c r="F108" i="42" s="1"/>
  <c r="G280" i="95"/>
  <c r="H280" i="95"/>
  <c r="Q270" i="95"/>
  <c r="S269" i="95"/>
  <c r="R281" i="95"/>
  <c r="T280" i="95"/>
  <c r="D282" i="95"/>
  <c r="K281" i="95"/>
  <c r="E281" i="95"/>
  <c r="F281" i="95" s="1"/>
  <c r="H107" i="42"/>
  <c r="G107" i="42"/>
  <c r="R269" i="95"/>
  <c r="T268" i="95"/>
  <c r="U268" i="95" s="1"/>
  <c r="E95" i="48"/>
  <c r="F95" i="48" s="1"/>
  <c r="D96" i="48"/>
  <c r="K95" i="48"/>
  <c r="C95" i="48" s="1"/>
  <c r="G94" i="48"/>
  <c r="H94" i="48"/>
  <c r="G65" i="76"/>
  <c r="H65" i="76"/>
  <c r="G64" i="74"/>
  <c r="H64" i="74"/>
  <c r="D63" i="76"/>
  <c r="K62" i="76"/>
  <c r="D353" i="78"/>
  <c r="E352" i="78"/>
  <c r="D211" i="78"/>
  <c r="E210" i="78"/>
  <c r="E65" i="78"/>
  <c r="D66" i="78"/>
  <c r="D257" i="77"/>
  <c r="E256" i="77"/>
  <c r="D162" i="77"/>
  <c r="E161" i="77"/>
  <c r="D66" i="77"/>
  <c r="E65" i="77"/>
  <c r="F66" i="76"/>
  <c r="D66" i="74"/>
  <c r="K65" i="74"/>
  <c r="F65" i="74"/>
  <c r="F65" i="66"/>
  <c r="G65" i="66" s="1"/>
  <c r="J37" i="61"/>
  <c r="J38" i="61"/>
  <c r="J39" i="61"/>
  <c r="J40" i="61"/>
  <c r="J36" i="61"/>
  <c r="J32" i="61"/>
  <c r="J33" i="61"/>
  <c r="J34" i="61"/>
  <c r="J35" i="61"/>
  <c r="J31" i="61"/>
  <c r="J28" i="61"/>
  <c r="J29" i="61"/>
  <c r="J30" i="61"/>
  <c r="J22" i="61"/>
  <c r="J23" i="61"/>
  <c r="J24" i="61"/>
  <c r="J25" i="61"/>
  <c r="J21" i="61"/>
  <c r="J17" i="61"/>
  <c r="J18" i="61"/>
  <c r="J19" i="61"/>
  <c r="J20" i="61"/>
  <c r="J16" i="61"/>
  <c r="J15" i="61"/>
  <c r="J13" i="61"/>
  <c r="J14" i="61"/>
  <c r="H281" i="95" l="1"/>
  <c r="G281" i="95"/>
  <c r="R270" i="95"/>
  <c r="T269" i="95"/>
  <c r="U269" i="95" s="1"/>
  <c r="D283" i="95"/>
  <c r="K282" i="95"/>
  <c r="E282" i="95"/>
  <c r="F282" i="95" s="1"/>
  <c r="H108" i="42"/>
  <c r="G108" i="42"/>
  <c r="R282" i="95"/>
  <c r="T281" i="95"/>
  <c r="E109" i="42"/>
  <c r="F109" i="42" s="1"/>
  <c r="K109" i="42"/>
  <c r="C109" i="42" s="1"/>
  <c r="D110" i="42"/>
  <c r="Q271" i="95"/>
  <c r="S270" i="95"/>
  <c r="E96" i="48"/>
  <c r="F96" i="48" s="1"/>
  <c r="D97" i="48"/>
  <c r="K96" i="48"/>
  <c r="C96" i="48" s="1"/>
  <c r="G95" i="48"/>
  <c r="H95" i="48"/>
  <c r="H66" i="76"/>
  <c r="G66" i="76"/>
  <c r="H65" i="74"/>
  <c r="G65" i="74"/>
  <c r="D64" i="76"/>
  <c r="K63" i="76"/>
  <c r="D354" i="78"/>
  <c r="E353" i="78"/>
  <c r="E211" i="78"/>
  <c r="D212" i="78"/>
  <c r="D67" i="78"/>
  <c r="E66" i="78"/>
  <c r="D258" i="77"/>
  <c r="E257" i="77"/>
  <c r="E162" i="77"/>
  <c r="D163" i="77"/>
  <c r="E66" i="77"/>
  <c r="D67" i="77"/>
  <c r="F67" i="76"/>
  <c r="F66" i="74"/>
  <c r="D67" i="74"/>
  <c r="K66" i="74"/>
  <c r="F66" i="66"/>
  <c r="G66" i="66" s="1"/>
  <c r="H109" i="42" l="1"/>
  <c r="G109" i="42"/>
  <c r="D284" i="95"/>
  <c r="E283" i="95"/>
  <c r="F283" i="95" s="1"/>
  <c r="K283" i="95"/>
  <c r="R283" i="95"/>
  <c r="T282" i="95"/>
  <c r="R271" i="95"/>
  <c r="T270" i="95"/>
  <c r="U270" i="95" s="1"/>
  <c r="Q272" i="95"/>
  <c r="S271" i="95"/>
  <c r="C97" i="48"/>
  <c r="D111" i="42"/>
  <c r="E110" i="42"/>
  <c r="F110" i="42" s="1"/>
  <c r="K110" i="42"/>
  <c r="C110" i="42" s="1"/>
  <c r="H282" i="95"/>
  <c r="G282" i="95"/>
  <c r="D98" i="48"/>
  <c r="E97" i="48"/>
  <c r="F97" i="48" s="1"/>
  <c r="K97" i="48"/>
  <c r="H96" i="48"/>
  <c r="G96" i="48"/>
  <c r="G67" i="76"/>
  <c r="H67" i="76"/>
  <c r="G66" i="74"/>
  <c r="H66" i="74"/>
  <c r="D65" i="76"/>
  <c r="K64" i="76"/>
  <c r="D355" i="78"/>
  <c r="E354" i="78"/>
  <c r="E212" i="78"/>
  <c r="D213" i="78"/>
  <c r="D68" i="78"/>
  <c r="E67" i="78"/>
  <c r="D259" i="77"/>
  <c r="E258" i="77"/>
  <c r="D164" i="77"/>
  <c r="E163" i="77"/>
  <c r="E67" i="77"/>
  <c r="D68" i="77"/>
  <c r="F68" i="76"/>
  <c r="D68" i="74"/>
  <c r="K67" i="74"/>
  <c r="F67" i="74"/>
  <c r="F67" i="66"/>
  <c r="G67" i="66" s="1"/>
  <c r="P4" i="62"/>
  <c r="P3" i="62"/>
  <c r="Q273" i="95" l="1"/>
  <c r="S272" i="95"/>
  <c r="G283" i="95"/>
  <c r="H283" i="95"/>
  <c r="G110" i="42"/>
  <c r="H110" i="42"/>
  <c r="R272" i="95"/>
  <c r="T271" i="95"/>
  <c r="U271" i="95" s="1"/>
  <c r="D285" i="95"/>
  <c r="K284" i="95"/>
  <c r="E284" i="95"/>
  <c r="F284" i="95" s="1"/>
  <c r="K111" i="42"/>
  <c r="C111" i="42" s="1"/>
  <c r="D112" i="42"/>
  <c r="E111" i="42"/>
  <c r="F111" i="42" s="1"/>
  <c r="R284" i="95"/>
  <c r="T283" i="95"/>
  <c r="H97" i="48"/>
  <c r="G97" i="48"/>
  <c r="E98" i="48"/>
  <c r="F98" i="48" s="1"/>
  <c r="D99" i="48"/>
  <c r="K98" i="48"/>
  <c r="C98" i="48" s="1"/>
  <c r="H68" i="76"/>
  <c r="G68" i="76"/>
  <c r="H67" i="74"/>
  <c r="G67" i="74"/>
  <c r="D66" i="76"/>
  <c r="K65" i="76"/>
  <c r="E355" i="78"/>
  <c r="D356" i="78"/>
  <c r="D214" i="78"/>
  <c r="E213" i="78"/>
  <c r="E68" i="78"/>
  <c r="D69" i="78"/>
  <c r="D260" i="77"/>
  <c r="E259" i="77"/>
  <c r="D165" i="77"/>
  <c r="E164" i="77"/>
  <c r="D69" i="77"/>
  <c r="E68" i="77"/>
  <c r="F69" i="76"/>
  <c r="F68" i="74"/>
  <c r="D69" i="74"/>
  <c r="K68" i="74"/>
  <c r="F68" i="66"/>
  <c r="G68" i="66" s="1"/>
  <c r="J83" i="42"/>
  <c r="H284" i="95" l="1"/>
  <c r="G284" i="95"/>
  <c r="R285" i="95"/>
  <c r="T284" i="95"/>
  <c r="D286" i="95"/>
  <c r="K285" i="95"/>
  <c r="E285" i="95"/>
  <c r="F285" i="95" s="1"/>
  <c r="Q274" i="95"/>
  <c r="S274" i="95" s="1"/>
  <c r="S273" i="95"/>
  <c r="C99" i="48"/>
  <c r="G111" i="42"/>
  <c r="H111" i="42"/>
  <c r="D113" i="42"/>
  <c r="E112" i="42"/>
  <c r="F112" i="42" s="1"/>
  <c r="K112" i="42"/>
  <c r="C112" i="42" s="1"/>
  <c r="R273" i="95"/>
  <c r="T272" i="95"/>
  <c r="U272" i="95" s="1"/>
  <c r="E99" i="48"/>
  <c r="F99" i="48" s="1"/>
  <c r="D100" i="48"/>
  <c r="K99" i="48"/>
  <c r="G98" i="48"/>
  <c r="H98" i="48"/>
  <c r="G69" i="76"/>
  <c r="H69" i="76"/>
  <c r="G68" i="74"/>
  <c r="H68" i="74"/>
  <c r="K66" i="76"/>
  <c r="D67" i="76"/>
  <c r="D357" i="78"/>
  <c r="E356" i="78"/>
  <c r="D215" i="78"/>
  <c r="E214" i="78"/>
  <c r="E69" i="78"/>
  <c r="D70" i="78"/>
  <c r="D261" i="77"/>
  <c r="E260" i="77"/>
  <c r="D166" i="77"/>
  <c r="E165" i="77"/>
  <c r="D70" i="77"/>
  <c r="E69" i="77"/>
  <c r="F70" i="76"/>
  <c r="D70" i="74"/>
  <c r="K69" i="74"/>
  <c r="F69" i="74"/>
  <c r="F69" i="66"/>
  <c r="G69" i="66" s="1"/>
  <c r="J24" i="52"/>
  <c r="J25" i="52"/>
  <c r="J26" i="52"/>
  <c r="J27" i="52"/>
  <c r="J28" i="52"/>
  <c r="J23" i="52"/>
  <c r="R274" i="95" l="1"/>
  <c r="T273" i="95"/>
  <c r="U273" i="95" s="1"/>
  <c r="D287" i="95"/>
  <c r="E286" i="95"/>
  <c r="F286" i="95" s="1"/>
  <c r="K286" i="95"/>
  <c r="G112" i="42"/>
  <c r="H112" i="42"/>
  <c r="R286" i="95"/>
  <c r="T285" i="95"/>
  <c r="K113" i="42"/>
  <c r="C113" i="42" s="1"/>
  <c r="D114" i="42"/>
  <c r="E113" i="42"/>
  <c r="F113" i="42" s="1"/>
  <c r="G285" i="95"/>
  <c r="H285" i="95"/>
  <c r="D101" i="48"/>
  <c r="E100" i="48"/>
  <c r="F100" i="48" s="1"/>
  <c r="K100" i="48"/>
  <c r="C100" i="48" s="1"/>
  <c r="H99" i="48"/>
  <c r="G99" i="48"/>
  <c r="H70" i="76"/>
  <c r="G70" i="76"/>
  <c r="H69" i="74"/>
  <c r="G69" i="74"/>
  <c r="K67" i="76"/>
  <c r="D68" i="76"/>
  <c r="D358" i="78"/>
  <c r="E357" i="78"/>
  <c r="D216" i="78"/>
  <c r="E215" i="78"/>
  <c r="D71" i="78"/>
  <c r="E70" i="78"/>
  <c r="D262" i="77"/>
  <c r="E261" i="77"/>
  <c r="E166" i="77"/>
  <c r="D167" i="77"/>
  <c r="E70" i="77"/>
  <c r="D71" i="77"/>
  <c r="F71" i="76"/>
  <c r="F70" i="74"/>
  <c r="D71" i="74"/>
  <c r="K70" i="74"/>
  <c r="F70" i="66"/>
  <c r="G70" i="66" s="1"/>
  <c r="G286" i="95" l="1"/>
  <c r="H286" i="95"/>
  <c r="G113" i="42"/>
  <c r="H113" i="42"/>
  <c r="C101" i="48"/>
  <c r="C114" i="42"/>
  <c r="D115" i="42"/>
  <c r="K114" i="42"/>
  <c r="E114" i="42"/>
  <c r="F114" i="42" s="1"/>
  <c r="D288" i="95"/>
  <c r="E287" i="95"/>
  <c r="F287" i="95" s="1"/>
  <c r="K287" i="95"/>
  <c r="R287" i="95"/>
  <c r="T286" i="95"/>
  <c r="Q275" i="95"/>
  <c r="T274" i="95"/>
  <c r="U274" i="95" s="1"/>
  <c r="G100" i="48"/>
  <c r="H100" i="48"/>
  <c r="D102" i="48"/>
  <c r="K101" i="48"/>
  <c r="E101" i="48"/>
  <c r="F101" i="48" s="1"/>
  <c r="G71" i="76"/>
  <c r="H71" i="76"/>
  <c r="G70" i="74"/>
  <c r="H70" i="74"/>
  <c r="D69" i="76"/>
  <c r="K68" i="76"/>
  <c r="D359" i="78"/>
  <c r="E358" i="78"/>
  <c r="D217" i="78"/>
  <c r="E216" i="78"/>
  <c r="D72" i="78"/>
  <c r="E71" i="78"/>
  <c r="D263" i="77"/>
  <c r="E262" i="77"/>
  <c r="D168" i="77"/>
  <c r="E167" i="77"/>
  <c r="E71" i="77"/>
  <c r="D72" i="77"/>
  <c r="F72" i="76"/>
  <c r="D72" i="74"/>
  <c r="K71" i="74"/>
  <c r="F71" i="74"/>
  <c r="F71" i="66"/>
  <c r="G71" i="66" s="1"/>
  <c r="K58" i="63"/>
  <c r="C58" i="63" s="1"/>
  <c r="E57" i="63"/>
  <c r="F57" i="63" s="1"/>
  <c r="G57" i="63" s="1"/>
  <c r="K56" i="63"/>
  <c r="C56" i="63" s="1"/>
  <c r="E55" i="63"/>
  <c r="F55" i="63" s="1"/>
  <c r="G55" i="63" s="1"/>
  <c r="K54" i="63"/>
  <c r="C54" i="63" s="1"/>
  <c r="E53" i="63"/>
  <c r="F53" i="63" s="1"/>
  <c r="G53" i="63" s="1"/>
  <c r="K52" i="63"/>
  <c r="C52" i="63" s="1"/>
  <c r="E51" i="63"/>
  <c r="F51" i="63" s="1"/>
  <c r="G51" i="63" s="1"/>
  <c r="K50" i="63"/>
  <c r="C50" i="63" s="1"/>
  <c r="E49" i="63"/>
  <c r="F49" i="63" s="1"/>
  <c r="G49" i="63" s="1"/>
  <c r="K48" i="63"/>
  <c r="C48" i="63" s="1"/>
  <c r="E47" i="63"/>
  <c r="F47" i="63" s="1"/>
  <c r="G47" i="63" s="1"/>
  <c r="D34" i="63"/>
  <c r="D33" i="63"/>
  <c r="D32" i="63"/>
  <c r="D31" i="63"/>
  <c r="D30" i="63"/>
  <c r="D29" i="63"/>
  <c r="D28" i="63"/>
  <c r="D27" i="63"/>
  <c r="D26" i="63"/>
  <c r="D25" i="63"/>
  <c r="D24" i="63"/>
  <c r="D23" i="63"/>
  <c r="B12" i="63"/>
  <c r="B13" i="63" s="1"/>
  <c r="B14" i="63" s="1"/>
  <c r="B15" i="63" s="1"/>
  <c r="B16" i="63" s="1"/>
  <c r="B17" i="63" s="1"/>
  <c r="B18" i="63" s="1"/>
  <c r="B19" i="63" s="1"/>
  <c r="B20" i="63" s="1"/>
  <c r="B21" i="63" s="1"/>
  <c r="B22" i="63" s="1"/>
  <c r="B23" i="63" s="1"/>
  <c r="B24" i="63" s="1"/>
  <c r="B25" i="63" s="1"/>
  <c r="B26" i="63" s="1"/>
  <c r="B27" i="63" s="1"/>
  <c r="B28" i="63" s="1"/>
  <c r="B29" i="63" s="1"/>
  <c r="B30" i="63" s="1"/>
  <c r="B31" i="63" s="1"/>
  <c r="B32" i="63" s="1"/>
  <c r="B33" i="63" s="1"/>
  <c r="B34" i="63" s="1"/>
  <c r="B35" i="63" s="1"/>
  <c r="B36" i="63" s="1"/>
  <c r="B37" i="63" s="1"/>
  <c r="B38" i="63" s="1"/>
  <c r="B39" i="63" s="1"/>
  <c r="B40" i="63" s="1"/>
  <c r="B41" i="63" s="1"/>
  <c r="B42" i="63" s="1"/>
  <c r="B43" i="63" s="1"/>
  <c r="B44" i="63" s="1"/>
  <c r="B45" i="63" s="1"/>
  <c r="B46" i="63" s="1"/>
  <c r="B47" i="63" s="1"/>
  <c r="B48" i="63" s="1"/>
  <c r="B49" i="63" s="1"/>
  <c r="B50" i="63" s="1"/>
  <c r="B51" i="63" s="1"/>
  <c r="B52" i="63" s="1"/>
  <c r="B53" i="63" s="1"/>
  <c r="B54" i="63" s="1"/>
  <c r="B55" i="63" s="1"/>
  <c r="B56" i="63" s="1"/>
  <c r="B57" i="63" s="1"/>
  <c r="B58" i="63" s="1"/>
  <c r="N11" i="63"/>
  <c r="N12" i="63" s="1"/>
  <c r="N13" i="63" s="1"/>
  <c r="N14" i="63" s="1"/>
  <c r="N15" i="63" s="1"/>
  <c r="N16" i="63" s="1"/>
  <c r="N17" i="63" s="1"/>
  <c r="N18" i="63" s="1"/>
  <c r="N19" i="63" s="1"/>
  <c r="N20" i="63" s="1"/>
  <c r="N21" i="63" s="1"/>
  <c r="N22" i="63" s="1"/>
  <c r="N23" i="63" s="1"/>
  <c r="N24" i="63" s="1"/>
  <c r="N25" i="63" s="1"/>
  <c r="N26" i="63" s="1"/>
  <c r="N27" i="63" s="1"/>
  <c r="N28" i="63" s="1"/>
  <c r="N29" i="63" s="1"/>
  <c r="N30" i="63" s="1"/>
  <c r="N31" i="63" s="1"/>
  <c r="N32" i="63" s="1"/>
  <c r="N33" i="63" s="1"/>
  <c r="N34" i="63" s="1"/>
  <c r="N35" i="63" s="1"/>
  <c r="N36" i="63" s="1"/>
  <c r="N37" i="63" s="1"/>
  <c r="N38" i="63" s="1"/>
  <c r="N39" i="63" s="1"/>
  <c r="N40" i="63" s="1"/>
  <c r="N41" i="63" s="1"/>
  <c r="N42" i="63" s="1"/>
  <c r="N43" i="63" s="1"/>
  <c r="N44" i="63" s="1"/>
  <c r="N45" i="63" s="1"/>
  <c r="N46" i="63" s="1"/>
  <c r="N47" i="63" s="1"/>
  <c r="N48" i="63" s="1"/>
  <c r="N49" i="63" s="1"/>
  <c r="N50" i="63" s="1"/>
  <c r="N51" i="63" s="1"/>
  <c r="N52" i="63" s="1"/>
  <c r="N53" i="63" s="1"/>
  <c r="N54" i="63" s="1"/>
  <c r="N55" i="63" s="1"/>
  <c r="N56" i="63" s="1"/>
  <c r="N57" i="63" s="1"/>
  <c r="N58" i="63" s="1"/>
  <c r="L11" i="63"/>
  <c r="L12" i="63" s="1"/>
  <c r="L13" i="63" s="1"/>
  <c r="L14" i="63" s="1"/>
  <c r="L15" i="63" s="1"/>
  <c r="L16" i="63" s="1"/>
  <c r="L17" i="63" s="1"/>
  <c r="L18" i="63" s="1"/>
  <c r="L19" i="63" s="1"/>
  <c r="L20" i="63" s="1"/>
  <c r="L21" i="63" s="1"/>
  <c r="L22" i="63" s="1"/>
  <c r="L23" i="63" s="1"/>
  <c r="L24" i="63" s="1"/>
  <c r="L25" i="63" s="1"/>
  <c r="L26" i="63" s="1"/>
  <c r="L27" i="63" s="1"/>
  <c r="L28" i="63" s="1"/>
  <c r="L29" i="63" s="1"/>
  <c r="L30" i="63" s="1"/>
  <c r="L31" i="63" s="1"/>
  <c r="L32" i="63" s="1"/>
  <c r="L33" i="63" s="1"/>
  <c r="L34" i="63" s="1"/>
  <c r="L35" i="63" s="1"/>
  <c r="L36" i="63" s="1"/>
  <c r="L37" i="63" s="1"/>
  <c r="L38" i="63" s="1"/>
  <c r="L39" i="63" s="1"/>
  <c r="L40" i="63" s="1"/>
  <c r="L41" i="63" s="1"/>
  <c r="L42" i="63" s="1"/>
  <c r="L43" i="63" s="1"/>
  <c r="L44" i="63" s="1"/>
  <c r="L45" i="63" s="1"/>
  <c r="L46" i="63" s="1"/>
  <c r="L47" i="63" s="1"/>
  <c r="L48" i="63" s="1"/>
  <c r="L49" i="63" s="1"/>
  <c r="L50" i="63" s="1"/>
  <c r="L51" i="63" s="1"/>
  <c r="L52" i="63" s="1"/>
  <c r="L53" i="63" s="1"/>
  <c r="L54" i="63" s="1"/>
  <c r="L55" i="63" s="1"/>
  <c r="L56" i="63" s="1"/>
  <c r="L57" i="63" s="1"/>
  <c r="L58" i="63" s="1"/>
  <c r="I11" i="63"/>
  <c r="I12" i="63" s="1"/>
  <c r="I13" i="63" s="1"/>
  <c r="I14" i="63" s="1"/>
  <c r="I15" i="63" s="1"/>
  <c r="I16" i="63" s="1"/>
  <c r="I17" i="63" s="1"/>
  <c r="I18" i="63" s="1"/>
  <c r="I19" i="63" s="1"/>
  <c r="I20" i="63" s="1"/>
  <c r="I21" i="63" s="1"/>
  <c r="I22" i="63" s="1"/>
  <c r="I23" i="63" s="1"/>
  <c r="I24" i="63" s="1"/>
  <c r="I25" i="63" s="1"/>
  <c r="I26" i="63" s="1"/>
  <c r="I27" i="63" s="1"/>
  <c r="I28" i="63" s="1"/>
  <c r="I29" i="63" s="1"/>
  <c r="I30" i="63" s="1"/>
  <c r="I31" i="63" s="1"/>
  <c r="I32" i="63" s="1"/>
  <c r="I33" i="63" s="1"/>
  <c r="I34" i="63" s="1"/>
  <c r="I35" i="63" s="1"/>
  <c r="I36" i="63" s="1"/>
  <c r="I37" i="63" s="1"/>
  <c r="I38" i="63" s="1"/>
  <c r="I39" i="63" s="1"/>
  <c r="I40" i="63" s="1"/>
  <c r="I41" i="63" s="1"/>
  <c r="I42" i="63" s="1"/>
  <c r="I43" i="63" s="1"/>
  <c r="I44" i="63" s="1"/>
  <c r="I45" i="63" s="1"/>
  <c r="I46" i="63" s="1"/>
  <c r="I47" i="63" s="1"/>
  <c r="I48" i="63" s="1"/>
  <c r="I49" i="63" s="1"/>
  <c r="I50" i="63" s="1"/>
  <c r="I51" i="63" s="1"/>
  <c r="I52" i="63" s="1"/>
  <c r="I53" i="63" s="1"/>
  <c r="I54" i="63" s="1"/>
  <c r="I55" i="63" s="1"/>
  <c r="I56" i="63" s="1"/>
  <c r="I57" i="63" s="1"/>
  <c r="I58" i="63" s="1"/>
  <c r="B10" i="63"/>
  <c r="T287" i="95" l="1"/>
  <c r="R288" i="95"/>
  <c r="D116" i="42"/>
  <c r="E115" i="42"/>
  <c r="F115" i="42" s="1"/>
  <c r="K115" i="42"/>
  <c r="C115" i="42" s="1"/>
  <c r="K31" i="63"/>
  <c r="C31" i="63" s="1"/>
  <c r="G287" i="95"/>
  <c r="H287" i="95"/>
  <c r="K23" i="63"/>
  <c r="C23" i="63" s="1"/>
  <c r="E25" i="63"/>
  <c r="F25" i="63" s="1"/>
  <c r="G25" i="63" s="1"/>
  <c r="E33" i="63"/>
  <c r="F33" i="63" s="1"/>
  <c r="G33" i="63" s="1"/>
  <c r="K34" i="63"/>
  <c r="C34" i="63"/>
  <c r="K27" i="63"/>
  <c r="C27" i="63" s="1"/>
  <c r="S275" i="95"/>
  <c r="U275" i="95" s="1"/>
  <c r="Q276" i="95"/>
  <c r="D289" i="95"/>
  <c r="K288" i="95"/>
  <c r="E288" i="95"/>
  <c r="F288" i="95" s="1"/>
  <c r="E29" i="63"/>
  <c r="F29" i="63" s="1"/>
  <c r="G29" i="63" s="1"/>
  <c r="G114" i="42"/>
  <c r="H114" i="42"/>
  <c r="K102" i="48"/>
  <c r="C102" i="48" s="1"/>
  <c r="D103" i="48"/>
  <c r="E102" i="48"/>
  <c r="F102" i="48" s="1"/>
  <c r="G101" i="48"/>
  <c r="H101" i="48"/>
  <c r="H72" i="76"/>
  <c r="G72" i="76"/>
  <c r="H71" i="74"/>
  <c r="G71" i="74"/>
  <c r="K69" i="76"/>
  <c r="D70" i="76"/>
  <c r="D360" i="78"/>
  <c r="E359" i="78"/>
  <c r="D218" i="78"/>
  <c r="E217" i="78"/>
  <c r="E72" i="78"/>
  <c r="D73" i="78"/>
  <c r="D264" i="77"/>
  <c r="E263" i="77"/>
  <c r="D169" i="77"/>
  <c r="E168" i="77"/>
  <c r="D73" i="77"/>
  <c r="E72" i="77"/>
  <c r="F73" i="76"/>
  <c r="F72" i="74"/>
  <c r="D73" i="74"/>
  <c r="K72" i="74"/>
  <c r="F72" i="66"/>
  <c r="G72" i="66" s="1"/>
  <c r="E27" i="63"/>
  <c r="F27" i="63" s="1"/>
  <c r="G27" i="63" s="1"/>
  <c r="E48" i="63"/>
  <c r="F48" i="63" s="1"/>
  <c r="H48" i="63" s="1"/>
  <c r="H55" i="63"/>
  <c r="E52" i="63"/>
  <c r="F52" i="63" s="1"/>
  <c r="G52" i="63" s="1"/>
  <c r="H49" i="63"/>
  <c r="H57" i="63"/>
  <c r="E23" i="63"/>
  <c r="F23" i="63" s="1"/>
  <c r="H23" i="63" s="1"/>
  <c r="K29" i="63"/>
  <c r="C29" i="63" s="1"/>
  <c r="E31" i="63"/>
  <c r="F31" i="63" s="1"/>
  <c r="G31" i="63" s="1"/>
  <c r="H53" i="63"/>
  <c r="K25" i="63"/>
  <c r="C25" i="63" s="1"/>
  <c r="K33" i="63"/>
  <c r="C33" i="63" s="1"/>
  <c r="E50" i="63"/>
  <c r="F50" i="63" s="1"/>
  <c r="H50" i="63" s="1"/>
  <c r="H51" i="63"/>
  <c r="P11" i="63"/>
  <c r="P12" i="63" s="1"/>
  <c r="P13" i="63" s="1"/>
  <c r="P14" i="63" s="1"/>
  <c r="P15" i="63" s="1"/>
  <c r="P16" i="63" s="1"/>
  <c r="P17" i="63" s="1"/>
  <c r="P18" i="63" s="1"/>
  <c r="P19" i="63" s="1"/>
  <c r="P20" i="63" s="1"/>
  <c r="P21" i="63" s="1"/>
  <c r="P22" i="63" s="1"/>
  <c r="P23" i="63" s="1"/>
  <c r="P24" i="63" s="1"/>
  <c r="P25" i="63" s="1"/>
  <c r="P26" i="63" s="1"/>
  <c r="P27" i="63" s="1"/>
  <c r="P28" i="63" s="1"/>
  <c r="P29" i="63" s="1"/>
  <c r="P30" i="63" s="1"/>
  <c r="P31" i="63" s="1"/>
  <c r="P32" i="63" s="1"/>
  <c r="P33" i="63" s="1"/>
  <c r="P34" i="63" s="1"/>
  <c r="P35" i="63" s="1"/>
  <c r="P36" i="63" s="1"/>
  <c r="P37" i="63" s="1"/>
  <c r="P38" i="63" s="1"/>
  <c r="P39" i="63" s="1"/>
  <c r="P40" i="63" s="1"/>
  <c r="P41" i="63" s="1"/>
  <c r="P42" i="63" s="1"/>
  <c r="P43" i="63" s="1"/>
  <c r="P44" i="63" s="1"/>
  <c r="P45" i="63" s="1"/>
  <c r="P46" i="63" s="1"/>
  <c r="P47" i="63" s="1"/>
  <c r="P48" i="63" s="1"/>
  <c r="P49" i="63" s="1"/>
  <c r="P50" i="63" s="1"/>
  <c r="P51" i="63" s="1"/>
  <c r="P52" i="63" s="1"/>
  <c r="P53" i="63" s="1"/>
  <c r="P54" i="63" s="1"/>
  <c r="P55" i="63" s="1"/>
  <c r="P56" i="63" s="1"/>
  <c r="P57" i="63" s="1"/>
  <c r="P58" i="63" s="1"/>
  <c r="H47" i="63"/>
  <c r="E54" i="63"/>
  <c r="F54" i="63" s="1"/>
  <c r="G54" i="63" s="1"/>
  <c r="E56" i="63"/>
  <c r="F56" i="63" s="1"/>
  <c r="H56" i="63" s="1"/>
  <c r="E58" i="63"/>
  <c r="F58" i="63" s="1"/>
  <c r="G58" i="63" s="1"/>
  <c r="K28" i="63"/>
  <c r="C28" i="63" s="1"/>
  <c r="E28" i="63"/>
  <c r="F28" i="63" s="1"/>
  <c r="K26" i="63"/>
  <c r="C26" i="63" s="1"/>
  <c r="E26" i="63"/>
  <c r="F26" i="63" s="1"/>
  <c r="K24" i="63"/>
  <c r="C24" i="63" s="1"/>
  <c r="E24" i="63"/>
  <c r="F24" i="63" s="1"/>
  <c r="K32" i="63"/>
  <c r="C32" i="63" s="1"/>
  <c r="E32" i="63"/>
  <c r="F32" i="63" s="1"/>
  <c r="K30" i="63"/>
  <c r="C30" i="63" s="1"/>
  <c r="E30" i="63"/>
  <c r="F30" i="63" s="1"/>
  <c r="E34" i="63"/>
  <c r="F34" i="63" s="1"/>
  <c r="K47" i="63"/>
  <c r="C47" i="63" s="1"/>
  <c r="K49" i="63"/>
  <c r="C49" i="63" s="1"/>
  <c r="K51" i="63"/>
  <c r="C51" i="63" s="1"/>
  <c r="K53" i="63"/>
  <c r="C53" i="63" s="1"/>
  <c r="K55" i="63"/>
  <c r="C55" i="63" s="1"/>
  <c r="K57" i="63"/>
  <c r="C57" i="63" s="1"/>
  <c r="H33" i="63" l="1"/>
  <c r="H25" i="63"/>
  <c r="H29" i="63"/>
  <c r="G288" i="95"/>
  <c r="H288" i="95"/>
  <c r="D290" i="95"/>
  <c r="E289" i="95"/>
  <c r="F289" i="95" s="1"/>
  <c r="K289" i="95"/>
  <c r="H115" i="42"/>
  <c r="G115" i="42"/>
  <c r="Q277" i="95"/>
  <c r="S276" i="95"/>
  <c r="U276" i="95" s="1"/>
  <c r="V276" i="95" s="1"/>
  <c r="W276" i="95" s="1"/>
  <c r="Z276" i="95" s="1"/>
  <c r="Y276" i="95" s="1"/>
  <c r="K116" i="42"/>
  <c r="C116" i="42" s="1"/>
  <c r="D117" i="42"/>
  <c r="E116" i="42"/>
  <c r="F116" i="42" s="1"/>
  <c r="V275" i="95"/>
  <c r="W275" i="95" s="1"/>
  <c r="Z275" i="95" s="1"/>
  <c r="Y275" i="95" s="1"/>
  <c r="V103" i="95"/>
  <c r="W103" i="95" s="1"/>
  <c r="Z103" i="95" s="1"/>
  <c r="Y103" i="95" s="1"/>
  <c r="V35" i="95"/>
  <c r="W35" i="95" s="1"/>
  <c r="Z35" i="95" s="1"/>
  <c r="Y35" i="95" s="1"/>
  <c r="V106" i="95"/>
  <c r="W106" i="95" s="1"/>
  <c r="Z106" i="95" s="1"/>
  <c r="Y106" i="95" s="1"/>
  <c r="V24" i="95"/>
  <c r="W24" i="95" s="1"/>
  <c r="Z24" i="95" s="1"/>
  <c r="Y24" i="95" s="1"/>
  <c r="V51" i="95"/>
  <c r="W51" i="95" s="1"/>
  <c r="Z51" i="95" s="1"/>
  <c r="Y51" i="95" s="1"/>
  <c r="V70" i="95"/>
  <c r="W70" i="95" s="1"/>
  <c r="Z70" i="95" s="1"/>
  <c r="Y70" i="95" s="1"/>
  <c r="V216" i="95"/>
  <c r="W216" i="95" s="1"/>
  <c r="Z216" i="95" s="1"/>
  <c r="Y216" i="95" s="1"/>
  <c r="V74" i="95"/>
  <c r="W74" i="95" s="1"/>
  <c r="Z74" i="95" s="1"/>
  <c r="Y74" i="95" s="1"/>
  <c r="V115" i="95"/>
  <c r="W115" i="95" s="1"/>
  <c r="Z115" i="95" s="1"/>
  <c r="Y115" i="95" s="1"/>
  <c r="V127" i="95"/>
  <c r="W127" i="95" s="1"/>
  <c r="Z127" i="95" s="1"/>
  <c r="Y127" i="95" s="1"/>
  <c r="V16" i="95"/>
  <c r="W16" i="95" s="1"/>
  <c r="Z16" i="95" s="1"/>
  <c r="Y16" i="95" s="1"/>
  <c r="V197" i="95"/>
  <c r="W197" i="95" s="1"/>
  <c r="Z197" i="95" s="1"/>
  <c r="Y197" i="95" s="1"/>
  <c r="V56" i="95"/>
  <c r="W56" i="95" s="1"/>
  <c r="Z56" i="95" s="1"/>
  <c r="Y56" i="95" s="1"/>
  <c r="V85" i="95"/>
  <c r="W85" i="95" s="1"/>
  <c r="Z85" i="95" s="1"/>
  <c r="Y85" i="95" s="1"/>
  <c r="V226" i="95"/>
  <c r="W226" i="95" s="1"/>
  <c r="Z226" i="95" s="1"/>
  <c r="Y226" i="95" s="1"/>
  <c r="V162" i="95"/>
  <c r="W162" i="95" s="1"/>
  <c r="Z162" i="95" s="1"/>
  <c r="Y162" i="95" s="1"/>
  <c r="V191" i="95"/>
  <c r="W191" i="95" s="1"/>
  <c r="Z191" i="95" s="1"/>
  <c r="Y191" i="95" s="1"/>
  <c r="V119" i="95"/>
  <c r="W119" i="95" s="1"/>
  <c r="Z119" i="95" s="1"/>
  <c r="Y119" i="95" s="1"/>
  <c r="V211" i="95"/>
  <c r="W211" i="95" s="1"/>
  <c r="Z211" i="95" s="1"/>
  <c r="Y211" i="95" s="1"/>
  <c r="V120" i="95"/>
  <c r="W120" i="95" s="1"/>
  <c r="Z120" i="95" s="1"/>
  <c r="Y120" i="95" s="1"/>
  <c r="V117" i="95"/>
  <c r="W117" i="95" s="1"/>
  <c r="Z117" i="95" s="1"/>
  <c r="Y117" i="95" s="1"/>
  <c r="V54" i="95"/>
  <c r="W54" i="95" s="1"/>
  <c r="Z54" i="95" s="1"/>
  <c r="Y54" i="95" s="1"/>
  <c r="V42" i="95"/>
  <c r="W42" i="95" s="1"/>
  <c r="Z42" i="95" s="1"/>
  <c r="Y42" i="95" s="1"/>
  <c r="V248" i="95"/>
  <c r="W248" i="95" s="1"/>
  <c r="Z248" i="95" s="1"/>
  <c r="Y248" i="95" s="1"/>
  <c r="V80" i="95"/>
  <c r="W80" i="95" s="1"/>
  <c r="Z80" i="95" s="1"/>
  <c r="Y80" i="95" s="1"/>
  <c r="V181" i="95"/>
  <c r="W181" i="95" s="1"/>
  <c r="Z181" i="95" s="1"/>
  <c r="Y181" i="95" s="1"/>
  <c r="V104" i="95"/>
  <c r="W104" i="95" s="1"/>
  <c r="Z104" i="95" s="1"/>
  <c r="Y104" i="95" s="1"/>
  <c r="V174" i="95"/>
  <c r="W174" i="95" s="1"/>
  <c r="Z174" i="95" s="1"/>
  <c r="Y174" i="95" s="1"/>
  <c r="V55" i="95"/>
  <c r="W55" i="95" s="1"/>
  <c r="Z55" i="95" s="1"/>
  <c r="Y55" i="95" s="1"/>
  <c r="V123" i="95"/>
  <c r="W123" i="95" s="1"/>
  <c r="Z123" i="95" s="1"/>
  <c r="Y123" i="95" s="1"/>
  <c r="V107" i="95"/>
  <c r="W107" i="95" s="1"/>
  <c r="Z107" i="95" s="1"/>
  <c r="Y107" i="95" s="1"/>
  <c r="V102" i="95"/>
  <c r="W102" i="95" s="1"/>
  <c r="Z102" i="95" s="1"/>
  <c r="Y102" i="95" s="1"/>
  <c r="V175" i="95"/>
  <c r="W175" i="95" s="1"/>
  <c r="Z175" i="95" s="1"/>
  <c r="Y175" i="95" s="1"/>
  <c r="V100" i="95"/>
  <c r="W100" i="95" s="1"/>
  <c r="Z100" i="95" s="1"/>
  <c r="Y100" i="95" s="1"/>
  <c r="V90" i="95"/>
  <c r="W90" i="95" s="1"/>
  <c r="Z90" i="95" s="1"/>
  <c r="Y90" i="95" s="1"/>
  <c r="V12" i="95"/>
  <c r="W12" i="95" s="1"/>
  <c r="Z12" i="95" s="1"/>
  <c r="Y12" i="95" s="1"/>
  <c r="V129" i="95"/>
  <c r="W129" i="95" s="1"/>
  <c r="Z129" i="95" s="1"/>
  <c r="Y129" i="95" s="1"/>
  <c r="V219" i="95"/>
  <c r="W219" i="95" s="1"/>
  <c r="Z219" i="95" s="1"/>
  <c r="Y219" i="95" s="1"/>
  <c r="V170" i="95"/>
  <c r="W170" i="95" s="1"/>
  <c r="Z170" i="95" s="1"/>
  <c r="Y170" i="95" s="1"/>
  <c r="V111" i="95"/>
  <c r="W111" i="95" s="1"/>
  <c r="Z111" i="95" s="1"/>
  <c r="Y111" i="95" s="1"/>
  <c r="V251" i="95"/>
  <c r="W251" i="95" s="1"/>
  <c r="Z251" i="95" s="1"/>
  <c r="Y251" i="95" s="1"/>
  <c r="V32" i="95"/>
  <c r="W32" i="95" s="1"/>
  <c r="Z32" i="95" s="1"/>
  <c r="Y32" i="95" s="1"/>
  <c r="V18" i="95"/>
  <c r="W18" i="95" s="1"/>
  <c r="Z18" i="95" s="1"/>
  <c r="Y18" i="95" s="1"/>
  <c r="V17" i="95"/>
  <c r="W17" i="95" s="1"/>
  <c r="Z17" i="95" s="1"/>
  <c r="Y17" i="95" s="1"/>
  <c r="V124" i="95"/>
  <c r="W124" i="95" s="1"/>
  <c r="Z124" i="95" s="1"/>
  <c r="Y124" i="95" s="1"/>
  <c r="V29" i="95"/>
  <c r="W29" i="95" s="1"/>
  <c r="Z29" i="95" s="1"/>
  <c r="Y29" i="95" s="1"/>
  <c r="V202" i="95"/>
  <c r="W202" i="95" s="1"/>
  <c r="Z202" i="95" s="1"/>
  <c r="Y202" i="95" s="1"/>
  <c r="V92" i="95"/>
  <c r="W92" i="95" s="1"/>
  <c r="Z92" i="95" s="1"/>
  <c r="Y92" i="95" s="1"/>
  <c r="V57" i="95"/>
  <c r="W57" i="95" s="1"/>
  <c r="Z57" i="95" s="1"/>
  <c r="Y57" i="95" s="1"/>
  <c r="V110" i="95"/>
  <c r="W110" i="95" s="1"/>
  <c r="Z110" i="95" s="1"/>
  <c r="Y110" i="95" s="1"/>
  <c r="V11" i="95"/>
  <c r="W11" i="95" s="1"/>
  <c r="V192" i="95"/>
  <c r="W192" i="95" s="1"/>
  <c r="Z192" i="95" s="1"/>
  <c r="Y192" i="95" s="1"/>
  <c r="V25" i="95"/>
  <c r="W25" i="95" s="1"/>
  <c r="Z25" i="95" s="1"/>
  <c r="Y25" i="95" s="1"/>
  <c r="V79" i="95"/>
  <c r="W79" i="95" s="1"/>
  <c r="Z79" i="95" s="1"/>
  <c r="Y79" i="95" s="1"/>
  <c r="V154" i="95"/>
  <c r="W154" i="95" s="1"/>
  <c r="Z154" i="95" s="1"/>
  <c r="Y154" i="95" s="1"/>
  <c r="V151" i="95"/>
  <c r="W151" i="95" s="1"/>
  <c r="Z151" i="95" s="1"/>
  <c r="Y151" i="95" s="1"/>
  <c r="V145" i="95"/>
  <c r="W145" i="95" s="1"/>
  <c r="Z145" i="95" s="1"/>
  <c r="Y145" i="95" s="1"/>
  <c r="V37" i="95"/>
  <c r="W37" i="95" s="1"/>
  <c r="Z37" i="95" s="1"/>
  <c r="Y37" i="95" s="1"/>
  <c r="V58" i="95"/>
  <c r="W58" i="95" s="1"/>
  <c r="Z58" i="95" s="1"/>
  <c r="Y58" i="95" s="1"/>
  <c r="V62" i="95"/>
  <c r="W62" i="95" s="1"/>
  <c r="Z62" i="95" s="1"/>
  <c r="Y62" i="95" s="1"/>
  <c r="V122" i="95"/>
  <c r="W122" i="95" s="1"/>
  <c r="Z122" i="95" s="1"/>
  <c r="Y122" i="95" s="1"/>
  <c r="V155" i="95"/>
  <c r="W155" i="95" s="1"/>
  <c r="Z155" i="95" s="1"/>
  <c r="Y155" i="95" s="1"/>
  <c r="V204" i="95"/>
  <c r="W204" i="95" s="1"/>
  <c r="Z204" i="95" s="1"/>
  <c r="Y204" i="95" s="1"/>
  <c r="V105" i="95"/>
  <c r="W105" i="95" s="1"/>
  <c r="Z105" i="95" s="1"/>
  <c r="Y105" i="95" s="1"/>
  <c r="V112" i="95"/>
  <c r="W112" i="95" s="1"/>
  <c r="Z112" i="95" s="1"/>
  <c r="Y112" i="95" s="1"/>
  <c r="V45" i="95"/>
  <c r="W45" i="95" s="1"/>
  <c r="Z45" i="95" s="1"/>
  <c r="Y45" i="95" s="1"/>
  <c r="V86" i="95"/>
  <c r="W86" i="95" s="1"/>
  <c r="Z86" i="95" s="1"/>
  <c r="Y86" i="95" s="1"/>
  <c r="V78" i="95"/>
  <c r="W78" i="95" s="1"/>
  <c r="Z78" i="95" s="1"/>
  <c r="Y78" i="95" s="1"/>
  <c r="V234" i="95"/>
  <c r="W234" i="95" s="1"/>
  <c r="Z234" i="95" s="1"/>
  <c r="Y234" i="95" s="1"/>
  <c r="V242" i="95"/>
  <c r="W242" i="95" s="1"/>
  <c r="Z242" i="95" s="1"/>
  <c r="Y242" i="95" s="1"/>
  <c r="V250" i="95"/>
  <c r="W250" i="95" s="1"/>
  <c r="Z250" i="95" s="1"/>
  <c r="Y250" i="95" s="1"/>
  <c r="V136" i="95"/>
  <c r="W136" i="95" s="1"/>
  <c r="Z136" i="95" s="1"/>
  <c r="Y136" i="95" s="1"/>
  <c r="V205" i="95"/>
  <c r="W205" i="95" s="1"/>
  <c r="Z205" i="95" s="1"/>
  <c r="Y205" i="95" s="1"/>
  <c r="V137" i="95"/>
  <c r="W137" i="95" s="1"/>
  <c r="Z137" i="95" s="1"/>
  <c r="Y137" i="95" s="1"/>
  <c r="V244" i="95"/>
  <c r="W244" i="95" s="1"/>
  <c r="Z244" i="95" s="1"/>
  <c r="Y244" i="95" s="1"/>
  <c r="V156" i="95"/>
  <c r="W156" i="95" s="1"/>
  <c r="Z156" i="95" s="1"/>
  <c r="Y156" i="95" s="1"/>
  <c r="V188" i="95"/>
  <c r="W188" i="95" s="1"/>
  <c r="Z188" i="95" s="1"/>
  <c r="Y188" i="95" s="1"/>
  <c r="V165" i="95"/>
  <c r="W165" i="95" s="1"/>
  <c r="Z165" i="95" s="1"/>
  <c r="Y165" i="95" s="1"/>
  <c r="V66" i="95"/>
  <c r="W66" i="95" s="1"/>
  <c r="Z66" i="95" s="1"/>
  <c r="Y66" i="95" s="1"/>
  <c r="V206" i="95"/>
  <c r="W206" i="95" s="1"/>
  <c r="Z206" i="95" s="1"/>
  <c r="Y206" i="95" s="1"/>
  <c r="V233" i="95"/>
  <c r="W233" i="95" s="1"/>
  <c r="Z233" i="95" s="1"/>
  <c r="Y233" i="95" s="1"/>
  <c r="V73" i="95"/>
  <c r="W73" i="95" s="1"/>
  <c r="Z73" i="95" s="1"/>
  <c r="Y73" i="95" s="1"/>
  <c r="V93" i="95"/>
  <c r="W93" i="95" s="1"/>
  <c r="Z93" i="95" s="1"/>
  <c r="Y93" i="95" s="1"/>
  <c r="V195" i="95"/>
  <c r="W195" i="95" s="1"/>
  <c r="Z195" i="95" s="1"/>
  <c r="Y195" i="95" s="1"/>
  <c r="V207" i="95"/>
  <c r="W207" i="95" s="1"/>
  <c r="Z207" i="95" s="1"/>
  <c r="Y207" i="95" s="1"/>
  <c r="V171" i="95"/>
  <c r="W171" i="95" s="1"/>
  <c r="Z171" i="95" s="1"/>
  <c r="Y171" i="95" s="1"/>
  <c r="V125" i="95"/>
  <c r="W125" i="95" s="1"/>
  <c r="Z125" i="95" s="1"/>
  <c r="Y125" i="95" s="1"/>
  <c r="V140" i="95"/>
  <c r="W140" i="95" s="1"/>
  <c r="Z140" i="95" s="1"/>
  <c r="Y140" i="95" s="1"/>
  <c r="V46" i="95"/>
  <c r="W46" i="95" s="1"/>
  <c r="Z46" i="95" s="1"/>
  <c r="Y46" i="95" s="1"/>
  <c r="V20" i="95"/>
  <c r="W20" i="95" s="1"/>
  <c r="Z20" i="95" s="1"/>
  <c r="Y20" i="95" s="1"/>
  <c r="V193" i="95"/>
  <c r="W193" i="95" s="1"/>
  <c r="Z193" i="95" s="1"/>
  <c r="Y193" i="95" s="1"/>
  <c r="V180" i="95"/>
  <c r="W180" i="95" s="1"/>
  <c r="Z180" i="95" s="1"/>
  <c r="Y180" i="95" s="1"/>
  <c r="V146" i="95"/>
  <c r="W146" i="95" s="1"/>
  <c r="Z146" i="95" s="1"/>
  <c r="Y146" i="95" s="1"/>
  <c r="V182" i="95"/>
  <c r="W182" i="95" s="1"/>
  <c r="Z182" i="95" s="1"/>
  <c r="Y182" i="95" s="1"/>
  <c r="V109" i="95"/>
  <c r="W109" i="95" s="1"/>
  <c r="Z109" i="95" s="1"/>
  <c r="Y109" i="95" s="1"/>
  <c r="V134" i="95"/>
  <c r="W134" i="95" s="1"/>
  <c r="Z134" i="95" s="1"/>
  <c r="Y134" i="95" s="1"/>
  <c r="V61" i="95"/>
  <c r="W61" i="95" s="1"/>
  <c r="Z61" i="95" s="1"/>
  <c r="Y61" i="95" s="1"/>
  <c r="V118" i="95"/>
  <c r="W118" i="95" s="1"/>
  <c r="Z118" i="95" s="1"/>
  <c r="Y118" i="95" s="1"/>
  <c r="V69" i="95"/>
  <c r="W69" i="95" s="1"/>
  <c r="Z69" i="95" s="1"/>
  <c r="Y69" i="95" s="1"/>
  <c r="V84" i="95"/>
  <c r="W84" i="95" s="1"/>
  <c r="Z84" i="95" s="1"/>
  <c r="Y84" i="95" s="1"/>
  <c r="V15" i="95"/>
  <c r="W15" i="95" s="1"/>
  <c r="Z15" i="95" s="1"/>
  <c r="Y15" i="95" s="1"/>
  <c r="V199" i="95"/>
  <c r="W199" i="95" s="1"/>
  <c r="Z199" i="95" s="1"/>
  <c r="Y199" i="95" s="1"/>
  <c r="V91" i="95"/>
  <c r="W91" i="95" s="1"/>
  <c r="Z91" i="95" s="1"/>
  <c r="Y91" i="95" s="1"/>
  <c r="V212" i="95"/>
  <c r="W212" i="95" s="1"/>
  <c r="Z212" i="95" s="1"/>
  <c r="Y212" i="95" s="1"/>
  <c r="V142" i="95"/>
  <c r="W142" i="95" s="1"/>
  <c r="Z142" i="95" s="1"/>
  <c r="Y142" i="95" s="1"/>
  <c r="V39" i="95"/>
  <c r="W39" i="95" s="1"/>
  <c r="Z39" i="95" s="1"/>
  <c r="Y39" i="95" s="1"/>
  <c r="V150" i="95"/>
  <c r="W150" i="95" s="1"/>
  <c r="Z150" i="95" s="1"/>
  <c r="Y150" i="95" s="1"/>
  <c r="V47" i="95"/>
  <c r="W47" i="95" s="1"/>
  <c r="Z47" i="95" s="1"/>
  <c r="Y47" i="95" s="1"/>
  <c r="V213" i="95"/>
  <c r="W213" i="95" s="1"/>
  <c r="Z213" i="95" s="1"/>
  <c r="Y213" i="95" s="1"/>
  <c r="V235" i="95"/>
  <c r="W235" i="95" s="1"/>
  <c r="Z235" i="95" s="1"/>
  <c r="Y235" i="95" s="1"/>
  <c r="V243" i="95"/>
  <c r="W243" i="95" s="1"/>
  <c r="Z243" i="95" s="1"/>
  <c r="Y243" i="95" s="1"/>
  <c r="V135" i="95"/>
  <c r="W135" i="95" s="1"/>
  <c r="Z135" i="95" s="1"/>
  <c r="Y135" i="95" s="1"/>
  <c r="V59" i="95"/>
  <c r="W59" i="95" s="1"/>
  <c r="Z59" i="95" s="1"/>
  <c r="Y59" i="95" s="1"/>
  <c r="V161" i="95"/>
  <c r="W161" i="95" s="1"/>
  <c r="Z161" i="95" s="1"/>
  <c r="Y161" i="95" s="1"/>
  <c r="V220" i="95"/>
  <c r="W220" i="95" s="1"/>
  <c r="Z220" i="95" s="1"/>
  <c r="Y220" i="95" s="1"/>
  <c r="V95" i="95"/>
  <c r="W95" i="95" s="1"/>
  <c r="Z95" i="95" s="1"/>
  <c r="Y95" i="95" s="1"/>
  <c r="V236" i="95"/>
  <c r="W236" i="95" s="1"/>
  <c r="Z236" i="95" s="1"/>
  <c r="Y236" i="95" s="1"/>
  <c r="V88" i="95"/>
  <c r="W88" i="95" s="1"/>
  <c r="Z88" i="95" s="1"/>
  <c r="Y88" i="95" s="1"/>
  <c r="V38" i="95"/>
  <c r="W38" i="95" s="1"/>
  <c r="Z38" i="95" s="1"/>
  <c r="Y38" i="95" s="1"/>
  <c r="V217" i="95"/>
  <c r="W217" i="95" s="1"/>
  <c r="Z217" i="95" s="1"/>
  <c r="Y217" i="95" s="1"/>
  <c r="V113" i="95"/>
  <c r="W113" i="95" s="1"/>
  <c r="Z113" i="95" s="1"/>
  <c r="Y113" i="95" s="1"/>
  <c r="V190" i="95"/>
  <c r="W190" i="95" s="1"/>
  <c r="Z190" i="95" s="1"/>
  <c r="Y190" i="95" s="1"/>
  <c r="V43" i="95"/>
  <c r="W43" i="95" s="1"/>
  <c r="Z43" i="95" s="1"/>
  <c r="Y43" i="95" s="1"/>
  <c r="V82" i="95"/>
  <c r="W82" i="95" s="1"/>
  <c r="Z82" i="95" s="1"/>
  <c r="Y82" i="95" s="1"/>
  <c r="V139" i="95"/>
  <c r="W139" i="95" s="1"/>
  <c r="Z139" i="95" s="1"/>
  <c r="Y139" i="95" s="1"/>
  <c r="V229" i="95"/>
  <c r="W229" i="95" s="1"/>
  <c r="Z229" i="95" s="1"/>
  <c r="Y229" i="95" s="1"/>
  <c r="V65" i="95"/>
  <c r="W65" i="95" s="1"/>
  <c r="Z65" i="95" s="1"/>
  <c r="Y65" i="95" s="1"/>
  <c r="V101" i="95"/>
  <c r="W101" i="95" s="1"/>
  <c r="Z101" i="95" s="1"/>
  <c r="Y101" i="95" s="1"/>
  <c r="V97" i="95"/>
  <c r="W97" i="95" s="1"/>
  <c r="Z97" i="95" s="1"/>
  <c r="Y97" i="95" s="1"/>
  <c r="V215" i="95"/>
  <c r="W215" i="95" s="1"/>
  <c r="Z215" i="95" s="1"/>
  <c r="Y215" i="95" s="1"/>
  <c r="V49" i="95"/>
  <c r="W49" i="95" s="1"/>
  <c r="Z49" i="95" s="1"/>
  <c r="Y49" i="95" s="1"/>
  <c r="V169" i="95"/>
  <c r="W169" i="95" s="1"/>
  <c r="Z169" i="95" s="1"/>
  <c r="Y169" i="95" s="1"/>
  <c r="V144" i="95"/>
  <c r="W144" i="95" s="1"/>
  <c r="Z144" i="95" s="1"/>
  <c r="Y144" i="95" s="1"/>
  <c r="V60" i="95"/>
  <c r="W60" i="95" s="1"/>
  <c r="Z60" i="95" s="1"/>
  <c r="Y60" i="95" s="1"/>
  <c r="V153" i="95"/>
  <c r="W153" i="95" s="1"/>
  <c r="Z153" i="95" s="1"/>
  <c r="Y153" i="95" s="1"/>
  <c r="V89" i="95"/>
  <c r="W89" i="95" s="1"/>
  <c r="Z89" i="95" s="1"/>
  <c r="Y89" i="95" s="1"/>
  <c r="V209" i="95"/>
  <c r="W209" i="95" s="1"/>
  <c r="Z209" i="95" s="1"/>
  <c r="Y209" i="95" s="1"/>
  <c r="V173" i="95"/>
  <c r="W173" i="95" s="1"/>
  <c r="Z173" i="95" s="1"/>
  <c r="Y173" i="95" s="1"/>
  <c r="V133" i="95"/>
  <c r="W133" i="95" s="1"/>
  <c r="Z133" i="95" s="1"/>
  <c r="Y133" i="95" s="1"/>
  <c r="V130" i="95"/>
  <c r="W130" i="95" s="1"/>
  <c r="Z130" i="95" s="1"/>
  <c r="Y130" i="95" s="1"/>
  <c r="V22" i="95"/>
  <c r="W22" i="95" s="1"/>
  <c r="Z22" i="95" s="1"/>
  <c r="Y22" i="95" s="1"/>
  <c r="V147" i="95"/>
  <c r="W147" i="95" s="1"/>
  <c r="Z147" i="95" s="1"/>
  <c r="Y147" i="95" s="1"/>
  <c r="V187" i="95"/>
  <c r="W187" i="95" s="1"/>
  <c r="Z187" i="95" s="1"/>
  <c r="Y187" i="95" s="1"/>
  <c r="V121" i="95"/>
  <c r="W121" i="95" s="1"/>
  <c r="Z121" i="95" s="1"/>
  <c r="Y121" i="95" s="1"/>
  <c r="V28" i="95"/>
  <c r="W28" i="95" s="1"/>
  <c r="Z28" i="95" s="1"/>
  <c r="Y28" i="95" s="1"/>
  <c r="V228" i="95"/>
  <c r="W228" i="95" s="1"/>
  <c r="Z228" i="95" s="1"/>
  <c r="Y228" i="95" s="1"/>
  <c r="V223" i="95"/>
  <c r="W223" i="95" s="1"/>
  <c r="Z223" i="95" s="1"/>
  <c r="Y223" i="95" s="1"/>
  <c r="V177" i="95"/>
  <c r="W177" i="95" s="1"/>
  <c r="Z177" i="95" s="1"/>
  <c r="Y177" i="95" s="1"/>
  <c r="V227" i="95"/>
  <c r="W227" i="95" s="1"/>
  <c r="Z227" i="95" s="1"/>
  <c r="Y227" i="95" s="1"/>
  <c r="V201" i="95"/>
  <c r="W201" i="95" s="1"/>
  <c r="Z201" i="95" s="1"/>
  <c r="Y201" i="95" s="1"/>
  <c r="V159" i="95"/>
  <c r="W159" i="95" s="1"/>
  <c r="Z159" i="95" s="1"/>
  <c r="Y159" i="95" s="1"/>
  <c r="V87" i="95"/>
  <c r="W87" i="95" s="1"/>
  <c r="Z87" i="95" s="1"/>
  <c r="Y87" i="95" s="1"/>
  <c r="V63" i="95"/>
  <c r="W63" i="95" s="1"/>
  <c r="Z63" i="95" s="1"/>
  <c r="Y63" i="95" s="1"/>
  <c r="V245" i="95"/>
  <c r="W245" i="95" s="1"/>
  <c r="Z245" i="95" s="1"/>
  <c r="Y245" i="95" s="1"/>
  <c r="V241" i="95"/>
  <c r="W241" i="95" s="1"/>
  <c r="Z241" i="95" s="1"/>
  <c r="Y241" i="95" s="1"/>
  <c r="V166" i="95"/>
  <c r="W166" i="95" s="1"/>
  <c r="Z166" i="95" s="1"/>
  <c r="Y166" i="95" s="1"/>
  <c r="V143" i="95"/>
  <c r="W143" i="95" s="1"/>
  <c r="Z143" i="95" s="1"/>
  <c r="Y143" i="95" s="1"/>
  <c r="V40" i="95"/>
  <c r="W40" i="95" s="1"/>
  <c r="Z40" i="95" s="1"/>
  <c r="Y40" i="95" s="1"/>
  <c r="V64" i="95"/>
  <c r="W64" i="95" s="1"/>
  <c r="Z64" i="95" s="1"/>
  <c r="Y64" i="95" s="1"/>
  <c r="V68" i="95"/>
  <c r="W68" i="95" s="1"/>
  <c r="Z68" i="95" s="1"/>
  <c r="Y68" i="95" s="1"/>
  <c r="V52" i="95"/>
  <c r="W52" i="95" s="1"/>
  <c r="Z52" i="95" s="1"/>
  <c r="Y52" i="95" s="1"/>
  <c r="V160" i="95"/>
  <c r="W160" i="95" s="1"/>
  <c r="Z160" i="95" s="1"/>
  <c r="Y160" i="95" s="1"/>
  <c r="V237" i="95"/>
  <c r="W237" i="95" s="1"/>
  <c r="Z237" i="95" s="1"/>
  <c r="Y237" i="95" s="1"/>
  <c r="V168" i="95"/>
  <c r="W168" i="95" s="1"/>
  <c r="Z168" i="95" s="1"/>
  <c r="Y168" i="95" s="1"/>
  <c r="V71" i="95"/>
  <c r="W71" i="95" s="1"/>
  <c r="Z71" i="95" s="1"/>
  <c r="Y71" i="95" s="1"/>
  <c r="V194" i="95"/>
  <c r="W194" i="95" s="1"/>
  <c r="Z194" i="95" s="1"/>
  <c r="Y194" i="95" s="1"/>
  <c r="V172" i="95"/>
  <c r="W172" i="95" s="1"/>
  <c r="Z172" i="95" s="1"/>
  <c r="Y172" i="95" s="1"/>
  <c r="V81" i="95"/>
  <c r="W81" i="95" s="1"/>
  <c r="Z81" i="95" s="1"/>
  <c r="Y81" i="95" s="1"/>
  <c r="V185" i="95"/>
  <c r="W185" i="95" s="1"/>
  <c r="Z185" i="95" s="1"/>
  <c r="Y185" i="95" s="1"/>
  <c r="V158" i="95"/>
  <c r="W158" i="95" s="1"/>
  <c r="Z158" i="95" s="1"/>
  <c r="Y158" i="95" s="1"/>
  <c r="V189" i="95"/>
  <c r="W189" i="95" s="1"/>
  <c r="Z189" i="95" s="1"/>
  <c r="Y189" i="95" s="1"/>
  <c r="V23" i="95"/>
  <c r="W23" i="95" s="1"/>
  <c r="Z23" i="95" s="1"/>
  <c r="Y23" i="95" s="1"/>
  <c r="V157" i="95"/>
  <c r="W157" i="95" s="1"/>
  <c r="Z157" i="95" s="1"/>
  <c r="Y157" i="95" s="1"/>
  <c r="V225" i="95"/>
  <c r="W225" i="95" s="1"/>
  <c r="Z225" i="95" s="1"/>
  <c r="Y225" i="95" s="1"/>
  <c r="V128" i="95"/>
  <c r="W128" i="95" s="1"/>
  <c r="Z128" i="95" s="1"/>
  <c r="Y128" i="95" s="1"/>
  <c r="V183" i="95"/>
  <c r="W183" i="95" s="1"/>
  <c r="Z183" i="95" s="1"/>
  <c r="Y183" i="95" s="1"/>
  <c r="V132" i="95"/>
  <c r="W132" i="95" s="1"/>
  <c r="Z132" i="95" s="1"/>
  <c r="Y132" i="95" s="1"/>
  <c r="V210" i="95"/>
  <c r="W210" i="95" s="1"/>
  <c r="Z210" i="95" s="1"/>
  <c r="Y210" i="95" s="1"/>
  <c r="V221" i="95"/>
  <c r="W221" i="95" s="1"/>
  <c r="Z221" i="95" s="1"/>
  <c r="Y221" i="95" s="1"/>
  <c r="V114" i="95"/>
  <c r="W114" i="95" s="1"/>
  <c r="Z114" i="95" s="1"/>
  <c r="Y114" i="95" s="1"/>
  <c r="V19" i="95"/>
  <c r="W19" i="95" s="1"/>
  <c r="Z19" i="95" s="1"/>
  <c r="Y19" i="95" s="1"/>
  <c r="V33" i="95"/>
  <c r="W33" i="95" s="1"/>
  <c r="Z33" i="95" s="1"/>
  <c r="Y33" i="95" s="1"/>
  <c r="V75" i="95"/>
  <c r="W75" i="95" s="1"/>
  <c r="Z75" i="95" s="1"/>
  <c r="Y75" i="95" s="1"/>
  <c r="V184" i="95"/>
  <c r="W184" i="95" s="1"/>
  <c r="Z184" i="95" s="1"/>
  <c r="Y184" i="95" s="1"/>
  <c r="V30" i="95"/>
  <c r="W30" i="95" s="1"/>
  <c r="Z30" i="95" s="1"/>
  <c r="Y30" i="95" s="1"/>
  <c r="V48" i="95"/>
  <c r="W48" i="95" s="1"/>
  <c r="Z48" i="95" s="1"/>
  <c r="Y48" i="95" s="1"/>
  <c r="V163" i="95"/>
  <c r="W163" i="95" s="1"/>
  <c r="Z163" i="95" s="1"/>
  <c r="Y163" i="95" s="1"/>
  <c r="V167" i="95"/>
  <c r="W167" i="95" s="1"/>
  <c r="Z167" i="95" s="1"/>
  <c r="Y167" i="95" s="1"/>
  <c r="V179" i="95"/>
  <c r="W179" i="95" s="1"/>
  <c r="Z179" i="95" s="1"/>
  <c r="Y179" i="95" s="1"/>
  <c r="V214" i="95"/>
  <c r="W214" i="95" s="1"/>
  <c r="Z214" i="95" s="1"/>
  <c r="Y214" i="95" s="1"/>
  <c r="V230" i="95"/>
  <c r="W230" i="95" s="1"/>
  <c r="Z230" i="95" s="1"/>
  <c r="Y230" i="95" s="1"/>
  <c r="V238" i="95"/>
  <c r="W238" i="95" s="1"/>
  <c r="Z238" i="95" s="1"/>
  <c r="Y238" i="95" s="1"/>
  <c r="V246" i="95"/>
  <c r="W246" i="95" s="1"/>
  <c r="Z246" i="95" s="1"/>
  <c r="Y246" i="95" s="1"/>
  <c r="V232" i="95"/>
  <c r="W232" i="95" s="1"/>
  <c r="Z232" i="95" s="1"/>
  <c r="Y232" i="95" s="1"/>
  <c r="V99" i="95"/>
  <c r="W99" i="95" s="1"/>
  <c r="Z99" i="95" s="1"/>
  <c r="Y99" i="95" s="1"/>
  <c r="V41" i="95"/>
  <c r="W41" i="95" s="1"/>
  <c r="Z41" i="95" s="1"/>
  <c r="Y41" i="95" s="1"/>
  <c r="V94" i="95"/>
  <c r="W94" i="95" s="1"/>
  <c r="Z94" i="95" s="1"/>
  <c r="Y94" i="95" s="1"/>
  <c r="V148" i="95"/>
  <c r="W148" i="95" s="1"/>
  <c r="Z148" i="95" s="1"/>
  <c r="Y148" i="95" s="1"/>
  <c r="V76" i="95"/>
  <c r="W76" i="95" s="1"/>
  <c r="Z76" i="95" s="1"/>
  <c r="Y76" i="95" s="1"/>
  <c r="V203" i="95"/>
  <c r="W203" i="95" s="1"/>
  <c r="Z203" i="95" s="1"/>
  <c r="Y203" i="95" s="1"/>
  <c r="V208" i="95"/>
  <c r="W208" i="95" s="1"/>
  <c r="Z208" i="95" s="1"/>
  <c r="Y208" i="95" s="1"/>
  <c r="V53" i="95"/>
  <c r="W53" i="95" s="1"/>
  <c r="Z53" i="95" s="1"/>
  <c r="Y53" i="95" s="1"/>
  <c r="V31" i="95"/>
  <c r="W31" i="95" s="1"/>
  <c r="Z31" i="95" s="1"/>
  <c r="Y31" i="95" s="1"/>
  <c r="V27" i="95"/>
  <c r="W27" i="95" s="1"/>
  <c r="Z27" i="95" s="1"/>
  <c r="Y27" i="95" s="1"/>
  <c r="V138" i="95"/>
  <c r="W138" i="95" s="1"/>
  <c r="Z138" i="95" s="1"/>
  <c r="Y138" i="95" s="1"/>
  <c r="V72" i="95"/>
  <c r="W72" i="95" s="1"/>
  <c r="Z72" i="95" s="1"/>
  <c r="Y72" i="95" s="1"/>
  <c r="V83" i="95"/>
  <c r="W83" i="95" s="1"/>
  <c r="Z83" i="95" s="1"/>
  <c r="Y83" i="95" s="1"/>
  <c r="V14" i="95"/>
  <c r="W14" i="95" s="1"/>
  <c r="Z14" i="95" s="1"/>
  <c r="Y14" i="95" s="1"/>
  <c r="V218" i="95"/>
  <c r="W218" i="95" s="1"/>
  <c r="Z218" i="95" s="1"/>
  <c r="Y218" i="95" s="1"/>
  <c r="V44" i="95"/>
  <c r="W44" i="95" s="1"/>
  <c r="Z44" i="95" s="1"/>
  <c r="Y44" i="95" s="1"/>
  <c r="V36" i="95"/>
  <c r="W36" i="95" s="1"/>
  <c r="Z36" i="95" s="1"/>
  <c r="Y36" i="95" s="1"/>
  <c r="V96" i="95"/>
  <c r="W96" i="95" s="1"/>
  <c r="Z96" i="95" s="1"/>
  <c r="Y96" i="95" s="1"/>
  <c r="V196" i="95"/>
  <c r="W196" i="95" s="1"/>
  <c r="Z196" i="95" s="1"/>
  <c r="Y196" i="95" s="1"/>
  <c r="V77" i="95"/>
  <c r="W77" i="95" s="1"/>
  <c r="Z77" i="95" s="1"/>
  <c r="Y77" i="95" s="1"/>
  <c r="V108" i="95"/>
  <c r="W108" i="95" s="1"/>
  <c r="Z108" i="95" s="1"/>
  <c r="Y108" i="95" s="1"/>
  <c r="V13" i="95"/>
  <c r="W13" i="95" s="1"/>
  <c r="Z13" i="95" s="1"/>
  <c r="Y13" i="95" s="1"/>
  <c r="V178" i="95"/>
  <c r="W178" i="95" s="1"/>
  <c r="Z178" i="95" s="1"/>
  <c r="Y178" i="95" s="1"/>
  <c r="V21" i="95"/>
  <c r="W21" i="95" s="1"/>
  <c r="Z21" i="95" s="1"/>
  <c r="Y21" i="95" s="1"/>
  <c r="V67" i="95"/>
  <c r="W67" i="95" s="1"/>
  <c r="Z67" i="95" s="1"/>
  <c r="Y67" i="95" s="1"/>
  <c r="V164" i="95"/>
  <c r="W164" i="95" s="1"/>
  <c r="Z164" i="95" s="1"/>
  <c r="Y164" i="95" s="1"/>
  <c r="V222" i="95"/>
  <c r="W222" i="95" s="1"/>
  <c r="Z222" i="95" s="1"/>
  <c r="Y222" i="95" s="1"/>
  <c r="V231" i="95"/>
  <c r="W231" i="95" s="1"/>
  <c r="Z231" i="95" s="1"/>
  <c r="Y231" i="95" s="1"/>
  <c r="V239" i="95"/>
  <c r="W239" i="95" s="1"/>
  <c r="Z239" i="95" s="1"/>
  <c r="Y239" i="95" s="1"/>
  <c r="V247" i="95"/>
  <c r="W247" i="95" s="1"/>
  <c r="Z247" i="95" s="1"/>
  <c r="Y247" i="95" s="1"/>
  <c r="V198" i="95"/>
  <c r="W198" i="95" s="1"/>
  <c r="Z198" i="95" s="1"/>
  <c r="Y198" i="95" s="1"/>
  <c r="V141" i="95"/>
  <c r="W141" i="95" s="1"/>
  <c r="Z141" i="95" s="1"/>
  <c r="Y141" i="95" s="1"/>
  <c r="V131" i="95"/>
  <c r="W131" i="95" s="1"/>
  <c r="Z131" i="95" s="1"/>
  <c r="Y131" i="95" s="1"/>
  <c r="V186" i="95"/>
  <c r="W186" i="95" s="1"/>
  <c r="Z186" i="95" s="1"/>
  <c r="Y186" i="95" s="1"/>
  <c r="V240" i="95"/>
  <c r="W240" i="95" s="1"/>
  <c r="Z240" i="95" s="1"/>
  <c r="Y240" i="95" s="1"/>
  <c r="V176" i="95"/>
  <c r="W176" i="95" s="1"/>
  <c r="Z176" i="95" s="1"/>
  <c r="Y176" i="95" s="1"/>
  <c r="V149" i="95"/>
  <c r="W149" i="95" s="1"/>
  <c r="Z149" i="95" s="1"/>
  <c r="Y149" i="95" s="1"/>
  <c r="V126" i="95"/>
  <c r="W126" i="95" s="1"/>
  <c r="Z126" i="95" s="1"/>
  <c r="Y126" i="95" s="1"/>
  <c r="V224" i="95"/>
  <c r="W224" i="95" s="1"/>
  <c r="Z224" i="95" s="1"/>
  <c r="Y224" i="95" s="1"/>
  <c r="V152" i="95"/>
  <c r="W152" i="95" s="1"/>
  <c r="Z152" i="95" s="1"/>
  <c r="Y152" i="95" s="1"/>
  <c r="V34" i="95"/>
  <c r="W34" i="95" s="1"/>
  <c r="Z34" i="95" s="1"/>
  <c r="Y34" i="95" s="1"/>
  <c r="V116" i="95"/>
  <c r="W116" i="95" s="1"/>
  <c r="Z116" i="95" s="1"/>
  <c r="Y116" i="95" s="1"/>
  <c r="V50" i="95"/>
  <c r="W50" i="95" s="1"/>
  <c r="Z50" i="95" s="1"/>
  <c r="Y50" i="95" s="1"/>
  <c r="V26" i="95"/>
  <c r="W26" i="95" s="1"/>
  <c r="Z26" i="95" s="1"/>
  <c r="Y26" i="95" s="1"/>
  <c r="V98" i="95"/>
  <c r="W98" i="95" s="1"/>
  <c r="Z98" i="95" s="1"/>
  <c r="Y98" i="95" s="1"/>
  <c r="V200" i="95"/>
  <c r="W200" i="95" s="1"/>
  <c r="Z200" i="95" s="1"/>
  <c r="Y200" i="95" s="1"/>
  <c r="V249" i="95"/>
  <c r="W249" i="95" s="1"/>
  <c r="Z249" i="95" s="1"/>
  <c r="Y249" i="95" s="1"/>
  <c r="V252" i="95"/>
  <c r="W252" i="95" s="1"/>
  <c r="Z252" i="95" s="1"/>
  <c r="Y252" i="95" s="1"/>
  <c r="V253" i="95"/>
  <c r="W253" i="95" s="1"/>
  <c r="Z253" i="95" s="1"/>
  <c r="Y253" i="95" s="1"/>
  <c r="V254" i="95"/>
  <c r="W254" i="95" s="1"/>
  <c r="Z254" i="95" s="1"/>
  <c r="Y254" i="95" s="1"/>
  <c r="V255" i="95"/>
  <c r="W255" i="95" s="1"/>
  <c r="Z255" i="95" s="1"/>
  <c r="Y255" i="95" s="1"/>
  <c r="V256" i="95"/>
  <c r="W256" i="95" s="1"/>
  <c r="Z256" i="95" s="1"/>
  <c r="Y256" i="95" s="1"/>
  <c r="V257" i="95"/>
  <c r="W257" i="95" s="1"/>
  <c r="Z257" i="95" s="1"/>
  <c r="Y257" i="95" s="1"/>
  <c r="V258" i="95"/>
  <c r="W258" i="95" s="1"/>
  <c r="Z258" i="95" s="1"/>
  <c r="Y258" i="95" s="1"/>
  <c r="V259" i="95"/>
  <c r="W259" i="95" s="1"/>
  <c r="Z259" i="95" s="1"/>
  <c r="Y259" i="95" s="1"/>
  <c r="V260" i="95"/>
  <c r="W260" i="95" s="1"/>
  <c r="Z260" i="95" s="1"/>
  <c r="Y260" i="95" s="1"/>
  <c r="V261" i="95"/>
  <c r="W261" i="95" s="1"/>
  <c r="Z261" i="95" s="1"/>
  <c r="Y261" i="95" s="1"/>
  <c r="V262" i="95"/>
  <c r="W262" i="95" s="1"/>
  <c r="Z262" i="95" s="1"/>
  <c r="Y262" i="95" s="1"/>
  <c r="V263" i="95"/>
  <c r="W263" i="95" s="1"/>
  <c r="Z263" i="95" s="1"/>
  <c r="Y263" i="95" s="1"/>
  <c r="V264" i="95"/>
  <c r="W264" i="95" s="1"/>
  <c r="Z264" i="95" s="1"/>
  <c r="Y264" i="95" s="1"/>
  <c r="V265" i="95"/>
  <c r="W265" i="95" s="1"/>
  <c r="Z265" i="95" s="1"/>
  <c r="Y265" i="95" s="1"/>
  <c r="V266" i="95"/>
  <c r="W266" i="95" s="1"/>
  <c r="Z266" i="95" s="1"/>
  <c r="Y266" i="95" s="1"/>
  <c r="V267" i="95"/>
  <c r="W267" i="95" s="1"/>
  <c r="Z267" i="95" s="1"/>
  <c r="Y267" i="95" s="1"/>
  <c r="V268" i="95"/>
  <c r="W268" i="95" s="1"/>
  <c r="Z268" i="95" s="1"/>
  <c r="Y268" i="95" s="1"/>
  <c r="V269" i="95"/>
  <c r="W269" i="95" s="1"/>
  <c r="Z269" i="95" s="1"/>
  <c r="Y269" i="95" s="1"/>
  <c r="V270" i="95"/>
  <c r="W270" i="95" s="1"/>
  <c r="Z270" i="95" s="1"/>
  <c r="Y270" i="95" s="1"/>
  <c r="V271" i="95"/>
  <c r="W271" i="95" s="1"/>
  <c r="Z271" i="95" s="1"/>
  <c r="Y271" i="95" s="1"/>
  <c r="V272" i="95"/>
  <c r="W272" i="95" s="1"/>
  <c r="Z272" i="95" s="1"/>
  <c r="Y272" i="95" s="1"/>
  <c r="V273" i="95"/>
  <c r="W273" i="95" s="1"/>
  <c r="Z273" i="95" s="1"/>
  <c r="Y273" i="95" s="1"/>
  <c r="V274" i="95"/>
  <c r="W274" i="95" s="1"/>
  <c r="Z274" i="95" s="1"/>
  <c r="Y274" i="95" s="1"/>
  <c r="R289" i="95"/>
  <c r="T288" i="95"/>
  <c r="H102" i="48"/>
  <c r="G102" i="48"/>
  <c r="E103" i="48"/>
  <c r="F103" i="48" s="1"/>
  <c r="K103" i="48"/>
  <c r="C103" i="48" s="1"/>
  <c r="D104" i="48"/>
  <c r="G73" i="76"/>
  <c r="H73" i="76"/>
  <c r="G72" i="74"/>
  <c r="H72" i="74"/>
  <c r="K70" i="76"/>
  <c r="D71" i="76"/>
  <c r="D361" i="78"/>
  <c r="E360" i="78"/>
  <c r="E218" i="78"/>
  <c r="D219" i="78"/>
  <c r="E73" i="78"/>
  <c r="D74" i="78"/>
  <c r="D265" i="77"/>
  <c r="E264" i="77"/>
  <c r="D170" i="77"/>
  <c r="E169" i="77"/>
  <c r="D74" i="77"/>
  <c r="E73" i="77"/>
  <c r="F74" i="76"/>
  <c r="D74" i="74"/>
  <c r="K73" i="74"/>
  <c r="F73" i="74"/>
  <c r="F73" i="66"/>
  <c r="G73" i="66" s="1"/>
  <c r="H27" i="63"/>
  <c r="H54" i="63"/>
  <c r="H52" i="63"/>
  <c r="H58" i="63"/>
  <c r="H31" i="63"/>
  <c r="G50" i="63"/>
  <c r="G48" i="63"/>
  <c r="G23" i="63"/>
  <c r="G56" i="63"/>
  <c r="G30" i="63"/>
  <c r="H30" i="63"/>
  <c r="G32" i="63"/>
  <c r="H32" i="63"/>
  <c r="G24" i="63"/>
  <c r="H24" i="63"/>
  <c r="G28" i="63"/>
  <c r="H28" i="63"/>
  <c r="H34" i="63"/>
  <c r="G34" i="63"/>
  <c r="G26" i="63"/>
  <c r="H26" i="63"/>
  <c r="G116" i="42" l="1"/>
  <c r="H116" i="42"/>
  <c r="E117" i="42"/>
  <c r="F117" i="42" s="1"/>
  <c r="K117" i="42"/>
  <c r="C117" i="42" s="1"/>
  <c r="D118" i="42"/>
  <c r="G289" i="95"/>
  <c r="H289" i="95"/>
  <c r="D291" i="95"/>
  <c r="K290" i="95"/>
  <c r="E290" i="95"/>
  <c r="F290" i="95" s="1"/>
  <c r="Z11" i="95"/>
  <c r="Y11" i="95" s="1"/>
  <c r="Q278" i="95"/>
  <c r="S277" i="95"/>
  <c r="U277" i="95" s="1"/>
  <c r="V277" i="95" s="1"/>
  <c r="W277" i="95" s="1"/>
  <c r="Z277" i="95" s="1"/>
  <c r="Y277" i="95" s="1"/>
  <c r="R290" i="95"/>
  <c r="T289" i="95"/>
  <c r="D105" i="48"/>
  <c r="K104" i="48"/>
  <c r="C104" i="48" s="1"/>
  <c r="E104" i="48"/>
  <c r="F104" i="48" s="1"/>
  <c r="G103" i="48"/>
  <c r="H103" i="48"/>
  <c r="H74" i="76"/>
  <c r="G74" i="76"/>
  <c r="H73" i="74"/>
  <c r="G73" i="74"/>
  <c r="D72" i="76"/>
  <c r="K71" i="76"/>
  <c r="D362" i="78"/>
  <c r="E361" i="78"/>
  <c r="E219" i="78"/>
  <c r="D220" i="78"/>
  <c r="D75" i="78"/>
  <c r="E74" i="78"/>
  <c r="D266" i="77"/>
  <c r="E265" i="77"/>
  <c r="D171" i="77"/>
  <c r="E170" i="77"/>
  <c r="E74" i="77"/>
  <c r="D75" i="77"/>
  <c r="F75" i="76"/>
  <c r="F74" i="74"/>
  <c r="D75" i="74"/>
  <c r="K74" i="74"/>
  <c r="F74" i="66"/>
  <c r="G74" i="66" s="1"/>
  <c r="Q279" i="95" l="1"/>
  <c r="S278" i="95"/>
  <c r="U278" i="95" s="1"/>
  <c r="V278" i="95" s="1"/>
  <c r="W278" i="95" s="1"/>
  <c r="Z278" i="95" s="1"/>
  <c r="Y278" i="95" s="1"/>
  <c r="D119" i="42"/>
  <c r="K118" i="42"/>
  <c r="C118" i="42" s="1"/>
  <c r="E118" i="42"/>
  <c r="F118" i="42" s="1"/>
  <c r="G290" i="95"/>
  <c r="H290" i="95"/>
  <c r="G117" i="42"/>
  <c r="H117" i="42"/>
  <c r="R291" i="95"/>
  <c r="T290" i="95"/>
  <c r="D292" i="95"/>
  <c r="K291" i="95"/>
  <c r="E291" i="95"/>
  <c r="F291" i="95" s="1"/>
  <c r="G104" i="48"/>
  <c r="H104" i="48"/>
  <c r="K105" i="48"/>
  <c r="C105" i="48" s="1"/>
  <c r="E105" i="48"/>
  <c r="F105" i="48" s="1"/>
  <c r="D106" i="48"/>
  <c r="G74" i="74"/>
  <c r="H74" i="74"/>
  <c r="G75" i="76"/>
  <c r="H75" i="76"/>
  <c r="K72" i="76"/>
  <c r="D73" i="76"/>
  <c r="D363" i="78"/>
  <c r="E362" i="78"/>
  <c r="D221" i="78"/>
  <c r="E220" i="78"/>
  <c r="D76" i="78"/>
  <c r="E75" i="78"/>
  <c r="D267" i="77"/>
  <c r="E266" i="77"/>
  <c r="E171" i="77"/>
  <c r="D172" i="77"/>
  <c r="E75" i="77"/>
  <c r="D76" i="77"/>
  <c r="F76" i="76"/>
  <c r="D76" i="74"/>
  <c r="K75" i="74"/>
  <c r="F75" i="74"/>
  <c r="F75" i="66"/>
  <c r="G75" i="66" s="1"/>
  <c r="H118" i="42" l="1"/>
  <c r="G118" i="42"/>
  <c r="R292" i="95"/>
  <c r="T291" i="95"/>
  <c r="D293" i="95"/>
  <c r="K292" i="95"/>
  <c r="E292" i="95"/>
  <c r="F292" i="95" s="1"/>
  <c r="K119" i="42"/>
  <c r="C119" i="42" s="1"/>
  <c r="E119" i="42"/>
  <c r="F119" i="42" s="1"/>
  <c r="D120" i="42"/>
  <c r="H291" i="95"/>
  <c r="G291" i="95"/>
  <c r="Q280" i="95"/>
  <c r="S279" i="95"/>
  <c r="U279" i="95" s="1"/>
  <c r="V279" i="95" s="1"/>
  <c r="W279" i="95" s="1"/>
  <c r="K106" i="48"/>
  <c r="C106" i="48" s="1"/>
  <c r="E106" i="48"/>
  <c r="F106" i="48" s="1"/>
  <c r="D107" i="48"/>
  <c r="H105" i="48"/>
  <c r="G105" i="48"/>
  <c r="H76" i="76"/>
  <c r="G76" i="76"/>
  <c r="H75" i="74"/>
  <c r="G75" i="74"/>
  <c r="D74" i="76"/>
  <c r="K73" i="76"/>
  <c r="D364" i="78"/>
  <c r="E363" i="78"/>
  <c r="D222" i="78"/>
  <c r="E221" i="78"/>
  <c r="E76" i="78"/>
  <c r="D77" i="78"/>
  <c r="E267" i="77"/>
  <c r="D268" i="77"/>
  <c r="E172" i="77"/>
  <c r="D173" i="77"/>
  <c r="D77" i="77"/>
  <c r="E76" i="77"/>
  <c r="F77" i="76"/>
  <c r="F76" i="74"/>
  <c r="D77" i="74"/>
  <c r="K76" i="74"/>
  <c r="F76" i="66"/>
  <c r="G76" i="66" s="1"/>
  <c r="D11" i="49"/>
  <c r="C11" i="49" s="1"/>
  <c r="D11" i="62"/>
  <c r="D294" i="95" l="1"/>
  <c r="K293" i="95"/>
  <c r="E293" i="95"/>
  <c r="F293" i="95" s="1"/>
  <c r="C107" i="48"/>
  <c r="K120" i="42"/>
  <c r="C120" i="42" s="1"/>
  <c r="D121" i="42"/>
  <c r="E120" i="42"/>
  <c r="F120" i="42" s="1"/>
  <c r="H119" i="42"/>
  <c r="G119" i="42"/>
  <c r="R293" i="95"/>
  <c r="T292" i="95"/>
  <c r="Z279" i="95"/>
  <c r="Y279" i="95" s="1"/>
  <c r="Q281" i="95"/>
  <c r="S280" i="95"/>
  <c r="U280" i="95" s="1"/>
  <c r="V280" i="95" s="1"/>
  <c r="W280" i="95" s="1"/>
  <c r="Z280" i="95" s="1"/>
  <c r="Y280" i="95" s="1"/>
  <c r="H292" i="95"/>
  <c r="G292" i="95"/>
  <c r="H106" i="48"/>
  <c r="G106" i="48"/>
  <c r="D108" i="48"/>
  <c r="E107" i="48"/>
  <c r="F107" i="48" s="1"/>
  <c r="K107" i="48"/>
  <c r="G76" i="74"/>
  <c r="H76" i="74"/>
  <c r="G77" i="76"/>
  <c r="H77" i="76"/>
  <c r="K74" i="76"/>
  <c r="D75" i="76"/>
  <c r="D365" i="78"/>
  <c r="E364" i="78"/>
  <c r="E222" i="78"/>
  <c r="D223" i="78"/>
  <c r="E77" i="78"/>
  <c r="D78" i="78"/>
  <c r="D269" i="77"/>
  <c r="E268" i="77"/>
  <c r="D174" i="77"/>
  <c r="E173" i="77"/>
  <c r="D78" i="77"/>
  <c r="E77" i="77"/>
  <c r="F78" i="76"/>
  <c r="D78" i="74"/>
  <c r="K77" i="74"/>
  <c r="F77" i="74"/>
  <c r="F77" i="66"/>
  <c r="G77" i="66" s="1"/>
  <c r="F19" i="62"/>
  <c r="F18" i="62"/>
  <c r="F17" i="62"/>
  <c r="D17" i="62"/>
  <c r="F16" i="62"/>
  <c r="F15" i="62"/>
  <c r="F14" i="62"/>
  <c r="D14" i="62"/>
  <c r="F13" i="62"/>
  <c r="M12" i="62"/>
  <c r="M13" i="62" s="1"/>
  <c r="M14" i="62" s="1"/>
  <c r="M15" i="62" s="1"/>
  <c r="M16" i="62" s="1"/>
  <c r="M17" i="62" s="1"/>
  <c r="M18" i="62" s="1"/>
  <c r="M19" i="62" s="1"/>
  <c r="F12" i="62"/>
  <c r="B12" i="62"/>
  <c r="B13" i="62" s="1"/>
  <c r="B14" i="62" s="1"/>
  <c r="B15" i="62" s="1"/>
  <c r="B16" i="62" s="1"/>
  <c r="B17" i="62" s="1"/>
  <c r="B18" i="62" s="1"/>
  <c r="B19" i="62" s="1"/>
  <c r="I11" i="62"/>
  <c r="J11" i="62" s="1"/>
  <c r="G11" i="62"/>
  <c r="G12" i="62" s="1"/>
  <c r="G13" i="62" s="1"/>
  <c r="G14" i="62" s="1"/>
  <c r="G15" i="62" s="1"/>
  <c r="G16" i="62" s="1"/>
  <c r="G17" i="62" s="1"/>
  <c r="G18" i="62" s="1"/>
  <c r="G19" i="62" s="1"/>
  <c r="F11" i="62"/>
  <c r="C11" i="62" s="1"/>
  <c r="E11" i="62"/>
  <c r="E12" i="62" s="1"/>
  <c r="E13" i="62" s="1"/>
  <c r="E14" i="62" s="1"/>
  <c r="E15" i="62" s="1"/>
  <c r="E16" i="62" s="1"/>
  <c r="E17" i="62" s="1"/>
  <c r="E18" i="62" s="1"/>
  <c r="E19" i="62" s="1"/>
  <c r="D12" i="62"/>
  <c r="B10" i="62"/>
  <c r="K121" i="42" l="1"/>
  <c r="C121" i="42" s="1"/>
  <c r="E121" i="42"/>
  <c r="F121" i="42" s="1"/>
  <c r="D122" i="42"/>
  <c r="D18" i="62"/>
  <c r="C17" i="62"/>
  <c r="R294" i="95"/>
  <c r="T293" i="95"/>
  <c r="D13" i="62"/>
  <c r="C13" i="62" s="1"/>
  <c r="C12" i="62"/>
  <c r="G293" i="95"/>
  <c r="H293" i="95"/>
  <c r="D15" i="62"/>
  <c r="C14" i="62"/>
  <c r="Q282" i="95"/>
  <c r="S281" i="95"/>
  <c r="U281" i="95" s="1"/>
  <c r="V281" i="95" s="1"/>
  <c r="W281" i="95" s="1"/>
  <c r="Z281" i="95" s="1"/>
  <c r="Y281" i="95" s="1"/>
  <c r="G120" i="42"/>
  <c r="H120" i="42"/>
  <c r="D295" i="95"/>
  <c r="K294" i="95"/>
  <c r="E294" i="95"/>
  <c r="F294" i="95" s="1"/>
  <c r="H107" i="48"/>
  <c r="G107" i="48"/>
  <c r="D109" i="48"/>
  <c r="E108" i="48"/>
  <c r="F108" i="48" s="1"/>
  <c r="K108" i="48"/>
  <c r="C108" i="48" s="1"/>
  <c r="H78" i="76"/>
  <c r="G78" i="76"/>
  <c r="H77" i="74"/>
  <c r="G77" i="74"/>
  <c r="O11" i="62"/>
  <c r="D76" i="76"/>
  <c r="K75" i="76"/>
  <c r="E365" i="78"/>
  <c r="D366" i="78"/>
  <c r="E223" i="78"/>
  <c r="D224" i="78"/>
  <c r="D79" i="78"/>
  <c r="E78" i="78"/>
  <c r="D270" i="77"/>
  <c r="E269" i="77"/>
  <c r="E174" i="77"/>
  <c r="D175" i="77"/>
  <c r="E78" i="77"/>
  <c r="D79" i="77"/>
  <c r="F79" i="76"/>
  <c r="F78" i="74"/>
  <c r="D79" i="74"/>
  <c r="K78" i="74"/>
  <c r="F78" i="66"/>
  <c r="G78" i="66" s="1"/>
  <c r="I12" i="62"/>
  <c r="I13" i="62" s="1"/>
  <c r="I14" i="62" s="1"/>
  <c r="J14" i="62" s="1"/>
  <c r="J12" i="62"/>
  <c r="G294" i="95" l="1"/>
  <c r="H294" i="95"/>
  <c r="Q283" i="95"/>
  <c r="S282" i="95"/>
  <c r="U282" i="95" s="1"/>
  <c r="V282" i="95" s="1"/>
  <c r="W282" i="95" s="1"/>
  <c r="R295" i="95"/>
  <c r="T294" i="95"/>
  <c r="D16" i="62"/>
  <c r="C16" i="62" s="1"/>
  <c r="C15" i="62"/>
  <c r="D19" i="62"/>
  <c r="C19" i="62" s="1"/>
  <c r="C18" i="62"/>
  <c r="D296" i="95"/>
  <c r="K295" i="95"/>
  <c r="E295" i="95"/>
  <c r="F295" i="95" s="1"/>
  <c r="C122" i="42"/>
  <c r="K122" i="42"/>
  <c r="D123" i="42"/>
  <c r="E122" i="42"/>
  <c r="F122" i="42" s="1"/>
  <c r="H121" i="42"/>
  <c r="G121" i="42"/>
  <c r="H108" i="48"/>
  <c r="G108" i="48"/>
  <c r="E109" i="48"/>
  <c r="F109" i="48" s="1"/>
  <c r="K109" i="48"/>
  <c r="C109" i="48" s="1"/>
  <c r="D110" i="48"/>
  <c r="G79" i="76"/>
  <c r="H79" i="76"/>
  <c r="G78" i="74"/>
  <c r="H78" i="74"/>
  <c r="J13" i="62"/>
  <c r="O12" i="62"/>
  <c r="O14" i="62"/>
  <c r="D77" i="76"/>
  <c r="K76" i="76"/>
  <c r="D367" i="78"/>
  <c r="E366" i="78"/>
  <c r="D225" i="78"/>
  <c r="E224" i="78"/>
  <c r="E79" i="78"/>
  <c r="D80" i="78"/>
  <c r="D271" i="77"/>
  <c r="E270" i="77"/>
  <c r="E175" i="77"/>
  <c r="D176" i="77"/>
  <c r="D80" i="77"/>
  <c r="E79" i="77"/>
  <c r="F80" i="76"/>
  <c r="D80" i="74"/>
  <c r="K79" i="74"/>
  <c r="F79" i="74"/>
  <c r="F79" i="66"/>
  <c r="G79" i="66" s="1"/>
  <c r="I15" i="62"/>
  <c r="I16" i="62" s="1"/>
  <c r="I17" i="62" s="1"/>
  <c r="I18" i="62" s="1"/>
  <c r="I19" i="62" s="1"/>
  <c r="J15" i="62"/>
  <c r="J460" i="61"/>
  <c r="J459" i="61"/>
  <c r="J458" i="61"/>
  <c r="J457" i="61"/>
  <c r="J456" i="61"/>
  <c r="J455" i="61"/>
  <c r="J454" i="61"/>
  <c r="J453" i="61"/>
  <c r="J452" i="61"/>
  <c r="J451" i="61"/>
  <c r="J450" i="61"/>
  <c r="J449" i="61"/>
  <c r="J448" i="61"/>
  <c r="J447" i="61"/>
  <c r="J446" i="61"/>
  <c r="J445" i="61"/>
  <c r="J444" i="61"/>
  <c r="J443" i="61"/>
  <c r="J442" i="61"/>
  <c r="J441" i="61"/>
  <c r="J440" i="61"/>
  <c r="J439" i="61"/>
  <c r="J438" i="61"/>
  <c r="J437" i="61"/>
  <c r="J436" i="61"/>
  <c r="J435" i="61"/>
  <c r="J434" i="61"/>
  <c r="J433" i="61"/>
  <c r="J432" i="61"/>
  <c r="J431" i="61"/>
  <c r="J430" i="61"/>
  <c r="J429" i="61"/>
  <c r="J428" i="61"/>
  <c r="J427" i="61"/>
  <c r="J426" i="61"/>
  <c r="J425" i="61"/>
  <c r="J424" i="61"/>
  <c r="J423" i="61"/>
  <c r="J422" i="61"/>
  <c r="J421" i="61"/>
  <c r="J420" i="61"/>
  <c r="J419" i="61"/>
  <c r="J418" i="61"/>
  <c r="J417" i="61"/>
  <c r="J416" i="61"/>
  <c r="J415" i="61"/>
  <c r="J414" i="61"/>
  <c r="J413" i="61"/>
  <c r="J412" i="61"/>
  <c r="J411" i="61"/>
  <c r="J410" i="61"/>
  <c r="J409" i="61"/>
  <c r="J408" i="61"/>
  <c r="J407" i="61"/>
  <c r="J406" i="61"/>
  <c r="J405" i="61"/>
  <c r="J404" i="61"/>
  <c r="J403" i="61"/>
  <c r="J402" i="61"/>
  <c r="J401" i="61"/>
  <c r="J400" i="61"/>
  <c r="J399" i="61"/>
  <c r="J398" i="61"/>
  <c r="J397" i="61"/>
  <c r="J396" i="61"/>
  <c r="J395" i="61"/>
  <c r="J394" i="61"/>
  <c r="J393" i="61"/>
  <c r="J392" i="61"/>
  <c r="J391" i="61"/>
  <c r="J390" i="61"/>
  <c r="J389" i="61"/>
  <c r="J388" i="61"/>
  <c r="J387" i="61"/>
  <c r="J386" i="61"/>
  <c r="J385" i="61"/>
  <c r="J384" i="61"/>
  <c r="J383" i="61"/>
  <c r="J382" i="61"/>
  <c r="J381" i="61"/>
  <c r="J380" i="61"/>
  <c r="J379" i="61"/>
  <c r="J378" i="61"/>
  <c r="J377" i="61"/>
  <c r="J376" i="61"/>
  <c r="J375" i="61"/>
  <c r="J374" i="61"/>
  <c r="J373" i="61"/>
  <c r="J372" i="61"/>
  <c r="J371" i="61"/>
  <c r="J370" i="61"/>
  <c r="J369" i="61"/>
  <c r="J368" i="61"/>
  <c r="J367" i="61"/>
  <c r="J366" i="61"/>
  <c r="J365" i="61"/>
  <c r="J364" i="61"/>
  <c r="J363" i="61"/>
  <c r="J362" i="61"/>
  <c r="J361" i="61"/>
  <c r="J360" i="61"/>
  <c r="J359" i="61"/>
  <c r="J358" i="61"/>
  <c r="J357" i="61"/>
  <c r="J356" i="61"/>
  <c r="J355" i="61"/>
  <c r="J354" i="61"/>
  <c r="J353" i="61"/>
  <c r="J352" i="61"/>
  <c r="J351" i="61"/>
  <c r="J350" i="61"/>
  <c r="J349" i="61"/>
  <c r="J348" i="61"/>
  <c r="J347" i="61"/>
  <c r="J346" i="61"/>
  <c r="J345" i="61"/>
  <c r="J344" i="61"/>
  <c r="J343" i="61"/>
  <c r="J342" i="61"/>
  <c r="J341" i="61"/>
  <c r="J340" i="61"/>
  <c r="J339" i="61"/>
  <c r="J338" i="61"/>
  <c r="J337" i="61"/>
  <c r="J336" i="61"/>
  <c r="J335" i="61"/>
  <c r="J334" i="61"/>
  <c r="J333" i="61"/>
  <c r="J332" i="61"/>
  <c r="J331" i="61"/>
  <c r="J330" i="61"/>
  <c r="J329" i="61"/>
  <c r="J328" i="61"/>
  <c r="J327" i="61"/>
  <c r="J326" i="61"/>
  <c r="J325" i="61"/>
  <c r="J324" i="61"/>
  <c r="J323" i="61"/>
  <c r="J322" i="61"/>
  <c r="J321" i="61"/>
  <c r="J320" i="61"/>
  <c r="J319" i="61"/>
  <c r="J318" i="61"/>
  <c r="J317" i="61"/>
  <c r="J316" i="61"/>
  <c r="J315" i="61"/>
  <c r="J314" i="61"/>
  <c r="J313" i="61"/>
  <c r="J312" i="61"/>
  <c r="J311" i="61"/>
  <c r="J310" i="61"/>
  <c r="J309" i="61"/>
  <c r="J308" i="61"/>
  <c r="J307" i="61"/>
  <c r="J306" i="61"/>
  <c r="J305" i="61"/>
  <c r="J304" i="61"/>
  <c r="J303" i="61"/>
  <c r="J302" i="61"/>
  <c r="J301" i="61"/>
  <c r="J300" i="61"/>
  <c r="J299" i="61"/>
  <c r="J298" i="61"/>
  <c r="J297" i="61"/>
  <c r="J296" i="61"/>
  <c r="J295" i="61"/>
  <c r="J294" i="61"/>
  <c r="J293" i="61"/>
  <c r="J292" i="61"/>
  <c r="J291" i="61"/>
  <c r="J290" i="61"/>
  <c r="J289" i="61"/>
  <c r="J288" i="61"/>
  <c r="J287" i="61"/>
  <c r="J286" i="61"/>
  <c r="J285" i="61"/>
  <c r="J284" i="61"/>
  <c r="J283" i="61"/>
  <c r="J282" i="61"/>
  <c r="J281" i="61"/>
  <c r="J280" i="61"/>
  <c r="J279" i="61"/>
  <c r="J278" i="61"/>
  <c r="J277" i="61"/>
  <c r="J276" i="61"/>
  <c r="J275" i="61"/>
  <c r="J274" i="61"/>
  <c r="J273" i="61"/>
  <c r="J272" i="61"/>
  <c r="J271" i="61"/>
  <c r="J270" i="61"/>
  <c r="J269" i="61"/>
  <c r="J268" i="61"/>
  <c r="J267" i="61"/>
  <c r="J266" i="61"/>
  <c r="J265" i="61"/>
  <c r="J264" i="61"/>
  <c r="J263" i="61"/>
  <c r="J262" i="61"/>
  <c r="J261" i="61"/>
  <c r="J260" i="61"/>
  <c r="J259" i="61"/>
  <c r="J258" i="61"/>
  <c r="J257" i="61"/>
  <c r="J256" i="61"/>
  <c r="J255" i="61"/>
  <c r="J254" i="61"/>
  <c r="J253" i="61"/>
  <c r="J252" i="61"/>
  <c r="J251" i="61"/>
  <c r="J250" i="61"/>
  <c r="J249" i="61"/>
  <c r="J248" i="61"/>
  <c r="J247" i="61"/>
  <c r="J246" i="61"/>
  <c r="J245" i="61"/>
  <c r="J244" i="61"/>
  <c r="J243" i="61"/>
  <c r="J242" i="61"/>
  <c r="J241" i="61"/>
  <c r="J240" i="61"/>
  <c r="J239" i="61"/>
  <c r="J238" i="61"/>
  <c r="J237" i="61"/>
  <c r="J236" i="61"/>
  <c r="J235" i="61"/>
  <c r="J234" i="61"/>
  <c r="J233" i="61"/>
  <c r="J232" i="61"/>
  <c r="J231" i="61"/>
  <c r="J230" i="61"/>
  <c r="J229" i="61"/>
  <c r="J228" i="61"/>
  <c r="J227" i="61"/>
  <c r="J226" i="61"/>
  <c r="J225" i="61"/>
  <c r="J224" i="61"/>
  <c r="J223" i="61"/>
  <c r="J222" i="61"/>
  <c r="J221" i="61"/>
  <c r="J220" i="61"/>
  <c r="J219" i="61"/>
  <c r="J218" i="61"/>
  <c r="J217" i="61"/>
  <c r="J216" i="61"/>
  <c r="J215" i="61"/>
  <c r="J214" i="61"/>
  <c r="J213" i="61"/>
  <c r="J212" i="61"/>
  <c r="J211" i="61"/>
  <c r="J210" i="61"/>
  <c r="J209" i="61"/>
  <c r="J208" i="61"/>
  <c r="J207" i="61"/>
  <c r="J206" i="61"/>
  <c r="J205" i="61"/>
  <c r="J204" i="61"/>
  <c r="J203" i="61"/>
  <c r="J202" i="61"/>
  <c r="J201" i="61"/>
  <c r="J200" i="61"/>
  <c r="J199" i="61"/>
  <c r="J198" i="61"/>
  <c r="J197" i="61"/>
  <c r="J196" i="61"/>
  <c r="J195" i="61"/>
  <c r="J194" i="61"/>
  <c r="J193" i="61"/>
  <c r="J192" i="61"/>
  <c r="J191" i="61"/>
  <c r="J190" i="61"/>
  <c r="J189" i="61"/>
  <c r="J188" i="61"/>
  <c r="J187" i="61"/>
  <c r="J186" i="61"/>
  <c r="J185" i="61"/>
  <c r="J184" i="61"/>
  <c r="J183" i="61"/>
  <c r="J182" i="61"/>
  <c r="J181" i="61"/>
  <c r="J180" i="61"/>
  <c r="J179" i="61"/>
  <c r="J178" i="61"/>
  <c r="J177" i="61"/>
  <c r="J176" i="61"/>
  <c r="J175" i="61"/>
  <c r="J174" i="61"/>
  <c r="J173" i="61"/>
  <c r="J172" i="61"/>
  <c r="J171" i="61"/>
  <c r="J170" i="61"/>
  <c r="J169" i="61"/>
  <c r="J168" i="61"/>
  <c r="J167" i="61"/>
  <c r="J166" i="61"/>
  <c r="J165" i="61"/>
  <c r="J164" i="61"/>
  <c r="J163" i="61"/>
  <c r="J162" i="61"/>
  <c r="J161" i="61"/>
  <c r="J160" i="61"/>
  <c r="J159" i="61"/>
  <c r="J158" i="61"/>
  <c r="J157" i="61"/>
  <c r="J156" i="61"/>
  <c r="J155" i="61"/>
  <c r="J154" i="61"/>
  <c r="J153" i="61"/>
  <c r="J152" i="61"/>
  <c r="J151" i="61"/>
  <c r="J150" i="61"/>
  <c r="J149" i="61"/>
  <c r="J148" i="61"/>
  <c r="J147" i="61"/>
  <c r="J146" i="61"/>
  <c r="J145" i="61"/>
  <c r="J144" i="61"/>
  <c r="J143" i="61"/>
  <c r="J142" i="61"/>
  <c r="J141" i="61"/>
  <c r="J140" i="61"/>
  <c r="J139" i="61"/>
  <c r="J138" i="61"/>
  <c r="J137" i="61"/>
  <c r="J136" i="61"/>
  <c r="J135" i="61"/>
  <c r="J134" i="61"/>
  <c r="J133" i="61"/>
  <c r="J132" i="61"/>
  <c r="J131" i="61"/>
  <c r="J130" i="61"/>
  <c r="J129" i="61"/>
  <c r="J128" i="61"/>
  <c r="J127" i="61"/>
  <c r="J126" i="61"/>
  <c r="J125" i="61"/>
  <c r="J124" i="61"/>
  <c r="J123" i="61"/>
  <c r="J122" i="61"/>
  <c r="J121" i="61"/>
  <c r="J120" i="61"/>
  <c r="J119" i="61"/>
  <c r="J118" i="61"/>
  <c r="J117" i="61"/>
  <c r="J116" i="61"/>
  <c r="J115" i="61"/>
  <c r="J114" i="61"/>
  <c r="J113" i="61"/>
  <c r="J112" i="61"/>
  <c r="J111" i="61"/>
  <c r="J110" i="61"/>
  <c r="J109" i="61"/>
  <c r="J108" i="61"/>
  <c r="J107" i="61"/>
  <c r="J106" i="61"/>
  <c r="J105" i="61"/>
  <c r="J104" i="61"/>
  <c r="J103" i="61"/>
  <c r="J102" i="61"/>
  <c r="J101" i="61"/>
  <c r="J100" i="61"/>
  <c r="J99" i="61"/>
  <c r="J98" i="61"/>
  <c r="J97" i="61"/>
  <c r="J96" i="61"/>
  <c r="J95" i="61"/>
  <c r="J94" i="61"/>
  <c r="J93" i="61"/>
  <c r="J92" i="61"/>
  <c r="J91" i="61"/>
  <c r="J90" i="61"/>
  <c r="J89" i="61"/>
  <c r="J88" i="61"/>
  <c r="J87" i="61"/>
  <c r="J86" i="61"/>
  <c r="J85" i="61"/>
  <c r="J84" i="61"/>
  <c r="J83" i="61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8" i="61"/>
  <c r="J57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27" i="61"/>
  <c r="J26" i="61"/>
  <c r="J12" i="61"/>
  <c r="A12" i="61"/>
  <c r="L11" i="61"/>
  <c r="J11" i="61"/>
  <c r="G295" i="95" l="1"/>
  <c r="H295" i="95"/>
  <c r="R296" i="95"/>
  <c r="T295" i="95"/>
  <c r="C110" i="48"/>
  <c r="D297" i="95"/>
  <c r="E296" i="95"/>
  <c r="F296" i="95" s="1"/>
  <c r="K296" i="95"/>
  <c r="Z282" i="95"/>
  <c r="Y282" i="95" s="1"/>
  <c r="H122" i="42"/>
  <c r="G122" i="42"/>
  <c r="Q284" i="95"/>
  <c r="S283" i="95"/>
  <c r="U283" i="95" s="1"/>
  <c r="V283" i="95" s="1"/>
  <c r="W283" i="95" s="1"/>
  <c r="Z283" i="95" s="1"/>
  <c r="Y283" i="95" s="1"/>
  <c r="D124" i="42"/>
  <c r="E123" i="42"/>
  <c r="F123" i="42" s="1"/>
  <c r="K123" i="42"/>
  <c r="C123" i="42" s="1"/>
  <c r="D111" i="48"/>
  <c r="K110" i="48"/>
  <c r="E110" i="48"/>
  <c r="F110" i="48" s="1"/>
  <c r="G109" i="48"/>
  <c r="H109" i="48"/>
  <c r="H80" i="76"/>
  <c r="G80" i="76"/>
  <c r="H79" i="74"/>
  <c r="G79" i="74"/>
  <c r="J16" i="62"/>
  <c r="O15" i="62"/>
  <c r="O13" i="62"/>
  <c r="A13" i="6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K77" i="76"/>
  <c r="D78" i="76"/>
  <c r="E367" i="78"/>
  <c r="D368" i="78"/>
  <c r="D226" i="78"/>
  <c r="E225" i="78"/>
  <c r="D81" i="78"/>
  <c r="E80" i="78"/>
  <c r="D272" i="77"/>
  <c r="E271" i="77"/>
  <c r="E176" i="77"/>
  <c r="D177" i="77"/>
  <c r="D81" i="77"/>
  <c r="D82" i="77" s="1"/>
  <c r="D83" i="77" s="1"/>
  <c r="E80" i="77"/>
  <c r="F81" i="76"/>
  <c r="F80" i="74"/>
  <c r="D81" i="74"/>
  <c r="K80" i="74"/>
  <c r="F80" i="66"/>
  <c r="G80" i="66" s="1"/>
  <c r="Q285" i="95" l="1"/>
  <c r="S284" i="95"/>
  <c r="U284" i="95" s="1"/>
  <c r="V284" i="95" s="1"/>
  <c r="W284" i="95" s="1"/>
  <c r="Z284" i="95" s="1"/>
  <c r="Y284" i="95" s="1"/>
  <c r="D298" i="95"/>
  <c r="K297" i="95"/>
  <c r="E297" i="95"/>
  <c r="F297" i="95" s="1"/>
  <c r="G123" i="42"/>
  <c r="H123" i="42"/>
  <c r="R297" i="95"/>
  <c r="T296" i="95"/>
  <c r="E124" i="42"/>
  <c r="F124" i="42" s="1"/>
  <c r="K124" i="42"/>
  <c r="C124" i="42" s="1"/>
  <c r="D125" i="42"/>
  <c r="G296" i="95"/>
  <c r="H296" i="95"/>
  <c r="G110" i="48"/>
  <c r="H110" i="48"/>
  <c r="E111" i="48"/>
  <c r="F111" i="48" s="1"/>
  <c r="K111" i="48"/>
  <c r="C111" i="48" s="1"/>
  <c r="D112" i="48"/>
  <c r="G81" i="76"/>
  <c r="H81" i="76"/>
  <c r="G80" i="74"/>
  <c r="H80" i="74"/>
  <c r="J17" i="62"/>
  <c r="O16" i="62"/>
  <c r="A28" i="61"/>
  <c r="A29" i="61" s="1"/>
  <c r="A30" i="61" s="1"/>
  <c r="A31" i="61" s="1"/>
  <c r="A32" i="61" s="1"/>
  <c r="A33" i="61" s="1"/>
  <c r="A34" i="61" s="1"/>
  <c r="A35" i="61" s="1"/>
  <c r="A36" i="61" s="1"/>
  <c r="A37" i="61" s="1"/>
  <c r="A38" i="61" s="1"/>
  <c r="A39" i="61" s="1"/>
  <c r="A40" i="61" s="1"/>
  <c r="A41" i="61" s="1"/>
  <c r="A42" i="61" s="1"/>
  <c r="A43" i="61" s="1"/>
  <c r="A44" i="61" s="1"/>
  <c r="A45" i="61" s="1"/>
  <c r="A46" i="61" s="1"/>
  <c r="A47" i="61" s="1"/>
  <c r="A48" i="61" s="1"/>
  <c r="A49" i="61" s="1"/>
  <c r="A50" i="61" s="1"/>
  <c r="A51" i="61" s="1"/>
  <c r="A52" i="61" s="1"/>
  <c r="A53" i="61" s="1"/>
  <c r="A54" i="61" s="1"/>
  <c r="A55" i="61" s="1"/>
  <c r="A56" i="61" s="1"/>
  <c r="A57" i="61" s="1"/>
  <c r="A58" i="61" s="1"/>
  <c r="A59" i="61" s="1"/>
  <c r="A60" i="61" s="1"/>
  <c r="A61" i="61" s="1"/>
  <c r="A62" i="61" s="1"/>
  <c r="A63" i="61" s="1"/>
  <c r="A64" i="61" s="1"/>
  <c r="A65" i="61" s="1"/>
  <c r="A66" i="61" s="1"/>
  <c r="A67" i="61" s="1"/>
  <c r="A68" i="61" s="1"/>
  <c r="A69" i="61" s="1"/>
  <c r="A70" i="61" s="1"/>
  <c r="A71" i="61" s="1"/>
  <c r="A72" i="61" s="1"/>
  <c r="A73" i="61" s="1"/>
  <c r="A74" i="61" s="1"/>
  <c r="A75" i="61" s="1"/>
  <c r="A76" i="61" s="1"/>
  <c r="A77" i="61" s="1"/>
  <c r="A78" i="61" s="1"/>
  <c r="A79" i="61" s="1"/>
  <c r="A80" i="61" s="1"/>
  <c r="A81" i="61" s="1"/>
  <c r="A82" i="61" s="1"/>
  <c r="A83" i="61" s="1"/>
  <c r="A84" i="61" s="1"/>
  <c r="A85" i="61" s="1"/>
  <c r="A86" i="61" s="1"/>
  <c r="A87" i="61" s="1"/>
  <c r="A88" i="61" s="1"/>
  <c r="A89" i="61" s="1"/>
  <c r="A90" i="61" s="1"/>
  <c r="A91" i="61" s="1"/>
  <c r="A92" i="61" s="1"/>
  <c r="A93" i="61" s="1"/>
  <c r="A94" i="61" s="1"/>
  <c r="A95" i="61" s="1"/>
  <c r="A96" i="61" s="1"/>
  <c r="A97" i="61" s="1"/>
  <c r="A98" i="61" s="1"/>
  <c r="A99" i="61" s="1"/>
  <c r="A100" i="61" s="1"/>
  <c r="A101" i="61" s="1"/>
  <c r="A102" i="61" s="1"/>
  <c r="A103" i="61" s="1"/>
  <c r="A104" i="61" s="1"/>
  <c r="A105" i="61" s="1"/>
  <c r="A106" i="61" s="1"/>
  <c r="A107" i="61" s="1"/>
  <c r="A108" i="61" s="1"/>
  <c r="A109" i="61" s="1"/>
  <c r="A110" i="61" s="1"/>
  <c r="A111" i="61" s="1"/>
  <c r="A112" i="61" s="1"/>
  <c r="A113" i="61" s="1"/>
  <c r="A114" i="61" s="1"/>
  <c r="A115" i="61" s="1"/>
  <c r="A116" i="61" s="1"/>
  <c r="A117" i="61" s="1"/>
  <c r="A118" i="61" s="1"/>
  <c r="A119" i="61" s="1"/>
  <c r="A120" i="61" s="1"/>
  <c r="A121" i="61" s="1"/>
  <c r="A122" i="61" s="1"/>
  <c r="A123" i="61" s="1"/>
  <c r="A124" i="61" s="1"/>
  <c r="A125" i="61" s="1"/>
  <c r="A126" i="61" s="1"/>
  <c r="A127" i="61" s="1"/>
  <c r="A128" i="61" s="1"/>
  <c r="A129" i="61" s="1"/>
  <c r="A130" i="61" s="1"/>
  <c r="A131" i="61" s="1"/>
  <c r="A132" i="61" s="1"/>
  <c r="A133" i="61" s="1"/>
  <c r="A134" i="61" s="1"/>
  <c r="A135" i="61" s="1"/>
  <c r="A136" i="61" s="1"/>
  <c r="A137" i="61" s="1"/>
  <c r="A138" i="61" s="1"/>
  <c r="A139" i="61" s="1"/>
  <c r="A140" i="61" s="1"/>
  <c r="A141" i="61" s="1"/>
  <c r="A142" i="61" s="1"/>
  <c r="A143" i="61" s="1"/>
  <c r="A144" i="61" s="1"/>
  <c r="A145" i="61" s="1"/>
  <c r="A146" i="61" s="1"/>
  <c r="A147" i="61" s="1"/>
  <c r="A148" i="61" s="1"/>
  <c r="A149" i="61" s="1"/>
  <c r="A150" i="61" s="1"/>
  <c r="A151" i="61" s="1"/>
  <c r="A152" i="61" s="1"/>
  <c r="A153" i="61" s="1"/>
  <c r="A154" i="61" s="1"/>
  <c r="A155" i="61" s="1"/>
  <c r="A156" i="61" s="1"/>
  <c r="A157" i="61" s="1"/>
  <c r="A158" i="61" s="1"/>
  <c r="A159" i="61" s="1"/>
  <c r="A160" i="61" s="1"/>
  <c r="A161" i="61" s="1"/>
  <c r="A162" i="61" s="1"/>
  <c r="A163" i="61" s="1"/>
  <c r="A164" i="61" s="1"/>
  <c r="A165" i="61" s="1"/>
  <c r="A166" i="61" s="1"/>
  <c r="A167" i="61" s="1"/>
  <c r="A168" i="61" s="1"/>
  <c r="A169" i="61" s="1"/>
  <c r="A170" i="61" s="1"/>
  <c r="A171" i="61" s="1"/>
  <c r="A172" i="61" s="1"/>
  <c r="A173" i="61" s="1"/>
  <c r="A174" i="61" s="1"/>
  <c r="A175" i="61" s="1"/>
  <c r="A176" i="61" s="1"/>
  <c r="A177" i="61" s="1"/>
  <c r="A178" i="61" s="1"/>
  <c r="A179" i="61" s="1"/>
  <c r="A180" i="61" s="1"/>
  <c r="A181" i="61" s="1"/>
  <c r="A182" i="61" s="1"/>
  <c r="A183" i="61" s="1"/>
  <c r="A184" i="61" s="1"/>
  <c r="A185" i="61" s="1"/>
  <c r="A186" i="61" s="1"/>
  <c r="A187" i="61" s="1"/>
  <c r="A188" i="61" s="1"/>
  <c r="A189" i="61" s="1"/>
  <c r="A190" i="61" s="1"/>
  <c r="A191" i="61" s="1"/>
  <c r="A192" i="61" s="1"/>
  <c r="A193" i="61" s="1"/>
  <c r="A194" i="61" s="1"/>
  <c r="A195" i="61" s="1"/>
  <c r="A196" i="61" s="1"/>
  <c r="A197" i="61" s="1"/>
  <c r="A198" i="61" s="1"/>
  <c r="A199" i="61" s="1"/>
  <c r="A200" i="61" s="1"/>
  <c r="A201" i="61" s="1"/>
  <c r="A202" i="61" s="1"/>
  <c r="A203" i="61" s="1"/>
  <c r="A204" i="61" s="1"/>
  <c r="A205" i="61" s="1"/>
  <c r="A206" i="61" s="1"/>
  <c r="A207" i="61" s="1"/>
  <c r="A208" i="61" s="1"/>
  <c r="A209" i="61" s="1"/>
  <c r="A210" i="61" s="1"/>
  <c r="A211" i="61" s="1"/>
  <c r="A212" i="61" s="1"/>
  <c r="A213" i="61" s="1"/>
  <c r="A214" i="61" s="1"/>
  <c r="A215" i="61" s="1"/>
  <c r="A216" i="61" s="1"/>
  <c r="A217" i="61" s="1"/>
  <c r="A218" i="61" s="1"/>
  <c r="A219" i="61" s="1"/>
  <c r="A220" i="61" s="1"/>
  <c r="A221" i="61" s="1"/>
  <c r="A222" i="61" s="1"/>
  <c r="A223" i="61" s="1"/>
  <c r="A224" i="61" s="1"/>
  <c r="A225" i="61" s="1"/>
  <c r="A226" i="61" s="1"/>
  <c r="A227" i="61" s="1"/>
  <c r="A228" i="61" s="1"/>
  <c r="A229" i="61" s="1"/>
  <c r="A230" i="61" s="1"/>
  <c r="A231" i="61" s="1"/>
  <c r="A232" i="61" s="1"/>
  <c r="A233" i="61" s="1"/>
  <c r="A234" i="61" s="1"/>
  <c r="A235" i="61" s="1"/>
  <c r="A236" i="61" s="1"/>
  <c r="A237" i="61" s="1"/>
  <c r="A238" i="61" s="1"/>
  <c r="A239" i="61" s="1"/>
  <c r="A240" i="61" s="1"/>
  <c r="A241" i="61" s="1"/>
  <c r="A242" i="61" s="1"/>
  <c r="A243" i="61" s="1"/>
  <c r="A244" i="61" s="1"/>
  <c r="A245" i="61" s="1"/>
  <c r="A246" i="61" s="1"/>
  <c r="A247" i="61" s="1"/>
  <c r="A248" i="61" s="1"/>
  <c r="A249" i="61" s="1"/>
  <c r="A250" i="61" s="1"/>
  <c r="A251" i="61" s="1"/>
  <c r="A252" i="61" s="1"/>
  <c r="A253" i="61" s="1"/>
  <c r="A254" i="61" s="1"/>
  <c r="A255" i="61" s="1"/>
  <c r="A256" i="61" s="1"/>
  <c r="A257" i="61" s="1"/>
  <c r="A258" i="61" s="1"/>
  <c r="A259" i="61" s="1"/>
  <c r="A260" i="61" s="1"/>
  <c r="A261" i="61" s="1"/>
  <c r="A262" i="61" s="1"/>
  <c r="A263" i="61" s="1"/>
  <c r="A264" i="61" s="1"/>
  <c r="A265" i="61" s="1"/>
  <c r="A266" i="61" s="1"/>
  <c r="A267" i="61" s="1"/>
  <c r="A268" i="61" s="1"/>
  <c r="A269" i="61" s="1"/>
  <c r="A270" i="61" s="1"/>
  <c r="A271" i="61" s="1"/>
  <c r="A272" i="61" s="1"/>
  <c r="A273" i="61" s="1"/>
  <c r="A274" i="61" s="1"/>
  <c r="A275" i="61" s="1"/>
  <c r="A276" i="61" s="1"/>
  <c r="A277" i="61" s="1"/>
  <c r="A278" i="61" s="1"/>
  <c r="A279" i="61" s="1"/>
  <c r="A280" i="61" s="1"/>
  <c r="A281" i="61" s="1"/>
  <c r="A282" i="61" s="1"/>
  <c r="A283" i="61" s="1"/>
  <c r="A284" i="61" s="1"/>
  <c r="A285" i="61" s="1"/>
  <c r="A286" i="61" s="1"/>
  <c r="A287" i="61" s="1"/>
  <c r="A288" i="61" s="1"/>
  <c r="A289" i="61" s="1"/>
  <c r="A290" i="61" s="1"/>
  <c r="A291" i="61" s="1"/>
  <c r="A292" i="61" s="1"/>
  <c r="A293" i="61" s="1"/>
  <c r="A294" i="61" s="1"/>
  <c r="A295" i="61" s="1"/>
  <c r="A296" i="61" s="1"/>
  <c r="A297" i="61" s="1"/>
  <c r="A298" i="61" s="1"/>
  <c r="A299" i="61" s="1"/>
  <c r="A300" i="61" s="1"/>
  <c r="A301" i="61" s="1"/>
  <c r="A302" i="61" s="1"/>
  <c r="A303" i="61" s="1"/>
  <c r="A304" i="61" s="1"/>
  <c r="A305" i="61" s="1"/>
  <c r="A306" i="61" s="1"/>
  <c r="A307" i="61" s="1"/>
  <c r="A308" i="61" s="1"/>
  <c r="A309" i="61" s="1"/>
  <c r="A310" i="61" s="1"/>
  <c r="A311" i="61" s="1"/>
  <c r="A312" i="61" s="1"/>
  <c r="A313" i="61" s="1"/>
  <c r="A314" i="61" s="1"/>
  <c r="A315" i="61" s="1"/>
  <c r="A316" i="61" s="1"/>
  <c r="A317" i="61" s="1"/>
  <c r="A318" i="61" s="1"/>
  <c r="A319" i="61" s="1"/>
  <c r="A320" i="61" s="1"/>
  <c r="A321" i="61" s="1"/>
  <c r="A322" i="61" s="1"/>
  <c r="A323" i="61" s="1"/>
  <c r="A324" i="61" s="1"/>
  <c r="A325" i="61" s="1"/>
  <c r="A326" i="61" s="1"/>
  <c r="A327" i="61" s="1"/>
  <c r="A328" i="61" s="1"/>
  <c r="A329" i="61" s="1"/>
  <c r="A330" i="61" s="1"/>
  <c r="A331" i="61" s="1"/>
  <c r="A332" i="61" s="1"/>
  <c r="A333" i="61" s="1"/>
  <c r="A334" i="61" s="1"/>
  <c r="A335" i="61" s="1"/>
  <c r="A336" i="61" s="1"/>
  <c r="A337" i="61" s="1"/>
  <c r="A338" i="61" s="1"/>
  <c r="A339" i="61" s="1"/>
  <c r="A340" i="61" s="1"/>
  <c r="A341" i="61" s="1"/>
  <c r="A342" i="61" s="1"/>
  <c r="A343" i="61" s="1"/>
  <c r="A344" i="61" s="1"/>
  <c r="A345" i="61" s="1"/>
  <c r="A346" i="61" s="1"/>
  <c r="A347" i="61" s="1"/>
  <c r="A348" i="61" s="1"/>
  <c r="A349" i="61" s="1"/>
  <c r="A350" i="61" s="1"/>
  <c r="A351" i="61" s="1"/>
  <c r="A352" i="61" s="1"/>
  <c r="A353" i="61" s="1"/>
  <c r="A354" i="61" s="1"/>
  <c r="A355" i="61" s="1"/>
  <c r="A356" i="61" s="1"/>
  <c r="A357" i="61" s="1"/>
  <c r="A358" i="61" s="1"/>
  <c r="A359" i="61" s="1"/>
  <c r="A360" i="61" s="1"/>
  <c r="A361" i="61" s="1"/>
  <c r="A362" i="61" s="1"/>
  <c r="A363" i="61" s="1"/>
  <c r="A364" i="61" s="1"/>
  <c r="A365" i="61" s="1"/>
  <c r="A366" i="61" s="1"/>
  <c r="A367" i="61" s="1"/>
  <c r="A368" i="61" s="1"/>
  <c r="A369" i="61" s="1"/>
  <c r="A370" i="61" s="1"/>
  <c r="A371" i="61" s="1"/>
  <c r="A372" i="61" s="1"/>
  <c r="A373" i="61" s="1"/>
  <c r="A374" i="61" s="1"/>
  <c r="A375" i="61" s="1"/>
  <c r="A376" i="61" s="1"/>
  <c r="A377" i="61" s="1"/>
  <c r="A378" i="61" s="1"/>
  <c r="A379" i="61" s="1"/>
  <c r="A380" i="61" s="1"/>
  <c r="A381" i="61" s="1"/>
  <c r="A382" i="61" s="1"/>
  <c r="A383" i="61" s="1"/>
  <c r="A384" i="61" s="1"/>
  <c r="A385" i="61" s="1"/>
  <c r="A386" i="61" s="1"/>
  <c r="A387" i="61" s="1"/>
  <c r="A388" i="61" s="1"/>
  <c r="A389" i="61" s="1"/>
  <c r="A390" i="61" s="1"/>
  <c r="A391" i="61" s="1"/>
  <c r="A392" i="61" s="1"/>
  <c r="A393" i="61" s="1"/>
  <c r="A394" i="61" s="1"/>
  <c r="A395" i="61" s="1"/>
  <c r="A396" i="61" s="1"/>
  <c r="A397" i="61" s="1"/>
  <c r="A398" i="61" s="1"/>
  <c r="A399" i="61" s="1"/>
  <c r="A400" i="61" s="1"/>
  <c r="A401" i="61" s="1"/>
  <c r="A402" i="61" s="1"/>
  <c r="A403" i="61" s="1"/>
  <c r="A404" i="61" s="1"/>
  <c r="A405" i="61" s="1"/>
  <c r="A406" i="61" s="1"/>
  <c r="A407" i="61" s="1"/>
  <c r="A408" i="61" s="1"/>
  <c r="A409" i="61" s="1"/>
  <c r="A410" i="61" s="1"/>
  <c r="A411" i="61" s="1"/>
  <c r="A412" i="61" s="1"/>
  <c r="A413" i="61" s="1"/>
  <c r="A414" i="61" s="1"/>
  <c r="A415" i="61" s="1"/>
  <c r="A416" i="61" s="1"/>
  <c r="A417" i="61" s="1"/>
  <c r="A418" i="61" s="1"/>
  <c r="A419" i="61" s="1"/>
  <c r="A420" i="61" s="1"/>
  <c r="A421" i="61" s="1"/>
  <c r="A422" i="61" s="1"/>
  <c r="A423" i="61" s="1"/>
  <c r="A424" i="61" s="1"/>
  <c r="A425" i="61" s="1"/>
  <c r="A426" i="61" s="1"/>
  <c r="A427" i="61" s="1"/>
  <c r="A428" i="61" s="1"/>
  <c r="A429" i="61" s="1"/>
  <c r="A430" i="61" s="1"/>
  <c r="A431" i="61" s="1"/>
  <c r="A432" i="61" s="1"/>
  <c r="A433" i="61" s="1"/>
  <c r="A434" i="61" s="1"/>
  <c r="A435" i="61" s="1"/>
  <c r="A436" i="61" s="1"/>
  <c r="A437" i="61" s="1"/>
  <c r="A438" i="61" s="1"/>
  <c r="A439" i="61" s="1"/>
  <c r="A440" i="61" s="1"/>
  <c r="A441" i="61" s="1"/>
  <c r="A442" i="61" s="1"/>
  <c r="A443" i="61" s="1"/>
  <c r="A444" i="61" s="1"/>
  <c r="A445" i="61" s="1"/>
  <c r="A446" i="61" s="1"/>
  <c r="A447" i="61" s="1"/>
  <c r="A448" i="61" s="1"/>
  <c r="A449" i="61" s="1"/>
  <c r="A450" i="61" s="1"/>
  <c r="A451" i="61" s="1"/>
  <c r="A452" i="61" s="1"/>
  <c r="A453" i="61" s="1"/>
  <c r="A454" i="61" s="1"/>
  <c r="A455" i="61" s="1"/>
  <c r="A456" i="61" s="1"/>
  <c r="A457" i="61" s="1"/>
  <c r="A458" i="61" s="1"/>
  <c r="A459" i="61" s="1"/>
  <c r="A460" i="61" s="1"/>
  <c r="A461" i="61" s="1"/>
  <c r="A462" i="61" s="1"/>
  <c r="A463" i="61" s="1"/>
  <c r="A464" i="61" s="1"/>
  <c r="A465" i="61" s="1"/>
  <c r="A466" i="61" s="1"/>
  <c r="A467" i="61" s="1"/>
  <c r="A468" i="61" s="1"/>
  <c r="A469" i="61" s="1"/>
  <c r="A470" i="61" s="1"/>
  <c r="A471" i="61" s="1"/>
  <c r="A472" i="61" s="1"/>
  <c r="A473" i="61" s="1"/>
  <c r="A474" i="61" s="1"/>
  <c r="A475" i="61" s="1"/>
  <c r="A476" i="61" s="1"/>
  <c r="A477" i="61" s="1"/>
  <c r="A478" i="61" s="1"/>
  <c r="A479" i="61" s="1"/>
  <c r="A480" i="61" s="1"/>
  <c r="A481" i="61" s="1"/>
  <c r="A482" i="61" s="1"/>
  <c r="A483" i="61" s="1"/>
  <c r="A484" i="61" s="1"/>
  <c r="A485" i="61" s="1"/>
  <c r="A486" i="61" s="1"/>
  <c r="A487" i="61" s="1"/>
  <c r="A488" i="61" s="1"/>
  <c r="A489" i="61" s="1"/>
  <c r="A490" i="61" s="1"/>
  <c r="A491" i="61" s="1"/>
  <c r="A492" i="61" s="1"/>
  <c r="A493" i="61" s="1"/>
  <c r="A494" i="61" s="1"/>
  <c r="A495" i="61" s="1"/>
  <c r="A496" i="61" s="1"/>
  <c r="A497" i="61" s="1"/>
  <c r="A498" i="61" s="1"/>
  <c r="A499" i="61" s="1"/>
  <c r="A500" i="61" s="1"/>
  <c r="A501" i="61" s="1"/>
  <c r="A502" i="61" s="1"/>
  <c r="A503" i="61" s="1"/>
  <c r="A504" i="61" s="1"/>
  <c r="A505" i="61" s="1"/>
  <c r="A506" i="61" s="1"/>
  <c r="A507" i="61" s="1"/>
  <c r="A508" i="61" s="1"/>
  <c r="A509" i="61" s="1"/>
  <c r="A510" i="61" s="1"/>
  <c r="A511" i="61" s="1"/>
  <c r="A512" i="61" s="1"/>
  <c r="D84" i="77"/>
  <c r="E83" i="77"/>
  <c r="D79" i="76"/>
  <c r="K78" i="76"/>
  <c r="D369" i="78"/>
  <c r="E368" i="78"/>
  <c r="E226" i="78"/>
  <c r="D227" i="78"/>
  <c r="E81" i="78"/>
  <c r="D82" i="78"/>
  <c r="D273" i="77"/>
  <c r="E272" i="77"/>
  <c r="D178" i="77"/>
  <c r="E177" i="77"/>
  <c r="E81" i="77"/>
  <c r="E82" i="77"/>
  <c r="F82" i="76"/>
  <c r="F81" i="74"/>
  <c r="D82" i="74"/>
  <c r="K82" i="74" s="1"/>
  <c r="K81" i="74"/>
  <c r="F81" i="66"/>
  <c r="G81" i="66" s="1"/>
  <c r="J60" i="60"/>
  <c r="J61" i="60"/>
  <c r="J62" i="60"/>
  <c r="J63" i="60"/>
  <c r="J64" i="60"/>
  <c r="J65" i="60"/>
  <c r="J66" i="60"/>
  <c r="J67" i="60"/>
  <c r="J68" i="60"/>
  <c r="J69" i="60"/>
  <c r="J70" i="60"/>
  <c r="J71" i="60"/>
  <c r="J72" i="60"/>
  <c r="J73" i="60"/>
  <c r="J74" i="60"/>
  <c r="J75" i="60"/>
  <c r="J76" i="60"/>
  <c r="J77" i="60"/>
  <c r="J78" i="60"/>
  <c r="J79" i="60"/>
  <c r="J80" i="60"/>
  <c r="J81" i="60"/>
  <c r="J82" i="60"/>
  <c r="J59" i="60"/>
  <c r="M78" i="60"/>
  <c r="M79" i="60" s="1"/>
  <c r="M80" i="60" s="1"/>
  <c r="M81" i="60" s="1"/>
  <c r="M82" i="60" s="1"/>
  <c r="M72" i="60"/>
  <c r="M73" i="60" s="1"/>
  <c r="M74" i="60" s="1"/>
  <c r="M75" i="60" s="1"/>
  <c r="M76" i="60" s="1"/>
  <c r="M66" i="60"/>
  <c r="M67" i="60" s="1"/>
  <c r="M68" i="60" s="1"/>
  <c r="M69" i="60" s="1"/>
  <c r="M70" i="60" s="1"/>
  <c r="M60" i="60"/>
  <c r="M61" i="60" s="1"/>
  <c r="M62" i="60" s="1"/>
  <c r="M63" i="60" s="1"/>
  <c r="M64" i="60" s="1"/>
  <c r="J36" i="60"/>
  <c r="J37" i="60"/>
  <c r="J38" i="60"/>
  <c r="J39" i="60"/>
  <c r="J40" i="60"/>
  <c r="J41" i="60"/>
  <c r="J42" i="60"/>
  <c r="J43" i="60"/>
  <c r="J44" i="60"/>
  <c r="J45" i="60"/>
  <c r="J46" i="60"/>
  <c r="J47" i="60"/>
  <c r="J48" i="60"/>
  <c r="J49" i="60"/>
  <c r="J50" i="60"/>
  <c r="J51" i="60"/>
  <c r="J52" i="60"/>
  <c r="J53" i="60"/>
  <c r="J54" i="60"/>
  <c r="J55" i="60"/>
  <c r="J56" i="60"/>
  <c r="J57" i="60"/>
  <c r="J58" i="60"/>
  <c r="J35" i="60"/>
  <c r="M54" i="60"/>
  <c r="M55" i="60" s="1"/>
  <c r="M56" i="60" s="1"/>
  <c r="M57" i="60" s="1"/>
  <c r="M58" i="60" s="1"/>
  <c r="M48" i="60"/>
  <c r="M49" i="60" s="1"/>
  <c r="M50" i="60" s="1"/>
  <c r="M51" i="60" s="1"/>
  <c r="M52" i="60" s="1"/>
  <c r="M42" i="60"/>
  <c r="M43" i="60" s="1"/>
  <c r="M44" i="60" s="1"/>
  <c r="M45" i="60" s="1"/>
  <c r="M46" i="60" s="1"/>
  <c r="M36" i="60"/>
  <c r="M37" i="60" s="1"/>
  <c r="M38" i="60" s="1"/>
  <c r="M39" i="60" s="1"/>
  <c r="M40" i="60" s="1"/>
  <c r="J13" i="60"/>
  <c r="J14" i="60"/>
  <c r="J15" i="60"/>
  <c r="J16" i="60"/>
  <c r="J17" i="60"/>
  <c r="J18" i="60"/>
  <c r="J19" i="60"/>
  <c r="J20" i="60"/>
  <c r="J21" i="60"/>
  <c r="J22" i="60"/>
  <c r="J23" i="60"/>
  <c r="J24" i="60"/>
  <c r="J25" i="60"/>
  <c r="J26" i="60"/>
  <c r="J27" i="60"/>
  <c r="J28" i="60"/>
  <c r="J29" i="60"/>
  <c r="J30" i="60"/>
  <c r="J31" i="60"/>
  <c r="J32" i="60"/>
  <c r="J33" i="60"/>
  <c r="J34" i="60"/>
  <c r="J12" i="60"/>
  <c r="J11" i="60"/>
  <c r="J228" i="59"/>
  <c r="J229" i="59"/>
  <c r="J230" i="59"/>
  <c r="J231" i="59"/>
  <c r="J232" i="59"/>
  <c r="J233" i="59"/>
  <c r="J234" i="59"/>
  <c r="J235" i="59"/>
  <c r="J236" i="59"/>
  <c r="J237" i="59"/>
  <c r="J238" i="59"/>
  <c r="J239" i="59"/>
  <c r="J240" i="59"/>
  <c r="J241" i="59"/>
  <c r="J242" i="59"/>
  <c r="J243" i="59"/>
  <c r="J244" i="59"/>
  <c r="J245" i="59"/>
  <c r="J246" i="59"/>
  <c r="J247" i="59"/>
  <c r="J248" i="59"/>
  <c r="J249" i="59"/>
  <c r="J250" i="59"/>
  <c r="J251" i="59"/>
  <c r="J252" i="59"/>
  <c r="J253" i="59"/>
  <c r="J254" i="59"/>
  <c r="J255" i="59"/>
  <c r="J256" i="59"/>
  <c r="J257" i="59"/>
  <c r="J258" i="59"/>
  <c r="J259" i="59"/>
  <c r="J260" i="59"/>
  <c r="J261" i="59"/>
  <c r="J262" i="59"/>
  <c r="J263" i="59"/>
  <c r="J264" i="59"/>
  <c r="J265" i="59"/>
  <c r="J266" i="59"/>
  <c r="J267" i="59"/>
  <c r="J268" i="59"/>
  <c r="J269" i="59"/>
  <c r="J270" i="59"/>
  <c r="J271" i="59"/>
  <c r="J272" i="59"/>
  <c r="J273" i="59"/>
  <c r="J274" i="59"/>
  <c r="J275" i="59"/>
  <c r="J276" i="59"/>
  <c r="J277" i="59"/>
  <c r="J278" i="59"/>
  <c r="J279" i="59"/>
  <c r="J280" i="59"/>
  <c r="J281" i="59"/>
  <c r="J282" i="59"/>
  <c r="J283" i="59"/>
  <c r="J284" i="59"/>
  <c r="J285" i="59"/>
  <c r="J286" i="59"/>
  <c r="J287" i="59"/>
  <c r="J288" i="59"/>
  <c r="J289" i="59"/>
  <c r="J290" i="59"/>
  <c r="J291" i="59"/>
  <c r="J292" i="59"/>
  <c r="J293" i="59"/>
  <c r="J294" i="59"/>
  <c r="J295" i="59"/>
  <c r="J296" i="59"/>
  <c r="J297" i="59"/>
  <c r="J298" i="59"/>
  <c r="J299" i="59"/>
  <c r="J300" i="59"/>
  <c r="J301" i="59"/>
  <c r="J302" i="59"/>
  <c r="J303" i="59"/>
  <c r="J304" i="59"/>
  <c r="J305" i="59"/>
  <c r="J306" i="59"/>
  <c r="J307" i="59"/>
  <c r="J308" i="59"/>
  <c r="J309" i="59"/>
  <c r="J310" i="59"/>
  <c r="J311" i="59"/>
  <c r="J312" i="59"/>
  <c r="J313" i="59"/>
  <c r="J314" i="59"/>
  <c r="J315" i="59"/>
  <c r="J316" i="59"/>
  <c r="J317" i="59"/>
  <c r="J318" i="59"/>
  <c r="J319" i="59"/>
  <c r="J320" i="59"/>
  <c r="J321" i="59"/>
  <c r="J322" i="59"/>
  <c r="J323" i="59"/>
  <c r="J324" i="59"/>
  <c r="J325" i="59"/>
  <c r="J326" i="59"/>
  <c r="J327" i="59"/>
  <c r="J328" i="59"/>
  <c r="J329" i="59"/>
  <c r="J330" i="59"/>
  <c r="J331" i="59"/>
  <c r="J332" i="59"/>
  <c r="J333" i="59"/>
  <c r="J334" i="59"/>
  <c r="J227" i="59"/>
  <c r="J120" i="59"/>
  <c r="J121" i="59"/>
  <c r="J122" i="59"/>
  <c r="J123" i="59"/>
  <c r="J124" i="59"/>
  <c r="J125" i="59"/>
  <c r="J126" i="59"/>
  <c r="J127" i="59"/>
  <c r="J128" i="59"/>
  <c r="J129" i="59"/>
  <c r="J130" i="59"/>
  <c r="J131" i="59"/>
  <c r="J132" i="59"/>
  <c r="J133" i="59"/>
  <c r="J134" i="59"/>
  <c r="J135" i="59"/>
  <c r="J136" i="59"/>
  <c r="J137" i="59"/>
  <c r="J138" i="59"/>
  <c r="J139" i="59"/>
  <c r="J140" i="59"/>
  <c r="J141" i="59"/>
  <c r="J142" i="59"/>
  <c r="J143" i="59"/>
  <c r="J144" i="59"/>
  <c r="J145" i="59"/>
  <c r="J146" i="59"/>
  <c r="J147" i="59"/>
  <c r="J148" i="59"/>
  <c r="J149" i="59"/>
  <c r="J150" i="59"/>
  <c r="J151" i="59"/>
  <c r="J152" i="59"/>
  <c r="J153" i="59"/>
  <c r="J154" i="59"/>
  <c r="J155" i="59"/>
  <c r="J156" i="59"/>
  <c r="J157" i="59"/>
  <c r="J158" i="59"/>
  <c r="J159" i="59"/>
  <c r="J160" i="59"/>
  <c r="J161" i="59"/>
  <c r="J162" i="59"/>
  <c r="J163" i="59"/>
  <c r="J164" i="59"/>
  <c r="J165" i="59"/>
  <c r="J166" i="59"/>
  <c r="J167" i="59"/>
  <c r="J168" i="59"/>
  <c r="J169" i="59"/>
  <c r="J170" i="59"/>
  <c r="J171" i="59"/>
  <c r="J172" i="59"/>
  <c r="J173" i="59"/>
  <c r="J174" i="59"/>
  <c r="J175" i="59"/>
  <c r="J176" i="59"/>
  <c r="J177" i="59"/>
  <c r="J178" i="59"/>
  <c r="J179" i="59"/>
  <c r="J180" i="59"/>
  <c r="J181" i="59"/>
  <c r="J182" i="59"/>
  <c r="J183" i="59"/>
  <c r="J184" i="59"/>
  <c r="J185" i="59"/>
  <c r="J186" i="59"/>
  <c r="J187" i="59"/>
  <c r="J188" i="59"/>
  <c r="J189" i="59"/>
  <c r="J190" i="59"/>
  <c r="J191" i="59"/>
  <c r="J192" i="59"/>
  <c r="J193" i="59"/>
  <c r="J194" i="59"/>
  <c r="J195" i="59"/>
  <c r="J196" i="59"/>
  <c r="J197" i="59"/>
  <c r="J198" i="59"/>
  <c r="J199" i="59"/>
  <c r="J200" i="59"/>
  <c r="J201" i="59"/>
  <c r="J202" i="59"/>
  <c r="J203" i="59"/>
  <c r="J204" i="59"/>
  <c r="J205" i="59"/>
  <c r="J206" i="59"/>
  <c r="J207" i="59"/>
  <c r="J208" i="59"/>
  <c r="J209" i="59"/>
  <c r="J210" i="59"/>
  <c r="J211" i="59"/>
  <c r="J212" i="59"/>
  <c r="J213" i="59"/>
  <c r="J214" i="59"/>
  <c r="J215" i="59"/>
  <c r="J216" i="59"/>
  <c r="J217" i="59"/>
  <c r="J218" i="59"/>
  <c r="J219" i="59"/>
  <c r="J220" i="59"/>
  <c r="J221" i="59"/>
  <c r="J222" i="59"/>
  <c r="J223" i="59"/>
  <c r="J224" i="59"/>
  <c r="J225" i="59"/>
  <c r="J226" i="59"/>
  <c r="J119" i="59"/>
  <c r="J26" i="59"/>
  <c r="J27" i="59"/>
  <c r="J28" i="59"/>
  <c r="J29" i="59"/>
  <c r="J30" i="59"/>
  <c r="J31" i="59"/>
  <c r="J32" i="59"/>
  <c r="J33" i="59"/>
  <c r="J34" i="59"/>
  <c r="J35" i="59"/>
  <c r="J36" i="59"/>
  <c r="J37" i="59"/>
  <c r="J38" i="59"/>
  <c r="J39" i="59"/>
  <c r="J40" i="59"/>
  <c r="J41" i="59"/>
  <c r="J42" i="59"/>
  <c r="J43" i="59"/>
  <c r="J44" i="59"/>
  <c r="J45" i="59"/>
  <c r="J46" i="59"/>
  <c r="J47" i="59"/>
  <c r="J48" i="59"/>
  <c r="J49" i="59"/>
  <c r="J50" i="59"/>
  <c r="J51" i="59"/>
  <c r="J52" i="59"/>
  <c r="J53" i="59"/>
  <c r="J54" i="59"/>
  <c r="J55" i="59"/>
  <c r="J56" i="59"/>
  <c r="J57" i="59"/>
  <c r="J58" i="59"/>
  <c r="J59" i="59"/>
  <c r="J60" i="59"/>
  <c r="J61" i="59"/>
  <c r="J62" i="59"/>
  <c r="J63" i="59"/>
  <c r="J64" i="59"/>
  <c r="J65" i="59"/>
  <c r="J66" i="59"/>
  <c r="J67" i="59"/>
  <c r="J68" i="59"/>
  <c r="J69" i="59"/>
  <c r="J70" i="59"/>
  <c r="J71" i="59"/>
  <c r="J72" i="59"/>
  <c r="J73" i="59"/>
  <c r="J74" i="59"/>
  <c r="J75" i="59"/>
  <c r="J76" i="59"/>
  <c r="J77" i="59"/>
  <c r="J78" i="59"/>
  <c r="J79" i="59"/>
  <c r="J80" i="59"/>
  <c r="J81" i="59"/>
  <c r="J82" i="59"/>
  <c r="J83" i="59"/>
  <c r="J84" i="59"/>
  <c r="J85" i="59"/>
  <c r="J86" i="59"/>
  <c r="J87" i="59"/>
  <c r="J88" i="59"/>
  <c r="J89" i="59"/>
  <c r="J90" i="59"/>
  <c r="J91" i="59"/>
  <c r="J92" i="59"/>
  <c r="J93" i="59"/>
  <c r="J94" i="59"/>
  <c r="J95" i="59"/>
  <c r="J96" i="59"/>
  <c r="J97" i="59"/>
  <c r="J98" i="59"/>
  <c r="J99" i="59"/>
  <c r="J100" i="59"/>
  <c r="J101" i="59"/>
  <c r="J102" i="59"/>
  <c r="J103" i="59"/>
  <c r="J104" i="59"/>
  <c r="J105" i="59"/>
  <c r="J106" i="59"/>
  <c r="J107" i="59"/>
  <c r="J108" i="59"/>
  <c r="J109" i="59"/>
  <c r="J110" i="59"/>
  <c r="J111" i="59"/>
  <c r="J112" i="59"/>
  <c r="J113" i="59"/>
  <c r="J114" i="59"/>
  <c r="J115" i="59"/>
  <c r="J116" i="59"/>
  <c r="J117" i="59"/>
  <c r="J118" i="59"/>
  <c r="J13" i="59"/>
  <c r="J14" i="59"/>
  <c r="J15" i="59"/>
  <c r="J16" i="59"/>
  <c r="J17" i="59"/>
  <c r="J18" i="59"/>
  <c r="J19" i="59"/>
  <c r="J20" i="59"/>
  <c r="J21" i="59"/>
  <c r="J22" i="59"/>
  <c r="J23" i="59"/>
  <c r="J24" i="59"/>
  <c r="J25" i="59"/>
  <c r="J12" i="59"/>
  <c r="J11" i="59"/>
  <c r="M334" i="59"/>
  <c r="L334" i="59"/>
  <c r="I334" i="59"/>
  <c r="M333" i="59"/>
  <c r="L333" i="59"/>
  <c r="I333" i="59"/>
  <c r="M332" i="59"/>
  <c r="L332" i="59"/>
  <c r="I332" i="59"/>
  <c r="M331" i="59"/>
  <c r="L331" i="59"/>
  <c r="I331" i="59"/>
  <c r="N330" i="59"/>
  <c r="M330" i="59"/>
  <c r="L330" i="59"/>
  <c r="I330" i="59"/>
  <c r="M329" i="59"/>
  <c r="L329" i="59"/>
  <c r="I329" i="59"/>
  <c r="M328" i="59"/>
  <c r="L328" i="59"/>
  <c r="I328" i="59"/>
  <c r="M327" i="59"/>
  <c r="L327" i="59"/>
  <c r="I327" i="59"/>
  <c r="M326" i="59"/>
  <c r="L326" i="59"/>
  <c r="I326" i="59"/>
  <c r="M325" i="59"/>
  <c r="L325" i="59"/>
  <c r="I325" i="59"/>
  <c r="N324" i="59"/>
  <c r="M324" i="59"/>
  <c r="L324" i="59"/>
  <c r="I324" i="59"/>
  <c r="M323" i="59"/>
  <c r="L323" i="59"/>
  <c r="I323" i="59"/>
  <c r="M322" i="59"/>
  <c r="L322" i="59"/>
  <c r="I322" i="59"/>
  <c r="M321" i="59"/>
  <c r="L321" i="59"/>
  <c r="I321" i="59"/>
  <c r="M320" i="59"/>
  <c r="L320" i="59"/>
  <c r="I320" i="59"/>
  <c r="M319" i="59"/>
  <c r="L319" i="59"/>
  <c r="I319" i="59"/>
  <c r="N318" i="59"/>
  <c r="M318" i="59"/>
  <c r="L318" i="59"/>
  <c r="I318" i="59"/>
  <c r="M317" i="59"/>
  <c r="L317" i="59"/>
  <c r="I317" i="59"/>
  <c r="M316" i="59"/>
  <c r="L316" i="59"/>
  <c r="I316" i="59"/>
  <c r="M315" i="59"/>
  <c r="L315" i="59"/>
  <c r="I315" i="59"/>
  <c r="M314" i="59"/>
  <c r="L314" i="59"/>
  <c r="I314" i="59"/>
  <c r="M313" i="59"/>
  <c r="L313" i="59"/>
  <c r="I313" i="59"/>
  <c r="N312" i="59"/>
  <c r="M312" i="59"/>
  <c r="L312" i="59"/>
  <c r="I312" i="59"/>
  <c r="M311" i="59"/>
  <c r="L311" i="59"/>
  <c r="I311" i="59"/>
  <c r="M310" i="59"/>
  <c r="L310" i="59"/>
  <c r="I310" i="59"/>
  <c r="M309" i="59"/>
  <c r="L309" i="59"/>
  <c r="I309" i="59"/>
  <c r="M308" i="59"/>
  <c r="L308" i="59"/>
  <c r="I308" i="59"/>
  <c r="M307" i="59"/>
  <c r="L307" i="59"/>
  <c r="I307" i="59"/>
  <c r="N306" i="59"/>
  <c r="M306" i="59"/>
  <c r="L306" i="59"/>
  <c r="I306" i="59"/>
  <c r="M305" i="59"/>
  <c r="L305" i="59"/>
  <c r="I305" i="59"/>
  <c r="M304" i="59"/>
  <c r="L304" i="59"/>
  <c r="I304" i="59"/>
  <c r="M303" i="59"/>
  <c r="L303" i="59"/>
  <c r="I303" i="59"/>
  <c r="M302" i="59"/>
  <c r="L302" i="59"/>
  <c r="I302" i="59"/>
  <c r="M301" i="59"/>
  <c r="L301" i="59"/>
  <c r="I301" i="59"/>
  <c r="N300" i="59"/>
  <c r="M300" i="59"/>
  <c r="L300" i="59"/>
  <c r="I300" i="59"/>
  <c r="M299" i="59"/>
  <c r="L299" i="59"/>
  <c r="I299" i="59"/>
  <c r="M298" i="59"/>
  <c r="L298" i="59"/>
  <c r="I298" i="59"/>
  <c r="M297" i="59"/>
  <c r="L297" i="59"/>
  <c r="I297" i="59"/>
  <c r="M296" i="59"/>
  <c r="L296" i="59"/>
  <c r="I296" i="59"/>
  <c r="M295" i="59"/>
  <c r="L295" i="59"/>
  <c r="I295" i="59"/>
  <c r="N294" i="59"/>
  <c r="M294" i="59"/>
  <c r="L294" i="59"/>
  <c r="I294" i="59"/>
  <c r="M293" i="59"/>
  <c r="L293" i="59"/>
  <c r="I293" i="59"/>
  <c r="M292" i="59"/>
  <c r="L292" i="59"/>
  <c r="I292" i="59"/>
  <c r="M291" i="59"/>
  <c r="L291" i="59"/>
  <c r="I291" i="59"/>
  <c r="M290" i="59"/>
  <c r="L290" i="59"/>
  <c r="I290" i="59"/>
  <c r="M289" i="59"/>
  <c r="L289" i="59"/>
  <c r="I289" i="59"/>
  <c r="N288" i="59"/>
  <c r="M288" i="59"/>
  <c r="L288" i="59"/>
  <c r="I288" i="59"/>
  <c r="M287" i="59"/>
  <c r="L287" i="59"/>
  <c r="I287" i="59"/>
  <c r="M286" i="59"/>
  <c r="L286" i="59"/>
  <c r="I286" i="59"/>
  <c r="M285" i="59"/>
  <c r="L285" i="59"/>
  <c r="I285" i="59"/>
  <c r="M284" i="59"/>
  <c r="L284" i="59"/>
  <c r="I284" i="59"/>
  <c r="M283" i="59"/>
  <c r="L283" i="59"/>
  <c r="I283" i="59"/>
  <c r="N282" i="59"/>
  <c r="M282" i="59"/>
  <c r="L282" i="59"/>
  <c r="I282" i="59"/>
  <c r="M281" i="59"/>
  <c r="L281" i="59"/>
  <c r="I281" i="59"/>
  <c r="M280" i="59"/>
  <c r="L280" i="59"/>
  <c r="I280" i="59"/>
  <c r="M279" i="59"/>
  <c r="L279" i="59"/>
  <c r="I279" i="59"/>
  <c r="M278" i="59"/>
  <c r="L278" i="59"/>
  <c r="I278" i="59"/>
  <c r="M277" i="59"/>
  <c r="L277" i="59"/>
  <c r="I277" i="59"/>
  <c r="N276" i="59"/>
  <c r="M276" i="59"/>
  <c r="L276" i="59"/>
  <c r="I276" i="59"/>
  <c r="M275" i="59"/>
  <c r="L275" i="59"/>
  <c r="I275" i="59"/>
  <c r="M274" i="59"/>
  <c r="L274" i="59"/>
  <c r="I274" i="59"/>
  <c r="M273" i="59"/>
  <c r="L273" i="59"/>
  <c r="I273" i="59"/>
  <c r="M272" i="59"/>
  <c r="L272" i="59"/>
  <c r="I272" i="59"/>
  <c r="M271" i="59"/>
  <c r="L271" i="59"/>
  <c r="I271" i="59"/>
  <c r="N270" i="59"/>
  <c r="M270" i="59"/>
  <c r="L270" i="59"/>
  <c r="I270" i="59"/>
  <c r="M269" i="59"/>
  <c r="L269" i="59"/>
  <c r="I269" i="59"/>
  <c r="M268" i="59"/>
  <c r="L268" i="59"/>
  <c r="I268" i="59"/>
  <c r="M267" i="59"/>
  <c r="L267" i="59"/>
  <c r="I267" i="59"/>
  <c r="M266" i="59"/>
  <c r="L266" i="59"/>
  <c r="I266" i="59"/>
  <c r="M265" i="59"/>
  <c r="L265" i="59"/>
  <c r="I265" i="59"/>
  <c r="N264" i="59"/>
  <c r="M264" i="59"/>
  <c r="L264" i="59"/>
  <c r="I264" i="59"/>
  <c r="M263" i="59"/>
  <c r="L263" i="59"/>
  <c r="I263" i="59"/>
  <c r="M262" i="59"/>
  <c r="L262" i="59"/>
  <c r="I262" i="59"/>
  <c r="M261" i="59"/>
  <c r="L261" i="59"/>
  <c r="I261" i="59"/>
  <c r="M260" i="59"/>
  <c r="L260" i="59"/>
  <c r="I260" i="59"/>
  <c r="M259" i="59"/>
  <c r="L259" i="59"/>
  <c r="I259" i="59"/>
  <c r="N258" i="59"/>
  <c r="M258" i="59"/>
  <c r="L258" i="59"/>
  <c r="I258" i="59"/>
  <c r="M257" i="59"/>
  <c r="L257" i="59"/>
  <c r="I257" i="59"/>
  <c r="M256" i="59"/>
  <c r="L256" i="59"/>
  <c r="I256" i="59"/>
  <c r="M255" i="59"/>
  <c r="L255" i="59"/>
  <c r="I255" i="59"/>
  <c r="M254" i="59"/>
  <c r="L254" i="59"/>
  <c r="I254" i="59"/>
  <c r="M253" i="59"/>
  <c r="L253" i="59"/>
  <c r="I253" i="59"/>
  <c r="N252" i="59"/>
  <c r="M252" i="59"/>
  <c r="L252" i="59"/>
  <c r="I252" i="59"/>
  <c r="M251" i="59"/>
  <c r="L251" i="59"/>
  <c r="I251" i="59"/>
  <c r="M250" i="59"/>
  <c r="L250" i="59"/>
  <c r="I250" i="59"/>
  <c r="M249" i="59"/>
  <c r="L249" i="59"/>
  <c r="I249" i="59"/>
  <c r="M248" i="59"/>
  <c r="L248" i="59"/>
  <c r="I248" i="59"/>
  <c r="M247" i="59"/>
  <c r="L247" i="59"/>
  <c r="I247" i="59"/>
  <c r="N246" i="59"/>
  <c r="M246" i="59"/>
  <c r="L246" i="59"/>
  <c r="I246" i="59"/>
  <c r="M245" i="59"/>
  <c r="L245" i="59"/>
  <c r="I245" i="59"/>
  <c r="M244" i="59"/>
  <c r="L244" i="59"/>
  <c r="I244" i="59"/>
  <c r="M243" i="59"/>
  <c r="L243" i="59"/>
  <c r="I243" i="59"/>
  <c r="M242" i="59"/>
  <c r="L242" i="59"/>
  <c r="I242" i="59"/>
  <c r="M241" i="59"/>
  <c r="L241" i="59"/>
  <c r="I241" i="59"/>
  <c r="N240" i="59"/>
  <c r="M240" i="59"/>
  <c r="L240" i="59"/>
  <c r="I240" i="59"/>
  <c r="M239" i="59"/>
  <c r="L239" i="59"/>
  <c r="I239" i="59"/>
  <c r="M238" i="59"/>
  <c r="L238" i="59"/>
  <c r="I238" i="59"/>
  <c r="M237" i="59"/>
  <c r="L237" i="59"/>
  <c r="I237" i="59"/>
  <c r="M236" i="59"/>
  <c r="L236" i="59"/>
  <c r="I236" i="59"/>
  <c r="M235" i="59"/>
  <c r="L235" i="59"/>
  <c r="I235" i="59"/>
  <c r="N234" i="59"/>
  <c r="M234" i="59"/>
  <c r="L234" i="59"/>
  <c r="I234" i="59"/>
  <c r="M233" i="59"/>
  <c r="L233" i="59"/>
  <c r="I233" i="59"/>
  <c r="M232" i="59"/>
  <c r="L232" i="59"/>
  <c r="I232" i="59"/>
  <c r="M231" i="59"/>
  <c r="L231" i="59"/>
  <c r="I231" i="59"/>
  <c r="M230" i="59"/>
  <c r="L230" i="59"/>
  <c r="I230" i="59"/>
  <c r="M229" i="59"/>
  <c r="L229" i="59"/>
  <c r="I229" i="59"/>
  <c r="N228" i="59"/>
  <c r="M228" i="59"/>
  <c r="L228" i="59"/>
  <c r="I228" i="59"/>
  <c r="M227" i="59"/>
  <c r="L227" i="59"/>
  <c r="I227" i="59"/>
  <c r="M226" i="59"/>
  <c r="L226" i="59"/>
  <c r="I226" i="59"/>
  <c r="M225" i="59"/>
  <c r="L225" i="59"/>
  <c r="I225" i="59"/>
  <c r="M224" i="59"/>
  <c r="L224" i="59"/>
  <c r="I224" i="59"/>
  <c r="M223" i="59"/>
  <c r="L223" i="59"/>
  <c r="I223" i="59"/>
  <c r="N222" i="59"/>
  <c r="M222" i="59"/>
  <c r="L222" i="59"/>
  <c r="I222" i="59"/>
  <c r="M221" i="59"/>
  <c r="L221" i="59"/>
  <c r="I221" i="59"/>
  <c r="M220" i="59"/>
  <c r="L220" i="59"/>
  <c r="I220" i="59"/>
  <c r="M219" i="59"/>
  <c r="L219" i="59"/>
  <c r="I219" i="59"/>
  <c r="M218" i="59"/>
  <c r="L218" i="59"/>
  <c r="I218" i="59"/>
  <c r="M217" i="59"/>
  <c r="L217" i="59"/>
  <c r="I217" i="59"/>
  <c r="N216" i="59"/>
  <c r="M216" i="59"/>
  <c r="L216" i="59"/>
  <c r="I216" i="59"/>
  <c r="M215" i="59"/>
  <c r="L215" i="59"/>
  <c r="I215" i="59"/>
  <c r="M214" i="59"/>
  <c r="L214" i="59"/>
  <c r="I214" i="59"/>
  <c r="M213" i="59"/>
  <c r="L213" i="59"/>
  <c r="I213" i="59"/>
  <c r="M212" i="59"/>
  <c r="L212" i="59"/>
  <c r="I212" i="59"/>
  <c r="M211" i="59"/>
  <c r="L211" i="59"/>
  <c r="I211" i="59"/>
  <c r="N210" i="59"/>
  <c r="M210" i="59"/>
  <c r="L210" i="59"/>
  <c r="I210" i="59"/>
  <c r="M209" i="59"/>
  <c r="L209" i="59"/>
  <c r="I209" i="59"/>
  <c r="M208" i="59"/>
  <c r="L208" i="59"/>
  <c r="I208" i="59"/>
  <c r="M207" i="59"/>
  <c r="L207" i="59"/>
  <c r="I207" i="59"/>
  <c r="M206" i="59"/>
  <c r="L206" i="59"/>
  <c r="I206" i="59"/>
  <c r="M205" i="59"/>
  <c r="L205" i="59"/>
  <c r="I205" i="59"/>
  <c r="N204" i="59"/>
  <c r="M204" i="59"/>
  <c r="L204" i="59"/>
  <c r="I204" i="59"/>
  <c r="M203" i="59"/>
  <c r="L203" i="59"/>
  <c r="I203" i="59"/>
  <c r="M202" i="59"/>
  <c r="L202" i="59"/>
  <c r="I202" i="59"/>
  <c r="M201" i="59"/>
  <c r="L201" i="59"/>
  <c r="I201" i="59"/>
  <c r="M200" i="59"/>
  <c r="L200" i="59"/>
  <c r="I200" i="59"/>
  <c r="M199" i="59"/>
  <c r="L199" i="59"/>
  <c r="I199" i="59"/>
  <c r="N198" i="59"/>
  <c r="M198" i="59"/>
  <c r="L198" i="59"/>
  <c r="I198" i="59"/>
  <c r="M197" i="59"/>
  <c r="L197" i="59"/>
  <c r="I197" i="59"/>
  <c r="M196" i="59"/>
  <c r="L196" i="59"/>
  <c r="I196" i="59"/>
  <c r="M195" i="59"/>
  <c r="L195" i="59"/>
  <c r="I195" i="59"/>
  <c r="M194" i="59"/>
  <c r="L194" i="59"/>
  <c r="I194" i="59"/>
  <c r="M193" i="59"/>
  <c r="L193" i="59"/>
  <c r="I193" i="59"/>
  <c r="N192" i="59"/>
  <c r="M192" i="59"/>
  <c r="L192" i="59"/>
  <c r="I192" i="59"/>
  <c r="M191" i="59"/>
  <c r="L191" i="59"/>
  <c r="I191" i="59"/>
  <c r="M190" i="59"/>
  <c r="L190" i="59"/>
  <c r="I190" i="59"/>
  <c r="M189" i="59"/>
  <c r="L189" i="59"/>
  <c r="I189" i="59"/>
  <c r="M188" i="59"/>
  <c r="L188" i="59"/>
  <c r="I188" i="59"/>
  <c r="M187" i="59"/>
  <c r="L187" i="59"/>
  <c r="I187" i="59"/>
  <c r="N186" i="59"/>
  <c r="M186" i="59"/>
  <c r="L186" i="59"/>
  <c r="I186" i="59"/>
  <c r="M185" i="59"/>
  <c r="L185" i="59"/>
  <c r="I185" i="59"/>
  <c r="M184" i="59"/>
  <c r="L184" i="59"/>
  <c r="I184" i="59"/>
  <c r="M183" i="59"/>
  <c r="L183" i="59"/>
  <c r="I183" i="59"/>
  <c r="M182" i="59"/>
  <c r="L182" i="59"/>
  <c r="I182" i="59"/>
  <c r="M181" i="59"/>
  <c r="L181" i="59"/>
  <c r="I181" i="59"/>
  <c r="N180" i="59"/>
  <c r="M180" i="59"/>
  <c r="L180" i="59"/>
  <c r="I180" i="59"/>
  <c r="M179" i="59"/>
  <c r="L179" i="59"/>
  <c r="I179" i="59"/>
  <c r="M178" i="59"/>
  <c r="L178" i="59"/>
  <c r="I178" i="59"/>
  <c r="M177" i="59"/>
  <c r="L177" i="59"/>
  <c r="I177" i="59"/>
  <c r="M176" i="59"/>
  <c r="L176" i="59"/>
  <c r="I176" i="59"/>
  <c r="M175" i="59"/>
  <c r="L175" i="59"/>
  <c r="I175" i="59"/>
  <c r="N174" i="59"/>
  <c r="M174" i="59"/>
  <c r="L174" i="59"/>
  <c r="I174" i="59"/>
  <c r="M173" i="59"/>
  <c r="L173" i="59"/>
  <c r="I173" i="59"/>
  <c r="M172" i="59"/>
  <c r="L172" i="59"/>
  <c r="I172" i="59"/>
  <c r="M171" i="59"/>
  <c r="L171" i="59"/>
  <c r="I171" i="59"/>
  <c r="M170" i="59"/>
  <c r="L170" i="59"/>
  <c r="I170" i="59"/>
  <c r="M169" i="59"/>
  <c r="L169" i="59"/>
  <c r="I169" i="59"/>
  <c r="N168" i="59"/>
  <c r="M168" i="59"/>
  <c r="L168" i="59"/>
  <c r="I168" i="59"/>
  <c r="M167" i="59"/>
  <c r="L167" i="59"/>
  <c r="I167" i="59"/>
  <c r="M166" i="59"/>
  <c r="L166" i="59"/>
  <c r="I166" i="59"/>
  <c r="M165" i="59"/>
  <c r="L165" i="59"/>
  <c r="I165" i="59"/>
  <c r="M164" i="59"/>
  <c r="L164" i="59"/>
  <c r="I164" i="59"/>
  <c r="M163" i="59"/>
  <c r="L163" i="59"/>
  <c r="I163" i="59"/>
  <c r="N162" i="59"/>
  <c r="M162" i="59"/>
  <c r="L162" i="59"/>
  <c r="I162" i="59"/>
  <c r="M161" i="59"/>
  <c r="L161" i="59"/>
  <c r="I161" i="59"/>
  <c r="M160" i="59"/>
  <c r="L160" i="59"/>
  <c r="I160" i="59"/>
  <c r="M159" i="59"/>
  <c r="L159" i="59"/>
  <c r="I159" i="59"/>
  <c r="M158" i="59"/>
  <c r="L158" i="59"/>
  <c r="I158" i="59"/>
  <c r="M157" i="59"/>
  <c r="L157" i="59"/>
  <c r="I157" i="59"/>
  <c r="N156" i="59"/>
  <c r="M156" i="59"/>
  <c r="L156" i="59"/>
  <c r="I156" i="59"/>
  <c r="M155" i="59"/>
  <c r="L155" i="59"/>
  <c r="I155" i="59"/>
  <c r="M120" i="59"/>
  <c r="M121" i="59"/>
  <c r="M122" i="59"/>
  <c r="M123" i="59"/>
  <c r="M124" i="59"/>
  <c r="M125" i="59"/>
  <c r="M126" i="59"/>
  <c r="M127" i="59"/>
  <c r="M128" i="59"/>
  <c r="M129" i="59"/>
  <c r="M130" i="59"/>
  <c r="M131" i="59"/>
  <c r="M132" i="59"/>
  <c r="M133" i="59"/>
  <c r="M134" i="59"/>
  <c r="M135" i="59"/>
  <c r="M136" i="59"/>
  <c r="M137" i="59"/>
  <c r="M138" i="59"/>
  <c r="M139" i="59"/>
  <c r="M140" i="59"/>
  <c r="M141" i="59"/>
  <c r="M142" i="59"/>
  <c r="M143" i="59"/>
  <c r="M144" i="59"/>
  <c r="M145" i="59"/>
  <c r="M146" i="59"/>
  <c r="M147" i="59"/>
  <c r="M148" i="59"/>
  <c r="M149" i="59"/>
  <c r="M150" i="59"/>
  <c r="M151" i="59"/>
  <c r="M152" i="59"/>
  <c r="M153" i="59"/>
  <c r="M154" i="59"/>
  <c r="M119" i="59"/>
  <c r="L154" i="59"/>
  <c r="I154" i="59"/>
  <c r="L153" i="59"/>
  <c r="I153" i="59"/>
  <c r="L152" i="59"/>
  <c r="I152" i="59"/>
  <c r="L151" i="59"/>
  <c r="I151" i="59"/>
  <c r="N150" i="59"/>
  <c r="L150" i="59"/>
  <c r="I150" i="59"/>
  <c r="L149" i="59"/>
  <c r="I149" i="59"/>
  <c r="L148" i="59"/>
  <c r="I148" i="59"/>
  <c r="L147" i="59"/>
  <c r="I147" i="59"/>
  <c r="L146" i="59"/>
  <c r="I146" i="59"/>
  <c r="L145" i="59"/>
  <c r="I145" i="59"/>
  <c r="N144" i="59"/>
  <c r="L144" i="59"/>
  <c r="I144" i="59"/>
  <c r="L143" i="59"/>
  <c r="I143" i="59"/>
  <c r="L142" i="59"/>
  <c r="I142" i="59"/>
  <c r="L141" i="59"/>
  <c r="I141" i="59"/>
  <c r="L140" i="59"/>
  <c r="I140" i="59"/>
  <c r="L139" i="59"/>
  <c r="I139" i="59"/>
  <c r="N138" i="59"/>
  <c r="L138" i="59"/>
  <c r="I138" i="59"/>
  <c r="L137" i="59"/>
  <c r="I137" i="59"/>
  <c r="L136" i="59"/>
  <c r="I136" i="59"/>
  <c r="L135" i="59"/>
  <c r="I135" i="59"/>
  <c r="L134" i="59"/>
  <c r="I134" i="59"/>
  <c r="L133" i="59"/>
  <c r="I133" i="59"/>
  <c r="N132" i="59"/>
  <c r="L132" i="59"/>
  <c r="I132" i="59"/>
  <c r="L131" i="59"/>
  <c r="I131" i="59"/>
  <c r="L130" i="59"/>
  <c r="I130" i="59"/>
  <c r="L129" i="59"/>
  <c r="I129" i="59"/>
  <c r="L128" i="59"/>
  <c r="I128" i="59"/>
  <c r="L127" i="59"/>
  <c r="I127" i="59"/>
  <c r="N126" i="59"/>
  <c r="L126" i="59"/>
  <c r="I126" i="59"/>
  <c r="L125" i="59"/>
  <c r="I125" i="59"/>
  <c r="L124" i="59"/>
  <c r="I124" i="59"/>
  <c r="L123" i="59"/>
  <c r="I123" i="59"/>
  <c r="L122" i="59"/>
  <c r="I122" i="59"/>
  <c r="L121" i="59"/>
  <c r="I121" i="59"/>
  <c r="N120" i="59"/>
  <c r="L120" i="59"/>
  <c r="I120" i="59"/>
  <c r="L119" i="59"/>
  <c r="I119" i="59"/>
  <c r="M84" i="59"/>
  <c r="M85" i="59"/>
  <c r="M86" i="59"/>
  <c r="M87" i="59"/>
  <c r="M88" i="59"/>
  <c r="M89" i="59"/>
  <c r="M90" i="59"/>
  <c r="M91" i="59"/>
  <c r="M92" i="59"/>
  <c r="M93" i="59"/>
  <c r="M94" i="59"/>
  <c r="M95" i="59"/>
  <c r="M96" i="59"/>
  <c r="M97" i="59"/>
  <c r="M98" i="59"/>
  <c r="M99" i="59"/>
  <c r="M100" i="59"/>
  <c r="M101" i="59"/>
  <c r="M102" i="59"/>
  <c r="M103" i="59"/>
  <c r="M104" i="59"/>
  <c r="M105" i="59"/>
  <c r="M106" i="59"/>
  <c r="M107" i="59"/>
  <c r="M108" i="59"/>
  <c r="M109" i="59"/>
  <c r="M110" i="59"/>
  <c r="M111" i="59"/>
  <c r="M112" i="59"/>
  <c r="M113" i="59"/>
  <c r="M114" i="59"/>
  <c r="M115" i="59"/>
  <c r="M116" i="59"/>
  <c r="M117" i="59"/>
  <c r="M118" i="59"/>
  <c r="M83" i="59"/>
  <c r="L118" i="59"/>
  <c r="I118" i="59"/>
  <c r="L117" i="59"/>
  <c r="I117" i="59"/>
  <c r="L116" i="59"/>
  <c r="I116" i="59"/>
  <c r="L115" i="59"/>
  <c r="I115" i="59"/>
  <c r="N114" i="59"/>
  <c r="L114" i="59"/>
  <c r="I114" i="59"/>
  <c r="L113" i="59"/>
  <c r="I113" i="59"/>
  <c r="L112" i="59"/>
  <c r="I112" i="59"/>
  <c r="L111" i="59"/>
  <c r="I111" i="59"/>
  <c r="L110" i="59"/>
  <c r="I110" i="59"/>
  <c r="L109" i="59"/>
  <c r="I109" i="59"/>
  <c r="N108" i="59"/>
  <c r="L108" i="59"/>
  <c r="I108" i="59"/>
  <c r="L107" i="59"/>
  <c r="I107" i="59"/>
  <c r="L106" i="59"/>
  <c r="I106" i="59"/>
  <c r="L105" i="59"/>
  <c r="I105" i="59"/>
  <c r="L104" i="59"/>
  <c r="I104" i="59"/>
  <c r="L103" i="59"/>
  <c r="I103" i="59"/>
  <c r="N102" i="59"/>
  <c r="L102" i="59"/>
  <c r="I102" i="59"/>
  <c r="L101" i="59"/>
  <c r="I101" i="59"/>
  <c r="L100" i="59"/>
  <c r="I100" i="59"/>
  <c r="L99" i="59"/>
  <c r="I99" i="59"/>
  <c r="L98" i="59"/>
  <c r="I98" i="59"/>
  <c r="L97" i="59"/>
  <c r="I97" i="59"/>
  <c r="N96" i="59"/>
  <c r="L96" i="59"/>
  <c r="I96" i="59"/>
  <c r="L95" i="59"/>
  <c r="I95" i="59"/>
  <c r="L94" i="59"/>
  <c r="I94" i="59"/>
  <c r="L93" i="59"/>
  <c r="I93" i="59"/>
  <c r="L92" i="59"/>
  <c r="I92" i="59"/>
  <c r="L91" i="59"/>
  <c r="I91" i="59"/>
  <c r="N90" i="59"/>
  <c r="L90" i="59"/>
  <c r="I90" i="59"/>
  <c r="L89" i="59"/>
  <c r="I89" i="59"/>
  <c r="L88" i="59"/>
  <c r="I88" i="59"/>
  <c r="L87" i="59"/>
  <c r="I87" i="59"/>
  <c r="L86" i="59"/>
  <c r="I86" i="59"/>
  <c r="L85" i="59"/>
  <c r="I85" i="59"/>
  <c r="N84" i="59"/>
  <c r="L84" i="59"/>
  <c r="I84" i="59"/>
  <c r="L83" i="59"/>
  <c r="I83" i="59"/>
  <c r="M53" i="59"/>
  <c r="M54" i="59"/>
  <c r="M55" i="59"/>
  <c r="M56" i="59"/>
  <c r="M57" i="59"/>
  <c r="M58" i="59"/>
  <c r="M59" i="59"/>
  <c r="M60" i="59"/>
  <c r="M61" i="59"/>
  <c r="M62" i="59"/>
  <c r="M63" i="59"/>
  <c r="M64" i="59"/>
  <c r="M65" i="59"/>
  <c r="M66" i="59"/>
  <c r="M67" i="59"/>
  <c r="M68" i="59"/>
  <c r="M69" i="59"/>
  <c r="M70" i="59"/>
  <c r="M71" i="59"/>
  <c r="M72" i="59"/>
  <c r="M73" i="59"/>
  <c r="M74" i="59"/>
  <c r="M75" i="59"/>
  <c r="M76" i="59"/>
  <c r="M77" i="59"/>
  <c r="M78" i="59"/>
  <c r="M79" i="59"/>
  <c r="M80" i="59"/>
  <c r="M81" i="59"/>
  <c r="M82" i="59"/>
  <c r="L82" i="59"/>
  <c r="I82" i="59"/>
  <c r="L81" i="59"/>
  <c r="I81" i="59"/>
  <c r="L80" i="59"/>
  <c r="I80" i="59"/>
  <c r="L79" i="59"/>
  <c r="I79" i="59"/>
  <c r="N78" i="59"/>
  <c r="L78" i="59"/>
  <c r="I78" i="59"/>
  <c r="L77" i="59"/>
  <c r="I77" i="59"/>
  <c r="L76" i="59"/>
  <c r="I76" i="59"/>
  <c r="L75" i="59"/>
  <c r="I75" i="59"/>
  <c r="L74" i="59"/>
  <c r="I74" i="59"/>
  <c r="L73" i="59"/>
  <c r="I73" i="59"/>
  <c r="N72" i="59"/>
  <c r="L72" i="59"/>
  <c r="I72" i="59"/>
  <c r="L71" i="59"/>
  <c r="I71" i="59"/>
  <c r="L70" i="59"/>
  <c r="I70" i="59"/>
  <c r="L69" i="59"/>
  <c r="I69" i="59"/>
  <c r="L68" i="59"/>
  <c r="I68" i="59"/>
  <c r="L67" i="59"/>
  <c r="I67" i="59"/>
  <c r="N66" i="59"/>
  <c r="L66" i="59"/>
  <c r="I66" i="59"/>
  <c r="L65" i="59"/>
  <c r="I65" i="59"/>
  <c r="L64" i="59"/>
  <c r="I64" i="59"/>
  <c r="L63" i="59"/>
  <c r="I63" i="59"/>
  <c r="L62" i="59"/>
  <c r="I62" i="59"/>
  <c r="L61" i="59"/>
  <c r="I61" i="59"/>
  <c r="N60" i="59"/>
  <c r="L60" i="59"/>
  <c r="I60" i="59"/>
  <c r="L59" i="59"/>
  <c r="I59" i="59"/>
  <c r="L58" i="59"/>
  <c r="I58" i="59"/>
  <c r="L57" i="59"/>
  <c r="I57" i="59"/>
  <c r="L56" i="59"/>
  <c r="I56" i="59"/>
  <c r="L55" i="59"/>
  <c r="I55" i="59"/>
  <c r="N54" i="59"/>
  <c r="L54" i="59"/>
  <c r="I54" i="59"/>
  <c r="L53" i="59"/>
  <c r="I53" i="59"/>
  <c r="M48" i="59"/>
  <c r="M49" i="59"/>
  <c r="M50" i="59"/>
  <c r="M51" i="59"/>
  <c r="M52" i="59"/>
  <c r="M47" i="59"/>
  <c r="L52" i="59"/>
  <c r="I52" i="59"/>
  <c r="L51" i="59"/>
  <c r="I51" i="59"/>
  <c r="L50" i="59"/>
  <c r="I50" i="59"/>
  <c r="L49" i="59"/>
  <c r="I49" i="59"/>
  <c r="N48" i="59"/>
  <c r="L48" i="59"/>
  <c r="I48" i="59"/>
  <c r="L47" i="59"/>
  <c r="I47" i="59"/>
  <c r="N61" i="59" l="1"/>
  <c r="N73" i="59"/>
  <c r="N85" i="59"/>
  <c r="N193" i="59"/>
  <c r="N223" i="59"/>
  <c r="N301" i="59"/>
  <c r="E125" i="42"/>
  <c r="F125" i="42" s="1"/>
  <c r="K125" i="42"/>
  <c r="C125" i="42" s="1"/>
  <c r="D126" i="42"/>
  <c r="N55" i="59"/>
  <c r="N115" i="59"/>
  <c r="N139" i="59"/>
  <c r="N163" i="59"/>
  <c r="N241" i="59"/>
  <c r="N271" i="59"/>
  <c r="N319" i="59"/>
  <c r="N49" i="59"/>
  <c r="N313" i="59"/>
  <c r="N97" i="59"/>
  <c r="N121" i="59"/>
  <c r="N181" i="59"/>
  <c r="N211" i="59"/>
  <c r="N289" i="59"/>
  <c r="G124" i="42"/>
  <c r="H124" i="42"/>
  <c r="G297" i="95"/>
  <c r="H297" i="95"/>
  <c r="N265" i="59"/>
  <c r="N67" i="59"/>
  <c r="N151" i="59"/>
  <c r="N199" i="59"/>
  <c r="N229" i="59"/>
  <c r="N259" i="59"/>
  <c r="N307" i="59"/>
  <c r="N157" i="59"/>
  <c r="N109" i="59"/>
  <c r="N133" i="59"/>
  <c r="N169" i="59"/>
  <c r="N247" i="59"/>
  <c r="N277" i="59"/>
  <c r="N325" i="59"/>
  <c r="N145" i="59"/>
  <c r="N235" i="59"/>
  <c r="N79" i="59"/>
  <c r="N91" i="59"/>
  <c r="N187" i="59"/>
  <c r="N217" i="59"/>
  <c r="N295" i="59"/>
  <c r="R298" i="95"/>
  <c r="T298" i="95" s="1"/>
  <c r="T297" i="95"/>
  <c r="K298" i="95"/>
  <c r="E298" i="95"/>
  <c r="F298" i="95" s="1"/>
  <c r="N103" i="59"/>
  <c r="N127" i="59"/>
  <c r="N175" i="59"/>
  <c r="N205" i="59"/>
  <c r="N253" i="59"/>
  <c r="N283" i="59"/>
  <c r="N331" i="59"/>
  <c r="Q286" i="95"/>
  <c r="S285" i="95"/>
  <c r="U285" i="95" s="1"/>
  <c r="V285" i="95" s="1"/>
  <c r="W285" i="95" s="1"/>
  <c r="Z285" i="95" s="1"/>
  <c r="Y285" i="95" s="1"/>
  <c r="D113" i="48"/>
  <c r="K112" i="48"/>
  <c r="C112" i="48" s="1"/>
  <c r="E112" i="48"/>
  <c r="F112" i="48" s="1"/>
  <c r="H111" i="48"/>
  <c r="G111" i="48"/>
  <c r="H82" i="76"/>
  <c r="G82" i="76"/>
  <c r="A513" i="61"/>
  <c r="A514" i="61" s="1"/>
  <c r="A515" i="61" s="1"/>
  <c r="A516" i="61" s="1"/>
  <c r="A517" i="61" s="1"/>
  <c r="A518" i="61" s="1"/>
  <c r="A519" i="61" s="1"/>
  <c r="A520" i="61" s="1"/>
  <c r="A521" i="61" s="1"/>
  <c r="A522" i="61" s="1"/>
  <c r="A523" i="61" s="1"/>
  <c r="A524" i="61" s="1"/>
  <c r="A525" i="61" s="1"/>
  <c r="A526" i="61" s="1"/>
  <c r="A527" i="61" s="1"/>
  <c r="A528" i="61" s="1"/>
  <c r="A529" i="61" s="1"/>
  <c r="A530" i="61" s="1"/>
  <c r="A531" i="61" s="1"/>
  <c r="A532" i="61" s="1"/>
  <c r="A533" i="61" s="1"/>
  <c r="A534" i="61" s="1"/>
  <c r="A535" i="61" s="1"/>
  <c r="A536" i="61" s="1"/>
  <c r="A537" i="61" s="1"/>
  <c r="A538" i="61" s="1"/>
  <c r="A539" i="61" s="1"/>
  <c r="A540" i="61" s="1"/>
  <c r="A541" i="61" s="1"/>
  <c r="A542" i="61" s="1"/>
  <c r="A543" i="61" s="1"/>
  <c r="A544" i="61" s="1"/>
  <c r="A545" i="61" s="1"/>
  <c r="A546" i="61" s="1"/>
  <c r="A547" i="61" s="1"/>
  <c r="A548" i="61" s="1"/>
  <c r="A549" i="61" s="1"/>
  <c r="A550" i="61" s="1"/>
  <c r="A551" i="61" s="1"/>
  <c r="A552" i="61" s="1"/>
  <c r="A553" i="61" s="1"/>
  <c r="A554" i="61" s="1"/>
  <c r="A555" i="61" s="1"/>
  <c r="A556" i="61" s="1"/>
  <c r="A557" i="61" s="1"/>
  <c r="A558" i="61" s="1"/>
  <c r="A559" i="61" s="1"/>
  <c r="A560" i="61" s="1"/>
  <c r="A561" i="61" s="1"/>
  <c r="A562" i="61" s="1"/>
  <c r="A563" i="61" s="1"/>
  <c r="A564" i="61" s="1"/>
  <c r="A565" i="61" s="1"/>
  <c r="A566" i="61" s="1"/>
  <c r="A567" i="61" s="1"/>
  <c r="A568" i="61" s="1"/>
  <c r="A569" i="61" s="1"/>
  <c r="A570" i="61" s="1"/>
  <c r="A571" i="61" s="1"/>
  <c r="A572" i="61" s="1"/>
  <c r="A573" i="61" s="1"/>
  <c r="A574" i="61" s="1"/>
  <c r="A575" i="61" s="1"/>
  <c r="A576" i="61" s="1"/>
  <c r="A577" i="61" s="1"/>
  <c r="A578" i="61" s="1"/>
  <c r="A579" i="61" s="1"/>
  <c r="A580" i="61" s="1"/>
  <c r="H81" i="74"/>
  <c r="G81" i="74"/>
  <c r="J18" i="62"/>
  <c r="O17" i="62"/>
  <c r="D85" i="77"/>
  <c r="E84" i="77"/>
  <c r="D80" i="76"/>
  <c r="K79" i="76"/>
  <c r="D370" i="78"/>
  <c r="E369" i="78"/>
  <c r="E227" i="78"/>
  <c r="D228" i="78"/>
  <c r="E82" i="78"/>
  <c r="D83" i="78"/>
  <c r="D274" i="77"/>
  <c r="E273" i="77"/>
  <c r="E178" i="77"/>
  <c r="D179" i="77"/>
  <c r="F83" i="76"/>
  <c r="F82" i="74"/>
  <c r="F82" i="66"/>
  <c r="G82" i="66" s="1"/>
  <c r="L13" i="59"/>
  <c r="M13" i="59"/>
  <c r="L14" i="59"/>
  <c r="M14" i="59"/>
  <c r="L15" i="59"/>
  <c r="M15" i="59"/>
  <c r="L16" i="59"/>
  <c r="M16" i="59"/>
  <c r="L17" i="59"/>
  <c r="M17" i="59"/>
  <c r="L18" i="59"/>
  <c r="M18" i="59"/>
  <c r="L19" i="59"/>
  <c r="M19" i="59"/>
  <c r="L20" i="59"/>
  <c r="M20" i="59"/>
  <c r="L21" i="59"/>
  <c r="M21" i="59"/>
  <c r="L22" i="59"/>
  <c r="M22" i="59"/>
  <c r="L23" i="59"/>
  <c r="M23" i="59"/>
  <c r="L24" i="59"/>
  <c r="M24" i="59"/>
  <c r="L25" i="59"/>
  <c r="M25" i="59"/>
  <c r="L26" i="59"/>
  <c r="M26" i="59"/>
  <c r="L27" i="59"/>
  <c r="M27" i="59"/>
  <c r="L28" i="59"/>
  <c r="M28" i="59"/>
  <c r="L29" i="59"/>
  <c r="M29" i="59"/>
  <c r="L30" i="59"/>
  <c r="M30" i="59"/>
  <c r="L31" i="59"/>
  <c r="M31" i="59"/>
  <c r="L32" i="59"/>
  <c r="M32" i="59"/>
  <c r="L33" i="59"/>
  <c r="M33" i="59"/>
  <c r="L34" i="59"/>
  <c r="M34" i="59"/>
  <c r="L35" i="59"/>
  <c r="M35" i="59"/>
  <c r="L36" i="59"/>
  <c r="M36" i="59"/>
  <c r="L37" i="59"/>
  <c r="M37" i="59"/>
  <c r="L38" i="59"/>
  <c r="M38" i="59"/>
  <c r="L39" i="59"/>
  <c r="M39" i="59"/>
  <c r="L40" i="59"/>
  <c r="M40" i="59"/>
  <c r="L41" i="59"/>
  <c r="M41" i="59"/>
  <c r="L42" i="59"/>
  <c r="M42" i="59"/>
  <c r="L43" i="59"/>
  <c r="M43" i="59"/>
  <c r="L44" i="59"/>
  <c r="M44" i="59"/>
  <c r="L45" i="59"/>
  <c r="M45" i="59"/>
  <c r="L46" i="59"/>
  <c r="M46" i="59"/>
  <c r="L12" i="59"/>
  <c r="M12" i="59"/>
  <c r="M11" i="59"/>
  <c r="H298" i="95" l="1"/>
  <c r="G298" i="95"/>
  <c r="N218" i="59"/>
  <c r="N236" i="59"/>
  <c r="N248" i="59"/>
  <c r="N158" i="59"/>
  <c r="N200" i="59"/>
  <c r="N182" i="59"/>
  <c r="N50" i="59"/>
  <c r="N164" i="59"/>
  <c r="Q287" i="95"/>
  <c r="S286" i="95"/>
  <c r="U286" i="95" s="1"/>
  <c r="V286" i="95" s="1"/>
  <c r="W286" i="95" s="1"/>
  <c r="Z286" i="95" s="1"/>
  <c r="Y286" i="95" s="1"/>
  <c r="N206" i="59"/>
  <c r="H125" i="42"/>
  <c r="G125" i="42"/>
  <c r="N194" i="59"/>
  <c r="N188" i="59"/>
  <c r="N146" i="59"/>
  <c r="N170" i="59"/>
  <c r="N308" i="59"/>
  <c r="N152" i="59"/>
  <c r="N122" i="59"/>
  <c r="N320" i="59"/>
  <c r="N140" i="59"/>
  <c r="N332" i="59"/>
  <c r="N176" i="59"/>
  <c r="N86" i="59"/>
  <c r="N92" i="59"/>
  <c r="N326" i="59"/>
  <c r="N134" i="59"/>
  <c r="N260" i="59"/>
  <c r="N68" i="59"/>
  <c r="N290" i="59"/>
  <c r="N98" i="59"/>
  <c r="N272" i="59"/>
  <c r="N116" i="59"/>
  <c r="N284" i="59"/>
  <c r="N128" i="59"/>
  <c r="N302" i="59"/>
  <c r="N74" i="59"/>
  <c r="N296" i="59"/>
  <c r="N80" i="59"/>
  <c r="N278" i="59"/>
  <c r="N110" i="59"/>
  <c r="N230" i="59"/>
  <c r="N266" i="59"/>
  <c r="N212" i="59"/>
  <c r="N314" i="59"/>
  <c r="N242" i="59"/>
  <c r="N56" i="59"/>
  <c r="N254" i="59"/>
  <c r="N104" i="59"/>
  <c r="C126" i="42"/>
  <c r="E126" i="42"/>
  <c r="F126" i="42" s="1"/>
  <c r="D127" i="42"/>
  <c r="K126" i="42"/>
  <c r="N224" i="59"/>
  <c r="N62" i="59"/>
  <c r="G112" i="48"/>
  <c r="H112" i="48"/>
  <c r="E113" i="48"/>
  <c r="F113" i="48" s="1"/>
  <c r="K113" i="48"/>
  <c r="C113" i="48" s="1"/>
  <c r="D114" i="48"/>
  <c r="G82" i="74"/>
  <c r="H82" i="74"/>
  <c r="A11" i="41"/>
  <c r="G83" i="76"/>
  <c r="H83" i="76"/>
  <c r="J19" i="62"/>
  <c r="O18" i="62"/>
  <c r="D81" i="76"/>
  <c r="K80" i="76"/>
  <c r="E85" i="77"/>
  <c r="D86" i="77"/>
  <c r="D371" i="78"/>
  <c r="E370" i="78"/>
  <c r="D229" i="78"/>
  <c r="E228" i="78"/>
  <c r="D84" i="78"/>
  <c r="E83" i="78"/>
  <c r="D275" i="77"/>
  <c r="E274" i="77"/>
  <c r="E179" i="77"/>
  <c r="D180" i="77"/>
  <c r="F84" i="76"/>
  <c r="F83" i="66"/>
  <c r="G83" i="66" s="1"/>
  <c r="N42" i="59"/>
  <c r="N36" i="59"/>
  <c r="N30" i="59"/>
  <c r="N24" i="59"/>
  <c r="N18" i="59"/>
  <c r="D128" i="42" l="1"/>
  <c r="E127" i="42"/>
  <c r="F127" i="42" s="1"/>
  <c r="K127" i="42"/>
  <c r="C127" i="42" s="1"/>
  <c r="N57" i="59"/>
  <c r="N267" i="59"/>
  <c r="N81" i="59"/>
  <c r="N129" i="59"/>
  <c r="N99" i="59"/>
  <c r="N135" i="59"/>
  <c r="N87" i="59"/>
  <c r="N31" i="59"/>
  <c r="G126" i="42"/>
  <c r="H126" i="42"/>
  <c r="N321" i="59"/>
  <c r="N171" i="59"/>
  <c r="N51" i="59"/>
  <c r="N249" i="59"/>
  <c r="N243" i="59"/>
  <c r="N231" i="59"/>
  <c r="N297" i="59"/>
  <c r="N285" i="59"/>
  <c r="N291" i="59"/>
  <c r="N327" i="59"/>
  <c r="N43" i="59"/>
  <c r="N177" i="59"/>
  <c r="N123" i="59"/>
  <c r="N147" i="59"/>
  <c r="N207" i="59"/>
  <c r="N183" i="59"/>
  <c r="N237" i="59"/>
  <c r="N105" i="59"/>
  <c r="N201" i="59"/>
  <c r="N25" i="59"/>
  <c r="N315" i="59"/>
  <c r="N75" i="59"/>
  <c r="N117" i="59"/>
  <c r="N93" i="59"/>
  <c r="N255" i="59"/>
  <c r="N333" i="59"/>
  <c r="N153" i="59"/>
  <c r="N189" i="59"/>
  <c r="S287" i="95"/>
  <c r="U287" i="95" s="1"/>
  <c r="V287" i="95" s="1"/>
  <c r="W287" i="95" s="1"/>
  <c r="Z287" i="95" s="1"/>
  <c r="Y287" i="95" s="1"/>
  <c r="Q288" i="95"/>
  <c r="N219" i="59"/>
  <c r="N111" i="59"/>
  <c r="N225" i="59"/>
  <c r="N213" i="59"/>
  <c r="N279" i="59"/>
  <c r="N303" i="59"/>
  <c r="N273" i="59"/>
  <c r="N261" i="59"/>
  <c r="N37" i="59"/>
  <c r="N63" i="59"/>
  <c r="N69" i="59"/>
  <c r="N19" i="59"/>
  <c r="N141" i="59"/>
  <c r="N309" i="59"/>
  <c r="N195" i="59"/>
  <c r="N165" i="59"/>
  <c r="N159" i="59"/>
  <c r="D115" i="48"/>
  <c r="K114" i="48"/>
  <c r="C114" i="48" s="1"/>
  <c r="E114" i="48"/>
  <c r="F114" i="48" s="1"/>
  <c r="H113" i="48"/>
  <c r="G113" i="48"/>
  <c r="H84" i="76"/>
  <c r="G84" i="76"/>
  <c r="O19" i="62"/>
  <c r="D87" i="77"/>
  <c r="E86" i="77"/>
  <c r="D82" i="76"/>
  <c r="K81" i="76"/>
  <c r="D372" i="78"/>
  <c r="E371" i="78"/>
  <c r="D230" i="78"/>
  <c r="E229" i="78"/>
  <c r="E84" i="78"/>
  <c r="D85" i="78"/>
  <c r="D276" i="77"/>
  <c r="E275" i="77"/>
  <c r="D181" i="77"/>
  <c r="E180" i="77"/>
  <c r="F85" i="76"/>
  <c r="F84" i="66"/>
  <c r="G84" i="66" s="1"/>
  <c r="D23" i="50"/>
  <c r="D24" i="50"/>
  <c r="D25" i="50"/>
  <c r="D26" i="50"/>
  <c r="D27" i="50"/>
  <c r="D28" i="50"/>
  <c r="D29" i="50"/>
  <c r="D30" i="50"/>
  <c r="D31" i="50"/>
  <c r="D32" i="50"/>
  <c r="D33" i="50"/>
  <c r="D34" i="50"/>
  <c r="E156" i="44"/>
  <c r="E157" i="44"/>
  <c r="E158" i="44"/>
  <c r="E159" i="44"/>
  <c r="E160" i="44"/>
  <c r="E161" i="44"/>
  <c r="E162" i="44"/>
  <c r="E163" i="44"/>
  <c r="E164" i="44"/>
  <c r="E165" i="44"/>
  <c r="E166" i="44"/>
  <c r="E167" i="44"/>
  <c r="E168" i="44"/>
  <c r="E169" i="44"/>
  <c r="E170" i="44"/>
  <c r="E171" i="44"/>
  <c r="E172" i="44"/>
  <c r="E173" i="44"/>
  <c r="E174" i="44"/>
  <c r="E175" i="44"/>
  <c r="E176" i="44"/>
  <c r="E177" i="44"/>
  <c r="E178" i="44"/>
  <c r="E179" i="44"/>
  <c r="E180" i="44"/>
  <c r="E181" i="44"/>
  <c r="E182" i="44"/>
  <c r="E183" i="44"/>
  <c r="E184" i="44"/>
  <c r="E185" i="44"/>
  <c r="E186" i="44"/>
  <c r="E187" i="44"/>
  <c r="E188" i="44"/>
  <c r="E189" i="44"/>
  <c r="E190" i="44"/>
  <c r="E191" i="44"/>
  <c r="E192" i="44"/>
  <c r="E193" i="44"/>
  <c r="E194" i="44"/>
  <c r="E195" i="44"/>
  <c r="E196" i="44"/>
  <c r="E197" i="44"/>
  <c r="E198" i="44"/>
  <c r="E199" i="44"/>
  <c r="E200" i="44"/>
  <c r="E201" i="44"/>
  <c r="E202" i="44"/>
  <c r="D60" i="44"/>
  <c r="E60" i="44" s="1"/>
  <c r="D61" i="44"/>
  <c r="E61" i="44" s="1"/>
  <c r="D62" i="44"/>
  <c r="E62" i="44" s="1"/>
  <c r="D63" i="44"/>
  <c r="E63" i="44" s="1"/>
  <c r="D64" i="44"/>
  <c r="E64" i="44" s="1"/>
  <c r="D65" i="44"/>
  <c r="E65" i="44" s="1"/>
  <c r="D66" i="44"/>
  <c r="E66" i="44" s="1"/>
  <c r="D67" i="44"/>
  <c r="E67" i="44" s="1"/>
  <c r="D68" i="44"/>
  <c r="E68" i="44" s="1"/>
  <c r="D69" i="44"/>
  <c r="E69" i="44" s="1"/>
  <c r="D70" i="44"/>
  <c r="E70" i="44" s="1"/>
  <c r="D71" i="44"/>
  <c r="E71" i="44" s="1"/>
  <c r="D72" i="44"/>
  <c r="E72" i="44" s="1"/>
  <c r="D73" i="44"/>
  <c r="E73" i="44" s="1"/>
  <c r="D74" i="44"/>
  <c r="E74" i="44" s="1"/>
  <c r="D75" i="44"/>
  <c r="E75" i="44" s="1"/>
  <c r="D76" i="44"/>
  <c r="E76" i="44" s="1"/>
  <c r="D77" i="44"/>
  <c r="E77" i="44" s="1"/>
  <c r="D78" i="44"/>
  <c r="E78" i="44" s="1"/>
  <c r="D79" i="44"/>
  <c r="E79" i="44" s="1"/>
  <c r="D80" i="44"/>
  <c r="E80" i="44" s="1"/>
  <c r="D81" i="44"/>
  <c r="E81" i="44" s="1"/>
  <c r="D82" i="44"/>
  <c r="E82" i="44" s="1"/>
  <c r="D83" i="44"/>
  <c r="D84" i="44"/>
  <c r="E84" i="44" s="1"/>
  <c r="D85" i="44"/>
  <c r="E85" i="44" s="1"/>
  <c r="D86" i="44"/>
  <c r="E86" i="44" s="1"/>
  <c r="D87" i="44"/>
  <c r="E87" i="44" s="1"/>
  <c r="D88" i="44"/>
  <c r="E88" i="44" s="1"/>
  <c r="D89" i="44"/>
  <c r="E89" i="44" s="1"/>
  <c r="D90" i="44"/>
  <c r="E90" i="44" s="1"/>
  <c r="D91" i="44"/>
  <c r="E91" i="44" s="1"/>
  <c r="D92" i="44"/>
  <c r="E92" i="44" s="1"/>
  <c r="D93" i="44"/>
  <c r="E93" i="44" s="1"/>
  <c r="D94" i="44"/>
  <c r="E94" i="44" s="1"/>
  <c r="D95" i="44"/>
  <c r="D96" i="44"/>
  <c r="E96" i="44" s="1"/>
  <c r="D97" i="44"/>
  <c r="E97" i="44" s="1"/>
  <c r="D98" i="44"/>
  <c r="E98" i="44" s="1"/>
  <c r="D99" i="44"/>
  <c r="E99" i="44" s="1"/>
  <c r="D100" i="44"/>
  <c r="E100" i="44" s="1"/>
  <c r="D101" i="44"/>
  <c r="E101" i="44" s="1"/>
  <c r="D102" i="44"/>
  <c r="E102" i="44" s="1"/>
  <c r="D103" i="44"/>
  <c r="E103" i="44" s="1"/>
  <c r="D104" i="44"/>
  <c r="E104" i="44" s="1"/>
  <c r="D105" i="44"/>
  <c r="E105" i="44" s="1"/>
  <c r="D106" i="44"/>
  <c r="E106" i="44" s="1"/>
  <c r="K32" i="50" l="1"/>
  <c r="K24" i="50"/>
  <c r="N166" i="59"/>
  <c r="N20" i="59"/>
  <c r="N262" i="59"/>
  <c r="N214" i="59"/>
  <c r="N256" i="59"/>
  <c r="K31" i="50"/>
  <c r="K23" i="50"/>
  <c r="N316" i="59"/>
  <c r="N238" i="59"/>
  <c r="N124" i="59"/>
  <c r="N292" i="59"/>
  <c r="N244" i="59"/>
  <c r="N322" i="59"/>
  <c r="N136" i="59"/>
  <c r="N268" i="59"/>
  <c r="K30" i="50"/>
  <c r="N196" i="59"/>
  <c r="N70" i="59"/>
  <c r="N274" i="59"/>
  <c r="N226" i="59"/>
  <c r="N190" i="59"/>
  <c r="E95" i="44"/>
  <c r="K29" i="50"/>
  <c r="N94" i="59"/>
  <c r="N26" i="59"/>
  <c r="N184" i="59"/>
  <c r="N178" i="59"/>
  <c r="N286" i="59"/>
  <c r="N250" i="59"/>
  <c r="N100" i="59"/>
  <c r="N58" i="59"/>
  <c r="K28" i="50"/>
  <c r="N310" i="59"/>
  <c r="N64" i="59"/>
  <c r="N304" i="59"/>
  <c r="N112" i="59"/>
  <c r="N154" i="59"/>
  <c r="K27" i="50"/>
  <c r="N118" i="59"/>
  <c r="N202" i="59"/>
  <c r="N208" i="59"/>
  <c r="N44" i="59"/>
  <c r="N298" i="59"/>
  <c r="N52" i="59"/>
  <c r="N32" i="59"/>
  <c r="N130" i="59"/>
  <c r="G127" i="42"/>
  <c r="H127" i="42"/>
  <c r="K34" i="50"/>
  <c r="K26" i="50"/>
  <c r="N160" i="59"/>
  <c r="N142" i="59"/>
  <c r="N38" i="59"/>
  <c r="N280" i="59"/>
  <c r="N220" i="59"/>
  <c r="N334" i="59"/>
  <c r="D129" i="42"/>
  <c r="K128" i="42"/>
  <c r="C128" i="42" s="1"/>
  <c r="E128" i="42"/>
  <c r="F128" i="42" s="1"/>
  <c r="E83" i="44"/>
  <c r="K33" i="50"/>
  <c r="K25" i="50"/>
  <c r="Q289" i="95"/>
  <c r="S288" i="95"/>
  <c r="U288" i="95" s="1"/>
  <c r="V288" i="95" s="1"/>
  <c r="W288" i="95" s="1"/>
  <c r="Z288" i="95" s="1"/>
  <c r="Y288" i="95" s="1"/>
  <c r="N76" i="59"/>
  <c r="N106" i="59"/>
  <c r="N148" i="59"/>
  <c r="N328" i="59"/>
  <c r="N232" i="59"/>
  <c r="N172" i="59"/>
  <c r="N88" i="59"/>
  <c r="N82" i="59"/>
  <c r="G114" i="48"/>
  <c r="H114" i="48"/>
  <c r="D116" i="48"/>
  <c r="K115" i="48"/>
  <c r="C115" i="48" s="1"/>
  <c r="E115" i="48"/>
  <c r="F115" i="48" s="1"/>
  <c r="G85" i="76"/>
  <c r="H85" i="76"/>
  <c r="E34" i="50"/>
  <c r="F34" i="50" s="1"/>
  <c r="G34" i="50" s="1"/>
  <c r="E30" i="50"/>
  <c r="F30" i="50" s="1"/>
  <c r="H30" i="50" s="1"/>
  <c r="E26" i="50"/>
  <c r="F26" i="50" s="1"/>
  <c r="G26" i="50" s="1"/>
  <c r="E33" i="50"/>
  <c r="F33" i="50" s="1"/>
  <c r="H33" i="50" s="1"/>
  <c r="E29" i="50"/>
  <c r="F29" i="50" s="1"/>
  <c r="G29" i="50" s="1"/>
  <c r="E25" i="50"/>
  <c r="F25" i="50" s="1"/>
  <c r="H25" i="50" s="1"/>
  <c r="E32" i="50"/>
  <c r="F32" i="50" s="1"/>
  <c r="G32" i="50" s="1"/>
  <c r="E28" i="50"/>
  <c r="F28" i="50" s="1"/>
  <c r="G28" i="50" s="1"/>
  <c r="E24" i="50"/>
  <c r="F24" i="50" s="1"/>
  <c r="H24" i="50" s="1"/>
  <c r="E31" i="50"/>
  <c r="F31" i="50" s="1"/>
  <c r="H31" i="50" s="1"/>
  <c r="E27" i="50"/>
  <c r="F27" i="50" s="1"/>
  <c r="H27" i="50" s="1"/>
  <c r="E23" i="50"/>
  <c r="F23" i="50" s="1"/>
  <c r="G23" i="50" s="1"/>
  <c r="E87" i="77"/>
  <c r="D88" i="77"/>
  <c r="K82" i="76"/>
  <c r="D83" i="76"/>
  <c r="D373" i="78"/>
  <c r="E372" i="78"/>
  <c r="D231" i="78"/>
  <c r="E230" i="78"/>
  <c r="E85" i="78"/>
  <c r="D86" i="78"/>
  <c r="D277" i="77"/>
  <c r="E276" i="77"/>
  <c r="D182" i="77"/>
  <c r="E181" i="77"/>
  <c r="F86" i="76"/>
  <c r="F85" i="66"/>
  <c r="G85" i="66" s="1"/>
  <c r="G128" i="42" l="1"/>
  <c r="H128" i="42"/>
  <c r="N21" i="59"/>
  <c r="Q290" i="95"/>
  <c r="S289" i="95"/>
  <c r="U289" i="95" s="1"/>
  <c r="V289" i="95" s="1"/>
  <c r="W289" i="95" s="1"/>
  <c r="Z289" i="95" s="1"/>
  <c r="Y289" i="95" s="1"/>
  <c r="N33" i="59"/>
  <c r="N27" i="59"/>
  <c r="E129" i="42"/>
  <c r="F129" i="42" s="1"/>
  <c r="D130" i="42"/>
  <c r="K129" i="42"/>
  <c r="C129" i="42" s="1"/>
  <c r="N45" i="59"/>
  <c r="N39" i="59"/>
  <c r="E116" i="48"/>
  <c r="F116" i="48" s="1"/>
  <c r="D117" i="48"/>
  <c r="K116" i="48"/>
  <c r="C116" i="48" s="1"/>
  <c r="G115" i="48"/>
  <c r="H115" i="48"/>
  <c r="H86" i="76"/>
  <c r="G86" i="76"/>
  <c r="G27" i="50"/>
  <c r="H29" i="50"/>
  <c r="G30" i="50"/>
  <c r="H28" i="50"/>
  <c r="H26" i="50"/>
  <c r="G25" i="50"/>
  <c r="H32" i="50"/>
  <c r="G33" i="50"/>
  <c r="H34" i="50"/>
  <c r="G24" i="50"/>
  <c r="G31" i="50"/>
  <c r="H23" i="50"/>
  <c r="K83" i="76"/>
  <c r="D84" i="76"/>
  <c r="D89" i="77"/>
  <c r="E88" i="77"/>
  <c r="D374" i="78"/>
  <c r="E373" i="78"/>
  <c r="E231" i="78"/>
  <c r="D232" i="78"/>
  <c r="D87" i="78"/>
  <c r="E86" i="78"/>
  <c r="D278" i="77"/>
  <c r="E277" i="77"/>
  <c r="E182" i="77"/>
  <c r="D183" i="77"/>
  <c r="F87" i="76"/>
  <c r="F86" i="66"/>
  <c r="G86" i="66" s="1"/>
  <c r="J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6" i="58"/>
  <c r="J15" i="58"/>
  <c r="J14" i="58"/>
  <c r="J13" i="58"/>
  <c r="J17" i="58"/>
  <c r="J18" i="58"/>
  <c r="L11" i="57"/>
  <c r="M294" i="57"/>
  <c r="M295" i="57" s="1"/>
  <c r="M296" i="57" s="1"/>
  <c r="M297" i="57" s="1"/>
  <c r="M298" i="57" s="1"/>
  <c r="M288" i="57"/>
  <c r="M289" i="57" s="1"/>
  <c r="M290" i="57" s="1"/>
  <c r="M291" i="57" s="1"/>
  <c r="M292" i="57" s="1"/>
  <c r="M282" i="57"/>
  <c r="M283" i="57" s="1"/>
  <c r="M284" i="57" s="1"/>
  <c r="M285" i="57" s="1"/>
  <c r="M286" i="57" s="1"/>
  <c r="M276" i="57"/>
  <c r="M277" i="57" s="1"/>
  <c r="M278" i="57" s="1"/>
  <c r="M279" i="57" s="1"/>
  <c r="M280" i="57" s="1"/>
  <c r="M270" i="57"/>
  <c r="M271" i="57" s="1"/>
  <c r="M272" i="57" s="1"/>
  <c r="M273" i="57" s="1"/>
  <c r="M274" i="57" s="1"/>
  <c r="M264" i="57"/>
  <c r="M265" i="57" s="1"/>
  <c r="M266" i="57" s="1"/>
  <c r="M267" i="57" s="1"/>
  <c r="M268" i="57" s="1"/>
  <c r="M258" i="57"/>
  <c r="M259" i="57" s="1"/>
  <c r="M260" i="57" s="1"/>
  <c r="M261" i="57" s="1"/>
  <c r="M262" i="57" s="1"/>
  <c r="M252" i="57"/>
  <c r="M253" i="57" s="1"/>
  <c r="M254" i="57" s="1"/>
  <c r="M255" i="57" s="1"/>
  <c r="M256" i="57" s="1"/>
  <c r="M246" i="57"/>
  <c r="M247" i="57" s="1"/>
  <c r="M248" i="57" s="1"/>
  <c r="M249" i="57" s="1"/>
  <c r="M250" i="57" s="1"/>
  <c r="M240" i="57"/>
  <c r="M241" i="57" s="1"/>
  <c r="M242" i="57" s="1"/>
  <c r="M243" i="57" s="1"/>
  <c r="M244" i="57" s="1"/>
  <c r="M234" i="57"/>
  <c r="M235" i="57" s="1"/>
  <c r="M236" i="57" s="1"/>
  <c r="M237" i="57" s="1"/>
  <c r="M238" i="57" s="1"/>
  <c r="M228" i="57"/>
  <c r="M229" i="57" s="1"/>
  <c r="M230" i="57" s="1"/>
  <c r="M231" i="57" s="1"/>
  <c r="M232" i="57" s="1"/>
  <c r="M222" i="57"/>
  <c r="M223" i="57" s="1"/>
  <c r="M224" i="57" s="1"/>
  <c r="M225" i="57" s="1"/>
  <c r="M226" i="57" s="1"/>
  <c r="M216" i="57"/>
  <c r="M217" i="57" s="1"/>
  <c r="M218" i="57" s="1"/>
  <c r="M219" i="57" s="1"/>
  <c r="M220" i="57" s="1"/>
  <c r="M210" i="57"/>
  <c r="M211" i="57" s="1"/>
  <c r="M212" i="57" s="1"/>
  <c r="M213" i="57" s="1"/>
  <c r="M214" i="57" s="1"/>
  <c r="M204" i="57"/>
  <c r="M205" i="57" s="1"/>
  <c r="M206" i="57" s="1"/>
  <c r="M207" i="57" s="1"/>
  <c r="M208" i="57" s="1"/>
  <c r="M198" i="57"/>
  <c r="M199" i="57" s="1"/>
  <c r="M200" i="57" s="1"/>
  <c r="M201" i="57" s="1"/>
  <c r="M202" i="57" s="1"/>
  <c r="M192" i="57"/>
  <c r="M193" i="57" s="1"/>
  <c r="M194" i="57" s="1"/>
  <c r="M195" i="57" s="1"/>
  <c r="M196" i="57" s="1"/>
  <c r="M186" i="57"/>
  <c r="M187" i="57" s="1"/>
  <c r="M188" i="57" s="1"/>
  <c r="M189" i="57" s="1"/>
  <c r="M190" i="57" s="1"/>
  <c r="M180" i="57"/>
  <c r="M181" i="57" s="1"/>
  <c r="M182" i="57" s="1"/>
  <c r="M183" i="57" s="1"/>
  <c r="M184" i="57" s="1"/>
  <c r="M174" i="57"/>
  <c r="M175" i="57" s="1"/>
  <c r="M176" i="57" s="1"/>
  <c r="M177" i="57" s="1"/>
  <c r="M178" i="57" s="1"/>
  <c r="M168" i="57"/>
  <c r="M169" i="57" s="1"/>
  <c r="M170" i="57" s="1"/>
  <c r="M171" i="57" s="1"/>
  <c r="M172" i="57" s="1"/>
  <c r="M162" i="57"/>
  <c r="M163" i="57" s="1"/>
  <c r="M164" i="57" s="1"/>
  <c r="M165" i="57" s="1"/>
  <c r="M166" i="57" s="1"/>
  <c r="M156" i="57"/>
  <c r="M157" i="57" s="1"/>
  <c r="M158" i="57" s="1"/>
  <c r="M159" i="57" s="1"/>
  <c r="M160" i="57" s="1"/>
  <c r="M150" i="57"/>
  <c r="M151" i="57" s="1"/>
  <c r="M152" i="57" s="1"/>
  <c r="M153" i="57" s="1"/>
  <c r="M154" i="57" s="1"/>
  <c r="M144" i="57"/>
  <c r="M145" i="57" s="1"/>
  <c r="M146" i="57" s="1"/>
  <c r="M147" i="57" s="1"/>
  <c r="M148" i="57" s="1"/>
  <c r="M138" i="57"/>
  <c r="M139" i="57" s="1"/>
  <c r="M140" i="57" s="1"/>
  <c r="M141" i="57" s="1"/>
  <c r="M142" i="57" s="1"/>
  <c r="M132" i="57"/>
  <c r="M133" i="57" s="1"/>
  <c r="M134" i="57" s="1"/>
  <c r="M135" i="57" s="1"/>
  <c r="M136" i="57" s="1"/>
  <c r="M126" i="57"/>
  <c r="M127" i="57" s="1"/>
  <c r="M128" i="57" s="1"/>
  <c r="M129" i="57" s="1"/>
  <c r="M130" i="57" s="1"/>
  <c r="M120" i="57"/>
  <c r="M121" i="57" s="1"/>
  <c r="M122" i="57" s="1"/>
  <c r="M123" i="57" s="1"/>
  <c r="M124" i="57" s="1"/>
  <c r="M114" i="57"/>
  <c r="M115" i="57" s="1"/>
  <c r="M116" i="57" s="1"/>
  <c r="M117" i="57" s="1"/>
  <c r="M118" i="57" s="1"/>
  <c r="M108" i="57"/>
  <c r="M109" i="57" s="1"/>
  <c r="M110" i="57" s="1"/>
  <c r="M111" i="57" s="1"/>
  <c r="M112" i="57" s="1"/>
  <c r="M102" i="57"/>
  <c r="M103" i="57" s="1"/>
  <c r="M104" i="57" s="1"/>
  <c r="M105" i="57" s="1"/>
  <c r="M106" i="57" s="1"/>
  <c r="M96" i="57"/>
  <c r="M97" i="57" s="1"/>
  <c r="M98" i="57" s="1"/>
  <c r="M99" i="57" s="1"/>
  <c r="M100" i="57" s="1"/>
  <c r="M90" i="57"/>
  <c r="M91" i="57" s="1"/>
  <c r="M92" i="57" s="1"/>
  <c r="M93" i="57" s="1"/>
  <c r="M94" i="57" s="1"/>
  <c r="M84" i="57"/>
  <c r="M85" i="57" s="1"/>
  <c r="M86" i="57" s="1"/>
  <c r="M87" i="57" s="1"/>
  <c r="M88" i="57" s="1"/>
  <c r="M78" i="57"/>
  <c r="M79" i="57" s="1"/>
  <c r="M80" i="57" s="1"/>
  <c r="M81" i="57" s="1"/>
  <c r="M82" i="57" s="1"/>
  <c r="M72" i="57"/>
  <c r="M73" i="57" s="1"/>
  <c r="M74" i="57" s="1"/>
  <c r="M75" i="57" s="1"/>
  <c r="M76" i="57" s="1"/>
  <c r="M66" i="57"/>
  <c r="M67" i="57" s="1"/>
  <c r="M68" i="57" s="1"/>
  <c r="M69" i="57" s="1"/>
  <c r="M70" i="57" s="1"/>
  <c r="M60" i="57"/>
  <c r="M61" i="57" s="1"/>
  <c r="M62" i="57" s="1"/>
  <c r="M63" i="57" s="1"/>
  <c r="M64" i="57" s="1"/>
  <c r="M54" i="57"/>
  <c r="M55" i="57" s="1"/>
  <c r="M56" i="57" s="1"/>
  <c r="M57" i="57" s="1"/>
  <c r="M58" i="57" s="1"/>
  <c r="M48" i="57"/>
  <c r="M49" i="57" s="1"/>
  <c r="M50" i="57" s="1"/>
  <c r="M51" i="57" s="1"/>
  <c r="M52" i="57" s="1"/>
  <c r="M42" i="57"/>
  <c r="M43" i="57" s="1"/>
  <c r="M44" i="57" s="1"/>
  <c r="M45" i="57" s="1"/>
  <c r="M46" i="57" s="1"/>
  <c r="M36" i="57"/>
  <c r="M37" i="57" s="1"/>
  <c r="M38" i="57" s="1"/>
  <c r="M39" i="57" s="1"/>
  <c r="M40" i="57" s="1"/>
  <c r="M30" i="57"/>
  <c r="M31" i="57" s="1"/>
  <c r="M32" i="57" s="1"/>
  <c r="M33" i="57" s="1"/>
  <c r="M34" i="57" s="1"/>
  <c r="M24" i="57"/>
  <c r="M25" i="57" s="1"/>
  <c r="M26" i="57" s="1"/>
  <c r="M27" i="57" s="1"/>
  <c r="M28" i="57" s="1"/>
  <c r="M18" i="57"/>
  <c r="M19" i="57" s="1"/>
  <c r="M20" i="57" s="1"/>
  <c r="M21" i="57" s="1"/>
  <c r="M22" i="57" s="1"/>
  <c r="M12" i="57"/>
  <c r="M13" i="57" s="1"/>
  <c r="M14" i="57" s="1"/>
  <c r="M15" i="57" s="1"/>
  <c r="M16" i="57" s="1"/>
  <c r="N22" i="59" l="1"/>
  <c r="N28" i="59"/>
  <c r="Q291" i="95"/>
  <c r="S290" i="95"/>
  <c r="U290" i="95" s="1"/>
  <c r="V290" i="95" s="1"/>
  <c r="W290" i="95" s="1"/>
  <c r="Z290" i="95" s="1"/>
  <c r="Y290" i="95" s="1"/>
  <c r="N46" i="59"/>
  <c r="K130" i="42"/>
  <c r="C130" i="42" s="1"/>
  <c r="E130" i="42"/>
  <c r="F130" i="42" s="1"/>
  <c r="D131" i="42"/>
  <c r="G129" i="42"/>
  <c r="H129" i="42"/>
  <c r="N40" i="59"/>
  <c r="N34" i="59"/>
  <c r="D118" i="48"/>
  <c r="K117" i="48"/>
  <c r="C117" i="48" s="1"/>
  <c r="E117" i="48"/>
  <c r="F117" i="48" s="1"/>
  <c r="G116" i="48"/>
  <c r="H116" i="48"/>
  <c r="G87" i="76"/>
  <c r="H87" i="76"/>
  <c r="K84" i="76"/>
  <c r="D85" i="76"/>
  <c r="E89" i="77"/>
  <c r="D90" i="77"/>
  <c r="D375" i="78"/>
  <c r="E374" i="78"/>
  <c r="D233" i="78"/>
  <c r="E232" i="78"/>
  <c r="D88" i="78"/>
  <c r="E87" i="78"/>
  <c r="E278" i="77"/>
  <c r="D279" i="77"/>
  <c r="D184" i="77"/>
  <c r="E183" i="77"/>
  <c r="F88" i="76"/>
  <c r="F87" i="66"/>
  <c r="G87" i="66" s="1"/>
  <c r="H60" i="44"/>
  <c r="H61" i="44"/>
  <c r="H62" i="44"/>
  <c r="H63" i="44"/>
  <c r="H64" i="44"/>
  <c r="H65" i="44"/>
  <c r="H66" i="44"/>
  <c r="H67" i="44"/>
  <c r="H68" i="44"/>
  <c r="H69" i="44"/>
  <c r="H70" i="44"/>
  <c r="H71" i="44"/>
  <c r="H72" i="44"/>
  <c r="H73" i="44"/>
  <c r="H74" i="44"/>
  <c r="H75" i="44"/>
  <c r="H76" i="44"/>
  <c r="H77" i="44"/>
  <c r="H78" i="44"/>
  <c r="H79" i="44"/>
  <c r="H80" i="44"/>
  <c r="H81" i="44"/>
  <c r="H82" i="44"/>
  <c r="H83" i="44"/>
  <c r="H84" i="44"/>
  <c r="H85" i="44"/>
  <c r="H86" i="44"/>
  <c r="H87" i="44"/>
  <c r="H88" i="44"/>
  <c r="H89" i="44"/>
  <c r="H90" i="44"/>
  <c r="H91" i="44"/>
  <c r="H92" i="44"/>
  <c r="H93" i="44"/>
  <c r="H94" i="44"/>
  <c r="H95" i="44"/>
  <c r="H96" i="44"/>
  <c r="H97" i="44"/>
  <c r="H98" i="44"/>
  <c r="H99" i="44"/>
  <c r="H100" i="44"/>
  <c r="H101" i="44"/>
  <c r="H102" i="44"/>
  <c r="H103" i="44"/>
  <c r="H104" i="44"/>
  <c r="H105" i="44"/>
  <c r="H106" i="44"/>
  <c r="H156" i="44"/>
  <c r="H157" i="44"/>
  <c r="H158" i="44"/>
  <c r="H159" i="44"/>
  <c r="H160" i="44"/>
  <c r="H161" i="44"/>
  <c r="H162" i="44"/>
  <c r="H163" i="44"/>
  <c r="H164" i="44"/>
  <c r="H165" i="44"/>
  <c r="H166" i="44"/>
  <c r="H167" i="44"/>
  <c r="H168" i="44"/>
  <c r="H169" i="44"/>
  <c r="H170" i="44"/>
  <c r="H171" i="44"/>
  <c r="H172" i="44"/>
  <c r="H173" i="44"/>
  <c r="H174" i="44"/>
  <c r="H175" i="44"/>
  <c r="H176" i="44"/>
  <c r="H177" i="44"/>
  <c r="H178" i="44"/>
  <c r="H179" i="44"/>
  <c r="H180" i="44"/>
  <c r="H181" i="44"/>
  <c r="H182" i="44"/>
  <c r="H183" i="44"/>
  <c r="H184" i="44"/>
  <c r="H185" i="44"/>
  <c r="H186" i="44"/>
  <c r="H187" i="44"/>
  <c r="H188" i="44"/>
  <c r="H189" i="44"/>
  <c r="H190" i="44"/>
  <c r="H191" i="44"/>
  <c r="H192" i="44"/>
  <c r="H193" i="44"/>
  <c r="H194" i="44"/>
  <c r="H195" i="44"/>
  <c r="H196" i="44"/>
  <c r="H197" i="44"/>
  <c r="H198" i="44"/>
  <c r="H199" i="44"/>
  <c r="H200" i="44"/>
  <c r="H201" i="44"/>
  <c r="H202" i="44"/>
  <c r="Q292" i="95" l="1"/>
  <c r="S291" i="95"/>
  <c r="U291" i="95" s="1"/>
  <c r="V291" i="95" s="1"/>
  <c r="W291" i="95" s="1"/>
  <c r="Z291" i="95" s="1"/>
  <c r="Y291" i="95" s="1"/>
  <c r="K131" i="42"/>
  <c r="C131" i="42" s="1"/>
  <c r="E131" i="42"/>
  <c r="F131" i="42" s="1"/>
  <c r="D132" i="42"/>
  <c r="H130" i="42"/>
  <c r="G130" i="42"/>
  <c r="G117" i="48"/>
  <c r="H117" i="48"/>
  <c r="K118" i="48"/>
  <c r="C118" i="48" s="1"/>
  <c r="D119" i="48"/>
  <c r="E118" i="48"/>
  <c r="F118" i="48" s="1"/>
  <c r="H88" i="76"/>
  <c r="G88" i="76"/>
  <c r="K85" i="76"/>
  <c r="D86" i="76"/>
  <c r="D91" i="77"/>
  <c r="E90" i="77"/>
  <c r="D376" i="78"/>
  <c r="E375" i="78"/>
  <c r="D234" i="78"/>
  <c r="E233" i="78"/>
  <c r="E88" i="78"/>
  <c r="D89" i="78"/>
  <c r="D280" i="77"/>
  <c r="E279" i="77"/>
  <c r="D185" i="77"/>
  <c r="E184" i="77"/>
  <c r="F89" i="76"/>
  <c r="F88" i="66"/>
  <c r="G88" i="66" s="1"/>
  <c r="P11" i="61"/>
  <c r="R11" i="61" s="1"/>
  <c r="B12" i="61"/>
  <c r="M11" i="61"/>
  <c r="N11" i="61" s="1"/>
  <c r="N12" i="61" s="1"/>
  <c r="L12" i="61"/>
  <c r="I11" i="61"/>
  <c r="I12" i="61" s="1"/>
  <c r="D26" i="61"/>
  <c r="B10" i="61"/>
  <c r="M30" i="60"/>
  <c r="M31" i="60" s="1"/>
  <c r="M32" i="60" s="1"/>
  <c r="M33" i="60" s="1"/>
  <c r="M34" i="60" s="1"/>
  <c r="M24" i="60"/>
  <c r="M25" i="60" s="1"/>
  <c r="M26" i="60" s="1"/>
  <c r="M27" i="60" s="1"/>
  <c r="M28" i="60" s="1"/>
  <c r="M18" i="60"/>
  <c r="M19" i="60" s="1"/>
  <c r="M20" i="60" s="1"/>
  <c r="M21" i="60" s="1"/>
  <c r="M22" i="60" s="1"/>
  <c r="M13" i="60"/>
  <c r="M14" i="60" s="1"/>
  <c r="M15" i="60" s="1"/>
  <c r="M16" i="60" s="1"/>
  <c r="M12" i="60"/>
  <c r="P12" i="60"/>
  <c r="P13" i="60" s="1"/>
  <c r="P14" i="60" s="1"/>
  <c r="P15" i="60" s="1"/>
  <c r="P16" i="60" s="1"/>
  <c r="P17" i="60" s="1"/>
  <c r="P18" i="60" s="1"/>
  <c r="P19" i="60" s="1"/>
  <c r="P20" i="60" s="1"/>
  <c r="P21" i="60" s="1"/>
  <c r="P22" i="60" s="1"/>
  <c r="P23" i="60" s="1"/>
  <c r="P24" i="60" s="1"/>
  <c r="P25" i="60" s="1"/>
  <c r="P26" i="60" s="1"/>
  <c r="P27" i="60" s="1"/>
  <c r="P28" i="60" s="1"/>
  <c r="P29" i="60" s="1"/>
  <c r="P30" i="60" s="1"/>
  <c r="P31" i="60" s="1"/>
  <c r="P32" i="60" s="1"/>
  <c r="P33" i="60" s="1"/>
  <c r="P34" i="60" s="1"/>
  <c r="P35" i="60" s="1"/>
  <c r="P36" i="60" s="1"/>
  <c r="P37" i="60" s="1"/>
  <c r="P38" i="60" s="1"/>
  <c r="P39" i="60" s="1"/>
  <c r="P40" i="60" s="1"/>
  <c r="P41" i="60" s="1"/>
  <c r="P42" i="60" s="1"/>
  <c r="P43" i="60" s="1"/>
  <c r="P44" i="60" s="1"/>
  <c r="P45" i="60" s="1"/>
  <c r="P46" i="60" s="1"/>
  <c r="P47" i="60" s="1"/>
  <c r="P48" i="60" s="1"/>
  <c r="P49" i="60" s="1"/>
  <c r="P50" i="60" s="1"/>
  <c r="P51" i="60" s="1"/>
  <c r="P52" i="60" s="1"/>
  <c r="P53" i="60" s="1"/>
  <c r="P54" i="60" s="1"/>
  <c r="P55" i="60" s="1"/>
  <c r="P56" i="60" s="1"/>
  <c r="P57" i="60" s="1"/>
  <c r="P58" i="60" s="1"/>
  <c r="P59" i="60" s="1"/>
  <c r="P60" i="60" s="1"/>
  <c r="P61" i="60" s="1"/>
  <c r="P62" i="60" s="1"/>
  <c r="P63" i="60" s="1"/>
  <c r="P64" i="60" s="1"/>
  <c r="P65" i="60" s="1"/>
  <c r="P66" i="60" s="1"/>
  <c r="P67" i="60" s="1"/>
  <c r="P68" i="60" s="1"/>
  <c r="P69" i="60" s="1"/>
  <c r="P70" i="60" s="1"/>
  <c r="P71" i="60" s="1"/>
  <c r="P72" i="60" s="1"/>
  <c r="P73" i="60" s="1"/>
  <c r="P74" i="60" s="1"/>
  <c r="P75" i="60" s="1"/>
  <c r="P76" i="60" s="1"/>
  <c r="P77" i="60" s="1"/>
  <c r="P78" i="60" s="1"/>
  <c r="P79" i="60" s="1"/>
  <c r="P80" i="60" s="1"/>
  <c r="P81" i="60" s="1"/>
  <c r="P82" i="60" s="1"/>
  <c r="B12" i="60"/>
  <c r="B13" i="60" s="1"/>
  <c r="B14" i="60" s="1"/>
  <c r="B15" i="60" s="1"/>
  <c r="B16" i="60" s="1"/>
  <c r="B17" i="60" s="1"/>
  <c r="B18" i="60" s="1"/>
  <c r="B19" i="60" s="1"/>
  <c r="B20" i="60" s="1"/>
  <c r="B21" i="60" s="1"/>
  <c r="B22" i="60" s="1"/>
  <c r="B23" i="60" s="1"/>
  <c r="B24" i="60" s="1"/>
  <c r="B25" i="60" s="1"/>
  <c r="B26" i="60" s="1"/>
  <c r="B27" i="60" s="1"/>
  <c r="B28" i="60" s="1"/>
  <c r="B29" i="60" s="1"/>
  <c r="B30" i="60" s="1"/>
  <c r="B31" i="60" s="1"/>
  <c r="B32" i="60" s="1"/>
  <c r="B33" i="60" s="1"/>
  <c r="B34" i="60" s="1"/>
  <c r="B35" i="60" s="1"/>
  <c r="B36" i="60" s="1"/>
  <c r="B37" i="60" s="1"/>
  <c r="B38" i="60" s="1"/>
  <c r="B39" i="60" s="1"/>
  <c r="B40" i="60" s="1"/>
  <c r="B41" i="60" s="1"/>
  <c r="B42" i="60" s="1"/>
  <c r="B43" i="60" s="1"/>
  <c r="B44" i="60" s="1"/>
  <c r="B45" i="60" s="1"/>
  <c r="B46" i="60" s="1"/>
  <c r="B47" i="60" s="1"/>
  <c r="B48" i="60" s="1"/>
  <c r="B49" i="60" s="1"/>
  <c r="B50" i="60" s="1"/>
  <c r="B51" i="60" s="1"/>
  <c r="B52" i="60" s="1"/>
  <c r="B53" i="60" s="1"/>
  <c r="B54" i="60" s="1"/>
  <c r="B55" i="60" s="1"/>
  <c r="B56" i="60" s="1"/>
  <c r="B57" i="60" s="1"/>
  <c r="B58" i="60" s="1"/>
  <c r="B59" i="60" s="1"/>
  <c r="B60" i="60" s="1"/>
  <c r="B61" i="60" s="1"/>
  <c r="B62" i="60" s="1"/>
  <c r="B63" i="60" s="1"/>
  <c r="B64" i="60" s="1"/>
  <c r="B65" i="60" s="1"/>
  <c r="B66" i="60" s="1"/>
  <c r="B67" i="60" s="1"/>
  <c r="B68" i="60" s="1"/>
  <c r="B69" i="60" s="1"/>
  <c r="B70" i="60" s="1"/>
  <c r="B71" i="60" s="1"/>
  <c r="B72" i="60" s="1"/>
  <c r="B73" i="60" s="1"/>
  <c r="B74" i="60" s="1"/>
  <c r="B75" i="60" s="1"/>
  <c r="B76" i="60" s="1"/>
  <c r="B77" i="60" s="1"/>
  <c r="B78" i="60" s="1"/>
  <c r="B79" i="60" s="1"/>
  <c r="B80" i="60" s="1"/>
  <c r="B81" i="60" s="1"/>
  <c r="B82" i="60" s="1"/>
  <c r="N11" i="60"/>
  <c r="N12" i="60" s="1"/>
  <c r="N13" i="60" s="1"/>
  <c r="N14" i="60" s="1"/>
  <c r="N15" i="60" s="1"/>
  <c r="N16" i="60" s="1"/>
  <c r="N17" i="60" s="1"/>
  <c r="N18" i="60" s="1"/>
  <c r="N19" i="60" s="1"/>
  <c r="N20" i="60" s="1"/>
  <c r="N21" i="60" s="1"/>
  <c r="N22" i="60" s="1"/>
  <c r="N23" i="60" s="1"/>
  <c r="N24" i="60" s="1"/>
  <c r="N25" i="60" s="1"/>
  <c r="N26" i="60" s="1"/>
  <c r="N27" i="60" s="1"/>
  <c r="N28" i="60" s="1"/>
  <c r="N29" i="60" s="1"/>
  <c r="N30" i="60" s="1"/>
  <c r="N31" i="60" s="1"/>
  <c r="N32" i="60" s="1"/>
  <c r="N33" i="60" s="1"/>
  <c r="N34" i="60" s="1"/>
  <c r="N35" i="60" s="1"/>
  <c r="N36" i="60" s="1"/>
  <c r="N37" i="60" s="1"/>
  <c r="N38" i="60" s="1"/>
  <c r="N39" i="60" s="1"/>
  <c r="N40" i="60" s="1"/>
  <c r="N41" i="60" s="1"/>
  <c r="N42" i="60" s="1"/>
  <c r="N43" i="60" s="1"/>
  <c r="N44" i="60" s="1"/>
  <c r="N45" i="60" s="1"/>
  <c r="N46" i="60" s="1"/>
  <c r="N47" i="60" s="1"/>
  <c r="N48" i="60" s="1"/>
  <c r="N49" i="60" s="1"/>
  <c r="N50" i="60" s="1"/>
  <c r="N51" i="60" s="1"/>
  <c r="N52" i="60" s="1"/>
  <c r="N53" i="60" s="1"/>
  <c r="N54" i="60" s="1"/>
  <c r="N55" i="60" s="1"/>
  <c r="N56" i="60" s="1"/>
  <c r="N57" i="60" s="1"/>
  <c r="N58" i="60" s="1"/>
  <c r="N59" i="60" s="1"/>
  <c r="N60" i="60" s="1"/>
  <c r="N61" i="60" s="1"/>
  <c r="N62" i="60" s="1"/>
  <c r="N63" i="60" s="1"/>
  <c r="N64" i="60" s="1"/>
  <c r="N65" i="60" s="1"/>
  <c r="N66" i="60" s="1"/>
  <c r="N67" i="60" s="1"/>
  <c r="N68" i="60" s="1"/>
  <c r="N69" i="60" s="1"/>
  <c r="N70" i="60" s="1"/>
  <c r="N71" i="60" s="1"/>
  <c r="N72" i="60" s="1"/>
  <c r="N73" i="60" s="1"/>
  <c r="N74" i="60" s="1"/>
  <c r="N75" i="60" s="1"/>
  <c r="N76" i="60" s="1"/>
  <c r="N77" i="60" s="1"/>
  <c r="N78" i="60" s="1"/>
  <c r="N79" i="60" s="1"/>
  <c r="N80" i="60" s="1"/>
  <c r="N81" i="60" s="1"/>
  <c r="N82" i="60" s="1"/>
  <c r="L11" i="60"/>
  <c r="L12" i="60" s="1"/>
  <c r="L13" i="60" s="1"/>
  <c r="L14" i="60" s="1"/>
  <c r="L15" i="60" s="1"/>
  <c r="L16" i="60" s="1"/>
  <c r="L17" i="60" s="1"/>
  <c r="L18" i="60" s="1"/>
  <c r="L19" i="60" s="1"/>
  <c r="L20" i="60" s="1"/>
  <c r="L21" i="60" s="1"/>
  <c r="L22" i="60" s="1"/>
  <c r="L23" i="60" s="1"/>
  <c r="L24" i="60" s="1"/>
  <c r="L25" i="60" s="1"/>
  <c r="L26" i="60" s="1"/>
  <c r="L27" i="60" s="1"/>
  <c r="L28" i="60" s="1"/>
  <c r="L29" i="60" s="1"/>
  <c r="L30" i="60" s="1"/>
  <c r="L31" i="60" s="1"/>
  <c r="L32" i="60" s="1"/>
  <c r="L33" i="60" s="1"/>
  <c r="L34" i="60" s="1"/>
  <c r="L35" i="60" s="1"/>
  <c r="L36" i="60" s="1"/>
  <c r="L37" i="60" s="1"/>
  <c r="L38" i="60" s="1"/>
  <c r="L39" i="60" s="1"/>
  <c r="L40" i="60" s="1"/>
  <c r="L41" i="60" s="1"/>
  <c r="L42" i="60" s="1"/>
  <c r="L43" i="60" s="1"/>
  <c r="L44" i="60" s="1"/>
  <c r="L45" i="60" s="1"/>
  <c r="L46" i="60" s="1"/>
  <c r="L47" i="60" s="1"/>
  <c r="L48" i="60" s="1"/>
  <c r="L49" i="60" s="1"/>
  <c r="L50" i="60" s="1"/>
  <c r="L51" i="60" s="1"/>
  <c r="L52" i="60" s="1"/>
  <c r="L53" i="60" s="1"/>
  <c r="L54" i="60" s="1"/>
  <c r="L55" i="60" s="1"/>
  <c r="L56" i="60" s="1"/>
  <c r="L57" i="60" s="1"/>
  <c r="L58" i="60" s="1"/>
  <c r="L59" i="60" s="1"/>
  <c r="L60" i="60" s="1"/>
  <c r="L61" i="60" s="1"/>
  <c r="L62" i="60" s="1"/>
  <c r="L63" i="60" s="1"/>
  <c r="L64" i="60" s="1"/>
  <c r="L65" i="60" s="1"/>
  <c r="L66" i="60" s="1"/>
  <c r="L67" i="60" s="1"/>
  <c r="L68" i="60" s="1"/>
  <c r="L69" i="60" s="1"/>
  <c r="L70" i="60" s="1"/>
  <c r="L71" i="60" s="1"/>
  <c r="L72" i="60" s="1"/>
  <c r="L73" i="60" s="1"/>
  <c r="L74" i="60" s="1"/>
  <c r="L75" i="60" s="1"/>
  <c r="L76" i="60" s="1"/>
  <c r="L77" i="60" s="1"/>
  <c r="L78" i="60" s="1"/>
  <c r="L79" i="60" s="1"/>
  <c r="L80" i="60" s="1"/>
  <c r="L81" i="60" s="1"/>
  <c r="L82" i="60" s="1"/>
  <c r="I11" i="60"/>
  <c r="I12" i="60" s="1"/>
  <c r="I13" i="60" s="1"/>
  <c r="I14" i="60" s="1"/>
  <c r="I15" i="60" s="1"/>
  <c r="I16" i="60" s="1"/>
  <c r="I17" i="60" s="1"/>
  <c r="I18" i="60" s="1"/>
  <c r="I19" i="60" s="1"/>
  <c r="I20" i="60" s="1"/>
  <c r="I21" i="60" s="1"/>
  <c r="I22" i="60" s="1"/>
  <c r="I23" i="60" s="1"/>
  <c r="I24" i="60" s="1"/>
  <c r="I25" i="60" s="1"/>
  <c r="I26" i="60" s="1"/>
  <c r="I27" i="60" s="1"/>
  <c r="I28" i="60" s="1"/>
  <c r="I29" i="60" s="1"/>
  <c r="I30" i="60" s="1"/>
  <c r="I31" i="60" s="1"/>
  <c r="I32" i="60" s="1"/>
  <c r="I33" i="60" s="1"/>
  <c r="I34" i="60" s="1"/>
  <c r="I35" i="60" s="1"/>
  <c r="I36" i="60" s="1"/>
  <c r="I37" i="60" s="1"/>
  <c r="I38" i="60" s="1"/>
  <c r="I39" i="60" s="1"/>
  <c r="I40" i="60" s="1"/>
  <c r="I41" i="60" s="1"/>
  <c r="I42" i="60" s="1"/>
  <c r="I43" i="60" s="1"/>
  <c r="I44" i="60" s="1"/>
  <c r="I45" i="60" s="1"/>
  <c r="I46" i="60" s="1"/>
  <c r="I47" i="60" s="1"/>
  <c r="I48" i="60" s="1"/>
  <c r="I49" i="60" s="1"/>
  <c r="I50" i="60" s="1"/>
  <c r="I51" i="60" s="1"/>
  <c r="I52" i="60" s="1"/>
  <c r="I53" i="60" s="1"/>
  <c r="I54" i="60" s="1"/>
  <c r="I55" i="60" s="1"/>
  <c r="I56" i="60" s="1"/>
  <c r="I57" i="60" s="1"/>
  <c r="I58" i="60" s="1"/>
  <c r="I59" i="60" s="1"/>
  <c r="I60" i="60" s="1"/>
  <c r="I61" i="60" s="1"/>
  <c r="I62" i="60" s="1"/>
  <c r="I63" i="60" s="1"/>
  <c r="I64" i="60" s="1"/>
  <c r="I65" i="60" s="1"/>
  <c r="I66" i="60" s="1"/>
  <c r="I67" i="60" s="1"/>
  <c r="I68" i="60" s="1"/>
  <c r="I69" i="60" s="1"/>
  <c r="I70" i="60" s="1"/>
  <c r="I71" i="60" s="1"/>
  <c r="I72" i="60" s="1"/>
  <c r="I73" i="60" s="1"/>
  <c r="I74" i="60" s="1"/>
  <c r="I75" i="60" s="1"/>
  <c r="I76" i="60" s="1"/>
  <c r="I77" i="60" s="1"/>
  <c r="I78" i="60" s="1"/>
  <c r="I79" i="60" s="1"/>
  <c r="I80" i="60" s="1"/>
  <c r="I81" i="60" s="1"/>
  <c r="I82" i="60" s="1"/>
  <c r="F11" i="60"/>
  <c r="F12" i="60" s="1"/>
  <c r="B10" i="60"/>
  <c r="N12" i="59"/>
  <c r="I46" i="59"/>
  <c r="I45" i="59"/>
  <c r="I44" i="59"/>
  <c r="I43" i="59"/>
  <c r="I42" i="59"/>
  <c r="I41" i="59"/>
  <c r="I40" i="59"/>
  <c r="I39" i="59"/>
  <c r="I38" i="59"/>
  <c r="I37" i="59"/>
  <c r="I36" i="59"/>
  <c r="I35" i="59"/>
  <c r="I34" i="59"/>
  <c r="I33" i="59"/>
  <c r="I32" i="59"/>
  <c r="I31" i="59"/>
  <c r="I30" i="59"/>
  <c r="I29" i="59"/>
  <c r="I28" i="59"/>
  <c r="I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3" i="59"/>
  <c r="Q12" i="59"/>
  <c r="Q13" i="59" s="1"/>
  <c r="Q14" i="59" s="1"/>
  <c r="Q15" i="59" s="1"/>
  <c r="Q16" i="59" s="1"/>
  <c r="Q17" i="59" s="1"/>
  <c r="Q18" i="59" s="1"/>
  <c r="Q19" i="59" s="1"/>
  <c r="Q20" i="59" s="1"/>
  <c r="Q21" i="59" s="1"/>
  <c r="Q22" i="59" s="1"/>
  <c r="Q23" i="59" s="1"/>
  <c r="Q24" i="59" s="1"/>
  <c r="Q25" i="59" s="1"/>
  <c r="Q26" i="59" s="1"/>
  <c r="Q27" i="59" s="1"/>
  <c r="Q28" i="59" s="1"/>
  <c r="Q29" i="59" s="1"/>
  <c r="Q30" i="59" s="1"/>
  <c r="Q31" i="59" s="1"/>
  <c r="Q32" i="59" s="1"/>
  <c r="Q33" i="59" s="1"/>
  <c r="Q34" i="59" s="1"/>
  <c r="Q35" i="59" s="1"/>
  <c r="Q36" i="59" s="1"/>
  <c r="Q37" i="59" s="1"/>
  <c r="Q38" i="59" s="1"/>
  <c r="Q39" i="59" s="1"/>
  <c r="Q40" i="59" s="1"/>
  <c r="Q41" i="59" s="1"/>
  <c r="Q42" i="59" s="1"/>
  <c r="Q43" i="59" s="1"/>
  <c r="Q44" i="59" s="1"/>
  <c r="Q45" i="59" s="1"/>
  <c r="Q46" i="59" s="1"/>
  <c r="Q47" i="59" s="1"/>
  <c r="Q48" i="59" s="1"/>
  <c r="Q49" i="59" s="1"/>
  <c r="Q50" i="59" s="1"/>
  <c r="Q51" i="59" s="1"/>
  <c r="Q52" i="59" s="1"/>
  <c r="Q53" i="59" s="1"/>
  <c r="Q54" i="59" s="1"/>
  <c r="Q55" i="59" s="1"/>
  <c r="Q56" i="59" s="1"/>
  <c r="Q57" i="59" s="1"/>
  <c r="Q58" i="59" s="1"/>
  <c r="Q59" i="59" s="1"/>
  <c r="Q60" i="59" s="1"/>
  <c r="Q61" i="59" s="1"/>
  <c r="Q62" i="59" s="1"/>
  <c r="Q63" i="59" s="1"/>
  <c r="Q64" i="59" s="1"/>
  <c r="Q65" i="59" s="1"/>
  <c r="Q66" i="59" s="1"/>
  <c r="Q67" i="59" s="1"/>
  <c r="Q68" i="59" s="1"/>
  <c r="Q69" i="59" s="1"/>
  <c r="Q70" i="59" s="1"/>
  <c r="Q71" i="59" s="1"/>
  <c r="Q72" i="59" s="1"/>
  <c r="Q73" i="59" s="1"/>
  <c r="Q74" i="59" s="1"/>
  <c r="Q75" i="59" s="1"/>
  <c r="Q76" i="59" s="1"/>
  <c r="Q77" i="59" s="1"/>
  <c r="Q78" i="59" s="1"/>
  <c r="Q79" i="59" s="1"/>
  <c r="Q80" i="59" s="1"/>
  <c r="Q81" i="59" s="1"/>
  <c r="Q82" i="59" s="1"/>
  <c r="Q83" i="59" s="1"/>
  <c r="Q84" i="59" s="1"/>
  <c r="Q85" i="59" s="1"/>
  <c r="Q86" i="59" s="1"/>
  <c r="Q87" i="59" s="1"/>
  <c r="Q88" i="59" s="1"/>
  <c r="Q89" i="59" s="1"/>
  <c r="Q90" i="59" s="1"/>
  <c r="Q91" i="59" s="1"/>
  <c r="Q92" i="59" s="1"/>
  <c r="Q93" i="59" s="1"/>
  <c r="Q94" i="59" s="1"/>
  <c r="Q95" i="59" s="1"/>
  <c r="Q96" i="59" s="1"/>
  <c r="Q97" i="59" s="1"/>
  <c r="Q98" i="59" s="1"/>
  <c r="Q99" i="59" s="1"/>
  <c r="Q100" i="59" s="1"/>
  <c r="Q101" i="59" s="1"/>
  <c r="Q102" i="59" s="1"/>
  <c r="Q103" i="59" s="1"/>
  <c r="Q104" i="59" s="1"/>
  <c r="Q105" i="59" s="1"/>
  <c r="Q106" i="59" s="1"/>
  <c r="Q107" i="59" s="1"/>
  <c r="Q108" i="59" s="1"/>
  <c r="Q109" i="59" s="1"/>
  <c r="Q110" i="59" s="1"/>
  <c r="Q111" i="59" s="1"/>
  <c r="Q112" i="59" s="1"/>
  <c r="Q113" i="59" s="1"/>
  <c r="Q114" i="59" s="1"/>
  <c r="Q115" i="59" s="1"/>
  <c r="Q116" i="59" s="1"/>
  <c r="Q117" i="59" s="1"/>
  <c r="Q118" i="59" s="1"/>
  <c r="Q119" i="59" s="1"/>
  <c r="Q120" i="59" s="1"/>
  <c r="Q121" i="59" s="1"/>
  <c r="Q122" i="59" s="1"/>
  <c r="Q123" i="59" s="1"/>
  <c r="Q124" i="59" s="1"/>
  <c r="Q125" i="59" s="1"/>
  <c r="Q126" i="59" s="1"/>
  <c r="Q127" i="59" s="1"/>
  <c r="Q128" i="59" s="1"/>
  <c r="Q129" i="59" s="1"/>
  <c r="Q130" i="59" s="1"/>
  <c r="Q131" i="59" s="1"/>
  <c r="Q132" i="59" s="1"/>
  <c r="Q133" i="59" s="1"/>
  <c r="Q134" i="59" s="1"/>
  <c r="Q135" i="59" s="1"/>
  <c r="Q136" i="59" s="1"/>
  <c r="Q137" i="59" s="1"/>
  <c r="Q138" i="59" s="1"/>
  <c r="Q139" i="59" s="1"/>
  <c r="Q140" i="59" s="1"/>
  <c r="Q141" i="59" s="1"/>
  <c r="Q142" i="59" s="1"/>
  <c r="Q143" i="59" s="1"/>
  <c r="Q144" i="59" s="1"/>
  <c r="Q145" i="59" s="1"/>
  <c r="Q146" i="59" s="1"/>
  <c r="Q147" i="59" s="1"/>
  <c r="Q148" i="59" s="1"/>
  <c r="Q149" i="59" s="1"/>
  <c r="Q150" i="59" s="1"/>
  <c r="Q151" i="59" s="1"/>
  <c r="Q152" i="59" s="1"/>
  <c r="Q153" i="59" s="1"/>
  <c r="Q154" i="59" s="1"/>
  <c r="Q155" i="59" s="1"/>
  <c r="Q156" i="59" s="1"/>
  <c r="Q157" i="59" s="1"/>
  <c r="Q158" i="59" s="1"/>
  <c r="Q159" i="59" s="1"/>
  <c r="Q160" i="59" s="1"/>
  <c r="Q161" i="59" s="1"/>
  <c r="Q162" i="59" s="1"/>
  <c r="Q163" i="59" s="1"/>
  <c r="Q164" i="59" s="1"/>
  <c r="Q165" i="59" s="1"/>
  <c r="Q166" i="59" s="1"/>
  <c r="Q167" i="59" s="1"/>
  <c r="Q168" i="59" s="1"/>
  <c r="Q169" i="59" s="1"/>
  <c r="Q170" i="59" s="1"/>
  <c r="Q171" i="59" s="1"/>
  <c r="Q172" i="59" s="1"/>
  <c r="Q173" i="59" s="1"/>
  <c r="Q174" i="59" s="1"/>
  <c r="Q175" i="59" s="1"/>
  <c r="Q176" i="59" s="1"/>
  <c r="Q177" i="59" s="1"/>
  <c r="Q178" i="59" s="1"/>
  <c r="Q179" i="59" s="1"/>
  <c r="Q180" i="59" s="1"/>
  <c r="Q181" i="59" s="1"/>
  <c r="Q182" i="59" s="1"/>
  <c r="Q183" i="59" s="1"/>
  <c r="Q184" i="59" s="1"/>
  <c r="Q185" i="59" s="1"/>
  <c r="Q186" i="59" s="1"/>
  <c r="Q187" i="59" s="1"/>
  <c r="Q188" i="59" s="1"/>
  <c r="Q189" i="59" s="1"/>
  <c r="Q190" i="59" s="1"/>
  <c r="Q191" i="59" s="1"/>
  <c r="Q192" i="59" s="1"/>
  <c r="Q193" i="59" s="1"/>
  <c r="Q194" i="59" s="1"/>
  <c r="Q195" i="59" s="1"/>
  <c r="Q196" i="59" s="1"/>
  <c r="Q197" i="59" s="1"/>
  <c r="Q198" i="59" s="1"/>
  <c r="Q199" i="59" s="1"/>
  <c r="Q200" i="59" s="1"/>
  <c r="Q201" i="59" s="1"/>
  <c r="Q202" i="59" s="1"/>
  <c r="Q203" i="59" s="1"/>
  <c r="Q204" i="59" s="1"/>
  <c r="Q205" i="59" s="1"/>
  <c r="Q206" i="59" s="1"/>
  <c r="Q207" i="59" s="1"/>
  <c r="Q208" i="59" s="1"/>
  <c r="Q209" i="59" s="1"/>
  <c r="Q210" i="59" s="1"/>
  <c r="Q211" i="59" s="1"/>
  <c r="Q212" i="59" s="1"/>
  <c r="Q213" i="59" s="1"/>
  <c r="Q214" i="59" s="1"/>
  <c r="Q215" i="59" s="1"/>
  <c r="Q216" i="59" s="1"/>
  <c r="Q217" i="59" s="1"/>
  <c r="Q218" i="59" s="1"/>
  <c r="Q219" i="59" s="1"/>
  <c r="Q220" i="59" s="1"/>
  <c r="Q221" i="59" s="1"/>
  <c r="Q222" i="59" s="1"/>
  <c r="Q223" i="59" s="1"/>
  <c r="Q224" i="59" s="1"/>
  <c r="Q225" i="59" s="1"/>
  <c r="Q226" i="59" s="1"/>
  <c r="Q227" i="59" s="1"/>
  <c r="Q228" i="59" s="1"/>
  <c r="Q229" i="59" s="1"/>
  <c r="Q230" i="59" s="1"/>
  <c r="Q231" i="59" s="1"/>
  <c r="Q232" i="59" s="1"/>
  <c r="Q233" i="59" s="1"/>
  <c r="Q234" i="59" s="1"/>
  <c r="Q235" i="59" s="1"/>
  <c r="Q236" i="59" s="1"/>
  <c r="Q237" i="59" s="1"/>
  <c r="Q238" i="59" s="1"/>
  <c r="Q239" i="59" s="1"/>
  <c r="Q240" i="59" s="1"/>
  <c r="Q241" i="59" s="1"/>
  <c r="Q242" i="59" s="1"/>
  <c r="Q243" i="59" s="1"/>
  <c r="Q244" i="59" s="1"/>
  <c r="Q245" i="59" s="1"/>
  <c r="Q246" i="59" s="1"/>
  <c r="Q247" i="59" s="1"/>
  <c r="Q248" i="59" s="1"/>
  <c r="Q249" i="59" s="1"/>
  <c r="Q250" i="59" s="1"/>
  <c r="Q251" i="59" s="1"/>
  <c r="Q252" i="59" s="1"/>
  <c r="Q253" i="59" s="1"/>
  <c r="Q254" i="59" s="1"/>
  <c r="Q255" i="59" s="1"/>
  <c r="Q256" i="59" s="1"/>
  <c r="Q257" i="59" s="1"/>
  <c r="Q258" i="59" s="1"/>
  <c r="Q259" i="59" s="1"/>
  <c r="Q260" i="59" s="1"/>
  <c r="Q261" i="59" s="1"/>
  <c r="Q262" i="59" s="1"/>
  <c r="Q263" i="59" s="1"/>
  <c r="Q264" i="59" s="1"/>
  <c r="Q265" i="59" s="1"/>
  <c r="Q266" i="59" s="1"/>
  <c r="Q267" i="59" s="1"/>
  <c r="Q268" i="59" s="1"/>
  <c r="Q269" i="59" s="1"/>
  <c r="Q270" i="59" s="1"/>
  <c r="Q271" i="59" s="1"/>
  <c r="Q272" i="59" s="1"/>
  <c r="Q273" i="59" s="1"/>
  <c r="Q274" i="59" s="1"/>
  <c r="Q275" i="59" s="1"/>
  <c r="Q276" i="59" s="1"/>
  <c r="Q277" i="59" s="1"/>
  <c r="Q278" i="59" s="1"/>
  <c r="Q279" i="59" s="1"/>
  <c r="Q280" i="59" s="1"/>
  <c r="Q281" i="59" s="1"/>
  <c r="Q282" i="59" s="1"/>
  <c r="Q283" i="59" s="1"/>
  <c r="Q284" i="59" s="1"/>
  <c r="Q285" i="59" s="1"/>
  <c r="Q286" i="59" s="1"/>
  <c r="Q287" i="59" s="1"/>
  <c r="Q288" i="59" s="1"/>
  <c r="Q289" i="59" s="1"/>
  <c r="Q290" i="59" s="1"/>
  <c r="Q291" i="59" s="1"/>
  <c r="Q292" i="59" s="1"/>
  <c r="Q293" i="59" s="1"/>
  <c r="Q294" i="59" s="1"/>
  <c r="Q295" i="59" s="1"/>
  <c r="Q296" i="59" s="1"/>
  <c r="Q297" i="59" s="1"/>
  <c r="Q298" i="59" s="1"/>
  <c r="Q299" i="59" s="1"/>
  <c r="Q300" i="59" s="1"/>
  <c r="Q301" i="59" s="1"/>
  <c r="Q302" i="59" s="1"/>
  <c r="Q303" i="59" s="1"/>
  <c r="Q304" i="59" s="1"/>
  <c r="Q305" i="59" s="1"/>
  <c r="Q306" i="59" s="1"/>
  <c r="Q307" i="59" s="1"/>
  <c r="Q308" i="59" s="1"/>
  <c r="Q309" i="59" s="1"/>
  <c r="Q310" i="59" s="1"/>
  <c r="Q311" i="59" s="1"/>
  <c r="Q312" i="59" s="1"/>
  <c r="Q313" i="59" s="1"/>
  <c r="Q314" i="59" s="1"/>
  <c r="Q315" i="59" s="1"/>
  <c r="Q316" i="59" s="1"/>
  <c r="Q317" i="59" s="1"/>
  <c r="Q318" i="59" s="1"/>
  <c r="Q319" i="59" s="1"/>
  <c r="Q320" i="59" s="1"/>
  <c r="Q321" i="59" s="1"/>
  <c r="Q322" i="59" s="1"/>
  <c r="Q323" i="59" s="1"/>
  <c r="Q324" i="59" s="1"/>
  <c r="Q325" i="59" s="1"/>
  <c r="Q326" i="59" s="1"/>
  <c r="Q327" i="59" s="1"/>
  <c r="Q328" i="59" s="1"/>
  <c r="Q329" i="59" s="1"/>
  <c r="Q330" i="59" s="1"/>
  <c r="Q331" i="59" s="1"/>
  <c r="Q332" i="59" s="1"/>
  <c r="Q333" i="59" s="1"/>
  <c r="Q334" i="59" s="1"/>
  <c r="I12" i="59"/>
  <c r="B12" i="59"/>
  <c r="B13" i="59" s="1"/>
  <c r="B14" i="59" s="1"/>
  <c r="B15" i="59" s="1"/>
  <c r="B16" i="59" s="1"/>
  <c r="B17" i="59" s="1"/>
  <c r="B18" i="59" s="1"/>
  <c r="B19" i="59" s="1"/>
  <c r="B20" i="59" s="1"/>
  <c r="B21" i="59" s="1"/>
  <c r="B22" i="59" s="1"/>
  <c r="B23" i="59" s="1"/>
  <c r="B24" i="59" s="1"/>
  <c r="B25" i="59" s="1"/>
  <c r="B26" i="59" s="1"/>
  <c r="B27" i="59" s="1"/>
  <c r="B28" i="59" s="1"/>
  <c r="B29" i="59" s="1"/>
  <c r="B30" i="59" s="1"/>
  <c r="B31" i="59" s="1"/>
  <c r="B32" i="59" s="1"/>
  <c r="B33" i="59" s="1"/>
  <c r="B34" i="59" s="1"/>
  <c r="B35" i="59" s="1"/>
  <c r="B36" i="59" s="1"/>
  <c r="B37" i="59" s="1"/>
  <c r="B38" i="59" s="1"/>
  <c r="B39" i="59" s="1"/>
  <c r="B40" i="59" s="1"/>
  <c r="B41" i="59" s="1"/>
  <c r="B42" i="59" s="1"/>
  <c r="B43" i="59" s="1"/>
  <c r="B44" i="59" s="1"/>
  <c r="B45" i="59" s="1"/>
  <c r="B46" i="59" s="1"/>
  <c r="B47" i="59" s="1"/>
  <c r="B48" i="59" s="1"/>
  <c r="B49" i="59" s="1"/>
  <c r="B50" i="59" s="1"/>
  <c r="B51" i="59" s="1"/>
  <c r="B52" i="59" s="1"/>
  <c r="B53" i="59" s="1"/>
  <c r="B54" i="59" s="1"/>
  <c r="B55" i="59" s="1"/>
  <c r="B56" i="59" s="1"/>
  <c r="B57" i="59" s="1"/>
  <c r="B58" i="59" s="1"/>
  <c r="B59" i="59" s="1"/>
  <c r="B60" i="59" s="1"/>
  <c r="B61" i="59" s="1"/>
  <c r="B62" i="59" s="1"/>
  <c r="B63" i="59" s="1"/>
  <c r="B64" i="59" s="1"/>
  <c r="B65" i="59" s="1"/>
  <c r="B66" i="59" s="1"/>
  <c r="B67" i="59" s="1"/>
  <c r="B68" i="59" s="1"/>
  <c r="B69" i="59" s="1"/>
  <c r="B70" i="59" s="1"/>
  <c r="B71" i="59" s="1"/>
  <c r="B72" i="59" s="1"/>
  <c r="B73" i="59" s="1"/>
  <c r="B74" i="59" s="1"/>
  <c r="B75" i="59" s="1"/>
  <c r="B76" i="59" s="1"/>
  <c r="B77" i="59" s="1"/>
  <c r="B78" i="59" s="1"/>
  <c r="B79" i="59" s="1"/>
  <c r="B80" i="59" s="1"/>
  <c r="B81" i="59" s="1"/>
  <c r="B82" i="59" s="1"/>
  <c r="B83" i="59" s="1"/>
  <c r="B84" i="59" s="1"/>
  <c r="B85" i="59" s="1"/>
  <c r="B86" i="59" s="1"/>
  <c r="B87" i="59" s="1"/>
  <c r="B88" i="59" s="1"/>
  <c r="B89" i="59" s="1"/>
  <c r="B90" i="59" s="1"/>
  <c r="B91" i="59" s="1"/>
  <c r="B92" i="59" s="1"/>
  <c r="B93" i="59" s="1"/>
  <c r="B94" i="59" s="1"/>
  <c r="B95" i="59" s="1"/>
  <c r="B96" i="59" s="1"/>
  <c r="B97" i="59" s="1"/>
  <c r="B98" i="59" s="1"/>
  <c r="B99" i="59" s="1"/>
  <c r="B100" i="59" s="1"/>
  <c r="B101" i="59" s="1"/>
  <c r="B102" i="59" s="1"/>
  <c r="B103" i="59" s="1"/>
  <c r="B104" i="59" s="1"/>
  <c r="B105" i="59" s="1"/>
  <c r="B106" i="59" s="1"/>
  <c r="B107" i="59" s="1"/>
  <c r="B108" i="59" s="1"/>
  <c r="B109" i="59" s="1"/>
  <c r="B110" i="59" s="1"/>
  <c r="B111" i="59" s="1"/>
  <c r="B112" i="59" s="1"/>
  <c r="B113" i="59" s="1"/>
  <c r="B114" i="59" s="1"/>
  <c r="B115" i="59" s="1"/>
  <c r="B116" i="59" s="1"/>
  <c r="B117" i="59" s="1"/>
  <c r="B118" i="59" s="1"/>
  <c r="B119" i="59" s="1"/>
  <c r="B120" i="59" s="1"/>
  <c r="B121" i="59" s="1"/>
  <c r="B122" i="59" s="1"/>
  <c r="B123" i="59" s="1"/>
  <c r="B124" i="59" s="1"/>
  <c r="B125" i="59" s="1"/>
  <c r="B126" i="59" s="1"/>
  <c r="B127" i="59" s="1"/>
  <c r="B128" i="59" s="1"/>
  <c r="B129" i="59" s="1"/>
  <c r="B130" i="59" s="1"/>
  <c r="B131" i="59" s="1"/>
  <c r="B132" i="59" s="1"/>
  <c r="B133" i="59" s="1"/>
  <c r="B134" i="59" s="1"/>
  <c r="B135" i="59" s="1"/>
  <c r="B136" i="59" s="1"/>
  <c r="B137" i="59" s="1"/>
  <c r="B138" i="59" s="1"/>
  <c r="B139" i="59" s="1"/>
  <c r="B140" i="59" s="1"/>
  <c r="B141" i="59" s="1"/>
  <c r="B142" i="59" s="1"/>
  <c r="B143" i="59" s="1"/>
  <c r="B144" i="59" s="1"/>
  <c r="B145" i="59" s="1"/>
  <c r="B146" i="59" s="1"/>
  <c r="B147" i="59" s="1"/>
  <c r="B148" i="59" s="1"/>
  <c r="B149" i="59" s="1"/>
  <c r="B150" i="59" s="1"/>
  <c r="B151" i="59" s="1"/>
  <c r="B152" i="59" s="1"/>
  <c r="B153" i="59" s="1"/>
  <c r="B154" i="59" s="1"/>
  <c r="B155" i="59" s="1"/>
  <c r="B156" i="59" s="1"/>
  <c r="B157" i="59" s="1"/>
  <c r="B158" i="59" s="1"/>
  <c r="B159" i="59" s="1"/>
  <c r="B160" i="59" s="1"/>
  <c r="B161" i="59" s="1"/>
  <c r="B162" i="59" s="1"/>
  <c r="B163" i="59" s="1"/>
  <c r="B164" i="59" s="1"/>
  <c r="B165" i="59" s="1"/>
  <c r="B166" i="59" s="1"/>
  <c r="B167" i="59" s="1"/>
  <c r="B168" i="59" s="1"/>
  <c r="B169" i="59" s="1"/>
  <c r="B170" i="59" s="1"/>
  <c r="B171" i="59" s="1"/>
  <c r="B172" i="59" s="1"/>
  <c r="B173" i="59" s="1"/>
  <c r="B174" i="59" s="1"/>
  <c r="B175" i="59" s="1"/>
  <c r="B176" i="59" s="1"/>
  <c r="B177" i="59" s="1"/>
  <c r="B178" i="59" s="1"/>
  <c r="B179" i="59" s="1"/>
  <c r="B180" i="59" s="1"/>
  <c r="B181" i="59" s="1"/>
  <c r="B182" i="59" s="1"/>
  <c r="B183" i="59" s="1"/>
  <c r="B184" i="59" s="1"/>
  <c r="B185" i="59" s="1"/>
  <c r="B186" i="59" s="1"/>
  <c r="B187" i="59" s="1"/>
  <c r="B188" i="59" s="1"/>
  <c r="B189" i="59" s="1"/>
  <c r="B190" i="59" s="1"/>
  <c r="B191" i="59" s="1"/>
  <c r="B192" i="59" s="1"/>
  <c r="B193" i="59" s="1"/>
  <c r="B194" i="59" s="1"/>
  <c r="B195" i="59" s="1"/>
  <c r="B196" i="59" s="1"/>
  <c r="B197" i="59" s="1"/>
  <c r="B198" i="59" s="1"/>
  <c r="B199" i="59" s="1"/>
  <c r="B200" i="59" s="1"/>
  <c r="B201" i="59" s="1"/>
  <c r="B202" i="59" s="1"/>
  <c r="B203" i="59" s="1"/>
  <c r="B204" i="59" s="1"/>
  <c r="B205" i="59" s="1"/>
  <c r="B206" i="59" s="1"/>
  <c r="B207" i="59" s="1"/>
  <c r="B208" i="59" s="1"/>
  <c r="B209" i="59" s="1"/>
  <c r="B210" i="59" s="1"/>
  <c r="B211" i="59" s="1"/>
  <c r="B212" i="59" s="1"/>
  <c r="B213" i="59" s="1"/>
  <c r="B214" i="59" s="1"/>
  <c r="B215" i="59" s="1"/>
  <c r="B216" i="59" s="1"/>
  <c r="B217" i="59" s="1"/>
  <c r="B218" i="59" s="1"/>
  <c r="B219" i="59" s="1"/>
  <c r="B220" i="59" s="1"/>
  <c r="B221" i="59" s="1"/>
  <c r="B222" i="59" s="1"/>
  <c r="B223" i="59" s="1"/>
  <c r="B224" i="59" s="1"/>
  <c r="B225" i="59" s="1"/>
  <c r="B226" i="59" s="1"/>
  <c r="B227" i="59" s="1"/>
  <c r="B228" i="59" s="1"/>
  <c r="B229" i="59" s="1"/>
  <c r="B230" i="59" s="1"/>
  <c r="B231" i="59" s="1"/>
  <c r="B232" i="59" s="1"/>
  <c r="B233" i="59" s="1"/>
  <c r="B234" i="59" s="1"/>
  <c r="B235" i="59" s="1"/>
  <c r="B236" i="59" s="1"/>
  <c r="B237" i="59" s="1"/>
  <c r="B238" i="59" s="1"/>
  <c r="B239" i="59" s="1"/>
  <c r="B240" i="59" s="1"/>
  <c r="B241" i="59" s="1"/>
  <c r="B242" i="59" s="1"/>
  <c r="B243" i="59" s="1"/>
  <c r="B244" i="59" s="1"/>
  <c r="B245" i="59" s="1"/>
  <c r="B246" i="59" s="1"/>
  <c r="B247" i="59" s="1"/>
  <c r="B248" i="59" s="1"/>
  <c r="B249" i="59" s="1"/>
  <c r="B250" i="59" s="1"/>
  <c r="B251" i="59" s="1"/>
  <c r="B252" i="59" s="1"/>
  <c r="B253" i="59" s="1"/>
  <c r="B254" i="59" s="1"/>
  <c r="B255" i="59" s="1"/>
  <c r="B256" i="59" s="1"/>
  <c r="B257" i="59" s="1"/>
  <c r="B258" i="59" s="1"/>
  <c r="B259" i="59" s="1"/>
  <c r="B260" i="59" s="1"/>
  <c r="B261" i="59" s="1"/>
  <c r="B262" i="59" s="1"/>
  <c r="B263" i="59" s="1"/>
  <c r="B264" i="59" s="1"/>
  <c r="B265" i="59" s="1"/>
  <c r="B266" i="59" s="1"/>
  <c r="B267" i="59" s="1"/>
  <c r="B268" i="59" s="1"/>
  <c r="B269" i="59" s="1"/>
  <c r="B270" i="59" s="1"/>
  <c r="B271" i="59" s="1"/>
  <c r="B272" i="59" s="1"/>
  <c r="B273" i="59" s="1"/>
  <c r="B274" i="59" s="1"/>
  <c r="B275" i="59" s="1"/>
  <c r="B276" i="59" s="1"/>
  <c r="B277" i="59" s="1"/>
  <c r="B278" i="59" s="1"/>
  <c r="B279" i="59" s="1"/>
  <c r="B280" i="59" s="1"/>
  <c r="B281" i="59" s="1"/>
  <c r="B282" i="59" s="1"/>
  <c r="B283" i="59" s="1"/>
  <c r="B284" i="59" s="1"/>
  <c r="B285" i="59" s="1"/>
  <c r="B286" i="59" s="1"/>
  <c r="B287" i="59" s="1"/>
  <c r="B288" i="59" s="1"/>
  <c r="B289" i="59" s="1"/>
  <c r="B290" i="59" s="1"/>
  <c r="B291" i="59" s="1"/>
  <c r="B292" i="59" s="1"/>
  <c r="B293" i="59" s="1"/>
  <c r="B294" i="59" s="1"/>
  <c r="B295" i="59" s="1"/>
  <c r="B296" i="59" s="1"/>
  <c r="B297" i="59" s="1"/>
  <c r="B298" i="59" s="1"/>
  <c r="B299" i="59" s="1"/>
  <c r="B300" i="59" s="1"/>
  <c r="B301" i="59" s="1"/>
  <c r="B302" i="59" s="1"/>
  <c r="B303" i="59" s="1"/>
  <c r="B304" i="59" s="1"/>
  <c r="B305" i="59" s="1"/>
  <c r="B306" i="59" s="1"/>
  <c r="B307" i="59" s="1"/>
  <c r="B308" i="59" s="1"/>
  <c r="B309" i="59" s="1"/>
  <c r="B310" i="59" s="1"/>
  <c r="B311" i="59" s="1"/>
  <c r="B312" i="59" s="1"/>
  <c r="B313" i="59" s="1"/>
  <c r="B314" i="59" s="1"/>
  <c r="B315" i="59" s="1"/>
  <c r="B316" i="59" s="1"/>
  <c r="B317" i="59" s="1"/>
  <c r="B318" i="59" s="1"/>
  <c r="B319" i="59" s="1"/>
  <c r="B320" i="59" s="1"/>
  <c r="B321" i="59" s="1"/>
  <c r="B322" i="59" s="1"/>
  <c r="B323" i="59" s="1"/>
  <c r="B324" i="59" s="1"/>
  <c r="B325" i="59" s="1"/>
  <c r="B326" i="59" s="1"/>
  <c r="B327" i="59" s="1"/>
  <c r="B328" i="59" s="1"/>
  <c r="B329" i="59" s="1"/>
  <c r="B330" i="59" s="1"/>
  <c r="B331" i="59" s="1"/>
  <c r="B332" i="59" s="1"/>
  <c r="B333" i="59" s="1"/>
  <c r="B334" i="59" s="1"/>
  <c r="O11" i="59"/>
  <c r="P11" i="59" s="1"/>
  <c r="P12" i="59" s="1"/>
  <c r="P13" i="59" s="1"/>
  <c r="P14" i="59" s="1"/>
  <c r="P15" i="59" s="1"/>
  <c r="P16" i="59" s="1"/>
  <c r="P17" i="59" s="1"/>
  <c r="P18" i="59" s="1"/>
  <c r="P19" i="59" s="1"/>
  <c r="P20" i="59" s="1"/>
  <c r="P21" i="59" s="1"/>
  <c r="P22" i="59" s="1"/>
  <c r="P23" i="59" s="1"/>
  <c r="P24" i="59" s="1"/>
  <c r="P25" i="59" s="1"/>
  <c r="P26" i="59" s="1"/>
  <c r="P27" i="59" s="1"/>
  <c r="P28" i="59" s="1"/>
  <c r="P29" i="59" s="1"/>
  <c r="P30" i="59" s="1"/>
  <c r="P31" i="59" s="1"/>
  <c r="P32" i="59" s="1"/>
  <c r="P33" i="59" s="1"/>
  <c r="P34" i="59" s="1"/>
  <c r="P35" i="59" s="1"/>
  <c r="P36" i="59" s="1"/>
  <c r="P37" i="59" s="1"/>
  <c r="P38" i="59" s="1"/>
  <c r="P39" i="59" s="1"/>
  <c r="P40" i="59" s="1"/>
  <c r="P41" i="59" s="1"/>
  <c r="P42" i="59" s="1"/>
  <c r="P43" i="59" s="1"/>
  <c r="P44" i="59" s="1"/>
  <c r="P45" i="59" s="1"/>
  <c r="P46" i="59" s="1"/>
  <c r="P47" i="59" s="1"/>
  <c r="P48" i="59" s="1"/>
  <c r="P49" i="59" s="1"/>
  <c r="P50" i="59" s="1"/>
  <c r="P51" i="59" s="1"/>
  <c r="P52" i="59" s="1"/>
  <c r="P53" i="59" s="1"/>
  <c r="P54" i="59" s="1"/>
  <c r="P55" i="59" s="1"/>
  <c r="P56" i="59" s="1"/>
  <c r="P57" i="59" s="1"/>
  <c r="P58" i="59" s="1"/>
  <c r="P59" i="59" s="1"/>
  <c r="P60" i="59" s="1"/>
  <c r="P61" i="59" s="1"/>
  <c r="P62" i="59" s="1"/>
  <c r="P63" i="59" s="1"/>
  <c r="P64" i="59" s="1"/>
  <c r="P65" i="59" s="1"/>
  <c r="P66" i="59" s="1"/>
  <c r="P67" i="59" s="1"/>
  <c r="P68" i="59" s="1"/>
  <c r="P69" i="59" s="1"/>
  <c r="P70" i="59" s="1"/>
  <c r="P71" i="59" s="1"/>
  <c r="P72" i="59" s="1"/>
  <c r="P73" i="59" s="1"/>
  <c r="P74" i="59" s="1"/>
  <c r="P75" i="59" s="1"/>
  <c r="P76" i="59" s="1"/>
  <c r="P77" i="59" s="1"/>
  <c r="P78" i="59" s="1"/>
  <c r="P79" i="59" s="1"/>
  <c r="P80" i="59" s="1"/>
  <c r="P81" i="59" s="1"/>
  <c r="P82" i="59" s="1"/>
  <c r="P83" i="59" s="1"/>
  <c r="P84" i="59" s="1"/>
  <c r="P85" i="59" s="1"/>
  <c r="P86" i="59" s="1"/>
  <c r="P87" i="59" s="1"/>
  <c r="P88" i="59" s="1"/>
  <c r="P89" i="59" s="1"/>
  <c r="P90" i="59" s="1"/>
  <c r="P91" i="59" s="1"/>
  <c r="P92" i="59" s="1"/>
  <c r="P93" i="59" s="1"/>
  <c r="P94" i="59" s="1"/>
  <c r="P95" i="59" s="1"/>
  <c r="P96" i="59" s="1"/>
  <c r="P97" i="59" s="1"/>
  <c r="P98" i="59" s="1"/>
  <c r="P99" i="59" s="1"/>
  <c r="P100" i="59" s="1"/>
  <c r="P101" i="59" s="1"/>
  <c r="P102" i="59" s="1"/>
  <c r="P103" i="59" s="1"/>
  <c r="P104" i="59" s="1"/>
  <c r="P105" i="59" s="1"/>
  <c r="P106" i="59" s="1"/>
  <c r="P107" i="59" s="1"/>
  <c r="P108" i="59" s="1"/>
  <c r="P109" i="59" s="1"/>
  <c r="P110" i="59" s="1"/>
  <c r="P111" i="59" s="1"/>
  <c r="P112" i="59" s="1"/>
  <c r="P113" i="59" s="1"/>
  <c r="P114" i="59" s="1"/>
  <c r="P115" i="59" s="1"/>
  <c r="P116" i="59" s="1"/>
  <c r="P117" i="59" s="1"/>
  <c r="P118" i="59" s="1"/>
  <c r="P119" i="59" s="1"/>
  <c r="P120" i="59" s="1"/>
  <c r="P121" i="59" s="1"/>
  <c r="P122" i="59" s="1"/>
  <c r="P123" i="59" s="1"/>
  <c r="P124" i="59" s="1"/>
  <c r="P125" i="59" s="1"/>
  <c r="P126" i="59" s="1"/>
  <c r="P127" i="59" s="1"/>
  <c r="P128" i="59" s="1"/>
  <c r="P129" i="59" s="1"/>
  <c r="P130" i="59" s="1"/>
  <c r="P131" i="59" s="1"/>
  <c r="P132" i="59" s="1"/>
  <c r="P133" i="59" s="1"/>
  <c r="P134" i="59" s="1"/>
  <c r="P135" i="59" s="1"/>
  <c r="P136" i="59" s="1"/>
  <c r="P137" i="59" s="1"/>
  <c r="P138" i="59" s="1"/>
  <c r="P139" i="59" s="1"/>
  <c r="P140" i="59" s="1"/>
  <c r="P141" i="59" s="1"/>
  <c r="P142" i="59" s="1"/>
  <c r="P143" i="59" s="1"/>
  <c r="P144" i="59" s="1"/>
  <c r="P145" i="59" s="1"/>
  <c r="P146" i="59" s="1"/>
  <c r="P147" i="59" s="1"/>
  <c r="P148" i="59" s="1"/>
  <c r="P149" i="59" s="1"/>
  <c r="P150" i="59" s="1"/>
  <c r="P151" i="59" s="1"/>
  <c r="P152" i="59" s="1"/>
  <c r="P153" i="59" s="1"/>
  <c r="P154" i="59" s="1"/>
  <c r="P155" i="59" s="1"/>
  <c r="P156" i="59" s="1"/>
  <c r="P157" i="59" s="1"/>
  <c r="P158" i="59" s="1"/>
  <c r="P159" i="59" s="1"/>
  <c r="P160" i="59" s="1"/>
  <c r="P161" i="59" s="1"/>
  <c r="P162" i="59" s="1"/>
  <c r="P163" i="59" s="1"/>
  <c r="P164" i="59" s="1"/>
  <c r="P165" i="59" s="1"/>
  <c r="P166" i="59" s="1"/>
  <c r="P167" i="59" s="1"/>
  <c r="P168" i="59" s="1"/>
  <c r="P169" i="59" s="1"/>
  <c r="P170" i="59" s="1"/>
  <c r="P171" i="59" s="1"/>
  <c r="P172" i="59" s="1"/>
  <c r="P173" i="59" s="1"/>
  <c r="P174" i="59" s="1"/>
  <c r="P175" i="59" s="1"/>
  <c r="P176" i="59" s="1"/>
  <c r="P177" i="59" s="1"/>
  <c r="P178" i="59" s="1"/>
  <c r="P179" i="59" s="1"/>
  <c r="P180" i="59" s="1"/>
  <c r="P181" i="59" s="1"/>
  <c r="P182" i="59" s="1"/>
  <c r="P183" i="59" s="1"/>
  <c r="P184" i="59" s="1"/>
  <c r="P185" i="59" s="1"/>
  <c r="P186" i="59" s="1"/>
  <c r="P187" i="59" s="1"/>
  <c r="P188" i="59" s="1"/>
  <c r="P189" i="59" s="1"/>
  <c r="P190" i="59" s="1"/>
  <c r="P191" i="59" s="1"/>
  <c r="P192" i="59" s="1"/>
  <c r="P193" i="59" s="1"/>
  <c r="P194" i="59" s="1"/>
  <c r="P195" i="59" s="1"/>
  <c r="P196" i="59" s="1"/>
  <c r="P197" i="59" s="1"/>
  <c r="P198" i="59" s="1"/>
  <c r="P199" i="59" s="1"/>
  <c r="P200" i="59" s="1"/>
  <c r="P201" i="59" s="1"/>
  <c r="P202" i="59" s="1"/>
  <c r="P203" i="59" s="1"/>
  <c r="P204" i="59" s="1"/>
  <c r="P205" i="59" s="1"/>
  <c r="P206" i="59" s="1"/>
  <c r="P207" i="59" s="1"/>
  <c r="P208" i="59" s="1"/>
  <c r="P209" i="59" s="1"/>
  <c r="P210" i="59" s="1"/>
  <c r="P211" i="59" s="1"/>
  <c r="P212" i="59" s="1"/>
  <c r="P213" i="59" s="1"/>
  <c r="P214" i="59" s="1"/>
  <c r="P215" i="59" s="1"/>
  <c r="P216" i="59" s="1"/>
  <c r="P217" i="59" s="1"/>
  <c r="P218" i="59" s="1"/>
  <c r="P219" i="59" s="1"/>
  <c r="P220" i="59" s="1"/>
  <c r="P221" i="59" s="1"/>
  <c r="P222" i="59" s="1"/>
  <c r="P223" i="59" s="1"/>
  <c r="P224" i="59" s="1"/>
  <c r="P225" i="59" s="1"/>
  <c r="P226" i="59" s="1"/>
  <c r="P227" i="59" s="1"/>
  <c r="P228" i="59" s="1"/>
  <c r="P229" i="59" s="1"/>
  <c r="P230" i="59" s="1"/>
  <c r="P231" i="59" s="1"/>
  <c r="P232" i="59" s="1"/>
  <c r="P233" i="59" s="1"/>
  <c r="P234" i="59" s="1"/>
  <c r="P235" i="59" s="1"/>
  <c r="P236" i="59" s="1"/>
  <c r="P237" i="59" s="1"/>
  <c r="P238" i="59" s="1"/>
  <c r="P239" i="59" s="1"/>
  <c r="P240" i="59" s="1"/>
  <c r="P241" i="59" s="1"/>
  <c r="P242" i="59" s="1"/>
  <c r="P243" i="59" s="1"/>
  <c r="P244" i="59" s="1"/>
  <c r="P245" i="59" s="1"/>
  <c r="P246" i="59" s="1"/>
  <c r="P247" i="59" s="1"/>
  <c r="P248" i="59" s="1"/>
  <c r="P249" i="59" s="1"/>
  <c r="P250" i="59" s="1"/>
  <c r="P251" i="59" s="1"/>
  <c r="P252" i="59" s="1"/>
  <c r="P253" i="59" s="1"/>
  <c r="P254" i="59" s="1"/>
  <c r="P255" i="59" s="1"/>
  <c r="P256" i="59" s="1"/>
  <c r="P257" i="59" s="1"/>
  <c r="P258" i="59" s="1"/>
  <c r="P259" i="59" s="1"/>
  <c r="P260" i="59" s="1"/>
  <c r="P261" i="59" s="1"/>
  <c r="P262" i="59" s="1"/>
  <c r="P263" i="59" s="1"/>
  <c r="P264" i="59" s="1"/>
  <c r="P265" i="59" s="1"/>
  <c r="P266" i="59" s="1"/>
  <c r="P267" i="59" s="1"/>
  <c r="P268" i="59" s="1"/>
  <c r="P269" i="59" s="1"/>
  <c r="P270" i="59" s="1"/>
  <c r="P271" i="59" s="1"/>
  <c r="P272" i="59" s="1"/>
  <c r="P273" i="59" s="1"/>
  <c r="P274" i="59" s="1"/>
  <c r="P275" i="59" s="1"/>
  <c r="P276" i="59" s="1"/>
  <c r="P277" i="59" s="1"/>
  <c r="P278" i="59" s="1"/>
  <c r="P279" i="59" s="1"/>
  <c r="P280" i="59" s="1"/>
  <c r="P281" i="59" s="1"/>
  <c r="P282" i="59" s="1"/>
  <c r="P283" i="59" s="1"/>
  <c r="P284" i="59" s="1"/>
  <c r="P285" i="59" s="1"/>
  <c r="P286" i="59" s="1"/>
  <c r="P287" i="59" s="1"/>
  <c r="P288" i="59" s="1"/>
  <c r="P289" i="59" s="1"/>
  <c r="P290" i="59" s="1"/>
  <c r="P291" i="59" s="1"/>
  <c r="P292" i="59" s="1"/>
  <c r="P293" i="59" s="1"/>
  <c r="P294" i="59" s="1"/>
  <c r="P295" i="59" s="1"/>
  <c r="P296" i="59" s="1"/>
  <c r="P297" i="59" s="1"/>
  <c r="P298" i="59" s="1"/>
  <c r="P299" i="59" s="1"/>
  <c r="P300" i="59" s="1"/>
  <c r="P301" i="59" s="1"/>
  <c r="P302" i="59" s="1"/>
  <c r="P303" i="59" s="1"/>
  <c r="P304" i="59" s="1"/>
  <c r="P305" i="59" s="1"/>
  <c r="P306" i="59" s="1"/>
  <c r="P307" i="59" s="1"/>
  <c r="P308" i="59" s="1"/>
  <c r="P309" i="59" s="1"/>
  <c r="P310" i="59" s="1"/>
  <c r="P311" i="59" s="1"/>
  <c r="P312" i="59" s="1"/>
  <c r="P313" i="59" s="1"/>
  <c r="P314" i="59" s="1"/>
  <c r="P315" i="59" s="1"/>
  <c r="P316" i="59" s="1"/>
  <c r="P317" i="59" s="1"/>
  <c r="P318" i="59" s="1"/>
  <c r="P319" i="59" s="1"/>
  <c r="P320" i="59" s="1"/>
  <c r="P321" i="59" s="1"/>
  <c r="P322" i="59" s="1"/>
  <c r="P323" i="59" s="1"/>
  <c r="P324" i="59" s="1"/>
  <c r="P325" i="59" s="1"/>
  <c r="P326" i="59" s="1"/>
  <c r="P327" i="59" s="1"/>
  <c r="P328" i="59" s="1"/>
  <c r="P329" i="59" s="1"/>
  <c r="P330" i="59" s="1"/>
  <c r="P331" i="59" s="1"/>
  <c r="P332" i="59" s="1"/>
  <c r="P333" i="59" s="1"/>
  <c r="P334" i="59" s="1"/>
  <c r="L11" i="59"/>
  <c r="I11" i="59"/>
  <c r="D11" i="59"/>
  <c r="B10" i="59"/>
  <c r="M30" i="58"/>
  <c r="M31" i="58" s="1"/>
  <c r="M32" i="58" s="1"/>
  <c r="M33" i="58" s="1"/>
  <c r="M34" i="58" s="1"/>
  <c r="M24" i="58"/>
  <c r="M25" i="58" s="1"/>
  <c r="M26" i="58" s="1"/>
  <c r="M27" i="58" s="1"/>
  <c r="M28" i="58" s="1"/>
  <c r="M18" i="58"/>
  <c r="M19" i="58" s="1"/>
  <c r="M20" i="58" s="1"/>
  <c r="M21" i="58" s="1"/>
  <c r="M22" i="58" s="1"/>
  <c r="I14" i="58"/>
  <c r="I15" i="58"/>
  <c r="I16" i="58"/>
  <c r="I17" i="58"/>
  <c r="I18" i="58"/>
  <c r="I19" i="58"/>
  <c r="I20" i="58"/>
  <c r="I21" i="58"/>
  <c r="I22" i="58"/>
  <c r="I23" i="58"/>
  <c r="I24" i="58"/>
  <c r="I25" i="58"/>
  <c r="I26" i="58"/>
  <c r="I27" i="58"/>
  <c r="I28" i="58"/>
  <c r="I29" i="58"/>
  <c r="I30" i="58"/>
  <c r="I31" i="58"/>
  <c r="I32" i="58"/>
  <c r="I33" i="58"/>
  <c r="I34" i="58"/>
  <c r="I13" i="58"/>
  <c r="I12" i="58"/>
  <c r="J12" i="58"/>
  <c r="J11" i="58"/>
  <c r="B12" i="58"/>
  <c r="B13" i="58" s="1"/>
  <c r="B14" i="58" s="1"/>
  <c r="B15" i="58" s="1"/>
  <c r="B16" i="58" s="1"/>
  <c r="B17" i="58" s="1"/>
  <c r="B18" i="58" s="1"/>
  <c r="B19" i="58" s="1"/>
  <c r="B20" i="58" s="1"/>
  <c r="B21" i="58" s="1"/>
  <c r="B22" i="58" s="1"/>
  <c r="B23" i="58" s="1"/>
  <c r="B24" i="58" s="1"/>
  <c r="B25" i="58" s="1"/>
  <c r="B26" i="58" s="1"/>
  <c r="B27" i="58" s="1"/>
  <c r="B28" i="58" s="1"/>
  <c r="B29" i="58" s="1"/>
  <c r="B30" i="58" s="1"/>
  <c r="B31" i="58" s="1"/>
  <c r="B32" i="58" s="1"/>
  <c r="B33" i="58" s="1"/>
  <c r="B34" i="58" s="1"/>
  <c r="I11" i="58"/>
  <c r="D11" i="58"/>
  <c r="E11" i="58" s="1"/>
  <c r="F11" i="58" s="1"/>
  <c r="B10" i="58"/>
  <c r="P12" i="58"/>
  <c r="P13" i="58" s="1"/>
  <c r="P14" i="58" s="1"/>
  <c r="P15" i="58" s="1"/>
  <c r="P16" i="58" s="1"/>
  <c r="P17" i="58" s="1"/>
  <c r="P18" i="58" s="1"/>
  <c r="P19" i="58" s="1"/>
  <c r="P20" i="58" s="1"/>
  <c r="P21" i="58" s="1"/>
  <c r="P22" i="58" s="1"/>
  <c r="P23" i="58" s="1"/>
  <c r="P24" i="58" s="1"/>
  <c r="P25" i="58" s="1"/>
  <c r="P26" i="58" s="1"/>
  <c r="P27" i="58" s="1"/>
  <c r="P28" i="58" s="1"/>
  <c r="P29" i="58" s="1"/>
  <c r="P30" i="58" s="1"/>
  <c r="P31" i="58" s="1"/>
  <c r="P32" i="58" s="1"/>
  <c r="P33" i="58" s="1"/>
  <c r="P34" i="58" s="1"/>
  <c r="M12" i="58"/>
  <c r="M13" i="58" s="1"/>
  <c r="M14" i="58" s="1"/>
  <c r="M15" i="58" s="1"/>
  <c r="M16" i="58" s="1"/>
  <c r="N11" i="58"/>
  <c r="N12" i="58" s="1"/>
  <c r="N13" i="58" s="1"/>
  <c r="N14" i="58" s="1"/>
  <c r="N15" i="58" s="1"/>
  <c r="N16" i="58" s="1"/>
  <c r="N17" i="58" s="1"/>
  <c r="N18" i="58" s="1"/>
  <c r="N19" i="58" s="1"/>
  <c r="N20" i="58" s="1"/>
  <c r="N21" i="58" s="1"/>
  <c r="N22" i="58" s="1"/>
  <c r="N23" i="58" s="1"/>
  <c r="N24" i="58" s="1"/>
  <c r="N25" i="58" s="1"/>
  <c r="N26" i="58" s="1"/>
  <c r="N27" i="58" s="1"/>
  <c r="N28" i="58" s="1"/>
  <c r="N29" i="58" s="1"/>
  <c r="N30" i="58" s="1"/>
  <c r="N31" i="58" s="1"/>
  <c r="N32" i="58" s="1"/>
  <c r="N33" i="58" s="1"/>
  <c r="N34" i="58" s="1"/>
  <c r="L11" i="58"/>
  <c r="L12" i="58" s="1"/>
  <c r="L13" i="58" s="1"/>
  <c r="L14" i="58" s="1"/>
  <c r="L15" i="58" s="1"/>
  <c r="L16" i="58" s="1"/>
  <c r="L17" i="58" s="1"/>
  <c r="L18" i="58" s="1"/>
  <c r="L19" i="58" s="1"/>
  <c r="L20" i="58" s="1"/>
  <c r="L21" i="58" s="1"/>
  <c r="L22" i="58" s="1"/>
  <c r="L23" i="58" s="1"/>
  <c r="L24" i="58" s="1"/>
  <c r="L25" i="58" s="1"/>
  <c r="L26" i="58" s="1"/>
  <c r="L27" i="58" s="1"/>
  <c r="L28" i="58" s="1"/>
  <c r="L29" i="58" s="1"/>
  <c r="L30" i="58" s="1"/>
  <c r="L31" i="58" s="1"/>
  <c r="L32" i="58" s="1"/>
  <c r="L33" i="58" s="1"/>
  <c r="L34" i="58" s="1"/>
  <c r="D11" i="57"/>
  <c r="B12" i="57"/>
  <c r="B13" i="57" s="1"/>
  <c r="B14" i="57" s="1"/>
  <c r="B15" i="57" s="1"/>
  <c r="B16" i="57" s="1"/>
  <c r="B17" i="57" s="1"/>
  <c r="B18" i="57" s="1"/>
  <c r="B19" i="57" s="1"/>
  <c r="B20" i="57" s="1"/>
  <c r="B21" i="57" s="1"/>
  <c r="B22" i="57" s="1"/>
  <c r="B23" i="57" s="1"/>
  <c r="B24" i="57" s="1"/>
  <c r="B25" i="57" s="1"/>
  <c r="B26" i="57" s="1"/>
  <c r="B27" i="57" s="1"/>
  <c r="B28" i="57" s="1"/>
  <c r="B29" i="57" s="1"/>
  <c r="B30" i="57" s="1"/>
  <c r="B31" i="57" s="1"/>
  <c r="B32" i="57" s="1"/>
  <c r="B33" i="57" s="1"/>
  <c r="B34" i="57" s="1"/>
  <c r="B35" i="57" s="1"/>
  <c r="B36" i="57" s="1"/>
  <c r="B37" i="57" s="1"/>
  <c r="B38" i="57" s="1"/>
  <c r="B39" i="57" s="1"/>
  <c r="B40" i="57" s="1"/>
  <c r="B41" i="57" s="1"/>
  <c r="B42" i="57" s="1"/>
  <c r="B43" i="57" s="1"/>
  <c r="B44" i="57" s="1"/>
  <c r="B45" i="57" s="1"/>
  <c r="B46" i="57" s="1"/>
  <c r="B47" i="57" s="1"/>
  <c r="B48" i="57" s="1"/>
  <c r="B49" i="57" s="1"/>
  <c r="B50" i="57" s="1"/>
  <c r="B51" i="57" s="1"/>
  <c r="B52" i="57" s="1"/>
  <c r="B53" i="57" s="1"/>
  <c r="B54" i="57" s="1"/>
  <c r="B55" i="57" s="1"/>
  <c r="B56" i="57" s="1"/>
  <c r="B57" i="57" s="1"/>
  <c r="B58" i="57" s="1"/>
  <c r="B59" i="57" s="1"/>
  <c r="B60" i="57" s="1"/>
  <c r="B61" i="57" s="1"/>
  <c r="B62" i="57" s="1"/>
  <c r="B63" i="57" s="1"/>
  <c r="B64" i="57" s="1"/>
  <c r="B65" i="57" s="1"/>
  <c r="B66" i="57" s="1"/>
  <c r="B67" i="57" s="1"/>
  <c r="B68" i="57" s="1"/>
  <c r="B69" i="57" s="1"/>
  <c r="B70" i="57" s="1"/>
  <c r="B71" i="57" s="1"/>
  <c r="B72" i="57" s="1"/>
  <c r="B73" i="57" s="1"/>
  <c r="B74" i="57" s="1"/>
  <c r="B75" i="57" s="1"/>
  <c r="B76" i="57" s="1"/>
  <c r="B77" i="57" s="1"/>
  <c r="B78" i="57" s="1"/>
  <c r="B79" i="57" s="1"/>
  <c r="B80" i="57" s="1"/>
  <c r="B81" i="57" s="1"/>
  <c r="B82" i="57" s="1"/>
  <c r="B83" i="57" s="1"/>
  <c r="B84" i="57" s="1"/>
  <c r="B85" i="57" s="1"/>
  <c r="B86" i="57" s="1"/>
  <c r="B87" i="57" s="1"/>
  <c r="B88" i="57" s="1"/>
  <c r="B89" i="57" s="1"/>
  <c r="B90" i="57" s="1"/>
  <c r="B91" i="57" s="1"/>
  <c r="B92" i="57" s="1"/>
  <c r="B93" i="57" s="1"/>
  <c r="B94" i="57" s="1"/>
  <c r="B95" i="57" s="1"/>
  <c r="B96" i="57" s="1"/>
  <c r="B97" i="57" s="1"/>
  <c r="B98" i="57" s="1"/>
  <c r="B99" i="57" s="1"/>
  <c r="B100" i="57" s="1"/>
  <c r="B101" i="57" s="1"/>
  <c r="B102" i="57" s="1"/>
  <c r="B103" i="57" s="1"/>
  <c r="B104" i="57" s="1"/>
  <c r="B105" i="57" s="1"/>
  <c r="B106" i="57" s="1"/>
  <c r="B107" i="57" s="1"/>
  <c r="B108" i="57" s="1"/>
  <c r="B109" i="57" s="1"/>
  <c r="B110" i="57" s="1"/>
  <c r="B111" i="57" s="1"/>
  <c r="B112" i="57" s="1"/>
  <c r="B113" i="57" s="1"/>
  <c r="B114" i="57" s="1"/>
  <c r="B115" i="57" s="1"/>
  <c r="B116" i="57" s="1"/>
  <c r="B117" i="57" s="1"/>
  <c r="B118" i="57" s="1"/>
  <c r="B119" i="57" s="1"/>
  <c r="B120" i="57" s="1"/>
  <c r="B121" i="57" s="1"/>
  <c r="B122" i="57" s="1"/>
  <c r="B123" i="57" s="1"/>
  <c r="B124" i="57" s="1"/>
  <c r="B125" i="57" s="1"/>
  <c r="B126" i="57" s="1"/>
  <c r="B127" i="57" s="1"/>
  <c r="B128" i="57" s="1"/>
  <c r="B129" i="57" s="1"/>
  <c r="B130" i="57" s="1"/>
  <c r="B131" i="57" s="1"/>
  <c r="B132" i="57" s="1"/>
  <c r="B133" i="57" s="1"/>
  <c r="B134" i="57" s="1"/>
  <c r="B135" i="57" s="1"/>
  <c r="B136" i="57" s="1"/>
  <c r="B137" i="57" s="1"/>
  <c r="B138" i="57" s="1"/>
  <c r="B139" i="57" s="1"/>
  <c r="B140" i="57" s="1"/>
  <c r="B141" i="57" s="1"/>
  <c r="B142" i="57" s="1"/>
  <c r="B143" i="57" s="1"/>
  <c r="B144" i="57" s="1"/>
  <c r="B145" i="57" s="1"/>
  <c r="B146" i="57" s="1"/>
  <c r="B147" i="57" s="1"/>
  <c r="B148" i="57" s="1"/>
  <c r="B149" i="57" s="1"/>
  <c r="B150" i="57" s="1"/>
  <c r="B151" i="57" s="1"/>
  <c r="B152" i="57" s="1"/>
  <c r="B153" i="57" s="1"/>
  <c r="B154" i="57" s="1"/>
  <c r="B155" i="57" s="1"/>
  <c r="B156" i="57" s="1"/>
  <c r="B157" i="57" s="1"/>
  <c r="B158" i="57" s="1"/>
  <c r="B159" i="57" s="1"/>
  <c r="B160" i="57" s="1"/>
  <c r="B161" i="57" s="1"/>
  <c r="B162" i="57" s="1"/>
  <c r="B163" i="57" s="1"/>
  <c r="B164" i="57" s="1"/>
  <c r="B165" i="57" s="1"/>
  <c r="B166" i="57" s="1"/>
  <c r="B167" i="57" s="1"/>
  <c r="B168" i="57" s="1"/>
  <c r="B169" i="57" s="1"/>
  <c r="B170" i="57" s="1"/>
  <c r="B171" i="57" s="1"/>
  <c r="B172" i="57" s="1"/>
  <c r="B173" i="57" s="1"/>
  <c r="B174" i="57" s="1"/>
  <c r="B175" i="57" s="1"/>
  <c r="B176" i="57" s="1"/>
  <c r="B177" i="57" s="1"/>
  <c r="B178" i="57" s="1"/>
  <c r="B179" i="57" s="1"/>
  <c r="B180" i="57" s="1"/>
  <c r="B181" i="57" s="1"/>
  <c r="B182" i="57" s="1"/>
  <c r="B183" i="57" s="1"/>
  <c r="B184" i="57" s="1"/>
  <c r="B185" i="57" s="1"/>
  <c r="B186" i="57" s="1"/>
  <c r="B187" i="57" s="1"/>
  <c r="B188" i="57" s="1"/>
  <c r="B189" i="57" s="1"/>
  <c r="B190" i="57" s="1"/>
  <c r="B191" i="57" s="1"/>
  <c r="B192" i="57" s="1"/>
  <c r="B193" i="57" s="1"/>
  <c r="B194" i="57" s="1"/>
  <c r="B195" i="57" s="1"/>
  <c r="B196" i="57" s="1"/>
  <c r="B197" i="57" s="1"/>
  <c r="B198" i="57" s="1"/>
  <c r="B199" i="57" s="1"/>
  <c r="B200" i="57" s="1"/>
  <c r="B201" i="57" s="1"/>
  <c r="B202" i="57" s="1"/>
  <c r="B203" i="57" s="1"/>
  <c r="B204" i="57" s="1"/>
  <c r="B205" i="57" s="1"/>
  <c r="B206" i="57" s="1"/>
  <c r="B207" i="57" s="1"/>
  <c r="B208" i="57" s="1"/>
  <c r="B209" i="57" s="1"/>
  <c r="B210" i="57" s="1"/>
  <c r="B211" i="57" s="1"/>
  <c r="B212" i="57" s="1"/>
  <c r="B213" i="57" s="1"/>
  <c r="B214" i="57" s="1"/>
  <c r="B215" i="57" s="1"/>
  <c r="B216" i="57" s="1"/>
  <c r="B217" i="57" s="1"/>
  <c r="B218" i="57" s="1"/>
  <c r="B219" i="57" s="1"/>
  <c r="B220" i="57" s="1"/>
  <c r="B221" i="57" s="1"/>
  <c r="B222" i="57" s="1"/>
  <c r="B223" i="57" s="1"/>
  <c r="B224" i="57" s="1"/>
  <c r="B225" i="57" s="1"/>
  <c r="B226" i="57" s="1"/>
  <c r="B227" i="57" s="1"/>
  <c r="B228" i="57" s="1"/>
  <c r="B229" i="57" s="1"/>
  <c r="B230" i="57" s="1"/>
  <c r="B231" i="57" s="1"/>
  <c r="B232" i="57" s="1"/>
  <c r="B233" i="57" s="1"/>
  <c r="B234" i="57" s="1"/>
  <c r="B235" i="57" s="1"/>
  <c r="B236" i="57" s="1"/>
  <c r="B237" i="57" s="1"/>
  <c r="B238" i="57" s="1"/>
  <c r="B239" i="57" s="1"/>
  <c r="B240" i="57" s="1"/>
  <c r="B241" i="57" s="1"/>
  <c r="B242" i="57" s="1"/>
  <c r="B243" i="57" s="1"/>
  <c r="B244" i="57" s="1"/>
  <c r="B245" i="57" s="1"/>
  <c r="B246" i="57" s="1"/>
  <c r="B247" i="57" s="1"/>
  <c r="B248" i="57" s="1"/>
  <c r="B249" i="57" s="1"/>
  <c r="B250" i="57" s="1"/>
  <c r="B251" i="57" s="1"/>
  <c r="B252" i="57" s="1"/>
  <c r="B253" i="57" s="1"/>
  <c r="B254" i="57" s="1"/>
  <c r="B255" i="57" s="1"/>
  <c r="B256" i="57" s="1"/>
  <c r="B257" i="57" s="1"/>
  <c r="B258" i="57" s="1"/>
  <c r="B259" i="57" s="1"/>
  <c r="B260" i="57" s="1"/>
  <c r="B261" i="57" s="1"/>
  <c r="B262" i="57" s="1"/>
  <c r="B263" i="57" s="1"/>
  <c r="B264" i="57" s="1"/>
  <c r="B265" i="57" s="1"/>
  <c r="B266" i="57" s="1"/>
  <c r="B267" i="57" s="1"/>
  <c r="B268" i="57" s="1"/>
  <c r="B269" i="57" s="1"/>
  <c r="B270" i="57" s="1"/>
  <c r="B271" i="57" s="1"/>
  <c r="B272" i="57" s="1"/>
  <c r="B273" i="57" s="1"/>
  <c r="B274" i="57" s="1"/>
  <c r="B275" i="57" s="1"/>
  <c r="B276" i="57" s="1"/>
  <c r="B277" i="57" s="1"/>
  <c r="B278" i="57" s="1"/>
  <c r="B279" i="57" s="1"/>
  <c r="B280" i="57" s="1"/>
  <c r="B281" i="57" s="1"/>
  <c r="B282" i="57" s="1"/>
  <c r="B283" i="57" s="1"/>
  <c r="B284" i="57" s="1"/>
  <c r="B285" i="57" s="1"/>
  <c r="B286" i="57" s="1"/>
  <c r="B287" i="57" s="1"/>
  <c r="B288" i="57" s="1"/>
  <c r="B289" i="57" s="1"/>
  <c r="B290" i="57" s="1"/>
  <c r="B291" i="57" s="1"/>
  <c r="B292" i="57" s="1"/>
  <c r="B293" i="57" s="1"/>
  <c r="B294" i="57" s="1"/>
  <c r="B295" i="57" s="1"/>
  <c r="B296" i="57" s="1"/>
  <c r="B297" i="57" s="1"/>
  <c r="B298" i="57" s="1"/>
  <c r="N11" i="57"/>
  <c r="O11" i="57" s="1"/>
  <c r="O12" i="57" s="1"/>
  <c r="O13" i="57" s="1"/>
  <c r="O14" i="57" s="1"/>
  <c r="O15" i="57" s="1"/>
  <c r="O16" i="57" s="1"/>
  <c r="O17" i="57" s="1"/>
  <c r="O18" i="57" s="1"/>
  <c r="O19" i="57" s="1"/>
  <c r="O20" i="57" s="1"/>
  <c r="O21" i="57" s="1"/>
  <c r="O22" i="57" s="1"/>
  <c r="O23" i="57" s="1"/>
  <c r="O24" i="57" s="1"/>
  <c r="O25" i="57" s="1"/>
  <c r="O26" i="57" s="1"/>
  <c r="O27" i="57" s="1"/>
  <c r="O28" i="57" s="1"/>
  <c r="O29" i="57" s="1"/>
  <c r="O30" i="57" s="1"/>
  <c r="O31" i="57" s="1"/>
  <c r="O32" i="57" s="1"/>
  <c r="O33" i="57" s="1"/>
  <c r="O34" i="57" s="1"/>
  <c r="O35" i="57" s="1"/>
  <c r="O36" i="57" s="1"/>
  <c r="O37" i="57" s="1"/>
  <c r="O38" i="57" s="1"/>
  <c r="O39" i="57" s="1"/>
  <c r="O40" i="57" s="1"/>
  <c r="O41" i="57" s="1"/>
  <c r="O42" i="57" s="1"/>
  <c r="O43" i="57" s="1"/>
  <c r="O44" i="57" s="1"/>
  <c r="O45" i="57" s="1"/>
  <c r="O46" i="57" s="1"/>
  <c r="O47" i="57" s="1"/>
  <c r="O48" i="57" s="1"/>
  <c r="O49" i="57" s="1"/>
  <c r="O50" i="57" s="1"/>
  <c r="O51" i="57" s="1"/>
  <c r="O52" i="57" s="1"/>
  <c r="O53" i="57" s="1"/>
  <c r="O54" i="57" s="1"/>
  <c r="O55" i="57" s="1"/>
  <c r="O56" i="57" s="1"/>
  <c r="O57" i="57" s="1"/>
  <c r="O58" i="57" s="1"/>
  <c r="O59" i="57" s="1"/>
  <c r="O60" i="57" s="1"/>
  <c r="O61" i="57" s="1"/>
  <c r="O62" i="57" s="1"/>
  <c r="O63" i="57" s="1"/>
  <c r="O64" i="57" s="1"/>
  <c r="O65" i="57" s="1"/>
  <c r="O66" i="57" s="1"/>
  <c r="O67" i="57" s="1"/>
  <c r="O68" i="57" s="1"/>
  <c r="O69" i="57" s="1"/>
  <c r="O70" i="57" s="1"/>
  <c r="O71" i="57" s="1"/>
  <c r="O72" i="57" s="1"/>
  <c r="O73" i="57" s="1"/>
  <c r="O74" i="57" s="1"/>
  <c r="O75" i="57" s="1"/>
  <c r="O76" i="57" s="1"/>
  <c r="O77" i="57" s="1"/>
  <c r="O78" i="57" s="1"/>
  <c r="O79" i="57" s="1"/>
  <c r="O80" i="57" s="1"/>
  <c r="O81" i="57" s="1"/>
  <c r="O82" i="57" s="1"/>
  <c r="O83" i="57" s="1"/>
  <c r="O84" i="57" s="1"/>
  <c r="O85" i="57" s="1"/>
  <c r="O86" i="57" s="1"/>
  <c r="O87" i="57" s="1"/>
  <c r="O88" i="57" s="1"/>
  <c r="O89" i="57" s="1"/>
  <c r="O90" i="57" s="1"/>
  <c r="O91" i="57" s="1"/>
  <c r="O92" i="57" s="1"/>
  <c r="O93" i="57" s="1"/>
  <c r="O94" i="57" s="1"/>
  <c r="O95" i="57" s="1"/>
  <c r="O96" i="57" s="1"/>
  <c r="O97" i="57" s="1"/>
  <c r="O98" i="57" s="1"/>
  <c r="O99" i="57" s="1"/>
  <c r="O100" i="57" s="1"/>
  <c r="O101" i="57" s="1"/>
  <c r="O102" i="57" s="1"/>
  <c r="O103" i="57" s="1"/>
  <c r="O104" i="57" s="1"/>
  <c r="O105" i="57" s="1"/>
  <c r="O106" i="57" s="1"/>
  <c r="O107" i="57" s="1"/>
  <c r="O108" i="57" s="1"/>
  <c r="O109" i="57" s="1"/>
  <c r="O110" i="57" s="1"/>
  <c r="O111" i="57" s="1"/>
  <c r="O112" i="57" s="1"/>
  <c r="O113" i="57" s="1"/>
  <c r="O114" i="57" s="1"/>
  <c r="O115" i="57" s="1"/>
  <c r="O116" i="57" s="1"/>
  <c r="O117" i="57" s="1"/>
  <c r="O118" i="57" s="1"/>
  <c r="O119" i="57" s="1"/>
  <c r="O120" i="57" s="1"/>
  <c r="O121" i="57" s="1"/>
  <c r="O122" i="57" s="1"/>
  <c r="O123" i="57" s="1"/>
  <c r="O124" i="57" s="1"/>
  <c r="O125" i="57" s="1"/>
  <c r="O126" i="57" s="1"/>
  <c r="O127" i="57" s="1"/>
  <c r="O128" i="57" s="1"/>
  <c r="O129" i="57" s="1"/>
  <c r="O130" i="57" s="1"/>
  <c r="O131" i="57" s="1"/>
  <c r="O132" i="57" s="1"/>
  <c r="O133" i="57" s="1"/>
  <c r="O134" i="57" s="1"/>
  <c r="O135" i="57" s="1"/>
  <c r="O136" i="57" s="1"/>
  <c r="O137" i="57" s="1"/>
  <c r="O138" i="57" s="1"/>
  <c r="O139" i="57" s="1"/>
  <c r="O140" i="57" s="1"/>
  <c r="O141" i="57" s="1"/>
  <c r="O142" i="57" s="1"/>
  <c r="O143" i="57" s="1"/>
  <c r="O144" i="57" s="1"/>
  <c r="O145" i="57" s="1"/>
  <c r="O146" i="57" s="1"/>
  <c r="O147" i="57" s="1"/>
  <c r="O148" i="57" s="1"/>
  <c r="O149" i="57" s="1"/>
  <c r="O150" i="57" s="1"/>
  <c r="O151" i="57" s="1"/>
  <c r="O152" i="57" s="1"/>
  <c r="O153" i="57" s="1"/>
  <c r="O154" i="57" s="1"/>
  <c r="O155" i="57" s="1"/>
  <c r="O156" i="57" s="1"/>
  <c r="O157" i="57" s="1"/>
  <c r="O158" i="57" s="1"/>
  <c r="O159" i="57" s="1"/>
  <c r="O160" i="57" s="1"/>
  <c r="O161" i="57" s="1"/>
  <c r="O162" i="57" s="1"/>
  <c r="O163" i="57" s="1"/>
  <c r="O164" i="57" s="1"/>
  <c r="O165" i="57" s="1"/>
  <c r="O166" i="57" s="1"/>
  <c r="O167" i="57" s="1"/>
  <c r="O168" i="57" s="1"/>
  <c r="O169" i="57" s="1"/>
  <c r="O170" i="57" s="1"/>
  <c r="O171" i="57" s="1"/>
  <c r="O172" i="57" s="1"/>
  <c r="O173" i="57" s="1"/>
  <c r="O174" i="57" s="1"/>
  <c r="O175" i="57" s="1"/>
  <c r="O176" i="57" s="1"/>
  <c r="O177" i="57" s="1"/>
  <c r="O178" i="57" s="1"/>
  <c r="O179" i="57" s="1"/>
  <c r="O180" i="57" s="1"/>
  <c r="O181" i="57" s="1"/>
  <c r="O182" i="57" s="1"/>
  <c r="O183" i="57" s="1"/>
  <c r="O184" i="57" s="1"/>
  <c r="O185" i="57" s="1"/>
  <c r="O186" i="57" s="1"/>
  <c r="O187" i="57" s="1"/>
  <c r="O188" i="57" s="1"/>
  <c r="O189" i="57" s="1"/>
  <c r="O190" i="57" s="1"/>
  <c r="O191" i="57" s="1"/>
  <c r="O192" i="57" s="1"/>
  <c r="O193" i="57" s="1"/>
  <c r="O194" i="57" s="1"/>
  <c r="O195" i="57" s="1"/>
  <c r="O196" i="57" s="1"/>
  <c r="O197" i="57" s="1"/>
  <c r="O198" i="57" s="1"/>
  <c r="O199" i="57" s="1"/>
  <c r="O200" i="57" s="1"/>
  <c r="O201" i="57" s="1"/>
  <c r="O202" i="57" s="1"/>
  <c r="O203" i="57" s="1"/>
  <c r="O204" i="57" s="1"/>
  <c r="O205" i="57" s="1"/>
  <c r="O206" i="57" s="1"/>
  <c r="O207" i="57" s="1"/>
  <c r="O208" i="57" s="1"/>
  <c r="O209" i="57" s="1"/>
  <c r="O210" i="57" s="1"/>
  <c r="O211" i="57" s="1"/>
  <c r="O212" i="57" s="1"/>
  <c r="O213" i="57" s="1"/>
  <c r="O214" i="57" s="1"/>
  <c r="O215" i="57" s="1"/>
  <c r="O216" i="57" s="1"/>
  <c r="O217" i="57" s="1"/>
  <c r="O218" i="57" s="1"/>
  <c r="O219" i="57" s="1"/>
  <c r="O220" i="57" s="1"/>
  <c r="O221" i="57" s="1"/>
  <c r="O222" i="57" s="1"/>
  <c r="O223" i="57" s="1"/>
  <c r="O224" i="57" s="1"/>
  <c r="O225" i="57" s="1"/>
  <c r="O226" i="57" s="1"/>
  <c r="O227" i="57" s="1"/>
  <c r="O228" i="57" s="1"/>
  <c r="O229" i="57" s="1"/>
  <c r="O230" i="57" s="1"/>
  <c r="O231" i="57" s="1"/>
  <c r="O232" i="57" s="1"/>
  <c r="O233" i="57" s="1"/>
  <c r="O234" i="57" s="1"/>
  <c r="O235" i="57" s="1"/>
  <c r="O236" i="57" s="1"/>
  <c r="O237" i="57" s="1"/>
  <c r="O238" i="57" s="1"/>
  <c r="O239" i="57" s="1"/>
  <c r="O240" i="57" s="1"/>
  <c r="O241" i="57" s="1"/>
  <c r="O242" i="57" s="1"/>
  <c r="O243" i="57" s="1"/>
  <c r="O244" i="57" s="1"/>
  <c r="O245" i="57" s="1"/>
  <c r="O246" i="57" s="1"/>
  <c r="O247" i="57" s="1"/>
  <c r="O248" i="57" s="1"/>
  <c r="O249" i="57" s="1"/>
  <c r="O250" i="57" s="1"/>
  <c r="O251" i="57" s="1"/>
  <c r="O252" i="57" s="1"/>
  <c r="O253" i="57" s="1"/>
  <c r="O254" i="57" s="1"/>
  <c r="O255" i="57" s="1"/>
  <c r="O256" i="57" s="1"/>
  <c r="O257" i="57" s="1"/>
  <c r="O258" i="57" s="1"/>
  <c r="O259" i="57" s="1"/>
  <c r="O260" i="57" s="1"/>
  <c r="O261" i="57" s="1"/>
  <c r="O262" i="57" s="1"/>
  <c r="O263" i="57" s="1"/>
  <c r="O264" i="57" s="1"/>
  <c r="O265" i="57" s="1"/>
  <c r="O266" i="57" s="1"/>
  <c r="O267" i="57" s="1"/>
  <c r="O268" i="57" s="1"/>
  <c r="O269" i="57" s="1"/>
  <c r="O270" i="57" s="1"/>
  <c r="O271" i="57" s="1"/>
  <c r="O272" i="57" s="1"/>
  <c r="O273" i="57" s="1"/>
  <c r="O274" i="57" s="1"/>
  <c r="O275" i="57" s="1"/>
  <c r="O276" i="57" s="1"/>
  <c r="O277" i="57" s="1"/>
  <c r="O278" i="57" s="1"/>
  <c r="O279" i="57" s="1"/>
  <c r="O280" i="57" s="1"/>
  <c r="O281" i="57" s="1"/>
  <c r="O282" i="57" s="1"/>
  <c r="O283" i="57" s="1"/>
  <c r="O284" i="57" s="1"/>
  <c r="O285" i="57" s="1"/>
  <c r="O286" i="57" s="1"/>
  <c r="O287" i="57" s="1"/>
  <c r="O288" i="57" s="1"/>
  <c r="O289" i="57" s="1"/>
  <c r="O290" i="57" s="1"/>
  <c r="O291" i="57" s="1"/>
  <c r="O292" i="57" s="1"/>
  <c r="O293" i="57" s="1"/>
  <c r="O294" i="57" s="1"/>
  <c r="O295" i="57" s="1"/>
  <c r="O296" i="57" s="1"/>
  <c r="O297" i="57" s="1"/>
  <c r="O298" i="57" s="1"/>
  <c r="L12" i="57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L36" i="57" s="1"/>
  <c r="L37" i="57" s="1"/>
  <c r="L38" i="57" s="1"/>
  <c r="L39" i="57" s="1"/>
  <c r="L40" i="57" s="1"/>
  <c r="L41" i="57" s="1"/>
  <c r="L42" i="57" s="1"/>
  <c r="L43" i="57" s="1"/>
  <c r="L44" i="57" s="1"/>
  <c r="L45" i="57" s="1"/>
  <c r="L46" i="57" s="1"/>
  <c r="L47" i="57" s="1"/>
  <c r="L48" i="57" s="1"/>
  <c r="L49" i="57" s="1"/>
  <c r="L50" i="57" s="1"/>
  <c r="L51" i="57" s="1"/>
  <c r="L52" i="57" s="1"/>
  <c r="L53" i="57" s="1"/>
  <c r="L54" i="57" s="1"/>
  <c r="L55" i="57" s="1"/>
  <c r="L56" i="57" s="1"/>
  <c r="L57" i="57" s="1"/>
  <c r="L58" i="57" s="1"/>
  <c r="L59" i="57" s="1"/>
  <c r="L60" i="57" s="1"/>
  <c r="L61" i="57" s="1"/>
  <c r="L62" i="57" s="1"/>
  <c r="L63" i="57" s="1"/>
  <c r="L64" i="57" s="1"/>
  <c r="L65" i="57" s="1"/>
  <c r="L66" i="57" s="1"/>
  <c r="L67" i="57" s="1"/>
  <c r="L68" i="57" s="1"/>
  <c r="L69" i="57" s="1"/>
  <c r="L70" i="57" s="1"/>
  <c r="L71" i="57" s="1"/>
  <c r="L72" i="57" s="1"/>
  <c r="L73" i="57" s="1"/>
  <c r="L74" i="57" s="1"/>
  <c r="L75" i="57" s="1"/>
  <c r="L76" i="57" s="1"/>
  <c r="L77" i="57" s="1"/>
  <c r="L78" i="57" s="1"/>
  <c r="L79" i="57" s="1"/>
  <c r="L80" i="57" s="1"/>
  <c r="L81" i="57" s="1"/>
  <c r="L82" i="57" s="1"/>
  <c r="L83" i="57" s="1"/>
  <c r="L84" i="57" s="1"/>
  <c r="L85" i="57" s="1"/>
  <c r="L86" i="57" s="1"/>
  <c r="L87" i="57" s="1"/>
  <c r="L88" i="57" s="1"/>
  <c r="L89" i="57" s="1"/>
  <c r="L90" i="57" s="1"/>
  <c r="L91" i="57" s="1"/>
  <c r="L92" i="57" s="1"/>
  <c r="L93" i="57" s="1"/>
  <c r="L94" i="57" s="1"/>
  <c r="L95" i="57" s="1"/>
  <c r="L96" i="57" s="1"/>
  <c r="L97" i="57" s="1"/>
  <c r="L98" i="57" s="1"/>
  <c r="L99" i="57" s="1"/>
  <c r="L100" i="57" s="1"/>
  <c r="L101" i="57" s="1"/>
  <c r="L102" i="57" s="1"/>
  <c r="L103" i="57" s="1"/>
  <c r="L104" i="57" s="1"/>
  <c r="L105" i="57" s="1"/>
  <c r="L106" i="57" s="1"/>
  <c r="L107" i="57" s="1"/>
  <c r="L108" i="57" s="1"/>
  <c r="L109" i="57" s="1"/>
  <c r="L110" i="57" s="1"/>
  <c r="L111" i="57" s="1"/>
  <c r="L112" i="57" s="1"/>
  <c r="L113" i="57" s="1"/>
  <c r="L114" i="57" s="1"/>
  <c r="L115" i="57" s="1"/>
  <c r="L116" i="57" s="1"/>
  <c r="L117" i="57" s="1"/>
  <c r="L118" i="57" s="1"/>
  <c r="L119" i="57" s="1"/>
  <c r="L120" i="57" s="1"/>
  <c r="L121" i="57" s="1"/>
  <c r="L122" i="57" s="1"/>
  <c r="L123" i="57" s="1"/>
  <c r="L124" i="57" s="1"/>
  <c r="L125" i="57" s="1"/>
  <c r="L126" i="57" s="1"/>
  <c r="L127" i="57" s="1"/>
  <c r="L128" i="57" s="1"/>
  <c r="L129" i="57" s="1"/>
  <c r="L130" i="57" s="1"/>
  <c r="L131" i="57" s="1"/>
  <c r="L132" i="57" s="1"/>
  <c r="L133" i="57" s="1"/>
  <c r="L134" i="57" s="1"/>
  <c r="L135" i="57" s="1"/>
  <c r="L136" i="57" s="1"/>
  <c r="L137" i="57" s="1"/>
  <c r="L138" i="57" s="1"/>
  <c r="L139" i="57" s="1"/>
  <c r="L140" i="57" s="1"/>
  <c r="L141" i="57" s="1"/>
  <c r="L142" i="57" s="1"/>
  <c r="L143" i="57" s="1"/>
  <c r="L144" i="57" s="1"/>
  <c r="L145" i="57" s="1"/>
  <c r="L146" i="57" s="1"/>
  <c r="L147" i="57" s="1"/>
  <c r="L148" i="57" s="1"/>
  <c r="L149" i="57" s="1"/>
  <c r="L150" i="57" s="1"/>
  <c r="L151" i="57" s="1"/>
  <c r="L152" i="57" s="1"/>
  <c r="L153" i="57" s="1"/>
  <c r="L154" i="57" s="1"/>
  <c r="L155" i="57" s="1"/>
  <c r="L156" i="57" s="1"/>
  <c r="L157" i="57" s="1"/>
  <c r="L158" i="57" s="1"/>
  <c r="L159" i="57" s="1"/>
  <c r="L160" i="57" s="1"/>
  <c r="L161" i="57" s="1"/>
  <c r="L162" i="57" s="1"/>
  <c r="L163" i="57" s="1"/>
  <c r="L164" i="57" s="1"/>
  <c r="L165" i="57" s="1"/>
  <c r="L166" i="57" s="1"/>
  <c r="L167" i="57" s="1"/>
  <c r="L168" i="57" s="1"/>
  <c r="L169" i="57" s="1"/>
  <c r="L170" i="57" s="1"/>
  <c r="L171" i="57" s="1"/>
  <c r="L172" i="57" s="1"/>
  <c r="L173" i="57" s="1"/>
  <c r="L174" i="57" s="1"/>
  <c r="L175" i="57" s="1"/>
  <c r="L176" i="57" s="1"/>
  <c r="L177" i="57" s="1"/>
  <c r="L178" i="57" s="1"/>
  <c r="L179" i="57" s="1"/>
  <c r="L180" i="57" s="1"/>
  <c r="L181" i="57" s="1"/>
  <c r="L182" i="57" s="1"/>
  <c r="L183" i="57" s="1"/>
  <c r="L184" i="57" s="1"/>
  <c r="L185" i="57" s="1"/>
  <c r="L186" i="57" s="1"/>
  <c r="L187" i="57" s="1"/>
  <c r="L188" i="57" s="1"/>
  <c r="L189" i="57" s="1"/>
  <c r="L190" i="57" s="1"/>
  <c r="L191" i="57" s="1"/>
  <c r="L192" i="57" s="1"/>
  <c r="L193" i="57" s="1"/>
  <c r="L194" i="57" s="1"/>
  <c r="L195" i="57" s="1"/>
  <c r="L196" i="57" s="1"/>
  <c r="L197" i="57" s="1"/>
  <c r="L198" i="57" s="1"/>
  <c r="L199" i="57" s="1"/>
  <c r="L200" i="57" s="1"/>
  <c r="L201" i="57" s="1"/>
  <c r="L202" i="57" s="1"/>
  <c r="L203" i="57" s="1"/>
  <c r="L204" i="57" s="1"/>
  <c r="L205" i="57" s="1"/>
  <c r="L206" i="57" s="1"/>
  <c r="L207" i="57" s="1"/>
  <c r="L208" i="57" s="1"/>
  <c r="L209" i="57" s="1"/>
  <c r="L210" i="57" s="1"/>
  <c r="L211" i="57" s="1"/>
  <c r="L212" i="57" s="1"/>
  <c r="L213" i="57" s="1"/>
  <c r="L214" i="57" s="1"/>
  <c r="L215" i="57" s="1"/>
  <c r="L216" i="57" s="1"/>
  <c r="L217" i="57" s="1"/>
  <c r="L218" i="57" s="1"/>
  <c r="L219" i="57" s="1"/>
  <c r="L220" i="57" s="1"/>
  <c r="L221" i="57" s="1"/>
  <c r="L222" i="57" s="1"/>
  <c r="L223" i="57" s="1"/>
  <c r="L224" i="57" s="1"/>
  <c r="L225" i="57" s="1"/>
  <c r="L226" i="57" s="1"/>
  <c r="L227" i="57" s="1"/>
  <c r="L228" i="57" s="1"/>
  <c r="L229" i="57" s="1"/>
  <c r="L230" i="57" s="1"/>
  <c r="L231" i="57" s="1"/>
  <c r="L232" i="57" s="1"/>
  <c r="L233" i="57" s="1"/>
  <c r="L234" i="57" s="1"/>
  <c r="L235" i="57" s="1"/>
  <c r="L236" i="57" s="1"/>
  <c r="L237" i="57" s="1"/>
  <c r="L238" i="57" s="1"/>
  <c r="L239" i="57" s="1"/>
  <c r="L240" i="57" s="1"/>
  <c r="L241" i="57" s="1"/>
  <c r="L242" i="57" s="1"/>
  <c r="L243" i="57" s="1"/>
  <c r="L244" i="57" s="1"/>
  <c r="L245" i="57" s="1"/>
  <c r="L246" i="57" s="1"/>
  <c r="L247" i="57" s="1"/>
  <c r="L248" i="57" s="1"/>
  <c r="L249" i="57" s="1"/>
  <c r="L250" i="57" s="1"/>
  <c r="L251" i="57" s="1"/>
  <c r="L252" i="57" s="1"/>
  <c r="L253" i="57" s="1"/>
  <c r="L254" i="57" s="1"/>
  <c r="L255" i="57" s="1"/>
  <c r="L256" i="57" s="1"/>
  <c r="L257" i="57" s="1"/>
  <c r="L258" i="57" s="1"/>
  <c r="L259" i="57" s="1"/>
  <c r="L260" i="57" s="1"/>
  <c r="L261" i="57" s="1"/>
  <c r="L262" i="57" s="1"/>
  <c r="L263" i="57" s="1"/>
  <c r="L264" i="57" s="1"/>
  <c r="L265" i="57" s="1"/>
  <c r="L266" i="57" s="1"/>
  <c r="L267" i="57" s="1"/>
  <c r="L268" i="57" s="1"/>
  <c r="L269" i="57" s="1"/>
  <c r="L270" i="57" s="1"/>
  <c r="L271" i="57" s="1"/>
  <c r="L272" i="57" s="1"/>
  <c r="L273" i="57" s="1"/>
  <c r="L274" i="57" s="1"/>
  <c r="L275" i="57" s="1"/>
  <c r="L276" i="57" s="1"/>
  <c r="L277" i="57" s="1"/>
  <c r="L278" i="57" s="1"/>
  <c r="L279" i="57" s="1"/>
  <c r="L280" i="57" s="1"/>
  <c r="L281" i="57" s="1"/>
  <c r="L282" i="57" s="1"/>
  <c r="L283" i="57" s="1"/>
  <c r="L284" i="57" s="1"/>
  <c r="L285" i="57" s="1"/>
  <c r="L286" i="57" s="1"/>
  <c r="L287" i="57" s="1"/>
  <c r="L288" i="57" s="1"/>
  <c r="L289" i="57" s="1"/>
  <c r="L290" i="57" s="1"/>
  <c r="L291" i="57" s="1"/>
  <c r="L292" i="57" s="1"/>
  <c r="L293" i="57" s="1"/>
  <c r="L294" i="57" s="1"/>
  <c r="L295" i="57" s="1"/>
  <c r="L296" i="57" s="1"/>
  <c r="L297" i="57" s="1"/>
  <c r="L298" i="57" s="1"/>
  <c r="I11" i="57"/>
  <c r="I12" i="57" s="1"/>
  <c r="I13" i="57" s="1"/>
  <c r="I14" i="57" s="1"/>
  <c r="I15" i="57" s="1"/>
  <c r="I16" i="57" s="1"/>
  <c r="I17" i="57" s="1"/>
  <c r="I18" i="57" s="1"/>
  <c r="I19" i="57" s="1"/>
  <c r="I20" i="57" s="1"/>
  <c r="I21" i="57" s="1"/>
  <c r="I22" i="57" s="1"/>
  <c r="I23" i="57" s="1"/>
  <c r="I24" i="57" s="1"/>
  <c r="I25" i="57" s="1"/>
  <c r="I26" i="57" s="1"/>
  <c r="I27" i="57" s="1"/>
  <c r="I28" i="57" s="1"/>
  <c r="I29" i="57" s="1"/>
  <c r="I30" i="57" s="1"/>
  <c r="I31" i="57" s="1"/>
  <c r="I32" i="57" s="1"/>
  <c r="I33" i="57" s="1"/>
  <c r="I34" i="57" s="1"/>
  <c r="I35" i="57" s="1"/>
  <c r="I36" i="57" s="1"/>
  <c r="I37" i="57" s="1"/>
  <c r="I38" i="57" s="1"/>
  <c r="I39" i="57" s="1"/>
  <c r="I40" i="57" s="1"/>
  <c r="I41" i="57" s="1"/>
  <c r="I42" i="57" s="1"/>
  <c r="I43" i="57" s="1"/>
  <c r="I44" i="57" s="1"/>
  <c r="I45" i="57" s="1"/>
  <c r="I46" i="57" s="1"/>
  <c r="I47" i="57" s="1"/>
  <c r="I48" i="57" s="1"/>
  <c r="I49" i="57" s="1"/>
  <c r="I50" i="57" s="1"/>
  <c r="I51" i="57" s="1"/>
  <c r="I52" i="57" s="1"/>
  <c r="I53" i="57" s="1"/>
  <c r="I54" i="57" s="1"/>
  <c r="I55" i="57" s="1"/>
  <c r="I56" i="57" s="1"/>
  <c r="I57" i="57" s="1"/>
  <c r="I58" i="57" s="1"/>
  <c r="I59" i="57" s="1"/>
  <c r="I60" i="57" s="1"/>
  <c r="I61" i="57" s="1"/>
  <c r="I62" i="57" s="1"/>
  <c r="I63" i="57" s="1"/>
  <c r="I64" i="57" s="1"/>
  <c r="I65" i="57" s="1"/>
  <c r="I66" i="57" s="1"/>
  <c r="I67" i="57" s="1"/>
  <c r="I68" i="57" s="1"/>
  <c r="I69" i="57" s="1"/>
  <c r="I70" i="57" s="1"/>
  <c r="I71" i="57" s="1"/>
  <c r="I72" i="57" s="1"/>
  <c r="I73" i="57" s="1"/>
  <c r="I74" i="57" s="1"/>
  <c r="I75" i="57" s="1"/>
  <c r="I76" i="57" s="1"/>
  <c r="I77" i="57" s="1"/>
  <c r="I78" i="57" s="1"/>
  <c r="I79" i="57" s="1"/>
  <c r="I80" i="57" s="1"/>
  <c r="I81" i="57" s="1"/>
  <c r="I82" i="57" s="1"/>
  <c r="I83" i="57" s="1"/>
  <c r="I84" i="57" s="1"/>
  <c r="I85" i="57" s="1"/>
  <c r="I86" i="57" s="1"/>
  <c r="I87" i="57" s="1"/>
  <c r="I88" i="57" s="1"/>
  <c r="I89" i="57" s="1"/>
  <c r="I90" i="57" s="1"/>
  <c r="I91" i="57" s="1"/>
  <c r="I92" i="57" s="1"/>
  <c r="I93" i="57" s="1"/>
  <c r="I94" i="57" s="1"/>
  <c r="I95" i="57" s="1"/>
  <c r="I96" i="57" s="1"/>
  <c r="I97" i="57" s="1"/>
  <c r="I98" i="57" s="1"/>
  <c r="I99" i="57" s="1"/>
  <c r="I100" i="57" s="1"/>
  <c r="I101" i="57" s="1"/>
  <c r="I102" i="57" s="1"/>
  <c r="I103" i="57" s="1"/>
  <c r="I104" i="57" s="1"/>
  <c r="I105" i="57" s="1"/>
  <c r="I106" i="57" s="1"/>
  <c r="I107" i="57" s="1"/>
  <c r="I108" i="57" s="1"/>
  <c r="I109" i="57" s="1"/>
  <c r="I110" i="57" s="1"/>
  <c r="I111" i="57" s="1"/>
  <c r="I112" i="57" s="1"/>
  <c r="I113" i="57" s="1"/>
  <c r="I114" i="57" s="1"/>
  <c r="I115" i="57" s="1"/>
  <c r="I116" i="57" s="1"/>
  <c r="I117" i="57" s="1"/>
  <c r="I118" i="57" s="1"/>
  <c r="I119" i="57" s="1"/>
  <c r="I120" i="57" s="1"/>
  <c r="I121" i="57" s="1"/>
  <c r="I122" i="57" s="1"/>
  <c r="I123" i="57" s="1"/>
  <c r="I124" i="57" s="1"/>
  <c r="I125" i="57" s="1"/>
  <c r="I126" i="57" s="1"/>
  <c r="I127" i="57" s="1"/>
  <c r="I128" i="57" s="1"/>
  <c r="I129" i="57" s="1"/>
  <c r="I130" i="57" s="1"/>
  <c r="I131" i="57" s="1"/>
  <c r="I132" i="57" s="1"/>
  <c r="I133" i="57" s="1"/>
  <c r="I134" i="57" s="1"/>
  <c r="I135" i="57" s="1"/>
  <c r="I136" i="57" s="1"/>
  <c r="I137" i="57" s="1"/>
  <c r="I138" i="57" s="1"/>
  <c r="I139" i="57" s="1"/>
  <c r="I140" i="57" s="1"/>
  <c r="I141" i="57" s="1"/>
  <c r="I142" i="57" s="1"/>
  <c r="I143" i="57" s="1"/>
  <c r="I144" i="57" s="1"/>
  <c r="I145" i="57" s="1"/>
  <c r="I146" i="57" s="1"/>
  <c r="I147" i="57" s="1"/>
  <c r="I148" i="57" s="1"/>
  <c r="I149" i="57" s="1"/>
  <c r="I150" i="57" s="1"/>
  <c r="I151" i="57" s="1"/>
  <c r="I152" i="57" s="1"/>
  <c r="I153" i="57" s="1"/>
  <c r="I154" i="57" s="1"/>
  <c r="I155" i="57" s="1"/>
  <c r="I156" i="57" s="1"/>
  <c r="I157" i="57" s="1"/>
  <c r="I158" i="57" s="1"/>
  <c r="I159" i="57" s="1"/>
  <c r="I160" i="57" s="1"/>
  <c r="I161" i="57" s="1"/>
  <c r="I162" i="57" s="1"/>
  <c r="I163" i="57" s="1"/>
  <c r="I164" i="57" s="1"/>
  <c r="I165" i="57" s="1"/>
  <c r="I166" i="57" s="1"/>
  <c r="I167" i="57" s="1"/>
  <c r="I168" i="57" s="1"/>
  <c r="I169" i="57" s="1"/>
  <c r="I170" i="57" s="1"/>
  <c r="I171" i="57" s="1"/>
  <c r="I172" i="57" s="1"/>
  <c r="I173" i="57" s="1"/>
  <c r="I174" i="57" s="1"/>
  <c r="I175" i="57" s="1"/>
  <c r="I176" i="57" s="1"/>
  <c r="I177" i="57" s="1"/>
  <c r="I178" i="57" s="1"/>
  <c r="I179" i="57" s="1"/>
  <c r="I180" i="57" s="1"/>
  <c r="I181" i="57" s="1"/>
  <c r="I182" i="57" s="1"/>
  <c r="I183" i="57" s="1"/>
  <c r="I184" i="57" s="1"/>
  <c r="I185" i="57" s="1"/>
  <c r="I186" i="57" s="1"/>
  <c r="I187" i="57" s="1"/>
  <c r="I188" i="57" s="1"/>
  <c r="I189" i="57" s="1"/>
  <c r="I190" i="57" s="1"/>
  <c r="I191" i="57" s="1"/>
  <c r="I192" i="57" s="1"/>
  <c r="I193" i="57" s="1"/>
  <c r="I194" i="57" s="1"/>
  <c r="I195" i="57" s="1"/>
  <c r="I196" i="57" s="1"/>
  <c r="I197" i="57" s="1"/>
  <c r="I198" i="57" s="1"/>
  <c r="I199" i="57" s="1"/>
  <c r="I200" i="57" s="1"/>
  <c r="I201" i="57" s="1"/>
  <c r="I202" i="57" s="1"/>
  <c r="I203" i="57" s="1"/>
  <c r="I204" i="57" s="1"/>
  <c r="I205" i="57" s="1"/>
  <c r="I206" i="57" s="1"/>
  <c r="I207" i="57" s="1"/>
  <c r="I208" i="57" s="1"/>
  <c r="I209" i="57" s="1"/>
  <c r="I210" i="57" s="1"/>
  <c r="I211" i="57" s="1"/>
  <c r="I212" i="57" s="1"/>
  <c r="I213" i="57" s="1"/>
  <c r="I214" i="57" s="1"/>
  <c r="I215" i="57" s="1"/>
  <c r="I216" i="57" s="1"/>
  <c r="I217" i="57" s="1"/>
  <c r="I218" i="57" s="1"/>
  <c r="I219" i="57" s="1"/>
  <c r="I220" i="57" s="1"/>
  <c r="I221" i="57" s="1"/>
  <c r="I222" i="57" s="1"/>
  <c r="I223" i="57" s="1"/>
  <c r="I224" i="57" s="1"/>
  <c r="I225" i="57" s="1"/>
  <c r="I226" i="57" s="1"/>
  <c r="I227" i="57" s="1"/>
  <c r="I228" i="57" s="1"/>
  <c r="I229" i="57" s="1"/>
  <c r="I230" i="57" s="1"/>
  <c r="I231" i="57" s="1"/>
  <c r="I232" i="57" s="1"/>
  <c r="I233" i="57" s="1"/>
  <c r="I234" i="57" s="1"/>
  <c r="I235" i="57" s="1"/>
  <c r="I236" i="57" s="1"/>
  <c r="I237" i="57" s="1"/>
  <c r="I238" i="57" s="1"/>
  <c r="I239" i="57" s="1"/>
  <c r="I240" i="57" s="1"/>
  <c r="I241" i="57" s="1"/>
  <c r="I242" i="57" s="1"/>
  <c r="I243" i="57" s="1"/>
  <c r="I244" i="57" s="1"/>
  <c r="I245" i="57" s="1"/>
  <c r="I246" i="57" s="1"/>
  <c r="I247" i="57" s="1"/>
  <c r="I248" i="57" s="1"/>
  <c r="I249" i="57" s="1"/>
  <c r="I250" i="57" s="1"/>
  <c r="I251" i="57" s="1"/>
  <c r="I252" i="57" s="1"/>
  <c r="I253" i="57" s="1"/>
  <c r="I254" i="57" s="1"/>
  <c r="I255" i="57" s="1"/>
  <c r="I256" i="57" s="1"/>
  <c r="I257" i="57" s="1"/>
  <c r="I258" i="57" s="1"/>
  <c r="I259" i="57" s="1"/>
  <c r="I260" i="57" s="1"/>
  <c r="I261" i="57" s="1"/>
  <c r="I262" i="57" s="1"/>
  <c r="I263" i="57" s="1"/>
  <c r="I264" i="57" s="1"/>
  <c r="I265" i="57" s="1"/>
  <c r="I266" i="57" s="1"/>
  <c r="I267" i="57" s="1"/>
  <c r="I268" i="57" s="1"/>
  <c r="I269" i="57" s="1"/>
  <c r="I270" i="57" s="1"/>
  <c r="I271" i="57" s="1"/>
  <c r="I272" i="57" s="1"/>
  <c r="I273" i="57" s="1"/>
  <c r="I274" i="57" s="1"/>
  <c r="I275" i="57" s="1"/>
  <c r="I276" i="57" s="1"/>
  <c r="I277" i="57" s="1"/>
  <c r="I278" i="57" s="1"/>
  <c r="I279" i="57" s="1"/>
  <c r="I280" i="57" s="1"/>
  <c r="I281" i="57" s="1"/>
  <c r="I282" i="57" s="1"/>
  <c r="I283" i="57" s="1"/>
  <c r="I284" i="57" s="1"/>
  <c r="I285" i="57" s="1"/>
  <c r="I286" i="57" s="1"/>
  <c r="I287" i="57" s="1"/>
  <c r="I288" i="57" s="1"/>
  <c r="I289" i="57" s="1"/>
  <c r="I290" i="57" s="1"/>
  <c r="I291" i="57" s="1"/>
  <c r="I292" i="57" s="1"/>
  <c r="I293" i="57" s="1"/>
  <c r="I294" i="57" s="1"/>
  <c r="I295" i="57" s="1"/>
  <c r="I296" i="57" s="1"/>
  <c r="I297" i="57" s="1"/>
  <c r="I298" i="57" s="1"/>
  <c r="B10" i="57"/>
  <c r="P12" i="57"/>
  <c r="P13" i="57" s="1"/>
  <c r="P14" i="57" s="1"/>
  <c r="P15" i="57" s="1"/>
  <c r="P16" i="57" s="1"/>
  <c r="P17" i="57" s="1"/>
  <c r="P18" i="57" s="1"/>
  <c r="P19" i="57" s="1"/>
  <c r="P20" i="57" s="1"/>
  <c r="P21" i="57" s="1"/>
  <c r="P22" i="57" s="1"/>
  <c r="P23" i="57" s="1"/>
  <c r="P24" i="57" s="1"/>
  <c r="P25" i="57" s="1"/>
  <c r="P26" i="57" s="1"/>
  <c r="P27" i="57" s="1"/>
  <c r="P28" i="57" s="1"/>
  <c r="P29" i="57" s="1"/>
  <c r="P30" i="57" s="1"/>
  <c r="P31" i="57" s="1"/>
  <c r="P32" i="57" s="1"/>
  <c r="P33" i="57" s="1"/>
  <c r="P34" i="57" s="1"/>
  <c r="P35" i="57" s="1"/>
  <c r="P36" i="57" s="1"/>
  <c r="P37" i="57" s="1"/>
  <c r="P38" i="57" s="1"/>
  <c r="P39" i="57" s="1"/>
  <c r="P40" i="57" s="1"/>
  <c r="P41" i="57" s="1"/>
  <c r="P42" i="57" s="1"/>
  <c r="P43" i="57" s="1"/>
  <c r="P44" i="57" s="1"/>
  <c r="P45" i="57" s="1"/>
  <c r="P46" i="57" s="1"/>
  <c r="P47" i="57" s="1"/>
  <c r="P48" i="57" s="1"/>
  <c r="P49" i="57" s="1"/>
  <c r="P50" i="57" s="1"/>
  <c r="P51" i="57" s="1"/>
  <c r="P52" i="57" s="1"/>
  <c r="P53" i="57" s="1"/>
  <c r="P54" i="57" s="1"/>
  <c r="P55" i="57" s="1"/>
  <c r="P56" i="57" s="1"/>
  <c r="P57" i="57" s="1"/>
  <c r="P58" i="57" s="1"/>
  <c r="P59" i="57" s="1"/>
  <c r="P60" i="57" s="1"/>
  <c r="P61" i="57" s="1"/>
  <c r="P62" i="57" s="1"/>
  <c r="P63" i="57" s="1"/>
  <c r="P64" i="57" s="1"/>
  <c r="P65" i="57" s="1"/>
  <c r="P66" i="57" s="1"/>
  <c r="P67" i="57" s="1"/>
  <c r="P68" i="57" s="1"/>
  <c r="P69" i="57" s="1"/>
  <c r="P70" i="57" s="1"/>
  <c r="P71" i="57" s="1"/>
  <c r="P72" i="57" s="1"/>
  <c r="P73" i="57" s="1"/>
  <c r="P74" i="57" s="1"/>
  <c r="P75" i="57" s="1"/>
  <c r="P76" i="57" s="1"/>
  <c r="P77" i="57" s="1"/>
  <c r="P78" i="57" s="1"/>
  <c r="P79" i="57" s="1"/>
  <c r="P80" i="57" s="1"/>
  <c r="P81" i="57" s="1"/>
  <c r="P82" i="57" s="1"/>
  <c r="P83" i="57" s="1"/>
  <c r="P84" i="57" s="1"/>
  <c r="P85" i="57" s="1"/>
  <c r="P86" i="57" s="1"/>
  <c r="P87" i="57" s="1"/>
  <c r="P88" i="57" s="1"/>
  <c r="P89" i="57" s="1"/>
  <c r="P90" i="57" s="1"/>
  <c r="P91" i="57" s="1"/>
  <c r="P92" i="57" s="1"/>
  <c r="P93" i="57" s="1"/>
  <c r="P94" i="57" s="1"/>
  <c r="P95" i="57" s="1"/>
  <c r="P96" i="57" s="1"/>
  <c r="P97" i="57" s="1"/>
  <c r="P98" i="57" s="1"/>
  <c r="P99" i="57" s="1"/>
  <c r="P100" i="57" s="1"/>
  <c r="P101" i="57" s="1"/>
  <c r="P102" i="57" s="1"/>
  <c r="P103" i="57" s="1"/>
  <c r="P104" i="57" s="1"/>
  <c r="P105" i="57" s="1"/>
  <c r="P106" i="57" s="1"/>
  <c r="P107" i="57" s="1"/>
  <c r="P108" i="57" s="1"/>
  <c r="P109" i="57" s="1"/>
  <c r="P110" i="57" s="1"/>
  <c r="P111" i="57" s="1"/>
  <c r="P112" i="57" s="1"/>
  <c r="P113" i="57" s="1"/>
  <c r="P114" i="57" s="1"/>
  <c r="P115" i="57" s="1"/>
  <c r="P116" i="57" s="1"/>
  <c r="P117" i="57" s="1"/>
  <c r="P118" i="57" s="1"/>
  <c r="P119" i="57" s="1"/>
  <c r="P120" i="57" s="1"/>
  <c r="P121" i="57" s="1"/>
  <c r="P122" i="57" s="1"/>
  <c r="P123" i="57" s="1"/>
  <c r="P124" i="57" s="1"/>
  <c r="P125" i="57" s="1"/>
  <c r="P126" i="57" s="1"/>
  <c r="P127" i="57" s="1"/>
  <c r="P128" i="57" s="1"/>
  <c r="P129" i="57" s="1"/>
  <c r="P130" i="57" s="1"/>
  <c r="P131" i="57" s="1"/>
  <c r="P132" i="57" s="1"/>
  <c r="P133" i="57" s="1"/>
  <c r="P134" i="57" s="1"/>
  <c r="P135" i="57" s="1"/>
  <c r="P136" i="57" s="1"/>
  <c r="P137" i="57" s="1"/>
  <c r="P138" i="57" s="1"/>
  <c r="P139" i="57" s="1"/>
  <c r="P140" i="57" s="1"/>
  <c r="P141" i="57" s="1"/>
  <c r="P142" i="57" s="1"/>
  <c r="P143" i="57" s="1"/>
  <c r="P144" i="57" s="1"/>
  <c r="P145" i="57" s="1"/>
  <c r="P146" i="57" s="1"/>
  <c r="P147" i="57" s="1"/>
  <c r="P148" i="57" s="1"/>
  <c r="P149" i="57" s="1"/>
  <c r="P150" i="57" s="1"/>
  <c r="P151" i="57" s="1"/>
  <c r="P152" i="57" s="1"/>
  <c r="P153" i="57" s="1"/>
  <c r="P154" i="57" s="1"/>
  <c r="P155" i="57" s="1"/>
  <c r="P156" i="57" s="1"/>
  <c r="P157" i="57" s="1"/>
  <c r="P158" i="57" s="1"/>
  <c r="P159" i="57" s="1"/>
  <c r="P160" i="57" s="1"/>
  <c r="P161" i="57" s="1"/>
  <c r="P162" i="57" s="1"/>
  <c r="P163" i="57" s="1"/>
  <c r="P164" i="57" s="1"/>
  <c r="P165" i="57" s="1"/>
  <c r="P166" i="57" s="1"/>
  <c r="P167" i="57" s="1"/>
  <c r="P168" i="57" s="1"/>
  <c r="P169" i="57" s="1"/>
  <c r="P170" i="57" s="1"/>
  <c r="P171" i="57" s="1"/>
  <c r="P172" i="57" s="1"/>
  <c r="P173" i="57" s="1"/>
  <c r="P174" i="57" s="1"/>
  <c r="P175" i="57" s="1"/>
  <c r="P176" i="57" s="1"/>
  <c r="P177" i="57" s="1"/>
  <c r="P178" i="57" s="1"/>
  <c r="P179" i="57" s="1"/>
  <c r="P180" i="57" s="1"/>
  <c r="P181" i="57" s="1"/>
  <c r="P182" i="57" s="1"/>
  <c r="P183" i="57" s="1"/>
  <c r="P184" i="57" s="1"/>
  <c r="P185" i="57" s="1"/>
  <c r="P186" i="57" s="1"/>
  <c r="P187" i="57" s="1"/>
  <c r="P188" i="57" s="1"/>
  <c r="P189" i="57" s="1"/>
  <c r="P190" i="57" s="1"/>
  <c r="P191" i="57" s="1"/>
  <c r="P192" i="57" s="1"/>
  <c r="P193" i="57" s="1"/>
  <c r="P194" i="57" s="1"/>
  <c r="P195" i="57" s="1"/>
  <c r="P196" i="57" s="1"/>
  <c r="P197" i="57" s="1"/>
  <c r="P198" i="57" s="1"/>
  <c r="P199" i="57" s="1"/>
  <c r="P200" i="57" s="1"/>
  <c r="P201" i="57" s="1"/>
  <c r="P202" i="57" s="1"/>
  <c r="P203" i="57" s="1"/>
  <c r="P204" i="57" s="1"/>
  <c r="P205" i="57" s="1"/>
  <c r="P206" i="57" s="1"/>
  <c r="P207" i="57" s="1"/>
  <c r="P208" i="57" s="1"/>
  <c r="P209" i="57" s="1"/>
  <c r="P210" i="57" s="1"/>
  <c r="P211" i="57" s="1"/>
  <c r="P212" i="57" s="1"/>
  <c r="P213" i="57" s="1"/>
  <c r="P214" i="57" s="1"/>
  <c r="P215" i="57" s="1"/>
  <c r="P216" i="57" s="1"/>
  <c r="P217" i="57" s="1"/>
  <c r="P218" i="57" s="1"/>
  <c r="P219" i="57" s="1"/>
  <c r="P220" i="57" s="1"/>
  <c r="P221" i="57" s="1"/>
  <c r="P222" i="57" s="1"/>
  <c r="P223" i="57" s="1"/>
  <c r="P224" i="57" s="1"/>
  <c r="P225" i="57" s="1"/>
  <c r="P226" i="57" s="1"/>
  <c r="P227" i="57" s="1"/>
  <c r="P228" i="57" s="1"/>
  <c r="P229" i="57" s="1"/>
  <c r="P230" i="57" s="1"/>
  <c r="P231" i="57" s="1"/>
  <c r="P232" i="57" s="1"/>
  <c r="P233" i="57" s="1"/>
  <c r="P234" i="57" s="1"/>
  <c r="P235" i="57" s="1"/>
  <c r="P236" i="57" s="1"/>
  <c r="P237" i="57" s="1"/>
  <c r="P238" i="57" s="1"/>
  <c r="P239" i="57" s="1"/>
  <c r="P240" i="57" s="1"/>
  <c r="P241" i="57" s="1"/>
  <c r="P242" i="57" s="1"/>
  <c r="P243" i="57" s="1"/>
  <c r="P244" i="57" s="1"/>
  <c r="P245" i="57" s="1"/>
  <c r="P246" i="57" s="1"/>
  <c r="P247" i="57" s="1"/>
  <c r="P248" i="57" s="1"/>
  <c r="P249" i="57" s="1"/>
  <c r="P250" i="57" s="1"/>
  <c r="P251" i="57" s="1"/>
  <c r="P252" i="57" s="1"/>
  <c r="P253" i="57" s="1"/>
  <c r="P254" i="57" s="1"/>
  <c r="P255" i="57" s="1"/>
  <c r="P256" i="57" s="1"/>
  <c r="P257" i="57" s="1"/>
  <c r="P258" i="57" s="1"/>
  <c r="P259" i="57" s="1"/>
  <c r="P260" i="57" s="1"/>
  <c r="P261" i="57" s="1"/>
  <c r="P262" i="57" s="1"/>
  <c r="P263" i="57" s="1"/>
  <c r="P264" i="57" s="1"/>
  <c r="P265" i="57" s="1"/>
  <c r="P266" i="57" s="1"/>
  <c r="P267" i="57" s="1"/>
  <c r="P268" i="57" s="1"/>
  <c r="P269" i="57" s="1"/>
  <c r="P270" i="57" s="1"/>
  <c r="P271" i="57" s="1"/>
  <c r="P272" i="57" s="1"/>
  <c r="P273" i="57" s="1"/>
  <c r="P274" i="57" s="1"/>
  <c r="P275" i="57" s="1"/>
  <c r="P276" i="57" s="1"/>
  <c r="P277" i="57" s="1"/>
  <c r="P278" i="57" s="1"/>
  <c r="P279" i="57" s="1"/>
  <c r="P280" i="57" s="1"/>
  <c r="P281" i="57" s="1"/>
  <c r="P282" i="57" s="1"/>
  <c r="P283" i="57" s="1"/>
  <c r="P284" i="57" s="1"/>
  <c r="P285" i="57" s="1"/>
  <c r="P286" i="57" s="1"/>
  <c r="P287" i="57" s="1"/>
  <c r="P288" i="57" s="1"/>
  <c r="P289" i="57" s="1"/>
  <c r="P290" i="57" s="1"/>
  <c r="P291" i="57" s="1"/>
  <c r="P292" i="57" s="1"/>
  <c r="P293" i="57" s="1"/>
  <c r="P294" i="57" s="1"/>
  <c r="P295" i="57" s="1"/>
  <c r="P296" i="57" s="1"/>
  <c r="P297" i="57" s="1"/>
  <c r="P298" i="57" s="1"/>
  <c r="J13" i="56"/>
  <c r="J14" i="56"/>
  <c r="J15" i="56"/>
  <c r="J16" i="56"/>
  <c r="J12" i="56"/>
  <c r="M12" i="56"/>
  <c r="B12" i="56"/>
  <c r="B13" i="56" s="1"/>
  <c r="B14" i="56" s="1"/>
  <c r="B15" i="56" s="1"/>
  <c r="B16" i="56" s="1"/>
  <c r="B17" i="56" s="1"/>
  <c r="B18" i="56" s="1"/>
  <c r="B19" i="56" s="1"/>
  <c r="B20" i="56" s="1"/>
  <c r="B21" i="56" s="1"/>
  <c r="B22" i="56" s="1"/>
  <c r="B23" i="56" s="1"/>
  <c r="B24" i="56" s="1"/>
  <c r="B25" i="56" s="1"/>
  <c r="B26" i="56" s="1"/>
  <c r="B27" i="56" s="1"/>
  <c r="B28" i="56" s="1"/>
  <c r="B29" i="56" s="1"/>
  <c r="B30" i="56" s="1"/>
  <c r="B31" i="56" s="1"/>
  <c r="B32" i="56" s="1"/>
  <c r="B33" i="56" s="1"/>
  <c r="B34" i="56" s="1"/>
  <c r="B35" i="56" s="1"/>
  <c r="B36" i="56" s="1"/>
  <c r="B37" i="56" s="1"/>
  <c r="B38" i="56" s="1"/>
  <c r="B39" i="56" s="1"/>
  <c r="B40" i="56" s="1"/>
  <c r="B41" i="56" s="1"/>
  <c r="B42" i="56" s="1"/>
  <c r="B43" i="56" s="1"/>
  <c r="B44" i="56" s="1"/>
  <c r="B45" i="56" s="1"/>
  <c r="B46" i="56" s="1"/>
  <c r="B47" i="56" s="1"/>
  <c r="B48" i="56" s="1"/>
  <c r="B49" i="56" s="1"/>
  <c r="B50" i="56" s="1"/>
  <c r="B51" i="56" s="1"/>
  <c r="B52" i="56" s="1"/>
  <c r="B53" i="56" s="1"/>
  <c r="B54" i="56" s="1"/>
  <c r="B55" i="56" s="1"/>
  <c r="B56" i="56" s="1"/>
  <c r="B57" i="56" s="1"/>
  <c r="B58" i="56" s="1"/>
  <c r="B59" i="56" s="1"/>
  <c r="B60" i="56" s="1"/>
  <c r="B61" i="56" s="1"/>
  <c r="B62" i="56" s="1"/>
  <c r="B63" i="56" s="1"/>
  <c r="B64" i="56" s="1"/>
  <c r="B65" i="56" s="1"/>
  <c r="B66" i="56" s="1"/>
  <c r="B67" i="56" s="1"/>
  <c r="B68" i="56" s="1"/>
  <c r="B69" i="56" s="1"/>
  <c r="B70" i="56" s="1"/>
  <c r="B71" i="56" s="1"/>
  <c r="B72" i="56" s="1"/>
  <c r="B73" i="56" s="1"/>
  <c r="B74" i="56" s="1"/>
  <c r="B75" i="56" s="1"/>
  <c r="B76" i="56" s="1"/>
  <c r="B77" i="56" s="1"/>
  <c r="B78" i="56" s="1"/>
  <c r="B79" i="56" s="1"/>
  <c r="B80" i="56" s="1"/>
  <c r="B81" i="56" s="1"/>
  <c r="B82" i="56" s="1"/>
  <c r="B83" i="56" s="1"/>
  <c r="B84" i="56" s="1"/>
  <c r="B85" i="56" s="1"/>
  <c r="B86" i="56" s="1"/>
  <c r="B87" i="56" s="1"/>
  <c r="B88" i="56" s="1"/>
  <c r="B89" i="56" s="1"/>
  <c r="B90" i="56" s="1"/>
  <c r="B91" i="56" s="1"/>
  <c r="B92" i="56" s="1"/>
  <c r="B93" i="56" s="1"/>
  <c r="B94" i="56" s="1"/>
  <c r="B95" i="56" s="1"/>
  <c r="B96" i="56" s="1"/>
  <c r="B97" i="56" s="1"/>
  <c r="B98" i="56" s="1"/>
  <c r="B99" i="56" s="1"/>
  <c r="B100" i="56" s="1"/>
  <c r="B101" i="56" s="1"/>
  <c r="B102" i="56" s="1"/>
  <c r="B103" i="56" s="1"/>
  <c r="B104" i="56" s="1"/>
  <c r="B105" i="56" s="1"/>
  <c r="B106" i="56" s="1"/>
  <c r="B107" i="56" s="1"/>
  <c r="B108" i="56" s="1"/>
  <c r="B109" i="56" s="1"/>
  <c r="B110" i="56" s="1"/>
  <c r="B111" i="56" s="1"/>
  <c r="B112" i="56" s="1"/>
  <c r="B113" i="56" s="1"/>
  <c r="B114" i="56" s="1"/>
  <c r="B115" i="56" s="1"/>
  <c r="B116" i="56" s="1"/>
  <c r="B117" i="56" s="1"/>
  <c r="B118" i="56" s="1"/>
  <c r="N11" i="56"/>
  <c r="N12" i="56" s="1"/>
  <c r="N13" i="56" s="1"/>
  <c r="N14" i="56" s="1"/>
  <c r="N15" i="56" s="1"/>
  <c r="N16" i="56" s="1"/>
  <c r="N17" i="56" s="1"/>
  <c r="N18" i="56" s="1"/>
  <c r="N19" i="56" s="1"/>
  <c r="N20" i="56" s="1"/>
  <c r="N21" i="56" s="1"/>
  <c r="N22" i="56" s="1"/>
  <c r="N23" i="56" s="1"/>
  <c r="N24" i="56" s="1"/>
  <c r="N25" i="56" s="1"/>
  <c r="N26" i="56" s="1"/>
  <c r="N27" i="56" s="1"/>
  <c r="N28" i="56" s="1"/>
  <c r="N29" i="56" s="1"/>
  <c r="N30" i="56" s="1"/>
  <c r="N31" i="56" s="1"/>
  <c r="N32" i="56" s="1"/>
  <c r="N33" i="56" s="1"/>
  <c r="N34" i="56" s="1"/>
  <c r="N35" i="56" s="1"/>
  <c r="N36" i="56" s="1"/>
  <c r="N37" i="56" s="1"/>
  <c r="N38" i="56" s="1"/>
  <c r="N39" i="56" s="1"/>
  <c r="N40" i="56" s="1"/>
  <c r="N41" i="56" s="1"/>
  <c r="N42" i="56" s="1"/>
  <c r="N43" i="56" s="1"/>
  <c r="N44" i="56" s="1"/>
  <c r="N45" i="56" s="1"/>
  <c r="N46" i="56" s="1"/>
  <c r="N47" i="56" s="1"/>
  <c r="N48" i="56" s="1"/>
  <c r="N49" i="56" s="1"/>
  <c r="N50" i="56" s="1"/>
  <c r="N51" i="56" s="1"/>
  <c r="N52" i="56" s="1"/>
  <c r="N53" i="56" s="1"/>
  <c r="N54" i="56" s="1"/>
  <c r="N55" i="56" s="1"/>
  <c r="N56" i="56" s="1"/>
  <c r="N57" i="56" s="1"/>
  <c r="N58" i="56" s="1"/>
  <c r="N59" i="56" s="1"/>
  <c r="N60" i="56" s="1"/>
  <c r="N61" i="56" s="1"/>
  <c r="N62" i="56" s="1"/>
  <c r="N63" i="56" s="1"/>
  <c r="N64" i="56" s="1"/>
  <c r="N65" i="56" s="1"/>
  <c r="N66" i="56" s="1"/>
  <c r="N67" i="56" s="1"/>
  <c r="N68" i="56" s="1"/>
  <c r="N69" i="56" s="1"/>
  <c r="N70" i="56" s="1"/>
  <c r="N71" i="56" s="1"/>
  <c r="N72" i="56" s="1"/>
  <c r="N73" i="56" s="1"/>
  <c r="N74" i="56" s="1"/>
  <c r="N75" i="56" s="1"/>
  <c r="N76" i="56" s="1"/>
  <c r="N77" i="56" s="1"/>
  <c r="N78" i="56" s="1"/>
  <c r="N79" i="56" s="1"/>
  <c r="N80" i="56" s="1"/>
  <c r="N81" i="56" s="1"/>
  <c r="N82" i="56" s="1"/>
  <c r="N83" i="56" s="1"/>
  <c r="N84" i="56" s="1"/>
  <c r="N85" i="56" s="1"/>
  <c r="N86" i="56" s="1"/>
  <c r="N87" i="56" s="1"/>
  <c r="N88" i="56" s="1"/>
  <c r="N89" i="56" s="1"/>
  <c r="N90" i="56" s="1"/>
  <c r="N91" i="56" s="1"/>
  <c r="N92" i="56" s="1"/>
  <c r="N93" i="56" s="1"/>
  <c r="N94" i="56" s="1"/>
  <c r="N95" i="56" s="1"/>
  <c r="N96" i="56" s="1"/>
  <c r="N97" i="56" s="1"/>
  <c r="N98" i="56" s="1"/>
  <c r="N99" i="56" s="1"/>
  <c r="N100" i="56" s="1"/>
  <c r="N101" i="56" s="1"/>
  <c r="N102" i="56" s="1"/>
  <c r="N103" i="56" s="1"/>
  <c r="N104" i="56" s="1"/>
  <c r="N105" i="56" s="1"/>
  <c r="N106" i="56" s="1"/>
  <c r="N107" i="56" s="1"/>
  <c r="N108" i="56" s="1"/>
  <c r="N109" i="56" s="1"/>
  <c r="N110" i="56" s="1"/>
  <c r="N111" i="56" s="1"/>
  <c r="N112" i="56" s="1"/>
  <c r="N113" i="56" s="1"/>
  <c r="N114" i="56" s="1"/>
  <c r="N115" i="56" s="1"/>
  <c r="N116" i="56" s="1"/>
  <c r="N117" i="56" s="1"/>
  <c r="N118" i="56" s="1"/>
  <c r="L11" i="56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L36" i="56" s="1"/>
  <c r="L37" i="56" s="1"/>
  <c r="L38" i="56" s="1"/>
  <c r="L39" i="56" s="1"/>
  <c r="L40" i="56" s="1"/>
  <c r="L41" i="56" s="1"/>
  <c r="L42" i="56" s="1"/>
  <c r="L43" i="56" s="1"/>
  <c r="L44" i="56" s="1"/>
  <c r="L45" i="56" s="1"/>
  <c r="L46" i="56" s="1"/>
  <c r="L47" i="56" s="1"/>
  <c r="L48" i="56" s="1"/>
  <c r="L49" i="56" s="1"/>
  <c r="L50" i="56" s="1"/>
  <c r="L51" i="56" s="1"/>
  <c r="L52" i="56" s="1"/>
  <c r="L53" i="56" s="1"/>
  <c r="L54" i="56" s="1"/>
  <c r="L55" i="56" s="1"/>
  <c r="L56" i="56" s="1"/>
  <c r="L57" i="56" s="1"/>
  <c r="L58" i="56" s="1"/>
  <c r="L59" i="56" s="1"/>
  <c r="L60" i="56" s="1"/>
  <c r="L61" i="56" s="1"/>
  <c r="L62" i="56" s="1"/>
  <c r="L63" i="56" s="1"/>
  <c r="L64" i="56" s="1"/>
  <c r="L65" i="56" s="1"/>
  <c r="L66" i="56" s="1"/>
  <c r="L67" i="56" s="1"/>
  <c r="L68" i="56" s="1"/>
  <c r="L69" i="56" s="1"/>
  <c r="L70" i="56" s="1"/>
  <c r="L71" i="56" s="1"/>
  <c r="L72" i="56" s="1"/>
  <c r="L73" i="56" s="1"/>
  <c r="L74" i="56" s="1"/>
  <c r="L75" i="56" s="1"/>
  <c r="L76" i="56" s="1"/>
  <c r="L77" i="56" s="1"/>
  <c r="L78" i="56" s="1"/>
  <c r="L79" i="56" s="1"/>
  <c r="L80" i="56" s="1"/>
  <c r="L81" i="56" s="1"/>
  <c r="L82" i="56" s="1"/>
  <c r="L83" i="56" s="1"/>
  <c r="L84" i="56" s="1"/>
  <c r="L85" i="56" s="1"/>
  <c r="L86" i="56" s="1"/>
  <c r="L87" i="56" s="1"/>
  <c r="L88" i="56" s="1"/>
  <c r="L89" i="56" s="1"/>
  <c r="L90" i="56" s="1"/>
  <c r="L91" i="56" s="1"/>
  <c r="L92" i="56" s="1"/>
  <c r="L93" i="56" s="1"/>
  <c r="L94" i="56" s="1"/>
  <c r="L95" i="56" s="1"/>
  <c r="L96" i="56" s="1"/>
  <c r="L97" i="56" s="1"/>
  <c r="L98" i="56" s="1"/>
  <c r="L99" i="56" s="1"/>
  <c r="L100" i="56" s="1"/>
  <c r="L101" i="56" s="1"/>
  <c r="L102" i="56" s="1"/>
  <c r="L103" i="56" s="1"/>
  <c r="L104" i="56" s="1"/>
  <c r="L105" i="56" s="1"/>
  <c r="L106" i="56" s="1"/>
  <c r="L107" i="56" s="1"/>
  <c r="L108" i="56" s="1"/>
  <c r="L109" i="56" s="1"/>
  <c r="L110" i="56" s="1"/>
  <c r="L111" i="56" s="1"/>
  <c r="L112" i="56" s="1"/>
  <c r="L113" i="56" s="1"/>
  <c r="L114" i="56" s="1"/>
  <c r="L115" i="56" s="1"/>
  <c r="L116" i="56" s="1"/>
  <c r="L117" i="56" s="1"/>
  <c r="L118" i="56" s="1"/>
  <c r="J11" i="56"/>
  <c r="I11" i="56"/>
  <c r="I12" i="56" s="1"/>
  <c r="I13" i="56" s="1"/>
  <c r="I14" i="56" s="1"/>
  <c r="I15" i="56" s="1"/>
  <c r="I16" i="56" s="1"/>
  <c r="I17" i="56" s="1"/>
  <c r="I18" i="56" s="1"/>
  <c r="I19" i="56" s="1"/>
  <c r="I20" i="56" s="1"/>
  <c r="I21" i="56" s="1"/>
  <c r="I22" i="56" s="1"/>
  <c r="I23" i="56" s="1"/>
  <c r="I24" i="56" s="1"/>
  <c r="I25" i="56" s="1"/>
  <c r="I26" i="56" s="1"/>
  <c r="I27" i="56" s="1"/>
  <c r="I28" i="56" s="1"/>
  <c r="I29" i="56" s="1"/>
  <c r="I30" i="56" s="1"/>
  <c r="I31" i="56" s="1"/>
  <c r="I32" i="56" s="1"/>
  <c r="I33" i="56" s="1"/>
  <c r="I34" i="56" s="1"/>
  <c r="I35" i="56" s="1"/>
  <c r="I36" i="56" s="1"/>
  <c r="I37" i="56" s="1"/>
  <c r="I38" i="56" s="1"/>
  <c r="I39" i="56" s="1"/>
  <c r="I40" i="56" s="1"/>
  <c r="I41" i="56" s="1"/>
  <c r="I42" i="56" s="1"/>
  <c r="I43" i="56" s="1"/>
  <c r="I44" i="56" s="1"/>
  <c r="I45" i="56" s="1"/>
  <c r="I46" i="56" s="1"/>
  <c r="I47" i="56" s="1"/>
  <c r="I48" i="56" s="1"/>
  <c r="I49" i="56" s="1"/>
  <c r="I50" i="56" s="1"/>
  <c r="I51" i="56" s="1"/>
  <c r="I52" i="56" s="1"/>
  <c r="I53" i="56" s="1"/>
  <c r="I54" i="56" s="1"/>
  <c r="I55" i="56" s="1"/>
  <c r="I56" i="56" s="1"/>
  <c r="I57" i="56" s="1"/>
  <c r="I58" i="56" s="1"/>
  <c r="I59" i="56" s="1"/>
  <c r="I60" i="56" s="1"/>
  <c r="I61" i="56" s="1"/>
  <c r="I62" i="56" s="1"/>
  <c r="I63" i="56" s="1"/>
  <c r="I64" i="56" s="1"/>
  <c r="I65" i="56" s="1"/>
  <c r="I66" i="56" s="1"/>
  <c r="I67" i="56" s="1"/>
  <c r="I68" i="56" s="1"/>
  <c r="I69" i="56" s="1"/>
  <c r="I70" i="56" s="1"/>
  <c r="I71" i="56" s="1"/>
  <c r="I72" i="56" s="1"/>
  <c r="I73" i="56" s="1"/>
  <c r="I74" i="56" s="1"/>
  <c r="I75" i="56" s="1"/>
  <c r="I76" i="56" s="1"/>
  <c r="I77" i="56" s="1"/>
  <c r="I78" i="56" s="1"/>
  <c r="I79" i="56" s="1"/>
  <c r="I80" i="56" s="1"/>
  <c r="I81" i="56" s="1"/>
  <c r="I82" i="56" s="1"/>
  <c r="I83" i="56" s="1"/>
  <c r="I84" i="56" s="1"/>
  <c r="I85" i="56" s="1"/>
  <c r="I86" i="56" s="1"/>
  <c r="I87" i="56" s="1"/>
  <c r="I88" i="56" s="1"/>
  <c r="I89" i="56" s="1"/>
  <c r="I90" i="56" s="1"/>
  <c r="I91" i="56" s="1"/>
  <c r="I92" i="56" s="1"/>
  <c r="I93" i="56" s="1"/>
  <c r="I94" i="56" s="1"/>
  <c r="I95" i="56" s="1"/>
  <c r="I96" i="56" s="1"/>
  <c r="I97" i="56" s="1"/>
  <c r="I98" i="56" s="1"/>
  <c r="I99" i="56" s="1"/>
  <c r="I100" i="56" s="1"/>
  <c r="I101" i="56" s="1"/>
  <c r="I102" i="56" s="1"/>
  <c r="I103" i="56" s="1"/>
  <c r="I104" i="56" s="1"/>
  <c r="I105" i="56" s="1"/>
  <c r="I106" i="56" s="1"/>
  <c r="I107" i="56" s="1"/>
  <c r="I108" i="56" s="1"/>
  <c r="I109" i="56" s="1"/>
  <c r="I110" i="56" s="1"/>
  <c r="I111" i="56" s="1"/>
  <c r="I112" i="56" s="1"/>
  <c r="I113" i="56" s="1"/>
  <c r="I114" i="56" s="1"/>
  <c r="I115" i="56" s="1"/>
  <c r="I116" i="56" s="1"/>
  <c r="I117" i="56" s="1"/>
  <c r="I118" i="56" s="1"/>
  <c r="H11" i="56"/>
  <c r="F11" i="56"/>
  <c r="F12" i="56" s="1"/>
  <c r="B10" i="56"/>
  <c r="D17" i="55"/>
  <c r="J22" i="55"/>
  <c r="J21" i="55"/>
  <c r="J20" i="55"/>
  <c r="J19" i="55"/>
  <c r="J18" i="55"/>
  <c r="J17" i="55"/>
  <c r="J16" i="55"/>
  <c r="J15" i="55"/>
  <c r="J14" i="55"/>
  <c r="J13" i="55"/>
  <c r="V12" i="55"/>
  <c r="V13" i="55" s="1"/>
  <c r="V14" i="55" s="1"/>
  <c r="V15" i="55" s="1"/>
  <c r="V16" i="55" s="1"/>
  <c r="J12" i="55"/>
  <c r="B12" i="55"/>
  <c r="B13" i="55" s="1"/>
  <c r="B14" i="55" s="1"/>
  <c r="B15" i="55" s="1"/>
  <c r="B16" i="55" s="1"/>
  <c r="M11" i="55"/>
  <c r="L11" i="55"/>
  <c r="L12" i="55" s="1"/>
  <c r="L13" i="55" s="1"/>
  <c r="L14" i="55" s="1"/>
  <c r="L15" i="55" s="1"/>
  <c r="L16" i="55" s="1"/>
  <c r="J11" i="55"/>
  <c r="I11" i="55"/>
  <c r="I12" i="55" s="1"/>
  <c r="I13" i="55" s="1"/>
  <c r="I14" i="55" s="1"/>
  <c r="I15" i="55" s="1"/>
  <c r="I16" i="55" s="1"/>
  <c r="B10" i="55"/>
  <c r="J17" i="54"/>
  <c r="J11" i="54"/>
  <c r="B12" i="54"/>
  <c r="B13" i="54" s="1"/>
  <c r="B14" i="54" s="1"/>
  <c r="B15" i="54" s="1"/>
  <c r="B16" i="54" s="1"/>
  <c r="B17" i="54" s="1"/>
  <c r="B18" i="54" s="1"/>
  <c r="B19" i="54" s="1"/>
  <c r="B20" i="54" s="1"/>
  <c r="B21" i="54" s="1"/>
  <c r="B22" i="54" s="1"/>
  <c r="B23" i="54" s="1"/>
  <c r="B24" i="54" s="1"/>
  <c r="B25" i="54" s="1"/>
  <c r="B26" i="54" s="1"/>
  <c r="B27" i="54" s="1"/>
  <c r="B28" i="54" s="1"/>
  <c r="B29" i="54" s="1"/>
  <c r="B30" i="54" s="1"/>
  <c r="B31" i="54" s="1"/>
  <c r="B32" i="54" s="1"/>
  <c r="B33" i="54" s="1"/>
  <c r="B34" i="54" s="1"/>
  <c r="M11" i="54"/>
  <c r="M12" i="54" s="1"/>
  <c r="M13" i="54" s="1"/>
  <c r="M14" i="54" s="1"/>
  <c r="M15" i="54" s="1"/>
  <c r="M16" i="54" s="1"/>
  <c r="M17" i="54" s="1"/>
  <c r="M18" i="54" s="1"/>
  <c r="M19" i="54" s="1"/>
  <c r="M20" i="54" s="1"/>
  <c r="M21" i="54" s="1"/>
  <c r="M22" i="54" s="1"/>
  <c r="M23" i="54" s="1"/>
  <c r="M24" i="54" s="1"/>
  <c r="M25" i="54" s="1"/>
  <c r="M26" i="54" s="1"/>
  <c r="M27" i="54" s="1"/>
  <c r="M28" i="54" s="1"/>
  <c r="M29" i="54" s="1"/>
  <c r="M30" i="54" s="1"/>
  <c r="M31" i="54" s="1"/>
  <c r="M32" i="54" s="1"/>
  <c r="M33" i="54" s="1"/>
  <c r="M34" i="54" s="1"/>
  <c r="L11" i="54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I11" i="54"/>
  <c r="I12" i="54" s="1"/>
  <c r="I13" i="54" s="1"/>
  <c r="I14" i="54" s="1"/>
  <c r="I15" i="54" s="1"/>
  <c r="I16" i="54" s="1"/>
  <c r="I17" i="54" s="1"/>
  <c r="I18" i="54" s="1"/>
  <c r="I19" i="54" s="1"/>
  <c r="I20" i="54" s="1"/>
  <c r="I21" i="54" s="1"/>
  <c r="I22" i="54" s="1"/>
  <c r="I23" i="54" s="1"/>
  <c r="I24" i="54" s="1"/>
  <c r="I25" i="54" s="1"/>
  <c r="I26" i="54" s="1"/>
  <c r="I27" i="54" s="1"/>
  <c r="I28" i="54" s="1"/>
  <c r="I29" i="54" s="1"/>
  <c r="I30" i="54" s="1"/>
  <c r="I31" i="54" s="1"/>
  <c r="I32" i="54" s="1"/>
  <c r="I33" i="54" s="1"/>
  <c r="I34" i="54" s="1"/>
  <c r="F11" i="54"/>
  <c r="F12" i="54" s="1"/>
  <c r="B10" i="54"/>
  <c r="B12" i="53"/>
  <c r="B13" i="53" s="1"/>
  <c r="B14" i="53" s="1"/>
  <c r="B15" i="53" s="1"/>
  <c r="B16" i="53" s="1"/>
  <c r="B17" i="53" s="1"/>
  <c r="B18" i="53" s="1"/>
  <c r="B19" i="53" s="1"/>
  <c r="B20" i="53" s="1"/>
  <c r="B21" i="53" s="1"/>
  <c r="B22" i="53" s="1"/>
  <c r="B23" i="53" s="1"/>
  <c r="B24" i="53" s="1"/>
  <c r="B25" i="53" s="1"/>
  <c r="B26" i="53" s="1"/>
  <c r="B27" i="53" s="1"/>
  <c r="B28" i="53" s="1"/>
  <c r="B29" i="53" s="1"/>
  <c r="B30" i="53" s="1"/>
  <c r="B31" i="53" s="1"/>
  <c r="B32" i="53" s="1"/>
  <c r="B33" i="53" s="1"/>
  <c r="B34" i="53" s="1"/>
  <c r="B35" i="53" s="1"/>
  <c r="B36" i="53" s="1"/>
  <c r="B37" i="53" s="1"/>
  <c r="B38" i="53" s="1"/>
  <c r="B39" i="53" s="1"/>
  <c r="B40" i="53" s="1"/>
  <c r="B41" i="53" s="1"/>
  <c r="B42" i="53" s="1"/>
  <c r="B43" i="53" s="1"/>
  <c r="B44" i="53" s="1"/>
  <c r="B45" i="53" s="1"/>
  <c r="B46" i="53" s="1"/>
  <c r="B47" i="53" s="1"/>
  <c r="B48" i="53" s="1"/>
  <c r="B49" i="53" s="1"/>
  <c r="B50" i="53" s="1"/>
  <c r="B51" i="53" s="1"/>
  <c r="B52" i="53" s="1"/>
  <c r="B53" i="53" s="1"/>
  <c r="B54" i="53" s="1"/>
  <c r="B55" i="53" s="1"/>
  <c r="B56" i="53" s="1"/>
  <c r="B57" i="53" s="1"/>
  <c r="B58" i="53" s="1"/>
  <c r="B59" i="53" s="1"/>
  <c r="B60" i="53" s="1"/>
  <c r="B61" i="53" s="1"/>
  <c r="B62" i="53" s="1"/>
  <c r="B63" i="53" s="1"/>
  <c r="B64" i="53" s="1"/>
  <c r="B65" i="53" s="1"/>
  <c r="B66" i="53" s="1"/>
  <c r="B67" i="53" s="1"/>
  <c r="B68" i="53" s="1"/>
  <c r="B69" i="53" s="1"/>
  <c r="B70" i="53" s="1"/>
  <c r="B71" i="53" s="1"/>
  <c r="B72" i="53" s="1"/>
  <c r="B73" i="53" s="1"/>
  <c r="B74" i="53" s="1"/>
  <c r="B75" i="53" s="1"/>
  <c r="B76" i="53" s="1"/>
  <c r="B77" i="53" s="1"/>
  <c r="B78" i="53" s="1"/>
  <c r="B79" i="53" s="1"/>
  <c r="B80" i="53" s="1"/>
  <c r="B81" i="53" s="1"/>
  <c r="B82" i="53" s="1"/>
  <c r="B83" i="53" s="1"/>
  <c r="B84" i="53" s="1"/>
  <c r="B85" i="53" s="1"/>
  <c r="B86" i="53" s="1"/>
  <c r="B87" i="53" s="1"/>
  <c r="B88" i="53" s="1"/>
  <c r="B89" i="53" s="1"/>
  <c r="B90" i="53" s="1"/>
  <c r="B91" i="53" s="1"/>
  <c r="B92" i="53" s="1"/>
  <c r="B93" i="53" s="1"/>
  <c r="B94" i="53" s="1"/>
  <c r="B95" i="53" s="1"/>
  <c r="B96" i="53" s="1"/>
  <c r="B97" i="53" s="1"/>
  <c r="B98" i="53" s="1"/>
  <c r="B99" i="53" s="1"/>
  <c r="B100" i="53" s="1"/>
  <c r="B101" i="53" s="1"/>
  <c r="B102" i="53" s="1"/>
  <c r="B103" i="53" s="1"/>
  <c r="B104" i="53" s="1"/>
  <c r="B105" i="53" s="1"/>
  <c r="B106" i="53" s="1"/>
  <c r="B107" i="53" s="1"/>
  <c r="B108" i="53" s="1"/>
  <c r="B109" i="53" s="1"/>
  <c r="B110" i="53" s="1"/>
  <c r="B111" i="53" s="1"/>
  <c r="B112" i="53" s="1"/>
  <c r="B113" i="53" s="1"/>
  <c r="B114" i="53" s="1"/>
  <c r="B115" i="53" s="1"/>
  <c r="B116" i="53" s="1"/>
  <c r="B117" i="53" s="1"/>
  <c r="B118" i="53" s="1"/>
  <c r="B119" i="53" s="1"/>
  <c r="B120" i="53" s="1"/>
  <c r="B121" i="53" s="1"/>
  <c r="B122" i="53" s="1"/>
  <c r="B123" i="53" s="1"/>
  <c r="B124" i="53" s="1"/>
  <c r="B125" i="53" s="1"/>
  <c r="B126" i="53" s="1"/>
  <c r="B127" i="53" s="1"/>
  <c r="B128" i="53" s="1"/>
  <c r="B129" i="53" s="1"/>
  <c r="B130" i="53" s="1"/>
  <c r="B131" i="53" s="1"/>
  <c r="B132" i="53" s="1"/>
  <c r="B133" i="53" s="1"/>
  <c r="B134" i="53" s="1"/>
  <c r="B135" i="53" s="1"/>
  <c r="B136" i="53" s="1"/>
  <c r="B137" i="53" s="1"/>
  <c r="B138" i="53" s="1"/>
  <c r="B139" i="53" s="1"/>
  <c r="B140" i="53" s="1"/>
  <c r="B141" i="53" s="1"/>
  <c r="B142" i="53" s="1"/>
  <c r="B143" i="53" s="1"/>
  <c r="B144" i="53" s="1"/>
  <c r="B145" i="53" s="1"/>
  <c r="B146" i="53" s="1"/>
  <c r="B147" i="53" s="1"/>
  <c r="B148" i="53" s="1"/>
  <c r="B149" i="53" s="1"/>
  <c r="B150" i="53" s="1"/>
  <c r="B151" i="53" s="1"/>
  <c r="B152" i="53" s="1"/>
  <c r="B153" i="53" s="1"/>
  <c r="B154" i="53" s="1"/>
  <c r="B155" i="53" s="1"/>
  <c r="B156" i="53" s="1"/>
  <c r="B157" i="53" s="1"/>
  <c r="B158" i="53" s="1"/>
  <c r="B159" i="53" s="1"/>
  <c r="B160" i="53" s="1"/>
  <c r="B161" i="53" s="1"/>
  <c r="B162" i="53" s="1"/>
  <c r="B163" i="53" s="1"/>
  <c r="B164" i="53" s="1"/>
  <c r="B165" i="53" s="1"/>
  <c r="B166" i="53" s="1"/>
  <c r="B167" i="53" s="1"/>
  <c r="B168" i="53" s="1"/>
  <c r="B169" i="53" s="1"/>
  <c r="B170" i="53" s="1"/>
  <c r="B171" i="53" s="1"/>
  <c r="B172" i="53" s="1"/>
  <c r="B173" i="53" s="1"/>
  <c r="B174" i="53" s="1"/>
  <c r="B175" i="53" s="1"/>
  <c r="B176" i="53" s="1"/>
  <c r="B177" i="53" s="1"/>
  <c r="B178" i="53" s="1"/>
  <c r="B179" i="53" s="1"/>
  <c r="B180" i="53" s="1"/>
  <c r="B181" i="53" s="1"/>
  <c r="B182" i="53" s="1"/>
  <c r="B183" i="53" s="1"/>
  <c r="B184" i="53" s="1"/>
  <c r="B185" i="53" s="1"/>
  <c r="B186" i="53" s="1"/>
  <c r="B187" i="53" s="1"/>
  <c r="B188" i="53" s="1"/>
  <c r="B189" i="53" s="1"/>
  <c r="B190" i="53" s="1"/>
  <c r="B191" i="53" s="1"/>
  <c r="B192" i="53" s="1"/>
  <c r="B193" i="53" s="1"/>
  <c r="B194" i="53" s="1"/>
  <c r="B195" i="53" s="1"/>
  <c r="B196" i="53" s="1"/>
  <c r="B197" i="53" s="1"/>
  <c r="B198" i="53" s="1"/>
  <c r="B199" i="53" s="1"/>
  <c r="B200" i="53" s="1"/>
  <c r="B201" i="53" s="1"/>
  <c r="B202" i="53" s="1"/>
  <c r="B203" i="53" s="1"/>
  <c r="B204" i="53" s="1"/>
  <c r="B205" i="53" s="1"/>
  <c r="B206" i="53" s="1"/>
  <c r="B207" i="53" s="1"/>
  <c r="B208" i="53" s="1"/>
  <c r="B209" i="53" s="1"/>
  <c r="B210" i="53" s="1"/>
  <c r="B211" i="53" s="1"/>
  <c r="B212" i="53" s="1"/>
  <c r="B213" i="53" s="1"/>
  <c r="B214" i="53" s="1"/>
  <c r="B215" i="53" s="1"/>
  <c r="B216" i="53" s="1"/>
  <c r="B217" i="53" s="1"/>
  <c r="B218" i="53" s="1"/>
  <c r="B219" i="53" s="1"/>
  <c r="B220" i="53" s="1"/>
  <c r="B221" i="53" s="1"/>
  <c r="B222" i="53" s="1"/>
  <c r="B223" i="53" s="1"/>
  <c r="B224" i="53" s="1"/>
  <c r="B225" i="53" s="1"/>
  <c r="B226" i="53" s="1"/>
  <c r="M11" i="53"/>
  <c r="L11" i="53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L36" i="53" s="1"/>
  <c r="L37" i="53" s="1"/>
  <c r="L38" i="53" s="1"/>
  <c r="L39" i="53" s="1"/>
  <c r="L40" i="53" s="1"/>
  <c r="L41" i="53" s="1"/>
  <c r="L42" i="53" s="1"/>
  <c r="L43" i="53" s="1"/>
  <c r="L44" i="53" s="1"/>
  <c r="L45" i="53" s="1"/>
  <c r="L46" i="53" s="1"/>
  <c r="L47" i="53" s="1"/>
  <c r="L48" i="53" s="1"/>
  <c r="L49" i="53" s="1"/>
  <c r="L50" i="53" s="1"/>
  <c r="L51" i="53" s="1"/>
  <c r="L52" i="53" s="1"/>
  <c r="L53" i="53" s="1"/>
  <c r="L54" i="53" s="1"/>
  <c r="L55" i="53" s="1"/>
  <c r="L56" i="53" s="1"/>
  <c r="L57" i="53" s="1"/>
  <c r="L58" i="53" s="1"/>
  <c r="L59" i="53" s="1"/>
  <c r="L60" i="53" s="1"/>
  <c r="L61" i="53" s="1"/>
  <c r="L62" i="53" s="1"/>
  <c r="L63" i="53" s="1"/>
  <c r="L64" i="53" s="1"/>
  <c r="L65" i="53" s="1"/>
  <c r="L66" i="53" s="1"/>
  <c r="L67" i="53" s="1"/>
  <c r="L68" i="53" s="1"/>
  <c r="L69" i="53" s="1"/>
  <c r="L70" i="53" s="1"/>
  <c r="L71" i="53" s="1"/>
  <c r="L72" i="53" s="1"/>
  <c r="L73" i="53" s="1"/>
  <c r="L74" i="53" s="1"/>
  <c r="L75" i="53" s="1"/>
  <c r="L76" i="53" s="1"/>
  <c r="L77" i="53" s="1"/>
  <c r="L78" i="53" s="1"/>
  <c r="L79" i="53" s="1"/>
  <c r="L80" i="53" s="1"/>
  <c r="L81" i="53" s="1"/>
  <c r="L82" i="53" s="1"/>
  <c r="I11" i="53"/>
  <c r="I12" i="53" s="1"/>
  <c r="I13" i="53" s="1"/>
  <c r="I14" i="53" s="1"/>
  <c r="I15" i="53" s="1"/>
  <c r="I16" i="53" s="1"/>
  <c r="I17" i="53" s="1"/>
  <c r="I18" i="53" s="1"/>
  <c r="I19" i="53" s="1"/>
  <c r="I20" i="53" s="1"/>
  <c r="I21" i="53" s="1"/>
  <c r="I22" i="53" s="1"/>
  <c r="I23" i="53" s="1"/>
  <c r="I24" i="53" s="1"/>
  <c r="I25" i="53" s="1"/>
  <c r="I26" i="53" s="1"/>
  <c r="I27" i="53" s="1"/>
  <c r="I28" i="53" s="1"/>
  <c r="I29" i="53" s="1"/>
  <c r="I30" i="53" s="1"/>
  <c r="I31" i="53" s="1"/>
  <c r="I32" i="53" s="1"/>
  <c r="I33" i="53" s="1"/>
  <c r="I34" i="53" s="1"/>
  <c r="I35" i="53" s="1"/>
  <c r="I36" i="53" s="1"/>
  <c r="I37" i="53" s="1"/>
  <c r="I38" i="53" s="1"/>
  <c r="I39" i="53" s="1"/>
  <c r="I40" i="53" s="1"/>
  <c r="I41" i="53" s="1"/>
  <c r="I42" i="53" s="1"/>
  <c r="I43" i="53" s="1"/>
  <c r="I44" i="53" s="1"/>
  <c r="I45" i="53" s="1"/>
  <c r="I46" i="53" s="1"/>
  <c r="I47" i="53" s="1"/>
  <c r="I48" i="53" s="1"/>
  <c r="I49" i="53" s="1"/>
  <c r="I50" i="53" s="1"/>
  <c r="I51" i="53" s="1"/>
  <c r="I52" i="53" s="1"/>
  <c r="I53" i="53" s="1"/>
  <c r="I54" i="53" s="1"/>
  <c r="I55" i="53" s="1"/>
  <c r="I56" i="53" s="1"/>
  <c r="I57" i="53" s="1"/>
  <c r="I58" i="53" s="1"/>
  <c r="I59" i="53" s="1"/>
  <c r="I60" i="53" s="1"/>
  <c r="I61" i="53" s="1"/>
  <c r="I62" i="53" s="1"/>
  <c r="I63" i="53" s="1"/>
  <c r="I64" i="53" s="1"/>
  <c r="I65" i="53" s="1"/>
  <c r="I66" i="53" s="1"/>
  <c r="I67" i="53" s="1"/>
  <c r="I68" i="53" s="1"/>
  <c r="I69" i="53" s="1"/>
  <c r="I70" i="53" s="1"/>
  <c r="I71" i="53" s="1"/>
  <c r="I72" i="53" s="1"/>
  <c r="I73" i="53" s="1"/>
  <c r="I74" i="53" s="1"/>
  <c r="I75" i="53" s="1"/>
  <c r="I76" i="53" s="1"/>
  <c r="I77" i="53" s="1"/>
  <c r="I78" i="53" s="1"/>
  <c r="I79" i="53" s="1"/>
  <c r="I80" i="53" s="1"/>
  <c r="I81" i="53" s="1"/>
  <c r="I82" i="53" s="1"/>
  <c r="F11" i="53"/>
  <c r="F12" i="53" s="1"/>
  <c r="H12" i="53" s="1"/>
  <c r="B10" i="53"/>
  <c r="J18" i="52"/>
  <c r="J19" i="52"/>
  <c r="J20" i="52"/>
  <c r="J21" i="52"/>
  <c r="J22" i="52"/>
  <c r="J17" i="52"/>
  <c r="J16" i="52"/>
  <c r="J15" i="52"/>
  <c r="J14" i="52"/>
  <c r="J13" i="52"/>
  <c r="J12" i="52"/>
  <c r="J11" i="52"/>
  <c r="B12" i="52"/>
  <c r="B13" i="52" s="1"/>
  <c r="B14" i="52" s="1"/>
  <c r="B15" i="52" s="1"/>
  <c r="B16" i="52" s="1"/>
  <c r="B17" i="52" s="1"/>
  <c r="B18" i="52" s="1"/>
  <c r="B19" i="52" s="1"/>
  <c r="B20" i="52" s="1"/>
  <c r="B21" i="52" s="1"/>
  <c r="B22" i="52" s="1"/>
  <c r="B23" i="52" s="1"/>
  <c r="B24" i="52" s="1"/>
  <c r="B25" i="52" s="1"/>
  <c r="B26" i="52" s="1"/>
  <c r="B27" i="52" s="1"/>
  <c r="B28" i="52" s="1"/>
  <c r="M11" i="52"/>
  <c r="M12" i="52" s="1"/>
  <c r="M13" i="52" s="1"/>
  <c r="M14" i="52" s="1"/>
  <c r="M15" i="52" s="1"/>
  <c r="M16" i="52" s="1"/>
  <c r="M17" i="52" s="1"/>
  <c r="M18" i="52" s="1"/>
  <c r="M19" i="52" s="1"/>
  <c r="M20" i="52" s="1"/>
  <c r="M21" i="52" s="1"/>
  <c r="M22" i="52" s="1"/>
  <c r="M23" i="52" s="1"/>
  <c r="M24" i="52" s="1"/>
  <c r="M25" i="52" s="1"/>
  <c r="M26" i="52" s="1"/>
  <c r="M27" i="52" s="1"/>
  <c r="M28" i="52" s="1"/>
  <c r="L11" i="52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I11" i="52"/>
  <c r="I12" i="52" s="1"/>
  <c r="I13" i="52" s="1"/>
  <c r="I14" i="52" s="1"/>
  <c r="I15" i="52" s="1"/>
  <c r="I16" i="52" s="1"/>
  <c r="I17" i="52" s="1"/>
  <c r="I18" i="52" s="1"/>
  <c r="I19" i="52" s="1"/>
  <c r="I20" i="52" s="1"/>
  <c r="I21" i="52" s="1"/>
  <c r="I22" i="52" s="1"/>
  <c r="I23" i="52" s="1"/>
  <c r="I24" i="52" s="1"/>
  <c r="I25" i="52" s="1"/>
  <c r="I26" i="52" s="1"/>
  <c r="I27" i="52" s="1"/>
  <c r="I28" i="52" s="1"/>
  <c r="F11" i="52"/>
  <c r="F12" i="52" s="1"/>
  <c r="B10" i="52"/>
  <c r="D156" i="51"/>
  <c r="K156" i="51" s="1"/>
  <c r="D157" i="51"/>
  <c r="D158" i="51"/>
  <c r="K158" i="51" s="1"/>
  <c r="D159" i="51"/>
  <c r="E159" i="51" s="1"/>
  <c r="F159" i="51" s="1"/>
  <c r="D160" i="51"/>
  <c r="E160" i="51" s="1"/>
  <c r="F160" i="51" s="1"/>
  <c r="D161" i="51"/>
  <c r="D162" i="51"/>
  <c r="E162" i="51" s="1"/>
  <c r="F162" i="51" s="1"/>
  <c r="D163" i="51"/>
  <c r="K163" i="51" s="1"/>
  <c r="D164" i="51"/>
  <c r="K164" i="51" s="1"/>
  <c r="D165" i="51"/>
  <c r="D166" i="51"/>
  <c r="K166" i="51" s="1"/>
  <c r="D167" i="51"/>
  <c r="E167" i="51" s="1"/>
  <c r="F167" i="51" s="1"/>
  <c r="G167" i="51" s="1"/>
  <c r="D168" i="51"/>
  <c r="E168" i="51" s="1"/>
  <c r="F168" i="51" s="1"/>
  <c r="D169" i="51"/>
  <c r="E169" i="51" s="1"/>
  <c r="F169" i="51" s="1"/>
  <c r="G169" i="51" s="1"/>
  <c r="D170" i="51"/>
  <c r="K170" i="51" s="1"/>
  <c r="D171" i="51"/>
  <c r="E171" i="51" s="1"/>
  <c r="F171" i="51" s="1"/>
  <c r="H171" i="51" s="1"/>
  <c r="D172" i="51"/>
  <c r="E172" i="51" s="1"/>
  <c r="F172" i="51" s="1"/>
  <c r="D173" i="51"/>
  <c r="E173" i="51" s="1"/>
  <c r="F173" i="51" s="1"/>
  <c r="H173" i="51" s="1"/>
  <c r="D174" i="51"/>
  <c r="E174" i="51" s="1"/>
  <c r="F174" i="51" s="1"/>
  <c r="D175" i="51"/>
  <c r="E175" i="51" s="1"/>
  <c r="F175" i="51" s="1"/>
  <c r="G175" i="51" s="1"/>
  <c r="D176" i="51"/>
  <c r="E176" i="51" s="1"/>
  <c r="F176" i="51" s="1"/>
  <c r="D177" i="51"/>
  <c r="D178" i="51"/>
  <c r="K178" i="51" s="1"/>
  <c r="D179" i="51"/>
  <c r="D180" i="51"/>
  <c r="D181" i="51"/>
  <c r="D182" i="51"/>
  <c r="E182" i="51" s="1"/>
  <c r="F182" i="51" s="1"/>
  <c r="D183" i="51"/>
  <c r="D184" i="51"/>
  <c r="D185" i="51"/>
  <c r="D186" i="51"/>
  <c r="K186" i="51" s="1"/>
  <c r="D187" i="51"/>
  <c r="D188" i="51"/>
  <c r="D189" i="51"/>
  <c r="D190" i="51"/>
  <c r="K190" i="51" s="1"/>
  <c r="D155" i="51"/>
  <c r="E155" i="51" s="1"/>
  <c r="F155" i="51" s="1"/>
  <c r="P190" i="51"/>
  <c r="J190" i="51"/>
  <c r="P189" i="51"/>
  <c r="J189" i="51"/>
  <c r="P188" i="51"/>
  <c r="J188" i="51"/>
  <c r="P187" i="51"/>
  <c r="J187" i="51"/>
  <c r="P186" i="51"/>
  <c r="J186" i="51"/>
  <c r="P185" i="51"/>
  <c r="J185" i="51"/>
  <c r="P184" i="51"/>
  <c r="J184" i="51"/>
  <c r="P183" i="51"/>
  <c r="J183" i="51"/>
  <c r="P182" i="51"/>
  <c r="J182" i="51"/>
  <c r="P181" i="51"/>
  <c r="J181" i="51"/>
  <c r="P180" i="51"/>
  <c r="J180" i="51"/>
  <c r="P179" i="51"/>
  <c r="J179" i="51"/>
  <c r="J178" i="51"/>
  <c r="J177" i="51"/>
  <c r="J176" i="51"/>
  <c r="J175" i="51"/>
  <c r="J174" i="51"/>
  <c r="J173" i="51"/>
  <c r="J172" i="51"/>
  <c r="J171" i="51"/>
  <c r="J170" i="51"/>
  <c r="J169" i="51"/>
  <c r="J168" i="51"/>
  <c r="J167" i="51"/>
  <c r="P166" i="51"/>
  <c r="J166" i="51"/>
  <c r="P165" i="51"/>
  <c r="J165" i="51"/>
  <c r="P164" i="51"/>
  <c r="J164" i="51"/>
  <c r="P163" i="51"/>
  <c r="J163" i="51"/>
  <c r="P162" i="51"/>
  <c r="J162" i="51"/>
  <c r="P161" i="51"/>
  <c r="J161" i="51"/>
  <c r="P160" i="51"/>
  <c r="J160" i="51"/>
  <c r="P159" i="51"/>
  <c r="J159" i="51"/>
  <c r="P158" i="51"/>
  <c r="J158" i="51"/>
  <c r="P157" i="51"/>
  <c r="J157" i="51"/>
  <c r="P156" i="51"/>
  <c r="J156" i="51"/>
  <c r="P155" i="51"/>
  <c r="J155" i="51"/>
  <c r="D120" i="51"/>
  <c r="K120" i="51" s="1"/>
  <c r="D121" i="51"/>
  <c r="K121" i="51" s="1"/>
  <c r="D122" i="51"/>
  <c r="K122" i="51" s="1"/>
  <c r="D123" i="51"/>
  <c r="E123" i="51" s="1"/>
  <c r="F123" i="51" s="1"/>
  <c r="H123" i="51" s="1"/>
  <c r="D124" i="51"/>
  <c r="K124" i="51" s="1"/>
  <c r="D125" i="51"/>
  <c r="E125" i="51" s="1"/>
  <c r="F125" i="51" s="1"/>
  <c r="H125" i="51" s="1"/>
  <c r="D126" i="51"/>
  <c r="D127" i="51"/>
  <c r="E127" i="51" s="1"/>
  <c r="F127" i="51" s="1"/>
  <c r="D128" i="51"/>
  <c r="D129" i="51"/>
  <c r="K129" i="51" s="1"/>
  <c r="D130" i="51"/>
  <c r="D131" i="51"/>
  <c r="D132" i="51"/>
  <c r="E132" i="51" s="1"/>
  <c r="F132" i="51" s="1"/>
  <c r="D133" i="51"/>
  <c r="K133" i="51" s="1"/>
  <c r="D134" i="51"/>
  <c r="K134" i="51" s="1"/>
  <c r="D135" i="51"/>
  <c r="D136" i="51"/>
  <c r="K136" i="51" s="1"/>
  <c r="D137" i="51"/>
  <c r="D138" i="51"/>
  <c r="K138" i="51" s="1"/>
  <c r="D139" i="51"/>
  <c r="E139" i="51" s="1"/>
  <c r="F139" i="51" s="1"/>
  <c r="D140" i="51"/>
  <c r="K140" i="51" s="1"/>
  <c r="D141" i="51"/>
  <c r="D142" i="51"/>
  <c r="K142" i="51" s="1"/>
  <c r="D143" i="51"/>
  <c r="D144" i="51"/>
  <c r="D145" i="51"/>
  <c r="E145" i="51" s="1"/>
  <c r="F145" i="51" s="1"/>
  <c r="D146" i="51"/>
  <c r="K146" i="51" s="1"/>
  <c r="D147" i="51"/>
  <c r="E147" i="51" s="1"/>
  <c r="F147" i="51" s="1"/>
  <c r="D148" i="51"/>
  <c r="D149" i="51"/>
  <c r="E149" i="51" s="1"/>
  <c r="F149" i="51" s="1"/>
  <c r="D150" i="51"/>
  <c r="K150" i="51" s="1"/>
  <c r="D151" i="51"/>
  <c r="E151" i="51" s="1"/>
  <c r="F151" i="51" s="1"/>
  <c r="H151" i="51" s="1"/>
  <c r="D152" i="51"/>
  <c r="D153" i="51"/>
  <c r="D154" i="51"/>
  <c r="K154" i="51" s="1"/>
  <c r="D119" i="51"/>
  <c r="E119" i="51" s="1"/>
  <c r="F119" i="51" s="1"/>
  <c r="H119" i="51" s="1"/>
  <c r="P154" i="51"/>
  <c r="J154" i="51"/>
  <c r="P153" i="51"/>
  <c r="J153" i="51"/>
  <c r="P152" i="51"/>
  <c r="J152" i="51"/>
  <c r="P151" i="51"/>
  <c r="J151" i="51"/>
  <c r="P150" i="51"/>
  <c r="J150" i="51"/>
  <c r="P149" i="51"/>
  <c r="J149" i="51"/>
  <c r="P148" i="51"/>
  <c r="J148" i="51"/>
  <c r="P147" i="51"/>
  <c r="J147" i="51"/>
  <c r="P146" i="51"/>
  <c r="J146" i="51"/>
  <c r="P145" i="51"/>
  <c r="J145" i="51"/>
  <c r="P144" i="51"/>
  <c r="J144" i="51"/>
  <c r="P143" i="51"/>
  <c r="J143" i="51"/>
  <c r="J142" i="51"/>
  <c r="J141" i="51"/>
  <c r="J140" i="51"/>
  <c r="J139" i="51"/>
  <c r="J138" i="51"/>
  <c r="J137" i="51"/>
  <c r="J136" i="51"/>
  <c r="J135" i="51"/>
  <c r="J134" i="51"/>
  <c r="J133" i="51"/>
  <c r="J132" i="51"/>
  <c r="J131" i="51"/>
  <c r="P130" i="51"/>
  <c r="J130" i="51"/>
  <c r="P129" i="51"/>
  <c r="J129" i="51"/>
  <c r="P128" i="51"/>
  <c r="J128" i="51"/>
  <c r="P127" i="51"/>
  <c r="J127" i="51"/>
  <c r="P126" i="51"/>
  <c r="J126" i="51"/>
  <c r="P125" i="51"/>
  <c r="J125" i="51"/>
  <c r="P124" i="51"/>
  <c r="J124" i="51"/>
  <c r="P123" i="51"/>
  <c r="J123" i="51"/>
  <c r="P122" i="51"/>
  <c r="J122" i="51"/>
  <c r="P121" i="51"/>
  <c r="J121" i="51"/>
  <c r="P120" i="51"/>
  <c r="J120" i="51"/>
  <c r="P119" i="51"/>
  <c r="J119" i="51"/>
  <c r="P118" i="51"/>
  <c r="J118" i="51"/>
  <c r="P117" i="51"/>
  <c r="J117" i="51"/>
  <c r="P116" i="51"/>
  <c r="J116" i="51"/>
  <c r="P115" i="51"/>
  <c r="J115" i="51"/>
  <c r="P114" i="51"/>
  <c r="J114" i="51"/>
  <c r="P113" i="51"/>
  <c r="J113" i="51"/>
  <c r="P112" i="51"/>
  <c r="J112" i="51"/>
  <c r="P111" i="51"/>
  <c r="J111" i="51"/>
  <c r="P110" i="51"/>
  <c r="J110" i="51"/>
  <c r="P109" i="51"/>
  <c r="J109" i="51"/>
  <c r="P108" i="51"/>
  <c r="J108" i="51"/>
  <c r="P107" i="51"/>
  <c r="J107" i="51"/>
  <c r="J106" i="51"/>
  <c r="J105" i="51"/>
  <c r="J104" i="51"/>
  <c r="J103" i="51"/>
  <c r="J102" i="51"/>
  <c r="J101" i="51"/>
  <c r="J100" i="51"/>
  <c r="J99" i="51"/>
  <c r="J98" i="51"/>
  <c r="J97" i="51"/>
  <c r="J96" i="51"/>
  <c r="J95" i="51"/>
  <c r="P94" i="51"/>
  <c r="J94" i="51"/>
  <c r="P93" i="51"/>
  <c r="J93" i="51"/>
  <c r="P92" i="51"/>
  <c r="J92" i="51"/>
  <c r="P91" i="51"/>
  <c r="J91" i="51"/>
  <c r="P90" i="51"/>
  <c r="J90" i="51"/>
  <c r="P89" i="51"/>
  <c r="J89" i="51"/>
  <c r="P88" i="51"/>
  <c r="J88" i="51"/>
  <c r="P87" i="51"/>
  <c r="J87" i="51"/>
  <c r="P86" i="51"/>
  <c r="J86" i="51"/>
  <c r="P85" i="51"/>
  <c r="J85" i="51"/>
  <c r="P84" i="51"/>
  <c r="J84" i="51"/>
  <c r="P83" i="51"/>
  <c r="J83" i="51"/>
  <c r="P47" i="51"/>
  <c r="D48" i="51"/>
  <c r="K48" i="51" s="1"/>
  <c r="D49" i="51"/>
  <c r="E49" i="51" s="1"/>
  <c r="F49" i="51" s="1"/>
  <c r="D50" i="51"/>
  <c r="E50" i="51" s="1"/>
  <c r="F50" i="51" s="1"/>
  <c r="D51" i="51"/>
  <c r="D52" i="51"/>
  <c r="K52" i="51" s="1"/>
  <c r="D53" i="51"/>
  <c r="E53" i="51" s="1"/>
  <c r="F53" i="51" s="1"/>
  <c r="H53" i="51" s="1"/>
  <c r="D54" i="51"/>
  <c r="E54" i="51" s="1"/>
  <c r="F54" i="51" s="1"/>
  <c r="G54" i="51" s="1"/>
  <c r="D55" i="51"/>
  <c r="D56" i="51"/>
  <c r="K56" i="51" s="1"/>
  <c r="D57" i="51"/>
  <c r="K57" i="51" s="1"/>
  <c r="D58" i="51"/>
  <c r="K58" i="51" s="1"/>
  <c r="D59" i="51"/>
  <c r="D60" i="51"/>
  <c r="K60" i="51" s="1"/>
  <c r="D61" i="51"/>
  <c r="K61" i="51" s="1"/>
  <c r="D62" i="51"/>
  <c r="E62" i="51" s="1"/>
  <c r="F62" i="51" s="1"/>
  <c r="H62" i="51" s="1"/>
  <c r="D63" i="51"/>
  <c r="E63" i="51" s="1"/>
  <c r="F63" i="51" s="1"/>
  <c r="D64" i="51"/>
  <c r="D65" i="51"/>
  <c r="E65" i="51" s="1"/>
  <c r="F65" i="51" s="1"/>
  <c r="G65" i="51" s="1"/>
  <c r="D66" i="51"/>
  <c r="K66" i="51" s="1"/>
  <c r="D67" i="51"/>
  <c r="K67" i="51" s="1"/>
  <c r="D68" i="51"/>
  <c r="E68" i="51" s="1"/>
  <c r="F68" i="51" s="1"/>
  <c r="H68" i="51" s="1"/>
  <c r="D69" i="51"/>
  <c r="K69" i="51" s="1"/>
  <c r="D70" i="51"/>
  <c r="K70" i="51" s="1"/>
  <c r="D71" i="51"/>
  <c r="K71" i="51" s="1"/>
  <c r="D72" i="51"/>
  <c r="K72" i="51" s="1"/>
  <c r="D73" i="51"/>
  <c r="E73" i="51" s="1"/>
  <c r="F73" i="51" s="1"/>
  <c r="D74" i="51"/>
  <c r="K74" i="51" s="1"/>
  <c r="D75" i="51"/>
  <c r="D76" i="51"/>
  <c r="E76" i="51" s="1"/>
  <c r="F76" i="51" s="1"/>
  <c r="D77" i="51"/>
  <c r="K77" i="51" s="1"/>
  <c r="D78" i="51"/>
  <c r="E78" i="51" s="1"/>
  <c r="F78" i="51" s="1"/>
  <c r="D79" i="51"/>
  <c r="D80" i="51"/>
  <c r="E80" i="51" s="1"/>
  <c r="F80" i="51" s="1"/>
  <c r="D81" i="51"/>
  <c r="K81" i="51" s="1"/>
  <c r="D82" i="51"/>
  <c r="K82" i="51" s="1"/>
  <c r="P82" i="51"/>
  <c r="J82" i="51"/>
  <c r="P81" i="51"/>
  <c r="J81" i="51"/>
  <c r="P80" i="51"/>
  <c r="J80" i="51"/>
  <c r="P79" i="51"/>
  <c r="J79" i="51"/>
  <c r="P78" i="51"/>
  <c r="J78" i="51"/>
  <c r="P77" i="51"/>
  <c r="J77" i="51"/>
  <c r="P76" i="51"/>
  <c r="J76" i="51"/>
  <c r="P75" i="51"/>
  <c r="J75" i="51"/>
  <c r="P74" i="51"/>
  <c r="J74" i="51"/>
  <c r="P73" i="51"/>
  <c r="J73" i="51"/>
  <c r="P72" i="51"/>
  <c r="J72" i="51"/>
  <c r="P71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P58" i="51"/>
  <c r="J58" i="51"/>
  <c r="P57" i="51"/>
  <c r="J57" i="51"/>
  <c r="P56" i="51"/>
  <c r="J56" i="51"/>
  <c r="P55" i="51"/>
  <c r="J55" i="51"/>
  <c r="P54" i="51"/>
  <c r="J54" i="51"/>
  <c r="P53" i="51"/>
  <c r="J53" i="51"/>
  <c r="P52" i="51"/>
  <c r="J52" i="51"/>
  <c r="P51" i="51"/>
  <c r="J51" i="51"/>
  <c r="P50" i="51"/>
  <c r="J50" i="51"/>
  <c r="P49" i="51"/>
  <c r="J49" i="51"/>
  <c r="P48" i="51"/>
  <c r="J48" i="51"/>
  <c r="J47" i="51"/>
  <c r="D47" i="51"/>
  <c r="K47" i="51" s="1"/>
  <c r="P13" i="51"/>
  <c r="P14" i="51"/>
  <c r="P15" i="51"/>
  <c r="P16" i="51"/>
  <c r="P17" i="51"/>
  <c r="P18" i="51"/>
  <c r="P19" i="51"/>
  <c r="P20" i="51"/>
  <c r="P21" i="51"/>
  <c r="P22" i="51"/>
  <c r="P12" i="51"/>
  <c r="P36" i="51"/>
  <c r="P37" i="51"/>
  <c r="P38" i="51"/>
  <c r="P39" i="51"/>
  <c r="P40" i="51"/>
  <c r="P41" i="51"/>
  <c r="P42" i="51"/>
  <c r="P43" i="51"/>
  <c r="P44" i="51"/>
  <c r="P45" i="51"/>
  <c r="P46" i="51"/>
  <c r="P35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9" i="51"/>
  <c r="J28" i="51"/>
  <c r="J27" i="51"/>
  <c r="J26" i="51"/>
  <c r="J25" i="51"/>
  <c r="P11" i="51"/>
  <c r="J24" i="51"/>
  <c r="J23" i="51"/>
  <c r="J22" i="51"/>
  <c r="J21" i="51"/>
  <c r="J20" i="51"/>
  <c r="J19" i="51"/>
  <c r="J18" i="51"/>
  <c r="J17" i="51"/>
  <c r="J16" i="51"/>
  <c r="J15" i="51"/>
  <c r="J14" i="51"/>
  <c r="J13" i="51"/>
  <c r="J12" i="51"/>
  <c r="M11" i="51"/>
  <c r="M12" i="51" s="1"/>
  <c r="M13" i="51" s="1"/>
  <c r="M14" i="51" s="1"/>
  <c r="M15" i="51" s="1"/>
  <c r="M16" i="51" s="1"/>
  <c r="M17" i="51" s="1"/>
  <c r="M18" i="51" s="1"/>
  <c r="M19" i="51" s="1"/>
  <c r="M20" i="51" s="1"/>
  <c r="M21" i="51" s="1"/>
  <c r="M22" i="51" s="1"/>
  <c r="M23" i="51" s="1"/>
  <c r="M24" i="51" s="1"/>
  <c r="M25" i="51" s="1"/>
  <c r="M26" i="51" s="1"/>
  <c r="M27" i="51" s="1"/>
  <c r="M28" i="51" s="1"/>
  <c r="M29" i="51" s="1"/>
  <c r="M30" i="51" s="1"/>
  <c r="M31" i="51" s="1"/>
  <c r="M32" i="51" s="1"/>
  <c r="M33" i="51" s="1"/>
  <c r="M34" i="51" s="1"/>
  <c r="M35" i="51" s="1"/>
  <c r="M36" i="51" s="1"/>
  <c r="M37" i="51" s="1"/>
  <c r="M38" i="51" s="1"/>
  <c r="M39" i="51" s="1"/>
  <c r="M40" i="51" s="1"/>
  <c r="M41" i="51" s="1"/>
  <c r="M42" i="51" s="1"/>
  <c r="M43" i="51" s="1"/>
  <c r="M44" i="51" s="1"/>
  <c r="M45" i="51" s="1"/>
  <c r="M46" i="51" s="1"/>
  <c r="M47" i="51" s="1"/>
  <c r="M48" i="51" s="1"/>
  <c r="M49" i="51" s="1"/>
  <c r="M50" i="51" s="1"/>
  <c r="M51" i="51" s="1"/>
  <c r="M52" i="51" s="1"/>
  <c r="M53" i="51" s="1"/>
  <c r="M54" i="51" s="1"/>
  <c r="M55" i="51" s="1"/>
  <c r="M56" i="51" s="1"/>
  <c r="M57" i="51" s="1"/>
  <c r="M58" i="51" s="1"/>
  <c r="M59" i="51" s="1"/>
  <c r="M60" i="51" s="1"/>
  <c r="M61" i="51" s="1"/>
  <c r="M62" i="51" s="1"/>
  <c r="M63" i="51" s="1"/>
  <c r="M64" i="51" s="1"/>
  <c r="M65" i="51" s="1"/>
  <c r="M66" i="51" s="1"/>
  <c r="M67" i="51" s="1"/>
  <c r="M68" i="51" s="1"/>
  <c r="M69" i="51" s="1"/>
  <c r="M70" i="51" s="1"/>
  <c r="M71" i="51" s="1"/>
  <c r="M72" i="51" s="1"/>
  <c r="M73" i="51" s="1"/>
  <c r="M74" i="51" s="1"/>
  <c r="M75" i="51" s="1"/>
  <c r="M76" i="51" s="1"/>
  <c r="M77" i="51" s="1"/>
  <c r="M78" i="51" s="1"/>
  <c r="M79" i="51" s="1"/>
  <c r="M80" i="51" s="1"/>
  <c r="M81" i="51" s="1"/>
  <c r="M82" i="51" s="1"/>
  <c r="M83" i="51" s="1"/>
  <c r="M84" i="51" s="1"/>
  <c r="M85" i="51" s="1"/>
  <c r="M86" i="51" s="1"/>
  <c r="M87" i="51" s="1"/>
  <c r="M88" i="51" s="1"/>
  <c r="M89" i="51" s="1"/>
  <c r="M90" i="51" s="1"/>
  <c r="M91" i="51" s="1"/>
  <c r="M92" i="51" s="1"/>
  <c r="M93" i="51" s="1"/>
  <c r="M94" i="51" s="1"/>
  <c r="M95" i="51" s="1"/>
  <c r="M96" i="51" s="1"/>
  <c r="M97" i="51" s="1"/>
  <c r="M98" i="51" s="1"/>
  <c r="M99" i="51" s="1"/>
  <c r="M100" i="51" s="1"/>
  <c r="M101" i="51" s="1"/>
  <c r="M102" i="51" s="1"/>
  <c r="M103" i="51" s="1"/>
  <c r="M104" i="51" s="1"/>
  <c r="M105" i="51" s="1"/>
  <c r="M106" i="51" s="1"/>
  <c r="M107" i="51" s="1"/>
  <c r="M108" i="51" s="1"/>
  <c r="M109" i="51" s="1"/>
  <c r="M110" i="51" s="1"/>
  <c r="M111" i="51" s="1"/>
  <c r="M112" i="51" s="1"/>
  <c r="M113" i="51" s="1"/>
  <c r="M114" i="51" s="1"/>
  <c r="M115" i="51" s="1"/>
  <c r="M116" i="51" s="1"/>
  <c r="M117" i="51" s="1"/>
  <c r="M118" i="51" s="1"/>
  <c r="M119" i="51" s="1"/>
  <c r="M120" i="51" s="1"/>
  <c r="M121" i="51" s="1"/>
  <c r="M122" i="51" s="1"/>
  <c r="M123" i="51" s="1"/>
  <c r="M124" i="51" s="1"/>
  <c r="M125" i="51" s="1"/>
  <c r="M126" i="51" s="1"/>
  <c r="M127" i="51" s="1"/>
  <c r="M128" i="51" s="1"/>
  <c r="M129" i="51" s="1"/>
  <c r="M130" i="51" s="1"/>
  <c r="M131" i="51" s="1"/>
  <c r="M132" i="51" s="1"/>
  <c r="M133" i="51" s="1"/>
  <c r="M134" i="51" s="1"/>
  <c r="M135" i="51" s="1"/>
  <c r="M136" i="51" s="1"/>
  <c r="M137" i="51" s="1"/>
  <c r="M138" i="51" s="1"/>
  <c r="M139" i="51" s="1"/>
  <c r="M140" i="51" s="1"/>
  <c r="M141" i="51" s="1"/>
  <c r="M142" i="51" s="1"/>
  <c r="M143" i="51" s="1"/>
  <c r="M144" i="51" s="1"/>
  <c r="M145" i="51" s="1"/>
  <c r="M146" i="51" s="1"/>
  <c r="M147" i="51" s="1"/>
  <c r="M148" i="51" s="1"/>
  <c r="M149" i="51" s="1"/>
  <c r="M150" i="51" s="1"/>
  <c r="M151" i="51" s="1"/>
  <c r="M152" i="51" s="1"/>
  <c r="M153" i="51" s="1"/>
  <c r="M154" i="51" s="1"/>
  <c r="M155" i="51" s="1"/>
  <c r="M156" i="51" s="1"/>
  <c r="M157" i="51" s="1"/>
  <c r="M158" i="51" s="1"/>
  <c r="M159" i="51" s="1"/>
  <c r="M160" i="51" s="1"/>
  <c r="M161" i="51" s="1"/>
  <c r="M162" i="51" s="1"/>
  <c r="M163" i="51" s="1"/>
  <c r="M164" i="51" s="1"/>
  <c r="M165" i="51" s="1"/>
  <c r="M166" i="51" s="1"/>
  <c r="M167" i="51" s="1"/>
  <c r="M168" i="51" s="1"/>
  <c r="M169" i="51" s="1"/>
  <c r="M170" i="51" s="1"/>
  <c r="M171" i="51" s="1"/>
  <c r="M172" i="51" s="1"/>
  <c r="M173" i="51" s="1"/>
  <c r="M174" i="51" s="1"/>
  <c r="M175" i="51" s="1"/>
  <c r="M176" i="51" s="1"/>
  <c r="M177" i="51" s="1"/>
  <c r="M178" i="51" s="1"/>
  <c r="M179" i="51" s="1"/>
  <c r="M180" i="51" s="1"/>
  <c r="M181" i="51" s="1"/>
  <c r="M182" i="51" s="1"/>
  <c r="M183" i="51" s="1"/>
  <c r="M184" i="51" s="1"/>
  <c r="M185" i="51" s="1"/>
  <c r="M186" i="51" s="1"/>
  <c r="M187" i="51" s="1"/>
  <c r="M188" i="51" s="1"/>
  <c r="M189" i="51" s="1"/>
  <c r="M190" i="51" s="1"/>
  <c r="L11" i="5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L36" i="51" s="1"/>
  <c r="L37" i="51" s="1"/>
  <c r="L38" i="51" s="1"/>
  <c r="L39" i="51" s="1"/>
  <c r="L40" i="51" s="1"/>
  <c r="L41" i="51" s="1"/>
  <c r="L42" i="51" s="1"/>
  <c r="L43" i="51" s="1"/>
  <c r="L44" i="51" s="1"/>
  <c r="L45" i="51" s="1"/>
  <c r="L46" i="51" s="1"/>
  <c r="L47" i="51" s="1"/>
  <c r="L48" i="51" s="1"/>
  <c r="L49" i="51" s="1"/>
  <c r="L50" i="51" s="1"/>
  <c r="L51" i="51" s="1"/>
  <c r="L52" i="51" s="1"/>
  <c r="L53" i="51" s="1"/>
  <c r="L54" i="51" s="1"/>
  <c r="L55" i="51" s="1"/>
  <c r="L56" i="51" s="1"/>
  <c r="L57" i="51" s="1"/>
  <c r="L58" i="51" s="1"/>
  <c r="L59" i="51" s="1"/>
  <c r="L60" i="51" s="1"/>
  <c r="L61" i="51" s="1"/>
  <c r="L62" i="51" s="1"/>
  <c r="L63" i="51" s="1"/>
  <c r="L64" i="51" s="1"/>
  <c r="L65" i="51" s="1"/>
  <c r="L66" i="51" s="1"/>
  <c r="L67" i="51" s="1"/>
  <c r="L68" i="51" s="1"/>
  <c r="L69" i="51" s="1"/>
  <c r="L70" i="51" s="1"/>
  <c r="L71" i="51" s="1"/>
  <c r="L72" i="51" s="1"/>
  <c r="L73" i="51" s="1"/>
  <c r="L74" i="51" s="1"/>
  <c r="L75" i="51" s="1"/>
  <c r="L76" i="51" s="1"/>
  <c r="L77" i="51" s="1"/>
  <c r="L78" i="51" s="1"/>
  <c r="L79" i="51" s="1"/>
  <c r="L80" i="51" s="1"/>
  <c r="L81" i="51" s="1"/>
  <c r="L82" i="51" s="1"/>
  <c r="L83" i="51" s="1"/>
  <c r="L84" i="51" s="1"/>
  <c r="L85" i="51" s="1"/>
  <c r="L86" i="51" s="1"/>
  <c r="L87" i="51" s="1"/>
  <c r="L88" i="51" s="1"/>
  <c r="L89" i="51" s="1"/>
  <c r="L90" i="51" s="1"/>
  <c r="L91" i="51" s="1"/>
  <c r="L92" i="51" s="1"/>
  <c r="L93" i="51" s="1"/>
  <c r="L94" i="51" s="1"/>
  <c r="L95" i="51" s="1"/>
  <c r="L96" i="51" s="1"/>
  <c r="L97" i="51" s="1"/>
  <c r="L98" i="51" s="1"/>
  <c r="L99" i="51" s="1"/>
  <c r="L100" i="51" s="1"/>
  <c r="L101" i="51" s="1"/>
  <c r="L102" i="51" s="1"/>
  <c r="L103" i="51" s="1"/>
  <c r="L104" i="51" s="1"/>
  <c r="L105" i="51" s="1"/>
  <c r="L106" i="51" s="1"/>
  <c r="L107" i="51" s="1"/>
  <c r="L108" i="51" s="1"/>
  <c r="L109" i="51" s="1"/>
  <c r="L110" i="51" s="1"/>
  <c r="L111" i="51" s="1"/>
  <c r="L112" i="51" s="1"/>
  <c r="L113" i="51" s="1"/>
  <c r="L114" i="51" s="1"/>
  <c r="L115" i="51" s="1"/>
  <c r="L116" i="51" s="1"/>
  <c r="L117" i="51" s="1"/>
  <c r="L118" i="51" s="1"/>
  <c r="L119" i="51" s="1"/>
  <c r="L120" i="51" s="1"/>
  <c r="L121" i="51" s="1"/>
  <c r="L122" i="51" s="1"/>
  <c r="L123" i="51" s="1"/>
  <c r="L124" i="51" s="1"/>
  <c r="L125" i="51" s="1"/>
  <c r="L126" i="51" s="1"/>
  <c r="L127" i="51" s="1"/>
  <c r="L128" i="51" s="1"/>
  <c r="L129" i="51" s="1"/>
  <c r="L130" i="51" s="1"/>
  <c r="L131" i="51" s="1"/>
  <c r="L132" i="51" s="1"/>
  <c r="L133" i="51" s="1"/>
  <c r="L134" i="51" s="1"/>
  <c r="L135" i="51" s="1"/>
  <c r="L136" i="51" s="1"/>
  <c r="L137" i="51" s="1"/>
  <c r="L138" i="51" s="1"/>
  <c r="L139" i="51" s="1"/>
  <c r="L140" i="51" s="1"/>
  <c r="L141" i="51" s="1"/>
  <c r="L142" i="51" s="1"/>
  <c r="L143" i="51" s="1"/>
  <c r="L144" i="51" s="1"/>
  <c r="L145" i="51" s="1"/>
  <c r="L146" i="51" s="1"/>
  <c r="L147" i="51" s="1"/>
  <c r="L148" i="51" s="1"/>
  <c r="L149" i="51" s="1"/>
  <c r="L150" i="51" s="1"/>
  <c r="L151" i="51" s="1"/>
  <c r="L152" i="51" s="1"/>
  <c r="L153" i="51" s="1"/>
  <c r="L154" i="51" s="1"/>
  <c r="L155" i="51" s="1"/>
  <c r="L156" i="51" s="1"/>
  <c r="L157" i="51" s="1"/>
  <c r="L158" i="51" s="1"/>
  <c r="L159" i="51" s="1"/>
  <c r="L160" i="51" s="1"/>
  <c r="L161" i="51" s="1"/>
  <c r="L162" i="51" s="1"/>
  <c r="L163" i="51" s="1"/>
  <c r="L164" i="51" s="1"/>
  <c r="L165" i="51" s="1"/>
  <c r="L166" i="51" s="1"/>
  <c r="L167" i="51" s="1"/>
  <c r="L168" i="51" s="1"/>
  <c r="L169" i="51" s="1"/>
  <c r="L170" i="51" s="1"/>
  <c r="L171" i="51" s="1"/>
  <c r="L172" i="51" s="1"/>
  <c r="L173" i="51" s="1"/>
  <c r="L174" i="51" s="1"/>
  <c r="L175" i="51" s="1"/>
  <c r="L176" i="51" s="1"/>
  <c r="L177" i="51" s="1"/>
  <c r="L178" i="51" s="1"/>
  <c r="L179" i="51" s="1"/>
  <c r="L180" i="51" s="1"/>
  <c r="L181" i="51" s="1"/>
  <c r="L182" i="51" s="1"/>
  <c r="L183" i="51" s="1"/>
  <c r="L184" i="51" s="1"/>
  <c r="L185" i="51" s="1"/>
  <c r="L186" i="51" s="1"/>
  <c r="L187" i="51" s="1"/>
  <c r="L188" i="51" s="1"/>
  <c r="L189" i="51" s="1"/>
  <c r="L190" i="51" s="1"/>
  <c r="J11" i="51"/>
  <c r="I11" i="51"/>
  <c r="I12" i="51" s="1"/>
  <c r="I13" i="51" s="1"/>
  <c r="I14" i="51" s="1"/>
  <c r="I15" i="51" s="1"/>
  <c r="I16" i="51" s="1"/>
  <c r="I17" i="51" s="1"/>
  <c r="I18" i="51" s="1"/>
  <c r="I19" i="51" s="1"/>
  <c r="I20" i="51" s="1"/>
  <c r="I21" i="51" s="1"/>
  <c r="I22" i="51" s="1"/>
  <c r="I23" i="51" s="1"/>
  <c r="I24" i="51" s="1"/>
  <c r="I25" i="51" s="1"/>
  <c r="I26" i="51" s="1"/>
  <c r="I27" i="51" s="1"/>
  <c r="I28" i="51" s="1"/>
  <c r="I29" i="51" s="1"/>
  <c r="I30" i="51" s="1"/>
  <c r="I31" i="51" s="1"/>
  <c r="I32" i="51" s="1"/>
  <c r="I33" i="51" s="1"/>
  <c r="I34" i="51" s="1"/>
  <c r="I35" i="51" s="1"/>
  <c r="I36" i="51" s="1"/>
  <c r="I37" i="51" s="1"/>
  <c r="I38" i="51" s="1"/>
  <c r="I39" i="51" s="1"/>
  <c r="I40" i="51" s="1"/>
  <c r="I41" i="51" s="1"/>
  <c r="I42" i="51" s="1"/>
  <c r="I43" i="51" s="1"/>
  <c r="I44" i="51" s="1"/>
  <c r="I45" i="51" s="1"/>
  <c r="I46" i="51" s="1"/>
  <c r="I47" i="51" s="1"/>
  <c r="I48" i="51" s="1"/>
  <c r="I49" i="51" s="1"/>
  <c r="I50" i="51" s="1"/>
  <c r="I51" i="51" s="1"/>
  <c r="I52" i="51" s="1"/>
  <c r="I53" i="51" s="1"/>
  <c r="I54" i="51" s="1"/>
  <c r="I55" i="51" s="1"/>
  <c r="I56" i="51" s="1"/>
  <c r="I57" i="51" s="1"/>
  <c r="I58" i="51" s="1"/>
  <c r="I59" i="51" s="1"/>
  <c r="I60" i="51" s="1"/>
  <c r="I61" i="51" s="1"/>
  <c r="I62" i="51" s="1"/>
  <c r="I63" i="51" s="1"/>
  <c r="I64" i="51" s="1"/>
  <c r="I65" i="51" s="1"/>
  <c r="I66" i="51" s="1"/>
  <c r="I67" i="51" s="1"/>
  <c r="I68" i="51" s="1"/>
  <c r="I69" i="51" s="1"/>
  <c r="I70" i="51" s="1"/>
  <c r="I71" i="51" s="1"/>
  <c r="I72" i="51" s="1"/>
  <c r="I73" i="51" s="1"/>
  <c r="I74" i="51" s="1"/>
  <c r="I75" i="51" s="1"/>
  <c r="I76" i="51" s="1"/>
  <c r="I77" i="51" s="1"/>
  <c r="I78" i="51" s="1"/>
  <c r="I79" i="51" s="1"/>
  <c r="I80" i="51" s="1"/>
  <c r="I81" i="51" s="1"/>
  <c r="I82" i="51" s="1"/>
  <c r="I83" i="51" s="1"/>
  <c r="I84" i="51" s="1"/>
  <c r="I85" i="51" s="1"/>
  <c r="I86" i="51" s="1"/>
  <c r="I87" i="51" s="1"/>
  <c r="I88" i="51" s="1"/>
  <c r="I89" i="51" s="1"/>
  <c r="I90" i="51" s="1"/>
  <c r="I91" i="51" s="1"/>
  <c r="I92" i="51" s="1"/>
  <c r="I93" i="51" s="1"/>
  <c r="I94" i="51" s="1"/>
  <c r="I95" i="51" s="1"/>
  <c r="I96" i="51" s="1"/>
  <c r="I97" i="51" s="1"/>
  <c r="I98" i="51" s="1"/>
  <c r="I99" i="51" s="1"/>
  <c r="I100" i="51" s="1"/>
  <c r="I101" i="51" s="1"/>
  <c r="I102" i="51" s="1"/>
  <c r="I103" i="51" s="1"/>
  <c r="I104" i="51" s="1"/>
  <c r="I105" i="51" s="1"/>
  <c r="I106" i="51" s="1"/>
  <c r="I107" i="51" s="1"/>
  <c r="I108" i="51" s="1"/>
  <c r="I109" i="51" s="1"/>
  <c r="I110" i="51" s="1"/>
  <c r="I111" i="51" s="1"/>
  <c r="I112" i="51" s="1"/>
  <c r="I113" i="51" s="1"/>
  <c r="I114" i="51" s="1"/>
  <c r="I115" i="51" s="1"/>
  <c r="I116" i="51" s="1"/>
  <c r="I117" i="51" s="1"/>
  <c r="I118" i="51" s="1"/>
  <c r="I119" i="51" s="1"/>
  <c r="I120" i="51" s="1"/>
  <c r="I121" i="51" s="1"/>
  <c r="I122" i="51" s="1"/>
  <c r="I123" i="51" s="1"/>
  <c r="I124" i="51" s="1"/>
  <c r="I125" i="51" s="1"/>
  <c r="I126" i="51" s="1"/>
  <c r="I127" i="51" s="1"/>
  <c r="I128" i="51" s="1"/>
  <c r="I129" i="51" s="1"/>
  <c r="I130" i="51" s="1"/>
  <c r="I131" i="51" s="1"/>
  <c r="I132" i="51" s="1"/>
  <c r="I133" i="51" s="1"/>
  <c r="I134" i="51" s="1"/>
  <c r="I135" i="51" s="1"/>
  <c r="I136" i="51" s="1"/>
  <c r="I137" i="51" s="1"/>
  <c r="I138" i="51" s="1"/>
  <c r="I139" i="51" s="1"/>
  <c r="I140" i="51" s="1"/>
  <c r="I141" i="51" s="1"/>
  <c r="I142" i="51" s="1"/>
  <c r="I143" i="51" s="1"/>
  <c r="I144" i="51" s="1"/>
  <c r="I145" i="51" s="1"/>
  <c r="I146" i="51" s="1"/>
  <c r="I147" i="51" s="1"/>
  <c r="I148" i="51" s="1"/>
  <c r="I149" i="51" s="1"/>
  <c r="I150" i="51" s="1"/>
  <c r="I151" i="51" s="1"/>
  <c r="I152" i="51" s="1"/>
  <c r="I153" i="51" s="1"/>
  <c r="I154" i="51" s="1"/>
  <c r="I155" i="51" s="1"/>
  <c r="I156" i="51" s="1"/>
  <c r="I157" i="51" s="1"/>
  <c r="I158" i="51" s="1"/>
  <c r="I159" i="51" s="1"/>
  <c r="I160" i="51" s="1"/>
  <c r="I161" i="51" s="1"/>
  <c r="I162" i="51" s="1"/>
  <c r="I163" i="51" s="1"/>
  <c r="I164" i="51" s="1"/>
  <c r="I165" i="51" s="1"/>
  <c r="I166" i="51" s="1"/>
  <c r="I167" i="51" s="1"/>
  <c r="I168" i="51" s="1"/>
  <c r="I169" i="51" s="1"/>
  <c r="I170" i="51" s="1"/>
  <c r="I171" i="51" s="1"/>
  <c r="I172" i="51" s="1"/>
  <c r="I173" i="51" s="1"/>
  <c r="I174" i="51" s="1"/>
  <c r="I175" i="51" s="1"/>
  <c r="I176" i="51" s="1"/>
  <c r="I177" i="51" s="1"/>
  <c r="I178" i="51" s="1"/>
  <c r="I179" i="51" s="1"/>
  <c r="I180" i="51" s="1"/>
  <c r="I181" i="51" s="1"/>
  <c r="I182" i="51" s="1"/>
  <c r="I183" i="51" s="1"/>
  <c r="I184" i="51" s="1"/>
  <c r="I185" i="51" s="1"/>
  <c r="I186" i="51" s="1"/>
  <c r="I187" i="51" s="1"/>
  <c r="I188" i="51" s="1"/>
  <c r="I189" i="51" s="1"/>
  <c r="I190" i="51" s="1"/>
  <c r="B12" i="51"/>
  <c r="B13" i="51" s="1"/>
  <c r="B14" i="51" s="1"/>
  <c r="B15" i="51" s="1"/>
  <c r="B16" i="51" s="1"/>
  <c r="B17" i="51" s="1"/>
  <c r="B18" i="51" s="1"/>
  <c r="B19" i="51" s="1"/>
  <c r="B20" i="51" s="1"/>
  <c r="B21" i="51" s="1"/>
  <c r="B22" i="51" s="1"/>
  <c r="B23" i="51" s="1"/>
  <c r="B24" i="51" s="1"/>
  <c r="B25" i="51" s="1"/>
  <c r="B26" i="51" s="1"/>
  <c r="B27" i="51" s="1"/>
  <c r="B28" i="51" s="1"/>
  <c r="B29" i="51" s="1"/>
  <c r="B30" i="51" s="1"/>
  <c r="B31" i="51" s="1"/>
  <c r="B32" i="51" s="1"/>
  <c r="B33" i="51" s="1"/>
  <c r="B34" i="51" s="1"/>
  <c r="B35" i="51" s="1"/>
  <c r="B36" i="51" s="1"/>
  <c r="B37" i="51" s="1"/>
  <c r="B38" i="51" s="1"/>
  <c r="B39" i="51" s="1"/>
  <c r="B40" i="51" s="1"/>
  <c r="B41" i="51" s="1"/>
  <c r="B42" i="51" s="1"/>
  <c r="B43" i="51" s="1"/>
  <c r="B44" i="51" s="1"/>
  <c r="B45" i="51" s="1"/>
  <c r="B46" i="51" s="1"/>
  <c r="B47" i="51" s="1"/>
  <c r="B48" i="51" s="1"/>
  <c r="B49" i="51" s="1"/>
  <c r="B50" i="51" s="1"/>
  <c r="B51" i="51" s="1"/>
  <c r="B52" i="51" s="1"/>
  <c r="B53" i="51" s="1"/>
  <c r="B54" i="51" s="1"/>
  <c r="B55" i="51" s="1"/>
  <c r="B56" i="51" s="1"/>
  <c r="B57" i="51" s="1"/>
  <c r="B58" i="51" s="1"/>
  <c r="B59" i="51" s="1"/>
  <c r="B60" i="51" s="1"/>
  <c r="B61" i="51" s="1"/>
  <c r="B62" i="51" s="1"/>
  <c r="B63" i="51" s="1"/>
  <c r="B64" i="51" s="1"/>
  <c r="B65" i="51" s="1"/>
  <c r="B66" i="51" s="1"/>
  <c r="B67" i="51" s="1"/>
  <c r="B68" i="51" s="1"/>
  <c r="B69" i="51" s="1"/>
  <c r="B70" i="51" s="1"/>
  <c r="B71" i="51" s="1"/>
  <c r="B72" i="51" s="1"/>
  <c r="B73" i="51" s="1"/>
  <c r="B74" i="51" s="1"/>
  <c r="B75" i="51" s="1"/>
  <c r="B76" i="51" s="1"/>
  <c r="B77" i="51" s="1"/>
  <c r="B78" i="51" s="1"/>
  <c r="B79" i="51" s="1"/>
  <c r="B80" i="51" s="1"/>
  <c r="B81" i="51" s="1"/>
  <c r="B82" i="51" s="1"/>
  <c r="B83" i="51" s="1"/>
  <c r="B84" i="51" s="1"/>
  <c r="B85" i="51" s="1"/>
  <c r="B86" i="51" s="1"/>
  <c r="B87" i="51" s="1"/>
  <c r="B88" i="51" s="1"/>
  <c r="B89" i="51" s="1"/>
  <c r="B90" i="51" s="1"/>
  <c r="B91" i="51" s="1"/>
  <c r="B92" i="51" s="1"/>
  <c r="B93" i="51" s="1"/>
  <c r="B94" i="51" s="1"/>
  <c r="B95" i="51" s="1"/>
  <c r="B96" i="51" s="1"/>
  <c r="B97" i="51" s="1"/>
  <c r="B98" i="51" s="1"/>
  <c r="B99" i="51" s="1"/>
  <c r="B100" i="51" s="1"/>
  <c r="B101" i="51" s="1"/>
  <c r="B102" i="51" s="1"/>
  <c r="B103" i="51" s="1"/>
  <c r="B104" i="51" s="1"/>
  <c r="B105" i="51" s="1"/>
  <c r="B106" i="51" s="1"/>
  <c r="B107" i="51" s="1"/>
  <c r="B108" i="51" s="1"/>
  <c r="B109" i="51" s="1"/>
  <c r="B110" i="51" s="1"/>
  <c r="B111" i="51" s="1"/>
  <c r="B112" i="51" s="1"/>
  <c r="B113" i="51" s="1"/>
  <c r="B114" i="51" s="1"/>
  <c r="B115" i="51" s="1"/>
  <c r="B116" i="51" s="1"/>
  <c r="B117" i="51" s="1"/>
  <c r="B118" i="51" s="1"/>
  <c r="B119" i="51" s="1"/>
  <c r="B120" i="51" s="1"/>
  <c r="B121" i="51" s="1"/>
  <c r="B122" i="51" s="1"/>
  <c r="B123" i="51" s="1"/>
  <c r="B124" i="51" s="1"/>
  <c r="B125" i="51" s="1"/>
  <c r="B126" i="51" s="1"/>
  <c r="B127" i="51" s="1"/>
  <c r="B128" i="51" s="1"/>
  <c r="B129" i="51" s="1"/>
  <c r="B130" i="51" s="1"/>
  <c r="B131" i="51" s="1"/>
  <c r="B132" i="51" s="1"/>
  <c r="B133" i="51" s="1"/>
  <c r="B134" i="51" s="1"/>
  <c r="B135" i="51" s="1"/>
  <c r="B136" i="51" s="1"/>
  <c r="B137" i="51" s="1"/>
  <c r="B138" i="51" s="1"/>
  <c r="B139" i="51" s="1"/>
  <c r="B140" i="51" s="1"/>
  <c r="B141" i="51" s="1"/>
  <c r="B142" i="51" s="1"/>
  <c r="B143" i="51" s="1"/>
  <c r="B144" i="51" s="1"/>
  <c r="B145" i="51" s="1"/>
  <c r="B146" i="51" s="1"/>
  <c r="B147" i="51" s="1"/>
  <c r="B148" i="51" s="1"/>
  <c r="B149" i="51" s="1"/>
  <c r="B150" i="51" s="1"/>
  <c r="B151" i="51" s="1"/>
  <c r="B152" i="51" s="1"/>
  <c r="B153" i="51" s="1"/>
  <c r="B154" i="51" s="1"/>
  <c r="B155" i="51" s="1"/>
  <c r="B156" i="51" s="1"/>
  <c r="B157" i="51" s="1"/>
  <c r="B158" i="51" s="1"/>
  <c r="B159" i="51" s="1"/>
  <c r="B160" i="51" s="1"/>
  <c r="B161" i="51" s="1"/>
  <c r="B162" i="51" s="1"/>
  <c r="B163" i="51" s="1"/>
  <c r="B164" i="51" s="1"/>
  <c r="B165" i="51" s="1"/>
  <c r="B166" i="51" s="1"/>
  <c r="B167" i="51" s="1"/>
  <c r="B168" i="51" s="1"/>
  <c r="B169" i="51" s="1"/>
  <c r="B170" i="51" s="1"/>
  <c r="B171" i="51" s="1"/>
  <c r="B172" i="51" s="1"/>
  <c r="B173" i="51" s="1"/>
  <c r="B174" i="51" s="1"/>
  <c r="B175" i="51" s="1"/>
  <c r="B176" i="51" s="1"/>
  <c r="B177" i="51" s="1"/>
  <c r="B178" i="51" s="1"/>
  <c r="B179" i="51" s="1"/>
  <c r="B180" i="51" s="1"/>
  <c r="B181" i="51" s="1"/>
  <c r="B182" i="51" s="1"/>
  <c r="B183" i="51" s="1"/>
  <c r="B184" i="51" s="1"/>
  <c r="B185" i="51" s="1"/>
  <c r="B186" i="51" s="1"/>
  <c r="B187" i="51" s="1"/>
  <c r="B188" i="51" s="1"/>
  <c r="B189" i="51" s="1"/>
  <c r="B190" i="51" s="1"/>
  <c r="B10" i="51"/>
  <c r="B12" i="50"/>
  <c r="B13" i="50" s="1"/>
  <c r="B14" i="50" s="1"/>
  <c r="B15" i="50" s="1"/>
  <c r="B16" i="50" s="1"/>
  <c r="B17" i="50" s="1"/>
  <c r="B18" i="50" s="1"/>
  <c r="B19" i="50" s="1"/>
  <c r="B20" i="50" s="1"/>
  <c r="B21" i="50" s="1"/>
  <c r="B22" i="50" s="1"/>
  <c r="B23" i="50" s="1"/>
  <c r="B24" i="50" s="1"/>
  <c r="B25" i="50" s="1"/>
  <c r="B26" i="50" s="1"/>
  <c r="B27" i="50" s="1"/>
  <c r="B28" i="50" s="1"/>
  <c r="B29" i="50" s="1"/>
  <c r="B30" i="50" s="1"/>
  <c r="B31" i="50" s="1"/>
  <c r="B32" i="50" s="1"/>
  <c r="B33" i="50" s="1"/>
  <c r="B34" i="50" s="1"/>
  <c r="B35" i="50" s="1"/>
  <c r="B36" i="50" s="1"/>
  <c r="B37" i="50" s="1"/>
  <c r="B38" i="50" s="1"/>
  <c r="B39" i="50" s="1"/>
  <c r="B40" i="50" s="1"/>
  <c r="B41" i="50" s="1"/>
  <c r="B42" i="50" s="1"/>
  <c r="B43" i="50" s="1"/>
  <c r="B44" i="50" s="1"/>
  <c r="B45" i="50" s="1"/>
  <c r="B46" i="50" s="1"/>
  <c r="B47" i="50" s="1"/>
  <c r="B48" i="50" s="1"/>
  <c r="B49" i="50" s="1"/>
  <c r="B50" i="50" s="1"/>
  <c r="B51" i="50" s="1"/>
  <c r="B52" i="50" s="1"/>
  <c r="B53" i="50" s="1"/>
  <c r="B54" i="50" s="1"/>
  <c r="B55" i="50" s="1"/>
  <c r="B56" i="50" s="1"/>
  <c r="B57" i="50" s="1"/>
  <c r="B58" i="50" s="1"/>
  <c r="O11" i="50"/>
  <c r="P11" i="50" s="1"/>
  <c r="L11" i="50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36" i="50" s="1"/>
  <c r="L37" i="50" s="1"/>
  <c r="L38" i="50" s="1"/>
  <c r="L39" i="50" s="1"/>
  <c r="L40" i="50" s="1"/>
  <c r="L41" i="50" s="1"/>
  <c r="L42" i="50" s="1"/>
  <c r="L43" i="50" s="1"/>
  <c r="L44" i="50" s="1"/>
  <c r="L45" i="50" s="1"/>
  <c r="L46" i="50" s="1"/>
  <c r="L47" i="50" s="1"/>
  <c r="L48" i="50" s="1"/>
  <c r="L49" i="50" s="1"/>
  <c r="L50" i="50" s="1"/>
  <c r="L51" i="50" s="1"/>
  <c r="L52" i="50" s="1"/>
  <c r="L53" i="50" s="1"/>
  <c r="L54" i="50" s="1"/>
  <c r="L55" i="50" s="1"/>
  <c r="L56" i="50" s="1"/>
  <c r="L57" i="50" s="1"/>
  <c r="L58" i="50" s="1"/>
  <c r="J12" i="50"/>
  <c r="J13" i="50" s="1"/>
  <c r="J14" i="50" s="1"/>
  <c r="J15" i="50" s="1"/>
  <c r="J16" i="50" s="1"/>
  <c r="J17" i="50" s="1"/>
  <c r="J18" i="50" s="1"/>
  <c r="J19" i="50" s="1"/>
  <c r="J20" i="50" s="1"/>
  <c r="J21" i="50" s="1"/>
  <c r="J22" i="50" s="1"/>
  <c r="J23" i="50" s="1"/>
  <c r="I11" i="50"/>
  <c r="I12" i="50" s="1"/>
  <c r="I13" i="50" s="1"/>
  <c r="I14" i="50" s="1"/>
  <c r="I15" i="50" s="1"/>
  <c r="I16" i="50" s="1"/>
  <c r="I17" i="50" s="1"/>
  <c r="I18" i="50" s="1"/>
  <c r="I19" i="50" s="1"/>
  <c r="I20" i="50" s="1"/>
  <c r="I21" i="50" s="1"/>
  <c r="I22" i="50" s="1"/>
  <c r="I23" i="50" s="1"/>
  <c r="I24" i="50" s="1"/>
  <c r="I25" i="50" s="1"/>
  <c r="I26" i="50" s="1"/>
  <c r="I27" i="50" s="1"/>
  <c r="I28" i="50" s="1"/>
  <c r="I29" i="50" s="1"/>
  <c r="I30" i="50" s="1"/>
  <c r="I31" i="50" s="1"/>
  <c r="I32" i="50" s="1"/>
  <c r="I33" i="50" s="1"/>
  <c r="I34" i="50" s="1"/>
  <c r="I35" i="50" s="1"/>
  <c r="I36" i="50" s="1"/>
  <c r="I37" i="50" s="1"/>
  <c r="I38" i="50" s="1"/>
  <c r="I39" i="50" s="1"/>
  <c r="I40" i="50" s="1"/>
  <c r="I41" i="50" s="1"/>
  <c r="I42" i="50" s="1"/>
  <c r="I43" i="50" s="1"/>
  <c r="I44" i="50" s="1"/>
  <c r="I45" i="50" s="1"/>
  <c r="I46" i="50" s="1"/>
  <c r="I47" i="50" s="1"/>
  <c r="I48" i="50" s="1"/>
  <c r="I49" i="50" s="1"/>
  <c r="I50" i="50" s="1"/>
  <c r="I51" i="50" s="1"/>
  <c r="I52" i="50" s="1"/>
  <c r="I53" i="50" s="1"/>
  <c r="I54" i="50" s="1"/>
  <c r="I55" i="50" s="1"/>
  <c r="I56" i="50" s="1"/>
  <c r="I57" i="50" s="1"/>
  <c r="I58" i="50" s="1"/>
  <c r="B10" i="50"/>
  <c r="D35" i="49"/>
  <c r="D23" i="49"/>
  <c r="N12" i="49"/>
  <c r="N13" i="49" s="1"/>
  <c r="J11" i="49"/>
  <c r="E11" i="49"/>
  <c r="E12" i="49" s="1"/>
  <c r="E13" i="49" s="1"/>
  <c r="E14" i="49" s="1"/>
  <c r="E15" i="49" s="1"/>
  <c r="E16" i="49" s="1"/>
  <c r="E17" i="49" s="1"/>
  <c r="E18" i="49" s="1"/>
  <c r="E19" i="49" s="1"/>
  <c r="E20" i="49" s="1"/>
  <c r="E21" i="49" s="1"/>
  <c r="E22" i="49" s="1"/>
  <c r="E23" i="49" s="1"/>
  <c r="E24" i="49" s="1"/>
  <c r="E25" i="49" s="1"/>
  <c r="E26" i="49" s="1"/>
  <c r="E27" i="49" s="1"/>
  <c r="E28" i="49" s="1"/>
  <c r="E29" i="49" s="1"/>
  <c r="E30" i="49" s="1"/>
  <c r="E31" i="49" s="1"/>
  <c r="E32" i="49" s="1"/>
  <c r="E33" i="49" s="1"/>
  <c r="E34" i="49" s="1"/>
  <c r="E35" i="49" s="1"/>
  <c r="E36" i="49" s="1"/>
  <c r="E37" i="49" s="1"/>
  <c r="E38" i="49" s="1"/>
  <c r="E39" i="49" s="1"/>
  <c r="E40" i="49" s="1"/>
  <c r="E41" i="49" s="1"/>
  <c r="E42" i="49" s="1"/>
  <c r="E43" i="49" s="1"/>
  <c r="E44" i="49" s="1"/>
  <c r="E45" i="49" s="1"/>
  <c r="E46" i="49" s="1"/>
  <c r="D12" i="49"/>
  <c r="B10" i="49"/>
  <c r="R12" i="48"/>
  <c r="T12" i="48" s="1"/>
  <c r="R13" i="48"/>
  <c r="T13" i="48" s="1"/>
  <c r="R14" i="48"/>
  <c r="T14" i="48" s="1"/>
  <c r="R15" i="48"/>
  <c r="T15" i="48" s="1"/>
  <c r="R16" i="48"/>
  <c r="R17" i="48"/>
  <c r="R18" i="48"/>
  <c r="R19" i="48"/>
  <c r="R20" i="48"/>
  <c r="R21" i="48"/>
  <c r="R22" i="48"/>
  <c r="R23" i="48" s="1"/>
  <c r="S23" i="48" s="1"/>
  <c r="R11" i="48"/>
  <c r="E18" i="48"/>
  <c r="F18" i="48" s="1"/>
  <c r="E20" i="48"/>
  <c r="F20" i="48" s="1"/>
  <c r="H20" i="48" s="1"/>
  <c r="E22" i="48"/>
  <c r="F22" i="48" s="1"/>
  <c r="K12" i="48"/>
  <c r="C12" i="48" s="1"/>
  <c r="B12" i="48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B28" i="48" s="1"/>
  <c r="B29" i="48" s="1"/>
  <c r="B30" i="48" s="1"/>
  <c r="B31" i="48" s="1"/>
  <c r="B32" i="48" s="1"/>
  <c r="B33" i="48" s="1"/>
  <c r="B34" i="48" s="1"/>
  <c r="B35" i="48" s="1"/>
  <c r="B36" i="48" s="1"/>
  <c r="B37" i="48" s="1"/>
  <c r="B38" i="48" s="1"/>
  <c r="B39" i="48" s="1"/>
  <c r="B40" i="48" s="1"/>
  <c r="B41" i="48" s="1"/>
  <c r="B42" i="48" s="1"/>
  <c r="B43" i="48" s="1"/>
  <c r="B44" i="48" s="1"/>
  <c r="B45" i="48" s="1"/>
  <c r="B46" i="48" s="1"/>
  <c r="B47" i="48" s="1"/>
  <c r="B48" i="48" s="1"/>
  <c r="B49" i="48" s="1"/>
  <c r="B50" i="48" s="1"/>
  <c r="B51" i="48" s="1"/>
  <c r="B52" i="48" s="1"/>
  <c r="B53" i="48" s="1"/>
  <c r="B54" i="48" s="1"/>
  <c r="B55" i="48" s="1"/>
  <c r="B56" i="48" s="1"/>
  <c r="B57" i="48" s="1"/>
  <c r="B58" i="48" s="1"/>
  <c r="B59" i="48" s="1"/>
  <c r="B60" i="48" s="1"/>
  <c r="B61" i="48" s="1"/>
  <c r="B62" i="48" s="1"/>
  <c r="B63" i="48" s="1"/>
  <c r="B64" i="48" s="1"/>
  <c r="B65" i="48" s="1"/>
  <c r="B66" i="48" s="1"/>
  <c r="B67" i="48" s="1"/>
  <c r="B68" i="48" s="1"/>
  <c r="B69" i="48" s="1"/>
  <c r="B70" i="48" s="1"/>
  <c r="B71" i="48" s="1"/>
  <c r="B72" i="48" s="1"/>
  <c r="B73" i="48" s="1"/>
  <c r="B74" i="48" s="1"/>
  <c r="B75" i="48" s="1"/>
  <c r="B76" i="48" s="1"/>
  <c r="B77" i="48" s="1"/>
  <c r="B78" i="48" s="1"/>
  <c r="B79" i="48" s="1"/>
  <c r="B80" i="48" s="1"/>
  <c r="B81" i="48" s="1"/>
  <c r="B82" i="48" s="1"/>
  <c r="B83" i="48" s="1"/>
  <c r="B84" i="48" s="1"/>
  <c r="B85" i="48" s="1"/>
  <c r="B86" i="48" s="1"/>
  <c r="B87" i="48" s="1"/>
  <c r="B88" i="48" s="1"/>
  <c r="B89" i="48" s="1"/>
  <c r="B90" i="48" s="1"/>
  <c r="B91" i="48" s="1"/>
  <c r="B92" i="48" s="1"/>
  <c r="B93" i="48" s="1"/>
  <c r="B94" i="48" s="1"/>
  <c r="B95" i="48" s="1"/>
  <c r="B96" i="48" s="1"/>
  <c r="B97" i="48" s="1"/>
  <c r="B98" i="48" s="1"/>
  <c r="B99" i="48" s="1"/>
  <c r="B100" i="48" s="1"/>
  <c r="B101" i="48" s="1"/>
  <c r="B102" i="48" s="1"/>
  <c r="B103" i="48" s="1"/>
  <c r="B104" i="48" s="1"/>
  <c r="B105" i="48" s="1"/>
  <c r="B106" i="48" s="1"/>
  <c r="B107" i="48" s="1"/>
  <c r="B108" i="48" s="1"/>
  <c r="B109" i="48" s="1"/>
  <c r="B110" i="48" s="1"/>
  <c r="B111" i="48" s="1"/>
  <c r="B112" i="48" s="1"/>
  <c r="B113" i="48" s="1"/>
  <c r="B114" i="48" s="1"/>
  <c r="B115" i="48" s="1"/>
  <c r="B116" i="48" s="1"/>
  <c r="B117" i="48" s="1"/>
  <c r="B118" i="48" s="1"/>
  <c r="B119" i="48" s="1"/>
  <c r="B120" i="48" s="1"/>
  <c r="B121" i="48" s="1"/>
  <c r="B122" i="48" s="1"/>
  <c r="B123" i="48" s="1"/>
  <c r="B124" i="48" s="1"/>
  <c r="B125" i="48" s="1"/>
  <c r="B126" i="48" s="1"/>
  <c r="B127" i="48" s="1"/>
  <c r="B128" i="48" s="1"/>
  <c r="B129" i="48" s="1"/>
  <c r="B130" i="48" s="1"/>
  <c r="B131" i="48" s="1"/>
  <c r="B132" i="48" s="1"/>
  <c r="B133" i="48" s="1"/>
  <c r="B134" i="48" s="1"/>
  <c r="B135" i="48" s="1"/>
  <c r="B136" i="48" s="1"/>
  <c r="B137" i="48" s="1"/>
  <c r="B138" i="48" s="1"/>
  <c r="B139" i="48" s="1"/>
  <c r="B140" i="48" s="1"/>
  <c r="B141" i="48" s="1"/>
  <c r="B142" i="48" s="1"/>
  <c r="B143" i="48" s="1"/>
  <c r="B144" i="48" s="1"/>
  <c r="B145" i="48" s="1"/>
  <c r="B146" i="48" s="1"/>
  <c r="B147" i="48" s="1"/>
  <c r="B148" i="48" s="1"/>
  <c r="B149" i="48" s="1"/>
  <c r="B150" i="48" s="1"/>
  <c r="B151" i="48" s="1"/>
  <c r="B152" i="48" s="1"/>
  <c r="B153" i="48" s="1"/>
  <c r="B154" i="48" s="1"/>
  <c r="N11" i="48"/>
  <c r="P11" i="48" s="1"/>
  <c r="L11" i="48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I11" i="48"/>
  <c r="I12" i="48" s="1"/>
  <c r="I13" i="48" s="1"/>
  <c r="I14" i="48" s="1"/>
  <c r="I15" i="48" s="1"/>
  <c r="I16" i="48" s="1"/>
  <c r="I17" i="48" s="1"/>
  <c r="I18" i="48" s="1"/>
  <c r="I19" i="48" s="1"/>
  <c r="I20" i="48" s="1"/>
  <c r="I21" i="48" s="1"/>
  <c r="I22" i="48" s="1"/>
  <c r="B10" i="48"/>
  <c r="C123" i="1"/>
  <c r="M187" i="47"/>
  <c r="M171" i="47"/>
  <c r="M155" i="47"/>
  <c r="C155" i="47" s="1"/>
  <c r="M139" i="47"/>
  <c r="M140" i="47" s="1"/>
  <c r="M141" i="47" s="1"/>
  <c r="M142" i="47" s="1"/>
  <c r="M143" i="47" s="1"/>
  <c r="M144" i="47" s="1"/>
  <c r="M145" i="47" s="1"/>
  <c r="M146" i="47" s="1"/>
  <c r="M147" i="47" s="1"/>
  <c r="M148" i="47" s="1"/>
  <c r="M149" i="47" s="1"/>
  <c r="M150" i="47" s="1"/>
  <c r="M151" i="47" s="1"/>
  <c r="M152" i="47" s="1"/>
  <c r="M153" i="47" s="1"/>
  <c r="M154" i="47" s="1"/>
  <c r="M123" i="47"/>
  <c r="M124" i="47" s="1"/>
  <c r="M125" i="47" s="1"/>
  <c r="M126" i="47" s="1"/>
  <c r="M127" i="47" s="1"/>
  <c r="M128" i="47" s="1"/>
  <c r="M129" i="47" s="1"/>
  <c r="M130" i="47" s="1"/>
  <c r="M131" i="47" s="1"/>
  <c r="M132" i="47" s="1"/>
  <c r="M133" i="47" s="1"/>
  <c r="M134" i="47" s="1"/>
  <c r="M135" i="47" s="1"/>
  <c r="M136" i="47" s="1"/>
  <c r="M137" i="47" s="1"/>
  <c r="M138" i="47" s="1"/>
  <c r="M107" i="47"/>
  <c r="M91" i="47"/>
  <c r="M75" i="47"/>
  <c r="M59" i="47"/>
  <c r="C59" i="47" s="1"/>
  <c r="M43" i="47"/>
  <c r="M44" i="47" s="1"/>
  <c r="M45" i="47" s="1"/>
  <c r="M46" i="47" s="1"/>
  <c r="M47" i="47" s="1"/>
  <c r="M48" i="47" s="1"/>
  <c r="M49" i="47" s="1"/>
  <c r="M50" i="47" s="1"/>
  <c r="M51" i="47" s="1"/>
  <c r="M52" i="47" s="1"/>
  <c r="M53" i="47" s="1"/>
  <c r="M54" i="47" s="1"/>
  <c r="M55" i="47" s="1"/>
  <c r="M56" i="47" s="1"/>
  <c r="M57" i="47" s="1"/>
  <c r="M58" i="47" s="1"/>
  <c r="M27" i="47"/>
  <c r="M28" i="47" s="1"/>
  <c r="M29" i="47" s="1"/>
  <c r="M30" i="47" s="1"/>
  <c r="M31" i="47" s="1"/>
  <c r="M32" i="47" s="1"/>
  <c r="M33" i="47" s="1"/>
  <c r="M34" i="47" s="1"/>
  <c r="M35" i="47" s="1"/>
  <c r="M36" i="47" s="1"/>
  <c r="M37" i="47" s="1"/>
  <c r="M38" i="47" s="1"/>
  <c r="M39" i="47" s="1"/>
  <c r="M40" i="47" s="1"/>
  <c r="M41" i="47" s="1"/>
  <c r="M42" i="47" s="1"/>
  <c r="I12" i="47"/>
  <c r="I13" i="47" s="1"/>
  <c r="I14" i="47" s="1"/>
  <c r="I15" i="47" s="1"/>
  <c r="I16" i="47" s="1"/>
  <c r="I17" i="47" s="1"/>
  <c r="I18" i="47" s="1"/>
  <c r="I19" i="47" s="1"/>
  <c r="I20" i="47" s="1"/>
  <c r="I21" i="47" s="1"/>
  <c r="I22" i="47" s="1"/>
  <c r="I23" i="47" s="1"/>
  <c r="I24" i="47" s="1"/>
  <c r="I25" i="47" s="1"/>
  <c r="I26" i="47" s="1"/>
  <c r="I27" i="47" s="1"/>
  <c r="I28" i="47" s="1"/>
  <c r="I29" i="47" s="1"/>
  <c r="I30" i="47" s="1"/>
  <c r="I31" i="47" s="1"/>
  <c r="I32" i="47" s="1"/>
  <c r="I33" i="47" s="1"/>
  <c r="I34" i="47" s="1"/>
  <c r="I35" i="47" s="1"/>
  <c r="I36" i="47" s="1"/>
  <c r="I37" i="47" s="1"/>
  <c r="I38" i="47" s="1"/>
  <c r="I39" i="47" s="1"/>
  <c r="I40" i="47" s="1"/>
  <c r="I41" i="47" s="1"/>
  <c r="I42" i="47" s="1"/>
  <c r="I43" i="47" s="1"/>
  <c r="I44" i="47" s="1"/>
  <c r="I45" i="47" s="1"/>
  <c r="I46" i="47" s="1"/>
  <c r="I47" i="47" s="1"/>
  <c r="I48" i="47" s="1"/>
  <c r="I49" i="47" s="1"/>
  <c r="I50" i="47" s="1"/>
  <c r="I51" i="47" s="1"/>
  <c r="I52" i="47" s="1"/>
  <c r="I53" i="47" s="1"/>
  <c r="I54" i="47" s="1"/>
  <c r="I55" i="47" s="1"/>
  <c r="I56" i="47" s="1"/>
  <c r="I57" i="47" s="1"/>
  <c r="I58" i="47" s="1"/>
  <c r="I59" i="47" s="1"/>
  <c r="I60" i="47" s="1"/>
  <c r="I61" i="47" s="1"/>
  <c r="I62" i="47" s="1"/>
  <c r="I63" i="47" s="1"/>
  <c r="I64" i="47" s="1"/>
  <c r="I65" i="47" s="1"/>
  <c r="I66" i="47" s="1"/>
  <c r="I67" i="47" s="1"/>
  <c r="I68" i="47" s="1"/>
  <c r="I69" i="47" s="1"/>
  <c r="I70" i="47" s="1"/>
  <c r="I71" i="47" s="1"/>
  <c r="I72" i="47" s="1"/>
  <c r="I73" i="47" s="1"/>
  <c r="I74" i="47" s="1"/>
  <c r="I75" i="47" s="1"/>
  <c r="I76" i="47" s="1"/>
  <c r="I77" i="47" s="1"/>
  <c r="I78" i="47" s="1"/>
  <c r="I79" i="47" s="1"/>
  <c r="I80" i="47" s="1"/>
  <c r="I81" i="47" s="1"/>
  <c r="I82" i="47" s="1"/>
  <c r="I83" i="47" s="1"/>
  <c r="I84" i="47" s="1"/>
  <c r="I85" i="47" s="1"/>
  <c r="I86" i="47" s="1"/>
  <c r="I87" i="47" s="1"/>
  <c r="I88" i="47" s="1"/>
  <c r="I89" i="47" s="1"/>
  <c r="I90" i="47" s="1"/>
  <c r="I91" i="47" s="1"/>
  <c r="I92" i="47" s="1"/>
  <c r="I93" i="47" s="1"/>
  <c r="I94" i="47" s="1"/>
  <c r="I95" i="47" s="1"/>
  <c r="I96" i="47" s="1"/>
  <c r="I97" i="47" s="1"/>
  <c r="I98" i="47" s="1"/>
  <c r="I99" i="47" s="1"/>
  <c r="I100" i="47" s="1"/>
  <c r="I101" i="47" s="1"/>
  <c r="I102" i="47" s="1"/>
  <c r="I103" i="47" s="1"/>
  <c r="I104" i="47" s="1"/>
  <c r="I105" i="47" s="1"/>
  <c r="I106" i="47" s="1"/>
  <c r="I107" i="47" s="1"/>
  <c r="I108" i="47" s="1"/>
  <c r="I109" i="47" s="1"/>
  <c r="I110" i="47" s="1"/>
  <c r="I111" i="47" s="1"/>
  <c r="I112" i="47" s="1"/>
  <c r="I113" i="47" s="1"/>
  <c r="I114" i="47" s="1"/>
  <c r="I115" i="47" s="1"/>
  <c r="I116" i="47" s="1"/>
  <c r="I117" i="47" s="1"/>
  <c r="I118" i="47" s="1"/>
  <c r="I119" i="47" s="1"/>
  <c r="I120" i="47" s="1"/>
  <c r="I121" i="47" s="1"/>
  <c r="I122" i="47" s="1"/>
  <c r="I123" i="47" s="1"/>
  <c r="I124" i="47" s="1"/>
  <c r="I125" i="47" s="1"/>
  <c r="I126" i="47" s="1"/>
  <c r="I127" i="47" s="1"/>
  <c r="I128" i="47" s="1"/>
  <c r="I129" i="47" s="1"/>
  <c r="I130" i="47" s="1"/>
  <c r="I131" i="47" s="1"/>
  <c r="I132" i="47" s="1"/>
  <c r="I133" i="47" s="1"/>
  <c r="I134" i="47" s="1"/>
  <c r="I135" i="47" s="1"/>
  <c r="I136" i="47" s="1"/>
  <c r="I137" i="47" s="1"/>
  <c r="I138" i="47" s="1"/>
  <c r="I139" i="47" s="1"/>
  <c r="I140" i="47" s="1"/>
  <c r="I141" i="47" s="1"/>
  <c r="I142" i="47" s="1"/>
  <c r="I143" i="47" s="1"/>
  <c r="I144" i="47" s="1"/>
  <c r="I145" i="47" s="1"/>
  <c r="I146" i="47" s="1"/>
  <c r="I147" i="47" s="1"/>
  <c r="I148" i="47" s="1"/>
  <c r="I149" i="47" s="1"/>
  <c r="I150" i="47" s="1"/>
  <c r="I151" i="47" s="1"/>
  <c r="I152" i="47" s="1"/>
  <c r="I153" i="47" s="1"/>
  <c r="I154" i="47" s="1"/>
  <c r="I155" i="47" s="1"/>
  <c r="I156" i="47" s="1"/>
  <c r="I157" i="47" s="1"/>
  <c r="I158" i="47" s="1"/>
  <c r="I159" i="47" s="1"/>
  <c r="I160" i="47" s="1"/>
  <c r="I161" i="47" s="1"/>
  <c r="I162" i="47" s="1"/>
  <c r="I163" i="47" s="1"/>
  <c r="I164" i="47" s="1"/>
  <c r="I165" i="47" s="1"/>
  <c r="I166" i="47" s="1"/>
  <c r="I167" i="47" s="1"/>
  <c r="I168" i="47" s="1"/>
  <c r="I169" i="47" s="1"/>
  <c r="I170" i="47" s="1"/>
  <c r="I171" i="47" s="1"/>
  <c r="I172" i="47" s="1"/>
  <c r="I173" i="47" s="1"/>
  <c r="I174" i="47" s="1"/>
  <c r="I175" i="47" s="1"/>
  <c r="I176" i="47" s="1"/>
  <c r="I177" i="47" s="1"/>
  <c r="I178" i="47" s="1"/>
  <c r="I179" i="47" s="1"/>
  <c r="I180" i="47" s="1"/>
  <c r="I181" i="47" s="1"/>
  <c r="I182" i="47" s="1"/>
  <c r="I183" i="47" s="1"/>
  <c r="I184" i="47" s="1"/>
  <c r="I185" i="47" s="1"/>
  <c r="I186" i="47" s="1"/>
  <c r="I187" i="47" s="1"/>
  <c r="I188" i="47" s="1"/>
  <c r="I189" i="47" s="1"/>
  <c r="I190" i="47" s="1"/>
  <c r="I191" i="47" s="1"/>
  <c r="I192" i="47" s="1"/>
  <c r="I193" i="47" s="1"/>
  <c r="I194" i="47" s="1"/>
  <c r="I195" i="47" s="1"/>
  <c r="I196" i="47" s="1"/>
  <c r="I197" i="47" s="1"/>
  <c r="I198" i="47" s="1"/>
  <c r="I199" i="47" s="1"/>
  <c r="I200" i="47" s="1"/>
  <c r="I201" i="47" s="1"/>
  <c r="I202" i="47" s="1"/>
  <c r="B12" i="47"/>
  <c r="B13" i="47" s="1"/>
  <c r="B14" i="47" s="1"/>
  <c r="B15" i="47" s="1"/>
  <c r="B16" i="47" s="1"/>
  <c r="B17" i="47" s="1"/>
  <c r="B18" i="47" s="1"/>
  <c r="B19" i="47" s="1"/>
  <c r="B20" i="47" s="1"/>
  <c r="B21" i="47" s="1"/>
  <c r="B22" i="47" s="1"/>
  <c r="B23" i="47" s="1"/>
  <c r="B24" i="47" s="1"/>
  <c r="B25" i="47" s="1"/>
  <c r="B26" i="47" s="1"/>
  <c r="B27" i="47" s="1"/>
  <c r="B28" i="47" s="1"/>
  <c r="B29" i="47" s="1"/>
  <c r="B30" i="47" s="1"/>
  <c r="B31" i="47" s="1"/>
  <c r="B32" i="47" s="1"/>
  <c r="B33" i="47" s="1"/>
  <c r="B34" i="47" s="1"/>
  <c r="B35" i="47" s="1"/>
  <c r="B36" i="47" s="1"/>
  <c r="B37" i="47" s="1"/>
  <c r="B38" i="47" s="1"/>
  <c r="B39" i="47" s="1"/>
  <c r="B40" i="47" s="1"/>
  <c r="B41" i="47" s="1"/>
  <c r="B42" i="47" s="1"/>
  <c r="B43" i="47" s="1"/>
  <c r="B44" i="47" s="1"/>
  <c r="B45" i="47" s="1"/>
  <c r="B46" i="47" s="1"/>
  <c r="B47" i="47" s="1"/>
  <c r="B48" i="47" s="1"/>
  <c r="B49" i="47" s="1"/>
  <c r="B50" i="47" s="1"/>
  <c r="B51" i="47" s="1"/>
  <c r="B52" i="47" s="1"/>
  <c r="B53" i="47" s="1"/>
  <c r="B54" i="47" s="1"/>
  <c r="B55" i="47" s="1"/>
  <c r="B56" i="47" s="1"/>
  <c r="B57" i="47" s="1"/>
  <c r="B58" i="47" s="1"/>
  <c r="B59" i="47" s="1"/>
  <c r="B60" i="47" s="1"/>
  <c r="B61" i="47" s="1"/>
  <c r="B62" i="47" s="1"/>
  <c r="B63" i="47" s="1"/>
  <c r="B64" i="47" s="1"/>
  <c r="B65" i="47" s="1"/>
  <c r="B66" i="47" s="1"/>
  <c r="B67" i="47" s="1"/>
  <c r="B68" i="47" s="1"/>
  <c r="B69" i="47" s="1"/>
  <c r="B70" i="47" s="1"/>
  <c r="B71" i="47" s="1"/>
  <c r="B72" i="47" s="1"/>
  <c r="B73" i="47" s="1"/>
  <c r="B74" i="47" s="1"/>
  <c r="B75" i="47" s="1"/>
  <c r="B76" i="47" s="1"/>
  <c r="B77" i="47" s="1"/>
  <c r="B78" i="47" s="1"/>
  <c r="B79" i="47" s="1"/>
  <c r="B80" i="47" s="1"/>
  <c r="B81" i="47" s="1"/>
  <c r="B82" i="47" s="1"/>
  <c r="B83" i="47" s="1"/>
  <c r="B84" i="47" s="1"/>
  <c r="B85" i="47" s="1"/>
  <c r="B86" i="47" s="1"/>
  <c r="B87" i="47" s="1"/>
  <c r="B88" i="47" s="1"/>
  <c r="B89" i="47" s="1"/>
  <c r="B90" i="47" s="1"/>
  <c r="B91" i="47" s="1"/>
  <c r="B92" i="47" s="1"/>
  <c r="B93" i="47" s="1"/>
  <c r="B94" i="47" s="1"/>
  <c r="B95" i="47" s="1"/>
  <c r="B96" i="47" s="1"/>
  <c r="B97" i="47" s="1"/>
  <c r="B98" i="47" s="1"/>
  <c r="B99" i="47" s="1"/>
  <c r="B100" i="47" s="1"/>
  <c r="B101" i="47" s="1"/>
  <c r="B102" i="47" s="1"/>
  <c r="B103" i="47" s="1"/>
  <c r="B104" i="47" s="1"/>
  <c r="B105" i="47" s="1"/>
  <c r="B106" i="47" s="1"/>
  <c r="B107" i="47" s="1"/>
  <c r="B108" i="47" s="1"/>
  <c r="B109" i="47" s="1"/>
  <c r="B110" i="47" s="1"/>
  <c r="B111" i="47" s="1"/>
  <c r="B112" i="47" s="1"/>
  <c r="B113" i="47" s="1"/>
  <c r="B114" i="47" s="1"/>
  <c r="B115" i="47" s="1"/>
  <c r="B116" i="47" s="1"/>
  <c r="B117" i="47" s="1"/>
  <c r="B118" i="47" s="1"/>
  <c r="B119" i="47" s="1"/>
  <c r="B120" i="47" s="1"/>
  <c r="B121" i="47" s="1"/>
  <c r="B122" i="47" s="1"/>
  <c r="B123" i="47" s="1"/>
  <c r="B124" i="47" s="1"/>
  <c r="B125" i="47" s="1"/>
  <c r="B126" i="47" s="1"/>
  <c r="B127" i="47" s="1"/>
  <c r="B128" i="47" s="1"/>
  <c r="B129" i="47" s="1"/>
  <c r="B130" i="47" s="1"/>
  <c r="B131" i="47" s="1"/>
  <c r="B132" i="47" s="1"/>
  <c r="B133" i="47" s="1"/>
  <c r="B134" i="47" s="1"/>
  <c r="B135" i="47" s="1"/>
  <c r="B136" i="47" s="1"/>
  <c r="B137" i="47" s="1"/>
  <c r="B138" i="47" s="1"/>
  <c r="B139" i="47" s="1"/>
  <c r="B140" i="47" s="1"/>
  <c r="B141" i="47" s="1"/>
  <c r="B142" i="47" s="1"/>
  <c r="B143" i="47" s="1"/>
  <c r="B144" i="47" s="1"/>
  <c r="B145" i="47" s="1"/>
  <c r="B146" i="47" s="1"/>
  <c r="B147" i="47" s="1"/>
  <c r="B148" i="47" s="1"/>
  <c r="B149" i="47" s="1"/>
  <c r="B150" i="47" s="1"/>
  <c r="B151" i="47" s="1"/>
  <c r="B152" i="47" s="1"/>
  <c r="B153" i="47" s="1"/>
  <c r="B154" i="47" s="1"/>
  <c r="B155" i="47" s="1"/>
  <c r="B156" i="47" s="1"/>
  <c r="B157" i="47" s="1"/>
  <c r="B158" i="47" s="1"/>
  <c r="B159" i="47" s="1"/>
  <c r="B160" i="47" s="1"/>
  <c r="B161" i="47" s="1"/>
  <c r="B162" i="47" s="1"/>
  <c r="B163" i="47" s="1"/>
  <c r="B164" i="47" s="1"/>
  <c r="B165" i="47" s="1"/>
  <c r="B166" i="47" s="1"/>
  <c r="B167" i="47" s="1"/>
  <c r="B168" i="47" s="1"/>
  <c r="B169" i="47" s="1"/>
  <c r="B170" i="47" s="1"/>
  <c r="B171" i="47" s="1"/>
  <c r="B172" i="47" s="1"/>
  <c r="B173" i="47" s="1"/>
  <c r="B174" i="47" s="1"/>
  <c r="B175" i="47" s="1"/>
  <c r="B176" i="47" s="1"/>
  <c r="B177" i="47" s="1"/>
  <c r="B178" i="47" s="1"/>
  <c r="B179" i="47" s="1"/>
  <c r="B180" i="47" s="1"/>
  <c r="B181" i="47" s="1"/>
  <c r="B182" i="47" s="1"/>
  <c r="B183" i="47" s="1"/>
  <c r="B184" i="47" s="1"/>
  <c r="B185" i="47" s="1"/>
  <c r="B186" i="47" s="1"/>
  <c r="B187" i="47" s="1"/>
  <c r="B188" i="47" s="1"/>
  <c r="B189" i="47" s="1"/>
  <c r="B190" i="47" s="1"/>
  <c r="B191" i="47" s="1"/>
  <c r="B192" i="47" s="1"/>
  <c r="B193" i="47" s="1"/>
  <c r="B194" i="47" s="1"/>
  <c r="B195" i="47" s="1"/>
  <c r="B196" i="47" s="1"/>
  <c r="B197" i="47" s="1"/>
  <c r="B198" i="47" s="1"/>
  <c r="B199" i="47" s="1"/>
  <c r="B200" i="47" s="1"/>
  <c r="B201" i="47" s="1"/>
  <c r="B202" i="47" s="1"/>
  <c r="Q11" i="47"/>
  <c r="R11" i="47" s="1"/>
  <c r="R12" i="47" s="1"/>
  <c r="R13" i="47" s="1"/>
  <c r="R14" i="47" s="1"/>
  <c r="R15" i="47" s="1"/>
  <c r="R16" i="47" s="1"/>
  <c r="R17" i="47" s="1"/>
  <c r="R18" i="47" s="1"/>
  <c r="R19" i="47" s="1"/>
  <c r="R20" i="47" s="1"/>
  <c r="R21" i="47" s="1"/>
  <c r="R22" i="47" s="1"/>
  <c r="R23" i="47" s="1"/>
  <c r="R24" i="47" s="1"/>
  <c r="R25" i="47" s="1"/>
  <c r="R26" i="47" s="1"/>
  <c r="R27" i="47" s="1"/>
  <c r="R28" i="47" s="1"/>
  <c r="R29" i="47" s="1"/>
  <c r="R30" i="47" s="1"/>
  <c r="R31" i="47" s="1"/>
  <c r="R32" i="47" s="1"/>
  <c r="R33" i="47" s="1"/>
  <c r="R34" i="47" s="1"/>
  <c r="R35" i="47" s="1"/>
  <c r="R36" i="47" s="1"/>
  <c r="R37" i="47" s="1"/>
  <c r="R38" i="47" s="1"/>
  <c r="R39" i="47" s="1"/>
  <c r="R40" i="47" s="1"/>
  <c r="R41" i="47" s="1"/>
  <c r="R42" i="47" s="1"/>
  <c r="R43" i="47" s="1"/>
  <c r="R44" i="47" s="1"/>
  <c r="R45" i="47" s="1"/>
  <c r="R46" i="47" s="1"/>
  <c r="R47" i="47" s="1"/>
  <c r="R48" i="47" s="1"/>
  <c r="R49" i="47" s="1"/>
  <c r="R50" i="47" s="1"/>
  <c r="R51" i="47" s="1"/>
  <c r="R52" i="47" s="1"/>
  <c r="R53" i="47" s="1"/>
  <c r="R54" i="47" s="1"/>
  <c r="R55" i="47" s="1"/>
  <c r="R56" i="47" s="1"/>
  <c r="R57" i="47" s="1"/>
  <c r="R58" i="47" s="1"/>
  <c r="R59" i="47" s="1"/>
  <c r="R60" i="47" s="1"/>
  <c r="R61" i="47" s="1"/>
  <c r="R62" i="47" s="1"/>
  <c r="R63" i="47" s="1"/>
  <c r="R64" i="47" s="1"/>
  <c r="R65" i="47" s="1"/>
  <c r="R66" i="47" s="1"/>
  <c r="R67" i="47" s="1"/>
  <c r="R68" i="47" s="1"/>
  <c r="R69" i="47" s="1"/>
  <c r="R70" i="47" s="1"/>
  <c r="R71" i="47" s="1"/>
  <c r="R72" i="47" s="1"/>
  <c r="R73" i="47" s="1"/>
  <c r="R74" i="47" s="1"/>
  <c r="R75" i="47" s="1"/>
  <c r="R76" i="47" s="1"/>
  <c r="R77" i="47" s="1"/>
  <c r="R78" i="47" s="1"/>
  <c r="R79" i="47" s="1"/>
  <c r="R80" i="47" s="1"/>
  <c r="R81" i="47" s="1"/>
  <c r="R82" i="47" s="1"/>
  <c r="R83" i="47" s="1"/>
  <c r="R84" i="47" s="1"/>
  <c r="R85" i="47" s="1"/>
  <c r="R86" i="47" s="1"/>
  <c r="R87" i="47" s="1"/>
  <c r="R88" i="47" s="1"/>
  <c r="R89" i="47" s="1"/>
  <c r="R90" i="47" s="1"/>
  <c r="R91" i="47" s="1"/>
  <c r="R92" i="47" s="1"/>
  <c r="R93" i="47" s="1"/>
  <c r="R94" i="47" s="1"/>
  <c r="R95" i="47" s="1"/>
  <c r="R96" i="47" s="1"/>
  <c r="R97" i="47" s="1"/>
  <c r="R98" i="47" s="1"/>
  <c r="R99" i="47" s="1"/>
  <c r="R100" i="47" s="1"/>
  <c r="R101" i="47" s="1"/>
  <c r="R102" i="47" s="1"/>
  <c r="R103" i="47" s="1"/>
  <c r="R104" i="47" s="1"/>
  <c r="R105" i="47" s="1"/>
  <c r="R106" i="47" s="1"/>
  <c r="R107" i="47" s="1"/>
  <c r="R108" i="47" s="1"/>
  <c r="R109" i="47" s="1"/>
  <c r="R110" i="47" s="1"/>
  <c r="R111" i="47" s="1"/>
  <c r="R112" i="47" s="1"/>
  <c r="R113" i="47" s="1"/>
  <c r="R114" i="47" s="1"/>
  <c r="R115" i="47" s="1"/>
  <c r="R116" i="47" s="1"/>
  <c r="R117" i="47" s="1"/>
  <c r="R118" i="47" s="1"/>
  <c r="R119" i="47" s="1"/>
  <c r="R120" i="47" s="1"/>
  <c r="R121" i="47" s="1"/>
  <c r="R122" i="47" s="1"/>
  <c r="R123" i="47" s="1"/>
  <c r="R124" i="47" s="1"/>
  <c r="R125" i="47" s="1"/>
  <c r="R126" i="47" s="1"/>
  <c r="R127" i="47" s="1"/>
  <c r="R128" i="47" s="1"/>
  <c r="R129" i="47" s="1"/>
  <c r="R130" i="47" s="1"/>
  <c r="R131" i="47" s="1"/>
  <c r="R132" i="47" s="1"/>
  <c r="R133" i="47" s="1"/>
  <c r="R134" i="47" s="1"/>
  <c r="R135" i="47" s="1"/>
  <c r="R136" i="47" s="1"/>
  <c r="R137" i="47" s="1"/>
  <c r="R138" i="47" s="1"/>
  <c r="R139" i="47" s="1"/>
  <c r="R140" i="47" s="1"/>
  <c r="R141" i="47" s="1"/>
  <c r="R142" i="47" s="1"/>
  <c r="R143" i="47" s="1"/>
  <c r="R144" i="47" s="1"/>
  <c r="R145" i="47" s="1"/>
  <c r="R146" i="47" s="1"/>
  <c r="R147" i="47" s="1"/>
  <c r="R148" i="47" s="1"/>
  <c r="R149" i="47" s="1"/>
  <c r="R150" i="47" s="1"/>
  <c r="R151" i="47" s="1"/>
  <c r="R152" i="47" s="1"/>
  <c r="R153" i="47" s="1"/>
  <c r="R154" i="47" s="1"/>
  <c r="R155" i="47" s="1"/>
  <c r="R156" i="47" s="1"/>
  <c r="R157" i="47" s="1"/>
  <c r="R158" i="47" s="1"/>
  <c r="R159" i="47" s="1"/>
  <c r="R160" i="47" s="1"/>
  <c r="R161" i="47" s="1"/>
  <c r="R162" i="47" s="1"/>
  <c r="R163" i="47" s="1"/>
  <c r="R164" i="47" s="1"/>
  <c r="R165" i="47" s="1"/>
  <c r="R166" i="47" s="1"/>
  <c r="R167" i="47" s="1"/>
  <c r="R168" i="47" s="1"/>
  <c r="R169" i="47" s="1"/>
  <c r="R170" i="47" s="1"/>
  <c r="R171" i="47" s="1"/>
  <c r="R172" i="47" s="1"/>
  <c r="R173" i="47" s="1"/>
  <c r="R174" i="47" s="1"/>
  <c r="R175" i="47" s="1"/>
  <c r="R176" i="47" s="1"/>
  <c r="R177" i="47" s="1"/>
  <c r="R178" i="47" s="1"/>
  <c r="R179" i="47" s="1"/>
  <c r="R180" i="47" s="1"/>
  <c r="R181" i="47" s="1"/>
  <c r="R182" i="47" s="1"/>
  <c r="R183" i="47" s="1"/>
  <c r="R184" i="47" s="1"/>
  <c r="R185" i="47" s="1"/>
  <c r="R186" i="47" s="1"/>
  <c r="R187" i="47" s="1"/>
  <c r="R188" i="47" s="1"/>
  <c r="R189" i="47" s="1"/>
  <c r="R190" i="47" s="1"/>
  <c r="R191" i="47" s="1"/>
  <c r="R192" i="47" s="1"/>
  <c r="R193" i="47" s="1"/>
  <c r="R194" i="47" s="1"/>
  <c r="R195" i="47" s="1"/>
  <c r="R196" i="47" s="1"/>
  <c r="R197" i="47" s="1"/>
  <c r="R198" i="47" s="1"/>
  <c r="R199" i="47" s="1"/>
  <c r="R200" i="47" s="1"/>
  <c r="R201" i="47" s="1"/>
  <c r="R202" i="47" s="1"/>
  <c r="N11" i="47"/>
  <c r="N12" i="47" s="1"/>
  <c r="N13" i="47" s="1"/>
  <c r="N14" i="47" s="1"/>
  <c r="N15" i="47" s="1"/>
  <c r="N16" i="47" s="1"/>
  <c r="N17" i="47" s="1"/>
  <c r="N18" i="47" s="1"/>
  <c r="N19" i="47" s="1"/>
  <c r="N20" i="47" s="1"/>
  <c r="N21" i="47" s="1"/>
  <c r="N22" i="47" s="1"/>
  <c r="N23" i="47" s="1"/>
  <c r="N24" i="47" s="1"/>
  <c r="N25" i="47" s="1"/>
  <c r="N26" i="47" s="1"/>
  <c r="N27" i="47" s="1"/>
  <c r="N28" i="47" s="1"/>
  <c r="N29" i="47" s="1"/>
  <c r="N30" i="47" s="1"/>
  <c r="N31" i="47" s="1"/>
  <c r="N32" i="47" s="1"/>
  <c r="N33" i="47" s="1"/>
  <c r="N34" i="47" s="1"/>
  <c r="N35" i="47" s="1"/>
  <c r="N36" i="47" s="1"/>
  <c r="N37" i="47" s="1"/>
  <c r="N38" i="47" s="1"/>
  <c r="N39" i="47" s="1"/>
  <c r="N40" i="47" s="1"/>
  <c r="N41" i="47" s="1"/>
  <c r="N42" i="47" s="1"/>
  <c r="N43" i="47" s="1"/>
  <c r="N44" i="47" s="1"/>
  <c r="N45" i="47" s="1"/>
  <c r="N46" i="47" s="1"/>
  <c r="N47" i="47" s="1"/>
  <c r="N48" i="47" s="1"/>
  <c r="N49" i="47" s="1"/>
  <c r="N50" i="47" s="1"/>
  <c r="N51" i="47" s="1"/>
  <c r="N52" i="47" s="1"/>
  <c r="N53" i="47" s="1"/>
  <c r="N54" i="47" s="1"/>
  <c r="N55" i="47" s="1"/>
  <c r="N56" i="47" s="1"/>
  <c r="N57" i="47" s="1"/>
  <c r="N58" i="47" s="1"/>
  <c r="N59" i="47" s="1"/>
  <c r="N60" i="47" s="1"/>
  <c r="N61" i="47" s="1"/>
  <c r="N62" i="47" s="1"/>
  <c r="N63" i="47" s="1"/>
  <c r="N64" i="47" s="1"/>
  <c r="N65" i="47" s="1"/>
  <c r="N66" i="47" s="1"/>
  <c r="N67" i="47" s="1"/>
  <c r="N68" i="47" s="1"/>
  <c r="N69" i="47" s="1"/>
  <c r="N70" i="47" s="1"/>
  <c r="N71" i="47" s="1"/>
  <c r="N72" i="47" s="1"/>
  <c r="N73" i="47" s="1"/>
  <c r="N74" i="47" s="1"/>
  <c r="N75" i="47" s="1"/>
  <c r="N76" i="47" s="1"/>
  <c r="N77" i="47" s="1"/>
  <c r="N78" i="47" s="1"/>
  <c r="N79" i="47" s="1"/>
  <c r="N80" i="47" s="1"/>
  <c r="N81" i="47" s="1"/>
  <c r="N82" i="47" s="1"/>
  <c r="N83" i="47" s="1"/>
  <c r="N84" i="47" s="1"/>
  <c r="N85" i="47" s="1"/>
  <c r="N86" i="47" s="1"/>
  <c r="N87" i="47" s="1"/>
  <c r="N88" i="47" s="1"/>
  <c r="N89" i="47" s="1"/>
  <c r="N90" i="47" s="1"/>
  <c r="N91" i="47" s="1"/>
  <c r="N92" i="47" s="1"/>
  <c r="N93" i="47" s="1"/>
  <c r="N94" i="47" s="1"/>
  <c r="N95" i="47" s="1"/>
  <c r="N96" i="47" s="1"/>
  <c r="N97" i="47" s="1"/>
  <c r="N98" i="47" s="1"/>
  <c r="N99" i="47" s="1"/>
  <c r="N100" i="47" s="1"/>
  <c r="N101" i="47" s="1"/>
  <c r="N102" i="47" s="1"/>
  <c r="N103" i="47" s="1"/>
  <c r="N104" i="47" s="1"/>
  <c r="N105" i="47" s="1"/>
  <c r="N106" i="47" s="1"/>
  <c r="N107" i="47" s="1"/>
  <c r="N108" i="47" s="1"/>
  <c r="N109" i="47" s="1"/>
  <c r="N110" i="47" s="1"/>
  <c r="N111" i="47" s="1"/>
  <c r="N112" i="47" s="1"/>
  <c r="N113" i="47" s="1"/>
  <c r="N114" i="47" s="1"/>
  <c r="N115" i="47" s="1"/>
  <c r="N116" i="47" s="1"/>
  <c r="N117" i="47" s="1"/>
  <c r="N118" i="47" s="1"/>
  <c r="N119" i="47" s="1"/>
  <c r="N120" i="47" s="1"/>
  <c r="N121" i="47" s="1"/>
  <c r="N122" i="47" s="1"/>
  <c r="N123" i="47" s="1"/>
  <c r="N124" i="47" s="1"/>
  <c r="N125" i="47" s="1"/>
  <c r="N126" i="47" s="1"/>
  <c r="N127" i="47" s="1"/>
  <c r="N128" i="47" s="1"/>
  <c r="N129" i="47" s="1"/>
  <c r="N130" i="47" s="1"/>
  <c r="N131" i="47" s="1"/>
  <c r="N132" i="47" s="1"/>
  <c r="N133" i="47" s="1"/>
  <c r="N134" i="47" s="1"/>
  <c r="N135" i="47" s="1"/>
  <c r="N136" i="47" s="1"/>
  <c r="N137" i="47" s="1"/>
  <c r="N138" i="47" s="1"/>
  <c r="N139" i="47" s="1"/>
  <c r="N140" i="47" s="1"/>
  <c r="N141" i="47" s="1"/>
  <c r="N142" i="47" s="1"/>
  <c r="N143" i="47" s="1"/>
  <c r="N144" i="47" s="1"/>
  <c r="N145" i="47" s="1"/>
  <c r="N146" i="47" s="1"/>
  <c r="N147" i="47" s="1"/>
  <c r="N148" i="47" s="1"/>
  <c r="N149" i="47" s="1"/>
  <c r="N150" i="47" s="1"/>
  <c r="N151" i="47" s="1"/>
  <c r="N152" i="47" s="1"/>
  <c r="N153" i="47" s="1"/>
  <c r="N154" i="47" s="1"/>
  <c r="N155" i="47" s="1"/>
  <c r="N156" i="47" s="1"/>
  <c r="N157" i="47" s="1"/>
  <c r="N158" i="47" s="1"/>
  <c r="N159" i="47" s="1"/>
  <c r="N160" i="47" s="1"/>
  <c r="N161" i="47" s="1"/>
  <c r="N162" i="47" s="1"/>
  <c r="N163" i="47" s="1"/>
  <c r="N164" i="47" s="1"/>
  <c r="N165" i="47" s="1"/>
  <c r="N166" i="47" s="1"/>
  <c r="N167" i="47" s="1"/>
  <c r="N168" i="47" s="1"/>
  <c r="N169" i="47" s="1"/>
  <c r="N170" i="47" s="1"/>
  <c r="N171" i="47" s="1"/>
  <c r="N172" i="47" s="1"/>
  <c r="N173" i="47" s="1"/>
  <c r="N174" i="47" s="1"/>
  <c r="N175" i="47" s="1"/>
  <c r="N176" i="47" s="1"/>
  <c r="N177" i="47" s="1"/>
  <c r="N178" i="47" s="1"/>
  <c r="N179" i="47" s="1"/>
  <c r="N180" i="47" s="1"/>
  <c r="N181" i="47" s="1"/>
  <c r="N182" i="47" s="1"/>
  <c r="N183" i="47" s="1"/>
  <c r="N184" i="47" s="1"/>
  <c r="N185" i="47" s="1"/>
  <c r="N186" i="47" s="1"/>
  <c r="N187" i="47" s="1"/>
  <c r="N188" i="47" s="1"/>
  <c r="N189" i="47" s="1"/>
  <c r="N190" i="47" s="1"/>
  <c r="N191" i="47" s="1"/>
  <c r="N192" i="47" s="1"/>
  <c r="N193" i="47" s="1"/>
  <c r="N194" i="47" s="1"/>
  <c r="N195" i="47" s="1"/>
  <c r="N196" i="47" s="1"/>
  <c r="N197" i="47" s="1"/>
  <c r="N198" i="47" s="1"/>
  <c r="N199" i="47" s="1"/>
  <c r="N200" i="47" s="1"/>
  <c r="N201" i="47" s="1"/>
  <c r="N202" i="47" s="1"/>
  <c r="M11" i="47"/>
  <c r="L11" i="47"/>
  <c r="L12" i="47" s="1"/>
  <c r="L13" i="47" s="1"/>
  <c r="L14" i="47" s="1"/>
  <c r="L15" i="47" s="1"/>
  <c r="L16" i="47" s="1"/>
  <c r="L17" i="47" s="1"/>
  <c r="L18" i="47" s="1"/>
  <c r="L19" i="47" s="1"/>
  <c r="L20" i="47" s="1"/>
  <c r="L21" i="47" s="1"/>
  <c r="L22" i="47" s="1"/>
  <c r="L23" i="47" s="1"/>
  <c r="L24" i="47" s="1"/>
  <c r="L25" i="47" s="1"/>
  <c r="L26" i="47" s="1"/>
  <c r="L27" i="47" s="1"/>
  <c r="L28" i="47" s="1"/>
  <c r="L29" i="47" s="1"/>
  <c r="L30" i="47" s="1"/>
  <c r="L31" i="47" s="1"/>
  <c r="L32" i="47" s="1"/>
  <c r="L33" i="47" s="1"/>
  <c r="L34" i="47" s="1"/>
  <c r="L35" i="47" s="1"/>
  <c r="L36" i="47" s="1"/>
  <c r="L37" i="47" s="1"/>
  <c r="L38" i="47" s="1"/>
  <c r="L39" i="47" s="1"/>
  <c r="L40" i="47" s="1"/>
  <c r="L41" i="47" s="1"/>
  <c r="L42" i="47" s="1"/>
  <c r="L43" i="47" s="1"/>
  <c r="L44" i="47" s="1"/>
  <c r="L45" i="47" s="1"/>
  <c r="L46" i="47" s="1"/>
  <c r="L47" i="47" s="1"/>
  <c r="L48" i="47" s="1"/>
  <c r="L49" i="47" s="1"/>
  <c r="L50" i="47" s="1"/>
  <c r="L51" i="47" s="1"/>
  <c r="L52" i="47" s="1"/>
  <c r="L53" i="47" s="1"/>
  <c r="L54" i="47" s="1"/>
  <c r="L55" i="47" s="1"/>
  <c r="L56" i="47" s="1"/>
  <c r="L57" i="47" s="1"/>
  <c r="L58" i="47" s="1"/>
  <c r="L59" i="47" s="1"/>
  <c r="L60" i="47" s="1"/>
  <c r="L61" i="47" s="1"/>
  <c r="L62" i="47" s="1"/>
  <c r="L63" i="47" s="1"/>
  <c r="L64" i="47" s="1"/>
  <c r="L65" i="47" s="1"/>
  <c r="L66" i="47" s="1"/>
  <c r="L67" i="47" s="1"/>
  <c r="L68" i="47" s="1"/>
  <c r="L69" i="47" s="1"/>
  <c r="L70" i="47" s="1"/>
  <c r="L71" i="47" s="1"/>
  <c r="L72" i="47" s="1"/>
  <c r="L73" i="47" s="1"/>
  <c r="L74" i="47" s="1"/>
  <c r="L75" i="47" s="1"/>
  <c r="L76" i="47" s="1"/>
  <c r="L77" i="47" s="1"/>
  <c r="L78" i="47" s="1"/>
  <c r="L79" i="47" s="1"/>
  <c r="L80" i="47" s="1"/>
  <c r="L81" i="47" s="1"/>
  <c r="L82" i="47" s="1"/>
  <c r="L83" i="47" s="1"/>
  <c r="L84" i="47" s="1"/>
  <c r="L85" i="47" s="1"/>
  <c r="L86" i="47" s="1"/>
  <c r="L87" i="47" s="1"/>
  <c r="L88" i="47" s="1"/>
  <c r="L89" i="47" s="1"/>
  <c r="L90" i="47" s="1"/>
  <c r="L91" i="47" s="1"/>
  <c r="L92" i="47" s="1"/>
  <c r="L93" i="47" s="1"/>
  <c r="L94" i="47" s="1"/>
  <c r="L95" i="47" s="1"/>
  <c r="L96" i="47" s="1"/>
  <c r="L97" i="47" s="1"/>
  <c r="L98" i="47" s="1"/>
  <c r="L99" i="47" s="1"/>
  <c r="L100" i="47" s="1"/>
  <c r="L101" i="47" s="1"/>
  <c r="L102" i="47" s="1"/>
  <c r="L103" i="47" s="1"/>
  <c r="L104" i="47" s="1"/>
  <c r="L105" i="47" s="1"/>
  <c r="L106" i="47" s="1"/>
  <c r="L107" i="47" s="1"/>
  <c r="L108" i="47" s="1"/>
  <c r="L109" i="47" s="1"/>
  <c r="L110" i="47" s="1"/>
  <c r="L111" i="47" s="1"/>
  <c r="L112" i="47" s="1"/>
  <c r="L113" i="47" s="1"/>
  <c r="L114" i="47" s="1"/>
  <c r="L115" i="47" s="1"/>
  <c r="L116" i="47" s="1"/>
  <c r="L117" i="47" s="1"/>
  <c r="L118" i="47" s="1"/>
  <c r="L119" i="47" s="1"/>
  <c r="L120" i="47" s="1"/>
  <c r="L121" i="47" s="1"/>
  <c r="L122" i="47" s="1"/>
  <c r="L123" i="47" s="1"/>
  <c r="L124" i="47" s="1"/>
  <c r="L125" i="47" s="1"/>
  <c r="L126" i="47" s="1"/>
  <c r="L127" i="47" s="1"/>
  <c r="L128" i="47" s="1"/>
  <c r="L129" i="47" s="1"/>
  <c r="L130" i="47" s="1"/>
  <c r="L131" i="47" s="1"/>
  <c r="L132" i="47" s="1"/>
  <c r="L133" i="47" s="1"/>
  <c r="L134" i="47" s="1"/>
  <c r="L135" i="47" s="1"/>
  <c r="L136" i="47" s="1"/>
  <c r="L137" i="47" s="1"/>
  <c r="L138" i="47" s="1"/>
  <c r="L139" i="47" s="1"/>
  <c r="L140" i="47" s="1"/>
  <c r="L141" i="47" s="1"/>
  <c r="L142" i="47" s="1"/>
  <c r="L143" i="47" s="1"/>
  <c r="L144" i="47" s="1"/>
  <c r="L145" i="47" s="1"/>
  <c r="L146" i="47" s="1"/>
  <c r="L147" i="47" s="1"/>
  <c r="L148" i="47" s="1"/>
  <c r="L149" i="47" s="1"/>
  <c r="L150" i="47" s="1"/>
  <c r="L151" i="47" s="1"/>
  <c r="L152" i="47" s="1"/>
  <c r="L153" i="47" s="1"/>
  <c r="L154" i="47" s="1"/>
  <c r="L155" i="47" s="1"/>
  <c r="L156" i="47" s="1"/>
  <c r="L157" i="47" s="1"/>
  <c r="L158" i="47" s="1"/>
  <c r="L159" i="47" s="1"/>
  <c r="L160" i="47" s="1"/>
  <c r="L161" i="47" s="1"/>
  <c r="L162" i="47" s="1"/>
  <c r="L163" i="47" s="1"/>
  <c r="L164" i="47" s="1"/>
  <c r="L165" i="47" s="1"/>
  <c r="L166" i="47" s="1"/>
  <c r="L167" i="47" s="1"/>
  <c r="L168" i="47" s="1"/>
  <c r="L169" i="47" s="1"/>
  <c r="L170" i="47" s="1"/>
  <c r="L171" i="47" s="1"/>
  <c r="L172" i="47" s="1"/>
  <c r="L173" i="47" s="1"/>
  <c r="L174" i="47" s="1"/>
  <c r="L175" i="47" s="1"/>
  <c r="L176" i="47" s="1"/>
  <c r="L177" i="47" s="1"/>
  <c r="L178" i="47" s="1"/>
  <c r="L179" i="47" s="1"/>
  <c r="L180" i="47" s="1"/>
  <c r="L181" i="47" s="1"/>
  <c r="L182" i="47" s="1"/>
  <c r="L183" i="47" s="1"/>
  <c r="L184" i="47" s="1"/>
  <c r="L185" i="47" s="1"/>
  <c r="L186" i="47" s="1"/>
  <c r="L187" i="47" s="1"/>
  <c r="L188" i="47" s="1"/>
  <c r="L189" i="47" s="1"/>
  <c r="L190" i="47" s="1"/>
  <c r="L191" i="47" s="1"/>
  <c r="L192" i="47" s="1"/>
  <c r="L193" i="47" s="1"/>
  <c r="L194" i="47" s="1"/>
  <c r="L195" i="47" s="1"/>
  <c r="L196" i="47" s="1"/>
  <c r="L197" i="47" s="1"/>
  <c r="L198" i="47" s="1"/>
  <c r="L199" i="47" s="1"/>
  <c r="L200" i="47" s="1"/>
  <c r="L201" i="47" s="1"/>
  <c r="L202" i="47" s="1"/>
  <c r="J11" i="47"/>
  <c r="J12" i="47" s="1"/>
  <c r="J13" i="47" s="1"/>
  <c r="J14" i="47" s="1"/>
  <c r="J15" i="47" s="1"/>
  <c r="J16" i="47" s="1"/>
  <c r="J17" i="47" s="1"/>
  <c r="J18" i="47" s="1"/>
  <c r="J19" i="47" s="1"/>
  <c r="J20" i="47" s="1"/>
  <c r="J21" i="47" s="1"/>
  <c r="J22" i="47" s="1"/>
  <c r="J23" i="47" s="1"/>
  <c r="J24" i="47" s="1"/>
  <c r="J25" i="47" s="1"/>
  <c r="J26" i="47" s="1"/>
  <c r="J27" i="47" s="1"/>
  <c r="J28" i="47" s="1"/>
  <c r="J29" i="47" s="1"/>
  <c r="J30" i="47" s="1"/>
  <c r="J31" i="47" s="1"/>
  <c r="J32" i="47" s="1"/>
  <c r="J33" i="47" s="1"/>
  <c r="J34" i="47" s="1"/>
  <c r="J35" i="47" s="1"/>
  <c r="J36" i="47" s="1"/>
  <c r="J37" i="47" s="1"/>
  <c r="J38" i="47" s="1"/>
  <c r="J39" i="47" s="1"/>
  <c r="J40" i="47" s="1"/>
  <c r="J41" i="47" s="1"/>
  <c r="J42" i="47" s="1"/>
  <c r="J43" i="47" s="1"/>
  <c r="J44" i="47" s="1"/>
  <c r="J45" i="47" s="1"/>
  <c r="J46" i="47" s="1"/>
  <c r="J47" i="47" s="1"/>
  <c r="J48" i="47" s="1"/>
  <c r="J49" i="47" s="1"/>
  <c r="J50" i="47" s="1"/>
  <c r="J51" i="47" s="1"/>
  <c r="J52" i="47" s="1"/>
  <c r="J53" i="47" s="1"/>
  <c r="J54" i="47" s="1"/>
  <c r="J55" i="47" s="1"/>
  <c r="J56" i="47" s="1"/>
  <c r="J57" i="47" s="1"/>
  <c r="J58" i="47" s="1"/>
  <c r="J59" i="47" s="1"/>
  <c r="J60" i="47" s="1"/>
  <c r="J61" i="47" s="1"/>
  <c r="J62" i="47" s="1"/>
  <c r="J63" i="47" s="1"/>
  <c r="J64" i="47" s="1"/>
  <c r="J65" i="47" s="1"/>
  <c r="J66" i="47" s="1"/>
  <c r="J67" i="47" s="1"/>
  <c r="J68" i="47" s="1"/>
  <c r="J69" i="47" s="1"/>
  <c r="J70" i="47" s="1"/>
  <c r="J71" i="47" s="1"/>
  <c r="J72" i="47" s="1"/>
  <c r="J73" i="47" s="1"/>
  <c r="J74" i="47" s="1"/>
  <c r="J75" i="47" s="1"/>
  <c r="J76" i="47" s="1"/>
  <c r="J77" i="47" s="1"/>
  <c r="J78" i="47" s="1"/>
  <c r="J79" i="47" s="1"/>
  <c r="J80" i="47" s="1"/>
  <c r="J81" i="47" s="1"/>
  <c r="J82" i="47" s="1"/>
  <c r="J83" i="47" s="1"/>
  <c r="J84" i="47" s="1"/>
  <c r="J85" i="47" s="1"/>
  <c r="J86" i="47" s="1"/>
  <c r="J87" i="47" s="1"/>
  <c r="J88" i="47" s="1"/>
  <c r="J89" i="47" s="1"/>
  <c r="J90" i="47" s="1"/>
  <c r="J91" i="47" s="1"/>
  <c r="J92" i="47" s="1"/>
  <c r="J93" i="47" s="1"/>
  <c r="J94" i="47" s="1"/>
  <c r="J95" i="47" s="1"/>
  <c r="J96" i="47" s="1"/>
  <c r="J97" i="47" s="1"/>
  <c r="J98" i="47" s="1"/>
  <c r="J99" i="47" s="1"/>
  <c r="J100" i="47" s="1"/>
  <c r="J101" i="47" s="1"/>
  <c r="J102" i="47" s="1"/>
  <c r="J103" i="47" s="1"/>
  <c r="J104" i="47" s="1"/>
  <c r="J105" i="47" s="1"/>
  <c r="J106" i="47" s="1"/>
  <c r="J107" i="47" s="1"/>
  <c r="J108" i="47" s="1"/>
  <c r="J109" i="47" s="1"/>
  <c r="J110" i="47" s="1"/>
  <c r="J111" i="47" s="1"/>
  <c r="J112" i="47" s="1"/>
  <c r="J113" i="47" s="1"/>
  <c r="J114" i="47" s="1"/>
  <c r="J115" i="47" s="1"/>
  <c r="J116" i="47" s="1"/>
  <c r="J117" i="47" s="1"/>
  <c r="J118" i="47" s="1"/>
  <c r="J119" i="47" s="1"/>
  <c r="J120" i="47" s="1"/>
  <c r="J121" i="47" s="1"/>
  <c r="J122" i="47" s="1"/>
  <c r="J123" i="47" s="1"/>
  <c r="J124" i="47" s="1"/>
  <c r="J125" i="47" s="1"/>
  <c r="J126" i="47" s="1"/>
  <c r="J127" i="47" s="1"/>
  <c r="J128" i="47" s="1"/>
  <c r="J129" i="47" s="1"/>
  <c r="J130" i="47" s="1"/>
  <c r="J131" i="47" s="1"/>
  <c r="J132" i="47" s="1"/>
  <c r="J133" i="47" s="1"/>
  <c r="J134" i="47" s="1"/>
  <c r="J135" i="47" s="1"/>
  <c r="J136" i="47" s="1"/>
  <c r="J137" i="47" s="1"/>
  <c r="J138" i="47" s="1"/>
  <c r="J139" i="47" s="1"/>
  <c r="J140" i="47" s="1"/>
  <c r="J141" i="47" s="1"/>
  <c r="J142" i="47" s="1"/>
  <c r="J143" i="47" s="1"/>
  <c r="J144" i="47" s="1"/>
  <c r="J145" i="47" s="1"/>
  <c r="J146" i="47" s="1"/>
  <c r="J147" i="47" s="1"/>
  <c r="J148" i="47" s="1"/>
  <c r="J149" i="47" s="1"/>
  <c r="J150" i="47" s="1"/>
  <c r="J151" i="47" s="1"/>
  <c r="J152" i="47" s="1"/>
  <c r="J153" i="47" s="1"/>
  <c r="J154" i="47" s="1"/>
  <c r="J155" i="47" s="1"/>
  <c r="J156" i="47" s="1"/>
  <c r="J157" i="47" s="1"/>
  <c r="J158" i="47" s="1"/>
  <c r="J159" i="47" s="1"/>
  <c r="J160" i="47" s="1"/>
  <c r="J161" i="47" s="1"/>
  <c r="J162" i="47" s="1"/>
  <c r="J163" i="47" s="1"/>
  <c r="J164" i="47" s="1"/>
  <c r="J165" i="47" s="1"/>
  <c r="J166" i="47" s="1"/>
  <c r="J167" i="47" s="1"/>
  <c r="J168" i="47" s="1"/>
  <c r="J169" i="47" s="1"/>
  <c r="J170" i="47" s="1"/>
  <c r="J171" i="47" s="1"/>
  <c r="J172" i="47" s="1"/>
  <c r="J173" i="47" s="1"/>
  <c r="J174" i="47" s="1"/>
  <c r="J175" i="47" s="1"/>
  <c r="J176" i="47" s="1"/>
  <c r="J177" i="47" s="1"/>
  <c r="J178" i="47" s="1"/>
  <c r="J179" i="47" s="1"/>
  <c r="J180" i="47" s="1"/>
  <c r="J181" i="47" s="1"/>
  <c r="J182" i="47" s="1"/>
  <c r="J183" i="47" s="1"/>
  <c r="J184" i="47" s="1"/>
  <c r="J185" i="47" s="1"/>
  <c r="J186" i="47" s="1"/>
  <c r="J187" i="47" s="1"/>
  <c r="J188" i="47" s="1"/>
  <c r="J189" i="47" s="1"/>
  <c r="J190" i="47" s="1"/>
  <c r="J191" i="47" s="1"/>
  <c r="J192" i="47" s="1"/>
  <c r="J193" i="47" s="1"/>
  <c r="J194" i="47" s="1"/>
  <c r="J195" i="47" s="1"/>
  <c r="J196" i="47" s="1"/>
  <c r="J197" i="47" s="1"/>
  <c r="J198" i="47" s="1"/>
  <c r="J199" i="47" s="1"/>
  <c r="J200" i="47" s="1"/>
  <c r="J201" i="47" s="1"/>
  <c r="J202" i="47" s="1"/>
  <c r="B10" i="47"/>
  <c r="Q12" i="46"/>
  <c r="Q13" i="46" s="1"/>
  <c r="Q14" i="46" s="1"/>
  <c r="Q15" i="46" s="1"/>
  <c r="Q16" i="46" s="1"/>
  <c r="Q17" i="46" s="1"/>
  <c r="Q18" i="46" s="1"/>
  <c r="Q19" i="46" s="1"/>
  <c r="Q20" i="46" s="1"/>
  <c r="Q21" i="46" s="1"/>
  <c r="Q22" i="46" s="1"/>
  <c r="B12" i="46"/>
  <c r="B13" i="46" s="1"/>
  <c r="B14" i="46" s="1"/>
  <c r="B15" i="46" s="1"/>
  <c r="B16" i="46" s="1"/>
  <c r="B17" i="46" s="1"/>
  <c r="B18" i="46" s="1"/>
  <c r="B19" i="46" s="1"/>
  <c r="B20" i="46" s="1"/>
  <c r="B21" i="46" s="1"/>
  <c r="B22" i="46" s="1"/>
  <c r="B23" i="46" s="1"/>
  <c r="B24" i="46" s="1"/>
  <c r="B25" i="46" s="1"/>
  <c r="B26" i="46" s="1"/>
  <c r="B27" i="46" s="1"/>
  <c r="B28" i="46" s="1"/>
  <c r="B29" i="46" s="1"/>
  <c r="B30" i="46" s="1"/>
  <c r="B31" i="46" s="1"/>
  <c r="B32" i="46" s="1"/>
  <c r="B33" i="46" s="1"/>
  <c r="B34" i="46" s="1"/>
  <c r="B35" i="46" s="1"/>
  <c r="B36" i="46" s="1"/>
  <c r="B37" i="46" s="1"/>
  <c r="B38" i="46" s="1"/>
  <c r="B39" i="46" s="1"/>
  <c r="B40" i="46" s="1"/>
  <c r="B41" i="46" s="1"/>
  <c r="B42" i="46" s="1"/>
  <c r="B43" i="46" s="1"/>
  <c r="B44" i="46" s="1"/>
  <c r="B45" i="46" s="1"/>
  <c r="B46" i="46" s="1"/>
  <c r="B47" i="46" s="1"/>
  <c r="B48" i="46" s="1"/>
  <c r="B49" i="46" s="1"/>
  <c r="B50" i="46" s="1"/>
  <c r="B51" i="46" s="1"/>
  <c r="B52" i="46" s="1"/>
  <c r="B53" i="46" s="1"/>
  <c r="B54" i="46" s="1"/>
  <c r="B55" i="46" s="1"/>
  <c r="B56" i="46" s="1"/>
  <c r="B57" i="46" s="1"/>
  <c r="B58" i="46" s="1"/>
  <c r="B59" i="46" s="1"/>
  <c r="B60" i="46" s="1"/>
  <c r="B61" i="46" s="1"/>
  <c r="B62" i="46" s="1"/>
  <c r="B63" i="46" s="1"/>
  <c r="B64" i="46" s="1"/>
  <c r="B65" i="46" s="1"/>
  <c r="B66" i="46" s="1"/>
  <c r="B67" i="46" s="1"/>
  <c r="B68" i="46" s="1"/>
  <c r="B69" i="46" s="1"/>
  <c r="B70" i="46" s="1"/>
  <c r="N11" i="46"/>
  <c r="P11" i="46" s="1"/>
  <c r="L11" i="46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I11" i="46"/>
  <c r="I12" i="46" s="1"/>
  <c r="I13" i="46" s="1"/>
  <c r="I14" i="46" s="1"/>
  <c r="I15" i="46" s="1"/>
  <c r="I16" i="46" s="1"/>
  <c r="I17" i="46" s="1"/>
  <c r="I18" i="46" s="1"/>
  <c r="I19" i="46" s="1"/>
  <c r="I20" i="46" s="1"/>
  <c r="I21" i="46" s="1"/>
  <c r="I22" i="46" s="1"/>
  <c r="B10" i="46"/>
  <c r="P199" i="44"/>
  <c r="P200" i="44" s="1"/>
  <c r="P201" i="44" s="1"/>
  <c r="P202" i="44" s="1"/>
  <c r="P195" i="44"/>
  <c r="P196" i="44" s="1"/>
  <c r="P197" i="44" s="1"/>
  <c r="P198" i="44" s="1"/>
  <c r="K192" i="44"/>
  <c r="P191" i="44"/>
  <c r="P187" i="44"/>
  <c r="P188" i="44" s="1"/>
  <c r="P189" i="44" s="1"/>
  <c r="P190" i="44" s="1"/>
  <c r="P183" i="44"/>
  <c r="P184" i="44" s="1"/>
  <c r="P185" i="44" s="1"/>
  <c r="P186" i="44" s="1"/>
  <c r="K180" i="44"/>
  <c r="P179" i="44"/>
  <c r="P175" i="44"/>
  <c r="P176" i="44" s="1"/>
  <c r="P177" i="44" s="1"/>
  <c r="P178" i="44" s="1"/>
  <c r="P171" i="44"/>
  <c r="P172" i="44" s="1"/>
  <c r="P173" i="44" s="1"/>
  <c r="P174" i="44" s="1"/>
  <c r="P167" i="44"/>
  <c r="P163" i="44"/>
  <c r="P164" i="44" s="1"/>
  <c r="P165" i="44" s="1"/>
  <c r="P166" i="44" s="1"/>
  <c r="P159" i="44"/>
  <c r="P160" i="44" s="1"/>
  <c r="P161" i="44" s="1"/>
  <c r="P162" i="44" s="1"/>
  <c r="K156" i="44"/>
  <c r="P155" i="44"/>
  <c r="E155" i="44"/>
  <c r="P151" i="44"/>
  <c r="P152" i="44" s="1"/>
  <c r="P153" i="44" s="1"/>
  <c r="P154" i="44" s="1"/>
  <c r="P147" i="44"/>
  <c r="P148" i="44" s="1"/>
  <c r="P149" i="44" s="1"/>
  <c r="P150" i="44" s="1"/>
  <c r="K144" i="44"/>
  <c r="P143" i="44"/>
  <c r="P139" i="44"/>
  <c r="P140" i="44" s="1"/>
  <c r="P141" i="44" s="1"/>
  <c r="P142" i="44" s="1"/>
  <c r="P135" i="44"/>
  <c r="P136" i="44" s="1"/>
  <c r="P137" i="44" s="1"/>
  <c r="P138" i="44" s="1"/>
  <c r="K132" i="44"/>
  <c r="P131" i="44"/>
  <c r="P127" i="44"/>
  <c r="P128" i="44" s="1"/>
  <c r="P129" i="44" s="1"/>
  <c r="P130" i="44" s="1"/>
  <c r="P123" i="44"/>
  <c r="P124" i="44" s="1"/>
  <c r="P125" i="44" s="1"/>
  <c r="P126" i="44" s="1"/>
  <c r="P119" i="44"/>
  <c r="P115" i="44"/>
  <c r="P116" i="44" s="1"/>
  <c r="P117" i="44" s="1"/>
  <c r="P118" i="44" s="1"/>
  <c r="P111" i="44"/>
  <c r="P112" i="44" s="1"/>
  <c r="P113" i="44" s="1"/>
  <c r="P114" i="44" s="1"/>
  <c r="K108" i="44"/>
  <c r="P107" i="44"/>
  <c r="P103" i="44"/>
  <c r="P104" i="44" s="1"/>
  <c r="P105" i="44" s="1"/>
  <c r="P106" i="44" s="1"/>
  <c r="P99" i="44"/>
  <c r="P100" i="44" s="1"/>
  <c r="P101" i="44" s="1"/>
  <c r="P102" i="44" s="1"/>
  <c r="K96" i="44"/>
  <c r="P95" i="44"/>
  <c r="P91" i="44"/>
  <c r="P92" i="44" s="1"/>
  <c r="P93" i="44" s="1"/>
  <c r="P94" i="44" s="1"/>
  <c r="P87" i="44"/>
  <c r="P88" i="44" s="1"/>
  <c r="P89" i="44" s="1"/>
  <c r="P90" i="44" s="1"/>
  <c r="K84" i="44"/>
  <c r="P83" i="44"/>
  <c r="P79" i="44"/>
  <c r="P80" i="44" s="1"/>
  <c r="P81" i="44" s="1"/>
  <c r="P82" i="44" s="1"/>
  <c r="P75" i="44"/>
  <c r="P76" i="44" s="1"/>
  <c r="P77" i="44" s="1"/>
  <c r="P78" i="44" s="1"/>
  <c r="P71" i="44"/>
  <c r="P67" i="44"/>
  <c r="P68" i="44" s="1"/>
  <c r="P69" i="44" s="1"/>
  <c r="P70" i="44" s="1"/>
  <c r="P63" i="44"/>
  <c r="P64" i="44" s="1"/>
  <c r="P65" i="44" s="1"/>
  <c r="P66" i="44" s="1"/>
  <c r="K60" i="44"/>
  <c r="P59" i="44"/>
  <c r="D59" i="44"/>
  <c r="P55" i="44"/>
  <c r="P56" i="44" s="1"/>
  <c r="P57" i="44" s="1"/>
  <c r="P58" i="44" s="1"/>
  <c r="P51" i="44"/>
  <c r="P52" i="44" s="1"/>
  <c r="P53" i="44" s="1"/>
  <c r="P54" i="44" s="1"/>
  <c r="K48" i="44"/>
  <c r="P47" i="44"/>
  <c r="P43" i="44"/>
  <c r="P44" i="44" s="1"/>
  <c r="P45" i="44" s="1"/>
  <c r="P46" i="44" s="1"/>
  <c r="P39" i="44"/>
  <c r="P40" i="44" s="1"/>
  <c r="P41" i="44" s="1"/>
  <c r="P42" i="44" s="1"/>
  <c r="K36" i="44"/>
  <c r="P35" i="44"/>
  <c r="P31" i="44"/>
  <c r="P32" i="44" s="1"/>
  <c r="P33" i="44" s="1"/>
  <c r="P34" i="44" s="1"/>
  <c r="P27" i="44"/>
  <c r="P28" i="44" s="1"/>
  <c r="P29" i="44" s="1"/>
  <c r="P30" i="44" s="1"/>
  <c r="P23" i="44"/>
  <c r="P19" i="44"/>
  <c r="P20" i="44" s="1"/>
  <c r="P21" i="44" s="1"/>
  <c r="P22" i="44" s="1"/>
  <c r="P15" i="44"/>
  <c r="P16" i="44" s="1"/>
  <c r="P17" i="44" s="1"/>
  <c r="P18" i="44" s="1"/>
  <c r="L12" i="44"/>
  <c r="L13" i="44" s="1"/>
  <c r="L14" i="44" s="1"/>
  <c r="L15" i="44" s="1"/>
  <c r="L16" i="44" s="1"/>
  <c r="L17" i="44" s="1"/>
  <c r="L18" i="44" s="1"/>
  <c r="L19" i="44" s="1"/>
  <c r="L20" i="44" s="1"/>
  <c r="L21" i="44" s="1"/>
  <c r="L22" i="44" s="1"/>
  <c r="L23" i="44" s="1"/>
  <c r="L24" i="44" s="1"/>
  <c r="L25" i="44" s="1"/>
  <c r="L26" i="44" s="1"/>
  <c r="L27" i="44" s="1"/>
  <c r="L28" i="44" s="1"/>
  <c r="L29" i="44" s="1"/>
  <c r="L30" i="44" s="1"/>
  <c r="L31" i="44" s="1"/>
  <c r="L32" i="44" s="1"/>
  <c r="L33" i="44" s="1"/>
  <c r="L34" i="44" s="1"/>
  <c r="L35" i="44" s="1"/>
  <c r="L36" i="44" s="1"/>
  <c r="L37" i="44" s="1"/>
  <c r="L38" i="44" s="1"/>
  <c r="L39" i="44" s="1"/>
  <c r="L40" i="44" s="1"/>
  <c r="L41" i="44" s="1"/>
  <c r="L42" i="44" s="1"/>
  <c r="L43" i="44" s="1"/>
  <c r="L44" i="44" s="1"/>
  <c r="L45" i="44" s="1"/>
  <c r="L46" i="44" s="1"/>
  <c r="L47" i="44" s="1"/>
  <c r="L48" i="44" s="1"/>
  <c r="L49" i="44" s="1"/>
  <c r="L50" i="44" s="1"/>
  <c r="L51" i="44" s="1"/>
  <c r="L52" i="44" s="1"/>
  <c r="L53" i="44" s="1"/>
  <c r="L54" i="44" s="1"/>
  <c r="L55" i="44" s="1"/>
  <c r="L56" i="44" s="1"/>
  <c r="L57" i="44" s="1"/>
  <c r="L58" i="44" s="1"/>
  <c r="L59" i="44" s="1"/>
  <c r="L60" i="44" s="1"/>
  <c r="L61" i="44" s="1"/>
  <c r="L62" i="44" s="1"/>
  <c r="L63" i="44" s="1"/>
  <c r="L64" i="44" s="1"/>
  <c r="L65" i="44" s="1"/>
  <c r="L66" i="44" s="1"/>
  <c r="L67" i="44" s="1"/>
  <c r="L68" i="44" s="1"/>
  <c r="L69" i="44" s="1"/>
  <c r="L70" i="44" s="1"/>
  <c r="L71" i="44" s="1"/>
  <c r="L72" i="44" s="1"/>
  <c r="L73" i="44" s="1"/>
  <c r="L74" i="44" s="1"/>
  <c r="L75" i="44" s="1"/>
  <c r="L76" i="44" s="1"/>
  <c r="L77" i="44" s="1"/>
  <c r="L78" i="44" s="1"/>
  <c r="L79" i="44" s="1"/>
  <c r="L80" i="44" s="1"/>
  <c r="L81" i="44" s="1"/>
  <c r="L82" i="44" s="1"/>
  <c r="L83" i="44" s="1"/>
  <c r="L84" i="44" s="1"/>
  <c r="L85" i="44" s="1"/>
  <c r="L86" i="44" s="1"/>
  <c r="L87" i="44" s="1"/>
  <c r="L88" i="44" s="1"/>
  <c r="L89" i="44" s="1"/>
  <c r="L90" i="44" s="1"/>
  <c r="L91" i="44" s="1"/>
  <c r="L92" i="44" s="1"/>
  <c r="L93" i="44" s="1"/>
  <c r="L94" i="44" s="1"/>
  <c r="L95" i="44" s="1"/>
  <c r="L96" i="44" s="1"/>
  <c r="L97" i="44" s="1"/>
  <c r="L98" i="44" s="1"/>
  <c r="L99" i="44" s="1"/>
  <c r="L100" i="44" s="1"/>
  <c r="L101" i="44" s="1"/>
  <c r="L102" i="44" s="1"/>
  <c r="L103" i="44" s="1"/>
  <c r="L104" i="44" s="1"/>
  <c r="L105" i="44" s="1"/>
  <c r="L106" i="44" s="1"/>
  <c r="L107" i="44" s="1"/>
  <c r="L108" i="44" s="1"/>
  <c r="L109" i="44" s="1"/>
  <c r="L110" i="44" s="1"/>
  <c r="L111" i="44" s="1"/>
  <c r="L112" i="44" s="1"/>
  <c r="L113" i="44" s="1"/>
  <c r="L114" i="44" s="1"/>
  <c r="L115" i="44" s="1"/>
  <c r="L116" i="44" s="1"/>
  <c r="L117" i="44" s="1"/>
  <c r="L118" i="44" s="1"/>
  <c r="L119" i="44" s="1"/>
  <c r="L120" i="44" s="1"/>
  <c r="L121" i="44" s="1"/>
  <c r="L122" i="44" s="1"/>
  <c r="L123" i="44" s="1"/>
  <c r="L124" i="44" s="1"/>
  <c r="L125" i="44" s="1"/>
  <c r="L126" i="44" s="1"/>
  <c r="L127" i="44" s="1"/>
  <c r="L128" i="44" s="1"/>
  <c r="L129" i="44" s="1"/>
  <c r="L130" i="44" s="1"/>
  <c r="L131" i="44" s="1"/>
  <c r="L132" i="44" s="1"/>
  <c r="L133" i="44" s="1"/>
  <c r="L134" i="44" s="1"/>
  <c r="L135" i="44" s="1"/>
  <c r="L136" i="44" s="1"/>
  <c r="L137" i="44" s="1"/>
  <c r="L138" i="44" s="1"/>
  <c r="L139" i="44" s="1"/>
  <c r="L140" i="44" s="1"/>
  <c r="L141" i="44" s="1"/>
  <c r="L142" i="44" s="1"/>
  <c r="L143" i="44" s="1"/>
  <c r="L144" i="44" s="1"/>
  <c r="L145" i="44" s="1"/>
  <c r="L146" i="44" s="1"/>
  <c r="L147" i="44" s="1"/>
  <c r="L148" i="44" s="1"/>
  <c r="L149" i="44" s="1"/>
  <c r="L150" i="44" s="1"/>
  <c r="L151" i="44" s="1"/>
  <c r="L152" i="44" s="1"/>
  <c r="L153" i="44" s="1"/>
  <c r="L154" i="44" s="1"/>
  <c r="L155" i="44" s="1"/>
  <c r="L156" i="44" s="1"/>
  <c r="L157" i="44" s="1"/>
  <c r="L158" i="44" s="1"/>
  <c r="L159" i="44" s="1"/>
  <c r="L160" i="44" s="1"/>
  <c r="L161" i="44" s="1"/>
  <c r="L162" i="44" s="1"/>
  <c r="L163" i="44" s="1"/>
  <c r="L164" i="44" s="1"/>
  <c r="L165" i="44" s="1"/>
  <c r="L166" i="44" s="1"/>
  <c r="L167" i="44" s="1"/>
  <c r="L168" i="44" s="1"/>
  <c r="L169" i="44" s="1"/>
  <c r="L170" i="44" s="1"/>
  <c r="L171" i="44" s="1"/>
  <c r="L172" i="44" s="1"/>
  <c r="L173" i="44" s="1"/>
  <c r="L174" i="44" s="1"/>
  <c r="L175" i="44" s="1"/>
  <c r="L176" i="44" s="1"/>
  <c r="L177" i="44" s="1"/>
  <c r="L178" i="44" s="1"/>
  <c r="L179" i="44" s="1"/>
  <c r="L180" i="44" s="1"/>
  <c r="L181" i="44" s="1"/>
  <c r="L182" i="44" s="1"/>
  <c r="L183" i="44" s="1"/>
  <c r="L184" i="44" s="1"/>
  <c r="L185" i="44" s="1"/>
  <c r="L186" i="44" s="1"/>
  <c r="L187" i="44" s="1"/>
  <c r="L188" i="44" s="1"/>
  <c r="L189" i="44" s="1"/>
  <c r="L190" i="44" s="1"/>
  <c r="L191" i="44" s="1"/>
  <c r="L192" i="44" s="1"/>
  <c r="L193" i="44" s="1"/>
  <c r="L194" i="44" s="1"/>
  <c r="L195" i="44" s="1"/>
  <c r="L196" i="44" s="1"/>
  <c r="L197" i="44" s="1"/>
  <c r="L198" i="44" s="1"/>
  <c r="L199" i="44" s="1"/>
  <c r="L200" i="44" s="1"/>
  <c r="L201" i="44" s="1"/>
  <c r="L202" i="44" s="1"/>
  <c r="K12" i="44"/>
  <c r="B12" i="44"/>
  <c r="B13" i="44" s="1"/>
  <c r="B14" i="44" s="1"/>
  <c r="B15" i="44" s="1"/>
  <c r="B16" i="44" s="1"/>
  <c r="B17" i="44" s="1"/>
  <c r="B18" i="44" s="1"/>
  <c r="B19" i="44" s="1"/>
  <c r="B20" i="44" s="1"/>
  <c r="B21" i="44" s="1"/>
  <c r="B22" i="44" s="1"/>
  <c r="B23" i="44" s="1"/>
  <c r="B24" i="44" s="1"/>
  <c r="B25" i="44" s="1"/>
  <c r="B26" i="44" s="1"/>
  <c r="B27" i="44" s="1"/>
  <c r="B28" i="44" s="1"/>
  <c r="B29" i="44" s="1"/>
  <c r="B30" i="44" s="1"/>
  <c r="B31" i="44" s="1"/>
  <c r="B32" i="44" s="1"/>
  <c r="B33" i="44" s="1"/>
  <c r="B34" i="44" s="1"/>
  <c r="B35" i="44" s="1"/>
  <c r="B36" i="44" s="1"/>
  <c r="B37" i="44" s="1"/>
  <c r="B38" i="44" s="1"/>
  <c r="B39" i="44" s="1"/>
  <c r="B40" i="44" s="1"/>
  <c r="B41" i="44" s="1"/>
  <c r="B42" i="44" s="1"/>
  <c r="B43" i="44" s="1"/>
  <c r="B44" i="44" s="1"/>
  <c r="B45" i="44" s="1"/>
  <c r="B46" i="44" s="1"/>
  <c r="B47" i="44" s="1"/>
  <c r="B48" i="44" s="1"/>
  <c r="B49" i="44" s="1"/>
  <c r="B50" i="44" s="1"/>
  <c r="B51" i="44" s="1"/>
  <c r="B52" i="44" s="1"/>
  <c r="B53" i="44" s="1"/>
  <c r="B54" i="44" s="1"/>
  <c r="B55" i="44" s="1"/>
  <c r="B56" i="44" s="1"/>
  <c r="B57" i="44" s="1"/>
  <c r="B58" i="44" s="1"/>
  <c r="B59" i="44" s="1"/>
  <c r="B60" i="44" s="1"/>
  <c r="B61" i="44" s="1"/>
  <c r="B62" i="44" s="1"/>
  <c r="B63" i="44" s="1"/>
  <c r="B64" i="44" s="1"/>
  <c r="B65" i="44" s="1"/>
  <c r="B66" i="44" s="1"/>
  <c r="B67" i="44" s="1"/>
  <c r="B68" i="44" s="1"/>
  <c r="B69" i="44" s="1"/>
  <c r="B70" i="44" s="1"/>
  <c r="B71" i="44" s="1"/>
  <c r="B72" i="44" s="1"/>
  <c r="B73" i="44" s="1"/>
  <c r="B74" i="44" s="1"/>
  <c r="B75" i="44" s="1"/>
  <c r="B76" i="44" s="1"/>
  <c r="B77" i="44" s="1"/>
  <c r="B78" i="44" s="1"/>
  <c r="B79" i="44" s="1"/>
  <c r="B80" i="44" s="1"/>
  <c r="B81" i="44" s="1"/>
  <c r="B82" i="44" s="1"/>
  <c r="B83" i="44" s="1"/>
  <c r="B84" i="44" s="1"/>
  <c r="B85" i="44" s="1"/>
  <c r="B86" i="44" s="1"/>
  <c r="B87" i="44" s="1"/>
  <c r="B88" i="44" s="1"/>
  <c r="B89" i="44" s="1"/>
  <c r="B90" i="44" s="1"/>
  <c r="B91" i="44" s="1"/>
  <c r="B92" i="44" s="1"/>
  <c r="B93" i="44" s="1"/>
  <c r="B94" i="44" s="1"/>
  <c r="B95" i="44" s="1"/>
  <c r="B96" i="44" s="1"/>
  <c r="B97" i="44" s="1"/>
  <c r="B98" i="44" s="1"/>
  <c r="B99" i="44" s="1"/>
  <c r="B100" i="44" s="1"/>
  <c r="B101" i="44" s="1"/>
  <c r="B102" i="44" s="1"/>
  <c r="B103" i="44" s="1"/>
  <c r="B104" i="44" s="1"/>
  <c r="B105" i="44" s="1"/>
  <c r="B106" i="44" s="1"/>
  <c r="B107" i="44" s="1"/>
  <c r="B108" i="44" s="1"/>
  <c r="B109" i="44" s="1"/>
  <c r="B110" i="44" s="1"/>
  <c r="B111" i="44" s="1"/>
  <c r="B112" i="44" s="1"/>
  <c r="B113" i="44" s="1"/>
  <c r="B114" i="44" s="1"/>
  <c r="B115" i="44" s="1"/>
  <c r="B116" i="44" s="1"/>
  <c r="B117" i="44" s="1"/>
  <c r="B118" i="44" s="1"/>
  <c r="B119" i="44" s="1"/>
  <c r="B120" i="44" s="1"/>
  <c r="B121" i="44" s="1"/>
  <c r="B122" i="44" s="1"/>
  <c r="B123" i="44" s="1"/>
  <c r="B124" i="44" s="1"/>
  <c r="B125" i="44" s="1"/>
  <c r="B126" i="44" s="1"/>
  <c r="B127" i="44" s="1"/>
  <c r="B128" i="44" s="1"/>
  <c r="B129" i="44" s="1"/>
  <c r="B130" i="44" s="1"/>
  <c r="B131" i="44" s="1"/>
  <c r="B132" i="44" s="1"/>
  <c r="B133" i="44" s="1"/>
  <c r="B134" i="44" s="1"/>
  <c r="B135" i="44" s="1"/>
  <c r="B136" i="44" s="1"/>
  <c r="B137" i="44" s="1"/>
  <c r="B138" i="44" s="1"/>
  <c r="B139" i="44" s="1"/>
  <c r="B140" i="44" s="1"/>
  <c r="B141" i="44" s="1"/>
  <c r="B142" i="44" s="1"/>
  <c r="B143" i="44" s="1"/>
  <c r="B144" i="44" s="1"/>
  <c r="B145" i="44" s="1"/>
  <c r="B146" i="44" s="1"/>
  <c r="B147" i="44" s="1"/>
  <c r="B148" i="44" s="1"/>
  <c r="B149" i="44" s="1"/>
  <c r="B150" i="44" s="1"/>
  <c r="B151" i="44" s="1"/>
  <c r="B152" i="44" s="1"/>
  <c r="B153" i="44" s="1"/>
  <c r="B154" i="44" s="1"/>
  <c r="B155" i="44" s="1"/>
  <c r="B156" i="44" s="1"/>
  <c r="B157" i="44" s="1"/>
  <c r="B158" i="44" s="1"/>
  <c r="B159" i="44" s="1"/>
  <c r="B160" i="44" s="1"/>
  <c r="B161" i="44" s="1"/>
  <c r="B162" i="44" s="1"/>
  <c r="B163" i="44" s="1"/>
  <c r="B164" i="44" s="1"/>
  <c r="B165" i="44" s="1"/>
  <c r="B166" i="44" s="1"/>
  <c r="B167" i="44" s="1"/>
  <c r="B168" i="44" s="1"/>
  <c r="B169" i="44" s="1"/>
  <c r="B170" i="44" s="1"/>
  <c r="B171" i="44" s="1"/>
  <c r="B172" i="44" s="1"/>
  <c r="B173" i="44" s="1"/>
  <c r="B174" i="44" s="1"/>
  <c r="B175" i="44" s="1"/>
  <c r="B176" i="44" s="1"/>
  <c r="B177" i="44" s="1"/>
  <c r="B178" i="44" s="1"/>
  <c r="B179" i="44" s="1"/>
  <c r="B180" i="44" s="1"/>
  <c r="B181" i="44" s="1"/>
  <c r="B182" i="44" s="1"/>
  <c r="B183" i="44" s="1"/>
  <c r="B184" i="44" s="1"/>
  <c r="B185" i="44" s="1"/>
  <c r="B186" i="44" s="1"/>
  <c r="B187" i="44" s="1"/>
  <c r="B188" i="44" s="1"/>
  <c r="B189" i="44" s="1"/>
  <c r="B190" i="44" s="1"/>
  <c r="B191" i="44" s="1"/>
  <c r="B192" i="44" s="1"/>
  <c r="B193" i="44" s="1"/>
  <c r="B194" i="44" s="1"/>
  <c r="B195" i="44" s="1"/>
  <c r="B196" i="44" s="1"/>
  <c r="B197" i="44" s="1"/>
  <c r="B198" i="44" s="1"/>
  <c r="B199" i="44" s="1"/>
  <c r="B200" i="44" s="1"/>
  <c r="B201" i="44" s="1"/>
  <c r="B202" i="44" s="1"/>
  <c r="S11" i="44"/>
  <c r="T11" i="44" s="1"/>
  <c r="T12" i="44" s="1"/>
  <c r="T13" i="44" s="1"/>
  <c r="T14" i="44" s="1"/>
  <c r="T15" i="44" s="1"/>
  <c r="T16" i="44" s="1"/>
  <c r="T17" i="44" s="1"/>
  <c r="T18" i="44" s="1"/>
  <c r="T19" i="44" s="1"/>
  <c r="T20" i="44" s="1"/>
  <c r="T21" i="44" s="1"/>
  <c r="T22" i="44" s="1"/>
  <c r="T23" i="44" s="1"/>
  <c r="T24" i="44" s="1"/>
  <c r="T25" i="44" s="1"/>
  <c r="T26" i="44" s="1"/>
  <c r="T27" i="44" s="1"/>
  <c r="T28" i="44" s="1"/>
  <c r="T29" i="44" s="1"/>
  <c r="T30" i="44" s="1"/>
  <c r="T31" i="44" s="1"/>
  <c r="T32" i="44" s="1"/>
  <c r="T33" i="44" s="1"/>
  <c r="T34" i="44" s="1"/>
  <c r="T35" i="44" s="1"/>
  <c r="T36" i="44" s="1"/>
  <c r="T37" i="44" s="1"/>
  <c r="T38" i="44" s="1"/>
  <c r="T39" i="44" s="1"/>
  <c r="T40" i="44" s="1"/>
  <c r="T41" i="44" s="1"/>
  <c r="T42" i="44" s="1"/>
  <c r="T43" i="44" s="1"/>
  <c r="T44" i="44" s="1"/>
  <c r="T45" i="44" s="1"/>
  <c r="T46" i="44" s="1"/>
  <c r="T47" i="44" s="1"/>
  <c r="T48" i="44" s="1"/>
  <c r="T49" i="44" s="1"/>
  <c r="T50" i="44" s="1"/>
  <c r="T51" i="44" s="1"/>
  <c r="T52" i="44" s="1"/>
  <c r="T53" i="44" s="1"/>
  <c r="T54" i="44" s="1"/>
  <c r="T55" i="44" s="1"/>
  <c r="T56" i="44" s="1"/>
  <c r="T57" i="44" s="1"/>
  <c r="T58" i="44" s="1"/>
  <c r="T59" i="44" s="1"/>
  <c r="T60" i="44" s="1"/>
  <c r="T61" i="44" s="1"/>
  <c r="T62" i="44" s="1"/>
  <c r="T63" i="44" s="1"/>
  <c r="T64" i="44" s="1"/>
  <c r="T65" i="44" s="1"/>
  <c r="T66" i="44" s="1"/>
  <c r="T67" i="44" s="1"/>
  <c r="T68" i="44" s="1"/>
  <c r="T69" i="44" s="1"/>
  <c r="T70" i="44" s="1"/>
  <c r="T71" i="44" s="1"/>
  <c r="T72" i="44" s="1"/>
  <c r="T73" i="44" s="1"/>
  <c r="T74" i="44" s="1"/>
  <c r="T75" i="44" s="1"/>
  <c r="T76" i="44" s="1"/>
  <c r="T77" i="44" s="1"/>
  <c r="T78" i="44" s="1"/>
  <c r="T79" i="44" s="1"/>
  <c r="T80" i="44" s="1"/>
  <c r="T81" i="44" s="1"/>
  <c r="T82" i="44" s="1"/>
  <c r="T83" i="44" s="1"/>
  <c r="T84" i="44" s="1"/>
  <c r="T85" i="44" s="1"/>
  <c r="T86" i="44" s="1"/>
  <c r="T87" i="44" s="1"/>
  <c r="T88" i="44" s="1"/>
  <c r="T89" i="44" s="1"/>
  <c r="T90" i="44" s="1"/>
  <c r="T91" i="44" s="1"/>
  <c r="T92" i="44" s="1"/>
  <c r="T93" i="44" s="1"/>
  <c r="T94" i="44" s="1"/>
  <c r="T95" i="44" s="1"/>
  <c r="T96" i="44" s="1"/>
  <c r="T97" i="44" s="1"/>
  <c r="T98" i="44" s="1"/>
  <c r="T99" i="44" s="1"/>
  <c r="T100" i="44" s="1"/>
  <c r="T101" i="44" s="1"/>
  <c r="T102" i="44" s="1"/>
  <c r="T103" i="44" s="1"/>
  <c r="T104" i="44" s="1"/>
  <c r="T105" i="44" s="1"/>
  <c r="T106" i="44" s="1"/>
  <c r="T107" i="44" s="1"/>
  <c r="T108" i="44" s="1"/>
  <c r="T109" i="44" s="1"/>
  <c r="T110" i="44" s="1"/>
  <c r="T111" i="44" s="1"/>
  <c r="T112" i="44" s="1"/>
  <c r="T113" i="44" s="1"/>
  <c r="T114" i="44" s="1"/>
  <c r="T115" i="44" s="1"/>
  <c r="T116" i="44" s="1"/>
  <c r="T117" i="44" s="1"/>
  <c r="T118" i="44" s="1"/>
  <c r="T119" i="44" s="1"/>
  <c r="T120" i="44" s="1"/>
  <c r="T121" i="44" s="1"/>
  <c r="T122" i="44" s="1"/>
  <c r="T123" i="44" s="1"/>
  <c r="T124" i="44" s="1"/>
  <c r="T125" i="44" s="1"/>
  <c r="T126" i="44" s="1"/>
  <c r="T127" i="44" s="1"/>
  <c r="T128" i="44" s="1"/>
  <c r="T129" i="44" s="1"/>
  <c r="T130" i="44" s="1"/>
  <c r="T131" i="44" s="1"/>
  <c r="T132" i="44" s="1"/>
  <c r="T133" i="44" s="1"/>
  <c r="T134" i="44" s="1"/>
  <c r="T135" i="44" s="1"/>
  <c r="T136" i="44" s="1"/>
  <c r="T137" i="44" s="1"/>
  <c r="T138" i="44" s="1"/>
  <c r="T139" i="44" s="1"/>
  <c r="T140" i="44" s="1"/>
  <c r="T141" i="44" s="1"/>
  <c r="T142" i="44" s="1"/>
  <c r="T143" i="44" s="1"/>
  <c r="T144" i="44" s="1"/>
  <c r="T145" i="44" s="1"/>
  <c r="T146" i="44" s="1"/>
  <c r="T147" i="44" s="1"/>
  <c r="T148" i="44" s="1"/>
  <c r="T149" i="44" s="1"/>
  <c r="T150" i="44" s="1"/>
  <c r="T151" i="44" s="1"/>
  <c r="T152" i="44" s="1"/>
  <c r="T153" i="44" s="1"/>
  <c r="T154" i="44" s="1"/>
  <c r="T155" i="44" s="1"/>
  <c r="T156" i="44" s="1"/>
  <c r="T157" i="44" s="1"/>
  <c r="T158" i="44" s="1"/>
  <c r="T159" i="44" s="1"/>
  <c r="T160" i="44" s="1"/>
  <c r="T161" i="44" s="1"/>
  <c r="T162" i="44" s="1"/>
  <c r="T163" i="44" s="1"/>
  <c r="T164" i="44" s="1"/>
  <c r="T165" i="44" s="1"/>
  <c r="T166" i="44" s="1"/>
  <c r="T167" i="44" s="1"/>
  <c r="T168" i="44" s="1"/>
  <c r="T169" i="44" s="1"/>
  <c r="T170" i="44" s="1"/>
  <c r="T171" i="44" s="1"/>
  <c r="T172" i="44" s="1"/>
  <c r="T173" i="44" s="1"/>
  <c r="T174" i="44" s="1"/>
  <c r="T175" i="44" s="1"/>
  <c r="T176" i="44" s="1"/>
  <c r="T177" i="44" s="1"/>
  <c r="T178" i="44" s="1"/>
  <c r="T179" i="44" s="1"/>
  <c r="T180" i="44" s="1"/>
  <c r="T181" i="44" s="1"/>
  <c r="T182" i="44" s="1"/>
  <c r="T183" i="44" s="1"/>
  <c r="T184" i="44" s="1"/>
  <c r="T185" i="44" s="1"/>
  <c r="T186" i="44" s="1"/>
  <c r="T187" i="44" s="1"/>
  <c r="T188" i="44" s="1"/>
  <c r="T189" i="44" s="1"/>
  <c r="T190" i="44" s="1"/>
  <c r="T191" i="44" s="1"/>
  <c r="T192" i="44" s="1"/>
  <c r="T193" i="44" s="1"/>
  <c r="T194" i="44" s="1"/>
  <c r="T195" i="44" s="1"/>
  <c r="T196" i="44" s="1"/>
  <c r="T197" i="44" s="1"/>
  <c r="T198" i="44" s="1"/>
  <c r="T199" i="44" s="1"/>
  <c r="T200" i="44" s="1"/>
  <c r="T201" i="44" s="1"/>
  <c r="T202" i="44" s="1"/>
  <c r="Q11" i="44"/>
  <c r="Q12" i="44" s="1"/>
  <c r="Q13" i="44" s="1"/>
  <c r="Q14" i="44" s="1"/>
  <c r="Q15" i="44" s="1"/>
  <c r="Q16" i="44" s="1"/>
  <c r="Q17" i="44" s="1"/>
  <c r="Q18" i="44" s="1"/>
  <c r="Q19" i="44" s="1"/>
  <c r="Q20" i="44" s="1"/>
  <c r="Q21" i="44" s="1"/>
  <c r="Q22" i="44" s="1"/>
  <c r="Q23" i="44" s="1"/>
  <c r="Q24" i="44" s="1"/>
  <c r="Q25" i="44" s="1"/>
  <c r="Q26" i="44" s="1"/>
  <c r="Q27" i="44" s="1"/>
  <c r="Q28" i="44" s="1"/>
  <c r="Q29" i="44" s="1"/>
  <c r="Q30" i="44" s="1"/>
  <c r="Q31" i="44" s="1"/>
  <c r="Q32" i="44" s="1"/>
  <c r="Q33" i="44" s="1"/>
  <c r="Q34" i="44" s="1"/>
  <c r="Q35" i="44" s="1"/>
  <c r="Q36" i="44" s="1"/>
  <c r="Q37" i="44" s="1"/>
  <c r="Q38" i="44" s="1"/>
  <c r="Q39" i="44" s="1"/>
  <c r="Q40" i="44" s="1"/>
  <c r="Q41" i="44" s="1"/>
  <c r="Q42" i="44" s="1"/>
  <c r="Q43" i="44" s="1"/>
  <c r="Q44" i="44" s="1"/>
  <c r="Q45" i="44" s="1"/>
  <c r="Q46" i="44" s="1"/>
  <c r="Q47" i="44" s="1"/>
  <c r="Q48" i="44" s="1"/>
  <c r="Q49" i="44" s="1"/>
  <c r="Q50" i="44" s="1"/>
  <c r="Q51" i="44" s="1"/>
  <c r="Q52" i="44" s="1"/>
  <c r="Q53" i="44" s="1"/>
  <c r="Q54" i="44" s="1"/>
  <c r="Q55" i="44" s="1"/>
  <c r="Q56" i="44" s="1"/>
  <c r="Q57" i="44" s="1"/>
  <c r="Q58" i="44" s="1"/>
  <c r="Q59" i="44" s="1"/>
  <c r="Q60" i="44" s="1"/>
  <c r="Q61" i="44" s="1"/>
  <c r="Q62" i="44" s="1"/>
  <c r="Q63" i="44" s="1"/>
  <c r="Q64" i="44" s="1"/>
  <c r="Q65" i="44" s="1"/>
  <c r="Q66" i="44" s="1"/>
  <c r="Q67" i="44" s="1"/>
  <c r="Q68" i="44" s="1"/>
  <c r="Q69" i="44" s="1"/>
  <c r="Q70" i="44" s="1"/>
  <c r="Q71" i="44" s="1"/>
  <c r="Q72" i="44" s="1"/>
  <c r="Q73" i="44" s="1"/>
  <c r="Q74" i="44" s="1"/>
  <c r="Q75" i="44" s="1"/>
  <c r="Q76" i="44" s="1"/>
  <c r="Q77" i="44" s="1"/>
  <c r="Q78" i="44" s="1"/>
  <c r="Q79" i="44" s="1"/>
  <c r="Q80" i="44" s="1"/>
  <c r="Q81" i="44" s="1"/>
  <c r="Q82" i="44" s="1"/>
  <c r="Q83" i="44" s="1"/>
  <c r="Q84" i="44" s="1"/>
  <c r="Q85" i="44" s="1"/>
  <c r="Q86" i="44" s="1"/>
  <c r="Q87" i="44" s="1"/>
  <c r="Q88" i="44" s="1"/>
  <c r="Q89" i="44" s="1"/>
  <c r="Q90" i="44" s="1"/>
  <c r="Q91" i="44" s="1"/>
  <c r="Q92" i="44" s="1"/>
  <c r="Q93" i="44" s="1"/>
  <c r="Q94" i="44" s="1"/>
  <c r="Q95" i="44" s="1"/>
  <c r="Q96" i="44" s="1"/>
  <c r="Q97" i="44" s="1"/>
  <c r="Q98" i="44" s="1"/>
  <c r="Q99" i="44" s="1"/>
  <c r="Q100" i="44" s="1"/>
  <c r="Q101" i="44" s="1"/>
  <c r="Q102" i="44" s="1"/>
  <c r="Q103" i="44" s="1"/>
  <c r="Q104" i="44" s="1"/>
  <c r="Q105" i="44" s="1"/>
  <c r="Q106" i="44" s="1"/>
  <c r="Q107" i="44" s="1"/>
  <c r="Q108" i="44" s="1"/>
  <c r="Q109" i="44" s="1"/>
  <c r="Q110" i="44" s="1"/>
  <c r="Q111" i="44" s="1"/>
  <c r="Q112" i="44" s="1"/>
  <c r="Q113" i="44" s="1"/>
  <c r="Q114" i="44" s="1"/>
  <c r="Q115" i="44" s="1"/>
  <c r="Q116" i="44" s="1"/>
  <c r="Q117" i="44" s="1"/>
  <c r="Q118" i="44" s="1"/>
  <c r="Q119" i="44" s="1"/>
  <c r="Q120" i="44" s="1"/>
  <c r="Q121" i="44" s="1"/>
  <c r="Q122" i="44" s="1"/>
  <c r="Q123" i="44" s="1"/>
  <c r="Q124" i="44" s="1"/>
  <c r="Q125" i="44" s="1"/>
  <c r="Q126" i="44" s="1"/>
  <c r="Q127" i="44" s="1"/>
  <c r="Q128" i="44" s="1"/>
  <c r="Q129" i="44" s="1"/>
  <c r="Q130" i="44" s="1"/>
  <c r="Q131" i="44" s="1"/>
  <c r="Q132" i="44" s="1"/>
  <c r="Q133" i="44" s="1"/>
  <c r="Q134" i="44" s="1"/>
  <c r="Q135" i="44" s="1"/>
  <c r="Q136" i="44" s="1"/>
  <c r="Q137" i="44" s="1"/>
  <c r="Q138" i="44" s="1"/>
  <c r="Q139" i="44" s="1"/>
  <c r="Q140" i="44" s="1"/>
  <c r="Q141" i="44" s="1"/>
  <c r="Q142" i="44" s="1"/>
  <c r="Q143" i="44" s="1"/>
  <c r="Q144" i="44" s="1"/>
  <c r="Q145" i="44" s="1"/>
  <c r="Q146" i="44" s="1"/>
  <c r="Q147" i="44" s="1"/>
  <c r="Q148" i="44" s="1"/>
  <c r="Q149" i="44" s="1"/>
  <c r="Q150" i="44" s="1"/>
  <c r="Q151" i="44" s="1"/>
  <c r="Q152" i="44" s="1"/>
  <c r="Q153" i="44" s="1"/>
  <c r="Q154" i="44" s="1"/>
  <c r="Q155" i="44" s="1"/>
  <c r="Q156" i="44" s="1"/>
  <c r="Q157" i="44" s="1"/>
  <c r="Q158" i="44" s="1"/>
  <c r="Q159" i="44" s="1"/>
  <c r="Q160" i="44" s="1"/>
  <c r="Q161" i="44" s="1"/>
  <c r="Q162" i="44" s="1"/>
  <c r="Q163" i="44" s="1"/>
  <c r="Q164" i="44" s="1"/>
  <c r="Q165" i="44" s="1"/>
  <c r="Q166" i="44" s="1"/>
  <c r="Q167" i="44" s="1"/>
  <c r="Q168" i="44" s="1"/>
  <c r="Q169" i="44" s="1"/>
  <c r="Q170" i="44" s="1"/>
  <c r="Q171" i="44" s="1"/>
  <c r="Q172" i="44" s="1"/>
  <c r="Q173" i="44" s="1"/>
  <c r="Q174" i="44" s="1"/>
  <c r="Q175" i="44" s="1"/>
  <c r="Q176" i="44" s="1"/>
  <c r="Q177" i="44" s="1"/>
  <c r="Q178" i="44" s="1"/>
  <c r="Q179" i="44" s="1"/>
  <c r="Q180" i="44" s="1"/>
  <c r="Q181" i="44" s="1"/>
  <c r="Q182" i="44" s="1"/>
  <c r="Q183" i="44" s="1"/>
  <c r="Q184" i="44" s="1"/>
  <c r="Q185" i="44" s="1"/>
  <c r="Q186" i="44" s="1"/>
  <c r="Q187" i="44" s="1"/>
  <c r="Q188" i="44" s="1"/>
  <c r="Q189" i="44" s="1"/>
  <c r="Q190" i="44" s="1"/>
  <c r="Q191" i="44" s="1"/>
  <c r="Q192" i="44" s="1"/>
  <c r="Q193" i="44" s="1"/>
  <c r="Q194" i="44" s="1"/>
  <c r="Q195" i="44" s="1"/>
  <c r="Q196" i="44" s="1"/>
  <c r="Q197" i="44" s="1"/>
  <c r="Q198" i="44" s="1"/>
  <c r="Q199" i="44" s="1"/>
  <c r="Q200" i="44" s="1"/>
  <c r="Q201" i="44" s="1"/>
  <c r="Q202" i="44" s="1"/>
  <c r="P11" i="44"/>
  <c r="O11" i="44"/>
  <c r="O12" i="44" s="1"/>
  <c r="O13" i="44" s="1"/>
  <c r="O14" i="44" s="1"/>
  <c r="O15" i="44" s="1"/>
  <c r="O16" i="44" s="1"/>
  <c r="O17" i="44" s="1"/>
  <c r="O18" i="44" s="1"/>
  <c r="O19" i="44" s="1"/>
  <c r="O20" i="44" s="1"/>
  <c r="O21" i="44" s="1"/>
  <c r="O22" i="44" s="1"/>
  <c r="O23" i="44" s="1"/>
  <c r="O24" i="44" s="1"/>
  <c r="O25" i="44" s="1"/>
  <c r="O26" i="44" s="1"/>
  <c r="O27" i="44" s="1"/>
  <c r="O28" i="44" s="1"/>
  <c r="O29" i="44" s="1"/>
  <c r="O30" i="44" s="1"/>
  <c r="O31" i="44" s="1"/>
  <c r="O32" i="44" s="1"/>
  <c r="O33" i="44" s="1"/>
  <c r="O34" i="44" s="1"/>
  <c r="O35" i="44" s="1"/>
  <c r="O36" i="44" s="1"/>
  <c r="O37" i="44" s="1"/>
  <c r="O38" i="44" s="1"/>
  <c r="O39" i="44" s="1"/>
  <c r="O40" i="44" s="1"/>
  <c r="O41" i="44" s="1"/>
  <c r="O42" i="44" s="1"/>
  <c r="O43" i="44" s="1"/>
  <c r="O44" i="44" s="1"/>
  <c r="O45" i="44" s="1"/>
  <c r="O46" i="44" s="1"/>
  <c r="O47" i="44" s="1"/>
  <c r="O48" i="44" s="1"/>
  <c r="O49" i="44" s="1"/>
  <c r="O50" i="44" s="1"/>
  <c r="O51" i="44" s="1"/>
  <c r="O52" i="44" s="1"/>
  <c r="O53" i="44" s="1"/>
  <c r="O54" i="44" s="1"/>
  <c r="O55" i="44" s="1"/>
  <c r="O56" i="44" s="1"/>
  <c r="O57" i="44" s="1"/>
  <c r="O58" i="44" s="1"/>
  <c r="O59" i="44" s="1"/>
  <c r="O60" i="44" s="1"/>
  <c r="O61" i="44" s="1"/>
  <c r="O62" i="44" s="1"/>
  <c r="O63" i="44" s="1"/>
  <c r="O64" i="44" s="1"/>
  <c r="O65" i="44" s="1"/>
  <c r="O66" i="44" s="1"/>
  <c r="O67" i="44" s="1"/>
  <c r="O68" i="44" s="1"/>
  <c r="O69" i="44" s="1"/>
  <c r="O70" i="44" s="1"/>
  <c r="O71" i="44" s="1"/>
  <c r="O72" i="44" s="1"/>
  <c r="O73" i="44" s="1"/>
  <c r="O74" i="44" s="1"/>
  <c r="O75" i="44" s="1"/>
  <c r="O76" i="44" s="1"/>
  <c r="O77" i="44" s="1"/>
  <c r="O78" i="44" s="1"/>
  <c r="O79" i="44" s="1"/>
  <c r="O80" i="44" s="1"/>
  <c r="O81" i="44" s="1"/>
  <c r="O82" i="44" s="1"/>
  <c r="O83" i="44" s="1"/>
  <c r="O84" i="44" s="1"/>
  <c r="O85" i="44" s="1"/>
  <c r="O86" i="44" s="1"/>
  <c r="O87" i="44" s="1"/>
  <c r="O88" i="44" s="1"/>
  <c r="O89" i="44" s="1"/>
  <c r="O90" i="44" s="1"/>
  <c r="O91" i="44" s="1"/>
  <c r="O92" i="44" s="1"/>
  <c r="O93" i="44" s="1"/>
  <c r="O94" i="44" s="1"/>
  <c r="O95" i="44" s="1"/>
  <c r="O96" i="44" s="1"/>
  <c r="O97" i="44" s="1"/>
  <c r="O98" i="44" s="1"/>
  <c r="O99" i="44" s="1"/>
  <c r="O100" i="44" s="1"/>
  <c r="O101" i="44" s="1"/>
  <c r="O102" i="44" s="1"/>
  <c r="O103" i="44" s="1"/>
  <c r="O104" i="44" s="1"/>
  <c r="O105" i="44" s="1"/>
  <c r="O106" i="44" s="1"/>
  <c r="O107" i="44" s="1"/>
  <c r="O108" i="44" s="1"/>
  <c r="O109" i="44" s="1"/>
  <c r="O110" i="44" s="1"/>
  <c r="O111" i="44" s="1"/>
  <c r="O112" i="44" s="1"/>
  <c r="O113" i="44" s="1"/>
  <c r="O114" i="44" s="1"/>
  <c r="O115" i="44" s="1"/>
  <c r="O116" i="44" s="1"/>
  <c r="O117" i="44" s="1"/>
  <c r="O118" i="44" s="1"/>
  <c r="O119" i="44" s="1"/>
  <c r="O120" i="44" s="1"/>
  <c r="O121" i="44" s="1"/>
  <c r="O122" i="44" s="1"/>
  <c r="O123" i="44" s="1"/>
  <c r="O124" i="44" s="1"/>
  <c r="O125" i="44" s="1"/>
  <c r="O126" i="44" s="1"/>
  <c r="O127" i="44" s="1"/>
  <c r="O128" i="44" s="1"/>
  <c r="O129" i="44" s="1"/>
  <c r="O130" i="44" s="1"/>
  <c r="O131" i="44" s="1"/>
  <c r="O132" i="44" s="1"/>
  <c r="O133" i="44" s="1"/>
  <c r="O134" i="44" s="1"/>
  <c r="O135" i="44" s="1"/>
  <c r="O136" i="44" s="1"/>
  <c r="O137" i="44" s="1"/>
  <c r="O138" i="44" s="1"/>
  <c r="O139" i="44" s="1"/>
  <c r="O140" i="44" s="1"/>
  <c r="O141" i="44" s="1"/>
  <c r="O142" i="44" s="1"/>
  <c r="O143" i="44" s="1"/>
  <c r="O144" i="44" s="1"/>
  <c r="O145" i="44" s="1"/>
  <c r="O146" i="44" s="1"/>
  <c r="O147" i="44" s="1"/>
  <c r="O148" i="44" s="1"/>
  <c r="O149" i="44" s="1"/>
  <c r="O150" i="44" s="1"/>
  <c r="O151" i="44" s="1"/>
  <c r="O152" i="44" s="1"/>
  <c r="O153" i="44" s="1"/>
  <c r="O154" i="44" s="1"/>
  <c r="O155" i="44" s="1"/>
  <c r="O156" i="44" s="1"/>
  <c r="O157" i="44" s="1"/>
  <c r="O158" i="44" s="1"/>
  <c r="O159" i="44" s="1"/>
  <c r="O160" i="44" s="1"/>
  <c r="O161" i="44" s="1"/>
  <c r="O162" i="44" s="1"/>
  <c r="O163" i="44" s="1"/>
  <c r="O164" i="44" s="1"/>
  <c r="O165" i="44" s="1"/>
  <c r="O166" i="44" s="1"/>
  <c r="O167" i="44" s="1"/>
  <c r="O168" i="44" s="1"/>
  <c r="O169" i="44" s="1"/>
  <c r="O170" i="44" s="1"/>
  <c r="O171" i="44" s="1"/>
  <c r="O172" i="44" s="1"/>
  <c r="O173" i="44" s="1"/>
  <c r="O174" i="44" s="1"/>
  <c r="O175" i="44" s="1"/>
  <c r="O176" i="44" s="1"/>
  <c r="O177" i="44" s="1"/>
  <c r="O178" i="44" s="1"/>
  <c r="O179" i="44" s="1"/>
  <c r="O180" i="44" s="1"/>
  <c r="O181" i="44" s="1"/>
  <c r="O182" i="44" s="1"/>
  <c r="O183" i="44" s="1"/>
  <c r="O184" i="44" s="1"/>
  <c r="O185" i="44" s="1"/>
  <c r="O186" i="44" s="1"/>
  <c r="O187" i="44" s="1"/>
  <c r="O188" i="44" s="1"/>
  <c r="O189" i="44" s="1"/>
  <c r="O190" i="44" s="1"/>
  <c r="O191" i="44" s="1"/>
  <c r="O192" i="44" s="1"/>
  <c r="O193" i="44" s="1"/>
  <c r="O194" i="44" s="1"/>
  <c r="O195" i="44" s="1"/>
  <c r="O196" i="44" s="1"/>
  <c r="O197" i="44" s="1"/>
  <c r="O198" i="44" s="1"/>
  <c r="O199" i="44" s="1"/>
  <c r="O200" i="44" s="1"/>
  <c r="O201" i="44" s="1"/>
  <c r="O202" i="44" s="1"/>
  <c r="M11" i="44"/>
  <c r="M12" i="44" s="1"/>
  <c r="M13" i="44" s="1"/>
  <c r="M14" i="44" s="1"/>
  <c r="M15" i="44" s="1"/>
  <c r="M16" i="44" s="1"/>
  <c r="M17" i="44" s="1"/>
  <c r="M18" i="44" s="1"/>
  <c r="M19" i="44" s="1"/>
  <c r="M20" i="44" s="1"/>
  <c r="M21" i="44" s="1"/>
  <c r="M22" i="44" s="1"/>
  <c r="M23" i="44" s="1"/>
  <c r="M24" i="44" s="1"/>
  <c r="M25" i="44" s="1"/>
  <c r="M26" i="44" s="1"/>
  <c r="M27" i="44" s="1"/>
  <c r="M28" i="44" s="1"/>
  <c r="M29" i="44" s="1"/>
  <c r="M30" i="44" s="1"/>
  <c r="M31" i="44" s="1"/>
  <c r="M32" i="44" s="1"/>
  <c r="M33" i="44" s="1"/>
  <c r="M34" i="44" s="1"/>
  <c r="M35" i="44" s="1"/>
  <c r="M36" i="44" s="1"/>
  <c r="M37" i="44" s="1"/>
  <c r="M38" i="44" s="1"/>
  <c r="M39" i="44" s="1"/>
  <c r="M40" i="44" s="1"/>
  <c r="M41" i="44" s="1"/>
  <c r="M42" i="44" s="1"/>
  <c r="M43" i="44" s="1"/>
  <c r="M44" i="44" s="1"/>
  <c r="M45" i="44" s="1"/>
  <c r="M46" i="44" s="1"/>
  <c r="M47" i="44" s="1"/>
  <c r="M48" i="44" s="1"/>
  <c r="M49" i="44" s="1"/>
  <c r="M50" i="44" s="1"/>
  <c r="M51" i="44" s="1"/>
  <c r="M52" i="44" s="1"/>
  <c r="M53" i="44" s="1"/>
  <c r="M54" i="44" s="1"/>
  <c r="M55" i="44" s="1"/>
  <c r="M56" i="44" s="1"/>
  <c r="M57" i="44" s="1"/>
  <c r="M58" i="44" s="1"/>
  <c r="M59" i="44" s="1"/>
  <c r="M60" i="44" s="1"/>
  <c r="M61" i="44" s="1"/>
  <c r="M62" i="44" s="1"/>
  <c r="M63" i="44" s="1"/>
  <c r="M64" i="44" s="1"/>
  <c r="M65" i="44" s="1"/>
  <c r="M66" i="44" s="1"/>
  <c r="M67" i="44" s="1"/>
  <c r="M68" i="44" s="1"/>
  <c r="M69" i="44" s="1"/>
  <c r="M70" i="44" s="1"/>
  <c r="M71" i="44" s="1"/>
  <c r="M72" i="44" s="1"/>
  <c r="M73" i="44" s="1"/>
  <c r="M74" i="44" s="1"/>
  <c r="M75" i="44" s="1"/>
  <c r="M76" i="44" s="1"/>
  <c r="M77" i="44" s="1"/>
  <c r="M78" i="44" s="1"/>
  <c r="M79" i="44" s="1"/>
  <c r="M80" i="44" s="1"/>
  <c r="M81" i="44" s="1"/>
  <c r="M82" i="44" s="1"/>
  <c r="M83" i="44" s="1"/>
  <c r="M84" i="44" s="1"/>
  <c r="M85" i="44" s="1"/>
  <c r="M86" i="44" s="1"/>
  <c r="M87" i="44" s="1"/>
  <c r="M88" i="44" s="1"/>
  <c r="M89" i="44" s="1"/>
  <c r="M90" i="44" s="1"/>
  <c r="M91" i="44" s="1"/>
  <c r="M92" i="44" s="1"/>
  <c r="M93" i="44" s="1"/>
  <c r="M94" i="44" s="1"/>
  <c r="M95" i="44" s="1"/>
  <c r="M96" i="44" s="1"/>
  <c r="M97" i="44" s="1"/>
  <c r="M98" i="44" s="1"/>
  <c r="M99" i="44" s="1"/>
  <c r="M100" i="44" s="1"/>
  <c r="M101" i="44" s="1"/>
  <c r="M102" i="44" s="1"/>
  <c r="M103" i="44" s="1"/>
  <c r="M104" i="44" s="1"/>
  <c r="M105" i="44" s="1"/>
  <c r="M106" i="44" s="1"/>
  <c r="M107" i="44" s="1"/>
  <c r="M108" i="44" s="1"/>
  <c r="M109" i="44" s="1"/>
  <c r="M110" i="44" s="1"/>
  <c r="M111" i="44" s="1"/>
  <c r="M112" i="44" s="1"/>
  <c r="M113" i="44" s="1"/>
  <c r="M114" i="44" s="1"/>
  <c r="M115" i="44" s="1"/>
  <c r="M116" i="44" s="1"/>
  <c r="M117" i="44" s="1"/>
  <c r="M118" i="44" s="1"/>
  <c r="M119" i="44" s="1"/>
  <c r="M120" i="44" s="1"/>
  <c r="M121" i="44" s="1"/>
  <c r="M122" i="44" s="1"/>
  <c r="M123" i="44" s="1"/>
  <c r="M124" i="44" s="1"/>
  <c r="M125" i="44" s="1"/>
  <c r="M126" i="44" s="1"/>
  <c r="M127" i="44" s="1"/>
  <c r="M128" i="44" s="1"/>
  <c r="M129" i="44" s="1"/>
  <c r="M130" i="44" s="1"/>
  <c r="M131" i="44" s="1"/>
  <c r="M132" i="44" s="1"/>
  <c r="M133" i="44" s="1"/>
  <c r="M134" i="44" s="1"/>
  <c r="M135" i="44" s="1"/>
  <c r="M136" i="44" s="1"/>
  <c r="M137" i="44" s="1"/>
  <c r="M138" i="44" s="1"/>
  <c r="M139" i="44" s="1"/>
  <c r="M140" i="44" s="1"/>
  <c r="M141" i="44" s="1"/>
  <c r="M142" i="44" s="1"/>
  <c r="M143" i="44" s="1"/>
  <c r="M144" i="44" s="1"/>
  <c r="M145" i="44" s="1"/>
  <c r="M146" i="44" s="1"/>
  <c r="M147" i="44" s="1"/>
  <c r="M148" i="44" s="1"/>
  <c r="M149" i="44" s="1"/>
  <c r="M150" i="44" s="1"/>
  <c r="M151" i="44" s="1"/>
  <c r="M152" i="44" s="1"/>
  <c r="M153" i="44" s="1"/>
  <c r="M154" i="44" s="1"/>
  <c r="M155" i="44" s="1"/>
  <c r="M156" i="44" s="1"/>
  <c r="M157" i="44" s="1"/>
  <c r="M158" i="44" s="1"/>
  <c r="M159" i="44" s="1"/>
  <c r="M160" i="44" s="1"/>
  <c r="M161" i="44" s="1"/>
  <c r="M162" i="44" s="1"/>
  <c r="M163" i="44" s="1"/>
  <c r="M164" i="44" s="1"/>
  <c r="M165" i="44" s="1"/>
  <c r="M166" i="44" s="1"/>
  <c r="M167" i="44" s="1"/>
  <c r="M168" i="44" s="1"/>
  <c r="M169" i="44" s="1"/>
  <c r="M170" i="44" s="1"/>
  <c r="M171" i="44" s="1"/>
  <c r="M172" i="44" s="1"/>
  <c r="M173" i="44" s="1"/>
  <c r="M174" i="44" s="1"/>
  <c r="M175" i="44" s="1"/>
  <c r="M176" i="44" s="1"/>
  <c r="M177" i="44" s="1"/>
  <c r="M178" i="44" s="1"/>
  <c r="M179" i="44" s="1"/>
  <c r="M180" i="44" s="1"/>
  <c r="M181" i="44" s="1"/>
  <c r="M182" i="44" s="1"/>
  <c r="M183" i="44" s="1"/>
  <c r="M184" i="44" s="1"/>
  <c r="M185" i="44" s="1"/>
  <c r="M186" i="44" s="1"/>
  <c r="M187" i="44" s="1"/>
  <c r="M188" i="44" s="1"/>
  <c r="M189" i="44" s="1"/>
  <c r="M190" i="44" s="1"/>
  <c r="M191" i="44" s="1"/>
  <c r="M192" i="44" s="1"/>
  <c r="M193" i="44" s="1"/>
  <c r="M194" i="44" s="1"/>
  <c r="M195" i="44" s="1"/>
  <c r="M196" i="44" s="1"/>
  <c r="M197" i="44" s="1"/>
  <c r="M198" i="44" s="1"/>
  <c r="M199" i="44" s="1"/>
  <c r="M200" i="44" s="1"/>
  <c r="M201" i="44" s="1"/>
  <c r="M202" i="44" s="1"/>
  <c r="G11" i="44"/>
  <c r="G12" i="44" s="1"/>
  <c r="G13" i="44" s="1"/>
  <c r="G14" i="44" s="1"/>
  <c r="G15" i="44" s="1"/>
  <c r="G16" i="44" s="1"/>
  <c r="G17" i="44" s="1"/>
  <c r="G18" i="44" s="1"/>
  <c r="G19" i="44" s="1"/>
  <c r="G20" i="44" s="1"/>
  <c r="G21" i="44" s="1"/>
  <c r="G22" i="44" s="1"/>
  <c r="G23" i="44" s="1"/>
  <c r="G24" i="44" s="1"/>
  <c r="G25" i="44" s="1"/>
  <c r="G26" i="44" s="1"/>
  <c r="G27" i="44" s="1"/>
  <c r="G28" i="44" s="1"/>
  <c r="G29" i="44" s="1"/>
  <c r="G30" i="44" s="1"/>
  <c r="G31" i="44" s="1"/>
  <c r="G32" i="44" s="1"/>
  <c r="G33" i="44" s="1"/>
  <c r="G34" i="44" s="1"/>
  <c r="G35" i="44" s="1"/>
  <c r="G36" i="44" s="1"/>
  <c r="G37" i="44" s="1"/>
  <c r="G38" i="44" s="1"/>
  <c r="G39" i="44" s="1"/>
  <c r="G40" i="44" s="1"/>
  <c r="G41" i="44" s="1"/>
  <c r="G42" i="44" s="1"/>
  <c r="G43" i="44" s="1"/>
  <c r="G44" i="44" s="1"/>
  <c r="G45" i="44" s="1"/>
  <c r="G46" i="44" s="1"/>
  <c r="G47" i="44" s="1"/>
  <c r="G48" i="44" s="1"/>
  <c r="G49" i="44" s="1"/>
  <c r="G50" i="44" s="1"/>
  <c r="G51" i="44" s="1"/>
  <c r="G52" i="44" s="1"/>
  <c r="G53" i="44" s="1"/>
  <c r="G54" i="44" s="1"/>
  <c r="G55" i="44" s="1"/>
  <c r="G56" i="44" s="1"/>
  <c r="G57" i="44" s="1"/>
  <c r="G58" i="44" s="1"/>
  <c r="G59" i="44" s="1"/>
  <c r="G60" i="44" s="1"/>
  <c r="B10" i="44"/>
  <c r="D20" i="43"/>
  <c r="D21" i="43"/>
  <c r="D22" i="43"/>
  <c r="D23" i="43"/>
  <c r="D24" i="43"/>
  <c r="D25" i="43"/>
  <c r="D26" i="43"/>
  <c r="D19" i="43"/>
  <c r="G12" i="43"/>
  <c r="G13" i="43" s="1"/>
  <c r="G14" i="43" s="1"/>
  <c r="B12" i="43"/>
  <c r="B13" i="43" s="1"/>
  <c r="B14" i="43" s="1"/>
  <c r="N11" i="43"/>
  <c r="O11" i="43" s="1"/>
  <c r="L11" i="43"/>
  <c r="L12" i="43" s="1"/>
  <c r="L13" i="43" s="1"/>
  <c r="L14" i="43" s="1"/>
  <c r="K12" i="43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J11" i="43"/>
  <c r="J12" i="43" s="1"/>
  <c r="J13" i="43" s="1"/>
  <c r="J14" i="43" s="1"/>
  <c r="H11" i="43"/>
  <c r="H12" i="43" s="1"/>
  <c r="H13" i="43" s="1"/>
  <c r="H14" i="43" s="1"/>
  <c r="E11" i="43"/>
  <c r="E12" i="43" s="1"/>
  <c r="E13" i="43" s="1"/>
  <c r="E14" i="43" s="1"/>
  <c r="B10" i="43"/>
  <c r="E84" i="42"/>
  <c r="F84" i="42" s="1"/>
  <c r="K85" i="42"/>
  <c r="E86" i="42"/>
  <c r="F86" i="42" s="1"/>
  <c r="K87" i="42"/>
  <c r="K88" i="42"/>
  <c r="K89" i="42"/>
  <c r="E90" i="42"/>
  <c r="F90" i="42" s="1"/>
  <c r="K91" i="42"/>
  <c r="E92" i="42"/>
  <c r="F92" i="42" s="1"/>
  <c r="E93" i="42"/>
  <c r="F93" i="42" s="1"/>
  <c r="K94" i="42"/>
  <c r="K95" i="42"/>
  <c r="E96" i="42"/>
  <c r="F96" i="42" s="1"/>
  <c r="E97" i="42"/>
  <c r="F97" i="42" s="1"/>
  <c r="E98" i="42"/>
  <c r="F98" i="42" s="1"/>
  <c r="K99" i="42"/>
  <c r="E100" i="42"/>
  <c r="F100" i="42" s="1"/>
  <c r="K83" i="42"/>
  <c r="C83" i="42" s="1"/>
  <c r="J100" i="42"/>
  <c r="J99" i="42"/>
  <c r="C99" i="42" s="1"/>
  <c r="J98" i="42"/>
  <c r="J97" i="42"/>
  <c r="J96" i="42"/>
  <c r="J95" i="42"/>
  <c r="J94" i="42"/>
  <c r="J93" i="42"/>
  <c r="J92" i="42"/>
  <c r="J91" i="42"/>
  <c r="C91" i="42" s="1"/>
  <c r="J90" i="42"/>
  <c r="J89" i="42"/>
  <c r="C89" i="42" s="1"/>
  <c r="J88" i="42"/>
  <c r="C88" i="42" s="1"/>
  <c r="J87" i="42"/>
  <c r="J86" i="42"/>
  <c r="J85" i="42"/>
  <c r="C85" i="42" s="1"/>
  <c r="J84" i="42"/>
  <c r="K66" i="42"/>
  <c r="K67" i="42"/>
  <c r="K68" i="42"/>
  <c r="E69" i="42"/>
  <c r="F69" i="42" s="1"/>
  <c r="E70" i="42"/>
  <c r="F70" i="42" s="1"/>
  <c r="K71" i="42"/>
  <c r="E72" i="42"/>
  <c r="F72" i="42" s="1"/>
  <c r="E73" i="42"/>
  <c r="F73" i="42" s="1"/>
  <c r="K74" i="42"/>
  <c r="K75" i="42"/>
  <c r="K76" i="42"/>
  <c r="E77" i="42"/>
  <c r="F77" i="42" s="1"/>
  <c r="K78" i="42"/>
  <c r="K79" i="42"/>
  <c r="E80" i="42"/>
  <c r="F80" i="42" s="1"/>
  <c r="E81" i="42"/>
  <c r="F81" i="42" s="1"/>
  <c r="K82" i="42"/>
  <c r="E65" i="42"/>
  <c r="F65" i="42" s="1"/>
  <c r="J82" i="42"/>
  <c r="J81" i="42"/>
  <c r="J80" i="42"/>
  <c r="J79" i="42"/>
  <c r="C79" i="42" s="1"/>
  <c r="J78" i="42"/>
  <c r="C78" i="42" s="1"/>
  <c r="J77" i="42"/>
  <c r="J76" i="42"/>
  <c r="C76" i="42" s="1"/>
  <c r="J75" i="42"/>
  <c r="C75" i="42" s="1"/>
  <c r="J74" i="42"/>
  <c r="J73" i="42"/>
  <c r="J72" i="42"/>
  <c r="J71" i="42"/>
  <c r="C71" i="42" s="1"/>
  <c r="J70" i="42"/>
  <c r="J69" i="42"/>
  <c r="J68" i="42"/>
  <c r="C68" i="42" s="1"/>
  <c r="J67" i="42"/>
  <c r="C67" i="42" s="1"/>
  <c r="J66" i="42"/>
  <c r="J64" i="42"/>
  <c r="J63" i="42"/>
  <c r="J62" i="42"/>
  <c r="J61" i="42"/>
  <c r="J60" i="42"/>
  <c r="J59" i="42"/>
  <c r="J58" i="42"/>
  <c r="J57" i="42"/>
  <c r="J56" i="42"/>
  <c r="J55" i="42"/>
  <c r="J54" i="42"/>
  <c r="J53" i="42"/>
  <c r="J52" i="42"/>
  <c r="J51" i="42"/>
  <c r="J50" i="42"/>
  <c r="J49" i="42"/>
  <c r="J48" i="42"/>
  <c r="K30" i="42"/>
  <c r="J46" i="42"/>
  <c r="J45" i="42"/>
  <c r="J44" i="42"/>
  <c r="J43" i="42"/>
  <c r="J42" i="42"/>
  <c r="J41" i="42"/>
  <c r="J40" i="42"/>
  <c r="J39" i="42"/>
  <c r="J38" i="42"/>
  <c r="J37" i="42"/>
  <c r="J36" i="42"/>
  <c r="J35" i="42"/>
  <c r="J34" i="42"/>
  <c r="J33" i="42"/>
  <c r="J32" i="42"/>
  <c r="J31" i="42"/>
  <c r="J30" i="42"/>
  <c r="C30" i="42" s="1"/>
  <c r="E29" i="42"/>
  <c r="F29" i="42" s="1"/>
  <c r="J25" i="42"/>
  <c r="J26" i="42"/>
  <c r="J27" i="42"/>
  <c r="J28" i="42"/>
  <c r="J24" i="42"/>
  <c r="J23" i="42"/>
  <c r="J19" i="42"/>
  <c r="J20" i="42"/>
  <c r="J21" i="42"/>
  <c r="J22" i="42"/>
  <c r="J18" i="42"/>
  <c r="J17" i="42"/>
  <c r="J13" i="42"/>
  <c r="J14" i="42"/>
  <c r="J15" i="42"/>
  <c r="J16" i="42"/>
  <c r="J12" i="42"/>
  <c r="B12" i="42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B202" i="42" s="1"/>
  <c r="B203" i="42" s="1"/>
  <c r="B204" i="42" s="1"/>
  <c r="B205" i="42" s="1"/>
  <c r="B206" i="42" s="1"/>
  <c r="B207" i="42" s="1"/>
  <c r="B208" i="42" s="1"/>
  <c r="M11" i="42"/>
  <c r="M12" i="42" s="1"/>
  <c r="M13" i="42" s="1"/>
  <c r="M14" i="42" s="1"/>
  <c r="M15" i="42" s="1"/>
  <c r="M16" i="42" s="1"/>
  <c r="M17" i="42" s="1"/>
  <c r="M18" i="42" s="1"/>
  <c r="M19" i="42" s="1"/>
  <c r="M20" i="42" s="1"/>
  <c r="M21" i="42" s="1"/>
  <c r="M22" i="42" s="1"/>
  <c r="M23" i="42" s="1"/>
  <c r="M24" i="42" s="1"/>
  <c r="M25" i="42" s="1"/>
  <c r="M26" i="42" s="1"/>
  <c r="M27" i="42" s="1"/>
  <c r="M28" i="42" s="1"/>
  <c r="M29" i="42" s="1"/>
  <c r="M30" i="42" s="1"/>
  <c r="M31" i="42" s="1"/>
  <c r="M32" i="42" s="1"/>
  <c r="M33" i="42" s="1"/>
  <c r="M34" i="42" s="1"/>
  <c r="M35" i="42" s="1"/>
  <c r="M36" i="42" s="1"/>
  <c r="M37" i="42" s="1"/>
  <c r="M38" i="42" s="1"/>
  <c r="M39" i="42" s="1"/>
  <c r="M40" i="42" s="1"/>
  <c r="M41" i="42" s="1"/>
  <c r="M42" i="42" s="1"/>
  <c r="M43" i="42" s="1"/>
  <c r="M44" i="42" s="1"/>
  <c r="M45" i="42" s="1"/>
  <c r="M46" i="42" s="1"/>
  <c r="M47" i="42" s="1"/>
  <c r="M48" i="42" s="1"/>
  <c r="M49" i="42" s="1"/>
  <c r="M50" i="42" s="1"/>
  <c r="M51" i="42" s="1"/>
  <c r="M52" i="42" s="1"/>
  <c r="M53" i="42" s="1"/>
  <c r="M54" i="42" s="1"/>
  <c r="M55" i="42" s="1"/>
  <c r="M56" i="42" s="1"/>
  <c r="M57" i="42" s="1"/>
  <c r="M58" i="42" s="1"/>
  <c r="M59" i="42" s="1"/>
  <c r="M60" i="42" s="1"/>
  <c r="M61" i="42" s="1"/>
  <c r="M62" i="42" s="1"/>
  <c r="M63" i="42" s="1"/>
  <c r="M64" i="42" s="1"/>
  <c r="M65" i="42" s="1"/>
  <c r="M66" i="42" s="1"/>
  <c r="M67" i="42" s="1"/>
  <c r="M68" i="42" s="1"/>
  <c r="M69" i="42" s="1"/>
  <c r="M70" i="42" s="1"/>
  <c r="M71" i="42" s="1"/>
  <c r="M72" i="42" s="1"/>
  <c r="M73" i="42" s="1"/>
  <c r="M74" i="42" s="1"/>
  <c r="M75" i="42" s="1"/>
  <c r="M76" i="42" s="1"/>
  <c r="M77" i="42" s="1"/>
  <c r="M78" i="42" s="1"/>
  <c r="M79" i="42" s="1"/>
  <c r="M80" i="42" s="1"/>
  <c r="M81" i="42" s="1"/>
  <c r="M82" i="42" s="1"/>
  <c r="M83" i="42" s="1"/>
  <c r="M84" i="42" s="1"/>
  <c r="M85" i="42" s="1"/>
  <c r="M86" i="42" s="1"/>
  <c r="M87" i="42" s="1"/>
  <c r="M88" i="42" s="1"/>
  <c r="M89" i="42" s="1"/>
  <c r="M90" i="42" s="1"/>
  <c r="M91" i="42" s="1"/>
  <c r="M92" i="42" s="1"/>
  <c r="M93" i="42" s="1"/>
  <c r="M94" i="42" s="1"/>
  <c r="M95" i="42" s="1"/>
  <c r="M96" i="42" s="1"/>
  <c r="M97" i="42" s="1"/>
  <c r="M98" i="42" s="1"/>
  <c r="M99" i="42" s="1"/>
  <c r="M100" i="42" s="1"/>
  <c r="M101" i="42" s="1"/>
  <c r="M102" i="42" s="1"/>
  <c r="M103" i="42" s="1"/>
  <c r="M104" i="42" s="1"/>
  <c r="M105" i="42" s="1"/>
  <c r="M106" i="42" s="1"/>
  <c r="M107" i="42" s="1"/>
  <c r="M108" i="42" s="1"/>
  <c r="M109" i="42" s="1"/>
  <c r="M110" i="42" s="1"/>
  <c r="M111" i="42" s="1"/>
  <c r="M112" i="42" s="1"/>
  <c r="M113" i="42" s="1"/>
  <c r="M114" i="42" s="1"/>
  <c r="M115" i="42" s="1"/>
  <c r="M116" i="42" s="1"/>
  <c r="M117" i="42" s="1"/>
  <c r="M118" i="42" s="1"/>
  <c r="M119" i="42" s="1"/>
  <c r="M120" i="42" s="1"/>
  <c r="M121" i="42" s="1"/>
  <c r="M122" i="42" s="1"/>
  <c r="M123" i="42" s="1"/>
  <c r="M124" i="42" s="1"/>
  <c r="M125" i="42" s="1"/>
  <c r="M126" i="42" s="1"/>
  <c r="M127" i="42" s="1"/>
  <c r="M128" i="42" s="1"/>
  <c r="M129" i="42" s="1"/>
  <c r="M130" i="42" s="1"/>
  <c r="M131" i="42" s="1"/>
  <c r="M132" i="42" s="1"/>
  <c r="M133" i="42" s="1"/>
  <c r="M134" i="42" s="1"/>
  <c r="M135" i="42" s="1"/>
  <c r="M136" i="42" s="1"/>
  <c r="M137" i="42" s="1"/>
  <c r="M138" i="42" s="1"/>
  <c r="M139" i="42" s="1"/>
  <c r="M140" i="42" s="1"/>
  <c r="M141" i="42" s="1"/>
  <c r="M142" i="42" s="1"/>
  <c r="M143" i="42" s="1"/>
  <c r="M144" i="42" s="1"/>
  <c r="M145" i="42" s="1"/>
  <c r="M146" i="42" s="1"/>
  <c r="M147" i="42" s="1"/>
  <c r="M148" i="42" s="1"/>
  <c r="M149" i="42" s="1"/>
  <c r="M150" i="42" s="1"/>
  <c r="M151" i="42" s="1"/>
  <c r="M152" i="42" s="1"/>
  <c r="M153" i="42" s="1"/>
  <c r="M154" i="42" s="1"/>
  <c r="M155" i="42" s="1"/>
  <c r="M156" i="42" s="1"/>
  <c r="M157" i="42" s="1"/>
  <c r="M158" i="42" s="1"/>
  <c r="M159" i="42" s="1"/>
  <c r="M160" i="42" s="1"/>
  <c r="M161" i="42" s="1"/>
  <c r="M162" i="42" s="1"/>
  <c r="M163" i="42" s="1"/>
  <c r="M164" i="42" s="1"/>
  <c r="M165" i="42" s="1"/>
  <c r="M166" i="42" s="1"/>
  <c r="M167" i="42" s="1"/>
  <c r="M168" i="42" s="1"/>
  <c r="M169" i="42" s="1"/>
  <c r="M170" i="42" s="1"/>
  <c r="M171" i="42" s="1"/>
  <c r="M172" i="42" s="1"/>
  <c r="M173" i="42" s="1"/>
  <c r="M174" i="42" s="1"/>
  <c r="M175" i="42" s="1"/>
  <c r="M176" i="42" s="1"/>
  <c r="M177" i="42" s="1"/>
  <c r="M178" i="42" s="1"/>
  <c r="M179" i="42" s="1"/>
  <c r="M180" i="42" s="1"/>
  <c r="M181" i="42" s="1"/>
  <c r="M182" i="42" s="1"/>
  <c r="M183" i="42" s="1"/>
  <c r="M184" i="42" s="1"/>
  <c r="M185" i="42" s="1"/>
  <c r="M186" i="42" s="1"/>
  <c r="M187" i="42" s="1"/>
  <c r="M188" i="42" s="1"/>
  <c r="M189" i="42" s="1"/>
  <c r="M190" i="42" s="1"/>
  <c r="M191" i="42" s="1"/>
  <c r="M192" i="42" s="1"/>
  <c r="M193" i="42" s="1"/>
  <c r="M194" i="42" s="1"/>
  <c r="M195" i="42" s="1"/>
  <c r="M196" i="42" s="1"/>
  <c r="M197" i="42" s="1"/>
  <c r="M198" i="42" s="1"/>
  <c r="M199" i="42" s="1"/>
  <c r="M200" i="42" s="1"/>
  <c r="M201" i="42" s="1"/>
  <c r="M202" i="42" s="1"/>
  <c r="M203" i="42" s="1"/>
  <c r="M204" i="42" s="1"/>
  <c r="M205" i="42" s="1"/>
  <c r="M206" i="42" s="1"/>
  <c r="M207" i="42" s="1"/>
  <c r="M208" i="42" s="1"/>
  <c r="L11" i="42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36" i="42" s="1"/>
  <c r="L37" i="42" s="1"/>
  <c r="L38" i="42" s="1"/>
  <c r="L39" i="42" s="1"/>
  <c r="L40" i="42" s="1"/>
  <c r="L41" i="42" s="1"/>
  <c r="L42" i="42" s="1"/>
  <c r="L43" i="42" s="1"/>
  <c r="L44" i="42" s="1"/>
  <c r="L45" i="42" s="1"/>
  <c r="L46" i="42" s="1"/>
  <c r="L47" i="42" s="1"/>
  <c r="L48" i="42" s="1"/>
  <c r="L49" i="42" s="1"/>
  <c r="L50" i="42" s="1"/>
  <c r="L51" i="42" s="1"/>
  <c r="L52" i="42" s="1"/>
  <c r="L53" i="42" s="1"/>
  <c r="L54" i="42" s="1"/>
  <c r="L55" i="42" s="1"/>
  <c r="L56" i="42" s="1"/>
  <c r="L57" i="42" s="1"/>
  <c r="L58" i="42" s="1"/>
  <c r="L59" i="42" s="1"/>
  <c r="L60" i="42" s="1"/>
  <c r="L61" i="42" s="1"/>
  <c r="L62" i="42" s="1"/>
  <c r="L63" i="42" s="1"/>
  <c r="L64" i="42" s="1"/>
  <c r="L65" i="42" s="1"/>
  <c r="L66" i="42" s="1"/>
  <c r="L67" i="42" s="1"/>
  <c r="L68" i="42" s="1"/>
  <c r="L69" i="42" s="1"/>
  <c r="L70" i="42" s="1"/>
  <c r="L71" i="42" s="1"/>
  <c r="L72" i="42" s="1"/>
  <c r="L73" i="42" s="1"/>
  <c r="L74" i="42" s="1"/>
  <c r="L75" i="42" s="1"/>
  <c r="L76" i="42" s="1"/>
  <c r="L77" i="42" s="1"/>
  <c r="L78" i="42" s="1"/>
  <c r="L79" i="42" s="1"/>
  <c r="L80" i="42" s="1"/>
  <c r="L81" i="42" s="1"/>
  <c r="L82" i="42" s="1"/>
  <c r="L83" i="42" s="1"/>
  <c r="L84" i="42" s="1"/>
  <c r="L85" i="42" s="1"/>
  <c r="L86" i="42" s="1"/>
  <c r="L87" i="42" s="1"/>
  <c r="L88" i="42" s="1"/>
  <c r="L89" i="42" s="1"/>
  <c r="L90" i="42" s="1"/>
  <c r="L91" i="42" s="1"/>
  <c r="L92" i="42" s="1"/>
  <c r="L93" i="42" s="1"/>
  <c r="L94" i="42" s="1"/>
  <c r="L95" i="42" s="1"/>
  <c r="L96" i="42" s="1"/>
  <c r="L97" i="42" s="1"/>
  <c r="L98" i="42" s="1"/>
  <c r="L99" i="42" s="1"/>
  <c r="L100" i="42" s="1"/>
  <c r="L101" i="42" s="1"/>
  <c r="L102" i="42" s="1"/>
  <c r="L103" i="42" s="1"/>
  <c r="L104" i="42" s="1"/>
  <c r="L105" i="42" s="1"/>
  <c r="L106" i="42" s="1"/>
  <c r="L107" i="42" s="1"/>
  <c r="L108" i="42" s="1"/>
  <c r="L109" i="42" s="1"/>
  <c r="L110" i="42" s="1"/>
  <c r="L111" i="42" s="1"/>
  <c r="L112" i="42" s="1"/>
  <c r="L113" i="42" s="1"/>
  <c r="L114" i="42" s="1"/>
  <c r="L115" i="42" s="1"/>
  <c r="L116" i="42" s="1"/>
  <c r="L117" i="42" s="1"/>
  <c r="L118" i="42" s="1"/>
  <c r="L119" i="42" s="1"/>
  <c r="L120" i="42" s="1"/>
  <c r="L121" i="42" s="1"/>
  <c r="L122" i="42" s="1"/>
  <c r="L123" i="42" s="1"/>
  <c r="L124" i="42" s="1"/>
  <c r="L125" i="42" s="1"/>
  <c r="L126" i="42" s="1"/>
  <c r="L127" i="42" s="1"/>
  <c r="L128" i="42" s="1"/>
  <c r="L129" i="42" s="1"/>
  <c r="L130" i="42" s="1"/>
  <c r="L131" i="42" s="1"/>
  <c r="L132" i="42" s="1"/>
  <c r="L133" i="42" s="1"/>
  <c r="L134" i="42" s="1"/>
  <c r="L135" i="42" s="1"/>
  <c r="L136" i="42" s="1"/>
  <c r="L137" i="42" s="1"/>
  <c r="L138" i="42" s="1"/>
  <c r="L139" i="42" s="1"/>
  <c r="L140" i="42" s="1"/>
  <c r="L141" i="42" s="1"/>
  <c r="L142" i="42" s="1"/>
  <c r="L143" i="42" s="1"/>
  <c r="L144" i="42" s="1"/>
  <c r="L145" i="42" s="1"/>
  <c r="L146" i="42" s="1"/>
  <c r="L147" i="42" s="1"/>
  <c r="L148" i="42" s="1"/>
  <c r="L149" i="42" s="1"/>
  <c r="L150" i="42" s="1"/>
  <c r="L151" i="42" s="1"/>
  <c r="L152" i="42" s="1"/>
  <c r="L153" i="42" s="1"/>
  <c r="L154" i="42" s="1"/>
  <c r="L155" i="42" s="1"/>
  <c r="L156" i="42" s="1"/>
  <c r="L157" i="42" s="1"/>
  <c r="L158" i="42" s="1"/>
  <c r="L159" i="42" s="1"/>
  <c r="L160" i="42" s="1"/>
  <c r="L161" i="42" s="1"/>
  <c r="L162" i="42" s="1"/>
  <c r="L163" i="42" s="1"/>
  <c r="L164" i="42" s="1"/>
  <c r="L165" i="42" s="1"/>
  <c r="L166" i="42" s="1"/>
  <c r="L167" i="42" s="1"/>
  <c r="L168" i="42" s="1"/>
  <c r="L169" i="42" s="1"/>
  <c r="L170" i="42" s="1"/>
  <c r="L171" i="42" s="1"/>
  <c r="L172" i="42" s="1"/>
  <c r="L173" i="42" s="1"/>
  <c r="L174" i="42" s="1"/>
  <c r="L175" i="42" s="1"/>
  <c r="L176" i="42" s="1"/>
  <c r="L177" i="42" s="1"/>
  <c r="L178" i="42" s="1"/>
  <c r="L179" i="42" s="1"/>
  <c r="L180" i="42" s="1"/>
  <c r="L181" i="42" s="1"/>
  <c r="L182" i="42" s="1"/>
  <c r="L183" i="42" s="1"/>
  <c r="L184" i="42" s="1"/>
  <c r="L185" i="42" s="1"/>
  <c r="L186" i="42" s="1"/>
  <c r="L187" i="42" s="1"/>
  <c r="L188" i="42" s="1"/>
  <c r="L189" i="42" s="1"/>
  <c r="L190" i="42" s="1"/>
  <c r="L191" i="42" s="1"/>
  <c r="L192" i="42" s="1"/>
  <c r="L193" i="42" s="1"/>
  <c r="L194" i="42" s="1"/>
  <c r="L195" i="42" s="1"/>
  <c r="L196" i="42" s="1"/>
  <c r="L197" i="42" s="1"/>
  <c r="L198" i="42" s="1"/>
  <c r="L199" i="42" s="1"/>
  <c r="L200" i="42" s="1"/>
  <c r="L201" i="42" s="1"/>
  <c r="L202" i="42" s="1"/>
  <c r="L203" i="42" s="1"/>
  <c r="L204" i="42" s="1"/>
  <c r="L205" i="42" s="1"/>
  <c r="L206" i="42" s="1"/>
  <c r="L207" i="42" s="1"/>
  <c r="L208" i="42" s="1"/>
  <c r="L209" i="42" s="1"/>
  <c r="L210" i="42" s="1"/>
  <c r="L211" i="42" s="1"/>
  <c r="L212" i="42" s="1"/>
  <c r="L213" i="42" s="1"/>
  <c r="L214" i="42" s="1"/>
  <c r="L215" i="42" s="1"/>
  <c r="L216" i="42" s="1"/>
  <c r="L217" i="42" s="1"/>
  <c r="L218" i="42" s="1"/>
  <c r="L219" i="42" s="1"/>
  <c r="L220" i="42" s="1"/>
  <c r="L221" i="42" s="1"/>
  <c r="L222" i="42" s="1"/>
  <c r="L223" i="42" s="1"/>
  <c r="L224" i="42" s="1"/>
  <c r="L225" i="42" s="1"/>
  <c r="L226" i="42" s="1"/>
  <c r="J11" i="42"/>
  <c r="I11" i="42"/>
  <c r="I12" i="42" s="1"/>
  <c r="I13" i="42" s="1"/>
  <c r="I14" i="42" s="1"/>
  <c r="I15" i="42" s="1"/>
  <c r="I16" i="42" s="1"/>
  <c r="I17" i="42" s="1"/>
  <c r="I18" i="42" s="1"/>
  <c r="I19" i="42" s="1"/>
  <c r="I20" i="42" s="1"/>
  <c r="I21" i="42" s="1"/>
  <c r="I22" i="42" s="1"/>
  <c r="I23" i="42" s="1"/>
  <c r="I24" i="42" s="1"/>
  <c r="I25" i="42" s="1"/>
  <c r="I26" i="42" s="1"/>
  <c r="I27" i="42" s="1"/>
  <c r="I28" i="42" s="1"/>
  <c r="I29" i="42" s="1"/>
  <c r="I30" i="42" s="1"/>
  <c r="I31" i="42" s="1"/>
  <c r="I32" i="42" s="1"/>
  <c r="I33" i="42" s="1"/>
  <c r="I34" i="42" s="1"/>
  <c r="I35" i="42" s="1"/>
  <c r="I36" i="42" s="1"/>
  <c r="I37" i="42" s="1"/>
  <c r="I38" i="42" s="1"/>
  <c r="I39" i="42" s="1"/>
  <c r="I40" i="42" s="1"/>
  <c r="I41" i="42" s="1"/>
  <c r="I42" i="42" s="1"/>
  <c r="I43" i="42" s="1"/>
  <c r="I44" i="42" s="1"/>
  <c r="I45" i="42" s="1"/>
  <c r="I46" i="42" s="1"/>
  <c r="I47" i="42" s="1"/>
  <c r="I48" i="42" s="1"/>
  <c r="I49" i="42" s="1"/>
  <c r="I50" i="42" s="1"/>
  <c r="I51" i="42" s="1"/>
  <c r="I52" i="42" s="1"/>
  <c r="I53" i="42" s="1"/>
  <c r="I54" i="42" s="1"/>
  <c r="I55" i="42" s="1"/>
  <c r="I56" i="42" s="1"/>
  <c r="I57" i="42" s="1"/>
  <c r="I58" i="42" s="1"/>
  <c r="I59" i="42" s="1"/>
  <c r="I60" i="42" s="1"/>
  <c r="I61" i="42" s="1"/>
  <c r="I62" i="42" s="1"/>
  <c r="I63" i="42" s="1"/>
  <c r="I64" i="42" s="1"/>
  <c r="I65" i="42" s="1"/>
  <c r="I66" i="42" s="1"/>
  <c r="I67" i="42" s="1"/>
  <c r="I68" i="42" s="1"/>
  <c r="I69" i="42" s="1"/>
  <c r="I70" i="42" s="1"/>
  <c r="I71" i="42" s="1"/>
  <c r="I72" i="42" s="1"/>
  <c r="I73" i="42" s="1"/>
  <c r="I74" i="42" s="1"/>
  <c r="I75" i="42" s="1"/>
  <c r="I76" i="42" s="1"/>
  <c r="I77" i="42" s="1"/>
  <c r="I78" i="42" s="1"/>
  <c r="I79" i="42" s="1"/>
  <c r="I80" i="42" s="1"/>
  <c r="I81" i="42" s="1"/>
  <c r="I82" i="42" s="1"/>
  <c r="I83" i="42" s="1"/>
  <c r="I84" i="42" s="1"/>
  <c r="I85" i="42" s="1"/>
  <c r="I86" i="42" s="1"/>
  <c r="I87" i="42" s="1"/>
  <c r="I88" i="42" s="1"/>
  <c r="I89" i="42" s="1"/>
  <c r="I90" i="42" s="1"/>
  <c r="I91" i="42" s="1"/>
  <c r="I92" i="42" s="1"/>
  <c r="I93" i="42" s="1"/>
  <c r="I94" i="42" s="1"/>
  <c r="I95" i="42" s="1"/>
  <c r="I96" i="42" s="1"/>
  <c r="I97" i="42" s="1"/>
  <c r="I98" i="42" s="1"/>
  <c r="I99" i="42" s="1"/>
  <c r="I100" i="42" s="1"/>
  <c r="I101" i="42" s="1"/>
  <c r="I102" i="42" s="1"/>
  <c r="I103" i="42" s="1"/>
  <c r="I104" i="42" s="1"/>
  <c r="I105" i="42" s="1"/>
  <c r="I106" i="42" s="1"/>
  <c r="I107" i="42" s="1"/>
  <c r="I108" i="42" s="1"/>
  <c r="I109" i="42" s="1"/>
  <c r="I110" i="42" s="1"/>
  <c r="I111" i="42" s="1"/>
  <c r="I112" i="42" s="1"/>
  <c r="I113" i="42" s="1"/>
  <c r="I114" i="42" s="1"/>
  <c r="I115" i="42" s="1"/>
  <c r="I116" i="42" s="1"/>
  <c r="I117" i="42" s="1"/>
  <c r="I118" i="42" s="1"/>
  <c r="I119" i="42" s="1"/>
  <c r="I120" i="42" s="1"/>
  <c r="I121" i="42" s="1"/>
  <c r="I122" i="42" s="1"/>
  <c r="I123" i="42" s="1"/>
  <c r="I124" i="42" s="1"/>
  <c r="I125" i="42" s="1"/>
  <c r="I126" i="42" s="1"/>
  <c r="I127" i="42" s="1"/>
  <c r="I128" i="42" s="1"/>
  <c r="I129" i="42" s="1"/>
  <c r="I130" i="42" s="1"/>
  <c r="I131" i="42" s="1"/>
  <c r="I132" i="42" s="1"/>
  <c r="I133" i="42" s="1"/>
  <c r="I134" i="42" s="1"/>
  <c r="I135" i="42" s="1"/>
  <c r="I136" i="42" s="1"/>
  <c r="I137" i="42" s="1"/>
  <c r="I138" i="42" s="1"/>
  <c r="I139" i="42" s="1"/>
  <c r="I140" i="42" s="1"/>
  <c r="I141" i="42" s="1"/>
  <c r="I142" i="42" s="1"/>
  <c r="I143" i="42" s="1"/>
  <c r="I144" i="42" s="1"/>
  <c r="I145" i="42" s="1"/>
  <c r="I146" i="42" s="1"/>
  <c r="I147" i="42" s="1"/>
  <c r="I148" i="42" s="1"/>
  <c r="I149" i="42" s="1"/>
  <c r="I150" i="42" s="1"/>
  <c r="I151" i="42" s="1"/>
  <c r="I152" i="42" s="1"/>
  <c r="I153" i="42" s="1"/>
  <c r="I154" i="42" s="1"/>
  <c r="I155" i="42" s="1"/>
  <c r="I156" i="42" s="1"/>
  <c r="I157" i="42" s="1"/>
  <c r="I158" i="42" s="1"/>
  <c r="I159" i="42" s="1"/>
  <c r="I160" i="42" s="1"/>
  <c r="I161" i="42" s="1"/>
  <c r="I162" i="42" s="1"/>
  <c r="I163" i="42" s="1"/>
  <c r="I164" i="42" s="1"/>
  <c r="I165" i="42" s="1"/>
  <c r="I166" i="42" s="1"/>
  <c r="I167" i="42" s="1"/>
  <c r="I168" i="42" s="1"/>
  <c r="I169" i="42" s="1"/>
  <c r="I170" i="42" s="1"/>
  <c r="I171" i="42" s="1"/>
  <c r="I172" i="42" s="1"/>
  <c r="I173" i="42" s="1"/>
  <c r="I174" i="42" s="1"/>
  <c r="I175" i="42" s="1"/>
  <c r="I176" i="42" s="1"/>
  <c r="I177" i="42" s="1"/>
  <c r="I178" i="42" s="1"/>
  <c r="I179" i="42" s="1"/>
  <c r="I180" i="42" s="1"/>
  <c r="I181" i="42" s="1"/>
  <c r="I182" i="42" s="1"/>
  <c r="I183" i="42" s="1"/>
  <c r="I184" i="42" s="1"/>
  <c r="I185" i="42" s="1"/>
  <c r="I186" i="42" s="1"/>
  <c r="I187" i="42" s="1"/>
  <c r="I188" i="42" s="1"/>
  <c r="I189" i="42" s="1"/>
  <c r="I190" i="42" s="1"/>
  <c r="I191" i="42" s="1"/>
  <c r="I192" i="42" s="1"/>
  <c r="I193" i="42" s="1"/>
  <c r="I194" i="42" s="1"/>
  <c r="I195" i="42" s="1"/>
  <c r="I196" i="42" s="1"/>
  <c r="I197" i="42" s="1"/>
  <c r="I198" i="42" s="1"/>
  <c r="I199" i="42" s="1"/>
  <c r="I200" i="42" s="1"/>
  <c r="I201" i="42" s="1"/>
  <c r="I202" i="42" s="1"/>
  <c r="I203" i="42" s="1"/>
  <c r="I204" i="42" s="1"/>
  <c r="I205" i="42" s="1"/>
  <c r="I206" i="42" s="1"/>
  <c r="I207" i="42" s="1"/>
  <c r="I208" i="42" s="1"/>
  <c r="B10" i="42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J19" i="41"/>
  <c r="J18" i="41"/>
  <c r="J17" i="41"/>
  <c r="J16" i="41"/>
  <c r="J15" i="41"/>
  <c r="J14" i="41"/>
  <c r="J13" i="41"/>
  <c r="V12" i="41"/>
  <c r="V13" i="41" s="1"/>
  <c r="V14" i="41" s="1"/>
  <c r="V15" i="41" s="1"/>
  <c r="V16" i="41" s="1"/>
  <c r="V17" i="41" s="1"/>
  <c r="V18" i="41" s="1"/>
  <c r="V19" i="41" s="1"/>
  <c r="V20" i="41" s="1"/>
  <c r="V21" i="41" s="1"/>
  <c r="V22" i="41" s="1"/>
  <c r="V23" i="41" s="1"/>
  <c r="V24" i="41" s="1"/>
  <c r="V25" i="41" s="1"/>
  <c r="V26" i="41" s="1"/>
  <c r="V27" i="41" s="1"/>
  <c r="V28" i="41" s="1"/>
  <c r="V29" i="41" s="1"/>
  <c r="V30" i="41" s="1"/>
  <c r="V31" i="41" s="1"/>
  <c r="V32" i="41" s="1"/>
  <c r="V33" i="41" s="1"/>
  <c r="V34" i="41" s="1"/>
  <c r="V35" i="41" s="1"/>
  <c r="V36" i="41" s="1"/>
  <c r="V37" i="41" s="1"/>
  <c r="V38" i="41" s="1"/>
  <c r="V39" i="41" s="1"/>
  <c r="V40" i="41" s="1"/>
  <c r="V41" i="41" s="1"/>
  <c r="V42" i="41" s="1"/>
  <c r="V43" i="41" s="1"/>
  <c r="V44" i="41" s="1"/>
  <c r="V45" i="41" s="1"/>
  <c r="V46" i="41" s="1"/>
  <c r="V47" i="41" s="1"/>
  <c r="V48" i="41" s="1"/>
  <c r="V49" i="41" s="1"/>
  <c r="V50" i="41" s="1"/>
  <c r="V51" i="41" s="1"/>
  <c r="V52" i="41" s="1"/>
  <c r="V53" i="41" s="1"/>
  <c r="V54" i="41" s="1"/>
  <c r="V55" i="41" s="1"/>
  <c r="V56" i="41" s="1"/>
  <c r="V57" i="41" s="1"/>
  <c r="V58" i="41" s="1"/>
  <c r="V59" i="41" s="1"/>
  <c r="V60" i="41" s="1"/>
  <c r="V61" i="41" s="1"/>
  <c r="V62" i="41" s="1"/>
  <c r="V63" i="41" s="1"/>
  <c r="V64" i="41" s="1"/>
  <c r="V65" i="41" s="1"/>
  <c r="V66" i="41" s="1"/>
  <c r="V67" i="41" s="1"/>
  <c r="V68" i="41" s="1"/>
  <c r="V69" i="41" s="1"/>
  <c r="V70" i="41" s="1"/>
  <c r="V71" i="41" s="1"/>
  <c r="V72" i="41" s="1"/>
  <c r="V73" i="41" s="1"/>
  <c r="V74" i="41" s="1"/>
  <c r="V75" i="41" s="1"/>
  <c r="V76" i="41" s="1"/>
  <c r="V77" i="41" s="1"/>
  <c r="V78" i="41" s="1"/>
  <c r="V79" i="41" s="1"/>
  <c r="V80" i="41" s="1"/>
  <c r="V81" i="41" s="1"/>
  <c r="V82" i="41" s="1"/>
  <c r="V83" i="41" s="1"/>
  <c r="V84" i="41" s="1"/>
  <c r="V85" i="41" s="1"/>
  <c r="V86" i="41" s="1"/>
  <c r="V87" i="41" s="1"/>
  <c r="V88" i="41" s="1"/>
  <c r="V89" i="41" s="1"/>
  <c r="V90" i="41" s="1"/>
  <c r="V91" i="41" s="1"/>
  <c r="V92" i="41" s="1"/>
  <c r="V93" i="41" s="1"/>
  <c r="V94" i="41" s="1"/>
  <c r="V95" i="41" s="1"/>
  <c r="V96" i="41" s="1"/>
  <c r="V97" i="41" s="1"/>
  <c r="V98" i="41" s="1"/>
  <c r="V99" i="41" s="1"/>
  <c r="V100" i="41" s="1"/>
  <c r="V101" i="41" s="1"/>
  <c r="V102" i="41" s="1"/>
  <c r="V103" i="41" s="1"/>
  <c r="V104" i="41" s="1"/>
  <c r="V105" i="41" s="1"/>
  <c r="V106" i="41" s="1"/>
  <c r="V107" i="41" s="1"/>
  <c r="V108" i="41" s="1"/>
  <c r="V109" i="41" s="1"/>
  <c r="V110" i="41" s="1"/>
  <c r="V111" i="41" s="1"/>
  <c r="V112" i="41" s="1"/>
  <c r="V113" i="41" s="1"/>
  <c r="V114" i="41" s="1"/>
  <c r="V115" i="41" s="1"/>
  <c r="V116" i="41" s="1"/>
  <c r="V117" i="41" s="1"/>
  <c r="V118" i="41" s="1"/>
  <c r="V119" i="41" s="1"/>
  <c r="V120" i="41" s="1"/>
  <c r="V121" i="41" s="1"/>
  <c r="V122" i="41" s="1"/>
  <c r="V123" i="41" s="1"/>
  <c r="V124" i="41" s="1"/>
  <c r="V125" i="41" s="1"/>
  <c r="V126" i="41" s="1"/>
  <c r="V127" i="41" s="1"/>
  <c r="V128" i="41" s="1"/>
  <c r="V129" i="41" s="1"/>
  <c r="V130" i="41" s="1"/>
  <c r="V131" i="41" s="1"/>
  <c r="V132" i="41" s="1"/>
  <c r="V133" i="41" s="1"/>
  <c r="V134" i="41" s="1"/>
  <c r="V135" i="41" s="1"/>
  <c r="V136" i="41" s="1"/>
  <c r="V137" i="41" s="1"/>
  <c r="V138" i="41" s="1"/>
  <c r="V139" i="41" s="1"/>
  <c r="V140" i="41" s="1"/>
  <c r="V141" i="41" s="1"/>
  <c r="V142" i="41" s="1"/>
  <c r="V143" i="41" s="1"/>
  <c r="V144" i="41" s="1"/>
  <c r="V145" i="41" s="1"/>
  <c r="V146" i="41" s="1"/>
  <c r="V147" i="41" s="1"/>
  <c r="V148" i="41" s="1"/>
  <c r="J12" i="41"/>
  <c r="M11" i="41"/>
  <c r="N11" i="41" s="1"/>
  <c r="L11" i="4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L36" i="41" s="1"/>
  <c r="L37" i="41" s="1"/>
  <c r="L38" i="41" s="1"/>
  <c r="L39" i="41" s="1"/>
  <c r="L40" i="41" s="1"/>
  <c r="L41" i="41" s="1"/>
  <c r="L42" i="41" s="1"/>
  <c r="L43" i="41" s="1"/>
  <c r="L44" i="41" s="1"/>
  <c r="L45" i="41" s="1"/>
  <c r="L46" i="41" s="1"/>
  <c r="L47" i="41" s="1"/>
  <c r="L48" i="41" s="1"/>
  <c r="L49" i="41" s="1"/>
  <c r="L50" i="41" s="1"/>
  <c r="L51" i="41" s="1"/>
  <c r="L52" i="41" s="1"/>
  <c r="L53" i="41" s="1"/>
  <c r="L54" i="41" s="1"/>
  <c r="L55" i="41" s="1"/>
  <c r="L56" i="41" s="1"/>
  <c r="L57" i="41" s="1"/>
  <c r="L58" i="41" s="1"/>
  <c r="L59" i="41" s="1"/>
  <c r="L60" i="41" s="1"/>
  <c r="L61" i="41" s="1"/>
  <c r="L62" i="41" s="1"/>
  <c r="L63" i="41" s="1"/>
  <c r="L64" i="41" s="1"/>
  <c r="L65" i="41" s="1"/>
  <c r="L66" i="41" s="1"/>
  <c r="L67" i="41" s="1"/>
  <c r="L68" i="41" s="1"/>
  <c r="L69" i="41" s="1"/>
  <c r="L70" i="41" s="1"/>
  <c r="L71" i="41" s="1"/>
  <c r="L72" i="41" s="1"/>
  <c r="L73" i="41" s="1"/>
  <c r="L74" i="41" s="1"/>
  <c r="L75" i="41" s="1"/>
  <c r="L76" i="41" s="1"/>
  <c r="L77" i="41" s="1"/>
  <c r="L78" i="41" s="1"/>
  <c r="L79" i="41" s="1"/>
  <c r="L80" i="41" s="1"/>
  <c r="L81" i="41" s="1"/>
  <c r="L82" i="41" s="1"/>
  <c r="L83" i="41" s="1"/>
  <c r="L84" i="41" s="1"/>
  <c r="L85" i="41" s="1"/>
  <c r="L86" i="41" s="1"/>
  <c r="L87" i="41" s="1"/>
  <c r="L88" i="41" s="1"/>
  <c r="L89" i="41" s="1"/>
  <c r="L90" i="41" s="1"/>
  <c r="L91" i="41" s="1"/>
  <c r="L92" i="41" s="1"/>
  <c r="L93" i="41" s="1"/>
  <c r="L94" i="41" s="1"/>
  <c r="L95" i="41" s="1"/>
  <c r="L96" i="41" s="1"/>
  <c r="L97" i="41" s="1"/>
  <c r="L98" i="41" s="1"/>
  <c r="L99" i="41" s="1"/>
  <c r="L100" i="41" s="1"/>
  <c r="L101" i="41" s="1"/>
  <c r="L102" i="41" s="1"/>
  <c r="L103" i="41" s="1"/>
  <c r="L104" i="41" s="1"/>
  <c r="L105" i="41" s="1"/>
  <c r="L106" i="41" s="1"/>
  <c r="L107" i="41" s="1"/>
  <c r="L108" i="41" s="1"/>
  <c r="L109" i="41" s="1"/>
  <c r="L110" i="41" s="1"/>
  <c r="L111" i="41" s="1"/>
  <c r="L112" i="41" s="1"/>
  <c r="L113" i="41" s="1"/>
  <c r="L114" i="41" s="1"/>
  <c r="L115" i="41" s="1"/>
  <c r="L116" i="41" s="1"/>
  <c r="L117" i="41" s="1"/>
  <c r="L118" i="41" s="1"/>
  <c r="L119" i="41" s="1"/>
  <c r="L120" i="41" s="1"/>
  <c r="L121" i="41" s="1"/>
  <c r="L122" i="41" s="1"/>
  <c r="L123" i="41" s="1"/>
  <c r="L124" i="41" s="1"/>
  <c r="L125" i="41" s="1"/>
  <c r="L126" i="41" s="1"/>
  <c r="L127" i="41" s="1"/>
  <c r="L128" i="41" s="1"/>
  <c r="L129" i="41" s="1"/>
  <c r="L130" i="41" s="1"/>
  <c r="L131" i="41" s="1"/>
  <c r="L132" i="41" s="1"/>
  <c r="L133" i="41" s="1"/>
  <c r="L134" i="41" s="1"/>
  <c r="L135" i="41" s="1"/>
  <c r="L136" i="41" s="1"/>
  <c r="L137" i="41" s="1"/>
  <c r="L138" i="41" s="1"/>
  <c r="L139" i="41" s="1"/>
  <c r="L140" i="41" s="1"/>
  <c r="L141" i="41" s="1"/>
  <c r="L142" i="41" s="1"/>
  <c r="L143" i="41" s="1"/>
  <c r="L144" i="41" s="1"/>
  <c r="L145" i="41" s="1"/>
  <c r="L146" i="41" s="1"/>
  <c r="L147" i="41" s="1"/>
  <c r="L148" i="41" s="1"/>
  <c r="J11" i="41"/>
  <c r="I11" i="41"/>
  <c r="I12" i="41" s="1"/>
  <c r="I13" i="41" s="1"/>
  <c r="I14" i="41" s="1"/>
  <c r="I15" i="41" s="1"/>
  <c r="I16" i="41" s="1"/>
  <c r="I17" i="41" s="1"/>
  <c r="I18" i="41" s="1"/>
  <c r="I19" i="41" s="1"/>
  <c r="I20" i="41" s="1"/>
  <c r="I21" i="41" s="1"/>
  <c r="I22" i="41" s="1"/>
  <c r="I23" i="41" s="1"/>
  <c r="I24" i="41" s="1"/>
  <c r="I25" i="41" s="1"/>
  <c r="I26" i="41" s="1"/>
  <c r="I27" i="41" s="1"/>
  <c r="I28" i="41" s="1"/>
  <c r="I29" i="41" s="1"/>
  <c r="I30" i="41" s="1"/>
  <c r="I31" i="41" s="1"/>
  <c r="I32" i="41" s="1"/>
  <c r="I33" i="41" s="1"/>
  <c r="I34" i="41" s="1"/>
  <c r="I35" i="41" s="1"/>
  <c r="I36" i="41" s="1"/>
  <c r="I37" i="41" s="1"/>
  <c r="I38" i="41" s="1"/>
  <c r="I39" i="41" s="1"/>
  <c r="I40" i="41" s="1"/>
  <c r="I41" i="41" s="1"/>
  <c r="I42" i="41" s="1"/>
  <c r="I43" i="41" s="1"/>
  <c r="I44" i="41" s="1"/>
  <c r="I45" i="41" s="1"/>
  <c r="I46" i="41" s="1"/>
  <c r="I47" i="41" s="1"/>
  <c r="I48" i="41" s="1"/>
  <c r="I49" i="41" s="1"/>
  <c r="I50" i="41" s="1"/>
  <c r="I51" i="41" s="1"/>
  <c r="I52" i="41" s="1"/>
  <c r="I53" i="41" s="1"/>
  <c r="I54" i="41" s="1"/>
  <c r="I55" i="41" s="1"/>
  <c r="I56" i="41" s="1"/>
  <c r="I57" i="41" s="1"/>
  <c r="I58" i="41" s="1"/>
  <c r="I59" i="41" s="1"/>
  <c r="I60" i="41" s="1"/>
  <c r="I61" i="41" s="1"/>
  <c r="I62" i="41" s="1"/>
  <c r="I63" i="41" s="1"/>
  <c r="I64" i="41" s="1"/>
  <c r="I65" i="41" s="1"/>
  <c r="I66" i="41" s="1"/>
  <c r="I67" i="41" s="1"/>
  <c r="I68" i="41" s="1"/>
  <c r="I69" i="41" s="1"/>
  <c r="I70" i="41" s="1"/>
  <c r="I71" i="41" s="1"/>
  <c r="I72" i="41" s="1"/>
  <c r="I73" i="41" s="1"/>
  <c r="I74" i="41" s="1"/>
  <c r="I75" i="41" s="1"/>
  <c r="I76" i="41" s="1"/>
  <c r="I77" i="41" s="1"/>
  <c r="I78" i="41" s="1"/>
  <c r="I79" i="41" s="1"/>
  <c r="I80" i="41" s="1"/>
  <c r="I81" i="41" s="1"/>
  <c r="I82" i="41" s="1"/>
  <c r="I83" i="41" s="1"/>
  <c r="I84" i="41" s="1"/>
  <c r="I85" i="41" s="1"/>
  <c r="I86" i="41" s="1"/>
  <c r="I87" i="41" s="1"/>
  <c r="I88" i="41" s="1"/>
  <c r="I89" i="41" s="1"/>
  <c r="I90" i="41" s="1"/>
  <c r="I91" i="41" s="1"/>
  <c r="I92" i="41" s="1"/>
  <c r="I93" i="41" s="1"/>
  <c r="I94" i="41" s="1"/>
  <c r="I95" i="41" s="1"/>
  <c r="I96" i="41" s="1"/>
  <c r="I97" i="41" s="1"/>
  <c r="I98" i="41" s="1"/>
  <c r="I99" i="41" s="1"/>
  <c r="I100" i="41" s="1"/>
  <c r="I101" i="41" s="1"/>
  <c r="I102" i="41" s="1"/>
  <c r="I103" i="41" s="1"/>
  <c r="I104" i="41" s="1"/>
  <c r="I105" i="41" s="1"/>
  <c r="I106" i="41" s="1"/>
  <c r="I107" i="41" s="1"/>
  <c r="I108" i="41" s="1"/>
  <c r="I109" i="41" s="1"/>
  <c r="I110" i="41" s="1"/>
  <c r="I111" i="41" s="1"/>
  <c r="I112" i="41" s="1"/>
  <c r="I113" i="41" s="1"/>
  <c r="I114" i="41" s="1"/>
  <c r="I115" i="41" s="1"/>
  <c r="I116" i="41" s="1"/>
  <c r="I117" i="41" s="1"/>
  <c r="I118" i="41" s="1"/>
  <c r="I119" i="41" s="1"/>
  <c r="I120" i="41" s="1"/>
  <c r="I121" i="41" s="1"/>
  <c r="I122" i="41" s="1"/>
  <c r="I123" i="41" s="1"/>
  <c r="I124" i="41" s="1"/>
  <c r="I125" i="41" s="1"/>
  <c r="I126" i="41" s="1"/>
  <c r="I127" i="41" s="1"/>
  <c r="I128" i="41" s="1"/>
  <c r="I129" i="41" s="1"/>
  <c r="I130" i="41" s="1"/>
  <c r="I131" i="41" s="1"/>
  <c r="I132" i="41" s="1"/>
  <c r="I133" i="41" s="1"/>
  <c r="I134" i="41" s="1"/>
  <c r="I135" i="41" s="1"/>
  <c r="I136" i="41" s="1"/>
  <c r="I137" i="41" s="1"/>
  <c r="I138" i="41" s="1"/>
  <c r="I139" i="41" s="1"/>
  <c r="I140" i="41" s="1"/>
  <c r="I141" i="41" s="1"/>
  <c r="I142" i="41" s="1"/>
  <c r="I143" i="41" s="1"/>
  <c r="I144" i="41" s="1"/>
  <c r="I145" i="41" s="1"/>
  <c r="I146" i="41" s="1"/>
  <c r="I147" i="41" s="1"/>
  <c r="I148" i="41" s="1"/>
  <c r="E17" i="41"/>
  <c r="F17" i="41" s="1"/>
  <c r="G17" i="41" s="1"/>
  <c r="B10" i="41"/>
  <c r="K145" i="44" l="1"/>
  <c r="K193" i="44"/>
  <c r="E132" i="42"/>
  <c r="F132" i="42" s="1"/>
  <c r="D133" i="42"/>
  <c r="K132" i="42"/>
  <c r="C132" i="42" s="1"/>
  <c r="D36" i="49"/>
  <c r="C35" i="49"/>
  <c r="G11" i="53"/>
  <c r="C94" i="42"/>
  <c r="K49" i="44"/>
  <c r="K97" i="44"/>
  <c r="G131" i="42"/>
  <c r="H131" i="42"/>
  <c r="D24" i="49"/>
  <c r="C23" i="49"/>
  <c r="C31" i="42"/>
  <c r="C87" i="42"/>
  <c r="C95" i="42"/>
  <c r="M172" i="47"/>
  <c r="C171" i="47"/>
  <c r="D12" i="59"/>
  <c r="C32" i="42"/>
  <c r="K13" i="44"/>
  <c r="M188" i="47"/>
  <c r="C187" i="47"/>
  <c r="D13" i="49"/>
  <c r="C12" i="49"/>
  <c r="J24" i="50"/>
  <c r="C23" i="50"/>
  <c r="N13" i="59"/>
  <c r="S24" i="48"/>
  <c r="U23" i="48"/>
  <c r="E59" i="44"/>
  <c r="K133" i="44"/>
  <c r="K181" i="44"/>
  <c r="M76" i="47"/>
  <c r="C75" i="47"/>
  <c r="F72" i="47"/>
  <c r="G72" i="47" s="1"/>
  <c r="F26" i="98"/>
  <c r="F21" i="98"/>
  <c r="F20" i="98"/>
  <c r="F19" i="98"/>
  <c r="F24" i="98"/>
  <c r="F23" i="98"/>
  <c r="F25" i="98"/>
  <c r="F22" i="98"/>
  <c r="F49" i="98"/>
  <c r="F35" i="98"/>
  <c r="F27" i="98"/>
  <c r="G27" i="98" s="1"/>
  <c r="F12" i="98"/>
  <c r="F48" i="98"/>
  <c r="F33" i="98"/>
  <c r="F42" i="98"/>
  <c r="F34" i="98"/>
  <c r="F18" i="98"/>
  <c r="F45" i="98"/>
  <c r="F41" i="98"/>
  <c r="F17" i="98"/>
  <c r="F28" i="98"/>
  <c r="F40" i="98"/>
  <c r="F32" i="98"/>
  <c r="F16" i="98"/>
  <c r="F47" i="98"/>
  <c r="G47" i="98" s="1"/>
  <c r="F38" i="98"/>
  <c r="F30" i="98"/>
  <c r="F46" i="98"/>
  <c r="F43" i="98"/>
  <c r="G43" i="98" s="1"/>
  <c r="F36" i="98"/>
  <c r="F44" i="98"/>
  <c r="F39" i="98"/>
  <c r="F31" i="98"/>
  <c r="G31" i="98" s="1"/>
  <c r="F15" i="98"/>
  <c r="G15" i="98" s="1"/>
  <c r="F50" i="98"/>
  <c r="F14" i="98"/>
  <c r="F37" i="98"/>
  <c r="F29" i="98"/>
  <c r="F13" i="98"/>
  <c r="F11" i="98"/>
  <c r="G11" i="98" s="1"/>
  <c r="K11" i="57"/>
  <c r="C11" i="57" s="1"/>
  <c r="C84" i="42"/>
  <c r="C66" i="42"/>
  <c r="C74" i="42"/>
  <c r="C82" i="42"/>
  <c r="K37" i="44"/>
  <c r="K85" i="44"/>
  <c r="K109" i="44"/>
  <c r="K157" i="44"/>
  <c r="M92" i="47"/>
  <c r="C91" i="47"/>
  <c r="Q293" i="95"/>
  <c r="S292" i="95"/>
  <c r="U292" i="95" s="1"/>
  <c r="V292" i="95" s="1"/>
  <c r="W292" i="95" s="1"/>
  <c r="Z292" i="95" s="1"/>
  <c r="Y292" i="95" s="1"/>
  <c r="K61" i="44"/>
  <c r="T11" i="48"/>
  <c r="S11" i="48"/>
  <c r="S12" i="48" s="1"/>
  <c r="S13" i="48" s="1"/>
  <c r="S14" i="48" s="1"/>
  <c r="S15" i="48" s="1"/>
  <c r="S16" i="48" s="1"/>
  <c r="S17" i="48" s="1"/>
  <c r="S18" i="48" s="1"/>
  <c r="S19" i="48" s="1"/>
  <c r="S20" i="48" s="1"/>
  <c r="S21" i="48" s="1"/>
  <c r="S22" i="48" s="1"/>
  <c r="J18" i="54"/>
  <c r="P72" i="44"/>
  <c r="P108" i="44"/>
  <c r="P60" i="44"/>
  <c r="M108" i="47"/>
  <c r="M156" i="47"/>
  <c r="C156" i="47" s="1"/>
  <c r="P36" i="44"/>
  <c r="P132" i="44"/>
  <c r="P180" i="44"/>
  <c r="M60" i="47"/>
  <c r="C60" i="47" s="1"/>
  <c r="P12" i="44"/>
  <c r="P144" i="44"/>
  <c r="P192" i="44"/>
  <c r="P84" i="44"/>
  <c r="P156" i="44"/>
  <c r="M12" i="47"/>
  <c r="P24" i="44"/>
  <c r="P48" i="44"/>
  <c r="P96" i="44"/>
  <c r="P120" i="44"/>
  <c r="P168" i="44"/>
  <c r="J12" i="54"/>
  <c r="H118" i="48"/>
  <c r="G118" i="48"/>
  <c r="K119" i="48"/>
  <c r="C119" i="48" s="1"/>
  <c r="D120" i="48"/>
  <c r="E119" i="48"/>
  <c r="F119" i="48" s="1"/>
  <c r="M13" i="56"/>
  <c r="M30" i="56"/>
  <c r="G11" i="56"/>
  <c r="H11" i="52"/>
  <c r="G89" i="76"/>
  <c r="H89" i="76"/>
  <c r="K176" i="51"/>
  <c r="N12" i="41"/>
  <c r="E48" i="50"/>
  <c r="F48" i="50" s="1"/>
  <c r="H48" i="50" s="1"/>
  <c r="E52" i="50"/>
  <c r="F52" i="50" s="1"/>
  <c r="G52" i="50" s="1"/>
  <c r="E56" i="50"/>
  <c r="F56" i="50" s="1"/>
  <c r="G56" i="50" s="1"/>
  <c r="E49" i="50"/>
  <c r="F49" i="50" s="1"/>
  <c r="G49" i="50" s="1"/>
  <c r="E53" i="50"/>
  <c r="F53" i="50" s="1"/>
  <c r="G53" i="50" s="1"/>
  <c r="E57" i="50"/>
  <c r="F57" i="50" s="1"/>
  <c r="G57" i="50" s="1"/>
  <c r="E50" i="50"/>
  <c r="F50" i="50" s="1"/>
  <c r="G50" i="50" s="1"/>
  <c r="E54" i="50"/>
  <c r="F54" i="50" s="1"/>
  <c r="H54" i="50" s="1"/>
  <c r="E58" i="50"/>
  <c r="F58" i="50" s="1"/>
  <c r="H58" i="50" s="1"/>
  <c r="E51" i="50"/>
  <c r="F51" i="50" s="1"/>
  <c r="G51" i="50" s="1"/>
  <c r="E55" i="50"/>
  <c r="F55" i="50" s="1"/>
  <c r="H55" i="50" s="1"/>
  <c r="E16" i="48"/>
  <c r="F16" i="48" s="1"/>
  <c r="H16" i="48" s="1"/>
  <c r="J12" i="49"/>
  <c r="J13" i="49" s="1"/>
  <c r="J14" i="49" s="1"/>
  <c r="J15" i="49" s="1"/>
  <c r="J16" i="49" s="1"/>
  <c r="J17" i="49" s="1"/>
  <c r="J18" i="49" s="1"/>
  <c r="J19" i="49" s="1"/>
  <c r="J20" i="49" s="1"/>
  <c r="J21" i="49" s="1"/>
  <c r="J22" i="49" s="1"/>
  <c r="J23" i="49" s="1"/>
  <c r="J24" i="49" s="1"/>
  <c r="J25" i="49" s="1"/>
  <c r="J26" i="49" s="1"/>
  <c r="J27" i="49" s="1"/>
  <c r="J28" i="49" s="1"/>
  <c r="J29" i="49" s="1"/>
  <c r="J30" i="49" s="1"/>
  <c r="J31" i="49" s="1"/>
  <c r="J32" i="49" s="1"/>
  <c r="J33" i="49" s="1"/>
  <c r="J34" i="49" s="1"/>
  <c r="J35" i="49" s="1"/>
  <c r="J36" i="49" s="1"/>
  <c r="J37" i="49" s="1"/>
  <c r="J38" i="49" s="1"/>
  <c r="J39" i="49" s="1"/>
  <c r="J40" i="49" s="1"/>
  <c r="J41" i="49" s="1"/>
  <c r="J42" i="49" s="1"/>
  <c r="J43" i="49" s="1"/>
  <c r="J44" i="49" s="1"/>
  <c r="J45" i="49" s="1"/>
  <c r="J46" i="49" s="1"/>
  <c r="K11" i="49"/>
  <c r="K12" i="49" s="1"/>
  <c r="B13" i="61"/>
  <c r="B14" i="61" s="1"/>
  <c r="B15" i="61" s="1"/>
  <c r="B16" i="61" s="1"/>
  <c r="B17" i="61" s="1"/>
  <c r="B18" i="61" s="1"/>
  <c r="B19" i="61" s="1"/>
  <c r="B20" i="61" s="1"/>
  <c r="B21" i="61" s="1"/>
  <c r="B22" i="61" s="1"/>
  <c r="B23" i="61" s="1"/>
  <c r="B24" i="61" s="1"/>
  <c r="B25" i="61" s="1"/>
  <c r="B26" i="61" s="1"/>
  <c r="B27" i="61" s="1"/>
  <c r="K182" i="51"/>
  <c r="E186" i="51"/>
  <c r="F186" i="51" s="1"/>
  <c r="H186" i="51" s="1"/>
  <c r="H15" i="43"/>
  <c r="H16" i="43" s="1"/>
  <c r="H17" i="43" s="1"/>
  <c r="H18" i="43" s="1"/>
  <c r="H19" i="43" s="1"/>
  <c r="H20" i="43" s="1"/>
  <c r="H21" i="43" s="1"/>
  <c r="H22" i="43" s="1"/>
  <c r="H23" i="43" s="1"/>
  <c r="H24" i="43" s="1"/>
  <c r="H25" i="43" s="1"/>
  <c r="H26" i="43" s="1"/>
  <c r="H27" i="43" s="1"/>
  <c r="H28" i="43" s="1"/>
  <c r="H29" i="43" s="1"/>
  <c r="H30" i="43" s="1"/>
  <c r="H31" i="43" s="1"/>
  <c r="H32" i="43" s="1"/>
  <c r="H33" i="43" s="1"/>
  <c r="H34" i="43" s="1"/>
  <c r="J15" i="43"/>
  <c r="J16" i="43" s="1"/>
  <c r="J17" i="43" s="1"/>
  <c r="J18" i="43" s="1"/>
  <c r="J19" i="43" s="1"/>
  <c r="J20" i="43" s="1"/>
  <c r="J21" i="43" s="1"/>
  <c r="J22" i="43" s="1"/>
  <c r="J23" i="43" s="1"/>
  <c r="J24" i="43" s="1"/>
  <c r="J25" i="43" s="1"/>
  <c r="J26" i="43" s="1"/>
  <c r="J27" i="43" s="1"/>
  <c r="J28" i="43" s="1"/>
  <c r="J29" i="43" s="1"/>
  <c r="J30" i="43" s="1"/>
  <c r="J31" i="43" s="1"/>
  <c r="J32" i="43" s="1"/>
  <c r="J33" i="43" s="1"/>
  <c r="J34" i="43" s="1"/>
  <c r="B15" i="43"/>
  <c r="B16" i="43" s="1"/>
  <c r="B17" i="43" s="1"/>
  <c r="B18" i="43" s="1"/>
  <c r="B19" i="43" s="1"/>
  <c r="B20" i="43" s="1"/>
  <c r="B21" i="43" s="1"/>
  <c r="B22" i="43" s="1"/>
  <c r="B23" i="43" s="1"/>
  <c r="B24" i="43" s="1"/>
  <c r="B25" i="43" s="1"/>
  <c r="B26" i="43" s="1"/>
  <c r="B27" i="43" s="1"/>
  <c r="B28" i="43" s="1"/>
  <c r="B29" i="43" s="1"/>
  <c r="B30" i="43" s="1"/>
  <c r="B31" i="43" s="1"/>
  <c r="B32" i="43" s="1"/>
  <c r="B33" i="43" s="1"/>
  <c r="B34" i="43" s="1"/>
  <c r="G15" i="43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E15" i="43"/>
  <c r="E16" i="43" s="1"/>
  <c r="E17" i="43" s="1"/>
  <c r="E18" i="43" s="1"/>
  <c r="L15" i="43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D87" i="76"/>
  <c r="K86" i="76"/>
  <c r="E91" i="77"/>
  <c r="D92" i="77"/>
  <c r="F126" i="44"/>
  <c r="F442" i="78"/>
  <c r="G442" i="78" s="1"/>
  <c r="F441" i="78"/>
  <c r="G441" i="78" s="1"/>
  <c r="F437" i="78"/>
  <c r="G437" i="78" s="1"/>
  <c r="F431" i="78"/>
  <c r="G431" i="78" s="1"/>
  <c r="F429" i="78"/>
  <c r="G429" i="78" s="1"/>
  <c r="F428" i="78"/>
  <c r="G428" i="78" s="1"/>
  <c r="F425" i="78"/>
  <c r="G425" i="78" s="1"/>
  <c r="F410" i="78"/>
  <c r="G410" i="78" s="1"/>
  <c r="F407" i="78"/>
  <c r="G407" i="78" s="1"/>
  <c r="F406" i="78"/>
  <c r="G406" i="78" s="1"/>
  <c r="F403" i="78"/>
  <c r="G403" i="78" s="1"/>
  <c r="F400" i="78"/>
  <c r="G400" i="78" s="1"/>
  <c r="F394" i="78"/>
  <c r="G394" i="78" s="1"/>
  <c r="F388" i="78"/>
  <c r="G388" i="78" s="1"/>
  <c r="F386" i="78"/>
  <c r="G386" i="78" s="1"/>
  <c r="F385" i="78"/>
  <c r="G385" i="78" s="1"/>
  <c r="F381" i="78"/>
  <c r="G381" i="78" s="1"/>
  <c r="F375" i="78"/>
  <c r="G375" i="78" s="1"/>
  <c r="H376" i="78" s="1"/>
  <c r="F368" i="78"/>
  <c r="G368" i="78" s="1"/>
  <c r="H368" i="78" s="1"/>
  <c r="F367" i="78"/>
  <c r="G367" i="78" s="1"/>
  <c r="H367" i="78" s="1"/>
  <c r="F363" i="78"/>
  <c r="G363" i="78" s="1"/>
  <c r="H363" i="78" s="1"/>
  <c r="F360" i="78"/>
  <c r="G360" i="78" s="1"/>
  <c r="H360" i="78" s="1"/>
  <c r="F359" i="78"/>
  <c r="G359" i="78" s="1"/>
  <c r="H359" i="78" s="1"/>
  <c r="F358" i="78"/>
  <c r="G358" i="78" s="1"/>
  <c r="H358" i="78" s="1"/>
  <c r="F350" i="78"/>
  <c r="G350" i="78" s="1"/>
  <c r="H350" i="78" s="1"/>
  <c r="F346" i="78"/>
  <c r="G346" i="78" s="1"/>
  <c r="H346" i="78" s="1"/>
  <c r="F342" i="78"/>
  <c r="G342" i="78" s="1"/>
  <c r="H342" i="78" s="1"/>
  <c r="F341" i="78"/>
  <c r="G341" i="78" s="1"/>
  <c r="H341" i="78" s="1"/>
  <c r="F340" i="78"/>
  <c r="G340" i="78" s="1"/>
  <c r="H340" i="78" s="1"/>
  <c r="F337" i="78"/>
  <c r="G337" i="78" s="1"/>
  <c r="H337" i="78" s="1"/>
  <c r="F334" i="78"/>
  <c r="G334" i="78" s="1"/>
  <c r="H334" i="78" s="1"/>
  <c r="F330" i="78"/>
  <c r="G330" i="78" s="1"/>
  <c r="H330" i="78" s="1"/>
  <c r="F313" i="78"/>
  <c r="G313" i="78" s="1"/>
  <c r="H313" i="78" s="1"/>
  <c r="F435" i="78"/>
  <c r="G435" i="78" s="1"/>
  <c r="F434" i="78"/>
  <c r="G434" i="78" s="1"/>
  <c r="F430" i="78"/>
  <c r="G430" i="78" s="1"/>
  <c r="F421" i="78"/>
  <c r="G421" i="78" s="1"/>
  <c r="F419" i="78"/>
  <c r="G419" i="78" s="1"/>
  <c r="F418" i="78"/>
  <c r="G418" i="78" s="1"/>
  <c r="F417" i="78"/>
  <c r="G417" i="78" s="1"/>
  <c r="F416" i="78"/>
  <c r="G416" i="78" s="1"/>
  <c r="F415" i="78"/>
  <c r="G415" i="78" s="1"/>
  <c r="F413" i="78"/>
  <c r="G413" i="78" s="1"/>
  <c r="F411" i="78"/>
  <c r="G411" i="78" s="1"/>
  <c r="F398" i="78"/>
  <c r="G398" i="78" s="1"/>
  <c r="F390" i="78"/>
  <c r="G390" i="78" s="1"/>
  <c r="F384" i="78"/>
  <c r="G384" i="78" s="1"/>
  <c r="F383" i="78"/>
  <c r="G383" i="78" s="1"/>
  <c r="F378" i="78"/>
  <c r="G378" i="78" s="1"/>
  <c r="F377" i="78"/>
  <c r="G377" i="78" s="1"/>
  <c r="F373" i="78"/>
  <c r="G373" i="78" s="1"/>
  <c r="H374" i="78" s="1"/>
  <c r="F354" i="78"/>
  <c r="G354" i="78" s="1"/>
  <c r="H354" i="78" s="1"/>
  <c r="F353" i="78"/>
  <c r="G353" i="78" s="1"/>
  <c r="H353" i="78" s="1"/>
  <c r="F352" i="78"/>
  <c r="G352" i="78" s="1"/>
  <c r="H352" i="78" s="1"/>
  <c r="F335" i="78"/>
  <c r="G335" i="78" s="1"/>
  <c r="H335" i="78" s="1"/>
  <c r="F332" i="78"/>
  <c r="G332" i="78" s="1"/>
  <c r="H332" i="78" s="1"/>
  <c r="F331" i="78"/>
  <c r="G331" i="78" s="1"/>
  <c r="H331" i="78" s="1"/>
  <c r="F324" i="78"/>
  <c r="G324" i="78" s="1"/>
  <c r="H324" i="78" s="1"/>
  <c r="F321" i="78"/>
  <c r="G321" i="78" s="1"/>
  <c r="H321" i="78" s="1"/>
  <c r="F319" i="78"/>
  <c r="G319" i="78" s="1"/>
  <c r="H319" i="78" s="1"/>
  <c r="F312" i="78"/>
  <c r="G312" i="78" s="1"/>
  <c r="H312" i="78" s="1"/>
  <c r="F309" i="78"/>
  <c r="G309" i="78" s="1"/>
  <c r="H309" i="78" s="1"/>
  <c r="F308" i="78"/>
  <c r="G308" i="78" s="1"/>
  <c r="H308" i="78" s="1"/>
  <c r="F305" i="78"/>
  <c r="G305" i="78" s="1"/>
  <c r="H305" i="78" s="1"/>
  <c r="F304" i="78"/>
  <c r="G304" i="78" s="1"/>
  <c r="H304" i="78" s="1"/>
  <c r="F303" i="78"/>
  <c r="G303" i="78" s="1"/>
  <c r="H303" i="78" s="1"/>
  <c r="F302" i="78"/>
  <c r="G302" i="78" s="1"/>
  <c r="H302" i="78" s="1"/>
  <c r="F301" i="78"/>
  <c r="G301" i="78" s="1"/>
  <c r="H301" i="78" s="1"/>
  <c r="F295" i="78"/>
  <c r="G295" i="78" s="1"/>
  <c r="F292" i="78"/>
  <c r="G292" i="78" s="1"/>
  <c r="F290" i="78"/>
  <c r="G290" i="78" s="1"/>
  <c r="F282" i="78"/>
  <c r="G282" i="78" s="1"/>
  <c r="F279" i="78"/>
  <c r="G279" i="78" s="1"/>
  <c r="F271" i="78"/>
  <c r="G271" i="78" s="1"/>
  <c r="F270" i="78"/>
  <c r="G270" i="78" s="1"/>
  <c r="F269" i="78"/>
  <c r="G269" i="78" s="1"/>
  <c r="F267" i="78"/>
  <c r="G267" i="78" s="1"/>
  <c r="F266" i="78"/>
  <c r="G266" i="78" s="1"/>
  <c r="F265" i="78"/>
  <c r="G265" i="78" s="1"/>
  <c r="F263" i="78"/>
  <c r="G263" i="78" s="1"/>
  <c r="F260" i="78"/>
  <c r="G260" i="78" s="1"/>
  <c r="F259" i="78"/>
  <c r="G259" i="78" s="1"/>
  <c r="F256" i="78"/>
  <c r="G256" i="78" s="1"/>
  <c r="F255" i="78"/>
  <c r="G255" i="78" s="1"/>
  <c r="F245" i="78"/>
  <c r="G245" i="78" s="1"/>
  <c r="F235" i="78"/>
  <c r="G235" i="78" s="1"/>
  <c r="F228" i="78"/>
  <c r="G228" i="78" s="1"/>
  <c r="H229" i="78" s="1"/>
  <c r="F227" i="78"/>
  <c r="G227" i="78" s="1"/>
  <c r="H228" i="78" s="1"/>
  <c r="F223" i="78"/>
  <c r="G223" i="78" s="1"/>
  <c r="H223" i="78" s="1"/>
  <c r="F222" i="78"/>
  <c r="G222" i="78" s="1"/>
  <c r="H222" i="78" s="1"/>
  <c r="F221" i="78"/>
  <c r="G221" i="78" s="1"/>
  <c r="H221" i="78" s="1"/>
  <c r="F432" i="78"/>
  <c r="G432" i="78" s="1"/>
  <c r="F426" i="78"/>
  <c r="G426" i="78" s="1"/>
  <c r="F420" i="78"/>
  <c r="G420" i="78" s="1"/>
  <c r="F414" i="78"/>
  <c r="G414" i="78" s="1"/>
  <c r="F404" i="78"/>
  <c r="G404" i="78" s="1"/>
  <c r="F399" i="78"/>
  <c r="G399" i="78" s="1"/>
  <c r="F393" i="78"/>
  <c r="G393" i="78" s="1"/>
  <c r="F392" i="78"/>
  <c r="G392" i="78" s="1"/>
  <c r="F391" i="78"/>
  <c r="G391" i="78" s="1"/>
  <c r="F389" i="78"/>
  <c r="G389" i="78" s="1"/>
  <c r="F387" i="78"/>
  <c r="G387" i="78" s="1"/>
  <c r="F382" i="78"/>
  <c r="G382" i="78" s="1"/>
  <c r="F374" i="78"/>
  <c r="G374" i="78" s="1"/>
  <c r="H375" i="78" s="1"/>
  <c r="F372" i="78"/>
  <c r="G372" i="78" s="1"/>
  <c r="H373" i="78" s="1"/>
  <c r="F371" i="78"/>
  <c r="G371" i="78" s="1"/>
  <c r="H372" i="78" s="1"/>
  <c r="F370" i="78"/>
  <c r="G370" i="78" s="1"/>
  <c r="F369" i="78"/>
  <c r="G369" i="78" s="1"/>
  <c r="H369" i="78" s="1"/>
  <c r="F361" i="78"/>
  <c r="G361" i="78" s="1"/>
  <c r="H361" i="78" s="1"/>
  <c r="F356" i="78"/>
  <c r="G356" i="78" s="1"/>
  <c r="H356" i="78" s="1"/>
  <c r="F349" i="78"/>
  <c r="G349" i="78" s="1"/>
  <c r="H349" i="78" s="1"/>
  <c r="F348" i="78"/>
  <c r="G348" i="78" s="1"/>
  <c r="H348" i="78" s="1"/>
  <c r="F347" i="78"/>
  <c r="G347" i="78" s="1"/>
  <c r="H347" i="78" s="1"/>
  <c r="F345" i="78"/>
  <c r="G345" i="78" s="1"/>
  <c r="H345" i="78" s="1"/>
  <c r="F344" i="78"/>
  <c r="G344" i="78" s="1"/>
  <c r="H344" i="78" s="1"/>
  <c r="F343" i="78"/>
  <c r="G343" i="78" s="1"/>
  <c r="H343" i="78" s="1"/>
  <c r="F320" i="78"/>
  <c r="G320" i="78" s="1"/>
  <c r="H320" i="78" s="1"/>
  <c r="F318" i="78"/>
  <c r="G318" i="78" s="1"/>
  <c r="H318" i="78" s="1"/>
  <c r="F317" i="78"/>
  <c r="G317" i="78" s="1"/>
  <c r="H317" i="78" s="1"/>
  <c r="F311" i="78"/>
  <c r="G311" i="78" s="1"/>
  <c r="H311" i="78" s="1"/>
  <c r="F440" i="78"/>
  <c r="G440" i="78" s="1"/>
  <c r="F423" i="78"/>
  <c r="G423" i="78" s="1"/>
  <c r="F412" i="78"/>
  <c r="G412" i="78" s="1"/>
  <c r="F409" i="78"/>
  <c r="G409" i="78" s="1"/>
  <c r="F408" i="78"/>
  <c r="G408" i="78" s="1"/>
  <c r="F376" i="78"/>
  <c r="G376" i="78" s="1"/>
  <c r="F355" i="78"/>
  <c r="G355" i="78" s="1"/>
  <c r="H355" i="78" s="1"/>
  <c r="F328" i="78"/>
  <c r="G328" i="78" s="1"/>
  <c r="H328" i="78" s="1"/>
  <c r="F323" i="78"/>
  <c r="G323" i="78" s="1"/>
  <c r="H323" i="78" s="1"/>
  <c r="F314" i="78"/>
  <c r="G314" i="78" s="1"/>
  <c r="H314" i="78" s="1"/>
  <c r="F300" i="78"/>
  <c r="G300" i="78" s="1"/>
  <c r="H300" i="78" s="1"/>
  <c r="F299" i="78"/>
  <c r="G299" i="78" s="1"/>
  <c r="H299" i="78" s="1"/>
  <c r="F291" i="78"/>
  <c r="G291" i="78" s="1"/>
  <c r="F287" i="78"/>
  <c r="G287" i="78" s="1"/>
  <c r="F286" i="78"/>
  <c r="G286" i="78" s="1"/>
  <c r="F281" i="78"/>
  <c r="G281" i="78" s="1"/>
  <c r="F280" i="78"/>
  <c r="G280" i="78" s="1"/>
  <c r="F275" i="78"/>
  <c r="G275" i="78" s="1"/>
  <c r="F274" i="78"/>
  <c r="G274" i="78" s="1"/>
  <c r="F273" i="78"/>
  <c r="G273" i="78" s="1"/>
  <c r="F262" i="78"/>
  <c r="G262" i="78" s="1"/>
  <c r="F247" i="78"/>
  <c r="G247" i="78" s="1"/>
  <c r="F246" i="78"/>
  <c r="G246" i="78" s="1"/>
  <c r="F236" i="78"/>
  <c r="G236" i="78" s="1"/>
  <c r="F230" i="78"/>
  <c r="G230" i="78" s="1"/>
  <c r="H231" i="78" s="1"/>
  <c r="F226" i="78"/>
  <c r="G226" i="78" s="1"/>
  <c r="F224" i="78"/>
  <c r="G224" i="78" s="1"/>
  <c r="H224" i="78" s="1"/>
  <c r="F212" i="78"/>
  <c r="G212" i="78" s="1"/>
  <c r="H212" i="78" s="1"/>
  <c r="F199" i="78"/>
  <c r="G199" i="78" s="1"/>
  <c r="H199" i="78" s="1"/>
  <c r="F198" i="78"/>
  <c r="G198" i="78" s="1"/>
  <c r="H198" i="78" s="1"/>
  <c r="F197" i="78"/>
  <c r="G197" i="78" s="1"/>
  <c r="H197" i="78" s="1"/>
  <c r="F191" i="78"/>
  <c r="G191" i="78" s="1"/>
  <c r="H191" i="78" s="1"/>
  <c r="F187" i="78"/>
  <c r="G187" i="78" s="1"/>
  <c r="H187" i="78" s="1"/>
  <c r="F182" i="78"/>
  <c r="G182" i="78" s="1"/>
  <c r="H182" i="78" s="1"/>
  <c r="F176" i="78"/>
  <c r="G176" i="78" s="1"/>
  <c r="H176" i="78" s="1"/>
  <c r="F175" i="78"/>
  <c r="G175" i="78" s="1"/>
  <c r="H175" i="78" s="1"/>
  <c r="F170" i="78"/>
  <c r="G170" i="78" s="1"/>
  <c r="H170" i="78" s="1"/>
  <c r="F169" i="78"/>
  <c r="G169" i="78" s="1"/>
  <c r="H169" i="78" s="1"/>
  <c r="F156" i="78"/>
  <c r="G156" i="78" s="1"/>
  <c r="H156" i="78" s="1"/>
  <c r="F436" i="78"/>
  <c r="G436" i="78" s="1"/>
  <c r="F424" i="78"/>
  <c r="G424" i="78" s="1"/>
  <c r="F405" i="78"/>
  <c r="G405" i="78" s="1"/>
  <c r="F402" i="78"/>
  <c r="G402" i="78" s="1"/>
  <c r="F401" i="78"/>
  <c r="G401" i="78" s="1"/>
  <c r="F395" i="78"/>
  <c r="G395" i="78" s="1"/>
  <c r="F364" i="78"/>
  <c r="G364" i="78" s="1"/>
  <c r="H364" i="78" s="1"/>
  <c r="F351" i="78"/>
  <c r="G351" i="78" s="1"/>
  <c r="H351" i="78" s="1"/>
  <c r="F336" i="78"/>
  <c r="G336" i="78" s="1"/>
  <c r="H336" i="78" s="1"/>
  <c r="F329" i="78"/>
  <c r="G329" i="78" s="1"/>
  <c r="H329" i="78" s="1"/>
  <c r="F325" i="78"/>
  <c r="G325" i="78" s="1"/>
  <c r="H325" i="78" s="1"/>
  <c r="F315" i="78"/>
  <c r="G315" i="78" s="1"/>
  <c r="H315" i="78" s="1"/>
  <c r="F289" i="78"/>
  <c r="G289" i="78" s="1"/>
  <c r="F288" i="78"/>
  <c r="G288" i="78" s="1"/>
  <c r="F285" i="78"/>
  <c r="G285" i="78" s="1"/>
  <c r="F278" i="78"/>
  <c r="G278" i="78" s="1"/>
  <c r="F277" i="78"/>
  <c r="G277" i="78" s="1"/>
  <c r="F276" i="78"/>
  <c r="G276" i="78" s="1"/>
  <c r="F264" i="78"/>
  <c r="G264" i="78" s="1"/>
  <c r="F261" i="78"/>
  <c r="G261" i="78" s="1"/>
  <c r="F251" i="78"/>
  <c r="G251" i="78" s="1"/>
  <c r="F250" i="78"/>
  <c r="G250" i="78" s="1"/>
  <c r="F249" i="78"/>
  <c r="G249" i="78" s="1"/>
  <c r="F248" i="78"/>
  <c r="G248" i="78" s="1"/>
  <c r="F231" i="78"/>
  <c r="G231" i="78" s="1"/>
  <c r="H232" i="78" s="1"/>
  <c r="F229" i="78"/>
  <c r="G229" i="78" s="1"/>
  <c r="H230" i="78" s="1"/>
  <c r="F220" i="78"/>
  <c r="G220" i="78" s="1"/>
  <c r="H220" i="78" s="1"/>
  <c r="F219" i="78"/>
  <c r="G219" i="78" s="1"/>
  <c r="H219" i="78" s="1"/>
  <c r="F211" i="78"/>
  <c r="G211" i="78" s="1"/>
  <c r="H211" i="78" s="1"/>
  <c r="F202" i="78"/>
  <c r="G202" i="78" s="1"/>
  <c r="H202" i="78" s="1"/>
  <c r="F201" i="78"/>
  <c r="G201" i="78" s="1"/>
  <c r="H201" i="78" s="1"/>
  <c r="F200" i="78"/>
  <c r="G200" i="78" s="1"/>
  <c r="H200" i="78" s="1"/>
  <c r="F193" i="78"/>
  <c r="G193" i="78" s="1"/>
  <c r="H193" i="78" s="1"/>
  <c r="F192" i="78"/>
  <c r="G192" i="78" s="1"/>
  <c r="H192" i="78" s="1"/>
  <c r="F190" i="78"/>
  <c r="G190" i="78" s="1"/>
  <c r="H190" i="78" s="1"/>
  <c r="F189" i="78"/>
  <c r="G189" i="78" s="1"/>
  <c r="H189" i="78" s="1"/>
  <c r="F186" i="78"/>
  <c r="G186" i="78" s="1"/>
  <c r="H186" i="78" s="1"/>
  <c r="F184" i="78"/>
  <c r="G184" i="78" s="1"/>
  <c r="H184" i="78" s="1"/>
  <c r="F183" i="78"/>
  <c r="G183" i="78" s="1"/>
  <c r="H183" i="78" s="1"/>
  <c r="F177" i="78"/>
  <c r="G177" i="78" s="1"/>
  <c r="H177" i="78" s="1"/>
  <c r="F174" i="78"/>
  <c r="G174" i="78" s="1"/>
  <c r="H174" i="78" s="1"/>
  <c r="F173" i="78"/>
  <c r="G173" i="78" s="1"/>
  <c r="H173" i="78" s="1"/>
  <c r="F171" i="78"/>
  <c r="G171" i="78" s="1"/>
  <c r="H171" i="78" s="1"/>
  <c r="F167" i="78"/>
  <c r="G167" i="78" s="1"/>
  <c r="H167" i="78" s="1"/>
  <c r="F166" i="78"/>
  <c r="G166" i="78" s="1"/>
  <c r="H166" i="78" s="1"/>
  <c r="F158" i="78"/>
  <c r="G158" i="78" s="1"/>
  <c r="H158" i="78" s="1"/>
  <c r="F422" i="78"/>
  <c r="G422" i="78" s="1"/>
  <c r="F380" i="78"/>
  <c r="G380" i="78" s="1"/>
  <c r="F379" i="78"/>
  <c r="G379" i="78" s="1"/>
  <c r="F366" i="78"/>
  <c r="G366" i="78" s="1"/>
  <c r="H366" i="78" s="1"/>
  <c r="F326" i="78"/>
  <c r="G326" i="78" s="1"/>
  <c r="H326" i="78" s="1"/>
  <c r="F310" i="78"/>
  <c r="G310" i="78" s="1"/>
  <c r="H310" i="78" s="1"/>
  <c r="F306" i="78"/>
  <c r="G306" i="78" s="1"/>
  <c r="H306" i="78" s="1"/>
  <c r="F297" i="78"/>
  <c r="G297" i="78" s="1"/>
  <c r="F296" i="78"/>
  <c r="G296" i="78" s="1"/>
  <c r="F294" i="78"/>
  <c r="G294" i="78" s="1"/>
  <c r="F258" i="78"/>
  <c r="G258" i="78" s="1"/>
  <c r="F257" i="78"/>
  <c r="G257" i="78" s="1"/>
  <c r="F254" i="78"/>
  <c r="G254" i="78" s="1"/>
  <c r="F253" i="78"/>
  <c r="G253" i="78" s="1"/>
  <c r="F252" i="78"/>
  <c r="G252" i="78" s="1"/>
  <c r="F218" i="78"/>
  <c r="G218" i="78" s="1"/>
  <c r="H218" i="78" s="1"/>
  <c r="F217" i="78"/>
  <c r="G217" i="78" s="1"/>
  <c r="H217" i="78" s="1"/>
  <c r="F216" i="78"/>
  <c r="G216" i="78" s="1"/>
  <c r="H216" i="78" s="1"/>
  <c r="F196" i="78"/>
  <c r="G196" i="78" s="1"/>
  <c r="H196" i="78" s="1"/>
  <c r="F195" i="78"/>
  <c r="G195" i="78" s="1"/>
  <c r="H195" i="78" s="1"/>
  <c r="F194" i="78"/>
  <c r="G194" i="78" s="1"/>
  <c r="H194" i="78" s="1"/>
  <c r="F188" i="78"/>
  <c r="G188" i="78" s="1"/>
  <c r="H188" i="78" s="1"/>
  <c r="F165" i="78"/>
  <c r="G165" i="78" s="1"/>
  <c r="H165" i="78" s="1"/>
  <c r="F164" i="78"/>
  <c r="G164" i="78" s="1"/>
  <c r="H164" i="78" s="1"/>
  <c r="F163" i="78"/>
  <c r="G163" i="78" s="1"/>
  <c r="H163" i="78" s="1"/>
  <c r="F160" i="78"/>
  <c r="G160" i="78" s="1"/>
  <c r="H160" i="78" s="1"/>
  <c r="F155" i="78"/>
  <c r="G155" i="78" s="1"/>
  <c r="H155" i="78" s="1"/>
  <c r="F153" i="78"/>
  <c r="G153" i="78" s="1"/>
  <c r="F152" i="78"/>
  <c r="G152" i="78" s="1"/>
  <c r="F145" i="78"/>
  <c r="G145" i="78" s="1"/>
  <c r="F142" i="78"/>
  <c r="G142" i="78" s="1"/>
  <c r="F138" i="78"/>
  <c r="G138" i="78" s="1"/>
  <c r="F134" i="78"/>
  <c r="G134" i="78" s="1"/>
  <c r="F131" i="78"/>
  <c r="G131" i="78" s="1"/>
  <c r="F128" i="78"/>
  <c r="G128" i="78" s="1"/>
  <c r="F125" i="78"/>
  <c r="G125" i="78" s="1"/>
  <c r="F118" i="78"/>
  <c r="G118" i="78" s="1"/>
  <c r="F111" i="78"/>
  <c r="G111" i="78" s="1"/>
  <c r="F109" i="78"/>
  <c r="G109" i="78" s="1"/>
  <c r="F107" i="78"/>
  <c r="G107" i="78" s="1"/>
  <c r="F104" i="78"/>
  <c r="G104" i="78" s="1"/>
  <c r="F102" i="78"/>
  <c r="G102" i="78" s="1"/>
  <c r="F96" i="78"/>
  <c r="G96" i="78" s="1"/>
  <c r="F94" i="78"/>
  <c r="G94" i="78" s="1"/>
  <c r="F91" i="78"/>
  <c r="G91" i="78" s="1"/>
  <c r="F82" i="78"/>
  <c r="G82" i="78" s="1"/>
  <c r="F79" i="78"/>
  <c r="G79" i="78" s="1"/>
  <c r="H79" i="78" s="1"/>
  <c r="F76" i="78"/>
  <c r="G76" i="78" s="1"/>
  <c r="H76" i="78" s="1"/>
  <c r="F73" i="78"/>
  <c r="G73" i="78" s="1"/>
  <c r="H73" i="78" s="1"/>
  <c r="F71" i="78"/>
  <c r="G71" i="78" s="1"/>
  <c r="H71" i="78" s="1"/>
  <c r="F68" i="78"/>
  <c r="G68" i="78" s="1"/>
  <c r="H68" i="78" s="1"/>
  <c r="F65" i="78"/>
  <c r="G65" i="78" s="1"/>
  <c r="H65" i="78" s="1"/>
  <c r="F62" i="78"/>
  <c r="G62" i="78" s="1"/>
  <c r="H62" i="78" s="1"/>
  <c r="F59" i="78"/>
  <c r="G59" i="78" s="1"/>
  <c r="H59" i="78" s="1"/>
  <c r="F51" i="78"/>
  <c r="G51" i="78" s="1"/>
  <c r="H51" i="78" s="1"/>
  <c r="F40" i="78"/>
  <c r="G40" i="78" s="1"/>
  <c r="H40" i="78" s="1"/>
  <c r="F31" i="78"/>
  <c r="G31" i="78" s="1"/>
  <c r="H31" i="78" s="1"/>
  <c r="F27" i="78"/>
  <c r="G27" i="78" s="1"/>
  <c r="H27" i="78" s="1"/>
  <c r="F24" i="78"/>
  <c r="G24" i="78" s="1"/>
  <c r="H24" i="78" s="1"/>
  <c r="F22" i="78"/>
  <c r="G22" i="78" s="1"/>
  <c r="H22" i="78" s="1"/>
  <c r="F19" i="78"/>
  <c r="G19" i="78" s="1"/>
  <c r="H19" i="78" s="1"/>
  <c r="F15" i="78"/>
  <c r="G15" i="78" s="1"/>
  <c r="H15" i="78" s="1"/>
  <c r="F433" i="78"/>
  <c r="G433" i="78" s="1"/>
  <c r="F333" i="78"/>
  <c r="G333" i="78" s="1"/>
  <c r="H333" i="78" s="1"/>
  <c r="F322" i="78"/>
  <c r="G322" i="78" s="1"/>
  <c r="H322" i="78" s="1"/>
  <c r="F283" i="78"/>
  <c r="G283" i="78" s="1"/>
  <c r="F272" i="78"/>
  <c r="G272" i="78" s="1"/>
  <c r="F243" i="78"/>
  <c r="G243" i="78" s="1"/>
  <c r="F241" i="78"/>
  <c r="G241" i="78" s="1"/>
  <c r="F240" i="78"/>
  <c r="G240" i="78" s="1"/>
  <c r="F238" i="78"/>
  <c r="G238" i="78" s="1"/>
  <c r="F237" i="78"/>
  <c r="G237" i="78" s="1"/>
  <c r="F232" i="78"/>
  <c r="G232" i="78" s="1"/>
  <c r="H233" i="78" s="1"/>
  <c r="F210" i="78"/>
  <c r="G210" i="78" s="1"/>
  <c r="H210" i="78" s="1"/>
  <c r="F206" i="78"/>
  <c r="G206" i="78" s="1"/>
  <c r="H206" i="78" s="1"/>
  <c r="F203" i="78"/>
  <c r="G203" i="78" s="1"/>
  <c r="H203" i="78" s="1"/>
  <c r="F181" i="78"/>
  <c r="G181" i="78" s="1"/>
  <c r="H181" i="78" s="1"/>
  <c r="F180" i="78"/>
  <c r="G180" i="78" s="1"/>
  <c r="H180" i="78" s="1"/>
  <c r="F179" i="78"/>
  <c r="G179" i="78" s="1"/>
  <c r="H179" i="78" s="1"/>
  <c r="F157" i="78"/>
  <c r="G157" i="78" s="1"/>
  <c r="H157" i="78" s="1"/>
  <c r="F154" i="78"/>
  <c r="G154" i="78" s="1"/>
  <c r="F150" i="78"/>
  <c r="G150" i="78" s="1"/>
  <c r="F147" i="78"/>
  <c r="G147" i="78" s="1"/>
  <c r="F144" i="78"/>
  <c r="G144" i="78" s="1"/>
  <c r="F136" i="78"/>
  <c r="G136" i="78" s="1"/>
  <c r="F133" i="78"/>
  <c r="G133" i="78" s="1"/>
  <c r="F126" i="78"/>
  <c r="G126" i="78" s="1"/>
  <c r="F123" i="78"/>
  <c r="G123" i="78" s="1"/>
  <c r="F120" i="78"/>
  <c r="G120" i="78" s="1"/>
  <c r="F117" i="78"/>
  <c r="G117" i="78" s="1"/>
  <c r="F112" i="78"/>
  <c r="G112" i="78" s="1"/>
  <c r="F110" i="78"/>
  <c r="G110" i="78" s="1"/>
  <c r="F108" i="78"/>
  <c r="G108" i="78" s="1"/>
  <c r="F103" i="78"/>
  <c r="G103" i="78" s="1"/>
  <c r="F97" i="78"/>
  <c r="G97" i="78" s="1"/>
  <c r="F95" i="78"/>
  <c r="G95" i="78" s="1"/>
  <c r="F92" i="78"/>
  <c r="G92" i="78" s="1"/>
  <c r="F90" i="78"/>
  <c r="G90" i="78" s="1"/>
  <c r="F85" i="78"/>
  <c r="G85" i="78" s="1"/>
  <c r="H86" i="78" s="1"/>
  <c r="F84" i="78"/>
  <c r="G84" i="78" s="1"/>
  <c r="H85" i="78" s="1"/>
  <c r="F80" i="78"/>
  <c r="G80" i="78" s="1"/>
  <c r="H80" i="78" s="1"/>
  <c r="F77" i="78"/>
  <c r="G77" i="78" s="1"/>
  <c r="H77" i="78" s="1"/>
  <c r="F75" i="78"/>
  <c r="G75" i="78" s="1"/>
  <c r="H75" i="78" s="1"/>
  <c r="F72" i="78"/>
  <c r="G72" i="78" s="1"/>
  <c r="H72" i="78" s="1"/>
  <c r="F69" i="78"/>
  <c r="G69" i="78" s="1"/>
  <c r="H69" i="78" s="1"/>
  <c r="F67" i="78"/>
  <c r="G67" i="78" s="1"/>
  <c r="H67" i="78" s="1"/>
  <c r="F63" i="78"/>
  <c r="G63" i="78" s="1"/>
  <c r="H63" i="78" s="1"/>
  <c r="F55" i="78"/>
  <c r="G55" i="78" s="1"/>
  <c r="H55" i="78" s="1"/>
  <c r="F47" i="78"/>
  <c r="G47" i="78" s="1"/>
  <c r="H47" i="78" s="1"/>
  <c r="F44" i="78"/>
  <c r="G44" i="78" s="1"/>
  <c r="H44" i="78" s="1"/>
  <c r="F427" i="78"/>
  <c r="G427" i="78" s="1"/>
  <c r="F365" i="78"/>
  <c r="G365" i="78" s="1"/>
  <c r="H365" i="78" s="1"/>
  <c r="F362" i="78"/>
  <c r="G362" i="78" s="1"/>
  <c r="H362" i="78" s="1"/>
  <c r="F357" i="78"/>
  <c r="G357" i="78" s="1"/>
  <c r="H357" i="78" s="1"/>
  <c r="F298" i="78"/>
  <c r="G298" i="78" s="1"/>
  <c r="F268" i="78"/>
  <c r="G268" i="78" s="1"/>
  <c r="F185" i="78"/>
  <c r="G185" i="78" s="1"/>
  <c r="H185" i="78" s="1"/>
  <c r="F140" i="78"/>
  <c r="G140" i="78" s="1"/>
  <c r="F132" i="78"/>
  <c r="G132" i="78" s="1"/>
  <c r="F130" i="78"/>
  <c r="G130" i="78" s="1"/>
  <c r="F101" i="78"/>
  <c r="G101" i="78" s="1"/>
  <c r="F89" i="78"/>
  <c r="G89" i="78" s="1"/>
  <c r="F87" i="78"/>
  <c r="G87" i="78" s="1"/>
  <c r="H88" i="78" s="1"/>
  <c r="F74" i="78"/>
  <c r="G74" i="78" s="1"/>
  <c r="H74" i="78" s="1"/>
  <c r="F66" i="78"/>
  <c r="G66" i="78" s="1"/>
  <c r="H66" i="78" s="1"/>
  <c r="F60" i="78"/>
  <c r="G60" i="78" s="1"/>
  <c r="H60" i="78" s="1"/>
  <c r="F58" i="78"/>
  <c r="G58" i="78" s="1"/>
  <c r="H58" i="78" s="1"/>
  <c r="F56" i="78"/>
  <c r="G56" i="78" s="1"/>
  <c r="H56" i="78" s="1"/>
  <c r="F54" i="78"/>
  <c r="G54" i="78" s="1"/>
  <c r="H54" i="78" s="1"/>
  <c r="F52" i="78"/>
  <c r="G52" i="78" s="1"/>
  <c r="H52" i="78" s="1"/>
  <c r="F50" i="78"/>
  <c r="G50" i="78" s="1"/>
  <c r="H50" i="78" s="1"/>
  <c r="F48" i="78"/>
  <c r="G48" i="78" s="1"/>
  <c r="H48" i="78" s="1"/>
  <c r="F46" i="78"/>
  <c r="G46" i="78" s="1"/>
  <c r="H46" i="78" s="1"/>
  <c r="F42" i="78"/>
  <c r="G42" i="78" s="1"/>
  <c r="H42" i="78" s="1"/>
  <c r="F38" i="78"/>
  <c r="G38" i="78" s="1"/>
  <c r="H38" i="78" s="1"/>
  <c r="F33" i="78"/>
  <c r="G33" i="78" s="1"/>
  <c r="H33" i="78" s="1"/>
  <c r="F14" i="78"/>
  <c r="G14" i="78" s="1"/>
  <c r="H14" i="78" s="1"/>
  <c r="F296" i="77"/>
  <c r="G296" i="77" s="1"/>
  <c r="F293" i="77"/>
  <c r="G293" i="77" s="1"/>
  <c r="F288" i="77"/>
  <c r="G288" i="77" s="1"/>
  <c r="F285" i="77"/>
  <c r="G285" i="77" s="1"/>
  <c r="F280" i="77"/>
  <c r="G280" i="77" s="1"/>
  <c r="F278" i="77"/>
  <c r="G278" i="77" s="1"/>
  <c r="H278" i="77" s="1"/>
  <c r="F266" i="77"/>
  <c r="G266" i="77" s="1"/>
  <c r="H266" i="77" s="1"/>
  <c r="F264" i="77"/>
  <c r="G264" i="77" s="1"/>
  <c r="H264" i="77" s="1"/>
  <c r="F261" i="77"/>
  <c r="G261" i="77" s="1"/>
  <c r="H261" i="77" s="1"/>
  <c r="F257" i="77"/>
  <c r="G257" i="77" s="1"/>
  <c r="H257" i="77" s="1"/>
  <c r="F252" i="77"/>
  <c r="G252" i="77" s="1"/>
  <c r="H252" i="77" s="1"/>
  <c r="F249" i="77"/>
  <c r="G249" i="77" s="1"/>
  <c r="H249" i="77" s="1"/>
  <c r="F241" i="77"/>
  <c r="G241" i="77" s="1"/>
  <c r="H241" i="77" s="1"/>
  <c r="F238" i="77"/>
  <c r="G238" i="77" s="1"/>
  <c r="H238" i="77" s="1"/>
  <c r="F231" i="77"/>
  <c r="G231" i="77" s="1"/>
  <c r="H231" i="77" s="1"/>
  <c r="F226" i="77"/>
  <c r="G226" i="77" s="1"/>
  <c r="H226" i="77" s="1"/>
  <c r="F223" i="77"/>
  <c r="G223" i="77" s="1"/>
  <c r="H223" i="77" s="1"/>
  <c r="F221" i="77"/>
  <c r="G221" i="77" s="1"/>
  <c r="H221" i="77" s="1"/>
  <c r="F218" i="77"/>
  <c r="G218" i="77" s="1"/>
  <c r="H218" i="77" s="1"/>
  <c r="F215" i="77"/>
  <c r="G215" i="77" s="1"/>
  <c r="H215" i="77" s="1"/>
  <c r="F327" i="78"/>
  <c r="G327" i="78" s="1"/>
  <c r="H327" i="78" s="1"/>
  <c r="F307" i="78"/>
  <c r="G307" i="78" s="1"/>
  <c r="H307" i="78" s="1"/>
  <c r="F293" i="78"/>
  <c r="G293" i="78" s="1"/>
  <c r="F242" i="78"/>
  <c r="G242" i="78" s="1"/>
  <c r="F215" i="78"/>
  <c r="G215" i="78" s="1"/>
  <c r="H215" i="78" s="1"/>
  <c r="F214" i="78"/>
  <c r="G214" i="78" s="1"/>
  <c r="H214" i="78" s="1"/>
  <c r="F213" i="78"/>
  <c r="G213" i="78" s="1"/>
  <c r="H213" i="78" s="1"/>
  <c r="F207" i="78"/>
  <c r="G207" i="78" s="1"/>
  <c r="H207" i="78" s="1"/>
  <c r="F178" i="78"/>
  <c r="G178" i="78" s="1"/>
  <c r="H178" i="78" s="1"/>
  <c r="F148" i="78"/>
  <c r="G148" i="78" s="1"/>
  <c r="F146" i="78"/>
  <c r="G146" i="78" s="1"/>
  <c r="F121" i="78"/>
  <c r="G121" i="78" s="1"/>
  <c r="F119" i="78"/>
  <c r="G119" i="78" s="1"/>
  <c r="F115" i="78"/>
  <c r="G115" i="78" s="1"/>
  <c r="F113" i="78"/>
  <c r="G113" i="78" s="1"/>
  <c r="F105" i="78"/>
  <c r="G105" i="78" s="1"/>
  <c r="F99" i="78"/>
  <c r="G99" i="78" s="1"/>
  <c r="F83" i="78"/>
  <c r="G83" i="78" s="1"/>
  <c r="H84" i="78" s="1"/>
  <c r="F81" i="78"/>
  <c r="G81" i="78" s="1"/>
  <c r="H81" i="78" s="1"/>
  <c r="F64" i="78"/>
  <c r="G64" i="78" s="1"/>
  <c r="H64" i="78" s="1"/>
  <c r="F36" i="78"/>
  <c r="G36" i="78" s="1"/>
  <c r="H36" i="78" s="1"/>
  <c r="F34" i="78"/>
  <c r="G34" i="78" s="1"/>
  <c r="H34" i="78" s="1"/>
  <c r="F26" i="78"/>
  <c r="G26" i="78" s="1"/>
  <c r="H26" i="78" s="1"/>
  <c r="F17" i="78"/>
  <c r="G17" i="78" s="1"/>
  <c r="H17" i="78" s="1"/>
  <c r="F294" i="77"/>
  <c r="G294" i="77" s="1"/>
  <c r="F291" i="77"/>
  <c r="G291" i="77" s="1"/>
  <c r="F286" i="77"/>
  <c r="G286" i="77" s="1"/>
  <c r="F283" i="77"/>
  <c r="G283" i="77" s="1"/>
  <c r="F281" i="77"/>
  <c r="G281" i="77" s="1"/>
  <c r="F276" i="77"/>
  <c r="G276" i="77" s="1"/>
  <c r="H276" i="77" s="1"/>
  <c r="F274" i="77"/>
  <c r="G274" i="77" s="1"/>
  <c r="H274" i="77" s="1"/>
  <c r="F271" i="77"/>
  <c r="G271" i="77" s="1"/>
  <c r="H271" i="77" s="1"/>
  <c r="F269" i="77"/>
  <c r="G269" i="77" s="1"/>
  <c r="H269" i="77" s="1"/>
  <c r="F268" i="77"/>
  <c r="G268" i="77" s="1"/>
  <c r="H268" i="77" s="1"/>
  <c r="F267" i="77"/>
  <c r="G267" i="77" s="1"/>
  <c r="H267" i="77" s="1"/>
  <c r="F259" i="77"/>
  <c r="G259" i="77" s="1"/>
  <c r="H259" i="77" s="1"/>
  <c r="F258" i="77"/>
  <c r="G258" i="77" s="1"/>
  <c r="H258" i="77" s="1"/>
  <c r="F253" i="77"/>
  <c r="G253" i="77" s="1"/>
  <c r="H253" i="77" s="1"/>
  <c r="F247" i="77"/>
  <c r="G247" i="77" s="1"/>
  <c r="H247" i="77" s="1"/>
  <c r="F244" i="77"/>
  <c r="G244" i="77" s="1"/>
  <c r="H244" i="77" s="1"/>
  <c r="F239" i="77"/>
  <c r="G239" i="77" s="1"/>
  <c r="H239" i="77" s="1"/>
  <c r="F236" i="77"/>
  <c r="G236" i="77" s="1"/>
  <c r="H236" i="77" s="1"/>
  <c r="F233" i="77"/>
  <c r="G233" i="77" s="1"/>
  <c r="H233" i="77" s="1"/>
  <c r="F232" i="77"/>
  <c r="G232" i="77" s="1"/>
  <c r="H232" i="77" s="1"/>
  <c r="F229" i="77"/>
  <c r="G229" i="77" s="1"/>
  <c r="H229" i="77" s="1"/>
  <c r="F224" i="77"/>
  <c r="G224" i="77" s="1"/>
  <c r="H224" i="77" s="1"/>
  <c r="F216" i="77"/>
  <c r="G216" i="77" s="1"/>
  <c r="H216" i="77" s="1"/>
  <c r="F213" i="77"/>
  <c r="G213" i="77" s="1"/>
  <c r="H213" i="77" s="1"/>
  <c r="F212" i="77"/>
  <c r="G212" i="77" s="1"/>
  <c r="H212" i="77" s="1"/>
  <c r="F211" i="77"/>
  <c r="G211" i="77" s="1"/>
  <c r="H211" i="77" s="1"/>
  <c r="F210" i="77"/>
  <c r="G210" i="77" s="1"/>
  <c r="H210" i="77" s="1"/>
  <c r="F316" i="78"/>
  <c r="G316" i="78" s="1"/>
  <c r="H316" i="78" s="1"/>
  <c r="F239" i="78"/>
  <c r="G239" i="78" s="1"/>
  <c r="F209" i="78"/>
  <c r="G209" i="78" s="1"/>
  <c r="H209" i="78" s="1"/>
  <c r="F208" i="78"/>
  <c r="G208" i="78" s="1"/>
  <c r="H208" i="78" s="1"/>
  <c r="F205" i="78"/>
  <c r="G205" i="78" s="1"/>
  <c r="H205" i="78" s="1"/>
  <c r="F204" i="78"/>
  <c r="G204" i="78" s="1"/>
  <c r="H204" i="78" s="1"/>
  <c r="F172" i="78"/>
  <c r="G172" i="78" s="1"/>
  <c r="H172" i="78" s="1"/>
  <c r="F168" i="78"/>
  <c r="G168" i="78" s="1"/>
  <c r="H168" i="78" s="1"/>
  <c r="F159" i="78"/>
  <c r="G159" i="78" s="1"/>
  <c r="H159" i="78" s="1"/>
  <c r="F127" i="78"/>
  <c r="G127" i="78" s="1"/>
  <c r="F124" i="78"/>
  <c r="G124" i="78" s="1"/>
  <c r="F114" i="78"/>
  <c r="G114" i="78" s="1"/>
  <c r="F100" i="78"/>
  <c r="G100" i="78" s="1"/>
  <c r="F57" i="78"/>
  <c r="G57" i="78" s="1"/>
  <c r="H57" i="78" s="1"/>
  <c r="F49" i="78"/>
  <c r="G49" i="78" s="1"/>
  <c r="H49" i="78" s="1"/>
  <c r="F39" i="78"/>
  <c r="G39" i="78" s="1"/>
  <c r="H39" i="78" s="1"/>
  <c r="F28" i="78"/>
  <c r="G28" i="78" s="1"/>
  <c r="H28" i="78" s="1"/>
  <c r="F25" i="78"/>
  <c r="G25" i="78" s="1"/>
  <c r="H25" i="78" s="1"/>
  <c r="F18" i="78"/>
  <c r="G18" i="78" s="1"/>
  <c r="H18" i="78" s="1"/>
  <c r="F298" i="77"/>
  <c r="G298" i="77" s="1"/>
  <c r="F289" i="77"/>
  <c r="G289" i="77" s="1"/>
  <c r="F287" i="77"/>
  <c r="G287" i="77" s="1"/>
  <c r="F275" i="77"/>
  <c r="G275" i="77" s="1"/>
  <c r="H275" i="77" s="1"/>
  <c r="F270" i="77"/>
  <c r="G270" i="77" s="1"/>
  <c r="H270" i="77" s="1"/>
  <c r="F254" i="77"/>
  <c r="G254" i="77" s="1"/>
  <c r="H254" i="77" s="1"/>
  <c r="F250" i="77"/>
  <c r="G250" i="77" s="1"/>
  <c r="H250" i="77" s="1"/>
  <c r="F248" i="77"/>
  <c r="G248" i="77" s="1"/>
  <c r="H248" i="77" s="1"/>
  <c r="F243" i="77"/>
  <c r="G243" i="77" s="1"/>
  <c r="H243" i="77" s="1"/>
  <c r="F228" i="77"/>
  <c r="G228" i="77" s="1"/>
  <c r="H228" i="77" s="1"/>
  <c r="F217" i="77"/>
  <c r="G217" i="77" s="1"/>
  <c r="H217" i="77" s="1"/>
  <c r="F206" i="77"/>
  <c r="G206" i="77" s="1"/>
  <c r="H206" i="77" s="1"/>
  <c r="F202" i="77"/>
  <c r="G202" i="77" s="1"/>
  <c r="F199" i="77"/>
  <c r="G199" i="77" s="1"/>
  <c r="F196" i="77"/>
  <c r="G196" i="77" s="1"/>
  <c r="F190" i="77"/>
  <c r="G190" i="77" s="1"/>
  <c r="F186" i="77"/>
  <c r="G186" i="77" s="1"/>
  <c r="F183" i="77"/>
  <c r="G183" i="77" s="1"/>
  <c r="H183" i="77" s="1"/>
  <c r="F180" i="77"/>
  <c r="G180" i="77" s="1"/>
  <c r="H180" i="77" s="1"/>
  <c r="F177" i="77"/>
  <c r="G177" i="77" s="1"/>
  <c r="H177" i="77" s="1"/>
  <c r="F170" i="77"/>
  <c r="G170" i="77" s="1"/>
  <c r="H170" i="77" s="1"/>
  <c r="F167" i="77"/>
  <c r="G167" i="77" s="1"/>
  <c r="H167" i="77" s="1"/>
  <c r="F164" i="77"/>
  <c r="G164" i="77" s="1"/>
  <c r="H164" i="77" s="1"/>
  <c r="F155" i="77"/>
  <c r="G155" i="77" s="1"/>
  <c r="H155" i="77" s="1"/>
  <c r="F149" i="77"/>
  <c r="G149" i="77" s="1"/>
  <c r="H149" i="77" s="1"/>
  <c r="F144" i="77"/>
  <c r="G144" i="77" s="1"/>
  <c r="H144" i="77" s="1"/>
  <c r="F142" i="77"/>
  <c r="G142" i="77" s="1"/>
  <c r="H142" i="77" s="1"/>
  <c r="F139" i="77"/>
  <c r="G139" i="77" s="1"/>
  <c r="H139" i="77" s="1"/>
  <c r="F134" i="77"/>
  <c r="G134" i="77" s="1"/>
  <c r="H134" i="77" s="1"/>
  <c r="F129" i="77"/>
  <c r="G129" i="77" s="1"/>
  <c r="H129" i="77" s="1"/>
  <c r="F127" i="77"/>
  <c r="G127" i="77" s="1"/>
  <c r="H127" i="77" s="1"/>
  <c r="F124" i="77"/>
  <c r="G124" i="77" s="1"/>
  <c r="H124" i="77" s="1"/>
  <c r="F121" i="77"/>
  <c r="G121" i="77" s="1"/>
  <c r="H121" i="77" s="1"/>
  <c r="F118" i="77"/>
  <c r="G118" i="77" s="1"/>
  <c r="H118" i="77" s="1"/>
  <c r="F117" i="77"/>
  <c r="G117" i="77" s="1"/>
  <c r="H117" i="77" s="1"/>
  <c r="F114" i="77"/>
  <c r="G114" i="77" s="1"/>
  <c r="H114" i="77" s="1"/>
  <c r="F112" i="77"/>
  <c r="G112" i="77" s="1"/>
  <c r="H112" i="77" s="1"/>
  <c r="F109" i="77"/>
  <c r="G109" i="77" s="1"/>
  <c r="H109" i="77" s="1"/>
  <c r="F99" i="77"/>
  <c r="G99" i="77" s="1"/>
  <c r="F96" i="77"/>
  <c r="G96" i="77" s="1"/>
  <c r="F94" i="77"/>
  <c r="G94" i="77" s="1"/>
  <c r="F91" i="77"/>
  <c r="G91" i="77" s="1"/>
  <c r="F88" i="77"/>
  <c r="G88" i="77" s="1"/>
  <c r="H88" i="77" s="1"/>
  <c r="F86" i="77"/>
  <c r="G86" i="77" s="1"/>
  <c r="H86" i="77" s="1"/>
  <c r="F83" i="77"/>
  <c r="G83" i="77" s="1"/>
  <c r="H83" i="77" s="1"/>
  <c r="F79" i="77"/>
  <c r="G79" i="77" s="1"/>
  <c r="H79" i="77" s="1"/>
  <c r="F76" i="77"/>
  <c r="G76" i="77" s="1"/>
  <c r="H76" i="77" s="1"/>
  <c r="F71" i="77"/>
  <c r="G71" i="77" s="1"/>
  <c r="H71" i="77" s="1"/>
  <c r="F65" i="77"/>
  <c r="G65" i="77" s="1"/>
  <c r="H65" i="77" s="1"/>
  <c r="F64" i="77"/>
  <c r="G64" i="77" s="1"/>
  <c r="H64" i="77" s="1"/>
  <c r="F61" i="77"/>
  <c r="G61" i="77" s="1"/>
  <c r="H61" i="77" s="1"/>
  <c r="F56" i="77"/>
  <c r="G56" i="77" s="1"/>
  <c r="H56" i="77" s="1"/>
  <c r="F53" i="77"/>
  <c r="G53" i="77" s="1"/>
  <c r="H53" i="77" s="1"/>
  <c r="F47" i="77"/>
  <c r="G47" i="77" s="1"/>
  <c r="H47" i="77" s="1"/>
  <c r="F41" i="77"/>
  <c r="G41" i="77" s="1"/>
  <c r="H41" i="77" s="1"/>
  <c r="F38" i="77"/>
  <c r="G38" i="77" s="1"/>
  <c r="H38" i="77" s="1"/>
  <c r="F33" i="77"/>
  <c r="G33" i="77" s="1"/>
  <c r="H33" i="77" s="1"/>
  <c r="F26" i="77"/>
  <c r="G26" i="77" s="1"/>
  <c r="H26" i="77" s="1"/>
  <c r="F23" i="77"/>
  <c r="G23" i="77" s="1"/>
  <c r="H23" i="77" s="1"/>
  <c r="F18" i="77"/>
  <c r="G18" i="77" s="1"/>
  <c r="H18" i="77" s="1"/>
  <c r="F15" i="77"/>
  <c r="G15" i="77" s="1"/>
  <c r="H15" i="77" s="1"/>
  <c r="F12" i="77"/>
  <c r="G12" i="77" s="1"/>
  <c r="H12" i="77" s="1"/>
  <c r="F11" i="77"/>
  <c r="G11" i="77" s="1"/>
  <c r="H11" i="77" s="1"/>
  <c r="F149" i="78"/>
  <c r="G149" i="78" s="1"/>
  <c r="F439" i="78"/>
  <c r="G439" i="78" s="1"/>
  <c r="F438" i="78"/>
  <c r="G438" i="78" s="1"/>
  <c r="F397" i="78"/>
  <c r="G397" i="78" s="1"/>
  <c r="F396" i="78"/>
  <c r="G396" i="78" s="1"/>
  <c r="F339" i="78"/>
  <c r="G339" i="78" s="1"/>
  <c r="H339" i="78" s="1"/>
  <c r="F338" i="78"/>
  <c r="G338" i="78" s="1"/>
  <c r="H338" i="78" s="1"/>
  <c r="F284" i="78"/>
  <c r="G284" i="78" s="1"/>
  <c r="F244" i="78"/>
  <c r="G244" i="78" s="1"/>
  <c r="F137" i="78"/>
  <c r="G137" i="78" s="1"/>
  <c r="F135" i="78"/>
  <c r="G135" i="78" s="1"/>
  <c r="F129" i="78"/>
  <c r="G129" i="78" s="1"/>
  <c r="F116" i="78"/>
  <c r="G116" i="78" s="1"/>
  <c r="F93" i="78"/>
  <c r="G93" i="78" s="1"/>
  <c r="F70" i="78"/>
  <c r="G70" i="78" s="1"/>
  <c r="H70" i="78" s="1"/>
  <c r="F41" i="78"/>
  <c r="G41" i="78" s="1"/>
  <c r="H41" i="78" s="1"/>
  <c r="F29" i="78"/>
  <c r="G29" i="78" s="1"/>
  <c r="H29" i="78" s="1"/>
  <c r="F20" i="78"/>
  <c r="G20" i="78" s="1"/>
  <c r="H20" i="78" s="1"/>
  <c r="F13" i="78"/>
  <c r="G13" i="78" s="1"/>
  <c r="H13" i="78" s="1"/>
  <c r="F12" i="78"/>
  <c r="G12" i="78" s="1"/>
  <c r="H12" i="78" s="1"/>
  <c r="F282" i="77"/>
  <c r="G282" i="77" s="1"/>
  <c r="F277" i="77"/>
  <c r="G277" i="77" s="1"/>
  <c r="H277" i="77" s="1"/>
  <c r="F272" i="77"/>
  <c r="G272" i="77" s="1"/>
  <c r="H272" i="77" s="1"/>
  <c r="F265" i="77"/>
  <c r="G265" i="77" s="1"/>
  <c r="H265" i="77" s="1"/>
  <c r="F263" i="77"/>
  <c r="G263" i="77" s="1"/>
  <c r="H263" i="77" s="1"/>
  <c r="F245" i="77"/>
  <c r="G245" i="77" s="1"/>
  <c r="H245" i="77" s="1"/>
  <c r="F230" i="77"/>
  <c r="G230" i="77" s="1"/>
  <c r="H230" i="77" s="1"/>
  <c r="F219" i="77"/>
  <c r="G219" i="77" s="1"/>
  <c r="H219" i="77" s="1"/>
  <c r="F208" i="77"/>
  <c r="G208" i="77" s="1"/>
  <c r="H208" i="77" s="1"/>
  <c r="F207" i="77"/>
  <c r="G207" i="77" s="1"/>
  <c r="H207" i="77" s="1"/>
  <c r="F200" i="77"/>
  <c r="G200" i="77" s="1"/>
  <c r="F197" i="77"/>
  <c r="G197" i="77" s="1"/>
  <c r="F193" i="77"/>
  <c r="G193" i="77" s="1"/>
  <c r="F191" i="77"/>
  <c r="G191" i="77" s="1"/>
  <c r="F187" i="77"/>
  <c r="G187" i="77" s="1"/>
  <c r="F184" i="77"/>
  <c r="G184" i="77" s="1"/>
  <c r="H184" i="77" s="1"/>
  <c r="F181" i="77"/>
  <c r="G181" i="77" s="1"/>
  <c r="H181" i="77" s="1"/>
  <c r="F174" i="77"/>
  <c r="G174" i="77" s="1"/>
  <c r="H174" i="77" s="1"/>
  <c r="F165" i="77"/>
  <c r="G165" i="77" s="1"/>
  <c r="H165" i="77" s="1"/>
  <c r="F162" i="77"/>
  <c r="G162" i="77" s="1"/>
  <c r="H162" i="77" s="1"/>
  <c r="F159" i="77"/>
  <c r="G159" i="77" s="1"/>
  <c r="H159" i="77" s="1"/>
  <c r="F156" i="77"/>
  <c r="G156" i="77" s="1"/>
  <c r="H156" i="77" s="1"/>
  <c r="F153" i="77"/>
  <c r="G153" i="77" s="1"/>
  <c r="H153" i="77" s="1"/>
  <c r="F152" i="77"/>
  <c r="G152" i="77" s="1"/>
  <c r="H152" i="77" s="1"/>
  <c r="F150" i="77"/>
  <c r="G150" i="77" s="1"/>
  <c r="H150" i="77" s="1"/>
  <c r="F147" i="77"/>
  <c r="G147" i="77" s="1"/>
  <c r="H147" i="77" s="1"/>
  <c r="F135" i="77"/>
  <c r="G135" i="77" s="1"/>
  <c r="H135" i="77" s="1"/>
  <c r="F132" i="77"/>
  <c r="G132" i="77" s="1"/>
  <c r="H132" i="77" s="1"/>
  <c r="F122" i="77"/>
  <c r="G122" i="77" s="1"/>
  <c r="H122" i="77" s="1"/>
  <c r="F119" i="77"/>
  <c r="G119" i="77" s="1"/>
  <c r="H119" i="77" s="1"/>
  <c r="F115" i="77"/>
  <c r="G115" i="77" s="1"/>
  <c r="H115" i="77" s="1"/>
  <c r="F110" i="77"/>
  <c r="G110" i="77" s="1"/>
  <c r="H110" i="77" s="1"/>
  <c r="F106" i="77"/>
  <c r="G106" i="77" s="1"/>
  <c r="F103" i="77"/>
  <c r="G103" i="77" s="1"/>
  <c r="F97" i="77"/>
  <c r="G97" i="77" s="1"/>
  <c r="F89" i="77"/>
  <c r="G89" i="77" s="1"/>
  <c r="H89" i="77" s="1"/>
  <c r="F80" i="77"/>
  <c r="G80" i="77" s="1"/>
  <c r="H80" i="77" s="1"/>
  <c r="F77" i="77"/>
  <c r="G77" i="77" s="1"/>
  <c r="H77" i="77" s="1"/>
  <c r="F74" i="77"/>
  <c r="G74" i="77" s="1"/>
  <c r="H74" i="77" s="1"/>
  <c r="F69" i="77"/>
  <c r="G69" i="77" s="1"/>
  <c r="H69" i="77" s="1"/>
  <c r="F68" i="77"/>
  <c r="G68" i="77" s="1"/>
  <c r="H68" i="77" s="1"/>
  <c r="F62" i="77"/>
  <c r="G62" i="77" s="1"/>
  <c r="H62" i="77" s="1"/>
  <c r="F59" i="77"/>
  <c r="G59" i="77" s="1"/>
  <c r="H59" i="77" s="1"/>
  <c r="F54" i="77"/>
  <c r="G54" i="77" s="1"/>
  <c r="H54" i="77" s="1"/>
  <c r="F51" i="77"/>
  <c r="G51" i="77" s="1"/>
  <c r="H51" i="77" s="1"/>
  <c r="F48" i="77"/>
  <c r="G48" i="77" s="1"/>
  <c r="H48" i="77" s="1"/>
  <c r="F44" i="77"/>
  <c r="G44" i="77" s="1"/>
  <c r="H44" i="77" s="1"/>
  <c r="F39" i="77"/>
  <c r="G39" i="77" s="1"/>
  <c r="H39" i="77" s="1"/>
  <c r="F36" i="77"/>
  <c r="G36" i="77" s="1"/>
  <c r="H36" i="77" s="1"/>
  <c r="F30" i="77"/>
  <c r="G30" i="77" s="1"/>
  <c r="H30" i="77" s="1"/>
  <c r="F24" i="77"/>
  <c r="G24" i="77" s="1"/>
  <c r="H24" i="77" s="1"/>
  <c r="F21" i="77"/>
  <c r="G21" i="77" s="1"/>
  <c r="H21" i="77" s="1"/>
  <c r="F16" i="77"/>
  <c r="G16" i="77" s="1"/>
  <c r="H16" i="77" s="1"/>
  <c r="F141" i="78"/>
  <c r="G141" i="78" s="1"/>
  <c r="F139" i="78"/>
  <c r="G139" i="78" s="1"/>
  <c r="F234" i="78"/>
  <c r="G234" i="78" s="1"/>
  <c r="F233" i="78"/>
  <c r="G233" i="78" s="1"/>
  <c r="H234" i="78" s="1"/>
  <c r="F225" i="78"/>
  <c r="G225" i="78" s="1"/>
  <c r="H225" i="78" s="1"/>
  <c r="F143" i="78"/>
  <c r="G143" i="78" s="1"/>
  <c r="F98" i="78"/>
  <c r="G98" i="78" s="1"/>
  <c r="F30" i="78"/>
  <c r="G30" i="78" s="1"/>
  <c r="H30" i="78" s="1"/>
  <c r="F16" i="78"/>
  <c r="G16" i="78" s="1"/>
  <c r="H16" i="78" s="1"/>
  <c r="F273" i="77"/>
  <c r="G273" i="77" s="1"/>
  <c r="H273" i="77" s="1"/>
  <c r="F234" i="77"/>
  <c r="G234" i="77" s="1"/>
  <c r="H234" i="77" s="1"/>
  <c r="F204" i="77"/>
  <c r="G204" i="77" s="1"/>
  <c r="H204" i="77" s="1"/>
  <c r="F192" i="77"/>
  <c r="G192" i="77" s="1"/>
  <c r="F182" i="77"/>
  <c r="G182" i="77" s="1"/>
  <c r="H182" i="77" s="1"/>
  <c r="F178" i="77"/>
  <c r="G178" i="77" s="1"/>
  <c r="H178" i="77" s="1"/>
  <c r="F176" i="77"/>
  <c r="G176" i="77" s="1"/>
  <c r="H176" i="77" s="1"/>
  <c r="F166" i="77"/>
  <c r="G166" i="77" s="1"/>
  <c r="H166" i="77" s="1"/>
  <c r="F151" i="77"/>
  <c r="G151" i="77" s="1"/>
  <c r="H151" i="77" s="1"/>
  <c r="F140" i="77"/>
  <c r="G140" i="77" s="1"/>
  <c r="H140" i="77" s="1"/>
  <c r="F138" i="77"/>
  <c r="G138" i="77" s="1"/>
  <c r="H138" i="77" s="1"/>
  <c r="F137" i="77"/>
  <c r="G137" i="77" s="1"/>
  <c r="H137" i="77" s="1"/>
  <c r="F136" i="77"/>
  <c r="G136" i="77" s="1"/>
  <c r="H136" i="77" s="1"/>
  <c r="F125" i="77"/>
  <c r="G125" i="77" s="1"/>
  <c r="H125" i="77" s="1"/>
  <c r="F108" i="77"/>
  <c r="G108" i="77" s="1"/>
  <c r="H108" i="77" s="1"/>
  <c r="F104" i="77"/>
  <c r="G104" i="77" s="1"/>
  <c r="F98" i="77"/>
  <c r="G98" i="77" s="1"/>
  <c r="F81" i="77"/>
  <c r="G81" i="77" s="1"/>
  <c r="H81" i="77" s="1"/>
  <c r="F75" i="77"/>
  <c r="G75" i="77" s="1"/>
  <c r="H75" i="77" s="1"/>
  <c r="F66" i="77"/>
  <c r="G66" i="77" s="1"/>
  <c r="H66" i="77" s="1"/>
  <c r="F60" i="77"/>
  <c r="G60" i="77" s="1"/>
  <c r="H60" i="77" s="1"/>
  <c r="F37" i="77"/>
  <c r="G37" i="77" s="1"/>
  <c r="H37" i="77" s="1"/>
  <c r="F27" i="77"/>
  <c r="G27" i="77" s="1"/>
  <c r="H27" i="77" s="1"/>
  <c r="F25" i="77"/>
  <c r="G25" i="77" s="1"/>
  <c r="H25" i="77" s="1"/>
  <c r="F20" i="77"/>
  <c r="G20" i="77" s="1"/>
  <c r="H20" i="77" s="1"/>
  <c r="F42" i="77"/>
  <c r="G42" i="77" s="1"/>
  <c r="H42" i="77" s="1"/>
  <c r="F35" i="77"/>
  <c r="G35" i="77" s="1"/>
  <c r="H35" i="77" s="1"/>
  <c r="F162" i="78"/>
  <c r="G162" i="78" s="1"/>
  <c r="H162" i="78" s="1"/>
  <c r="F161" i="78"/>
  <c r="G161" i="78" s="1"/>
  <c r="H161" i="78" s="1"/>
  <c r="F122" i="78"/>
  <c r="G122" i="78" s="1"/>
  <c r="F106" i="78"/>
  <c r="G106" i="78" s="1"/>
  <c r="F53" i="78"/>
  <c r="G53" i="78" s="1"/>
  <c r="H53" i="78" s="1"/>
  <c r="F35" i="78"/>
  <c r="G35" i="78" s="1"/>
  <c r="H35" i="78" s="1"/>
  <c r="F32" i="78"/>
  <c r="G32" i="78" s="1"/>
  <c r="H32" i="78" s="1"/>
  <c r="F11" i="78"/>
  <c r="G11" i="78" s="1"/>
  <c r="H11" i="78" s="1"/>
  <c r="F290" i="77"/>
  <c r="G290" i="77" s="1"/>
  <c r="F279" i="77"/>
  <c r="G279" i="77" s="1"/>
  <c r="H279" i="77" s="1"/>
  <c r="F255" i="77"/>
  <c r="G255" i="77" s="1"/>
  <c r="H255" i="77" s="1"/>
  <c r="F235" i="77"/>
  <c r="G235" i="77" s="1"/>
  <c r="H235" i="77" s="1"/>
  <c r="F225" i="77"/>
  <c r="G225" i="77" s="1"/>
  <c r="H225" i="77" s="1"/>
  <c r="F222" i="77"/>
  <c r="G222" i="77" s="1"/>
  <c r="H222" i="77" s="1"/>
  <c r="F220" i="77"/>
  <c r="G220" i="77" s="1"/>
  <c r="H220" i="77" s="1"/>
  <c r="F209" i="77"/>
  <c r="G209" i="77" s="1"/>
  <c r="H209" i="77" s="1"/>
  <c r="F198" i="77"/>
  <c r="G198" i="77" s="1"/>
  <c r="F194" i="77"/>
  <c r="G194" i="77" s="1"/>
  <c r="F188" i="77"/>
  <c r="G188" i="77" s="1"/>
  <c r="F173" i="77"/>
  <c r="G173" i="77" s="1"/>
  <c r="H173" i="77" s="1"/>
  <c r="F172" i="77"/>
  <c r="G172" i="77" s="1"/>
  <c r="H172" i="77" s="1"/>
  <c r="F168" i="77"/>
  <c r="G168" i="77" s="1"/>
  <c r="H168" i="77" s="1"/>
  <c r="F161" i="77"/>
  <c r="G161" i="77" s="1"/>
  <c r="H161" i="77" s="1"/>
  <c r="F157" i="77"/>
  <c r="G157" i="77" s="1"/>
  <c r="H157" i="77" s="1"/>
  <c r="F146" i="77"/>
  <c r="G146" i="77" s="1"/>
  <c r="H146" i="77" s="1"/>
  <c r="F131" i="77"/>
  <c r="G131" i="77" s="1"/>
  <c r="H131" i="77" s="1"/>
  <c r="F120" i="77"/>
  <c r="G120" i="77" s="1"/>
  <c r="H120" i="77" s="1"/>
  <c r="F100" i="77"/>
  <c r="G100" i="77" s="1"/>
  <c r="F95" i="77"/>
  <c r="G95" i="77" s="1"/>
  <c r="F93" i="77"/>
  <c r="G93" i="77" s="1"/>
  <c r="F72" i="77"/>
  <c r="G72" i="77" s="1"/>
  <c r="H72" i="77" s="1"/>
  <c r="F70" i="77"/>
  <c r="G70" i="77" s="1"/>
  <c r="H70" i="77" s="1"/>
  <c r="F57" i="77"/>
  <c r="G57" i="77" s="1"/>
  <c r="H57" i="77" s="1"/>
  <c r="F55" i="77"/>
  <c r="G55" i="77" s="1"/>
  <c r="H55" i="77" s="1"/>
  <c r="F50" i="77"/>
  <c r="G50" i="77" s="1"/>
  <c r="H50" i="77" s="1"/>
  <c r="F49" i="77"/>
  <c r="G49" i="77" s="1"/>
  <c r="H49" i="77" s="1"/>
  <c r="F45" i="77"/>
  <c r="G45" i="77" s="1"/>
  <c r="H45" i="77" s="1"/>
  <c r="F43" i="77"/>
  <c r="G43" i="77" s="1"/>
  <c r="H43" i="77" s="1"/>
  <c r="F34" i="77"/>
  <c r="G34" i="77" s="1"/>
  <c r="H34" i="77" s="1"/>
  <c r="F32" i="77"/>
  <c r="G32" i="77" s="1"/>
  <c r="H32" i="77" s="1"/>
  <c r="F22" i="77"/>
  <c r="G22" i="77" s="1"/>
  <c r="H22" i="77" s="1"/>
  <c r="F61" i="78"/>
  <c r="G61" i="78" s="1"/>
  <c r="H61" i="78" s="1"/>
  <c r="F43" i="78"/>
  <c r="G43" i="78" s="1"/>
  <c r="H43" i="78" s="1"/>
  <c r="F297" i="77"/>
  <c r="G297" i="77" s="1"/>
  <c r="F284" i="77"/>
  <c r="G284" i="77" s="1"/>
  <c r="F262" i="77"/>
  <c r="G262" i="77" s="1"/>
  <c r="H262" i="77" s="1"/>
  <c r="F251" i="77"/>
  <c r="G251" i="77" s="1"/>
  <c r="H251" i="77" s="1"/>
  <c r="F242" i="77"/>
  <c r="G242" i="77" s="1"/>
  <c r="H242" i="77" s="1"/>
  <c r="F169" i="77"/>
  <c r="G169" i="77" s="1"/>
  <c r="H169" i="77" s="1"/>
  <c r="F145" i="77"/>
  <c r="G145" i="77" s="1"/>
  <c r="H145" i="77" s="1"/>
  <c r="F130" i="77"/>
  <c r="G130" i="77" s="1"/>
  <c r="H130" i="77" s="1"/>
  <c r="F123" i="77"/>
  <c r="G123" i="77" s="1"/>
  <c r="H123" i="77" s="1"/>
  <c r="F113" i="77"/>
  <c r="G113" i="77" s="1"/>
  <c r="H113" i="77" s="1"/>
  <c r="F85" i="77"/>
  <c r="G85" i="77" s="1"/>
  <c r="H85" i="77" s="1"/>
  <c r="F73" i="77"/>
  <c r="G73" i="77" s="1"/>
  <c r="H73" i="77" s="1"/>
  <c r="F63" i="77"/>
  <c r="G63" i="77" s="1"/>
  <c r="H63" i="77" s="1"/>
  <c r="F31" i="77"/>
  <c r="G31" i="77" s="1"/>
  <c r="H31" i="77" s="1"/>
  <c r="F14" i="77"/>
  <c r="G14" i="77" s="1"/>
  <c r="H14" i="77" s="1"/>
  <c r="F86" i="78"/>
  <c r="G86" i="78" s="1"/>
  <c r="H87" i="78" s="1"/>
  <c r="F78" i="78"/>
  <c r="G78" i="78" s="1"/>
  <c r="H78" i="78" s="1"/>
  <c r="F37" i="78"/>
  <c r="G37" i="78" s="1"/>
  <c r="H37" i="78" s="1"/>
  <c r="F23" i="78"/>
  <c r="G23" i="78" s="1"/>
  <c r="H23" i="78" s="1"/>
  <c r="F21" i="78"/>
  <c r="G21" i="78" s="1"/>
  <c r="H21" i="78" s="1"/>
  <c r="F295" i="77"/>
  <c r="G295" i="77" s="1"/>
  <c r="F292" i="77"/>
  <c r="G292" i="77" s="1"/>
  <c r="F260" i="77"/>
  <c r="G260" i="77" s="1"/>
  <c r="H260" i="77" s="1"/>
  <c r="F256" i="77"/>
  <c r="G256" i="77" s="1"/>
  <c r="H256" i="77" s="1"/>
  <c r="F246" i="77"/>
  <c r="G246" i="77" s="1"/>
  <c r="H246" i="77" s="1"/>
  <c r="F240" i="77"/>
  <c r="G240" i="77" s="1"/>
  <c r="H240" i="77" s="1"/>
  <c r="F237" i="77"/>
  <c r="G237" i="77" s="1"/>
  <c r="H237" i="77" s="1"/>
  <c r="F227" i="77"/>
  <c r="G227" i="77" s="1"/>
  <c r="H227" i="77" s="1"/>
  <c r="F214" i="77"/>
  <c r="G214" i="77" s="1"/>
  <c r="H214" i="77" s="1"/>
  <c r="F205" i="77"/>
  <c r="G205" i="77" s="1"/>
  <c r="H205" i="77" s="1"/>
  <c r="F203" i="77"/>
  <c r="G203" i="77" s="1"/>
  <c r="H203" i="77" s="1"/>
  <c r="F189" i="77"/>
  <c r="G189" i="77" s="1"/>
  <c r="F185" i="77"/>
  <c r="G185" i="77" s="1"/>
  <c r="F179" i="77"/>
  <c r="G179" i="77" s="1"/>
  <c r="H179" i="77" s="1"/>
  <c r="F175" i="77"/>
  <c r="G175" i="77" s="1"/>
  <c r="H175" i="77" s="1"/>
  <c r="F163" i="77"/>
  <c r="G163" i="77" s="1"/>
  <c r="H163" i="77" s="1"/>
  <c r="F158" i="77"/>
  <c r="G158" i="77" s="1"/>
  <c r="H158" i="77" s="1"/>
  <c r="F154" i="77"/>
  <c r="G154" i="77" s="1"/>
  <c r="H154" i="77" s="1"/>
  <c r="F148" i="77"/>
  <c r="G148" i="77" s="1"/>
  <c r="H148" i="77" s="1"/>
  <c r="F143" i="77"/>
  <c r="G143" i="77" s="1"/>
  <c r="H143" i="77" s="1"/>
  <c r="F141" i="77"/>
  <c r="G141" i="77" s="1"/>
  <c r="H141" i="77" s="1"/>
  <c r="F133" i="77"/>
  <c r="G133" i="77" s="1"/>
  <c r="H133" i="77" s="1"/>
  <c r="F128" i="77"/>
  <c r="G128" i="77" s="1"/>
  <c r="H128" i="77" s="1"/>
  <c r="F126" i="77"/>
  <c r="G126" i="77" s="1"/>
  <c r="H126" i="77" s="1"/>
  <c r="F116" i="77"/>
  <c r="G116" i="77" s="1"/>
  <c r="H116" i="77" s="1"/>
  <c r="F111" i="77"/>
  <c r="G111" i="77" s="1"/>
  <c r="H111" i="77" s="1"/>
  <c r="F107" i="77"/>
  <c r="G107" i="77" s="1"/>
  <c r="H107" i="77" s="1"/>
  <c r="F105" i="77"/>
  <c r="G105" i="77" s="1"/>
  <c r="F101" i="77"/>
  <c r="G101" i="77" s="1"/>
  <c r="F90" i="77"/>
  <c r="G90" i="77" s="1"/>
  <c r="H90" i="77" s="1"/>
  <c r="F84" i="77"/>
  <c r="G84" i="77" s="1"/>
  <c r="H84" i="77" s="1"/>
  <c r="F82" i="77"/>
  <c r="G82" i="77" s="1"/>
  <c r="H82" i="77" s="1"/>
  <c r="F67" i="77"/>
  <c r="G67" i="77" s="1"/>
  <c r="H67" i="77" s="1"/>
  <c r="F52" i="77"/>
  <c r="G52" i="77" s="1"/>
  <c r="H52" i="77" s="1"/>
  <c r="F46" i="77"/>
  <c r="G46" i="77" s="1"/>
  <c r="H46" i="77" s="1"/>
  <c r="F29" i="77"/>
  <c r="G29" i="77" s="1"/>
  <c r="H29" i="77" s="1"/>
  <c r="F28" i="77"/>
  <c r="G28" i="77" s="1"/>
  <c r="H28" i="77" s="1"/>
  <c r="F19" i="77"/>
  <c r="G19" i="77" s="1"/>
  <c r="H19" i="77" s="1"/>
  <c r="F17" i="77"/>
  <c r="G17" i="77" s="1"/>
  <c r="H17" i="77" s="1"/>
  <c r="F13" i="77"/>
  <c r="G13" i="77" s="1"/>
  <c r="H13" i="77" s="1"/>
  <c r="F151" i="78"/>
  <c r="G151" i="78" s="1"/>
  <c r="F88" i="78"/>
  <c r="G88" i="78" s="1"/>
  <c r="H89" i="78" s="1"/>
  <c r="F45" i="78"/>
  <c r="G45" i="78" s="1"/>
  <c r="H45" i="78" s="1"/>
  <c r="F201" i="77"/>
  <c r="G201" i="77" s="1"/>
  <c r="F195" i="77"/>
  <c r="G195" i="77" s="1"/>
  <c r="F171" i="77"/>
  <c r="G171" i="77" s="1"/>
  <c r="H171" i="77" s="1"/>
  <c r="F160" i="77"/>
  <c r="G160" i="77" s="1"/>
  <c r="H160" i="77" s="1"/>
  <c r="F102" i="77"/>
  <c r="G102" i="77" s="1"/>
  <c r="F92" i="77"/>
  <c r="G92" i="77" s="1"/>
  <c r="F87" i="77"/>
  <c r="G87" i="77" s="1"/>
  <c r="H87" i="77" s="1"/>
  <c r="F78" i="77"/>
  <c r="G78" i="77" s="1"/>
  <c r="H78" i="77" s="1"/>
  <c r="F58" i="77"/>
  <c r="G58" i="77" s="1"/>
  <c r="H58" i="77" s="1"/>
  <c r="F40" i="77"/>
  <c r="G40" i="77" s="1"/>
  <c r="H40" i="77" s="1"/>
  <c r="D377" i="78"/>
  <c r="E376" i="78"/>
  <c r="D235" i="78"/>
  <c r="E234" i="78"/>
  <c r="E89" i="78"/>
  <c r="D90" i="78"/>
  <c r="D281" i="77"/>
  <c r="E280" i="77"/>
  <c r="D186" i="77"/>
  <c r="E185" i="77"/>
  <c r="F90" i="76"/>
  <c r="F83" i="44"/>
  <c r="F199" i="44"/>
  <c r="F56" i="44"/>
  <c r="F46" i="72"/>
  <c r="G46" i="72" s="1"/>
  <c r="H46" i="72" s="1"/>
  <c r="F42" i="72"/>
  <c r="G42" i="72" s="1"/>
  <c r="H42" i="72" s="1"/>
  <c r="F33" i="72"/>
  <c r="G33" i="72" s="1"/>
  <c r="H33" i="72" s="1"/>
  <c r="F28" i="72"/>
  <c r="G28" i="72" s="1"/>
  <c r="H28" i="72" s="1"/>
  <c r="F20" i="72"/>
  <c r="G20" i="72" s="1"/>
  <c r="H20" i="72" s="1"/>
  <c r="F16" i="72"/>
  <c r="G16" i="72" s="1"/>
  <c r="H16" i="72" s="1"/>
  <c r="F58" i="71"/>
  <c r="I58" i="71" s="1"/>
  <c r="F55" i="71"/>
  <c r="I55" i="71" s="1"/>
  <c r="F46" i="71"/>
  <c r="I46" i="71" s="1"/>
  <c r="J46" i="71" s="1"/>
  <c r="F43" i="71"/>
  <c r="I43" i="71" s="1"/>
  <c r="J43" i="71" s="1"/>
  <c r="F34" i="71"/>
  <c r="I34" i="71" s="1"/>
  <c r="F31" i="71"/>
  <c r="I31" i="71" s="1"/>
  <c r="F24" i="71"/>
  <c r="I24" i="71" s="1"/>
  <c r="F21" i="71"/>
  <c r="I21" i="71" s="1"/>
  <c r="J21" i="71" s="1"/>
  <c r="F18" i="71"/>
  <c r="I18" i="71" s="1"/>
  <c r="J18" i="71" s="1"/>
  <c r="F15" i="71"/>
  <c r="I15" i="71" s="1"/>
  <c r="J15" i="71" s="1"/>
  <c r="F44" i="72"/>
  <c r="G44" i="72" s="1"/>
  <c r="H44" i="72" s="1"/>
  <c r="F40" i="72"/>
  <c r="G40" i="72" s="1"/>
  <c r="H40" i="72" s="1"/>
  <c r="F37" i="72"/>
  <c r="G37" i="72" s="1"/>
  <c r="H37" i="72" s="1"/>
  <c r="F34" i="72"/>
  <c r="G34" i="72" s="1"/>
  <c r="H34" i="72" s="1"/>
  <c r="F31" i="72"/>
  <c r="G31" i="72" s="1"/>
  <c r="H31" i="72" s="1"/>
  <c r="F29" i="72"/>
  <c r="G29" i="72" s="1"/>
  <c r="H29" i="72" s="1"/>
  <c r="F25" i="72"/>
  <c r="G25" i="72" s="1"/>
  <c r="H25" i="72" s="1"/>
  <c r="F23" i="72"/>
  <c r="G23" i="72" s="1"/>
  <c r="H23" i="72" s="1"/>
  <c r="F19" i="72"/>
  <c r="G19" i="72" s="1"/>
  <c r="H19" i="72" s="1"/>
  <c r="F15" i="72"/>
  <c r="G15" i="72" s="1"/>
  <c r="H15" i="72" s="1"/>
  <c r="F12" i="72"/>
  <c r="G12" i="72" s="1"/>
  <c r="H12" i="72" s="1"/>
  <c r="F11" i="72"/>
  <c r="G11" i="72" s="1"/>
  <c r="H11" i="72" s="1"/>
  <c r="F57" i="71"/>
  <c r="I57" i="71" s="1"/>
  <c r="F54" i="71"/>
  <c r="I54" i="71" s="1"/>
  <c r="F51" i="71"/>
  <c r="I51" i="71" s="1"/>
  <c r="F48" i="71"/>
  <c r="I48" i="71" s="1"/>
  <c r="F45" i="71"/>
  <c r="I45" i="71" s="1"/>
  <c r="J45" i="71" s="1"/>
  <c r="F42" i="71"/>
  <c r="I42" i="71" s="1"/>
  <c r="J42" i="71" s="1"/>
  <c r="F39" i="71"/>
  <c r="I39" i="71" s="1"/>
  <c r="J39" i="71" s="1"/>
  <c r="F36" i="71"/>
  <c r="I36" i="71" s="1"/>
  <c r="J36" i="71" s="1"/>
  <c r="F33" i="71"/>
  <c r="I33" i="71" s="1"/>
  <c r="F30" i="71"/>
  <c r="I30" i="71" s="1"/>
  <c r="F27" i="71"/>
  <c r="I27" i="71" s="1"/>
  <c r="F20" i="71"/>
  <c r="I20" i="71" s="1"/>
  <c r="J20" i="71" s="1"/>
  <c r="F17" i="71"/>
  <c r="I17" i="71" s="1"/>
  <c r="J17" i="71" s="1"/>
  <c r="F14" i="71"/>
  <c r="I14" i="71" s="1"/>
  <c r="J14" i="71" s="1"/>
  <c r="F45" i="72"/>
  <c r="G45" i="72" s="1"/>
  <c r="H45" i="72" s="1"/>
  <c r="F38" i="72"/>
  <c r="G38" i="72" s="1"/>
  <c r="H38" i="72" s="1"/>
  <c r="F35" i="72"/>
  <c r="G35" i="72" s="1"/>
  <c r="H35" i="72" s="1"/>
  <c r="F32" i="72"/>
  <c r="G32" i="72" s="1"/>
  <c r="H32" i="72" s="1"/>
  <c r="F27" i="72"/>
  <c r="G27" i="72" s="1"/>
  <c r="H27" i="72" s="1"/>
  <c r="F22" i="72"/>
  <c r="G22" i="72" s="1"/>
  <c r="H22" i="72" s="1"/>
  <c r="F18" i="72"/>
  <c r="G18" i="72" s="1"/>
  <c r="H18" i="72" s="1"/>
  <c r="F14" i="72"/>
  <c r="G14" i="72" s="1"/>
  <c r="H14" i="72" s="1"/>
  <c r="F56" i="71"/>
  <c r="I56" i="71" s="1"/>
  <c r="F53" i="71"/>
  <c r="I53" i="71" s="1"/>
  <c r="F50" i="71"/>
  <c r="I50" i="71" s="1"/>
  <c r="F44" i="71"/>
  <c r="I44" i="71" s="1"/>
  <c r="J44" i="71" s="1"/>
  <c r="F41" i="71"/>
  <c r="I41" i="71" s="1"/>
  <c r="J41" i="71" s="1"/>
  <c r="F38" i="71"/>
  <c r="I38" i="71" s="1"/>
  <c r="J38" i="71" s="1"/>
  <c r="F32" i="71"/>
  <c r="I32" i="71" s="1"/>
  <c r="F29" i="71"/>
  <c r="I29" i="71" s="1"/>
  <c r="F26" i="71"/>
  <c r="I26" i="71" s="1"/>
  <c r="F23" i="71"/>
  <c r="I23" i="71" s="1"/>
  <c r="J23" i="71" s="1"/>
  <c r="J24" i="71" s="1"/>
  <c r="J25" i="71" s="1"/>
  <c r="J26" i="71" s="1"/>
  <c r="J27" i="71" s="1"/>
  <c r="J28" i="71" s="1"/>
  <c r="J29" i="71" s="1"/>
  <c r="J30" i="71" s="1"/>
  <c r="J31" i="71" s="1"/>
  <c r="J32" i="71" s="1"/>
  <c r="J33" i="71" s="1"/>
  <c r="J34" i="71" s="1"/>
  <c r="F16" i="71"/>
  <c r="I16" i="71" s="1"/>
  <c r="J16" i="71" s="1"/>
  <c r="F13" i="71"/>
  <c r="I13" i="71" s="1"/>
  <c r="J13" i="71" s="1"/>
  <c r="F12" i="71"/>
  <c r="I12" i="71" s="1"/>
  <c r="J12" i="71" s="1"/>
  <c r="F43" i="72"/>
  <c r="G43" i="72" s="1"/>
  <c r="H43" i="72" s="1"/>
  <c r="F41" i="72"/>
  <c r="G41" i="72" s="1"/>
  <c r="H41" i="72" s="1"/>
  <c r="F39" i="72"/>
  <c r="G39" i="72" s="1"/>
  <c r="H39" i="72" s="1"/>
  <c r="F36" i="72"/>
  <c r="G36" i="72" s="1"/>
  <c r="H36" i="72" s="1"/>
  <c r="F30" i="72"/>
  <c r="G30" i="72" s="1"/>
  <c r="H30" i="72" s="1"/>
  <c r="F26" i="72"/>
  <c r="G26" i="72" s="1"/>
  <c r="H26" i="72" s="1"/>
  <c r="F24" i="72"/>
  <c r="G24" i="72" s="1"/>
  <c r="H24" i="72" s="1"/>
  <c r="F21" i="72"/>
  <c r="G21" i="72" s="1"/>
  <c r="H21" i="72" s="1"/>
  <c r="F17" i="72"/>
  <c r="G17" i="72" s="1"/>
  <c r="H17" i="72" s="1"/>
  <c r="F13" i="72"/>
  <c r="G13" i="72" s="1"/>
  <c r="H13" i="72" s="1"/>
  <c r="F52" i="71"/>
  <c r="I52" i="71" s="1"/>
  <c r="F49" i="71"/>
  <c r="I49" i="71" s="1"/>
  <c r="F47" i="71"/>
  <c r="I47" i="71" s="1"/>
  <c r="J47" i="71" s="1"/>
  <c r="J48" i="71" s="1"/>
  <c r="J49" i="71" s="1"/>
  <c r="J50" i="71" s="1"/>
  <c r="J51" i="71" s="1"/>
  <c r="J52" i="71" s="1"/>
  <c r="J53" i="71" s="1"/>
  <c r="J54" i="71" s="1"/>
  <c r="J55" i="71" s="1"/>
  <c r="J56" i="71" s="1"/>
  <c r="J57" i="71" s="1"/>
  <c r="J58" i="71" s="1"/>
  <c r="F40" i="71"/>
  <c r="I40" i="71" s="1"/>
  <c r="J40" i="71" s="1"/>
  <c r="F37" i="71"/>
  <c r="I37" i="71" s="1"/>
  <c r="J37" i="71" s="1"/>
  <c r="F35" i="71"/>
  <c r="I35" i="71" s="1"/>
  <c r="J35" i="71" s="1"/>
  <c r="F28" i="71"/>
  <c r="I28" i="71" s="1"/>
  <c r="F25" i="71"/>
  <c r="I25" i="71" s="1"/>
  <c r="F22" i="71"/>
  <c r="I22" i="71" s="1"/>
  <c r="J22" i="71" s="1"/>
  <c r="F19" i="71"/>
  <c r="I19" i="71" s="1"/>
  <c r="J19" i="71" s="1"/>
  <c r="F11" i="71"/>
  <c r="I11" i="71" s="1"/>
  <c r="J11" i="71" s="1"/>
  <c r="F76" i="70"/>
  <c r="G76" i="70" s="1"/>
  <c r="H76" i="70" s="1"/>
  <c r="F74" i="70"/>
  <c r="G74" i="70" s="1"/>
  <c r="H74" i="70" s="1"/>
  <c r="F60" i="70"/>
  <c r="G60" i="70" s="1"/>
  <c r="H60" i="70" s="1"/>
  <c r="F75" i="70"/>
  <c r="G75" i="70" s="1"/>
  <c r="H75" i="70" s="1"/>
  <c r="F73" i="70"/>
  <c r="G73" i="70" s="1"/>
  <c r="H73" i="70" s="1"/>
  <c r="F82" i="70"/>
  <c r="G82" i="70" s="1"/>
  <c r="H82" i="70" s="1"/>
  <c r="F80" i="70"/>
  <c r="G80" i="70" s="1"/>
  <c r="H80" i="70" s="1"/>
  <c r="F78" i="70"/>
  <c r="G78" i="70" s="1"/>
  <c r="H78" i="70" s="1"/>
  <c r="F59" i="70"/>
  <c r="G59" i="70" s="1"/>
  <c r="H59" i="70" s="1"/>
  <c r="F72" i="70"/>
  <c r="G72" i="70" s="1"/>
  <c r="H72" i="70" s="1"/>
  <c r="F70" i="70"/>
  <c r="G70" i="70" s="1"/>
  <c r="H70" i="70" s="1"/>
  <c r="F68" i="70"/>
  <c r="G68" i="70" s="1"/>
  <c r="H68" i="70" s="1"/>
  <c r="F66" i="70"/>
  <c r="G66" i="70" s="1"/>
  <c r="H66" i="70" s="1"/>
  <c r="F64" i="70"/>
  <c r="G64" i="70" s="1"/>
  <c r="H64" i="70" s="1"/>
  <c r="F62" i="70"/>
  <c r="G62" i="70" s="1"/>
  <c r="H62" i="70" s="1"/>
  <c r="F58" i="70"/>
  <c r="G58" i="70" s="1"/>
  <c r="F55" i="70"/>
  <c r="G55" i="70" s="1"/>
  <c r="F49" i="70"/>
  <c r="G49" i="70" s="1"/>
  <c r="F47" i="70"/>
  <c r="G47" i="70" s="1"/>
  <c r="F44" i="70"/>
  <c r="G44" i="70" s="1"/>
  <c r="F42" i="70"/>
  <c r="G42" i="70" s="1"/>
  <c r="F39" i="70"/>
  <c r="G39" i="70" s="1"/>
  <c r="F36" i="70"/>
  <c r="G36" i="70" s="1"/>
  <c r="F77" i="70"/>
  <c r="G77" i="70" s="1"/>
  <c r="H77" i="70" s="1"/>
  <c r="F56" i="70"/>
  <c r="G56" i="70" s="1"/>
  <c r="F53" i="70"/>
  <c r="G53" i="70" s="1"/>
  <c r="F50" i="70"/>
  <c r="G50" i="70" s="1"/>
  <c r="F45" i="70"/>
  <c r="G45" i="70" s="1"/>
  <c r="F79" i="70"/>
  <c r="G79" i="70" s="1"/>
  <c r="H79" i="70" s="1"/>
  <c r="F71" i="70"/>
  <c r="G71" i="70" s="1"/>
  <c r="H71" i="70" s="1"/>
  <c r="F69" i="70"/>
  <c r="G69" i="70" s="1"/>
  <c r="H69" i="70" s="1"/>
  <c r="F67" i="70"/>
  <c r="G67" i="70" s="1"/>
  <c r="H67" i="70" s="1"/>
  <c r="F65" i="70"/>
  <c r="G65" i="70" s="1"/>
  <c r="H65" i="70" s="1"/>
  <c r="F63" i="70"/>
  <c r="G63" i="70" s="1"/>
  <c r="H63" i="70" s="1"/>
  <c r="F57" i="70"/>
  <c r="G57" i="70" s="1"/>
  <c r="F51" i="70"/>
  <c r="G51" i="70" s="1"/>
  <c r="F48" i="70"/>
  <c r="G48" i="70" s="1"/>
  <c r="F46" i="70"/>
  <c r="G46" i="70" s="1"/>
  <c r="F43" i="70"/>
  <c r="G43" i="70" s="1"/>
  <c r="F40" i="70"/>
  <c r="G40" i="70" s="1"/>
  <c r="F38" i="70"/>
  <c r="G38" i="70" s="1"/>
  <c r="F35" i="70"/>
  <c r="G35" i="70" s="1"/>
  <c r="F32" i="70"/>
  <c r="G32" i="70" s="1"/>
  <c r="H32" i="70" s="1"/>
  <c r="F29" i="70"/>
  <c r="G29" i="70" s="1"/>
  <c r="H29" i="70" s="1"/>
  <c r="F28" i="70"/>
  <c r="G28" i="70" s="1"/>
  <c r="H28" i="70" s="1"/>
  <c r="F61" i="70"/>
  <c r="G61" i="70" s="1"/>
  <c r="H61" i="70" s="1"/>
  <c r="F52" i="70"/>
  <c r="G52" i="70" s="1"/>
  <c r="F26" i="70"/>
  <c r="G26" i="70" s="1"/>
  <c r="H26" i="70" s="1"/>
  <c r="F24" i="70"/>
  <c r="G24" i="70" s="1"/>
  <c r="H24" i="70" s="1"/>
  <c r="F22" i="70"/>
  <c r="G22" i="70" s="1"/>
  <c r="H22" i="70" s="1"/>
  <c r="F20" i="70"/>
  <c r="G20" i="70" s="1"/>
  <c r="H20" i="70" s="1"/>
  <c r="F18" i="70"/>
  <c r="G18" i="70" s="1"/>
  <c r="H18" i="70" s="1"/>
  <c r="F16" i="70"/>
  <c r="G16" i="70" s="1"/>
  <c r="H16" i="70" s="1"/>
  <c r="F14" i="70"/>
  <c r="G14" i="70" s="1"/>
  <c r="H14" i="70" s="1"/>
  <c r="F11" i="70"/>
  <c r="G11" i="70" s="1"/>
  <c r="H11" i="70" s="1"/>
  <c r="F63" i="68"/>
  <c r="G63" i="68" s="1"/>
  <c r="H63" i="68" s="1"/>
  <c r="F65" i="68"/>
  <c r="G65" i="68" s="1"/>
  <c r="H65" i="68" s="1"/>
  <c r="F68" i="68"/>
  <c r="G68" i="68" s="1"/>
  <c r="H68" i="68" s="1"/>
  <c r="F76" i="68"/>
  <c r="G76" i="68" s="1"/>
  <c r="H76" i="68" s="1"/>
  <c r="F82" i="68"/>
  <c r="G82" i="68" s="1"/>
  <c r="H82" i="68" s="1"/>
  <c r="F85" i="68"/>
  <c r="G85" i="68" s="1"/>
  <c r="F90" i="68"/>
  <c r="G90" i="68" s="1"/>
  <c r="F93" i="68"/>
  <c r="G93" i="68" s="1"/>
  <c r="F96" i="68"/>
  <c r="G96" i="68" s="1"/>
  <c r="F99" i="68"/>
  <c r="G99" i="68" s="1"/>
  <c r="F102" i="68"/>
  <c r="G102" i="68" s="1"/>
  <c r="F105" i="68"/>
  <c r="G105" i="68" s="1"/>
  <c r="F107" i="68"/>
  <c r="G107" i="68" s="1"/>
  <c r="F110" i="68"/>
  <c r="G110" i="68" s="1"/>
  <c r="F113" i="68"/>
  <c r="G113" i="68" s="1"/>
  <c r="F121" i="68"/>
  <c r="G121" i="68" s="1"/>
  <c r="F127" i="68"/>
  <c r="G127" i="68" s="1"/>
  <c r="F129" i="68"/>
  <c r="G129" i="68" s="1"/>
  <c r="F131" i="68"/>
  <c r="G131" i="68" s="1"/>
  <c r="F134" i="68"/>
  <c r="G134" i="68" s="1"/>
  <c r="F137" i="68"/>
  <c r="G137" i="68" s="1"/>
  <c r="F140" i="68"/>
  <c r="G140" i="68" s="1"/>
  <c r="F143" i="68"/>
  <c r="G143" i="68" s="1"/>
  <c r="F149" i="68"/>
  <c r="G149" i="68" s="1"/>
  <c r="F152" i="68"/>
  <c r="G152" i="68" s="1"/>
  <c r="F155" i="68"/>
  <c r="G155" i="68" s="1"/>
  <c r="H155" i="68" s="1"/>
  <c r="F158" i="68"/>
  <c r="G158" i="68" s="1"/>
  <c r="H158" i="68" s="1"/>
  <c r="F161" i="68"/>
  <c r="G161" i="68" s="1"/>
  <c r="H161" i="68" s="1"/>
  <c r="F163" i="68"/>
  <c r="G163" i="68" s="1"/>
  <c r="H163" i="68" s="1"/>
  <c r="F166" i="68"/>
  <c r="G166" i="68" s="1"/>
  <c r="H166" i="68" s="1"/>
  <c r="F168" i="68"/>
  <c r="G168" i="68" s="1"/>
  <c r="H168" i="68" s="1"/>
  <c r="F170" i="68"/>
  <c r="G170" i="68" s="1"/>
  <c r="H170" i="68" s="1"/>
  <c r="F173" i="68"/>
  <c r="G173" i="68" s="1"/>
  <c r="H173" i="68" s="1"/>
  <c r="F178" i="68"/>
  <c r="G178" i="68" s="1"/>
  <c r="H178" i="68" s="1"/>
  <c r="F182" i="68"/>
  <c r="G182" i="68" s="1"/>
  <c r="H182" i="68" s="1"/>
  <c r="F185" i="68"/>
  <c r="G185" i="68" s="1"/>
  <c r="H185" i="68" s="1"/>
  <c r="F81" i="70"/>
  <c r="G81" i="70" s="1"/>
  <c r="H81" i="70" s="1"/>
  <c r="F30" i="70"/>
  <c r="G30" i="70" s="1"/>
  <c r="H30" i="70" s="1"/>
  <c r="F27" i="70"/>
  <c r="G27" i="70" s="1"/>
  <c r="H27" i="70" s="1"/>
  <c r="F60" i="68"/>
  <c r="G60" i="68" s="1"/>
  <c r="H60" i="68" s="1"/>
  <c r="F66" i="68"/>
  <c r="G66" i="68" s="1"/>
  <c r="H66" i="68" s="1"/>
  <c r="F69" i="68"/>
  <c r="G69" i="68" s="1"/>
  <c r="H69" i="68" s="1"/>
  <c r="F72" i="68"/>
  <c r="G72" i="68" s="1"/>
  <c r="H72" i="68" s="1"/>
  <c r="F74" i="68"/>
  <c r="G74" i="68" s="1"/>
  <c r="H74" i="68" s="1"/>
  <c r="F77" i="68"/>
  <c r="G77" i="68" s="1"/>
  <c r="H77" i="68" s="1"/>
  <c r="F80" i="68"/>
  <c r="G80" i="68" s="1"/>
  <c r="H80" i="68" s="1"/>
  <c r="F83" i="68"/>
  <c r="G83" i="68" s="1"/>
  <c r="F86" i="68"/>
  <c r="G86" i="68" s="1"/>
  <c r="F88" i="68"/>
  <c r="G88" i="68" s="1"/>
  <c r="F91" i="68"/>
  <c r="G91" i="68" s="1"/>
  <c r="F94" i="68"/>
  <c r="G94" i="68" s="1"/>
  <c r="F97" i="68"/>
  <c r="G97" i="68" s="1"/>
  <c r="F103" i="68"/>
  <c r="G103" i="68" s="1"/>
  <c r="F111" i="68"/>
  <c r="G111" i="68" s="1"/>
  <c r="F116" i="68"/>
  <c r="G116" i="68" s="1"/>
  <c r="F119" i="68"/>
  <c r="G119" i="68" s="1"/>
  <c r="F124" i="68"/>
  <c r="G124" i="68" s="1"/>
  <c r="F135" i="68"/>
  <c r="G135" i="68" s="1"/>
  <c r="F146" i="68"/>
  <c r="G146" i="68" s="1"/>
  <c r="F150" i="68"/>
  <c r="G150" i="68" s="1"/>
  <c r="F153" i="68"/>
  <c r="G153" i="68" s="1"/>
  <c r="F159" i="68"/>
  <c r="G159" i="68" s="1"/>
  <c r="H159" i="68" s="1"/>
  <c r="F167" i="68"/>
  <c r="G167" i="68" s="1"/>
  <c r="H167" i="68" s="1"/>
  <c r="F169" i="68"/>
  <c r="G169" i="68" s="1"/>
  <c r="H169" i="68" s="1"/>
  <c r="F37" i="70"/>
  <c r="G37" i="70" s="1"/>
  <c r="F33" i="70"/>
  <c r="G33" i="70" s="1"/>
  <c r="H33" i="70" s="1"/>
  <c r="F25" i="70"/>
  <c r="G25" i="70" s="1"/>
  <c r="H25" i="70" s="1"/>
  <c r="F23" i="70"/>
  <c r="G23" i="70" s="1"/>
  <c r="H23" i="70" s="1"/>
  <c r="F21" i="70"/>
  <c r="G21" i="70" s="1"/>
  <c r="H21" i="70" s="1"/>
  <c r="F19" i="70"/>
  <c r="G19" i="70" s="1"/>
  <c r="H19" i="70" s="1"/>
  <c r="F17" i="70"/>
  <c r="G17" i="70" s="1"/>
  <c r="H17" i="70" s="1"/>
  <c r="F15" i="70"/>
  <c r="G15" i="70" s="1"/>
  <c r="H15" i="70" s="1"/>
  <c r="F13" i="70"/>
  <c r="G13" i="70" s="1"/>
  <c r="H13" i="70" s="1"/>
  <c r="F61" i="68"/>
  <c r="G61" i="68" s="1"/>
  <c r="H61" i="68" s="1"/>
  <c r="F67" i="68"/>
  <c r="G67" i="68" s="1"/>
  <c r="H67" i="68" s="1"/>
  <c r="F70" i="68"/>
  <c r="G70" i="68" s="1"/>
  <c r="H70" i="68" s="1"/>
  <c r="F73" i="68"/>
  <c r="G73" i="68" s="1"/>
  <c r="H73" i="68" s="1"/>
  <c r="F75" i="68"/>
  <c r="G75" i="68" s="1"/>
  <c r="H75" i="68" s="1"/>
  <c r="F78" i="68"/>
  <c r="G78" i="68" s="1"/>
  <c r="H78" i="68" s="1"/>
  <c r="F81" i="68"/>
  <c r="G81" i="68" s="1"/>
  <c r="H81" i="68" s="1"/>
  <c r="F89" i="68"/>
  <c r="G89" i="68" s="1"/>
  <c r="F54" i="70"/>
  <c r="G54" i="70" s="1"/>
  <c r="F34" i="70"/>
  <c r="G34" i="70" s="1"/>
  <c r="H34" i="70" s="1"/>
  <c r="F71" i="68"/>
  <c r="G71" i="68" s="1"/>
  <c r="H71" i="68" s="1"/>
  <c r="F108" i="68"/>
  <c r="G108" i="68" s="1"/>
  <c r="F114" i="68"/>
  <c r="G114" i="68" s="1"/>
  <c r="F125" i="68"/>
  <c r="G125" i="68" s="1"/>
  <c r="F141" i="68"/>
  <c r="G141" i="68" s="1"/>
  <c r="F147" i="68"/>
  <c r="G147" i="68" s="1"/>
  <c r="F164" i="68"/>
  <c r="G164" i="68" s="1"/>
  <c r="H164" i="68" s="1"/>
  <c r="F172" i="68"/>
  <c r="G172" i="68" s="1"/>
  <c r="H172" i="68" s="1"/>
  <c r="F176" i="68"/>
  <c r="G176" i="68" s="1"/>
  <c r="H176" i="68" s="1"/>
  <c r="F180" i="68"/>
  <c r="G180" i="68" s="1"/>
  <c r="H180" i="68" s="1"/>
  <c r="F190" i="68"/>
  <c r="G190" i="68" s="1"/>
  <c r="H190" i="68" s="1"/>
  <c r="F193" i="68"/>
  <c r="G193" i="68" s="1"/>
  <c r="H193" i="68" s="1"/>
  <c r="F198" i="68"/>
  <c r="G198" i="68" s="1"/>
  <c r="H198" i="68" s="1"/>
  <c r="F201" i="68"/>
  <c r="G201" i="68" s="1"/>
  <c r="H201" i="68" s="1"/>
  <c r="F206" i="68"/>
  <c r="G206" i="68" s="1"/>
  <c r="H206" i="68" s="1"/>
  <c r="F209" i="68"/>
  <c r="G209" i="68" s="1"/>
  <c r="H209" i="68" s="1"/>
  <c r="F212" i="68"/>
  <c r="G212" i="68" s="1"/>
  <c r="H212" i="68" s="1"/>
  <c r="F215" i="68"/>
  <c r="G215" i="68" s="1"/>
  <c r="H215" i="68" s="1"/>
  <c r="F218" i="68"/>
  <c r="G218" i="68" s="1"/>
  <c r="H218" i="68" s="1"/>
  <c r="F220" i="68"/>
  <c r="G220" i="68" s="1"/>
  <c r="H220" i="68" s="1"/>
  <c r="F223" i="68"/>
  <c r="G223" i="68" s="1"/>
  <c r="H223" i="68" s="1"/>
  <c r="F227" i="68"/>
  <c r="G227" i="68" s="1"/>
  <c r="H227" i="68" s="1"/>
  <c r="F238" i="68"/>
  <c r="G238" i="68" s="1"/>
  <c r="H238" i="68" s="1"/>
  <c r="F241" i="68"/>
  <c r="G241" i="68" s="1"/>
  <c r="H241" i="68" s="1"/>
  <c r="F246" i="68"/>
  <c r="G246" i="68" s="1"/>
  <c r="H246" i="68" s="1"/>
  <c r="F250" i="68"/>
  <c r="G250" i="68" s="1"/>
  <c r="H250" i="68" s="1"/>
  <c r="F253" i="68"/>
  <c r="G253" i="68" s="1"/>
  <c r="H253" i="68" s="1"/>
  <c r="F256" i="68"/>
  <c r="G256" i="68" s="1"/>
  <c r="H256" i="68" s="1"/>
  <c r="F258" i="68"/>
  <c r="G258" i="68" s="1"/>
  <c r="H258" i="68" s="1"/>
  <c r="F261" i="68"/>
  <c r="G261" i="68" s="1"/>
  <c r="H261" i="68" s="1"/>
  <c r="F264" i="68"/>
  <c r="G264" i="68" s="1"/>
  <c r="H264" i="68" s="1"/>
  <c r="F267" i="68"/>
  <c r="G267" i="68" s="1"/>
  <c r="H267" i="68" s="1"/>
  <c r="F269" i="68"/>
  <c r="G269" i="68" s="1"/>
  <c r="H269" i="68" s="1"/>
  <c r="F272" i="68"/>
  <c r="G272" i="68" s="1"/>
  <c r="H272" i="68" s="1"/>
  <c r="F275" i="68"/>
  <c r="G275" i="68" s="1"/>
  <c r="H275" i="68" s="1"/>
  <c r="F281" i="68"/>
  <c r="G281" i="68" s="1"/>
  <c r="H281" i="68" s="1"/>
  <c r="F290" i="68"/>
  <c r="G290" i="68" s="1"/>
  <c r="H290" i="68" s="1"/>
  <c r="F293" i="68"/>
  <c r="G293" i="68" s="1"/>
  <c r="H293" i="68" s="1"/>
  <c r="F295" i="68"/>
  <c r="G295" i="68" s="1"/>
  <c r="H295" i="68" s="1"/>
  <c r="F48" i="68"/>
  <c r="G48" i="68" s="1"/>
  <c r="H48" i="68" s="1"/>
  <c r="F55" i="68"/>
  <c r="G55" i="68" s="1"/>
  <c r="H55" i="68" s="1"/>
  <c r="F58" i="68"/>
  <c r="G58" i="68" s="1"/>
  <c r="H58" i="68" s="1"/>
  <c r="F15" i="68"/>
  <c r="G15" i="68" s="1"/>
  <c r="H15" i="68" s="1"/>
  <c r="F21" i="68"/>
  <c r="G21" i="68" s="1"/>
  <c r="H21" i="68" s="1"/>
  <c r="F24" i="68"/>
  <c r="G24" i="68" s="1"/>
  <c r="H24" i="68" s="1"/>
  <c r="F30" i="68"/>
  <c r="G30" i="68" s="1"/>
  <c r="H30" i="68" s="1"/>
  <c r="F33" i="68"/>
  <c r="G33" i="68" s="1"/>
  <c r="H33" i="68" s="1"/>
  <c r="F35" i="68"/>
  <c r="G35" i="68" s="1"/>
  <c r="H35" i="68" s="1"/>
  <c r="F38" i="68"/>
  <c r="G38" i="68" s="1"/>
  <c r="H38" i="68" s="1"/>
  <c r="F41" i="68"/>
  <c r="G41" i="68" s="1"/>
  <c r="H41" i="68" s="1"/>
  <c r="F44" i="68"/>
  <c r="G44" i="68" s="1"/>
  <c r="H44" i="68" s="1"/>
  <c r="F12" i="68"/>
  <c r="G12" i="68" s="1"/>
  <c r="H12" i="68" s="1"/>
  <c r="F62" i="68"/>
  <c r="G62" i="68" s="1"/>
  <c r="H62" i="68" s="1"/>
  <c r="F84" i="68"/>
  <c r="G84" i="68" s="1"/>
  <c r="F92" i="68"/>
  <c r="G92" i="68" s="1"/>
  <c r="F98" i="68"/>
  <c r="G98" i="68" s="1"/>
  <c r="F104" i="68"/>
  <c r="G104" i="68" s="1"/>
  <c r="F109" i="68"/>
  <c r="G109" i="68" s="1"/>
  <c r="F115" i="68"/>
  <c r="G115" i="68" s="1"/>
  <c r="F120" i="68"/>
  <c r="G120" i="68" s="1"/>
  <c r="F126" i="68"/>
  <c r="G126" i="68" s="1"/>
  <c r="F130" i="68"/>
  <c r="G130" i="68" s="1"/>
  <c r="F136" i="68"/>
  <c r="G136" i="68" s="1"/>
  <c r="F142" i="68"/>
  <c r="G142" i="68" s="1"/>
  <c r="F148" i="68"/>
  <c r="G148" i="68" s="1"/>
  <c r="F154" i="68"/>
  <c r="G154" i="68" s="1"/>
  <c r="F160" i="68"/>
  <c r="G160" i="68" s="1"/>
  <c r="H160" i="68" s="1"/>
  <c r="F165" i="68"/>
  <c r="G165" i="68" s="1"/>
  <c r="H165" i="68" s="1"/>
  <c r="F177" i="68"/>
  <c r="G177" i="68" s="1"/>
  <c r="H177" i="68" s="1"/>
  <c r="F181" i="68"/>
  <c r="G181" i="68" s="1"/>
  <c r="H181" i="68" s="1"/>
  <c r="F186" i="68"/>
  <c r="G186" i="68" s="1"/>
  <c r="H186" i="68" s="1"/>
  <c r="F188" i="68"/>
  <c r="G188" i="68" s="1"/>
  <c r="H188" i="68" s="1"/>
  <c r="F191" i="68"/>
  <c r="G191" i="68" s="1"/>
  <c r="H191" i="68" s="1"/>
  <c r="F194" i="68"/>
  <c r="G194" i="68" s="1"/>
  <c r="H194" i="68" s="1"/>
  <c r="F196" i="68"/>
  <c r="G196" i="68" s="1"/>
  <c r="H196" i="68" s="1"/>
  <c r="F199" i="68"/>
  <c r="G199" i="68" s="1"/>
  <c r="H199" i="68" s="1"/>
  <c r="F202" i="68"/>
  <c r="G202" i="68" s="1"/>
  <c r="H202" i="68" s="1"/>
  <c r="F204" i="68"/>
  <c r="G204" i="68" s="1"/>
  <c r="H204" i="68" s="1"/>
  <c r="F207" i="68"/>
  <c r="G207" i="68" s="1"/>
  <c r="H207" i="68" s="1"/>
  <c r="F210" i="68"/>
  <c r="G210" i="68" s="1"/>
  <c r="H210" i="68" s="1"/>
  <c r="F213" i="68"/>
  <c r="G213" i="68" s="1"/>
  <c r="H213" i="68" s="1"/>
  <c r="F216" i="68"/>
  <c r="G216" i="68" s="1"/>
  <c r="H216" i="68" s="1"/>
  <c r="F219" i="68"/>
  <c r="G219" i="68" s="1"/>
  <c r="H219" i="68" s="1"/>
  <c r="F221" i="68"/>
  <c r="G221" i="68" s="1"/>
  <c r="H221" i="68" s="1"/>
  <c r="F224" i="68"/>
  <c r="G224" i="68" s="1"/>
  <c r="H224" i="68" s="1"/>
  <c r="F230" i="68"/>
  <c r="G230" i="68" s="1"/>
  <c r="H230" i="68" s="1"/>
  <c r="F233" i="68"/>
  <c r="G233" i="68" s="1"/>
  <c r="H233" i="68" s="1"/>
  <c r="F236" i="68"/>
  <c r="G236" i="68" s="1"/>
  <c r="H236" i="68" s="1"/>
  <c r="F239" i="68"/>
  <c r="G239" i="68" s="1"/>
  <c r="H239" i="68" s="1"/>
  <c r="F242" i="68"/>
  <c r="G242" i="68" s="1"/>
  <c r="H242" i="68" s="1"/>
  <c r="F244" i="68"/>
  <c r="G244" i="68" s="1"/>
  <c r="H244" i="68" s="1"/>
  <c r="F247" i="68"/>
  <c r="G247" i="68" s="1"/>
  <c r="H247" i="68" s="1"/>
  <c r="F251" i="68"/>
  <c r="G251" i="68" s="1"/>
  <c r="H251" i="68" s="1"/>
  <c r="F259" i="68"/>
  <c r="G259" i="68" s="1"/>
  <c r="H259" i="68" s="1"/>
  <c r="F265" i="68"/>
  <c r="G265" i="68" s="1"/>
  <c r="H265" i="68" s="1"/>
  <c r="F273" i="68"/>
  <c r="G273" i="68" s="1"/>
  <c r="H273" i="68" s="1"/>
  <c r="F278" i="68"/>
  <c r="G278" i="68" s="1"/>
  <c r="H278" i="68" s="1"/>
  <c r="F286" i="68"/>
  <c r="G286" i="68" s="1"/>
  <c r="H286" i="68" s="1"/>
  <c r="F289" i="68"/>
  <c r="G289" i="68" s="1"/>
  <c r="H289" i="68" s="1"/>
  <c r="F291" i="68"/>
  <c r="G291" i="68" s="1"/>
  <c r="H291" i="68" s="1"/>
  <c r="F296" i="68"/>
  <c r="G296" i="68" s="1"/>
  <c r="H296" i="68" s="1"/>
  <c r="F298" i="68"/>
  <c r="G298" i="68" s="1"/>
  <c r="H298" i="68" s="1"/>
  <c r="F50" i="68"/>
  <c r="G50" i="68" s="1"/>
  <c r="H50" i="68" s="1"/>
  <c r="F53" i="68"/>
  <c r="G53" i="68" s="1"/>
  <c r="H53" i="68" s="1"/>
  <c r="F56" i="68"/>
  <c r="G56" i="68" s="1"/>
  <c r="H56" i="68" s="1"/>
  <c r="F16" i="68"/>
  <c r="G16" i="68" s="1"/>
  <c r="H16" i="68" s="1"/>
  <c r="F19" i="68"/>
  <c r="G19" i="68" s="1"/>
  <c r="H19" i="68" s="1"/>
  <c r="F22" i="68"/>
  <c r="G22" i="68" s="1"/>
  <c r="H22" i="68" s="1"/>
  <c r="F25" i="68"/>
  <c r="G25" i="68" s="1"/>
  <c r="H25" i="68" s="1"/>
  <c r="F28" i="68"/>
  <c r="G28" i="68" s="1"/>
  <c r="H28" i="68" s="1"/>
  <c r="F34" i="68"/>
  <c r="G34" i="68" s="1"/>
  <c r="H34" i="68" s="1"/>
  <c r="F36" i="68"/>
  <c r="G36" i="68" s="1"/>
  <c r="H36" i="68" s="1"/>
  <c r="F42" i="68"/>
  <c r="G42" i="68" s="1"/>
  <c r="H42" i="68" s="1"/>
  <c r="F45" i="68"/>
  <c r="G45" i="68" s="1"/>
  <c r="H45" i="68" s="1"/>
  <c r="F47" i="68"/>
  <c r="G47" i="68" s="1"/>
  <c r="H47" i="68" s="1"/>
  <c r="F41" i="70"/>
  <c r="G41" i="70" s="1"/>
  <c r="F64" i="68"/>
  <c r="G64" i="68" s="1"/>
  <c r="H64" i="68" s="1"/>
  <c r="F87" i="68"/>
  <c r="G87" i="68" s="1"/>
  <c r="F95" i="68"/>
  <c r="G95" i="68" s="1"/>
  <c r="F100" i="68"/>
  <c r="G100" i="68" s="1"/>
  <c r="F117" i="68"/>
  <c r="G117" i="68" s="1"/>
  <c r="F122" i="68"/>
  <c r="G122" i="68" s="1"/>
  <c r="F132" i="68"/>
  <c r="G132" i="68" s="1"/>
  <c r="F138" i="68"/>
  <c r="G138" i="68" s="1"/>
  <c r="F144" i="68"/>
  <c r="G144" i="68" s="1"/>
  <c r="F151" i="68"/>
  <c r="G151" i="68" s="1"/>
  <c r="F156" i="68"/>
  <c r="G156" i="68" s="1"/>
  <c r="H156" i="68" s="1"/>
  <c r="F171" i="68"/>
  <c r="G171" i="68" s="1"/>
  <c r="H171" i="68" s="1"/>
  <c r="F174" i="68"/>
  <c r="G174" i="68" s="1"/>
  <c r="H174" i="68" s="1"/>
  <c r="F183" i="68"/>
  <c r="G183" i="68" s="1"/>
  <c r="H183" i="68" s="1"/>
  <c r="F187" i="68"/>
  <c r="G187" i="68" s="1"/>
  <c r="H187" i="68" s="1"/>
  <c r="F189" i="68"/>
  <c r="G189" i="68" s="1"/>
  <c r="H189" i="68" s="1"/>
  <c r="F192" i="68"/>
  <c r="G192" i="68" s="1"/>
  <c r="H192" i="68" s="1"/>
  <c r="F195" i="68"/>
  <c r="G195" i="68" s="1"/>
  <c r="H195" i="68" s="1"/>
  <c r="F197" i="68"/>
  <c r="G197" i="68" s="1"/>
  <c r="H197" i="68" s="1"/>
  <c r="F200" i="68"/>
  <c r="G200" i="68" s="1"/>
  <c r="H200" i="68" s="1"/>
  <c r="F203" i="68"/>
  <c r="G203" i="68" s="1"/>
  <c r="H203" i="68" s="1"/>
  <c r="F205" i="68"/>
  <c r="G205" i="68" s="1"/>
  <c r="H205" i="68" s="1"/>
  <c r="F208" i="68"/>
  <c r="G208" i="68" s="1"/>
  <c r="H208" i="68" s="1"/>
  <c r="F211" i="68"/>
  <c r="G211" i="68" s="1"/>
  <c r="H211" i="68" s="1"/>
  <c r="F225" i="68"/>
  <c r="G225" i="68" s="1"/>
  <c r="H225" i="68" s="1"/>
  <c r="F228" i="68"/>
  <c r="G228" i="68" s="1"/>
  <c r="H228" i="68" s="1"/>
  <c r="F231" i="68"/>
  <c r="G231" i="68" s="1"/>
  <c r="H231" i="68" s="1"/>
  <c r="F234" i="68"/>
  <c r="G234" i="68" s="1"/>
  <c r="H234" i="68" s="1"/>
  <c r="F237" i="68"/>
  <c r="G237" i="68" s="1"/>
  <c r="H237" i="68" s="1"/>
  <c r="F240" i="68"/>
  <c r="G240" i="68" s="1"/>
  <c r="H240" i="68" s="1"/>
  <c r="F243" i="68"/>
  <c r="G243" i="68" s="1"/>
  <c r="H243" i="68" s="1"/>
  <c r="F245" i="68"/>
  <c r="G245" i="68" s="1"/>
  <c r="H245" i="68" s="1"/>
  <c r="F248" i="68"/>
  <c r="G248" i="68" s="1"/>
  <c r="H248" i="68" s="1"/>
  <c r="F254" i="68"/>
  <c r="G254" i="68" s="1"/>
  <c r="H254" i="68" s="1"/>
  <c r="F257" i="68"/>
  <c r="G257" i="68" s="1"/>
  <c r="H257" i="68" s="1"/>
  <c r="F262" i="68"/>
  <c r="G262" i="68" s="1"/>
  <c r="H262" i="68" s="1"/>
  <c r="F270" i="68"/>
  <c r="G270" i="68" s="1"/>
  <c r="H270" i="68" s="1"/>
  <c r="F276" i="68"/>
  <c r="G276" i="68" s="1"/>
  <c r="H276" i="68" s="1"/>
  <c r="F279" i="68"/>
  <c r="G279" i="68" s="1"/>
  <c r="H279" i="68" s="1"/>
  <c r="F282" i="68"/>
  <c r="G282" i="68" s="1"/>
  <c r="H282" i="68" s="1"/>
  <c r="F284" i="68"/>
  <c r="G284" i="68" s="1"/>
  <c r="H284" i="68" s="1"/>
  <c r="F287" i="68"/>
  <c r="G287" i="68" s="1"/>
  <c r="H287" i="68" s="1"/>
  <c r="F294" i="68"/>
  <c r="G294" i="68" s="1"/>
  <c r="H294" i="68" s="1"/>
  <c r="F51" i="68"/>
  <c r="G51" i="68" s="1"/>
  <c r="H51" i="68" s="1"/>
  <c r="F54" i="68"/>
  <c r="G54" i="68" s="1"/>
  <c r="H54" i="68" s="1"/>
  <c r="F57" i="68"/>
  <c r="G57" i="68" s="1"/>
  <c r="H57" i="68" s="1"/>
  <c r="F17" i="68"/>
  <c r="G17" i="68" s="1"/>
  <c r="H17" i="68" s="1"/>
  <c r="F20" i="68"/>
  <c r="G20" i="68" s="1"/>
  <c r="H20" i="68" s="1"/>
  <c r="F26" i="68"/>
  <c r="G26" i="68" s="1"/>
  <c r="H26" i="68" s="1"/>
  <c r="F29" i="68"/>
  <c r="G29" i="68" s="1"/>
  <c r="H29" i="68" s="1"/>
  <c r="F31" i="68"/>
  <c r="G31" i="68" s="1"/>
  <c r="H31" i="68" s="1"/>
  <c r="F39" i="68"/>
  <c r="G39" i="68" s="1"/>
  <c r="H39" i="68" s="1"/>
  <c r="F43" i="68"/>
  <c r="G43" i="68" s="1"/>
  <c r="H43" i="68" s="1"/>
  <c r="F14" i="68"/>
  <c r="G14" i="68" s="1"/>
  <c r="H14" i="68" s="1"/>
  <c r="F11" i="68"/>
  <c r="G11" i="68" s="1"/>
  <c r="H11" i="68" s="1"/>
  <c r="F112" i="68"/>
  <c r="G112" i="68" s="1"/>
  <c r="F133" i="68"/>
  <c r="G133" i="68" s="1"/>
  <c r="F157" i="68"/>
  <c r="G157" i="68" s="1"/>
  <c r="H157" i="68" s="1"/>
  <c r="F175" i="68"/>
  <c r="G175" i="68" s="1"/>
  <c r="H175" i="68" s="1"/>
  <c r="F222" i="68"/>
  <c r="G222" i="68" s="1"/>
  <c r="H222" i="68" s="1"/>
  <c r="F252" i="68"/>
  <c r="G252" i="68" s="1"/>
  <c r="H252" i="68" s="1"/>
  <c r="F263" i="68"/>
  <c r="G263" i="68" s="1"/>
  <c r="H263" i="68" s="1"/>
  <c r="F274" i="68"/>
  <c r="G274" i="68" s="1"/>
  <c r="H274" i="68" s="1"/>
  <c r="F285" i="68"/>
  <c r="G285" i="68" s="1"/>
  <c r="H285" i="68" s="1"/>
  <c r="F292" i="68"/>
  <c r="G292" i="68" s="1"/>
  <c r="H292" i="68" s="1"/>
  <c r="F49" i="68"/>
  <c r="G49" i="68" s="1"/>
  <c r="H49" i="68" s="1"/>
  <c r="F59" i="68"/>
  <c r="G59" i="68" s="1"/>
  <c r="H59" i="68" s="1"/>
  <c r="F27" i="68"/>
  <c r="G27" i="68" s="1"/>
  <c r="H27" i="68" s="1"/>
  <c r="F37" i="68"/>
  <c r="G37" i="68" s="1"/>
  <c r="H37" i="68" s="1"/>
  <c r="F13" i="68"/>
  <c r="G13" i="68" s="1"/>
  <c r="H13" i="68" s="1"/>
  <c r="F12" i="70"/>
  <c r="G12" i="70" s="1"/>
  <c r="H12" i="70" s="1"/>
  <c r="F118" i="68"/>
  <c r="G118" i="68" s="1"/>
  <c r="F139" i="68"/>
  <c r="G139" i="68" s="1"/>
  <c r="F162" i="68"/>
  <c r="G162" i="68" s="1"/>
  <c r="H162" i="68" s="1"/>
  <c r="F179" i="68"/>
  <c r="G179" i="68" s="1"/>
  <c r="H179" i="68" s="1"/>
  <c r="F214" i="68"/>
  <c r="G214" i="68" s="1"/>
  <c r="H214" i="68" s="1"/>
  <c r="F226" i="68"/>
  <c r="G226" i="68" s="1"/>
  <c r="H226" i="68" s="1"/>
  <c r="F235" i="68"/>
  <c r="G235" i="68" s="1"/>
  <c r="H235" i="68" s="1"/>
  <c r="F255" i="68"/>
  <c r="G255" i="68" s="1"/>
  <c r="H255" i="68" s="1"/>
  <c r="F266" i="68"/>
  <c r="G266" i="68" s="1"/>
  <c r="H266" i="68" s="1"/>
  <c r="F277" i="68"/>
  <c r="G277" i="68" s="1"/>
  <c r="H277" i="68" s="1"/>
  <c r="F288" i="68"/>
  <c r="G288" i="68" s="1"/>
  <c r="H288" i="68" s="1"/>
  <c r="F52" i="68"/>
  <c r="G52" i="68" s="1"/>
  <c r="H52" i="68" s="1"/>
  <c r="F18" i="68"/>
  <c r="G18" i="68" s="1"/>
  <c r="H18" i="68" s="1"/>
  <c r="F40" i="68"/>
  <c r="G40" i="68" s="1"/>
  <c r="H40" i="68" s="1"/>
  <c r="F31" i="70"/>
  <c r="G31" i="70" s="1"/>
  <c r="H31" i="70" s="1"/>
  <c r="F101" i="68"/>
  <c r="G101" i="68" s="1"/>
  <c r="F123" i="68"/>
  <c r="G123" i="68" s="1"/>
  <c r="F145" i="68"/>
  <c r="G145" i="68" s="1"/>
  <c r="F184" i="68"/>
  <c r="G184" i="68" s="1"/>
  <c r="H184" i="68" s="1"/>
  <c r="F217" i="68"/>
  <c r="G217" i="68" s="1"/>
  <c r="H217" i="68" s="1"/>
  <c r="F229" i="68"/>
  <c r="G229" i="68" s="1"/>
  <c r="H229" i="68" s="1"/>
  <c r="F268" i="68"/>
  <c r="G268" i="68" s="1"/>
  <c r="H268" i="68" s="1"/>
  <c r="F280" i="68"/>
  <c r="G280" i="68" s="1"/>
  <c r="H280" i="68" s="1"/>
  <c r="F297" i="68"/>
  <c r="G297" i="68" s="1"/>
  <c r="H297" i="68" s="1"/>
  <c r="F32" i="68"/>
  <c r="G32" i="68" s="1"/>
  <c r="H32" i="68" s="1"/>
  <c r="F106" i="68"/>
  <c r="G106" i="68" s="1"/>
  <c r="F283" i="68"/>
  <c r="G283" i="68" s="1"/>
  <c r="H283" i="68" s="1"/>
  <c r="F24" i="65"/>
  <c r="G24" i="65" s="1"/>
  <c r="H24" i="65" s="1"/>
  <c r="F28" i="65"/>
  <c r="G28" i="65" s="1"/>
  <c r="H28" i="65" s="1"/>
  <c r="F32" i="65"/>
  <c r="G32" i="65" s="1"/>
  <c r="H32" i="65" s="1"/>
  <c r="F36" i="65"/>
  <c r="G36" i="65" s="1"/>
  <c r="H36" i="65" s="1"/>
  <c r="F40" i="65"/>
  <c r="G40" i="65" s="1"/>
  <c r="H40" i="65" s="1"/>
  <c r="F44" i="65"/>
  <c r="G44" i="65" s="1"/>
  <c r="H44" i="65" s="1"/>
  <c r="F48" i="65"/>
  <c r="G48" i="65" s="1"/>
  <c r="H48" i="65" s="1"/>
  <c r="F52" i="65"/>
  <c r="G52" i="65" s="1"/>
  <c r="H52" i="65" s="1"/>
  <c r="F56" i="65"/>
  <c r="G56" i="65" s="1"/>
  <c r="H56" i="65" s="1"/>
  <c r="F60" i="65"/>
  <c r="G60" i="65" s="1"/>
  <c r="F64" i="65"/>
  <c r="G64" i="65" s="1"/>
  <c r="F68" i="65"/>
  <c r="G68" i="65" s="1"/>
  <c r="F72" i="65"/>
  <c r="G72" i="65" s="1"/>
  <c r="F76" i="65"/>
  <c r="G76" i="65" s="1"/>
  <c r="F78" i="65"/>
  <c r="G78" i="65" s="1"/>
  <c r="F84" i="65"/>
  <c r="G84" i="65" s="1"/>
  <c r="F93" i="65"/>
  <c r="G93" i="65" s="1"/>
  <c r="F95" i="65"/>
  <c r="G95" i="65" s="1"/>
  <c r="F98" i="65"/>
  <c r="G98" i="65" s="1"/>
  <c r="F104" i="65"/>
  <c r="G104" i="65" s="1"/>
  <c r="F109" i="65"/>
  <c r="G109" i="65" s="1"/>
  <c r="H109" i="65" s="1"/>
  <c r="F114" i="65"/>
  <c r="G114" i="65" s="1"/>
  <c r="H114" i="65" s="1"/>
  <c r="F124" i="65"/>
  <c r="G124" i="65" s="1"/>
  <c r="H124" i="65" s="1"/>
  <c r="F126" i="65"/>
  <c r="G126" i="65" s="1"/>
  <c r="H126" i="65" s="1"/>
  <c r="F131" i="65"/>
  <c r="G131" i="65" s="1"/>
  <c r="H131" i="65" s="1"/>
  <c r="F133" i="65"/>
  <c r="G133" i="65" s="1"/>
  <c r="H133" i="65" s="1"/>
  <c r="F135" i="65"/>
  <c r="G135" i="65" s="1"/>
  <c r="H135" i="65" s="1"/>
  <c r="F139" i="65"/>
  <c r="G139" i="65" s="1"/>
  <c r="H139" i="65" s="1"/>
  <c r="F144" i="65"/>
  <c r="G144" i="65" s="1"/>
  <c r="H144" i="65" s="1"/>
  <c r="F146" i="65"/>
  <c r="G146" i="65" s="1"/>
  <c r="H146" i="65" s="1"/>
  <c r="F151" i="65"/>
  <c r="G151" i="65" s="1"/>
  <c r="H151" i="65" s="1"/>
  <c r="F153" i="65"/>
  <c r="G153" i="65" s="1"/>
  <c r="H153" i="65" s="1"/>
  <c r="F160" i="65"/>
  <c r="G160" i="65" s="1"/>
  <c r="H160" i="65" s="1"/>
  <c r="F162" i="65"/>
  <c r="G162" i="65" s="1"/>
  <c r="H162" i="65" s="1"/>
  <c r="F167" i="65"/>
  <c r="G167" i="65" s="1"/>
  <c r="H167" i="65" s="1"/>
  <c r="F169" i="65"/>
  <c r="G169" i="65" s="1"/>
  <c r="H169" i="65" s="1"/>
  <c r="F171" i="65"/>
  <c r="G171" i="65" s="1"/>
  <c r="H171" i="65" s="1"/>
  <c r="F173" i="65"/>
  <c r="G173" i="65" s="1"/>
  <c r="H173" i="65" s="1"/>
  <c r="F180" i="65"/>
  <c r="G180" i="65" s="1"/>
  <c r="H180" i="65" s="1"/>
  <c r="F182" i="65"/>
  <c r="G182" i="65" s="1"/>
  <c r="H182" i="65" s="1"/>
  <c r="F187" i="65"/>
  <c r="G187" i="65" s="1"/>
  <c r="H187" i="65" s="1"/>
  <c r="F189" i="65"/>
  <c r="G189" i="65" s="1"/>
  <c r="H189" i="65" s="1"/>
  <c r="F196" i="65"/>
  <c r="G196" i="65" s="1"/>
  <c r="H196" i="65" s="1"/>
  <c r="F198" i="65"/>
  <c r="G198" i="65" s="1"/>
  <c r="H198" i="65" s="1"/>
  <c r="F201" i="65"/>
  <c r="G201" i="65" s="1"/>
  <c r="H201" i="65" s="1"/>
  <c r="F14" i="65"/>
  <c r="G14" i="65" s="1"/>
  <c r="H14" i="65" s="1"/>
  <c r="F18" i="65"/>
  <c r="G18" i="65" s="1"/>
  <c r="H18" i="65" s="1"/>
  <c r="F128" i="68"/>
  <c r="G128" i="68" s="1"/>
  <c r="F232" i="68"/>
  <c r="G232" i="68" s="1"/>
  <c r="H232" i="68" s="1"/>
  <c r="F249" i="68"/>
  <c r="G249" i="68" s="1"/>
  <c r="H249" i="68" s="1"/>
  <c r="F21" i="65"/>
  <c r="G21" i="65" s="1"/>
  <c r="H21" i="65" s="1"/>
  <c r="F25" i="65"/>
  <c r="G25" i="65" s="1"/>
  <c r="H25" i="65" s="1"/>
  <c r="F29" i="65"/>
  <c r="G29" i="65" s="1"/>
  <c r="H29" i="65" s="1"/>
  <c r="F33" i="65"/>
  <c r="G33" i="65" s="1"/>
  <c r="H33" i="65" s="1"/>
  <c r="F37" i="65"/>
  <c r="G37" i="65" s="1"/>
  <c r="H37" i="65" s="1"/>
  <c r="F41" i="65"/>
  <c r="G41" i="65" s="1"/>
  <c r="H41" i="65" s="1"/>
  <c r="F45" i="65"/>
  <c r="G45" i="65" s="1"/>
  <c r="H45" i="65" s="1"/>
  <c r="F49" i="65"/>
  <c r="G49" i="65" s="1"/>
  <c r="H49" i="65" s="1"/>
  <c r="F53" i="65"/>
  <c r="G53" i="65" s="1"/>
  <c r="H53" i="65" s="1"/>
  <c r="F57" i="65"/>
  <c r="G57" i="65" s="1"/>
  <c r="H57" i="65" s="1"/>
  <c r="F61" i="65"/>
  <c r="G61" i="65" s="1"/>
  <c r="F65" i="65"/>
  <c r="G65" i="65" s="1"/>
  <c r="F69" i="65"/>
  <c r="G69" i="65" s="1"/>
  <c r="F73" i="65"/>
  <c r="G73" i="65" s="1"/>
  <c r="F77" i="65"/>
  <c r="G77" i="65" s="1"/>
  <c r="F79" i="65"/>
  <c r="G79" i="65" s="1"/>
  <c r="F82" i="65"/>
  <c r="G82" i="65" s="1"/>
  <c r="F85" i="65"/>
  <c r="G85" i="65" s="1"/>
  <c r="F87" i="65"/>
  <c r="G87" i="65" s="1"/>
  <c r="F90" i="65"/>
  <c r="G90" i="65" s="1"/>
  <c r="F96" i="65"/>
  <c r="G96" i="65" s="1"/>
  <c r="F99" i="65"/>
  <c r="G99" i="65" s="1"/>
  <c r="F102" i="65"/>
  <c r="G102" i="65" s="1"/>
  <c r="F105" i="65"/>
  <c r="G105" i="65" s="1"/>
  <c r="F107" i="65"/>
  <c r="G107" i="65" s="1"/>
  <c r="H107" i="65" s="1"/>
  <c r="F112" i="65"/>
  <c r="G112" i="65" s="1"/>
  <c r="H112" i="65" s="1"/>
  <c r="F116" i="65"/>
  <c r="G116" i="65" s="1"/>
  <c r="H116" i="65" s="1"/>
  <c r="F118" i="65"/>
  <c r="G118" i="65" s="1"/>
  <c r="H118" i="65" s="1"/>
  <c r="F120" i="65"/>
  <c r="G120" i="65" s="1"/>
  <c r="H120" i="65" s="1"/>
  <c r="F122" i="65"/>
  <c r="G122" i="65" s="1"/>
  <c r="H122" i="65" s="1"/>
  <c r="F127" i="65"/>
  <c r="G127" i="65" s="1"/>
  <c r="H127" i="65" s="1"/>
  <c r="F129" i="65"/>
  <c r="G129" i="65" s="1"/>
  <c r="H129" i="65" s="1"/>
  <c r="F140" i="65"/>
  <c r="G140" i="65" s="1"/>
  <c r="H140" i="65" s="1"/>
  <c r="F142" i="65"/>
  <c r="G142" i="65" s="1"/>
  <c r="H142" i="65" s="1"/>
  <c r="F147" i="65"/>
  <c r="G147" i="65" s="1"/>
  <c r="H147" i="65" s="1"/>
  <c r="F149" i="65"/>
  <c r="G149" i="65" s="1"/>
  <c r="H149" i="65" s="1"/>
  <c r="F156" i="65"/>
  <c r="G156" i="65" s="1"/>
  <c r="H156" i="65" s="1"/>
  <c r="F158" i="65"/>
  <c r="G158" i="65" s="1"/>
  <c r="H158" i="65" s="1"/>
  <c r="F163" i="65"/>
  <c r="G163" i="65" s="1"/>
  <c r="H163" i="65" s="1"/>
  <c r="F165" i="65"/>
  <c r="G165" i="65" s="1"/>
  <c r="H165" i="65" s="1"/>
  <c r="F176" i="65"/>
  <c r="G176" i="65" s="1"/>
  <c r="H176" i="65" s="1"/>
  <c r="F178" i="65"/>
  <c r="G178" i="65" s="1"/>
  <c r="H178" i="65" s="1"/>
  <c r="F183" i="65"/>
  <c r="G183" i="65" s="1"/>
  <c r="H183" i="65" s="1"/>
  <c r="F185" i="65"/>
  <c r="G185" i="65" s="1"/>
  <c r="H185" i="65" s="1"/>
  <c r="F192" i="65"/>
  <c r="G192" i="65" s="1"/>
  <c r="H192" i="65" s="1"/>
  <c r="F194" i="65"/>
  <c r="G194" i="65" s="1"/>
  <c r="H194" i="65" s="1"/>
  <c r="F199" i="65"/>
  <c r="G199" i="65" s="1"/>
  <c r="H199" i="65" s="1"/>
  <c r="F202" i="65"/>
  <c r="G202" i="65" s="1"/>
  <c r="H202" i="65" s="1"/>
  <c r="F260" i="68"/>
  <c r="G260" i="68" s="1"/>
  <c r="H260" i="68" s="1"/>
  <c r="F23" i="68"/>
  <c r="G23" i="68" s="1"/>
  <c r="H23" i="68" s="1"/>
  <c r="F46" i="68"/>
  <c r="G46" i="68" s="1"/>
  <c r="H46" i="68" s="1"/>
  <c r="F22" i="65"/>
  <c r="G22" i="65" s="1"/>
  <c r="H22" i="65" s="1"/>
  <c r="F26" i="65"/>
  <c r="G26" i="65" s="1"/>
  <c r="H26" i="65" s="1"/>
  <c r="F30" i="65"/>
  <c r="G30" i="65" s="1"/>
  <c r="H30" i="65" s="1"/>
  <c r="F34" i="65"/>
  <c r="G34" i="65" s="1"/>
  <c r="H34" i="65" s="1"/>
  <c r="F38" i="65"/>
  <c r="G38" i="65" s="1"/>
  <c r="H38" i="65" s="1"/>
  <c r="F42" i="65"/>
  <c r="G42" i="65" s="1"/>
  <c r="H42" i="65" s="1"/>
  <c r="F46" i="65"/>
  <c r="G46" i="65" s="1"/>
  <c r="H46" i="65" s="1"/>
  <c r="F50" i="65"/>
  <c r="G50" i="65" s="1"/>
  <c r="H50" i="65" s="1"/>
  <c r="F54" i="65"/>
  <c r="G54" i="65" s="1"/>
  <c r="H54" i="65" s="1"/>
  <c r="F58" i="65"/>
  <c r="G58" i="65" s="1"/>
  <c r="H58" i="65" s="1"/>
  <c r="F62" i="65"/>
  <c r="G62" i="65" s="1"/>
  <c r="F66" i="65"/>
  <c r="G66" i="65" s="1"/>
  <c r="F70" i="65"/>
  <c r="G70" i="65" s="1"/>
  <c r="F74" i="65"/>
  <c r="G74" i="65" s="1"/>
  <c r="F80" i="65"/>
  <c r="G80" i="65" s="1"/>
  <c r="F88" i="65"/>
  <c r="G88" i="65" s="1"/>
  <c r="F91" i="65"/>
  <c r="G91" i="65" s="1"/>
  <c r="F94" i="65"/>
  <c r="G94" i="65" s="1"/>
  <c r="F97" i="65"/>
  <c r="G97" i="65" s="1"/>
  <c r="F100" i="65"/>
  <c r="G100" i="65" s="1"/>
  <c r="F108" i="65"/>
  <c r="G108" i="65" s="1"/>
  <c r="H108" i="65" s="1"/>
  <c r="F110" i="65"/>
  <c r="G110" i="65" s="1"/>
  <c r="H110" i="65" s="1"/>
  <c r="F115" i="65"/>
  <c r="G115" i="65" s="1"/>
  <c r="H115" i="65" s="1"/>
  <c r="F121" i="65"/>
  <c r="G121" i="65" s="1"/>
  <c r="H121" i="65" s="1"/>
  <c r="F125" i="65"/>
  <c r="G125" i="65" s="1"/>
  <c r="H125" i="65" s="1"/>
  <c r="F130" i="65"/>
  <c r="G130" i="65" s="1"/>
  <c r="H130" i="65" s="1"/>
  <c r="F132" i="65"/>
  <c r="G132" i="65" s="1"/>
  <c r="H132" i="65" s="1"/>
  <c r="F134" i="65"/>
  <c r="G134" i="65" s="1"/>
  <c r="H134" i="65" s="1"/>
  <c r="F136" i="65"/>
  <c r="G136" i="65" s="1"/>
  <c r="H136" i="65" s="1"/>
  <c r="F138" i="65"/>
  <c r="G138" i="65" s="1"/>
  <c r="H138" i="65" s="1"/>
  <c r="F143" i="65"/>
  <c r="G143" i="65" s="1"/>
  <c r="H143" i="65" s="1"/>
  <c r="F145" i="65"/>
  <c r="G145" i="65" s="1"/>
  <c r="H145" i="65" s="1"/>
  <c r="F152" i="65"/>
  <c r="G152" i="65" s="1"/>
  <c r="H152" i="65" s="1"/>
  <c r="F154" i="65"/>
  <c r="G154" i="65" s="1"/>
  <c r="H154" i="65" s="1"/>
  <c r="F159" i="65"/>
  <c r="G159" i="65" s="1"/>
  <c r="H159" i="65" s="1"/>
  <c r="F161" i="65"/>
  <c r="G161" i="65" s="1"/>
  <c r="H161" i="65" s="1"/>
  <c r="F168" i="65"/>
  <c r="G168" i="65" s="1"/>
  <c r="H168" i="65" s="1"/>
  <c r="F170" i="65"/>
  <c r="G170" i="65" s="1"/>
  <c r="H170" i="65" s="1"/>
  <c r="F172" i="65"/>
  <c r="G172" i="65" s="1"/>
  <c r="H172" i="65" s="1"/>
  <c r="F174" i="65"/>
  <c r="G174" i="65" s="1"/>
  <c r="H174" i="65" s="1"/>
  <c r="F179" i="65"/>
  <c r="G179" i="65" s="1"/>
  <c r="H179" i="65" s="1"/>
  <c r="F181" i="65"/>
  <c r="G181" i="65" s="1"/>
  <c r="H181" i="65" s="1"/>
  <c r="F188" i="65"/>
  <c r="G188" i="65" s="1"/>
  <c r="H188" i="65" s="1"/>
  <c r="F190" i="65"/>
  <c r="G190" i="65" s="1"/>
  <c r="H190" i="65" s="1"/>
  <c r="F195" i="65"/>
  <c r="G195" i="65" s="1"/>
  <c r="H195" i="65" s="1"/>
  <c r="F197" i="65"/>
  <c r="G197" i="65" s="1"/>
  <c r="H197" i="65" s="1"/>
  <c r="F200" i="65"/>
  <c r="G200" i="65" s="1"/>
  <c r="H200" i="65" s="1"/>
  <c r="F16" i="65"/>
  <c r="G16" i="65" s="1"/>
  <c r="H16" i="65" s="1"/>
  <c r="F20" i="65"/>
  <c r="G20" i="65" s="1"/>
  <c r="H20" i="65" s="1"/>
  <c r="F31" i="65"/>
  <c r="G31" i="65" s="1"/>
  <c r="H31" i="65" s="1"/>
  <c r="F47" i="65"/>
  <c r="G47" i="65" s="1"/>
  <c r="H47" i="65" s="1"/>
  <c r="F63" i="65"/>
  <c r="G63" i="65" s="1"/>
  <c r="F89" i="65"/>
  <c r="G89" i="65" s="1"/>
  <c r="F101" i="65"/>
  <c r="G101" i="65" s="1"/>
  <c r="F111" i="65"/>
  <c r="G111" i="65" s="1"/>
  <c r="H111" i="65" s="1"/>
  <c r="F119" i="65"/>
  <c r="G119" i="65" s="1"/>
  <c r="H119" i="65" s="1"/>
  <c r="F128" i="65"/>
  <c r="G128" i="65" s="1"/>
  <c r="H128" i="65" s="1"/>
  <c r="F137" i="65"/>
  <c r="G137" i="65" s="1"/>
  <c r="H137" i="65" s="1"/>
  <c r="F155" i="65"/>
  <c r="G155" i="65" s="1"/>
  <c r="H155" i="65" s="1"/>
  <c r="F164" i="65"/>
  <c r="G164" i="65" s="1"/>
  <c r="H164" i="65" s="1"/>
  <c r="F191" i="65"/>
  <c r="G191" i="65" s="1"/>
  <c r="H191" i="65" s="1"/>
  <c r="F19" i="65"/>
  <c r="G19" i="65" s="1"/>
  <c r="H19" i="65" s="1"/>
  <c r="F75" i="65"/>
  <c r="G75" i="65" s="1"/>
  <c r="F117" i="65"/>
  <c r="G117" i="65" s="1"/>
  <c r="H117" i="65" s="1"/>
  <c r="F271" i="68"/>
  <c r="G271" i="68" s="1"/>
  <c r="H271" i="68" s="1"/>
  <c r="F35" i="65"/>
  <c r="G35" i="65" s="1"/>
  <c r="H35" i="65" s="1"/>
  <c r="F51" i="65"/>
  <c r="G51" i="65" s="1"/>
  <c r="H51" i="65" s="1"/>
  <c r="F67" i="65"/>
  <c r="G67" i="65" s="1"/>
  <c r="F81" i="65"/>
  <c r="G81" i="65" s="1"/>
  <c r="F92" i="65"/>
  <c r="G92" i="65" s="1"/>
  <c r="F103" i="65"/>
  <c r="G103" i="65" s="1"/>
  <c r="F113" i="65"/>
  <c r="G113" i="65" s="1"/>
  <c r="H113" i="65" s="1"/>
  <c r="F148" i="65"/>
  <c r="G148" i="65" s="1"/>
  <c r="H148" i="65" s="1"/>
  <c r="F157" i="65"/>
  <c r="G157" i="65" s="1"/>
  <c r="H157" i="65" s="1"/>
  <c r="F166" i="65"/>
  <c r="G166" i="65" s="1"/>
  <c r="H166" i="65" s="1"/>
  <c r="F175" i="65"/>
  <c r="G175" i="65" s="1"/>
  <c r="H175" i="65" s="1"/>
  <c r="F184" i="65"/>
  <c r="G184" i="65" s="1"/>
  <c r="H184" i="65" s="1"/>
  <c r="F193" i="65"/>
  <c r="G193" i="65" s="1"/>
  <c r="H193" i="65" s="1"/>
  <c r="F13" i="65"/>
  <c r="G13" i="65" s="1"/>
  <c r="H13" i="65" s="1"/>
  <c r="F27" i="65"/>
  <c r="G27" i="65" s="1"/>
  <c r="H27" i="65" s="1"/>
  <c r="F59" i="65"/>
  <c r="G59" i="65" s="1"/>
  <c r="F79" i="68"/>
  <c r="G79" i="68" s="1"/>
  <c r="H79" i="68" s="1"/>
  <c r="F23" i="65"/>
  <c r="G23" i="65" s="1"/>
  <c r="H23" i="65" s="1"/>
  <c r="F39" i="65"/>
  <c r="G39" i="65" s="1"/>
  <c r="H39" i="65" s="1"/>
  <c r="F55" i="65"/>
  <c r="G55" i="65" s="1"/>
  <c r="H55" i="65" s="1"/>
  <c r="F71" i="65"/>
  <c r="G71" i="65" s="1"/>
  <c r="F83" i="65"/>
  <c r="G83" i="65" s="1"/>
  <c r="F106" i="65"/>
  <c r="G106" i="65" s="1"/>
  <c r="F123" i="65"/>
  <c r="G123" i="65" s="1"/>
  <c r="H123" i="65" s="1"/>
  <c r="F141" i="65"/>
  <c r="G141" i="65" s="1"/>
  <c r="H141" i="65" s="1"/>
  <c r="F150" i="65"/>
  <c r="G150" i="65" s="1"/>
  <c r="H150" i="65" s="1"/>
  <c r="F177" i="65"/>
  <c r="G177" i="65" s="1"/>
  <c r="H177" i="65" s="1"/>
  <c r="F186" i="65"/>
  <c r="G186" i="65" s="1"/>
  <c r="H186" i="65" s="1"/>
  <c r="F15" i="65"/>
  <c r="G15" i="65" s="1"/>
  <c r="H15" i="65" s="1"/>
  <c r="F43" i="65"/>
  <c r="G43" i="65" s="1"/>
  <c r="H43" i="65" s="1"/>
  <c r="F86" i="65"/>
  <c r="G86" i="65" s="1"/>
  <c r="F17" i="65"/>
  <c r="G17" i="65" s="1"/>
  <c r="H17" i="65" s="1"/>
  <c r="F12" i="65"/>
  <c r="G12" i="65" s="1"/>
  <c r="H12" i="65" s="1"/>
  <c r="F11" i="65"/>
  <c r="G11" i="65" s="1"/>
  <c r="H11" i="65" s="1"/>
  <c r="F152" i="47"/>
  <c r="G152" i="47" s="1"/>
  <c r="F89" i="66"/>
  <c r="G89" i="66" s="1"/>
  <c r="K86" i="42"/>
  <c r="C86" i="42" s="1"/>
  <c r="F17" i="44"/>
  <c r="F132" i="44"/>
  <c r="F154" i="44"/>
  <c r="F171" i="44"/>
  <c r="F33" i="44"/>
  <c r="F50" i="44"/>
  <c r="F73" i="44"/>
  <c r="F116" i="44"/>
  <c r="F143" i="44"/>
  <c r="F27" i="44"/>
  <c r="F67" i="44"/>
  <c r="F110" i="44"/>
  <c r="F178" i="44"/>
  <c r="D41" i="61"/>
  <c r="P26" i="61"/>
  <c r="F41" i="44"/>
  <c r="F85" i="44"/>
  <c r="F101" i="44"/>
  <c r="F134" i="44"/>
  <c r="F145" i="44"/>
  <c r="F156" i="44"/>
  <c r="F162" i="44"/>
  <c r="F181" i="44"/>
  <c r="F15" i="44"/>
  <c r="F38" i="44"/>
  <c r="F44" i="44"/>
  <c r="H59" i="44"/>
  <c r="F61" i="44"/>
  <c r="F98" i="44"/>
  <c r="F104" i="44"/>
  <c r="F159" i="44"/>
  <c r="F165" i="44"/>
  <c r="F20" i="44"/>
  <c r="F30" i="44"/>
  <c r="F36" i="44"/>
  <c r="F53" i="44"/>
  <c r="F59" i="44"/>
  <c r="F70" i="44"/>
  <c r="F76" i="44"/>
  <c r="F91" i="44"/>
  <c r="F96" i="44"/>
  <c r="F113" i="44"/>
  <c r="F123" i="44"/>
  <c r="F129" i="44"/>
  <c r="F136" i="44"/>
  <c r="F151" i="44"/>
  <c r="F174" i="44"/>
  <c r="F195" i="44"/>
  <c r="F202" i="44"/>
  <c r="N13" i="61"/>
  <c r="N14" i="61" s="1"/>
  <c r="N15" i="61" s="1"/>
  <c r="N16" i="61" s="1"/>
  <c r="N17" i="61" s="1"/>
  <c r="N18" i="61" s="1"/>
  <c r="N19" i="61" s="1"/>
  <c r="N20" i="61" s="1"/>
  <c r="N21" i="61" s="1"/>
  <c r="N22" i="61" s="1"/>
  <c r="N23" i="61" s="1"/>
  <c r="N24" i="61" s="1"/>
  <c r="N25" i="61" s="1"/>
  <c r="N26" i="61" s="1"/>
  <c r="N27" i="61" s="1"/>
  <c r="I13" i="61"/>
  <c r="I14" i="61" s="1"/>
  <c r="I15" i="61" s="1"/>
  <c r="I16" i="61" s="1"/>
  <c r="I17" i="61" s="1"/>
  <c r="I18" i="61" s="1"/>
  <c r="I19" i="61" s="1"/>
  <c r="I20" i="61" s="1"/>
  <c r="I21" i="61" s="1"/>
  <c r="I22" i="61" s="1"/>
  <c r="I23" i="61" s="1"/>
  <c r="I24" i="61" s="1"/>
  <c r="I25" i="61" s="1"/>
  <c r="I26" i="61" s="1"/>
  <c r="I27" i="61" s="1"/>
  <c r="L13" i="6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V17" i="55"/>
  <c r="V18" i="55" s="1"/>
  <c r="V19" i="55" s="1"/>
  <c r="V20" i="55" s="1"/>
  <c r="V21" i="55" s="1"/>
  <c r="V22" i="55" s="1"/>
  <c r="B17" i="55"/>
  <c r="B18" i="55" s="1"/>
  <c r="B19" i="55" s="1"/>
  <c r="B20" i="55" s="1"/>
  <c r="B21" i="55" s="1"/>
  <c r="B22" i="55" s="1"/>
  <c r="K90" i="42"/>
  <c r="C90" i="42" s="1"/>
  <c r="F18" i="44"/>
  <c r="F21" i="44"/>
  <c r="F24" i="44"/>
  <c r="F31" i="44"/>
  <c r="F34" i="44"/>
  <c r="F39" i="44"/>
  <c r="F42" i="44"/>
  <c r="F45" i="44"/>
  <c r="F48" i="44"/>
  <c r="F51" i="44"/>
  <c r="F54" i="44"/>
  <c r="F57" i="44"/>
  <c r="F64" i="44"/>
  <c r="F71" i="44"/>
  <c r="F74" i="44"/>
  <c r="F77" i="44"/>
  <c r="F80" i="44"/>
  <c r="F88" i="44"/>
  <c r="F94" i="44"/>
  <c r="F99" i="44"/>
  <c r="F102" i="44"/>
  <c r="F105" i="44"/>
  <c r="F108" i="44"/>
  <c r="F111" i="44"/>
  <c r="F114" i="44"/>
  <c r="F117" i="44"/>
  <c r="F120" i="44"/>
  <c r="F127" i="44"/>
  <c r="F130" i="44"/>
  <c r="F135" i="44"/>
  <c r="F137" i="44"/>
  <c r="F140" i="44"/>
  <c r="F148" i="44"/>
  <c r="F163" i="44"/>
  <c r="F166" i="44"/>
  <c r="F168" i="44"/>
  <c r="F175" i="44"/>
  <c r="F179" i="44"/>
  <c r="F185" i="44"/>
  <c r="F188" i="44"/>
  <c r="F192" i="44"/>
  <c r="F70" i="47"/>
  <c r="G70" i="47" s="1"/>
  <c r="E14" i="48"/>
  <c r="F14" i="48" s="1"/>
  <c r="H14" i="48" s="1"/>
  <c r="U14" i="48" s="1"/>
  <c r="V14" i="48" s="1"/>
  <c r="K98" i="42"/>
  <c r="C98" i="42" s="1"/>
  <c r="F11" i="44"/>
  <c r="F12" i="44"/>
  <c r="F14" i="44"/>
  <c r="F19" i="44"/>
  <c r="F22" i="44"/>
  <c r="F25" i="44"/>
  <c r="F28" i="44"/>
  <c r="F35" i="44"/>
  <c r="F37" i="44"/>
  <c r="F43" i="44"/>
  <c r="F46" i="44"/>
  <c r="F55" i="44"/>
  <c r="F58" i="44"/>
  <c r="F60" i="44"/>
  <c r="F62" i="44"/>
  <c r="F65" i="44"/>
  <c r="F68" i="44"/>
  <c r="F75" i="44"/>
  <c r="F78" i="44"/>
  <c r="F81" i="44"/>
  <c r="F84" i="44"/>
  <c r="F86" i="44"/>
  <c r="F89" i="44"/>
  <c r="F92" i="44"/>
  <c r="F95" i="44"/>
  <c r="F97" i="44"/>
  <c r="F103" i="44"/>
  <c r="F106" i="44"/>
  <c r="F115" i="44"/>
  <c r="F118" i="44"/>
  <c r="F121" i="44"/>
  <c r="F124" i="44"/>
  <c r="F131" i="44"/>
  <c r="F133" i="44"/>
  <c r="F138" i="44"/>
  <c r="F141" i="44"/>
  <c r="F144" i="44"/>
  <c r="F146" i="44"/>
  <c r="F149" i="44"/>
  <c r="F152" i="44"/>
  <c r="F155" i="44"/>
  <c r="F157" i="44"/>
  <c r="F160" i="44"/>
  <c r="F169" i="44"/>
  <c r="F172" i="44"/>
  <c r="F183" i="44"/>
  <c r="F186" i="44"/>
  <c r="F189" i="44"/>
  <c r="F197" i="44"/>
  <c r="F200" i="44"/>
  <c r="F47" i="47"/>
  <c r="G47" i="47" s="1"/>
  <c r="F13" i="44"/>
  <c r="F16" i="44"/>
  <c r="F23" i="44"/>
  <c r="F26" i="44"/>
  <c r="F29" i="44"/>
  <c r="F32" i="44"/>
  <c r="F40" i="44"/>
  <c r="F47" i="44"/>
  <c r="F49" i="44"/>
  <c r="F52" i="44"/>
  <c r="F63" i="44"/>
  <c r="F66" i="44"/>
  <c r="F69" i="44"/>
  <c r="F72" i="44"/>
  <c r="F79" i="44"/>
  <c r="F82" i="44"/>
  <c r="F87" i="44"/>
  <c r="F90" i="44"/>
  <c r="F93" i="44"/>
  <c r="F100" i="44"/>
  <c r="F107" i="44"/>
  <c r="F109" i="44"/>
  <c r="F112" i="44"/>
  <c r="F119" i="44"/>
  <c r="F122" i="44"/>
  <c r="F125" i="44"/>
  <c r="F128" i="44"/>
  <c r="F139" i="44"/>
  <c r="F142" i="44"/>
  <c r="F147" i="44"/>
  <c r="F150" i="44"/>
  <c r="F153" i="44"/>
  <c r="F158" i="44"/>
  <c r="F161" i="44"/>
  <c r="F164" i="44"/>
  <c r="F167" i="44"/>
  <c r="F170" i="44"/>
  <c r="F173" i="44"/>
  <c r="F176" i="44"/>
  <c r="F187" i="44"/>
  <c r="F190" i="44"/>
  <c r="F194" i="44"/>
  <c r="F198" i="44"/>
  <c r="F201" i="44"/>
  <c r="F51" i="47"/>
  <c r="G51" i="47" s="1"/>
  <c r="K100" i="42"/>
  <c r="C100" i="42" s="1"/>
  <c r="E88" i="42"/>
  <c r="F88" i="42" s="1"/>
  <c r="G88" i="42" s="1"/>
  <c r="E120" i="51"/>
  <c r="F120" i="51" s="1"/>
  <c r="H120" i="51" s="1"/>
  <c r="K50" i="51"/>
  <c r="K54" i="51"/>
  <c r="E58" i="51"/>
  <c r="F58" i="51" s="1"/>
  <c r="G58" i="51" s="1"/>
  <c r="F26" i="47"/>
  <c r="G26" i="47" s="1"/>
  <c r="F62" i="47"/>
  <c r="G62" i="47" s="1"/>
  <c r="F126" i="47"/>
  <c r="G126" i="47" s="1"/>
  <c r="K132" i="51"/>
  <c r="K84" i="42"/>
  <c r="K92" i="42"/>
  <c r="C92" i="42" s="1"/>
  <c r="F22" i="47"/>
  <c r="G22" i="47" s="1"/>
  <c r="F36" i="47"/>
  <c r="G36" i="47" s="1"/>
  <c r="F64" i="47"/>
  <c r="G64" i="47" s="1"/>
  <c r="E122" i="51"/>
  <c r="F122" i="51" s="1"/>
  <c r="H122" i="51" s="1"/>
  <c r="F18" i="47"/>
  <c r="G18" i="47" s="1"/>
  <c r="F29" i="47"/>
  <c r="G29" i="47" s="1"/>
  <c r="F66" i="47"/>
  <c r="G66" i="47" s="1"/>
  <c r="F74" i="47"/>
  <c r="G74" i="47" s="1"/>
  <c r="F99" i="47"/>
  <c r="G99" i="47" s="1"/>
  <c r="F148" i="47"/>
  <c r="G148" i="47" s="1"/>
  <c r="E74" i="51"/>
  <c r="F74" i="51" s="1"/>
  <c r="H74" i="51" s="1"/>
  <c r="F14" i="47"/>
  <c r="G14" i="47" s="1"/>
  <c r="F40" i="47"/>
  <c r="G40" i="47" s="1"/>
  <c r="F55" i="47"/>
  <c r="G55" i="47" s="1"/>
  <c r="F60" i="47"/>
  <c r="G60" i="47" s="1"/>
  <c r="F68" i="47"/>
  <c r="G68" i="47" s="1"/>
  <c r="F155" i="47"/>
  <c r="G155" i="47" s="1"/>
  <c r="K145" i="51"/>
  <c r="K149" i="51"/>
  <c r="I17" i="55"/>
  <c r="I18" i="55" s="1"/>
  <c r="I19" i="55" s="1"/>
  <c r="I20" i="55" s="1"/>
  <c r="I21" i="55" s="1"/>
  <c r="I22" i="55" s="1"/>
  <c r="O12" i="50"/>
  <c r="O13" i="50" s="1"/>
  <c r="O14" i="50" s="1"/>
  <c r="O15" i="50" s="1"/>
  <c r="O16" i="50" s="1"/>
  <c r="O17" i="50" s="1"/>
  <c r="O18" i="50" s="1"/>
  <c r="O19" i="50" s="1"/>
  <c r="O20" i="50" s="1"/>
  <c r="O21" i="50" s="1"/>
  <c r="O22" i="50" s="1"/>
  <c r="O23" i="50" s="1"/>
  <c r="O24" i="50" s="1"/>
  <c r="O25" i="50" s="1"/>
  <c r="O26" i="50" s="1"/>
  <c r="O27" i="50" s="1"/>
  <c r="O28" i="50" s="1"/>
  <c r="O29" i="50" s="1"/>
  <c r="O30" i="50" s="1"/>
  <c r="O31" i="50" s="1"/>
  <c r="O32" i="50" s="1"/>
  <c r="O33" i="50" s="1"/>
  <c r="O34" i="50" s="1"/>
  <c r="O35" i="50" s="1"/>
  <c r="O36" i="50" s="1"/>
  <c r="O37" i="50" s="1"/>
  <c r="O38" i="50" s="1"/>
  <c r="O39" i="50" s="1"/>
  <c r="O40" i="50" s="1"/>
  <c r="O41" i="50" s="1"/>
  <c r="O42" i="50" s="1"/>
  <c r="O43" i="50" s="1"/>
  <c r="O44" i="50" s="1"/>
  <c r="O45" i="50" s="1"/>
  <c r="O46" i="50" s="1"/>
  <c r="O47" i="50" s="1"/>
  <c r="O48" i="50" s="1"/>
  <c r="O49" i="50" s="1"/>
  <c r="O50" i="50" s="1"/>
  <c r="O51" i="50" s="1"/>
  <c r="O52" i="50" s="1"/>
  <c r="O53" i="50" s="1"/>
  <c r="O54" i="50" s="1"/>
  <c r="O55" i="50" s="1"/>
  <c r="O56" i="50" s="1"/>
  <c r="O57" i="50" s="1"/>
  <c r="O58" i="50" s="1"/>
  <c r="P12" i="50"/>
  <c r="P13" i="50" s="1"/>
  <c r="P14" i="50" s="1"/>
  <c r="P15" i="50" s="1"/>
  <c r="P16" i="50" s="1"/>
  <c r="P17" i="50" s="1"/>
  <c r="P18" i="50" s="1"/>
  <c r="P19" i="50" s="1"/>
  <c r="P20" i="50" s="1"/>
  <c r="P21" i="50" s="1"/>
  <c r="P22" i="50" s="1"/>
  <c r="P23" i="50" s="1"/>
  <c r="P24" i="50" s="1"/>
  <c r="P25" i="50" s="1"/>
  <c r="P26" i="50" s="1"/>
  <c r="P27" i="50" s="1"/>
  <c r="P28" i="50" s="1"/>
  <c r="P29" i="50" s="1"/>
  <c r="P30" i="50" s="1"/>
  <c r="P31" i="50" s="1"/>
  <c r="P32" i="50" s="1"/>
  <c r="P33" i="50" s="1"/>
  <c r="P34" i="50" s="1"/>
  <c r="P35" i="50" s="1"/>
  <c r="P36" i="50" s="1"/>
  <c r="P37" i="50" s="1"/>
  <c r="P38" i="50" s="1"/>
  <c r="P39" i="50" s="1"/>
  <c r="P40" i="50" s="1"/>
  <c r="P41" i="50" s="1"/>
  <c r="P42" i="50" s="1"/>
  <c r="P43" i="50" s="1"/>
  <c r="P44" i="50" s="1"/>
  <c r="P45" i="50" s="1"/>
  <c r="P46" i="50" s="1"/>
  <c r="P47" i="50" s="1"/>
  <c r="P48" i="50" s="1"/>
  <c r="P49" i="50" s="1"/>
  <c r="P50" i="50" s="1"/>
  <c r="P51" i="50" s="1"/>
  <c r="P52" i="50" s="1"/>
  <c r="P53" i="50" s="1"/>
  <c r="P54" i="50" s="1"/>
  <c r="P55" i="50" s="1"/>
  <c r="P56" i="50" s="1"/>
  <c r="P57" i="50" s="1"/>
  <c r="P58" i="50" s="1"/>
  <c r="E133" i="51"/>
  <c r="F133" i="51" s="1"/>
  <c r="H133" i="51" s="1"/>
  <c r="E136" i="51"/>
  <c r="F136" i="51" s="1"/>
  <c r="G136" i="51" s="1"/>
  <c r="N12" i="43"/>
  <c r="N13" i="43" s="1"/>
  <c r="N14" i="43" s="1"/>
  <c r="O12" i="43"/>
  <c r="O13" i="43" s="1"/>
  <c r="O14" i="43" s="1"/>
  <c r="P12" i="46"/>
  <c r="P13" i="46" s="1"/>
  <c r="P14" i="46" s="1"/>
  <c r="P15" i="46" s="1"/>
  <c r="P16" i="46" s="1"/>
  <c r="P17" i="46" s="1"/>
  <c r="P18" i="46" s="1"/>
  <c r="P19" i="46" s="1"/>
  <c r="P20" i="46" s="1"/>
  <c r="P21" i="46" s="1"/>
  <c r="P22" i="46" s="1"/>
  <c r="N12" i="48"/>
  <c r="N13" i="48" s="1"/>
  <c r="N14" i="48" s="1"/>
  <c r="N15" i="48" s="1"/>
  <c r="N16" i="48" s="1"/>
  <c r="N17" i="48" s="1"/>
  <c r="N18" i="48" s="1"/>
  <c r="N19" i="48" s="1"/>
  <c r="N20" i="48" s="1"/>
  <c r="N21" i="48" s="1"/>
  <c r="N22" i="48" s="1"/>
  <c r="P12" i="48"/>
  <c r="P13" i="48" s="1"/>
  <c r="P14" i="48" s="1"/>
  <c r="P15" i="48" s="1"/>
  <c r="P16" i="48" s="1"/>
  <c r="P17" i="48" s="1"/>
  <c r="P18" i="48" s="1"/>
  <c r="P19" i="48" s="1"/>
  <c r="P20" i="48" s="1"/>
  <c r="P21" i="48" s="1"/>
  <c r="P22" i="48" s="1"/>
  <c r="E47" i="51"/>
  <c r="F47" i="51" s="1"/>
  <c r="G47" i="51" s="1"/>
  <c r="E140" i="51"/>
  <c r="F140" i="51" s="1"/>
  <c r="H140" i="51" s="1"/>
  <c r="L17" i="55"/>
  <c r="L18" i="55" s="1"/>
  <c r="L19" i="55" s="1"/>
  <c r="L20" i="55" s="1"/>
  <c r="L21" i="55" s="1"/>
  <c r="L22" i="55" s="1"/>
  <c r="E94" i="42"/>
  <c r="F94" i="42" s="1"/>
  <c r="G94" i="42" s="1"/>
  <c r="E138" i="51"/>
  <c r="F138" i="51" s="1"/>
  <c r="H138" i="51" s="1"/>
  <c r="E170" i="51"/>
  <c r="F170" i="51" s="1"/>
  <c r="G170" i="51" s="1"/>
  <c r="K53" i="51"/>
  <c r="E67" i="51"/>
  <c r="F67" i="51" s="1"/>
  <c r="G67" i="51" s="1"/>
  <c r="E124" i="51"/>
  <c r="F124" i="51" s="1"/>
  <c r="H124" i="51" s="1"/>
  <c r="E142" i="51"/>
  <c r="F142" i="51" s="1"/>
  <c r="G142" i="51" s="1"/>
  <c r="K147" i="51"/>
  <c r="K160" i="51"/>
  <c r="K76" i="51"/>
  <c r="K96" i="42"/>
  <c r="C96" i="42" s="1"/>
  <c r="E134" i="51"/>
  <c r="F134" i="51" s="1"/>
  <c r="G134" i="51" s="1"/>
  <c r="E156" i="51"/>
  <c r="F156" i="51" s="1"/>
  <c r="H156" i="51" s="1"/>
  <c r="K168" i="51"/>
  <c r="E82" i="42"/>
  <c r="F82" i="42" s="1"/>
  <c r="H82" i="42" s="1"/>
  <c r="F12" i="47"/>
  <c r="G12" i="47" s="1"/>
  <c r="F15" i="47"/>
  <c r="G15" i="47" s="1"/>
  <c r="F19" i="47"/>
  <c r="G19" i="47" s="1"/>
  <c r="F23" i="47"/>
  <c r="G23" i="47" s="1"/>
  <c r="F27" i="47"/>
  <c r="G27" i="47" s="1"/>
  <c r="F30" i="47"/>
  <c r="G30" i="47" s="1"/>
  <c r="F33" i="47"/>
  <c r="G33" i="47" s="1"/>
  <c r="F37" i="47"/>
  <c r="G37" i="47" s="1"/>
  <c r="F41" i="47"/>
  <c r="G41" i="47" s="1"/>
  <c r="F44" i="47"/>
  <c r="G44" i="47" s="1"/>
  <c r="F48" i="47"/>
  <c r="G48" i="47" s="1"/>
  <c r="F52" i="47"/>
  <c r="G52" i="47" s="1"/>
  <c r="F56" i="47"/>
  <c r="G56" i="47" s="1"/>
  <c r="F59" i="47"/>
  <c r="G59" i="47" s="1"/>
  <c r="F76" i="47"/>
  <c r="G76" i="47" s="1"/>
  <c r="F78" i="47"/>
  <c r="G78" i="47" s="1"/>
  <c r="F80" i="47"/>
  <c r="G80" i="47" s="1"/>
  <c r="F82" i="47"/>
  <c r="G82" i="47" s="1"/>
  <c r="F84" i="47"/>
  <c r="G84" i="47" s="1"/>
  <c r="F86" i="47"/>
  <c r="G86" i="47" s="1"/>
  <c r="F88" i="47"/>
  <c r="G88" i="47" s="1"/>
  <c r="F90" i="47"/>
  <c r="G90" i="47" s="1"/>
  <c r="F97" i="47"/>
  <c r="G97" i="47" s="1"/>
  <c r="F105" i="47"/>
  <c r="G105" i="47" s="1"/>
  <c r="F127" i="47"/>
  <c r="G127" i="47" s="1"/>
  <c r="F149" i="47"/>
  <c r="G149" i="47" s="1"/>
  <c r="F153" i="47"/>
  <c r="G153" i="47" s="1"/>
  <c r="F157" i="47"/>
  <c r="G157" i="47" s="1"/>
  <c r="F159" i="47"/>
  <c r="G159" i="47" s="1"/>
  <c r="F161" i="47"/>
  <c r="G161" i="47" s="1"/>
  <c r="F163" i="47"/>
  <c r="G163" i="47" s="1"/>
  <c r="F165" i="47"/>
  <c r="G165" i="47" s="1"/>
  <c r="F167" i="47"/>
  <c r="G167" i="47" s="1"/>
  <c r="F169" i="47"/>
  <c r="G169" i="47" s="1"/>
  <c r="F171" i="47"/>
  <c r="G171" i="47" s="1"/>
  <c r="F188" i="47"/>
  <c r="G188" i="47" s="1"/>
  <c r="F190" i="47"/>
  <c r="G190" i="47" s="1"/>
  <c r="F192" i="47"/>
  <c r="G192" i="47" s="1"/>
  <c r="F194" i="47"/>
  <c r="G194" i="47" s="1"/>
  <c r="F196" i="47"/>
  <c r="G196" i="47" s="1"/>
  <c r="F198" i="47"/>
  <c r="G198" i="47" s="1"/>
  <c r="F200" i="47"/>
  <c r="G200" i="47" s="1"/>
  <c r="F202" i="47"/>
  <c r="G202" i="47" s="1"/>
  <c r="K62" i="51"/>
  <c r="E66" i="51"/>
  <c r="F66" i="51" s="1"/>
  <c r="G66" i="51" s="1"/>
  <c r="E70" i="51"/>
  <c r="F70" i="51" s="1"/>
  <c r="H70" i="51" s="1"/>
  <c r="K78" i="51"/>
  <c r="E82" i="51"/>
  <c r="F82" i="51" s="1"/>
  <c r="H82" i="51" s="1"/>
  <c r="K125" i="51"/>
  <c r="E129" i="51"/>
  <c r="F129" i="51" s="1"/>
  <c r="H129" i="51" s="1"/>
  <c r="E166" i="51"/>
  <c r="F166" i="51" s="1"/>
  <c r="H166" i="51" s="1"/>
  <c r="K172" i="51"/>
  <c r="D12" i="57"/>
  <c r="F11" i="47"/>
  <c r="G11" i="47" s="1"/>
  <c r="F16" i="47"/>
  <c r="G16" i="47" s="1"/>
  <c r="F20" i="47"/>
  <c r="G20" i="47" s="1"/>
  <c r="F24" i="47"/>
  <c r="G24" i="47" s="1"/>
  <c r="F31" i="47"/>
  <c r="G31" i="47" s="1"/>
  <c r="F34" i="47"/>
  <c r="G34" i="47" s="1"/>
  <c r="F38" i="47"/>
  <c r="G38" i="47" s="1"/>
  <c r="F42" i="47"/>
  <c r="G42" i="47" s="1"/>
  <c r="F45" i="47"/>
  <c r="G45" i="47" s="1"/>
  <c r="F49" i="47"/>
  <c r="G49" i="47" s="1"/>
  <c r="F53" i="47"/>
  <c r="G53" i="47" s="1"/>
  <c r="F57" i="47"/>
  <c r="G57" i="47" s="1"/>
  <c r="F61" i="47"/>
  <c r="G61" i="47" s="1"/>
  <c r="F63" i="47"/>
  <c r="G63" i="47" s="1"/>
  <c r="F65" i="47"/>
  <c r="G65" i="47" s="1"/>
  <c r="F67" i="47"/>
  <c r="G67" i="47" s="1"/>
  <c r="F69" i="47"/>
  <c r="G69" i="47" s="1"/>
  <c r="F71" i="47"/>
  <c r="G71" i="47" s="1"/>
  <c r="F73" i="47"/>
  <c r="G73" i="47" s="1"/>
  <c r="F75" i="47"/>
  <c r="G75" i="47" s="1"/>
  <c r="F95" i="47"/>
  <c r="G95" i="47" s="1"/>
  <c r="F103" i="47"/>
  <c r="G103" i="47" s="1"/>
  <c r="F124" i="47"/>
  <c r="G124" i="47" s="1"/>
  <c r="F150" i="47"/>
  <c r="G150" i="47" s="1"/>
  <c r="F154" i="47"/>
  <c r="G154" i="47" s="1"/>
  <c r="F177" i="44"/>
  <c r="F180" i="44"/>
  <c r="F182" i="44"/>
  <c r="F184" i="44"/>
  <c r="F191" i="44"/>
  <c r="F193" i="44"/>
  <c r="F196" i="44"/>
  <c r="F13" i="47"/>
  <c r="G13" i="47" s="1"/>
  <c r="F17" i="47"/>
  <c r="G17" i="47" s="1"/>
  <c r="F21" i="47"/>
  <c r="G21" i="47" s="1"/>
  <c r="F25" i="47"/>
  <c r="G25" i="47" s="1"/>
  <c r="F28" i="47"/>
  <c r="G28" i="47" s="1"/>
  <c r="F32" i="47"/>
  <c r="G32" i="47" s="1"/>
  <c r="F35" i="47"/>
  <c r="G35" i="47" s="1"/>
  <c r="F39" i="47"/>
  <c r="G39" i="47" s="1"/>
  <c r="F43" i="47"/>
  <c r="G43" i="47" s="1"/>
  <c r="F46" i="47"/>
  <c r="G46" i="47" s="1"/>
  <c r="F50" i="47"/>
  <c r="G50" i="47" s="1"/>
  <c r="F54" i="47"/>
  <c r="G54" i="47" s="1"/>
  <c r="F58" i="47"/>
  <c r="G58" i="47" s="1"/>
  <c r="F77" i="47"/>
  <c r="G77" i="47" s="1"/>
  <c r="F79" i="47"/>
  <c r="G79" i="47" s="1"/>
  <c r="F81" i="47"/>
  <c r="G81" i="47" s="1"/>
  <c r="F83" i="47"/>
  <c r="G83" i="47" s="1"/>
  <c r="F85" i="47"/>
  <c r="G85" i="47" s="1"/>
  <c r="F87" i="47"/>
  <c r="G87" i="47" s="1"/>
  <c r="F89" i="47"/>
  <c r="G89" i="47" s="1"/>
  <c r="F91" i="47"/>
  <c r="G91" i="47" s="1"/>
  <c r="F93" i="47"/>
  <c r="G93" i="47" s="1"/>
  <c r="F101" i="47"/>
  <c r="G101" i="47" s="1"/>
  <c r="F107" i="47"/>
  <c r="G107" i="47" s="1"/>
  <c r="F125" i="47"/>
  <c r="G125" i="47" s="1"/>
  <c r="F140" i="47"/>
  <c r="G140" i="47" s="1"/>
  <c r="F151" i="47"/>
  <c r="G151" i="47" s="1"/>
  <c r="F158" i="47"/>
  <c r="G158" i="47" s="1"/>
  <c r="F160" i="47"/>
  <c r="G160" i="47" s="1"/>
  <c r="F162" i="47"/>
  <c r="G162" i="47" s="1"/>
  <c r="F164" i="47"/>
  <c r="G164" i="47" s="1"/>
  <c r="F166" i="47"/>
  <c r="G166" i="47" s="1"/>
  <c r="F168" i="47"/>
  <c r="G168" i="47" s="1"/>
  <c r="F170" i="47"/>
  <c r="G170" i="47" s="1"/>
  <c r="F189" i="47"/>
  <c r="G189" i="47" s="1"/>
  <c r="F191" i="47"/>
  <c r="G191" i="47" s="1"/>
  <c r="F193" i="47"/>
  <c r="G193" i="47" s="1"/>
  <c r="F195" i="47"/>
  <c r="G195" i="47" s="1"/>
  <c r="F197" i="47"/>
  <c r="G197" i="47" s="1"/>
  <c r="F199" i="47"/>
  <c r="G199" i="47" s="1"/>
  <c r="F201" i="47"/>
  <c r="G201" i="47" s="1"/>
  <c r="K68" i="51"/>
  <c r="E72" i="51"/>
  <c r="F72" i="51" s="1"/>
  <c r="G72" i="51" s="1"/>
  <c r="K80" i="51"/>
  <c r="K70" i="42"/>
  <c r="C70" i="42" s="1"/>
  <c r="E74" i="42"/>
  <c r="F74" i="42" s="1"/>
  <c r="H74" i="42" s="1"/>
  <c r="E178" i="51"/>
  <c r="F178" i="51" s="1"/>
  <c r="H178" i="51" s="1"/>
  <c r="N11" i="54"/>
  <c r="N12" i="54" s="1"/>
  <c r="N13" i="54" s="1"/>
  <c r="N14" i="54" s="1"/>
  <c r="N15" i="54" s="1"/>
  <c r="N16" i="54" s="1"/>
  <c r="N17" i="54" s="1"/>
  <c r="N18" i="54" s="1"/>
  <c r="N19" i="54" s="1"/>
  <c r="N20" i="54" s="1"/>
  <c r="N21" i="54" s="1"/>
  <c r="N22" i="54" s="1"/>
  <c r="N23" i="54" s="1"/>
  <c r="N24" i="54" s="1"/>
  <c r="N25" i="54" s="1"/>
  <c r="N26" i="54" s="1"/>
  <c r="N27" i="54" s="1"/>
  <c r="N28" i="54" s="1"/>
  <c r="N29" i="54" s="1"/>
  <c r="N30" i="54" s="1"/>
  <c r="N31" i="54" s="1"/>
  <c r="N32" i="54" s="1"/>
  <c r="N33" i="54" s="1"/>
  <c r="N34" i="54" s="1"/>
  <c r="U20" i="48"/>
  <c r="G12" i="56"/>
  <c r="F13" i="56"/>
  <c r="F14" i="56" s="1"/>
  <c r="H14" i="56" s="1"/>
  <c r="H12" i="56"/>
  <c r="S11" i="55"/>
  <c r="T11" i="55" s="1"/>
  <c r="D12" i="55"/>
  <c r="E66" i="42"/>
  <c r="F66" i="42" s="1"/>
  <c r="G66" i="42" s="1"/>
  <c r="F186" i="47"/>
  <c r="G186" i="47" s="1"/>
  <c r="F184" i="47"/>
  <c r="G184" i="47" s="1"/>
  <c r="F182" i="47"/>
  <c r="G182" i="47" s="1"/>
  <c r="F180" i="47"/>
  <c r="G180" i="47" s="1"/>
  <c r="F178" i="47"/>
  <c r="G178" i="47" s="1"/>
  <c r="F176" i="47"/>
  <c r="G176" i="47" s="1"/>
  <c r="F174" i="47"/>
  <c r="G174" i="47" s="1"/>
  <c r="F172" i="47"/>
  <c r="G172" i="47" s="1"/>
  <c r="F147" i="47"/>
  <c r="G147" i="47" s="1"/>
  <c r="F145" i="47"/>
  <c r="G145" i="47" s="1"/>
  <c r="F143" i="47"/>
  <c r="G143" i="47" s="1"/>
  <c r="F141" i="47"/>
  <c r="G141" i="47" s="1"/>
  <c r="F138" i="47"/>
  <c r="G138" i="47" s="1"/>
  <c r="F136" i="47"/>
  <c r="G136" i="47" s="1"/>
  <c r="F134" i="47"/>
  <c r="G134" i="47" s="1"/>
  <c r="F132" i="47"/>
  <c r="G132" i="47" s="1"/>
  <c r="F130" i="47"/>
  <c r="G130" i="47" s="1"/>
  <c r="F128" i="47"/>
  <c r="G128" i="47" s="1"/>
  <c r="F122" i="47"/>
  <c r="G122" i="47" s="1"/>
  <c r="F120" i="47"/>
  <c r="G120" i="47" s="1"/>
  <c r="F118" i="47"/>
  <c r="G118" i="47" s="1"/>
  <c r="F116" i="47"/>
  <c r="G116" i="47" s="1"/>
  <c r="F114" i="47"/>
  <c r="G114" i="47" s="1"/>
  <c r="F112" i="47"/>
  <c r="G112" i="47" s="1"/>
  <c r="F110" i="47"/>
  <c r="G110" i="47" s="1"/>
  <c r="F108" i="47"/>
  <c r="G108" i="47" s="1"/>
  <c r="F106" i="47"/>
  <c r="G106" i="47" s="1"/>
  <c r="F104" i="47"/>
  <c r="G104" i="47" s="1"/>
  <c r="F102" i="47"/>
  <c r="G102" i="47" s="1"/>
  <c r="F100" i="47"/>
  <c r="G100" i="47" s="1"/>
  <c r="F98" i="47"/>
  <c r="G98" i="47" s="1"/>
  <c r="F96" i="47"/>
  <c r="G96" i="47" s="1"/>
  <c r="F94" i="47"/>
  <c r="G94" i="47" s="1"/>
  <c r="F92" i="47"/>
  <c r="G92" i="47" s="1"/>
  <c r="F187" i="47"/>
  <c r="G187" i="47" s="1"/>
  <c r="F185" i="47"/>
  <c r="G185" i="47" s="1"/>
  <c r="F183" i="47"/>
  <c r="G183" i="47" s="1"/>
  <c r="F181" i="47"/>
  <c r="G181" i="47" s="1"/>
  <c r="F179" i="47"/>
  <c r="G179" i="47" s="1"/>
  <c r="F177" i="47"/>
  <c r="G177" i="47" s="1"/>
  <c r="F175" i="47"/>
  <c r="G175" i="47" s="1"/>
  <c r="F173" i="47"/>
  <c r="G173" i="47" s="1"/>
  <c r="F156" i="47"/>
  <c r="G156" i="47" s="1"/>
  <c r="F146" i="47"/>
  <c r="G146" i="47" s="1"/>
  <c r="F144" i="47"/>
  <c r="G144" i="47" s="1"/>
  <c r="F142" i="47"/>
  <c r="G142" i="47" s="1"/>
  <c r="F139" i="47"/>
  <c r="G139" i="47" s="1"/>
  <c r="F137" i="47"/>
  <c r="G137" i="47" s="1"/>
  <c r="F135" i="47"/>
  <c r="G135" i="47" s="1"/>
  <c r="F133" i="47"/>
  <c r="G133" i="47" s="1"/>
  <c r="F131" i="47"/>
  <c r="G131" i="47" s="1"/>
  <c r="F129" i="47"/>
  <c r="G129" i="47" s="1"/>
  <c r="F123" i="47"/>
  <c r="G123" i="47" s="1"/>
  <c r="F121" i="47"/>
  <c r="G121" i="47" s="1"/>
  <c r="F119" i="47"/>
  <c r="G119" i="47" s="1"/>
  <c r="F117" i="47"/>
  <c r="G117" i="47" s="1"/>
  <c r="F115" i="47"/>
  <c r="G115" i="47" s="1"/>
  <c r="F113" i="47"/>
  <c r="G113" i="47" s="1"/>
  <c r="F111" i="47"/>
  <c r="G111" i="47" s="1"/>
  <c r="F109" i="47"/>
  <c r="G109" i="47" s="1"/>
  <c r="G61" i="44"/>
  <c r="G62" i="44" s="1"/>
  <c r="G63" i="44" s="1"/>
  <c r="G64" i="44" s="1"/>
  <c r="G65" i="44" s="1"/>
  <c r="G66" i="44" s="1"/>
  <c r="G67" i="44" s="1"/>
  <c r="G68" i="44" s="1"/>
  <c r="G69" i="44" s="1"/>
  <c r="G70" i="44" s="1"/>
  <c r="G71" i="44" s="1"/>
  <c r="G72" i="44" s="1"/>
  <c r="G73" i="44" s="1"/>
  <c r="G74" i="44" s="1"/>
  <c r="G75" i="44" s="1"/>
  <c r="G76" i="44" s="1"/>
  <c r="G77" i="44" s="1"/>
  <c r="G78" i="44" s="1"/>
  <c r="G79" i="44" s="1"/>
  <c r="G80" i="44" s="1"/>
  <c r="G81" i="44" s="1"/>
  <c r="G82" i="44" s="1"/>
  <c r="G83" i="44" s="1"/>
  <c r="G84" i="44" s="1"/>
  <c r="G85" i="44" s="1"/>
  <c r="G86" i="44" s="1"/>
  <c r="G87" i="44" s="1"/>
  <c r="G88" i="44" s="1"/>
  <c r="G89" i="44" s="1"/>
  <c r="G90" i="44" s="1"/>
  <c r="G91" i="44" s="1"/>
  <c r="G92" i="44" s="1"/>
  <c r="G93" i="44" s="1"/>
  <c r="G94" i="44" s="1"/>
  <c r="G95" i="44" s="1"/>
  <c r="G96" i="44" s="1"/>
  <c r="G97" i="44" s="1"/>
  <c r="G98" i="44" s="1"/>
  <c r="G99" i="44" s="1"/>
  <c r="G100" i="44" s="1"/>
  <c r="G101" i="44" s="1"/>
  <c r="G102" i="44" s="1"/>
  <c r="G103" i="44" s="1"/>
  <c r="G104" i="44" s="1"/>
  <c r="G105" i="44" s="1"/>
  <c r="G106" i="44" s="1"/>
  <c r="G107" i="44" s="1"/>
  <c r="G108" i="44" s="1"/>
  <c r="G109" i="44" s="1"/>
  <c r="G110" i="44" s="1"/>
  <c r="G111" i="44" s="1"/>
  <c r="G112" i="44" s="1"/>
  <c r="G113" i="44" s="1"/>
  <c r="G114" i="44" s="1"/>
  <c r="G115" i="44" s="1"/>
  <c r="G116" i="44" s="1"/>
  <c r="G117" i="44" s="1"/>
  <c r="G118" i="44" s="1"/>
  <c r="G119" i="44" s="1"/>
  <c r="G120" i="44" s="1"/>
  <c r="G121" i="44" s="1"/>
  <c r="G122" i="44" s="1"/>
  <c r="G123" i="44" s="1"/>
  <c r="G124" i="44" s="1"/>
  <c r="G125" i="44" s="1"/>
  <c r="G126" i="44" s="1"/>
  <c r="G127" i="44" s="1"/>
  <c r="G128" i="44" s="1"/>
  <c r="G129" i="44" s="1"/>
  <c r="G130" i="44" s="1"/>
  <c r="G131" i="44" s="1"/>
  <c r="G132" i="44" s="1"/>
  <c r="G133" i="44" s="1"/>
  <c r="G134" i="44" s="1"/>
  <c r="G135" i="44" s="1"/>
  <c r="G136" i="44" s="1"/>
  <c r="G137" i="44" s="1"/>
  <c r="G138" i="44" s="1"/>
  <c r="G139" i="44" s="1"/>
  <c r="G140" i="44" s="1"/>
  <c r="G141" i="44" s="1"/>
  <c r="G142" i="44" s="1"/>
  <c r="G143" i="44" s="1"/>
  <c r="G144" i="44" s="1"/>
  <c r="G145" i="44" s="1"/>
  <c r="G146" i="44" s="1"/>
  <c r="G147" i="44" s="1"/>
  <c r="G148" i="44" s="1"/>
  <c r="G149" i="44" s="1"/>
  <c r="G150" i="44" s="1"/>
  <c r="G151" i="44" s="1"/>
  <c r="G152" i="44" s="1"/>
  <c r="G153" i="44" s="1"/>
  <c r="G154" i="44" s="1"/>
  <c r="G155" i="44" s="1"/>
  <c r="G156" i="44" s="1"/>
  <c r="H155" i="44"/>
  <c r="K59" i="51"/>
  <c r="E59" i="51"/>
  <c r="F59" i="51" s="1"/>
  <c r="G59" i="51" s="1"/>
  <c r="K55" i="51"/>
  <c r="E55" i="51"/>
  <c r="F55" i="51" s="1"/>
  <c r="K51" i="51"/>
  <c r="E51" i="51"/>
  <c r="F51" i="51" s="1"/>
  <c r="G51" i="51" s="1"/>
  <c r="E189" i="51"/>
  <c r="F189" i="51" s="1"/>
  <c r="H189" i="51" s="1"/>
  <c r="K189" i="51"/>
  <c r="K185" i="51"/>
  <c r="E185" i="51"/>
  <c r="F185" i="51" s="1"/>
  <c r="H185" i="51" s="1"/>
  <c r="E181" i="51"/>
  <c r="F181" i="51" s="1"/>
  <c r="H181" i="51" s="1"/>
  <c r="K181" i="51"/>
  <c r="K177" i="51"/>
  <c r="E177" i="51"/>
  <c r="F177" i="51" s="1"/>
  <c r="H177" i="51" s="1"/>
  <c r="K165" i="51"/>
  <c r="E165" i="51"/>
  <c r="F165" i="51" s="1"/>
  <c r="H165" i="51" s="1"/>
  <c r="E161" i="51"/>
  <c r="F161" i="51" s="1"/>
  <c r="G161" i="51" s="1"/>
  <c r="K161" i="51"/>
  <c r="K157" i="51"/>
  <c r="E157" i="51"/>
  <c r="F157" i="51" s="1"/>
  <c r="H157" i="51" s="1"/>
  <c r="E78" i="42"/>
  <c r="F78" i="42" s="1"/>
  <c r="G78" i="42" s="1"/>
  <c r="E56" i="51"/>
  <c r="F56" i="51" s="1"/>
  <c r="G56" i="51" s="1"/>
  <c r="E60" i="51"/>
  <c r="F60" i="51" s="1"/>
  <c r="H60" i="51" s="1"/>
  <c r="H78" i="51"/>
  <c r="G78" i="51"/>
  <c r="K119" i="51"/>
  <c r="K123" i="51"/>
  <c r="E153" i="51"/>
  <c r="F153" i="51" s="1"/>
  <c r="G153" i="51" s="1"/>
  <c r="K153" i="51"/>
  <c r="K141" i="51"/>
  <c r="E141" i="51"/>
  <c r="F141" i="51" s="1"/>
  <c r="H141" i="51" s="1"/>
  <c r="E137" i="51"/>
  <c r="F137" i="51" s="1"/>
  <c r="H137" i="51" s="1"/>
  <c r="K137" i="51"/>
  <c r="M12" i="53"/>
  <c r="M13" i="53" s="1"/>
  <c r="M14" i="53" s="1"/>
  <c r="M15" i="53" s="1"/>
  <c r="M16" i="53" s="1"/>
  <c r="M17" i="53" s="1"/>
  <c r="M18" i="53" s="1"/>
  <c r="M19" i="53" s="1"/>
  <c r="M20" i="53" s="1"/>
  <c r="M21" i="53" s="1"/>
  <c r="M22" i="53" s="1"/>
  <c r="M23" i="53" s="1"/>
  <c r="M24" i="53" s="1"/>
  <c r="M25" i="53" s="1"/>
  <c r="M26" i="53" s="1"/>
  <c r="M27" i="53" s="1"/>
  <c r="M28" i="53" s="1"/>
  <c r="M29" i="53" s="1"/>
  <c r="M30" i="53" s="1"/>
  <c r="M31" i="53" s="1"/>
  <c r="M32" i="53" s="1"/>
  <c r="M33" i="53" s="1"/>
  <c r="M34" i="53" s="1"/>
  <c r="M35" i="53" s="1"/>
  <c r="M36" i="53" s="1"/>
  <c r="M37" i="53" s="1"/>
  <c r="M38" i="53" s="1"/>
  <c r="M39" i="53" s="1"/>
  <c r="M40" i="53" s="1"/>
  <c r="M41" i="53" s="1"/>
  <c r="M42" i="53" s="1"/>
  <c r="M43" i="53" s="1"/>
  <c r="M44" i="53" s="1"/>
  <c r="M45" i="53" s="1"/>
  <c r="M46" i="53" s="1"/>
  <c r="M47" i="53" s="1"/>
  <c r="M48" i="53" s="1"/>
  <c r="M49" i="53" s="1"/>
  <c r="M50" i="53" s="1"/>
  <c r="M51" i="53" s="1"/>
  <c r="M52" i="53" s="1"/>
  <c r="M53" i="53" s="1"/>
  <c r="M54" i="53" s="1"/>
  <c r="M55" i="53" s="1"/>
  <c r="M56" i="53" s="1"/>
  <c r="M57" i="53" s="1"/>
  <c r="M58" i="53" s="1"/>
  <c r="M59" i="53" s="1"/>
  <c r="M60" i="53" s="1"/>
  <c r="M61" i="53" s="1"/>
  <c r="M62" i="53" s="1"/>
  <c r="M63" i="53" s="1"/>
  <c r="M64" i="53" s="1"/>
  <c r="M65" i="53" s="1"/>
  <c r="M66" i="53" s="1"/>
  <c r="M67" i="53" s="1"/>
  <c r="M68" i="53" s="1"/>
  <c r="M69" i="53" s="1"/>
  <c r="M70" i="53" s="1"/>
  <c r="M71" i="53" s="1"/>
  <c r="M72" i="53" s="1"/>
  <c r="M73" i="53" s="1"/>
  <c r="M74" i="53" s="1"/>
  <c r="M75" i="53" s="1"/>
  <c r="M76" i="53" s="1"/>
  <c r="M77" i="53" s="1"/>
  <c r="M78" i="53" s="1"/>
  <c r="M79" i="53" s="1"/>
  <c r="M80" i="53" s="1"/>
  <c r="M81" i="53" s="1"/>
  <c r="M82" i="53" s="1"/>
  <c r="N11" i="53"/>
  <c r="N12" i="53" s="1"/>
  <c r="N13" i="53" s="1"/>
  <c r="N14" i="53" s="1"/>
  <c r="N15" i="53" s="1"/>
  <c r="N16" i="53" s="1"/>
  <c r="N17" i="53" s="1"/>
  <c r="N18" i="53" s="1"/>
  <c r="N19" i="53" s="1"/>
  <c r="N20" i="53" s="1"/>
  <c r="N21" i="53" s="1"/>
  <c r="N22" i="53" s="1"/>
  <c r="N23" i="53" s="1"/>
  <c r="N24" i="53" s="1"/>
  <c r="N25" i="53" s="1"/>
  <c r="N26" i="53" s="1"/>
  <c r="N27" i="53" s="1"/>
  <c r="N28" i="53" s="1"/>
  <c r="N29" i="53" s="1"/>
  <c r="N30" i="53" s="1"/>
  <c r="N31" i="53" s="1"/>
  <c r="N32" i="53" s="1"/>
  <c r="N33" i="53" s="1"/>
  <c r="N34" i="53" s="1"/>
  <c r="N35" i="53" s="1"/>
  <c r="N36" i="53" s="1"/>
  <c r="N37" i="53" s="1"/>
  <c r="N38" i="53" s="1"/>
  <c r="N39" i="53" s="1"/>
  <c r="N40" i="53" s="1"/>
  <c r="N41" i="53" s="1"/>
  <c r="N42" i="53" s="1"/>
  <c r="N43" i="53" s="1"/>
  <c r="N44" i="53" s="1"/>
  <c r="N45" i="53" s="1"/>
  <c r="N46" i="53" s="1"/>
  <c r="N47" i="53" s="1"/>
  <c r="N48" i="53" s="1"/>
  <c r="N49" i="53" s="1"/>
  <c r="N50" i="53" s="1"/>
  <c r="N51" i="53" s="1"/>
  <c r="N52" i="53" s="1"/>
  <c r="N53" i="53" s="1"/>
  <c r="N54" i="53" s="1"/>
  <c r="N55" i="53" s="1"/>
  <c r="N56" i="53" s="1"/>
  <c r="N57" i="53" s="1"/>
  <c r="N58" i="53" s="1"/>
  <c r="N59" i="53" s="1"/>
  <c r="N60" i="53" s="1"/>
  <c r="N61" i="53" s="1"/>
  <c r="N62" i="53" s="1"/>
  <c r="N63" i="53" s="1"/>
  <c r="N64" i="53" s="1"/>
  <c r="N65" i="53" s="1"/>
  <c r="N66" i="53" s="1"/>
  <c r="N67" i="53" s="1"/>
  <c r="N68" i="53" s="1"/>
  <c r="N69" i="53" s="1"/>
  <c r="N70" i="53" s="1"/>
  <c r="N71" i="53" s="1"/>
  <c r="N72" i="53" s="1"/>
  <c r="N73" i="53" s="1"/>
  <c r="N74" i="53" s="1"/>
  <c r="N75" i="53" s="1"/>
  <c r="N76" i="53" s="1"/>
  <c r="N77" i="53" s="1"/>
  <c r="N78" i="53" s="1"/>
  <c r="N79" i="53" s="1"/>
  <c r="N80" i="53" s="1"/>
  <c r="N81" i="53" s="1"/>
  <c r="N82" i="53" s="1"/>
  <c r="E48" i="51"/>
  <c r="F48" i="51" s="1"/>
  <c r="G48" i="51" s="1"/>
  <c r="K187" i="51"/>
  <c r="E187" i="51"/>
  <c r="F187" i="51" s="1"/>
  <c r="H187" i="51" s="1"/>
  <c r="K183" i="51"/>
  <c r="E183" i="51"/>
  <c r="F183" i="51" s="1"/>
  <c r="H183" i="51" s="1"/>
  <c r="K179" i="51"/>
  <c r="E179" i="51"/>
  <c r="F179" i="51" s="1"/>
  <c r="E64" i="51"/>
  <c r="F64" i="51" s="1"/>
  <c r="H64" i="51" s="1"/>
  <c r="K64" i="51"/>
  <c r="K143" i="51"/>
  <c r="E143" i="51"/>
  <c r="F143" i="51" s="1"/>
  <c r="H143" i="51" s="1"/>
  <c r="E135" i="51"/>
  <c r="F135" i="51" s="1"/>
  <c r="H135" i="51" s="1"/>
  <c r="K135" i="51"/>
  <c r="K131" i="51"/>
  <c r="E131" i="51"/>
  <c r="F131" i="51" s="1"/>
  <c r="H131" i="51" s="1"/>
  <c r="Q11" i="61"/>
  <c r="S11" i="61" s="1"/>
  <c r="T11" i="61" s="1"/>
  <c r="U11" i="61" s="1"/>
  <c r="E11" i="57"/>
  <c r="E12" i="57" s="1"/>
  <c r="E13" i="57" s="1"/>
  <c r="E14" i="57" s="1"/>
  <c r="E15" i="57" s="1"/>
  <c r="E16" i="57" s="1"/>
  <c r="E17" i="57" s="1"/>
  <c r="E18" i="57" s="1"/>
  <c r="E19" i="57" s="1"/>
  <c r="E20" i="57" s="1"/>
  <c r="E21" i="57" s="1"/>
  <c r="E22" i="57" s="1"/>
  <c r="E23" i="57" s="1"/>
  <c r="E24" i="57" s="1"/>
  <c r="E25" i="57" s="1"/>
  <c r="E26" i="57" s="1"/>
  <c r="E27" i="57" s="1"/>
  <c r="E28" i="57" s="1"/>
  <c r="E29" i="57" s="1"/>
  <c r="E30" i="57" s="1"/>
  <c r="E31" i="57" s="1"/>
  <c r="E32" i="57" s="1"/>
  <c r="E33" i="57" s="1"/>
  <c r="E34" i="57" s="1"/>
  <c r="E35" i="57" s="1"/>
  <c r="E36" i="57" s="1"/>
  <c r="E37" i="57" s="1"/>
  <c r="E38" i="57" s="1"/>
  <c r="E39" i="57" s="1"/>
  <c r="E40" i="57" s="1"/>
  <c r="E41" i="57" s="1"/>
  <c r="E42" i="57" s="1"/>
  <c r="E43" i="57" s="1"/>
  <c r="E44" i="57" s="1"/>
  <c r="E45" i="57" s="1"/>
  <c r="E46" i="57" s="1"/>
  <c r="E47" i="57" s="1"/>
  <c r="E48" i="57" s="1"/>
  <c r="E49" i="57" s="1"/>
  <c r="E50" i="57" s="1"/>
  <c r="E51" i="57" s="1"/>
  <c r="E52" i="57" s="1"/>
  <c r="E53" i="57" s="1"/>
  <c r="E54" i="57" s="1"/>
  <c r="E55" i="57" s="1"/>
  <c r="E56" i="57" s="1"/>
  <c r="E57" i="57" s="1"/>
  <c r="E58" i="57" s="1"/>
  <c r="E59" i="57" s="1"/>
  <c r="E60" i="57" s="1"/>
  <c r="E61" i="57" s="1"/>
  <c r="E62" i="57" s="1"/>
  <c r="E63" i="57" s="1"/>
  <c r="E64" i="57" s="1"/>
  <c r="E65" i="57" s="1"/>
  <c r="E66" i="57" s="1"/>
  <c r="E67" i="57" s="1"/>
  <c r="E68" i="57" s="1"/>
  <c r="E69" i="57" s="1"/>
  <c r="E70" i="57" s="1"/>
  <c r="E71" i="57" s="1"/>
  <c r="E72" i="57" s="1"/>
  <c r="E73" i="57" s="1"/>
  <c r="E74" i="57" s="1"/>
  <c r="E75" i="57" s="1"/>
  <c r="E76" i="57" s="1"/>
  <c r="E77" i="57" s="1"/>
  <c r="E78" i="57" s="1"/>
  <c r="E79" i="57" s="1"/>
  <c r="E80" i="57" s="1"/>
  <c r="E81" i="57" s="1"/>
  <c r="E82" i="57" s="1"/>
  <c r="E83" i="57" s="1"/>
  <c r="E84" i="57" s="1"/>
  <c r="E85" i="57" s="1"/>
  <c r="E86" i="57" s="1"/>
  <c r="E87" i="57" s="1"/>
  <c r="E88" i="57" s="1"/>
  <c r="E89" i="57" s="1"/>
  <c r="E90" i="57" s="1"/>
  <c r="E91" i="57" s="1"/>
  <c r="E92" i="57" s="1"/>
  <c r="E93" i="57" s="1"/>
  <c r="E94" i="57" s="1"/>
  <c r="E95" i="57" s="1"/>
  <c r="E96" i="57" s="1"/>
  <c r="E97" i="57" s="1"/>
  <c r="E98" i="57" s="1"/>
  <c r="E99" i="57" s="1"/>
  <c r="E100" i="57" s="1"/>
  <c r="E101" i="57" s="1"/>
  <c r="E102" i="57" s="1"/>
  <c r="E103" i="57" s="1"/>
  <c r="E104" i="57" s="1"/>
  <c r="E105" i="57" s="1"/>
  <c r="E106" i="57" s="1"/>
  <c r="E107" i="57" s="1"/>
  <c r="E108" i="57" s="1"/>
  <c r="E109" i="57" s="1"/>
  <c r="E110" i="57" s="1"/>
  <c r="E111" i="57" s="1"/>
  <c r="E112" i="57" s="1"/>
  <c r="E113" i="57" s="1"/>
  <c r="E114" i="57" s="1"/>
  <c r="E115" i="57" s="1"/>
  <c r="E116" i="57" s="1"/>
  <c r="E117" i="57" s="1"/>
  <c r="E118" i="57" s="1"/>
  <c r="E119" i="57" s="1"/>
  <c r="E120" i="57" s="1"/>
  <c r="E121" i="57" s="1"/>
  <c r="E122" i="57" s="1"/>
  <c r="E123" i="57" s="1"/>
  <c r="E124" i="57" s="1"/>
  <c r="E125" i="57" s="1"/>
  <c r="E126" i="57" s="1"/>
  <c r="E127" i="57" s="1"/>
  <c r="E128" i="57" s="1"/>
  <c r="E129" i="57" s="1"/>
  <c r="E130" i="57" s="1"/>
  <c r="E131" i="57" s="1"/>
  <c r="E132" i="57" s="1"/>
  <c r="E133" i="57" s="1"/>
  <c r="E134" i="57" s="1"/>
  <c r="E135" i="57" s="1"/>
  <c r="E136" i="57" s="1"/>
  <c r="E137" i="57" s="1"/>
  <c r="E138" i="57" s="1"/>
  <c r="E139" i="57" s="1"/>
  <c r="E140" i="57" s="1"/>
  <c r="E141" i="57" s="1"/>
  <c r="E142" i="57" s="1"/>
  <c r="E143" i="57" s="1"/>
  <c r="E144" i="57" s="1"/>
  <c r="E145" i="57" s="1"/>
  <c r="E146" i="57" s="1"/>
  <c r="E147" i="57" s="1"/>
  <c r="E148" i="57" s="1"/>
  <c r="E149" i="57" s="1"/>
  <c r="E150" i="57" s="1"/>
  <c r="E151" i="57" s="1"/>
  <c r="E152" i="57" s="1"/>
  <c r="E153" i="57" s="1"/>
  <c r="E154" i="57" s="1"/>
  <c r="E155" i="57" s="1"/>
  <c r="E156" i="57" s="1"/>
  <c r="E157" i="57" s="1"/>
  <c r="E158" i="57" s="1"/>
  <c r="E159" i="57" s="1"/>
  <c r="E160" i="57" s="1"/>
  <c r="E161" i="57" s="1"/>
  <c r="E162" i="57" s="1"/>
  <c r="E163" i="57" s="1"/>
  <c r="E164" i="57" s="1"/>
  <c r="E165" i="57" s="1"/>
  <c r="E166" i="57" s="1"/>
  <c r="E167" i="57" s="1"/>
  <c r="E168" i="57" s="1"/>
  <c r="E169" i="57" s="1"/>
  <c r="E170" i="57" s="1"/>
  <c r="E171" i="57" s="1"/>
  <c r="E172" i="57" s="1"/>
  <c r="E173" i="57" s="1"/>
  <c r="E174" i="57" s="1"/>
  <c r="E175" i="57" s="1"/>
  <c r="E176" i="57" s="1"/>
  <c r="E177" i="57" s="1"/>
  <c r="E178" i="57" s="1"/>
  <c r="E179" i="57" s="1"/>
  <c r="E180" i="57" s="1"/>
  <c r="E181" i="57" s="1"/>
  <c r="E182" i="57" s="1"/>
  <c r="E183" i="57" s="1"/>
  <c r="E184" i="57" s="1"/>
  <c r="E185" i="57" s="1"/>
  <c r="E186" i="57" s="1"/>
  <c r="E187" i="57" s="1"/>
  <c r="E188" i="57" s="1"/>
  <c r="E189" i="57" s="1"/>
  <c r="E190" i="57" s="1"/>
  <c r="E191" i="57" s="1"/>
  <c r="E192" i="57" s="1"/>
  <c r="E193" i="57" s="1"/>
  <c r="E194" i="57" s="1"/>
  <c r="E195" i="57" s="1"/>
  <c r="E196" i="57" s="1"/>
  <c r="E197" i="57" s="1"/>
  <c r="E198" i="57" s="1"/>
  <c r="E199" i="57" s="1"/>
  <c r="E200" i="57" s="1"/>
  <c r="E201" i="57" s="1"/>
  <c r="E202" i="57" s="1"/>
  <c r="E203" i="57" s="1"/>
  <c r="E204" i="57" s="1"/>
  <c r="E205" i="57" s="1"/>
  <c r="E206" i="57" s="1"/>
  <c r="E207" i="57" s="1"/>
  <c r="E208" i="57" s="1"/>
  <c r="E209" i="57" s="1"/>
  <c r="E210" i="57" s="1"/>
  <c r="E211" i="57" s="1"/>
  <c r="E212" i="57" s="1"/>
  <c r="E213" i="57" s="1"/>
  <c r="E214" i="57" s="1"/>
  <c r="E215" i="57" s="1"/>
  <c r="E216" i="57" s="1"/>
  <c r="E217" i="57" s="1"/>
  <c r="E218" i="57" s="1"/>
  <c r="E219" i="57" s="1"/>
  <c r="E220" i="57" s="1"/>
  <c r="E221" i="57" s="1"/>
  <c r="E222" i="57" s="1"/>
  <c r="E223" i="57" s="1"/>
  <c r="E224" i="57" s="1"/>
  <c r="E225" i="57" s="1"/>
  <c r="E226" i="57" s="1"/>
  <c r="E227" i="57" s="1"/>
  <c r="E228" i="57" s="1"/>
  <c r="E229" i="57" s="1"/>
  <c r="E230" i="57" s="1"/>
  <c r="E231" i="57" s="1"/>
  <c r="E232" i="57" s="1"/>
  <c r="E233" i="57" s="1"/>
  <c r="E234" i="57" s="1"/>
  <c r="E235" i="57" s="1"/>
  <c r="E236" i="57" s="1"/>
  <c r="E237" i="57" s="1"/>
  <c r="E238" i="57" s="1"/>
  <c r="E239" i="57" s="1"/>
  <c r="E240" i="57" s="1"/>
  <c r="E241" i="57" s="1"/>
  <c r="E242" i="57" s="1"/>
  <c r="E243" i="57" s="1"/>
  <c r="E244" i="57" s="1"/>
  <c r="E245" i="57" s="1"/>
  <c r="E246" i="57" s="1"/>
  <c r="E247" i="57" s="1"/>
  <c r="E248" i="57" s="1"/>
  <c r="E249" i="57" s="1"/>
  <c r="E250" i="57" s="1"/>
  <c r="E251" i="57" s="1"/>
  <c r="E252" i="57" s="1"/>
  <c r="E253" i="57" s="1"/>
  <c r="E254" i="57" s="1"/>
  <c r="E255" i="57" s="1"/>
  <c r="E256" i="57" s="1"/>
  <c r="E257" i="57" s="1"/>
  <c r="E258" i="57" s="1"/>
  <c r="E259" i="57" s="1"/>
  <c r="E260" i="57" s="1"/>
  <c r="E261" i="57" s="1"/>
  <c r="E262" i="57" s="1"/>
  <c r="E263" i="57" s="1"/>
  <c r="E264" i="57" s="1"/>
  <c r="E265" i="57" s="1"/>
  <c r="E266" i="57" s="1"/>
  <c r="E267" i="57" s="1"/>
  <c r="E268" i="57" s="1"/>
  <c r="E269" i="57" s="1"/>
  <c r="E270" i="57" s="1"/>
  <c r="E271" i="57" s="1"/>
  <c r="E272" i="57" s="1"/>
  <c r="E273" i="57" s="1"/>
  <c r="E274" i="57" s="1"/>
  <c r="E275" i="57" s="1"/>
  <c r="E276" i="57" s="1"/>
  <c r="E277" i="57" s="1"/>
  <c r="E278" i="57" s="1"/>
  <c r="E279" i="57" s="1"/>
  <c r="E280" i="57" s="1"/>
  <c r="E281" i="57" s="1"/>
  <c r="E282" i="57" s="1"/>
  <c r="E283" i="57" s="1"/>
  <c r="E284" i="57" s="1"/>
  <c r="E285" i="57" s="1"/>
  <c r="E286" i="57" s="1"/>
  <c r="E287" i="57" s="1"/>
  <c r="E288" i="57" s="1"/>
  <c r="E289" i="57" s="1"/>
  <c r="E290" i="57" s="1"/>
  <c r="E291" i="57" s="1"/>
  <c r="E292" i="57" s="1"/>
  <c r="E293" i="57" s="1"/>
  <c r="E294" i="57" s="1"/>
  <c r="E295" i="57" s="1"/>
  <c r="E296" i="57" s="1"/>
  <c r="E297" i="57" s="1"/>
  <c r="E298" i="57" s="1"/>
  <c r="E11" i="61"/>
  <c r="F11" i="61" s="1"/>
  <c r="G11" i="61" s="1"/>
  <c r="D12" i="61"/>
  <c r="C12" i="61" s="1"/>
  <c r="K11" i="61"/>
  <c r="C11" i="61" s="1"/>
  <c r="D27" i="61"/>
  <c r="C27" i="61" s="1"/>
  <c r="M12" i="61"/>
  <c r="E26" i="61"/>
  <c r="F26" i="61" s="1"/>
  <c r="K26" i="61"/>
  <c r="C26" i="61" s="1"/>
  <c r="O11" i="60"/>
  <c r="O12" i="60" s="1"/>
  <c r="O13" i="60" s="1"/>
  <c r="O14" i="60" s="1"/>
  <c r="O15" i="60" s="1"/>
  <c r="O16" i="60" s="1"/>
  <c r="O17" i="60" s="1"/>
  <c r="O18" i="60" s="1"/>
  <c r="O19" i="60" s="1"/>
  <c r="O20" i="60" s="1"/>
  <c r="O21" i="60" s="1"/>
  <c r="O22" i="60" s="1"/>
  <c r="O23" i="60" s="1"/>
  <c r="O24" i="60" s="1"/>
  <c r="O25" i="60" s="1"/>
  <c r="O26" i="60" s="1"/>
  <c r="O27" i="60" s="1"/>
  <c r="O28" i="60" s="1"/>
  <c r="O29" i="60" s="1"/>
  <c r="O30" i="60" s="1"/>
  <c r="O31" i="60" s="1"/>
  <c r="O32" i="60" s="1"/>
  <c r="O33" i="60" s="1"/>
  <c r="O34" i="60" s="1"/>
  <c r="O35" i="60" s="1"/>
  <c r="O36" i="60" s="1"/>
  <c r="O37" i="60" s="1"/>
  <c r="O38" i="60" s="1"/>
  <c r="O39" i="60" s="1"/>
  <c r="O40" i="60" s="1"/>
  <c r="O41" i="60" s="1"/>
  <c r="O42" i="60" s="1"/>
  <c r="O43" i="60" s="1"/>
  <c r="O44" i="60" s="1"/>
  <c r="O45" i="60" s="1"/>
  <c r="O46" i="60" s="1"/>
  <c r="O47" i="60" s="1"/>
  <c r="O48" i="60" s="1"/>
  <c r="O49" i="60" s="1"/>
  <c r="O50" i="60" s="1"/>
  <c r="O51" i="60" s="1"/>
  <c r="O52" i="60" s="1"/>
  <c r="O53" i="60" s="1"/>
  <c r="O54" i="60" s="1"/>
  <c r="O55" i="60" s="1"/>
  <c r="O56" i="60" s="1"/>
  <c r="O57" i="60" s="1"/>
  <c r="O58" i="60" s="1"/>
  <c r="O59" i="60" s="1"/>
  <c r="O60" i="60" s="1"/>
  <c r="O61" i="60" s="1"/>
  <c r="O62" i="60" s="1"/>
  <c r="O63" i="60" s="1"/>
  <c r="O64" i="60" s="1"/>
  <c r="O65" i="60" s="1"/>
  <c r="O66" i="60" s="1"/>
  <c r="O67" i="60" s="1"/>
  <c r="O68" i="60" s="1"/>
  <c r="O69" i="60" s="1"/>
  <c r="O70" i="60" s="1"/>
  <c r="O71" i="60" s="1"/>
  <c r="O72" i="60" s="1"/>
  <c r="O73" i="60" s="1"/>
  <c r="O74" i="60" s="1"/>
  <c r="O75" i="60" s="1"/>
  <c r="O76" i="60" s="1"/>
  <c r="O77" i="60" s="1"/>
  <c r="O78" i="60" s="1"/>
  <c r="O79" i="60" s="1"/>
  <c r="O80" i="60" s="1"/>
  <c r="O81" i="60" s="1"/>
  <c r="O82" i="60" s="1"/>
  <c r="H12" i="60"/>
  <c r="G12" i="60"/>
  <c r="F13" i="60"/>
  <c r="H11" i="60"/>
  <c r="G11" i="60"/>
  <c r="O12" i="59"/>
  <c r="O13" i="59" s="1"/>
  <c r="O14" i="59" s="1"/>
  <c r="O15" i="59" s="1"/>
  <c r="O16" i="59" s="1"/>
  <c r="O17" i="59" s="1"/>
  <c r="O18" i="59" s="1"/>
  <c r="O19" i="59" s="1"/>
  <c r="O20" i="59" s="1"/>
  <c r="O21" i="59" s="1"/>
  <c r="O22" i="59" s="1"/>
  <c r="O23" i="59" s="1"/>
  <c r="O24" i="59" s="1"/>
  <c r="O25" i="59" s="1"/>
  <c r="O26" i="59" s="1"/>
  <c r="O27" i="59" s="1"/>
  <c r="O28" i="59" s="1"/>
  <c r="O29" i="59" s="1"/>
  <c r="O30" i="59" s="1"/>
  <c r="O31" i="59" s="1"/>
  <c r="O32" i="59" s="1"/>
  <c r="O33" i="59" s="1"/>
  <c r="O34" i="59" s="1"/>
  <c r="O35" i="59" s="1"/>
  <c r="O36" i="59" s="1"/>
  <c r="O37" i="59" s="1"/>
  <c r="O38" i="59" s="1"/>
  <c r="O39" i="59" s="1"/>
  <c r="O40" i="59" s="1"/>
  <c r="O41" i="59" s="1"/>
  <c r="O42" i="59" s="1"/>
  <c r="O43" i="59" s="1"/>
  <c r="O44" i="59" s="1"/>
  <c r="O45" i="59" s="1"/>
  <c r="O46" i="59" s="1"/>
  <c r="O47" i="59" s="1"/>
  <c r="O48" i="59" s="1"/>
  <c r="O49" i="59" s="1"/>
  <c r="O50" i="59" s="1"/>
  <c r="O51" i="59" s="1"/>
  <c r="O52" i="59" s="1"/>
  <c r="O53" i="59" s="1"/>
  <c r="O54" i="59" s="1"/>
  <c r="O55" i="59" s="1"/>
  <c r="O56" i="59" s="1"/>
  <c r="O57" i="59" s="1"/>
  <c r="O58" i="59" s="1"/>
  <c r="O59" i="59" s="1"/>
  <c r="O60" i="59" s="1"/>
  <c r="O61" i="59" s="1"/>
  <c r="O62" i="59" s="1"/>
  <c r="O63" i="59" s="1"/>
  <c r="O64" i="59" s="1"/>
  <c r="O65" i="59" s="1"/>
  <c r="O66" i="59" s="1"/>
  <c r="O67" i="59" s="1"/>
  <c r="O68" i="59" s="1"/>
  <c r="O69" i="59" s="1"/>
  <c r="O70" i="59" s="1"/>
  <c r="O71" i="59" s="1"/>
  <c r="O72" i="59" s="1"/>
  <c r="O73" i="59" s="1"/>
  <c r="O74" i="59" s="1"/>
  <c r="O75" i="59" s="1"/>
  <c r="O76" i="59" s="1"/>
  <c r="O77" i="59" s="1"/>
  <c r="O78" i="59" s="1"/>
  <c r="O79" i="59" s="1"/>
  <c r="O80" i="59" s="1"/>
  <c r="O81" i="59" s="1"/>
  <c r="O82" i="59" s="1"/>
  <c r="O83" i="59" s="1"/>
  <c r="O84" i="59" s="1"/>
  <c r="O85" i="59" s="1"/>
  <c r="O86" i="59" s="1"/>
  <c r="O87" i="59" s="1"/>
  <c r="O88" i="59" s="1"/>
  <c r="O89" i="59" s="1"/>
  <c r="O90" i="59" s="1"/>
  <c r="O91" i="59" s="1"/>
  <c r="O92" i="59" s="1"/>
  <c r="O93" i="59" s="1"/>
  <c r="O94" i="59" s="1"/>
  <c r="O95" i="59" s="1"/>
  <c r="O96" i="59" s="1"/>
  <c r="O97" i="59" s="1"/>
  <c r="O98" i="59" s="1"/>
  <c r="O99" i="59" s="1"/>
  <c r="O100" i="59" s="1"/>
  <c r="O101" i="59" s="1"/>
  <c r="O102" i="59" s="1"/>
  <c r="O103" i="59" s="1"/>
  <c r="O104" i="59" s="1"/>
  <c r="O105" i="59" s="1"/>
  <c r="O106" i="59" s="1"/>
  <c r="O107" i="59" s="1"/>
  <c r="O108" i="59" s="1"/>
  <c r="O109" i="59" s="1"/>
  <c r="O110" i="59" s="1"/>
  <c r="O111" i="59" s="1"/>
  <c r="O112" i="59" s="1"/>
  <c r="O113" i="59" s="1"/>
  <c r="O114" i="59" s="1"/>
  <c r="O115" i="59" s="1"/>
  <c r="O116" i="59" s="1"/>
  <c r="O117" i="59" s="1"/>
  <c r="O118" i="59" s="1"/>
  <c r="O119" i="59" s="1"/>
  <c r="O120" i="59" s="1"/>
  <c r="O121" i="59" s="1"/>
  <c r="O122" i="59" s="1"/>
  <c r="O123" i="59" s="1"/>
  <c r="O124" i="59" s="1"/>
  <c r="O125" i="59" s="1"/>
  <c r="O126" i="59" s="1"/>
  <c r="O127" i="59" s="1"/>
  <c r="O128" i="59" s="1"/>
  <c r="O129" i="59" s="1"/>
  <c r="O130" i="59" s="1"/>
  <c r="O131" i="59" s="1"/>
  <c r="O132" i="59" s="1"/>
  <c r="O133" i="59" s="1"/>
  <c r="O134" i="59" s="1"/>
  <c r="O135" i="59" s="1"/>
  <c r="O136" i="59" s="1"/>
  <c r="O137" i="59" s="1"/>
  <c r="O138" i="59" s="1"/>
  <c r="O139" i="59" s="1"/>
  <c r="O140" i="59" s="1"/>
  <c r="O141" i="59" s="1"/>
  <c r="O142" i="59" s="1"/>
  <c r="O143" i="59" s="1"/>
  <c r="O144" i="59" s="1"/>
  <c r="O145" i="59" s="1"/>
  <c r="O146" i="59" s="1"/>
  <c r="O147" i="59" s="1"/>
  <c r="O148" i="59" s="1"/>
  <c r="O149" i="59" s="1"/>
  <c r="O150" i="59" s="1"/>
  <c r="O151" i="59" s="1"/>
  <c r="O152" i="59" s="1"/>
  <c r="O153" i="59" s="1"/>
  <c r="O154" i="59" s="1"/>
  <c r="O155" i="59" s="1"/>
  <c r="O156" i="59" s="1"/>
  <c r="O157" i="59" s="1"/>
  <c r="O158" i="59" s="1"/>
  <c r="O159" i="59" s="1"/>
  <c r="O160" i="59" s="1"/>
  <c r="O161" i="59" s="1"/>
  <c r="O162" i="59" s="1"/>
  <c r="O163" i="59" s="1"/>
  <c r="O164" i="59" s="1"/>
  <c r="O165" i="59" s="1"/>
  <c r="O166" i="59" s="1"/>
  <c r="O167" i="59" s="1"/>
  <c r="O168" i="59" s="1"/>
  <c r="O169" i="59" s="1"/>
  <c r="O170" i="59" s="1"/>
  <c r="O171" i="59" s="1"/>
  <c r="O172" i="59" s="1"/>
  <c r="O173" i="59" s="1"/>
  <c r="O174" i="59" s="1"/>
  <c r="O175" i="59" s="1"/>
  <c r="O176" i="59" s="1"/>
  <c r="O177" i="59" s="1"/>
  <c r="O178" i="59" s="1"/>
  <c r="O179" i="59" s="1"/>
  <c r="O180" i="59" s="1"/>
  <c r="O181" i="59" s="1"/>
  <c r="O182" i="59" s="1"/>
  <c r="O183" i="59" s="1"/>
  <c r="O184" i="59" s="1"/>
  <c r="O185" i="59" s="1"/>
  <c r="O186" i="59" s="1"/>
  <c r="O187" i="59" s="1"/>
  <c r="O188" i="59" s="1"/>
  <c r="O189" i="59" s="1"/>
  <c r="O190" i="59" s="1"/>
  <c r="O191" i="59" s="1"/>
  <c r="O192" i="59" s="1"/>
  <c r="O193" i="59" s="1"/>
  <c r="O194" i="59" s="1"/>
  <c r="O195" i="59" s="1"/>
  <c r="O196" i="59" s="1"/>
  <c r="O197" i="59" s="1"/>
  <c r="O198" i="59" s="1"/>
  <c r="O199" i="59" s="1"/>
  <c r="O200" i="59" s="1"/>
  <c r="O201" i="59" s="1"/>
  <c r="O202" i="59" s="1"/>
  <c r="O203" i="59" s="1"/>
  <c r="O204" i="59" s="1"/>
  <c r="O205" i="59" s="1"/>
  <c r="O206" i="59" s="1"/>
  <c r="O207" i="59" s="1"/>
  <c r="O208" i="59" s="1"/>
  <c r="O209" i="59" s="1"/>
  <c r="O210" i="59" s="1"/>
  <c r="O211" i="59" s="1"/>
  <c r="O212" i="59" s="1"/>
  <c r="O213" i="59" s="1"/>
  <c r="O214" i="59" s="1"/>
  <c r="O215" i="59" s="1"/>
  <c r="O216" i="59" s="1"/>
  <c r="O217" i="59" s="1"/>
  <c r="O218" i="59" s="1"/>
  <c r="O219" i="59" s="1"/>
  <c r="O220" i="59" s="1"/>
  <c r="O221" i="59" s="1"/>
  <c r="O222" i="59" s="1"/>
  <c r="O223" i="59" s="1"/>
  <c r="O224" i="59" s="1"/>
  <c r="O225" i="59" s="1"/>
  <c r="O226" i="59" s="1"/>
  <c r="O227" i="59" s="1"/>
  <c r="O228" i="59" s="1"/>
  <c r="O229" i="59" s="1"/>
  <c r="O230" i="59" s="1"/>
  <c r="O231" i="59" s="1"/>
  <c r="O232" i="59" s="1"/>
  <c r="O233" i="59" s="1"/>
  <c r="O234" i="59" s="1"/>
  <c r="O235" i="59" s="1"/>
  <c r="O236" i="59" s="1"/>
  <c r="O237" i="59" s="1"/>
  <c r="O238" i="59" s="1"/>
  <c r="O239" i="59" s="1"/>
  <c r="O240" i="59" s="1"/>
  <c r="O241" i="59" s="1"/>
  <c r="O242" i="59" s="1"/>
  <c r="O243" i="59" s="1"/>
  <c r="O244" i="59" s="1"/>
  <c r="O245" i="59" s="1"/>
  <c r="O246" i="59" s="1"/>
  <c r="O247" i="59" s="1"/>
  <c r="O248" i="59" s="1"/>
  <c r="O249" i="59" s="1"/>
  <c r="O250" i="59" s="1"/>
  <c r="O251" i="59" s="1"/>
  <c r="O252" i="59" s="1"/>
  <c r="O253" i="59" s="1"/>
  <c r="O254" i="59" s="1"/>
  <c r="O255" i="59" s="1"/>
  <c r="O256" i="59" s="1"/>
  <c r="O257" i="59" s="1"/>
  <c r="O258" i="59" s="1"/>
  <c r="O259" i="59" s="1"/>
  <c r="O260" i="59" s="1"/>
  <c r="O261" i="59" s="1"/>
  <c r="O262" i="59" s="1"/>
  <c r="O263" i="59" s="1"/>
  <c r="O264" i="59" s="1"/>
  <c r="O265" i="59" s="1"/>
  <c r="O266" i="59" s="1"/>
  <c r="O267" i="59" s="1"/>
  <c r="O268" i="59" s="1"/>
  <c r="O269" i="59" s="1"/>
  <c r="O270" i="59" s="1"/>
  <c r="O271" i="59" s="1"/>
  <c r="O272" i="59" s="1"/>
  <c r="O273" i="59" s="1"/>
  <c r="O274" i="59" s="1"/>
  <c r="O275" i="59" s="1"/>
  <c r="O276" i="59" s="1"/>
  <c r="O277" i="59" s="1"/>
  <c r="O278" i="59" s="1"/>
  <c r="O279" i="59" s="1"/>
  <c r="O280" i="59" s="1"/>
  <c r="O281" i="59" s="1"/>
  <c r="O282" i="59" s="1"/>
  <c r="O283" i="59" s="1"/>
  <c r="O284" i="59" s="1"/>
  <c r="O285" i="59" s="1"/>
  <c r="O286" i="59" s="1"/>
  <c r="O287" i="59" s="1"/>
  <c r="O288" i="59" s="1"/>
  <c r="O289" i="59" s="1"/>
  <c r="O290" i="59" s="1"/>
  <c r="O291" i="59" s="1"/>
  <c r="O292" i="59" s="1"/>
  <c r="O293" i="59" s="1"/>
  <c r="O294" i="59" s="1"/>
  <c r="O295" i="59" s="1"/>
  <c r="O296" i="59" s="1"/>
  <c r="O297" i="59" s="1"/>
  <c r="O298" i="59" s="1"/>
  <c r="O299" i="59" s="1"/>
  <c r="O300" i="59" s="1"/>
  <c r="O301" i="59" s="1"/>
  <c r="O302" i="59" s="1"/>
  <c r="O303" i="59" s="1"/>
  <c r="O304" i="59" s="1"/>
  <c r="O305" i="59" s="1"/>
  <c r="O306" i="59" s="1"/>
  <c r="O307" i="59" s="1"/>
  <c r="O308" i="59" s="1"/>
  <c r="O309" i="59" s="1"/>
  <c r="O310" i="59" s="1"/>
  <c r="O311" i="59" s="1"/>
  <c r="O312" i="59" s="1"/>
  <c r="O313" i="59" s="1"/>
  <c r="O314" i="59" s="1"/>
  <c r="O315" i="59" s="1"/>
  <c r="O316" i="59" s="1"/>
  <c r="O317" i="59" s="1"/>
  <c r="O318" i="59" s="1"/>
  <c r="O319" i="59" s="1"/>
  <c r="O320" i="59" s="1"/>
  <c r="O321" i="59" s="1"/>
  <c r="O322" i="59" s="1"/>
  <c r="O323" i="59" s="1"/>
  <c r="O324" i="59" s="1"/>
  <c r="O325" i="59" s="1"/>
  <c r="O326" i="59" s="1"/>
  <c r="O327" i="59" s="1"/>
  <c r="O328" i="59" s="1"/>
  <c r="O329" i="59" s="1"/>
  <c r="O330" i="59" s="1"/>
  <c r="O331" i="59" s="1"/>
  <c r="O332" i="59" s="1"/>
  <c r="O333" i="59" s="1"/>
  <c r="O334" i="59" s="1"/>
  <c r="E11" i="59"/>
  <c r="F11" i="59" s="1"/>
  <c r="K11" i="59"/>
  <c r="C11" i="59" s="1"/>
  <c r="D13" i="59"/>
  <c r="K12" i="59"/>
  <c r="C12" i="59" s="1"/>
  <c r="K11" i="58"/>
  <c r="O11" i="58"/>
  <c r="O12" i="58" s="1"/>
  <c r="O13" i="58" s="1"/>
  <c r="O14" i="58" s="1"/>
  <c r="O15" i="58" s="1"/>
  <c r="O16" i="58" s="1"/>
  <c r="O17" i="58" s="1"/>
  <c r="O18" i="58" s="1"/>
  <c r="O19" i="58" s="1"/>
  <c r="O20" i="58" s="1"/>
  <c r="O21" i="58" s="1"/>
  <c r="O22" i="58" s="1"/>
  <c r="O23" i="58" s="1"/>
  <c r="O24" i="58" s="1"/>
  <c r="O25" i="58" s="1"/>
  <c r="O26" i="58" s="1"/>
  <c r="O27" i="58" s="1"/>
  <c r="O28" i="58" s="1"/>
  <c r="O29" i="58" s="1"/>
  <c r="O30" i="58" s="1"/>
  <c r="O31" i="58" s="1"/>
  <c r="O32" i="58" s="1"/>
  <c r="O33" i="58" s="1"/>
  <c r="O34" i="58" s="1"/>
  <c r="E12" i="58"/>
  <c r="E13" i="58" s="1"/>
  <c r="E14" i="58" s="1"/>
  <c r="E15" i="58" s="1"/>
  <c r="E16" i="58" s="1"/>
  <c r="E17" i="58" s="1"/>
  <c r="E18" i="58" s="1"/>
  <c r="E19" i="58" s="1"/>
  <c r="E20" i="58" s="1"/>
  <c r="E21" i="58" s="1"/>
  <c r="E22" i="58" s="1"/>
  <c r="E23" i="58" s="1"/>
  <c r="E24" i="58" s="1"/>
  <c r="E25" i="58" s="1"/>
  <c r="E26" i="58" s="1"/>
  <c r="E27" i="58" s="1"/>
  <c r="E28" i="58" s="1"/>
  <c r="E29" i="58" s="1"/>
  <c r="E30" i="58" s="1"/>
  <c r="E31" i="58" s="1"/>
  <c r="E32" i="58" s="1"/>
  <c r="E33" i="58" s="1"/>
  <c r="E34" i="58" s="1"/>
  <c r="D12" i="58"/>
  <c r="N12" i="57"/>
  <c r="N13" i="57" s="1"/>
  <c r="N14" i="57" s="1"/>
  <c r="N15" i="57" s="1"/>
  <c r="N16" i="57" s="1"/>
  <c r="N17" i="57" s="1"/>
  <c r="N18" i="57" s="1"/>
  <c r="N19" i="57" s="1"/>
  <c r="N20" i="57" s="1"/>
  <c r="N21" i="57" s="1"/>
  <c r="N22" i="57" s="1"/>
  <c r="N23" i="57" s="1"/>
  <c r="N24" i="57" s="1"/>
  <c r="N25" i="57" s="1"/>
  <c r="N26" i="57" s="1"/>
  <c r="N27" i="57" s="1"/>
  <c r="N28" i="57" s="1"/>
  <c r="N29" i="57" s="1"/>
  <c r="N30" i="57" s="1"/>
  <c r="N31" i="57" s="1"/>
  <c r="N32" i="57" s="1"/>
  <c r="N33" i="57" s="1"/>
  <c r="N34" i="57" s="1"/>
  <c r="N35" i="57" s="1"/>
  <c r="N36" i="57" s="1"/>
  <c r="N37" i="57" s="1"/>
  <c r="N38" i="57" s="1"/>
  <c r="N39" i="57" s="1"/>
  <c r="N40" i="57" s="1"/>
  <c r="N41" i="57" s="1"/>
  <c r="N42" i="57" s="1"/>
  <c r="N43" i="57" s="1"/>
  <c r="N44" i="57" s="1"/>
  <c r="N45" i="57" s="1"/>
  <c r="N46" i="57" s="1"/>
  <c r="N47" i="57" s="1"/>
  <c r="N48" i="57" s="1"/>
  <c r="N49" i="57" s="1"/>
  <c r="N50" i="57" s="1"/>
  <c r="N51" i="57" s="1"/>
  <c r="N52" i="57" s="1"/>
  <c r="N53" i="57" s="1"/>
  <c r="N54" i="57" s="1"/>
  <c r="N55" i="57" s="1"/>
  <c r="N56" i="57" s="1"/>
  <c r="N57" i="57" s="1"/>
  <c r="N58" i="57" s="1"/>
  <c r="N59" i="57" s="1"/>
  <c r="N60" i="57" s="1"/>
  <c r="N61" i="57" s="1"/>
  <c r="N62" i="57" s="1"/>
  <c r="N63" i="57" s="1"/>
  <c r="N64" i="57" s="1"/>
  <c r="N65" i="57" s="1"/>
  <c r="N66" i="57" s="1"/>
  <c r="N67" i="57" s="1"/>
  <c r="N68" i="57" s="1"/>
  <c r="N69" i="57" s="1"/>
  <c r="N70" i="57" s="1"/>
  <c r="N71" i="57" s="1"/>
  <c r="N72" i="57" s="1"/>
  <c r="N73" i="57" s="1"/>
  <c r="N74" i="57" s="1"/>
  <c r="N75" i="57" s="1"/>
  <c r="N76" i="57" s="1"/>
  <c r="N77" i="57" s="1"/>
  <c r="N78" i="57" s="1"/>
  <c r="N79" i="57" s="1"/>
  <c r="N80" i="57" s="1"/>
  <c r="N81" i="57" s="1"/>
  <c r="N82" i="57" s="1"/>
  <c r="N83" i="57" s="1"/>
  <c r="N84" i="57" s="1"/>
  <c r="N85" i="57" s="1"/>
  <c r="N86" i="57" s="1"/>
  <c r="N87" i="57" s="1"/>
  <c r="N88" i="57" s="1"/>
  <c r="N89" i="57" s="1"/>
  <c r="N90" i="57" s="1"/>
  <c r="N91" i="57" s="1"/>
  <c r="N92" i="57" s="1"/>
  <c r="N93" i="57" s="1"/>
  <c r="N94" i="57" s="1"/>
  <c r="N95" i="57" s="1"/>
  <c r="N96" i="57" s="1"/>
  <c r="N97" i="57" s="1"/>
  <c r="N98" i="57" s="1"/>
  <c r="N99" i="57" s="1"/>
  <c r="N100" i="57" s="1"/>
  <c r="N101" i="57" s="1"/>
  <c r="N102" i="57" s="1"/>
  <c r="N103" i="57" s="1"/>
  <c r="N104" i="57" s="1"/>
  <c r="N105" i="57" s="1"/>
  <c r="N106" i="57" s="1"/>
  <c r="N107" i="57" s="1"/>
  <c r="N108" i="57" s="1"/>
  <c r="N109" i="57" s="1"/>
  <c r="N110" i="57" s="1"/>
  <c r="N111" i="57" s="1"/>
  <c r="N112" i="57" s="1"/>
  <c r="N113" i="57" s="1"/>
  <c r="N114" i="57" s="1"/>
  <c r="N115" i="57" s="1"/>
  <c r="N116" i="57" s="1"/>
  <c r="N117" i="57" s="1"/>
  <c r="N118" i="57" s="1"/>
  <c r="N119" i="57" s="1"/>
  <c r="N120" i="57" s="1"/>
  <c r="N121" i="57" s="1"/>
  <c r="N122" i="57" s="1"/>
  <c r="N123" i="57" s="1"/>
  <c r="N124" i="57" s="1"/>
  <c r="N125" i="57" s="1"/>
  <c r="N126" i="57" s="1"/>
  <c r="N127" i="57" s="1"/>
  <c r="N128" i="57" s="1"/>
  <c r="N129" i="57" s="1"/>
  <c r="N130" i="57" s="1"/>
  <c r="N131" i="57" s="1"/>
  <c r="N132" i="57" s="1"/>
  <c r="N133" i="57" s="1"/>
  <c r="N134" i="57" s="1"/>
  <c r="N135" i="57" s="1"/>
  <c r="N136" i="57" s="1"/>
  <c r="N137" i="57" s="1"/>
  <c r="N138" i="57" s="1"/>
  <c r="N139" i="57" s="1"/>
  <c r="N140" i="57" s="1"/>
  <c r="N141" i="57" s="1"/>
  <c r="N142" i="57" s="1"/>
  <c r="N143" i="57" s="1"/>
  <c r="N144" i="57" s="1"/>
  <c r="N145" i="57" s="1"/>
  <c r="N146" i="57" s="1"/>
  <c r="N147" i="57" s="1"/>
  <c r="N148" i="57" s="1"/>
  <c r="N149" i="57" s="1"/>
  <c r="N150" i="57" s="1"/>
  <c r="N151" i="57" s="1"/>
  <c r="N152" i="57" s="1"/>
  <c r="N153" i="57" s="1"/>
  <c r="N154" i="57" s="1"/>
  <c r="N155" i="57" s="1"/>
  <c r="N156" i="57" s="1"/>
  <c r="N157" i="57" s="1"/>
  <c r="N158" i="57" s="1"/>
  <c r="N159" i="57" s="1"/>
  <c r="N160" i="57" s="1"/>
  <c r="N161" i="57" s="1"/>
  <c r="N162" i="57" s="1"/>
  <c r="N163" i="57" s="1"/>
  <c r="N164" i="57" s="1"/>
  <c r="N165" i="57" s="1"/>
  <c r="N166" i="57" s="1"/>
  <c r="N167" i="57" s="1"/>
  <c r="N168" i="57" s="1"/>
  <c r="N169" i="57" s="1"/>
  <c r="N170" i="57" s="1"/>
  <c r="N171" i="57" s="1"/>
  <c r="N172" i="57" s="1"/>
  <c r="N173" i="57" s="1"/>
  <c r="N174" i="57" s="1"/>
  <c r="N175" i="57" s="1"/>
  <c r="N176" i="57" s="1"/>
  <c r="N177" i="57" s="1"/>
  <c r="N178" i="57" s="1"/>
  <c r="N179" i="57" s="1"/>
  <c r="N180" i="57" s="1"/>
  <c r="N181" i="57" s="1"/>
  <c r="N182" i="57" s="1"/>
  <c r="N183" i="57" s="1"/>
  <c r="N184" i="57" s="1"/>
  <c r="N185" i="57" s="1"/>
  <c r="N186" i="57" s="1"/>
  <c r="N187" i="57" s="1"/>
  <c r="N188" i="57" s="1"/>
  <c r="N189" i="57" s="1"/>
  <c r="N190" i="57" s="1"/>
  <c r="N191" i="57" s="1"/>
  <c r="N192" i="57" s="1"/>
  <c r="N193" i="57" s="1"/>
  <c r="N194" i="57" s="1"/>
  <c r="N195" i="57" s="1"/>
  <c r="N196" i="57" s="1"/>
  <c r="N197" i="57" s="1"/>
  <c r="N198" i="57" s="1"/>
  <c r="N199" i="57" s="1"/>
  <c r="N200" i="57" s="1"/>
  <c r="N201" i="57" s="1"/>
  <c r="N202" i="57" s="1"/>
  <c r="N203" i="57" s="1"/>
  <c r="N204" i="57" s="1"/>
  <c r="N205" i="57" s="1"/>
  <c r="N206" i="57" s="1"/>
  <c r="N207" i="57" s="1"/>
  <c r="N208" i="57" s="1"/>
  <c r="N209" i="57" s="1"/>
  <c r="N210" i="57" s="1"/>
  <c r="N211" i="57" s="1"/>
  <c r="N212" i="57" s="1"/>
  <c r="N213" i="57" s="1"/>
  <c r="N214" i="57" s="1"/>
  <c r="N215" i="57" s="1"/>
  <c r="N216" i="57" s="1"/>
  <c r="N217" i="57" s="1"/>
  <c r="N218" i="57" s="1"/>
  <c r="N219" i="57" s="1"/>
  <c r="N220" i="57" s="1"/>
  <c r="N221" i="57" s="1"/>
  <c r="N222" i="57" s="1"/>
  <c r="N223" i="57" s="1"/>
  <c r="N224" i="57" s="1"/>
  <c r="N225" i="57" s="1"/>
  <c r="N226" i="57" s="1"/>
  <c r="N227" i="57" s="1"/>
  <c r="N228" i="57" s="1"/>
  <c r="N229" i="57" s="1"/>
  <c r="N230" i="57" s="1"/>
  <c r="N231" i="57" s="1"/>
  <c r="N232" i="57" s="1"/>
  <c r="N233" i="57" s="1"/>
  <c r="N234" i="57" s="1"/>
  <c r="N235" i="57" s="1"/>
  <c r="N236" i="57" s="1"/>
  <c r="N237" i="57" s="1"/>
  <c r="N238" i="57" s="1"/>
  <c r="N239" i="57" s="1"/>
  <c r="N240" i="57" s="1"/>
  <c r="N241" i="57" s="1"/>
  <c r="N242" i="57" s="1"/>
  <c r="N243" i="57" s="1"/>
  <c r="N244" i="57" s="1"/>
  <c r="N245" i="57" s="1"/>
  <c r="N246" i="57" s="1"/>
  <c r="N247" i="57" s="1"/>
  <c r="N248" i="57" s="1"/>
  <c r="N249" i="57" s="1"/>
  <c r="N250" i="57" s="1"/>
  <c r="N251" i="57" s="1"/>
  <c r="N252" i="57" s="1"/>
  <c r="N253" i="57" s="1"/>
  <c r="N254" i="57" s="1"/>
  <c r="N255" i="57" s="1"/>
  <c r="N256" i="57" s="1"/>
  <c r="N257" i="57" s="1"/>
  <c r="N258" i="57" s="1"/>
  <c r="N259" i="57" s="1"/>
  <c r="N260" i="57" s="1"/>
  <c r="N261" i="57" s="1"/>
  <c r="N262" i="57" s="1"/>
  <c r="N263" i="57" s="1"/>
  <c r="N264" i="57" s="1"/>
  <c r="N265" i="57" s="1"/>
  <c r="N266" i="57" s="1"/>
  <c r="N267" i="57" s="1"/>
  <c r="N268" i="57" s="1"/>
  <c r="N269" i="57" s="1"/>
  <c r="N270" i="57" s="1"/>
  <c r="N271" i="57" s="1"/>
  <c r="N272" i="57" s="1"/>
  <c r="N273" i="57" s="1"/>
  <c r="N274" i="57" s="1"/>
  <c r="N275" i="57" s="1"/>
  <c r="N276" i="57" s="1"/>
  <c r="N277" i="57" s="1"/>
  <c r="N278" i="57" s="1"/>
  <c r="N279" i="57" s="1"/>
  <c r="N280" i="57" s="1"/>
  <c r="N281" i="57" s="1"/>
  <c r="N282" i="57" s="1"/>
  <c r="N283" i="57" s="1"/>
  <c r="N284" i="57" s="1"/>
  <c r="N285" i="57" s="1"/>
  <c r="N286" i="57" s="1"/>
  <c r="N287" i="57" s="1"/>
  <c r="N288" i="57" s="1"/>
  <c r="N289" i="57" s="1"/>
  <c r="N290" i="57" s="1"/>
  <c r="N291" i="57" s="1"/>
  <c r="N292" i="57" s="1"/>
  <c r="N293" i="57" s="1"/>
  <c r="N294" i="57" s="1"/>
  <c r="N295" i="57" s="1"/>
  <c r="N296" i="57" s="1"/>
  <c r="N297" i="57" s="1"/>
  <c r="N298" i="57" s="1"/>
  <c r="G14" i="56"/>
  <c r="O11" i="56"/>
  <c r="O12" i="56" s="1"/>
  <c r="O13" i="56" s="1"/>
  <c r="O14" i="56" s="1"/>
  <c r="O15" i="56" s="1"/>
  <c r="O16" i="56" s="1"/>
  <c r="O17" i="56" s="1"/>
  <c r="O18" i="56" s="1"/>
  <c r="O19" i="56" s="1"/>
  <c r="O20" i="56" s="1"/>
  <c r="O21" i="56" s="1"/>
  <c r="O22" i="56" s="1"/>
  <c r="O23" i="56" s="1"/>
  <c r="O24" i="56" s="1"/>
  <c r="O25" i="56" s="1"/>
  <c r="O26" i="56" s="1"/>
  <c r="O27" i="56" s="1"/>
  <c r="O28" i="56" s="1"/>
  <c r="O29" i="56" s="1"/>
  <c r="O30" i="56" s="1"/>
  <c r="O31" i="56" s="1"/>
  <c r="O32" i="56" s="1"/>
  <c r="O33" i="56" s="1"/>
  <c r="O34" i="56" s="1"/>
  <c r="O35" i="56" s="1"/>
  <c r="O36" i="56" s="1"/>
  <c r="O37" i="56" s="1"/>
  <c r="O38" i="56" s="1"/>
  <c r="O39" i="56" s="1"/>
  <c r="O40" i="56" s="1"/>
  <c r="O41" i="56" s="1"/>
  <c r="O42" i="56" s="1"/>
  <c r="O43" i="56" s="1"/>
  <c r="O44" i="56" s="1"/>
  <c r="O45" i="56" s="1"/>
  <c r="O46" i="56" s="1"/>
  <c r="O47" i="56" s="1"/>
  <c r="O48" i="56" s="1"/>
  <c r="O49" i="56" s="1"/>
  <c r="O50" i="56" s="1"/>
  <c r="O51" i="56" s="1"/>
  <c r="O52" i="56" s="1"/>
  <c r="O53" i="56" s="1"/>
  <c r="O54" i="56" s="1"/>
  <c r="O55" i="56" s="1"/>
  <c r="O56" i="56" s="1"/>
  <c r="O57" i="56" s="1"/>
  <c r="O58" i="56" s="1"/>
  <c r="O59" i="56" s="1"/>
  <c r="O60" i="56" s="1"/>
  <c r="O61" i="56" s="1"/>
  <c r="O62" i="56" s="1"/>
  <c r="O63" i="56" s="1"/>
  <c r="O64" i="56" s="1"/>
  <c r="O65" i="56" s="1"/>
  <c r="O66" i="56" s="1"/>
  <c r="O67" i="56" s="1"/>
  <c r="O68" i="56" s="1"/>
  <c r="O69" i="56" s="1"/>
  <c r="O70" i="56" s="1"/>
  <c r="O71" i="56" s="1"/>
  <c r="O72" i="56" s="1"/>
  <c r="O73" i="56" s="1"/>
  <c r="O74" i="56" s="1"/>
  <c r="O75" i="56" s="1"/>
  <c r="O76" i="56" s="1"/>
  <c r="O77" i="56" s="1"/>
  <c r="O78" i="56" s="1"/>
  <c r="O79" i="56" s="1"/>
  <c r="O80" i="56" s="1"/>
  <c r="O81" i="56" s="1"/>
  <c r="O82" i="56" s="1"/>
  <c r="O83" i="56" s="1"/>
  <c r="O84" i="56" s="1"/>
  <c r="O85" i="56" s="1"/>
  <c r="O86" i="56" s="1"/>
  <c r="O87" i="56" s="1"/>
  <c r="O88" i="56" s="1"/>
  <c r="O89" i="56" s="1"/>
  <c r="O90" i="56" s="1"/>
  <c r="O91" i="56" s="1"/>
  <c r="O92" i="56" s="1"/>
  <c r="O93" i="56" s="1"/>
  <c r="O94" i="56" s="1"/>
  <c r="O95" i="56" s="1"/>
  <c r="O96" i="56" s="1"/>
  <c r="O97" i="56" s="1"/>
  <c r="O98" i="56" s="1"/>
  <c r="O99" i="56" s="1"/>
  <c r="O100" i="56" s="1"/>
  <c r="O101" i="56" s="1"/>
  <c r="O102" i="56" s="1"/>
  <c r="O103" i="56" s="1"/>
  <c r="O104" i="56" s="1"/>
  <c r="O105" i="56" s="1"/>
  <c r="O106" i="56" s="1"/>
  <c r="O107" i="56" s="1"/>
  <c r="O108" i="56" s="1"/>
  <c r="O109" i="56" s="1"/>
  <c r="O110" i="56" s="1"/>
  <c r="O111" i="56" s="1"/>
  <c r="O112" i="56" s="1"/>
  <c r="O113" i="56" s="1"/>
  <c r="O114" i="56" s="1"/>
  <c r="O115" i="56" s="1"/>
  <c r="O116" i="56" s="1"/>
  <c r="O117" i="56" s="1"/>
  <c r="O118" i="56" s="1"/>
  <c r="G13" i="56"/>
  <c r="E11" i="55"/>
  <c r="F11" i="55" s="1"/>
  <c r="K11" i="55"/>
  <c r="C11" i="55" s="1"/>
  <c r="N11" i="55"/>
  <c r="M12" i="55"/>
  <c r="M13" i="55" s="1"/>
  <c r="M14" i="55" s="1"/>
  <c r="M15" i="55" s="1"/>
  <c r="M16" i="55" s="1"/>
  <c r="R11" i="55"/>
  <c r="G11" i="54"/>
  <c r="H11" i="54"/>
  <c r="H12" i="54"/>
  <c r="F13" i="54"/>
  <c r="G12" i="54"/>
  <c r="H11" i="53"/>
  <c r="G12" i="53"/>
  <c r="F13" i="53"/>
  <c r="H12" i="52"/>
  <c r="F13" i="52"/>
  <c r="G12" i="52"/>
  <c r="G11" i="52"/>
  <c r="N11" i="52"/>
  <c r="N12" i="52" s="1"/>
  <c r="N13" i="52" s="1"/>
  <c r="N14" i="52" s="1"/>
  <c r="N15" i="52" s="1"/>
  <c r="N16" i="52" s="1"/>
  <c r="N17" i="52" s="1"/>
  <c r="N18" i="52" s="1"/>
  <c r="N19" i="52" s="1"/>
  <c r="N20" i="52" s="1"/>
  <c r="N21" i="52" s="1"/>
  <c r="N22" i="52" s="1"/>
  <c r="N23" i="52" s="1"/>
  <c r="N24" i="52" s="1"/>
  <c r="N25" i="52" s="1"/>
  <c r="N26" i="52" s="1"/>
  <c r="N27" i="52" s="1"/>
  <c r="N28" i="52" s="1"/>
  <c r="E158" i="51"/>
  <c r="F158" i="51" s="1"/>
  <c r="H158" i="51" s="1"/>
  <c r="K174" i="51"/>
  <c r="E190" i="51"/>
  <c r="F190" i="51" s="1"/>
  <c r="G190" i="51" s="1"/>
  <c r="G171" i="51"/>
  <c r="H169" i="51"/>
  <c r="G168" i="51"/>
  <c r="H168" i="51"/>
  <c r="G172" i="51"/>
  <c r="H172" i="51"/>
  <c r="G176" i="51"/>
  <c r="H176" i="51"/>
  <c r="H155" i="51"/>
  <c r="G155" i="51"/>
  <c r="G174" i="51"/>
  <c r="H174" i="51"/>
  <c r="H159" i="51"/>
  <c r="G159" i="51"/>
  <c r="G160" i="51"/>
  <c r="H160" i="51"/>
  <c r="H162" i="51"/>
  <c r="G162" i="51"/>
  <c r="H182" i="51"/>
  <c r="G182" i="51"/>
  <c r="K155" i="51"/>
  <c r="K159" i="51"/>
  <c r="H167" i="51"/>
  <c r="K171" i="51"/>
  <c r="H175" i="51"/>
  <c r="K173" i="51"/>
  <c r="E180" i="51"/>
  <c r="F180" i="51" s="1"/>
  <c r="K180" i="51"/>
  <c r="E188" i="51"/>
  <c r="F188" i="51" s="1"/>
  <c r="K188" i="51"/>
  <c r="E163" i="51"/>
  <c r="F163" i="51" s="1"/>
  <c r="E164" i="51"/>
  <c r="F164" i="51" s="1"/>
  <c r="K167" i="51"/>
  <c r="G173" i="51"/>
  <c r="K175" i="51"/>
  <c r="K162" i="51"/>
  <c r="K169" i="51"/>
  <c r="E184" i="51"/>
  <c r="F184" i="51" s="1"/>
  <c r="K184" i="51"/>
  <c r="H147" i="51"/>
  <c r="G147" i="51"/>
  <c r="H139" i="51"/>
  <c r="G139" i="51"/>
  <c r="H127" i="51"/>
  <c r="G127" i="51"/>
  <c r="K139" i="51"/>
  <c r="K151" i="51"/>
  <c r="K127" i="51"/>
  <c r="G132" i="51"/>
  <c r="H132" i="51"/>
  <c r="G145" i="51"/>
  <c r="H145" i="51"/>
  <c r="E148" i="51"/>
  <c r="F148" i="51" s="1"/>
  <c r="K148" i="51"/>
  <c r="G119" i="51"/>
  <c r="E121" i="51"/>
  <c r="F121" i="51" s="1"/>
  <c r="G123" i="51"/>
  <c r="G125" i="51"/>
  <c r="K126" i="51"/>
  <c r="E126" i="51"/>
  <c r="F126" i="51" s="1"/>
  <c r="K130" i="51"/>
  <c r="E130" i="51"/>
  <c r="F130" i="51" s="1"/>
  <c r="G151" i="51"/>
  <c r="E144" i="51"/>
  <c r="F144" i="51" s="1"/>
  <c r="K144" i="51"/>
  <c r="G149" i="51"/>
  <c r="H149" i="51"/>
  <c r="E152" i="51"/>
  <c r="F152" i="51" s="1"/>
  <c r="K152" i="51"/>
  <c r="E128" i="51"/>
  <c r="F128" i="51" s="1"/>
  <c r="K128" i="51"/>
  <c r="E146" i="51"/>
  <c r="F146" i="51" s="1"/>
  <c r="E150" i="51"/>
  <c r="F150" i="51" s="1"/>
  <c r="E154" i="51"/>
  <c r="F154" i="51" s="1"/>
  <c r="E57" i="51"/>
  <c r="F57" i="51" s="1"/>
  <c r="H57" i="51" s="1"/>
  <c r="K73" i="51"/>
  <c r="E77" i="51"/>
  <c r="F77" i="51" s="1"/>
  <c r="H77" i="51" s="1"/>
  <c r="E81" i="51"/>
  <c r="F81" i="51" s="1"/>
  <c r="H81" i="51" s="1"/>
  <c r="K65" i="51"/>
  <c r="G62" i="51"/>
  <c r="H49" i="51"/>
  <c r="G49" i="51"/>
  <c r="H63" i="51"/>
  <c r="G63" i="51"/>
  <c r="H50" i="51"/>
  <c r="G50" i="51"/>
  <c r="H76" i="51"/>
  <c r="G76" i="51"/>
  <c r="E79" i="51"/>
  <c r="F79" i="51" s="1"/>
  <c r="K79" i="51"/>
  <c r="E52" i="51"/>
  <c r="F52" i="51" s="1"/>
  <c r="H54" i="51"/>
  <c r="E61" i="51"/>
  <c r="F61" i="51" s="1"/>
  <c r="K63" i="51"/>
  <c r="H65" i="51"/>
  <c r="E69" i="51"/>
  <c r="F69" i="51" s="1"/>
  <c r="E71" i="51"/>
  <c r="F71" i="51" s="1"/>
  <c r="G73" i="51"/>
  <c r="H73" i="51"/>
  <c r="E75" i="51"/>
  <c r="F75" i="51" s="1"/>
  <c r="K75" i="51"/>
  <c r="H80" i="51"/>
  <c r="G80" i="51"/>
  <c r="K49" i="51"/>
  <c r="G53" i="51"/>
  <c r="G68" i="51"/>
  <c r="U16" i="48"/>
  <c r="O11" i="51"/>
  <c r="O12" i="51" s="1"/>
  <c r="O13" i="51" s="1"/>
  <c r="O14" i="51" s="1"/>
  <c r="O15" i="51" s="1"/>
  <c r="O16" i="51" s="1"/>
  <c r="O17" i="51" s="1"/>
  <c r="O18" i="51" s="1"/>
  <c r="O19" i="51" s="1"/>
  <c r="O20" i="51" s="1"/>
  <c r="O21" i="51" s="1"/>
  <c r="O22" i="51" s="1"/>
  <c r="O23" i="51" s="1"/>
  <c r="O24" i="51" s="1"/>
  <c r="O25" i="51" s="1"/>
  <c r="O26" i="51" s="1"/>
  <c r="O27" i="51" s="1"/>
  <c r="O28" i="51" s="1"/>
  <c r="O29" i="51" s="1"/>
  <c r="O30" i="51" s="1"/>
  <c r="O31" i="51" s="1"/>
  <c r="O32" i="51" s="1"/>
  <c r="O33" i="51" s="1"/>
  <c r="O34" i="51" s="1"/>
  <c r="O35" i="51" s="1"/>
  <c r="O36" i="51" s="1"/>
  <c r="O37" i="51" s="1"/>
  <c r="O38" i="51" s="1"/>
  <c r="O39" i="51" s="1"/>
  <c r="O40" i="51" s="1"/>
  <c r="O41" i="51" s="1"/>
  <c r="O42" i="51" s="1"/>
  <c r="O43" i="51" s="1"/>
  <c r="O44" i="51" s="1"/>
  <c r="O45" i="51" s="1"/>
  <c r="O46" i="51" s="1"/>
  <c r="O47" i="51" s="1"/>
  <c r="O48" i="51" s="1"/>
  <c r="O49" i="51" s="1"/>
  <c r="O50" i="51" s="1"/>
  <c r="O51" i="51" s="1"/>
  <c r="O52" i="51" s="1"/>
  <c r="O53" i="51" s="1"/>
  <c r="O54" i="51" s="1"/>
  <c r="O55" i="51" s="1"/>
  <c r="O56" i="51" s="1"/>
  <c r="O57" i="51" s="1"/>
  <c r="O58" i="51" s="1"/>
  <c r="O59" i="51" s="1"/>
  <c r="O60" i="51" s="1"/>
  <c r="O61" i="51" s="1"/>
  <c r="O62" i="51" s="1"/>
  <c r="O63" i="51" s="1"/>
  <c r="O64" i="51" s="1"/>
  <c r="O65" i="51" s="1"/>
  <c r="O66" i="51" s="1"/>
  <c r="O67" i="51" s="1"/>
  <c r="O68" i="51" s="1"/>
  <c r="O69" i="51" s="1"/>
  <c r="O70" i="51" s="1"/>
  <c r="O71" i="51" s="1"/>
  <c r="O72" i="51" s="1"/>
  <c r="O73" i="51" s="1"/>
  <c r="O74" i="51" s="1"/>
  <c r="O75" i="51" s="1"/>
  <c r="O76" i="51" s="1"/>
  <c r="O77" i="51" s="1"/>
  <c r="O78" i="51" s="1"/>
  <c r="O79" i="51" s="1"/>
  <c r="O80" i="51" s="1"/>
  <c r="O81" i="51" s="1"/>
  <c r="O82" i="51" s="1"/>
  <c r="O83" i="51" s="1"/>
  <c r="O84" i="51" s="1"/>
  <c r="O85" i="51" s="1"/>
  <c r="O86" i="51" s="1"/>
  <c r="O87" i="51" s="1"/>
  <c r="O88" i="51" s="1"/>
  <c r="O89" i="51" s="1"/>
  <c r="O90" i="51" s="1"/>
  <c r="O91" i="51" s="1"/>
  <c r="O92" i="51" s="1"/>
  <c r="O93" i="51" s="1"/>
  <c r="O94" i="51" s="1"/>
  <c r="O95" i="51" s="1"/>
  <c r="O96" i="51" s="1"/>
  <c r="O97" i="51" s="1"/>
  <c r="O98" i="51" s="1"/>
  <c r="O99" i="51" s="1"/>
  <c r="O100" i="51" s="1"/>
  <c r="O101" i="51" s="1"/>
  <c r="O102" i="51" s="1"/>
  <c r="O103" i="51" s="1"/>
  <c r="O104" i="51" s="1"/>
  <c r="O105" i="51" s="1"/>
  <c r="O106" i="51" s="1"/>
  <c r="O107" i="51" s="1"/>
  <c r="O108" i="51" s="1"/>
  <c r="O109" i="51" s="1"/>
  <c r="O110" i="51" s="1"/>
  <c r="O111" i="51" s="1"/>
  <c r="O112" i="51" s="1"/>
  <c r="O113" i="51" s="1"/>
  <c r="O114" i="51" s="1"/>
  <c r="O115" i="51" s="1"/>
  <c r="O116" i="51" s="1"/>
  <c r="O117" i="51" s="1"/>
  <c r="O118" i="51" s="1"/>
  <c r="O119" i="51" s="1"/>
  <c r="O120" i="51" s="1"/>
  <c r="O121" i="51" s="1"/>
  <c r="O122" i="51" s="1"/>
  <c r="O123" i="51" s="1"/>
  <c r="O124" i="51" s="1"/>
  <c r="O125" i="51" s="1"/>
  <c r="O126" i="51" s="1"/>
  <c r="O127" i="51" s="1"/>
  <c r="O128" i="51" s="1"/>
  <c r="O129" i="51" s="1"/>
  <c r="O130" i="51" s="1"/>
  <c r="O131" i="51" s="1"/>
  <c r="O132" i="51" s="1"/>
  <c r="O133" i="51" s="1"/>
  <c r="O134" i="51" s="1"/>
  <c r="O135" i="51" s="1"/>
  <c r="O136" i="51" s="1"/>
  <c r="O137" i="51" s="1"/>
  <c r="O138" i="51" s="1"/>
  <c r="O139" i="51" s="1"/>
  <c r="O140" i="51" s="1"/>
  <c r="O141" i="51" s="1"/>
  <c r="O142" i="51" s="1"/>
  <c r="O143" i="51" s="1"/>
  <c r="O144" i="51" s="1"/>
  <c r="O145" i="51" s="1"/>
  <c r="O146" i="51" s="1"/>
  <c r="O147" i="51" s="1"/>
  <c r="O148" i="51" s="1"/>
  <c r="O149" i="51" s="1"/>
  <c r="O150" i="51" s="1"/>
  <c r="O151" i="51" s="1"/>
  <c r="O152" i="51" s="1"/>
  <c r="O153" i="51" s="1"/>
  <c r="O154" i="51" s="1"/>
  <c r="O155" i="51" s="1"/>
  <c r="O156" i="51" s="1"/>
  <c r="O157" i="51" s="1"/>
  <c r="O158" i="51" s="1"/>
  <c r="O159" i="51" s="1"/>
  <c r="O160" i="51" s="1"/>
  <c r="O161" i="51" s="1"/>
  <c r="O162" i="51" s="1"/>
  <c r="O163" i="51" s="1"/>
  <c r="O164" i="51" s="1"/>
  <c r="O165" i="51" s="1"/>
  <c r="O166" i="51" s="1"/>
  <c r="O167" i="51" s="1"/>
  <c r="O168" i="51" s="1"/>
  <c r="O169" i="51" s="1"/>
  <c r="O170" i="51" s="1"/>
  <c r="O171" i="51" s="1"/>
  <c r="O172" i="51" s="1"/>
  <c r="O173" i="51" s="1"/>
  <c r="O174" i="51" s="1"/>
  <c r="O175" i="51" s="1"/>
  <c r="O176" i="51" s="1"/>
  <c r="O177" i="51" s="1"/>
  <c r="O178" i="51" s="1"/>
  <c r="O179" i="51" s="1"/>
  <c r="O180" i="51" s="1"/>
  <c r="O181" i="51" s="1"/>
  <c r="O182" i="51" s="1"/>
  <c r="O183" i="51" s="1"/>
  <c r="O184" i="51" s="1"/>
  <c r="O185" i="51" s="1"/>
  <c r="O186" i="51" s="1"/>
  <c r="O187" i="51" s="1"/>
  <c r="O188" i="51" s="1"/>
  <c r="O189" i="51" s="1"/>
  <c r="O190" i="51" s="1"/>
  <c r="T21" i="48"/>
  <c r="T17" i="48"/>
  <c r="T19" i="48"/>
  <c r="T16" i="48"/>
  <c r="T20" i="48"/>
  <c r="T18" i="48"/>
  <c r="T22" i="48"/>
  <c r="E30" i="42"/>
  <c r="F30" i="42" s="1"/>
  <c r="G30" i="42" s="1"/>
  <c r="K93" i="42"/>
  <c r="C93" i="42" s="1"/>
  <c r="E12" i="48"/>
  <c r="F12" i="48" s="1"/>
  <c r="G20" i="48"/>
  <c r="E11" i="48"/>
  <c r="F11" i="48" s="1"/>
  <c r="K11" i="48"/>
  <c r="C11" i="48" s="1"/>
  <c r="E13" i="48"/>
  <c r="F13" i="48" s="1"/>
  <c r="G22" i="48"/>
  <c r="H22" i="48"/>
  <c r="E21" i="48"/>
  <c r="F21" i="48" s="1"/>
  <c r="E15" i="48"/>
  <c r="F15" i="48" s="1"/>
  <c r="G18" i="48"/>
  <c r="H18" i="48"/>
  <c r="E17" i="48"/>
  <c r="F17" i="48" s="1"/>
  <c r="E19" i="48"/>
  <c r="F19" i="48" s="1"/>
  <c r="Q12" i="47"/>
  <c r="Q13" i="47" s="1"/>
  <c r="Q14" i="47" s="1"/>
  <c r="Q15" i="47" s="1"/>
  <c r="Q16" i="47" s="1"/>
  <c r="Q17" i="47" s="1"/>
  <c r="Q18" i="47" s="1"/>
  <c r="Q19" i="47" s="1"/>
  <c r="Q20" i="47" s="1"/>
  <c r="Q21" i="47" s="1"/>
  <c r="Q22" i="47" s="1"/>
  <c r="Q23" i="47" s="1"/>
  <c r="Q24" i="47" s="1"/>
  <c r="Q25" i="47" s="1"/>
  <c r="Q26" i="47" s="1"/>
  <c r="Q27" i="47" s="1"/>
  <c r="Q28" i="47" s="1"/>
  <c r="Q29" i="47" s="1"/>
  <c r="Q30" i="47" s="1"/>
  <c r="Q31" i="47" s="1"/>
  <c r="Q32" i="47" s="1"/>
  <c r="Q33" i="47" s="1"/>
  <c r="Q34" i="47" s="1"/>
  <c r="Q35" i="47" s="1"/>
  <c r="Q36" i="47" s="1"/>
  <c r="Q37" i="47" s="1"/>
  <c r="Q38" i="47" s="1"/>
  <c r="Q39" i="47" s="1"/>
  <c r="Q40" i="47" s="1"/>
  <c r="Q41" i="47" s="1"/>
  <c r="Q42" i="47" s="1"/>
  <c r="Q43" i="47" s="1"/>
  <c r="Q44" i="47" s="1"/>
  <c r="Q45" i="47" s="1"/>
  <c r="Q46" i="47" s="1"/>
  <c r="Q47" i="47" s="1"/>
  <c r="Q48" i="47" s="1"/>
  <c r="Q49" i="47" s="1"/>
  <c r="Q50" i="47" s="1"/>
  <c r="Q51" i="47" s="1"/>
  <c r="Q52" i="47" s="1"/>
  <c r="Q53" i="47" s="1"/>
  <c r="Q54" i="47" s="1"/>
  <c r="Q55" i="47" s="1"/>
  <c r="Q56" i="47" s="1"/>
  <c r="Q57" i="47" s="1"/>
  <c r="Q58" i="47" s="1"/>
  <c r="Q59" i="47" s="1"/>
  <c r="Q60" i="47" s="1"/>
  <c r="Q61" i="47" s="1"/>
  <c r="Q62" i="47" s="1"/>
  <c r="Q63" i="47" s="1"/>
  <c r="Q64" i="47" s="1"/>
  <c r="Q65" i="47" s="1"/>
  <c r="Q66" i="47" s="1"/>
  <c r="Q67" i="47" s="1"/>
  <c r="Q68" i="47" s="1"/>
  <c r="Q69" i="47" s="1"/>
  <c r="Q70" i="47" s="1"/>
  <c r="Q71" i="47" s="1"/>
  <c r="Q72" i="47" s="1"/>
  <c r="Q73" i="47" s="1"/>
  <c r="Q74" i="47" s="1"/>
  <c r="Q75" i="47" s="1"/>
  <c r="Q76" i="47" s="1"/>
  <c r="Q77" i="47" s="1"/>
  <c r="Q78" i="47" s="1"/>
  <c r="Q79" i="47" s="1"/>
  <c r="Q80" i="47" s="1"/>
  <c r="Q81" i="47" s="1"/>
  <c r="Q82" i="47" s="1"/>
  <c r="Q83" i="47" s="1"/>
  <c r="Q84" i="47" s="1"/>
  <c r="Q85" i="47" s="1"/>
  <c r="Q86" i="47" s="1"/>
  <c r="Q87" i="47" s="1"/>
  <c r="Q88" i="47" s="1"/>
  <c r="Q89" i="47" s="1"/>
  <c r="Q90" i="47" s="1"/>
  <c r="Q91" i="47" s="1"/>
  <c r="Q92" i="47" s="1"/>
  <c r="Q93" i="47" s="1"/>
  <c r="Q94" i="47" s="1"/>
  <c r="Q95" i="47" s="1"/>
  <c r="Q96" i="47" s="1"/>
  <c r="Q97" i="47" s="1"/>
  <c r="Q98" i="47" s="1"/>
  <c r="Q99" i="47" s="1"/>
  <c r="Q100" i="47" s="1"/>
  <c r="Q101" i="47" s="1"/>
  <c r="Q102" i="47" s="1"/>
  <c r="Q103" i="47" s="1"/>
  <c r="Q104" i="47" s="1"/>
  <c r="Q105" i="47" s="1"/>
  <c r="Q106" i="47" s="1"/>
  <c r="Q107" i="47" s="1"/>
  <c r="Q108" i="47" s="1"/>
  <c r="Q109" i="47" s="1"/>
  <c r="Q110" i="47" s="1"/>
  <c r="Q111" i="47" s="1"/>
  <c r="Q112" i="47" s="1"/>
  <c r="Q113" i="47" s="1"/>
  <c r="Q114" i="47" s="1"/>
  <c r="Q115" i="47" s="1"/>
  <c r="Q116" i="47" s="1"/>
  <c r="Q117" i="47" s="1"/>
  <c r="Q118" i="47" s="1"/>
  <c r="Q119" i="47" s="1"/>
  <c r="Q120" i="47" s="1"/>
  <c r="Q121" i="47" s="1"/>
  <c r="Q122" i="47" s="1"/>
  <c r="Q123" i="47" s="1"/>
  <c r="Q124" i="47" s="1"/>
  <c r="Q125" i="47" s="1"/>
  <c r="Q126" i="47" s="1"/>
  <c r="Q127" i="47" s="1"/>
  <c r="Q128" i="47" s="1"/>
  <c r="Q129" i="47" s="1"/>
  <c r="Q130" i="47" s="1"/>
  <c r="Q131" i="47" s="1"/>
  <c r="Q132" i="47" s="1"/>
  <c r="Q133" i="47" s="1"/>
  <c r="Q134" i="47" s="1"/>
  <c r="Q135" i="47" s="1"/>
  <c r="Q136" i="47" s="1"/>
  <c r="Q137" i="47" s="1"/>
  <c r="Q138" i="47" s="1"/>
  <c r="Q139" i="47" s="1"/>
  <c r="Q140" i="47" s="1"/>
  <c r="Q141" i="47" s="1"/>
  <c r="Q142" i="47" s="1"/>
  <c r="Q143" i="47" s="1"/>
  <c r="Q144" i="47" s="1"/>
  <c r="Q145" i="47" s="1"/>
  <c r="Q146" i="47" s="1"/>
  <c r="Q147" i="47" s="1"/>
  <c r="Q148" i="47" s="1"/>
  <c r="Q149" i="47" s="1"/>
  <c r="Q150" i="47" s="1"/>
  <c r="Q151" i="47" s="1"/>
  <c r="Q152" i="47" s="1"/>
  <c r="Q153" i="47" s="1"/>
  <c r="Q154" i="47" s="1"/>
  <c r="Q155" i="47" s="1"/>
  <c r="Q156" i="47" s="1"/>
  <c r="Q157" i="47" s="1"/>
  <c r="Q158" i="47" s="1"/>
  <c r="Q159" i="47" s="1"/>
  <c r="Q160" i="47" s="1"/>
  <c r="Q161" i="47" s="1"/>
  <c r="Q162" i="47" s="1"/>
  <c r="Q163" i="47" s="1"/>
  <c r="Q164" i="47" s="1"/>
  <c r="Q165" i="47" s="1"/>
  <c r="Q166" i="47" s="1"/>
  <c r="Q167" i="47" s="1"/>
  <c r="Q168" i="47" s="1"/>
  <c r="Q169" i="47" s="1"/>
  <c r="Q170" i="47" s="1"/>
  <c r="Q171" i="47" s="1"/>
  <c r="Q172" i="47" s="1"/>
  <c r="Q173" i="47" s="1"/>
  <c r="Q174" i="47" s="1"/>
  <c r="Q175" i="47" s="1"/>
  <c r="Q176" i="47" s="1"/>
  <c r="Q177" i="47" s="1"/>
  <c r="Q178" i="47" s="1"/>
  <c r="Q179" i="47" s="1"/>
  <c r="Q180" i="47" s="1"/>
  <c r="Q181" i="47" s="1"/>
  <c r="Q182" i="47" s="1"/>
  <c r="Q183" i="47" s="1"/>
  <c r="Q184" i="47" s="1"/>
  <c r="Q185" i="47" s="1"/>
  <c r="Q186" i="47" s="1"/>
  <c r="Q187" i="47" s="1"/>
  <c r="Q188" i="47" s="1"/>
  <c r="Q189" i="47" s="1"/>
  <c r="Q190" i="47" s="1"/>
  <c r="Q191" i="47" s="1"/>
  <c r="Q192" i="47" s="1"/>
  <c r="Q193" i="47" s="1"/>
  <c r="Q194" i="47" s="1"/>
  <c r="Q195" i="47" s="1"/>
  <c r="Q196" i="47" s="1"/>
  <c r="Q197" i="47" s="1"/>
  <c r="Q198" i="47" s="1"/>
  <c r="Q199" i="47" s="1"/>
  <c r="Q200" i="47" s="1"/>
  <c r="Q201" i="47" s="1"/>
  <c r="Q202" i="47" s="1"/>
  <c r="K29" i="42"/>
  <c r="C29" i="42" s="1"/>
  <c r="N12" i="46"/>
  <c r="N13" i="46" s="1"/>
  <c r="N14" i="46" s="1"/>
  <c r="N15" i="46" s="1"/>
  <c r="N16" i="46" s="1"/>
  <c r="N17" i="46" s="1"/>
  <c r="N18" i="46" s="1"/>
  <c r="N19" i="46" s="1"/>
  <c r="N20" i="46" s="1"/>
  <c r="N21" i="46" s="1"/>
  <c r="N22" i="46" s="1"/>
  <c r="S12" i="44"/>
  <c r="S13" i="44" s="1"/>
  <c r="S14" i="44" s="1"/>
  <c r="S15" i="44" s="1"/>
  <c r="S16" i="44" s="1"/>
  <c r="S17" i="44" s="1"/>
  <c r="S18" i="44" s="1"/>
  <c r="S19" i="44" s="1"/>
  <c r="S20" i="44" s="1"/>
  <c r="S21" i="44" s="1"/>
  <c r="S22" i="44" s="1"/>
  <c r="S23" i="44" s="1"/>
  <c r="S24" i="44" s="1"/>
  <c r="S25" i="44" s="1"/>
  <c r="S26" i="44" s="1"/>
  <c r="S27" i="44" s="1"/>
  <c r="S28" i="44" s="1"/>
  <c r="S29" i="44" s="1"/>
  <c r="S30" i="44" s="1"/>
  <c r="S31" i="44" s="1"/>
  <c r="S32" i="44" s="1"/>
  <c r="S33" i="44" s="1"/>
  <c r="S34" i="44" s="1"/>
  <c r="S35" i="44" s="1"/>
  <c r="S36" i="44" s="1"/>
  <c r="S37" i="44" s="1"/>
  <c r="S38" i="44" s="1"/>
  <c r="S39" i="44" s="1"/>
  <c r="S40" i="44" s="1"/>
  <c r="S41" i="44" s="1"/>
  <c r="S42" i="44" s="1"/>
  <c r="S43" i="44" s="1"/>
  <c r="S44" i="44" s="1"/>
  <c r="S45" i="44" s="1"/>
  <c r="S46" i="44" s="1"/>
  <c r="S47" i="44" s="1"/>
  <c r="S48" i="44" s="1"/>
  <c r="S49" i="44" s="1"/>
  <c r="S50" i="44" s="1"/>
  <c r="S51" i="44" s="1"/>
  <c r="S52" i="44" s="1"/>
  <c r="S53" i="44" s="1"/>
  <c r="S54" i="44" s="1"/>
  <c r="S55" i="44" s="1"/>
  <c r="S56" i="44" s="1"/>
  <c r="S57" i="44" s="1"/>
  <c r="S58" i="44" s="1"/>
  <c r="S59" i="44" s="1"/>
  <c r="S60" i="44" s="1"/>
  <c r="S61" i="44" s="1"/>
  <c r="S62" i="44" s="1"/>
  <c r="S63" i="44" s="1"/>
  <c r="S64" i="44" s="1"/>
  <c r="S65" i="44" s="1"/>
  <c r="S66" i="44" s="1"/>
  <c r="S67" i="44" s="1"/>
  <c r="S68" i="44" s="1"/>
  <c r="S69" i="44" s="1"/>
  <c r="S70" i="44" s="1"/>
  <c r="S71" i="44" s="1"/>
  <c r="S72" i="44" s="1"/>
  <c r="S73" i="44" s="1"/>
  <c r="S74" i="44" s="1"/>
  <c r="S75" i="44" s="1"/>
  <c r="S76" i="44" s="1"/>
  <c r="S77" i="44" s="1"/>
  <c r="S78" i="44" s="1"/>
  <c r="S79" i="44" s="1"/>
  <c r="S80" i="44" s="1"/>
  <c r="S81" i="44" s="1"/>
  <c r="S82" i="44" s="1"/>
  <c r="S83" i="44" s="1"/>
  <c r="S84" i="44" s="1"/>
  <c r="S85" i="44" s="1"/>
  <c r="S86" i="44" s="1"/>
  <c r="S87" i="44" s="1"/>
  <c r="S88" i="44" s="1"/>
  <c r="S89" i="44" s="1"/>
  <c r="S90" i="44" s="1"/>
  <c r="S91" i="44" s="1"/>
  <c r="S92" i="44" s="1"/>
  <c r="S93" i="44" s="1"/>
  <c r="S94" i="44" s="1"/>
  <c r="S95" i="44" s="1"/>
  <c r="S96" i="44" s="1"/>
  <c r="S97" i="44" s="1"/>
  <c r="S98" i="44" s="1"/>
  <c r="S99" i="44" s="1"/>
  <c r="S100" i="44" s="1"/>
  <c r="S101" i="44" s="1"/>
  <c r="S102" i="44" s="1"/>
  <c r="S103" i="44" s="1"/>
  <c r="S104" i="44" s="1"/>
  <c r="S105" i="44" s="1"/>
  <c r="S106" i="44" s="1"/>
  <c r="S107" i="44" s="1"/>
  <c r="S108" i="44" s="1"/>
  <c r="S109" i="44" s="1"/>
  <c r="S110" i="44" s="1"/>
  <c r="S111" i="44" s="1"/>
  <c r="S112" i="44" s="1"/>
  <c r="S113" i="44" s="1"/>
  <c r="S114" i="44" s="1"/>
  <c r="S115" i="44" s="1"/>
  <c r="S116" i="44" s="1"/>
  <c r="S117" i="44" s="1"/>
  <c r="S118" i="44" s="1"/>
  <c r="S119" i="44" s="1"/>
  <c r="S120" i="44" s="1"/>
  <c r="S121" i="44" s="1"/>
  <c r="S122" i="44" s="1"/>
  <c r="S123" i="44" s="1"/>
  <c r="S124" i="44" s="1"/>
  <c r="S125" i="44" s="1"/>
  <c r="S126" i="44" s="1"/>
  <c r="S127" i="44" s="1"/>
  <c r="S128" i="44" s="1"/>
  <c r="S129" i="44" s="1"/>
  <c r="S130" i="44" s="1"/>
  <c r="S131" i="44" s="1"/>
  <c r="S132" i="44" s="1"/>
  <c r="S133" i="44" s="1"/>
  <c r="S134" i="44" s="1"/>
  <c r="S135" i="44" s="1"/>
  <c r="S136" i="44" s="1"/>
  <c r="S137" i="44" s="1"/>
  <c r="S138" i="44" s="1"/>
  <c r="S139" i="44" s="1"/>
  <c r="S140" i="44" s="1"/>
  <c r="S141" i="44" s="1"/>
  <c r="S142" i="44" s="1"/>
  <c r="S143" i="44" s="1"/>
  <c r="S144" i="44" s="1"/>
  <c r="S145" i="44" s="1"/>
  <c r="S146" i="44" s="1"/>
  <c r="S147" i="44" s="1"/>
  <c r="S148" i="44" s="1"/>
  <c r="S149" i="44" s="1"/>
  <c r="S150" i="44" s="1"/>
  <c r="S151" i="44" s="1"/>
  <c r="S152" i="44" s="1"/>
  <c r="S153" i="44" s="1"/>
  <c r="S154" i="44" s="1"/>
  <c r="S155" i="44" s="1"/>
  <c r="S156" i="44" s="1"/>
  <c r="S157" i="44" s="1"/>
  <c r="S158" i="44" s="1"/>
  <c r="S159" i="44" s="1"/>
  <c r="S160" i="44" s="1"/>
  <c r="S161" i="44" s="1"/>
  <c r="S162" i="44" s="1"/>
  <c r="S163" i="44" s="1"/>
  <c r="S164" i="44" s="1"/>
  <c r="S165" i="44" s="1"/>
  <c r="S166" i="44" s="1"/>
  <c r="S167" i="44" s="1"/>
  <c r="S168" i="44" s="1"/>
  <c r="S169" i="44" s="1"/>
  <c r="S170" i="44" s="1"/>
  <c r="S171" i="44" s="1"/>
  <c r="S172" i="44" s="1"/>
  <c r="S173" i="44" s="1"/>
  <c r="S174" i="44" s="1"/>
  <c r="S175" i="44" s="1"/>
  <c r="S176" i="44" s="1"/>
  <c r="S177" i="44" s="1"/>
  <c r="S178" i="44" s="1"/>
  <c r="S179" i="44" s="1"/>
  <c r="S180" i="44" s="1"/>
  <c r="S181" i="44" s="1"/>
  <c r="S182" i="44" s="1"/>
  <c r="S183" i="44" s="1"/>
  <c r="S184" i="44" s="1"/>
  <c r="S185" i="44" s="1"/>
  <c r="S186" i="44" s="1"/>
  <c r="S187" i="44" s="1"/>
  <c r="S188" i="44" s="1"/>
  <c r="S189" i="44" s="1"/>
  <c r="S190" i="44" s="1"/>
  <c r="S191" i="44" s="1"/>
  <c r="S192" i="44" s="1"/>
  <c r="S193" i="44" s="1"/>
  <c r="S194" i="44" s="1"/>
  <c r="S195" i="44" s="1"/>
  <c r="S196" i="44" s="1"/>
  <c r="S197" i="44" s="1"/>
  <c r="S198" i="44" s="1"/>
  <c r="S199" i="44" s="1"/>
  <c r="S200" i="44" s="1"/>
  <c r="S201" i="44" s="1"/>
  <c r="S202" i="44" s="1"/>
  <c r="F19" i="43"/>
  <c r="E85" i="42"/>
  <c r="F85" i="42" s="1"/>
  <c r="G85" i="42" s="1"/>
  <c r="E89" i="42"/>
  <c r="F89" i="42" s="1"/>
  <c r="G89" i="42" s="1"/>
  <c r="K97" i="42"/>
  <c r="C97" i="42" s="1"/>
  <c r="H90" i="42"/>
  <c r="G90" i="42"/>
  <c r="H92" i="42"/>
  <c r="G92" i="42"/>
  <c r="H98" i="42"/>
  <c r="G98" i="42"/>
  <c r="H100" i="42"/>
  <c r="G100" i="42"/>
  <c r="H97" i="42"/>
  <c r="G97" i="42"/>
  <c r="H84" i="42"/>
  <c r="G84" i="42"/>
  <c r="G93" i="42"/>
  <c r="H93" i="42"/>
  <c r="H86" i="42"/>
  <c r="G86" i="42"/>
  <c r="H96" i="42"/>
  <c r="G96" i="42"/>
  <c r="E87" i="42"/>
  <c r="F87" i="42" s="1"/>
  <c r="E91" i="42"/>
  <c r="F91" i="42" s="1"/>
  <c r="E95" i="42"/>
  <c r="F95" i="42" s="1"/>
  <c r="E99" i="42"/>
  <c r="F99" i="42" s="1"/>
  <c r="E83" i="42"/>
  <c r="F83" i="42" s="1"/>
  <c r="E68" i="42"/>
  <c r="F68" i="42" s="1"/>
  <c r="G68" i="42" s="1"/>
  <c r="K72" i="42"/>
  <c r="C72" i="42" s="1"/>
  <c r="E76" i="42"/>
  <c r="F76" i="42" s="1"/>
  <c r="H76" i="42" s="1"/>
  <c r="K80" i="42"/>
  <c r="C80" i="42" s="1"/>
  <c r="G65" i="42"/>
  <c r="H65" i="42"/>
  <c r="H70" i="42"/>
  <c r="G70" i="42"/>
  <c r="H73" i="42"/>
  <c r="G73" i="42"/>
  <c r="H81" i="42"/>
  <c r="G81" i="42"/>
  <c r="H69" i="42"/>
  <c r="G69" i="42"/>
  <c r="H77" i="42"/>
  <c r="G77" i="42"/>
  <c r="H72" i="42"/>
  <c r="G72" i="42"/>
  <c r="H80" i="42"/>
  <c r="G80" i="42"/>
  <c r="K65" i="42"/>
  <c r="C65" i="42" s="1"/>
  <c r="E67" i="42"/>
  <c r="F67" i="42" s="1"/>
  <c r="K69" i="42"/>
  <c r="C69" i="42" s="1"/>
  <c r="E71" i="42"/>
  <c r="F71" i="42" s="1"/>
  <c r="K73" i="42"/>
  <c r="C73" i="42" s="1"/>
  <c r="E75" i="42"/>
  <c r="F75" i="42" s="1"/>
  <c r="K77" i="42"/>
  <c r="C77" i="42" s="1"/>
  <c r="E79" i="42"/>
  <c r="F79" i="42" s="1"/>
  <c r="K81" i="42"/>
  <c r="C81" i="42" s="1"/>
  <c r="K32" i="42"/>
  <c r="E32" i="42"/>
  <c r="F32" i="42" s="1"/>
  <c r="E31" i="42"/>
  <c r="F31" i="42" s="1"/>
  <c r="K31" i="42"/>
  <c r="H29" i="42"/>
  <c r="G29" i="42"/>
  <c r="N11" i="42"/>
  <c r="N12" i="42" s="1"/>
  <c r="N13" i="42" s="1"/>
  <c r="N14" i="42" s="1"/>
  <c r="N15" i="42" s="1"/>
  <c r="N16" i="42" s="1"/>
  <c r="N17" i="42" s="1"/>
  <c r="N18" i="42" s="1"/>
  <c r="N19" i="42" s="1"/>
  <c r="N20" i="42" s="1"/>
  <c r="N21" i="42" s="1"/>
  <c r="N22" i="42" s="1"/>
  <c r="N23" i="42" s="1"/>
  <c r="N24" i="42" s="1"/>
  <c r="N25" i="42" s="1"/>
  <c r="N26" i="42" s="1"/>
  <c r="N27" i="42" s="1"/>
  <c r="N28" i="42" s="1"/>
  <c r="N29" i="42" s="1"/>
  <c r="N30" i="42" s="1"/>
  <c r="N31" i="42" s="1"/>
  <c r="N32" i="42" s="1"/>
  <c r="N33" i="42" s="1"/>
  <c r="N34" i="42" s="1"/>
  <c r="N35" i="42" s="1"/>
  <c r="N36" i="42" s="1"/>
  <c r="N37" i="42" s="1"/>
  <c r="N38" i="42" s="1"/>
  <c r="N39" i="42" s="1"/>
  <c r="N40" i="42" s="1"/>
  <c r="N41" i="42" s="1"/>
  <c r="N42" i="42" s="1"/>
  <c r="N43" i="42" s="1"/>
  <c r="N44" i="42" s="1"/>
  <c r="N45" i="42" s="1"/>
  <c r="N46" i="42" s="1"/>
  <c r="N47" i="42" s="1"/>
  <c r="N48" i="42" s="1"/>
  <c r="N49" i="42" s="1"/>
  <c r="N50" i="42" s="1"/>
  <c r="N51" i="42" s="1"/>
  <c r="N52" i="42" s="1"/>
  <c r="N53" i="42" s="1"/>
  <c r="N54" i="42" s="1"/>
  <c r="N55" i="42" s="1"/>
  <c r="N56" i="42" s="1"/>
  <c r="N57" i="42" s="1"/>
  <c r="N58" i="42" s="1"/>
  <c r="N59" i="42" s="1"/>
  <c r="N60" i="42" s="1"/>
  <c r="N61" i="42" s="1"/>
  <c r="N62" i="42" s="1"/>
  <c r="N63" i="42" s="1"/>
  <c r="N64" i="42" s="1"/>
  <c r="N65" i="42" s="1"/>
  <c r="N66" i="42" s="1"/>
  <c r="N67" i="42" s="1"/>
  <c r="N68" i="42" s="1"/>
  <c r="N69" i="42" s="1"/>
  <c r="N70" i="42" s="1"/>
  <c r="N71" i="42" s="1"/>
  <c r="N72" i="42" s="1"/>
  <c r="N73" i="42" s="1"/>
  <c r="N74" i="42" s="1"/>
  <c r="N75" i="42" s="1"/>
  <c r="N76" i="42" s="1"/>
  <c r="N77" i="42" s="1"/>
  <c r="N78" i="42" s="1"/>
  <c r="N79" i="42" s="1"/>
  <c r="N80" i="42" s="1"/>
  <c r="N81" i="42" s="1"/>
  <c r="N82" i="42" s="1"/>
  <c r="N83" i="42" s="1"/>
  <c r="N84" i="42" s="1"/>
  <c r="N85" i="42" s="1"/>
  <c r="N86" i="42" s="1"/>
  <c r="N87" i="42" s="1"/>
  <c r="N88" i="42" s="1"/>
  <c r="N89" i="42" s="1"/>
  <c r="N90" i="42" s="1"/>
  <c r="N91" i="42" s="1"/>
  <c r="N92" i="42" s="1"/>
  <c r="N93" i="42" s="1"/>
  <c r="N94" i="42" s="1"/>
  <c r="N95" i="42" s="1"/>
  <c r="N96" i="42" s="1"/>
  <c r="N97" i="42" s="1"/>
  <c r="N98" i="42" s="1"/>
  <c r="N99" i="42" s="1"/>
  <c r="N100" i="42" s="1"/>
  <c r="N101" i="42" s="1"/>
  <c r="N102" i="42" s="1"/>
  <c r="N103" i="42" s="1"/>
  <c r="N104" i="42" s="1"/>
  <c r="N105" i="42" s="1"/>
  <c r="N106" i="42" s="1"/>
  <c r="N107" i="42" s="1"/>
  <c r="N108" i="42" s="1"/>
  <c r="N109" i="42" s="1"/>
  <c r="N110" i="42" s="1"/>
  <c r="N111" i="42" s="1"/>
  <c r="N112" i="42" s="1"/>
  <c r="N113" i="42" s="1"/>
  <c r="N114" i="42" s="1"/>
  <c r="N115" i="42" s="1"/>
  <c r="N116" i="42" s="1"/>
  <c r="N117" i="42" s="1"/>
  <c r="N118" i="42" s="1"/>
  <c r="N119" i="42" s="1"/>
  <c r="N120" i="42" s="1"/>
  <c r="N121" i="42" s="1"/>
  <c r="N122" i="42" s="1"/>
  <c r="N123" i="42" s="1"/>
  <c r="N124" i="42" s="1"/>
  <c r="N125" i="42" s="1"/>
  <c r="N126" i="42" s="1"/>
  <c r="N127" i="42" s="1"/>
  <c r="N128" i="42" s="1"/>
  <c r="N129" i="42" s="1"/>
  <c r="N130" i="42" s="1"/>
  <c r="N131" i="42" s="1"/>
  <c r="N132" i="42" s="1"/>
  <c r="N133" i="42" s="1"/>
  <c r="N134" i="42" s="1"/>
  <c r="N135" i="42" s="1"/>
  <c r="N136" i="42" s="1"/>
  <c r="N137" i="42" s="1"/>
  <c r="N138" i="42" s="1"/>
  <c r="N139" i="42" s="1"/>
  <c r="N140" i="42" s="1"/>
  <c r="N141" i="42" s="1"/>
  <c r="N142" i="42" s="1"/>
  <c r="N143" i="42" s="1"/>
  <c r="N144" i="42" s="1"/>
  <c r="N145" i="42" s="1"/>
  <c r="N146" i="42" s="1"/>
  <c r="N147" i="42" s="1"/>
  <c r="N148" i="42" s="1"/>
  <c r="N149" i="42" s="1"/>
  <c r="N150" i="42" s="1"/>
  <c r="N151" i="42" s="1"/>
  <c r="N152" i="42" s="1"/>
  <c r="N153" i="42" s="1"/>
  <c r="N154" i="42" s="1"/>
  <c r="N155" i="42" s="1"/>
  <c r="N156" i="42" s="1"/>
  <c r="N157" i="42" s="1"/>
  <c r="N158" i="42" s="1"/>
  <c r="N159" i="42" s="1"/>
  <c r="N160" i="42" s="1"/>
  <c r="N161" i="42" s="1"/>
  <c r="N162" i="42" s="1"/>
  <c r="N163" i="42" s="1"/>
  <c r="N164" i="42" s="1"/>
  <c r="N165" i="42" s="1"/>
  <c r="N166" i="42" s="1"/>
  <c r="N167" i="42" s="1"/>
  <c r="N168" i="42" s="1"/>
  <c r="N169" i="42" s="1"/>
  <c r="N170" i="42" s="1"/>
  <c r="N171" i="42" s="1"/>
  <c r="N172" i="42" s="1"/>
  <c r="N173" i="42" s="1"/>
  <c r="N174" i="42" s="1"/>
  <c r="N175" i="42" s="1"/>
  <c r="N176" i="42" s="1"/>
  <c r="N177" i="42" s="1"/>
  <c r="N178" i="42" s="1"/>
  <c r="N179" i="42" s="1"/>
  <c r="N180" i="42" s="1"/>
  <c r="N181" i="42" s="1"/>
  <c r="N182" i="42" s="1"/>
  <c r="N183" i="42" s="1"/>
  <c r="N184" i="42" s="1"/>
  <c r="N185" i="42" s="1"/>
  <c r="N186" i="42" s="1"/>
  <c r="N187" i="42" s="1"/>
  <c r="N188" i="42" s="1"/>
  <c r="N189" i="42" s="1"/>
  <c r="N190" i="42" s="1"/>
  <c r="N191" i="42" s="1"/>
  <c r="N192" i="42" s="1"/>
  <c r="N193" i="42" s="1"/>
  <c r="N194" i="42" s="1"/>
  <c r="N195" i="42" s="1"/>
  <c r="N196" i="42" s="1"/>
  <c r="N197" i="42" s="1"/>
  <c r="N198" i="42" s="1"/>
  <c r="N199" i="42" s="1"/>
  <c r="N200" i="42" s="1"/>
  <c r="N201" i="42" s="1"/>
  <c r="N202" i="42" s="1"/>
  <c r="N203" i="42" s="1"/>
  <c r="N204" i="42" s="1"/>
  <c r="N205" i="42" s="1"/>
  <c r="N206" i="42" s="1"/>
  <c r="N207" i="42" s="1"/>
  <c r="N208" i="42" s="1"/>
  <c r="E11" i="41"/>
  <c r="F11" i="41" s="1"/>
  <c r="H17" i="41"/>
  <c r="M12" i="41"/>
  <c r="M13" i="41" s="1"/>
  <c r="M14" i="41" s="1"/>
  <c r="M15" i="41" s="1"/>
  <c r="M16" i="41" s="1"/>
  <c r="M17" i="41" s="1"/>
  <c r="M18" i="41" s="1"/>
  <c r="M19" i="41" s="1"/>
  <c r="M20" i="41" s="1"/>
  <c r="M21" i="41" s="1"/>
  <c r="M22" i="41" s="1"/>
  <c r="M23" i="41" s="1"/>
  <c r="M24" i="41" s="1"/>
  <c r="M25" i="41" s="1"/>
  <c r="M26" i="41" s="1"/>
  <c r="M27" i="41" s="1"/>
  <c r="M28" i="41" s="1"/>
  <c r="M29" i="41" s="1"/>
  <c r="M30" i="41" s="1"/>
  <c r="M31" i="41" s="1"/>
  <c r="M32" i="41" s="1"/>
  <c r="M33" i="41" s="1"/>
  <c r="M34" i="41" s="1"/>
  <c r="M35" i="41" s="1"/>
  <c r="M36" i="41" s="1"/>
  <c r="M37" i="41" s="1"/>
  <c r="M38" i="41" s="1"/>
  <c r="M39" i="41" s="1"/>
  <c r="M40" i="41" s="1"/>
  <c r="M41" i="41" s="1"/>
  <c r="M42" i="41" s="1"/>
  <c r="M43" i="41" s="1"/>
  <c r="M44" i="41" s="1"/>
  <c r="M45" i="41" s="1"/>
  <c r="M46" i="41" s="1"/>
  <c r="M47" i="41" s="1"/>
  <c r="M48" i="41" s="1"/>
  <c r="M49" i="41" s="1"/>
  <c r="M50" i="41" s="1"/>
  <c r="M51" i="41" s="1"/>
  <c r="M52" i="41" s="1"/>
  <c r="M53" i="41" s="1"/>
  <c r="M54" i="41" s="1"/>
  <c r="M55" i="41" s="1"/>
  <c r="M56" i="41" s="1"/>
  <c r="M57" i="41" s="1"/>
  <c r="M58" i="41" s="1"/>
  <c r="M59" i="41" s="1"/>
  <c r="M60" i="41" s="1"/>
  <c r="M61" i="41" s="1"/>
  <c r="M62" i="41" s="1"/>
  <c r="M63" i="41" s="1"/>
  <c r="M64" i="41" s="1"/>
  <c r="M65" i="41" s="1"/>
  <c r="M66" i="41" s="1"/>
  <c r="M67" i="41" s="1"/>
  <c r="M68" i="41" s="1"/>
  <c r="M69" i="41" s="1"/>
  <c r="M70" i="41" s="1"/>
  <c r="M71" i="41" s="1"/>
  <c r="M72" i="41" s="1"/>
  <c r="M73" i="41" s="1"/>
  <c r="M74" i="41" s="1"/>
  <c r="M75" i="41" s="1"/>
  <c r="M76" i="41" s="1"/>
  <c r="M77" i="41" s="1"/>
  <c r="M78" i="41" s="1"/>
  <c r="M79" i="41" s="1"/>
  <c r="M80" i="41" s="1"/>
  <c r="M81" i="41" s="1"/>
  <c r="M82" i="41" s="1"/>
  <c r="M83" i="41" s="1"/>
  <c r="M84" i="41" s="1"/>
  <c r="M85" i="41" s="1"/>
  <c r="M86" i="41" s="1"/>
  <c r="M87" i="41" s="1"/>
  <c r="M88" i="41" s="1"/>
  <c r="M89" i="41" s="1"/>
  <c r="M90" i="41" s="1"/>
  <c r="M91" i="41" s="1"/>
  <c r="M92" i="41" s="1"/>
  <c r="M93" i="41" s="1"/>
  <c r="M94" i="41" s="1"/>
  <c r="M95" i="41" s="1"/>
  <c r="M96" i="41" s="1"/>
  <c r="M97" i="41" s="1"/>
  <c r="M98" i="41" s="1"/>
  <c r="M99" i="41" s="1"/>
  <c r="M100" i="41" s="1"/>
  <c r="M101" i="41" s="1"/>
  <c r="M102" i="41" s="1"/>
  <c r="M103" i="41" s="1"/>
  <c r="M104" i="41" s="1"/>
  <c r="M105" i="41" s="1"/>
  <c r="M106" i="41" s="1"/>
  <c r="M107" i="41" s="1"/>
  <c r="M108" i="41" s="1"/>
  <c r="M109" i="41" s="1"/>
  <c r="M110" i="41" s="1"/>
  <c r="M111" i="41" s="1"/>
  <c r="M112" i="41" s="1"/>
  <c r="M113" i="41" s="1"/>
  <c r="M114" i="41" s="1"/>
  <c r="M115" i="41" s="1"/>
  <c r="M116" i="41" s="1"/>
  <c r="M117" i="41" s="1"/>
  <c r="M118" i="41" s="1"/>
  <c r="M119" i="41" s="1"/>
  <c r="M120" i="41" s="1"/>
  <c r="M121" i="41" s="1"/>
  <c r="M122" i="41" s="1"/>
  <c r="M123" i="41" s="1"/>
  <c r="M124" i="41" s="1"/>
  <c r="M125" i="41" s="1"/>
  <c r="M126" i="41" s="1"/>
  <c r="M127" i="41" s="1"/>
  <c r="M128" i="41" s="1"/>
  <c r="M129" i="41" s="1"/>
  <c r="M130" i="41" s="1"/>
  <c r="M131" i="41" s="1"/>
  <c r="M132" i="41" s="1"/>
  <c r="M133" i="41" s="1"/>
  <c r="M134" i="41" s="1"/>
  <c r="M135" i="41" s="1"/>
  <c r="M136" i="41" s="1"/>
  <c r="M137" i="41" s="1"/>
  <c r="M138" i="41" s="1"/>
  <c r="M139" i="41" s="1"/>
  <c r="M140" i="41" s="1"/>
  <c r="M141" i="41" s="1"/>
  <c r="M142" i="41" s="1"/>
  <c r="M143" i="41" s="1"/>
  <c r="M144" i="41" s="1"/>
  <c r="M145" i="41" s="1"/>
  <c r="M146" i="41" s="1"/>
  <c r="M147" i="41" s="1"/>
  <c r="M148" i="41" s="1"/>
  <c r="D18" i="41"/>
  <c r="K17" i="41"/>
  <c r="C17" i="41" s="1"/>
  <c r="E23" i="41"/>
  <c r="F23" i="41" s="1"/>
  <c r="G23" i="41" s="1"/>
  <c r="K11" i="41"/>
  <c r="C11" i="41" s="1"/>
  <c r="D12" i="41"/>
  <c r="K158" i="44" l="1"/>
  <c r="G32" i="98"/>
  <c r="C31" i="98"/>
  <c r="G48" i="98"/>
  <c r="C47" i="98"/>
  <c r="K134" i="44"/>
  <c r="N14" i="59"/>
  <c r="P41" i="61"/>
  <c r="Q41" i="61" s="1"/>
  <c r="S41" i="61" s="1"/>
  <c r="C41" i="61"/>
  <c r="K110" i="44"/>
  <c r="S25" i="48"/>
  <c r="U24" i="48"/>
  <c r="J25" i="50"/>
  <c r="C24" i="50"/>
  <c r="G132" i="42"/>
  <c r="H132" i="42"/>
  <c r="K62" i="44"/>
  <c r="E133" i="42"/>
  <c r="F133" i="42" s="1"/>
  <c r="K133" i="42"/>
  <c r="C133" i="42" s="1"/>
  <c r="D134" i="42"/>
  <c r="Q294" i="95"/>
  <c r="S293" i="95"/>
  <c r="U293" i="95" s="1"/>
  <c r="V293" i="95" s="1"/>
  <c r="W293" i="95" s="1"/>
  <c r="Z293" i="95" s="1"/>
  <c r="Y293" i="95" s="1"/>
  <c r="M77" i="47"/>
  <c r="C76" i="47"/>
  <c r="K98" i="44"/>
  <c r="G12" i="98"/>
  <c r="C11" i="98"/>
  <c r="M173" i="47"/>
  <c r="C172" i="47"/>
  <c r="C120" i="48"/>
  <c r="K86" i="44"/>
  <c r="G44" i="98"/>
  <c r="C43" i="98"/>
  <c r="D14" i="49"/>
  <c r="C13" i="49"/>
  <c r="D37" i="49"/>
  <c r="C36" i="49"/>
  <c r="K38" i="44"/>
  <c r="K182" i="44"/>
  <c r="K50" i="44"/>
  <c r="K194" i="44"/>
  <c r="K14" i="44"/>
  <c r="D13" i="57"/>
  <c r="F20" i="43"/>
  <c r="C19" i="43"/>
  <c r="M93" i="47"/>
  <c r="C92" i="47"/>
  <c r="G28" i="98"/>
  <c r="C27" i="98"/>
  <c r="M189" i="47"/>
  <c r="C188" i="47"/>
  <c r="M48" i="56"/>
  <c r="G16" i="98"/>
  <c r="C15" i="98"/>
  <c r="D25" i="49"/>
  <c r="C24" i="49"/>
  <c r="K146" i="44"/>
  <c r="J19" i="54"/>
  <c r="J13" i="54"/>
  <c r="M109" i="47"/>
  <c r="P121" i="44"/>
  <c r="M13" i="47"/>
  <c r="P145" i="44"/>
  <c r="P133" i="44"/>
  <c r="P61" i="44"/>
  <c r="P169" i="44"/>
  <c r="P25" i="44"/>
  <c r="P181" i="44"/>
  <c r="P97" i="44"/>
  <c r="P157" i="44"/>
  <c r="P13" i="44"/>
  <c r="P37" i="44"/>
  <c r="P109" i="44"/>
  <c r="P193" i="44"/>
  <c r="P49" i="44"/>
  <c r="P85" i="44"/>
  <c r="M61" i="47"/>
  <c r="C61" i="47" s="1"/>
  <c r="M157" i="47"/>
  <c r="C157" i="47" s="1"/>
  <c r="P73" i="44"/>
  <c r="H119" i="48"/>
  <c r="G119" i="48"/>
  <c r="E120" i="48"/>
  <c r="F120" i="48" s="1"/>
  <c r="K120" i="48"/>
  <c r="D121" i="48"/>
  <c r="H90" i="76"/>
  <c r="G90" i="76"/>
  <c r="M14" i="56"/>
  <c r="M31" i="56"/>
  <c r="R24" i="48"/>
  <c r="T23" i="48"/>
  <c r="V23" i="48" s="1"/>
  <c r="G186" i="51"/>
  <c r="H52" i="50"/>
  <c r="G48" i="50"/>
  <c r="E19" i="43"/>
  <c r="E20" i="43" s="1"/>
  <c r="E21" i="43" s="1"/>
  <c r="E22" i="43" s="1"/>
  <c r="E23" i="43" s="1"/>
  <c r="E24" i="43" s="1"/>
  <c r="E25" i="43" s="1"/>
  <c r="E26" i="43" s="1"/>
  <c r="E27" i="43" s="1"/>
  <c r="E28" i="43" s="1"/>
  <c r="E29" i="43" s="1"/>
  <c r="E30" i="43" s="1"/>
  <c r="E31" i="43" s="1"/>
  <c r="E32" i="43" s="1"/>
  <c r="E33" i="43" s="1"/>
  <c r="E34" i="43" s="1"/>
  <c r="E12" i="41"/>
  <c r="F12" i="41" s="1"/>
  <c r="E18" i="41"/>
  <c r="F18" i="41" s="1"/>
  <c r="G18" i="41" s="1"/>
  <c r="P18" i="41"/>
  <c r="Q18" i="41" s="1"/>
  <c r="H50" i="50"/>
  <c r="H53" i="50"/>
  <c r="G55" i="50"/>
  <c r="G54" i="50"/>
  <c r="H57" i="50"/>
  <c r="G58" i="50"/>
  <c r="H56" i="50"/>
  <c r="H51" i="50"/>
  <c r="H49" i="50"/>
  <c r="N12" i="55"/>
  <c r="P11" i="49"/>
  <c r="G16" i="48"/>
  <c r="K13" i="49"/>
  <c r="K14" i="49" s="1"/>
  <c r="P12" i="49"/>
  <c r="N13" i="41"/>
  <c r="X11" i="55"/>
  <c r="H72" i="51"/>
  <c r="H377" i="78"/>
  <c r="B28" i="61"/>
  <c r="B29" i="61" s="1"/>
  <c r="B30" i="61" s="1"/>
  <c r="B31" i="61" s="1"/>
  <c r="B32" i="61" s="1"/>
  <c r="B33" i="61" s="1"/>
  <c r="B34" i="61" s="1"/>
  <c r="B35" i="61" s="1"/>
  <c r="B36" i="61" s="1"/>
  <c r="B37" i="61" s="1"/>
  <c r="B38" i="61" s="1"/>
  <c r="B39" i="61" s="1"/>
  <c r="B40" i="61" s="1"/>
  <c r="B41" i="61" s="1"/>
  <c r="B42" i="61" s="1"/>
  <c r="B43" i="61" s="1"/>
  <c r="B44" i="61" s="1"/>
  <c r="B45" i="61" s="1"/>
  <c r="B46" i="61" s="1"/>
  <c r="B47" i="61" s="1"/>
  <c r="B48" i="61" s="1"/>
  <c r="B49" i="61" s="1"/>
  <c r="P12" i="61"/>
  <c r="D13" i="61"/>
  <c r="C13" i="61" s="1"/>
  <c r="O15" i="43"/>
  <c r="O16" i="43" s="1"/>
  <c r="O17" i="43" s="1"/>
  <c r="O18" i="43" s="1"/>
  <c r="O19" i="43" s="1"/>
  <c r="O20" i="43" s="1"/>
  <c r="O21" i="43" s="1"/>
  <c r="O22" i="43" s="1"/>
  <c r="O23" i="43" s="1"/>
  <c r="O24" i="43" s="1"/>
  <c r="O25" i="43" s="1"/>
  <c r="O26" i="43" s="1"/>
  <c r="O27" i="43" s="1"/>
  <c r="O28" i="43" s="1"/>
  <c r="O29" i="43" s="1"/>
  <c r="O30" i="43" s="1"/>
  <c r="O31" i="43" s="1"/>
  <c r="O32" i="43" s="1"/>
  <c r="O33" i="43" s="1"/>
  <c r="O34" i="43" s="1"/>
  <c r="N15" i="43"/>
  <c r="N16" i="43" s="1"/>
  <c r="N17" i="43" s="1"/>
  <c r="N18" i="43" s="1"/>
  <c r="N19" i="43" s="1"/>
  <c r="N20" i="43" s="1"/>
  <c r="N21" i="43" s="1"/>
  <c r="N22" i="43" s="1"/>
  <c r="N23" i="43" s="1"/>
  <c r="N24" i="43" s="1"/>
  <c r="N25" i="43" s="1"/>
  <c r="N26" i="43" s="1"/>
  <c r="N27" i="43" s="1"/>
  <c r="N28" i="43" s="1"/>
  <c r="N29" i="43" s="1"/>
  <c r="N30" i="43" s="1"/>
  <c r="N31" i="43" s="1"/>
  <c r="N32" i="43" s="1"/>
  <c r="N33" i="43" s="1"/>
  <c r="N34" i="43" s="1"/>
  <c r="H58" i="51"/>
  <c r="H88" i="42"/>
  <c r="H90" i="78"/>
  <c r="H280" i="77"/>
  <c r="H235" i="78"/>
  <c r="H83" i="78"/>
  <c r="H82" i="78"/>
  <c r="H370" i="78"/>
  <c r="H371" i="78"/>
  <c r="D93" i="77"/>
  <c r="E92" i="77"/>
  <c r="H92" i="77" s="1"/>
  <c r="H185" i="77"/>
  <c r="H227" i="78"/>
  <c r="H226" i="78"/>
  <c r="H91" i="77"/>
  <c r="K87" i="76"/>
  <c r="D88" i="76"/>
  <c r="D378" i="78"/>
  <c r="E377" i="78"/>
  <c r="H378" i="78" s="1"/>
  <c r="D236" i="78"/>
  <c r="E235" i="78"/>
  <c r="H236" i="78" s="1"/>
  <c r="D91" i="78"/>
  <c r="E90" i="78"/>
  <c r="H91" i="78" s="1"/>
  <c r="D282" i="77"/>
  <c r="E281" i="77"/>
  <c r="H281" i="77" s="1"/>
  <c r="D187" i="77"/>
  <c r="E186" i="77"/>
  <c r="H186" i="77" s="1"/>
  <c r="F91" i="76"/>
  <c r="G181" i="51"/>
  <c r="D42" i="61"/>
  <c r="E41" i="61"/>
  <c r="F41" i="61" s="1"/>
  <c r="H41" i="61" s="1"/>
  <c r="F90" i="66"/>
  <c r="G90" i="66" s="1"/>
  <c r="H153" i="51"/>
  <c r="U18" i="48"/>
  <c r="V18" i="48" s="1"/>
  <c r="H136" i="51"/>
  <c r="G14" i="48"/>
  <c r="H47" i="51"/>
  <c r="G124" i="51"/>
  <c r="G140" i="51"/>
  <c r="H51" i="51"/>
  <c r="H59" i="51"/>
  <c r="G129" i="51"/>
  <c r="G185" i="51"/>
  <c r="G70" i="51"/>
  <c r="G189" i="51"/>
  <c r="G166" i="51"/>
  <c r="G165" i="51"/>
  <c r="G156" i="51"/>
  <c r="D28" i="61"/>
  <c r="C28" i="61" s="1"/>
  <c r="P27" i="61"/>
  <c r="G120" i="51"/>
  <c r="L28" i="61"/>
  <c r="L29" i="61" s="1"/>
  <c r="L30" i="61" s="1"/>
  <c r="L31" i="61" s="1"/>
  <c r="L32" i="61" s="1"/>
  <c r="L33" i="61" s="1"/>
  <c r="L34" i="61" s="1"/>
  <c r="L35" i="61" s="1"/>
  <c r="L36" i="61" s="1"/>
  <c r="L37" i="61" s="1"/>
  <c r="L38" i="61" s="1"/>
  <c r="L39" i="61" s="1"/>
  <c r="L40" i="61" s="1"/>
  <c r="L41" i="61" s="1"/>
  <c r="L42" i="61" s="1"/>
  <c r="L43" i="61" s="1"/>
  <c r="L44" i="61" s="1"/>
  <c r="L45" i="61" s="1"/>
  <c r="L46" i="61" s="1"/>
  <c r="L47" i="61" s="1"/>
  <c r="L48" i="61" s="1"/>
  <c r="L49" i="61" s="1"/>
  <c r="L50" i="61" s="1"/>
  <c r="L51" i="61" s="1"/>
  <c r="L52" i="61" s="1"/>
  <c r="L53" i="61" s="1"/>
  <c r="L54" i="61" s="1"/>
  <c r="L55" i="61" s="1"/>
  <c r="L56" i="61" s="1"/>
  <c r="L57" i="61" s="1"/>
  <c r="L58" i="61" s="1"/>
  <c r="L59" i="61" s="1"/>
  <c r="L60" i="61" s="1"/>
  <c r="L61" i="61" s="1"/>
  <c r="L62" i="61" s="1"/>
  <c r="L63" i="61" s="1"/>
  <c r="L64" i="61" s="1"/>
  <c r="L65" i="61" s="1"/>
  <c r="L66" i="61" s="1"/>
  <c r="L67" i="61" s="1"/>
  <c r="L68" i="61" s="1"/>
  <c r="L69" i="61" s="1"/>
  <c r="L70" i="61" s="1"/>
  <c r="L71" i="61" s="1"/>
  <c r="L72" i="61" s="1"/>
  <c r="L73" i="61" s="1"/>
  <c r="L74" i="61" s="1"/>
  <c r="L75" i="61" s="1"/>
  <c r="L76" i="61" s="1"/>
  <c r="L77" i="61" s="1"/>
  <c r="L78" i="61" s="1"/>
  <c r="L79" i="61" s="1"/>
  <c r="L80" i="61" s="1"/>
  <c r="L81" i="61" s="1"/>
  <c r="L82" i="61" s="1"/>
  <c r="L83" i="61" s="1"/>
  <c r="L84" i="61" s="1"/>
  <c r="L85" i="61" s="1"/>
  <c r="L86" i="61" s="1"/>
  <c r="L87" i="61" s="1"/>
  <c r="L88" i="61" s="1"/>
  <c r="L89" i="61" s="1"/>
  <c r="L90" i="61" s="1"/>
  <c r="L91" i="61" s="1"/>
  <c r="L92" i="61" s="1"/>
  <c r="L93" i="61" s="1"/>
  <c r="L94" i="61" s="1"/>
  <c r="L95" i="61" s="1"/>
  <c r="L96" i="61" s="1"/>
  <c r="L97" i="61" s="1"/>
  <c r="L98" i="61" s="1"/>
  <c r="L99" i="61" s="1"/>
  <c r="L100" i="61" s="1"/>
  <c r="L101" i="61" s="1"/>
  <c r="L102" i="61" s="1"/>
  <c r="L103" i="61" s="1"/>
  <c r="L104" i="61" s="1"/>
  <c r="L105" i="61" s="1"/>
  <c r="L106" i="61" s="1"/>
  <c r="L107" i="61" s="1"/>
  <c r="L108" i="61" s="1"/>
  <c r="L109" i="61" s="1"/>
  <c r="L110" i="61" s="1"/>
  <c r="L111" i="61" s="1"/>
  <c r="L112" i="61" s="1"/>
  <c r="L113" i="61" s="1"/>
  <c r="L114" i="61" s="1"/>
  <c r="L115" i="61" s="1"/>
  <c r="L116" i="61" s="1"/>
  <c r="L117" i="61" s="1"/>
  <c r="L118" i="61" s="1"/>
  <c r="L119" i="61" s="1"/>
  <c r="L120" i="61" s="1"/>
  <c r="L121" i="61" s="1"/>
  <c r="L122" i="61" s="1"/>
  <c r="L123" i="61" s="1"/>
  <c r="L124" i="61" s="1"/>
  <c r="L125" i="61" s="1"/>
  <c r="L126" i="61" s="1"/>
  <c r="L127" i="61" s="1"/>
  <c r="L128" i="61" s="1"/>
  <c r="L129" i="61" s="1"/>
  <c r="L130" i="61" s="1"/>
  <c r="L131" i="61" s="1"/>
  <c r="L132" i="61" s="1"/>
  <c r="L133" i="61" s="1"/>
  <c r="L134" i="61" s="1"/>
  <c r="L135" i="61" s="1"/>
  <c r="L136" i="61" s="1"/>
  <c r="L137" i="61" s="1"/>
  <c r="L138" i="61" s="1"/>
  <c r="L139" i="61" s="1"/>
  <c r="L140" i="61" s="1"/>
  <c r="L141" i="61" s="1"/>
  <c r="L142" i="61" s="1"/>
  <c r="L143" i="61" s="1"/>
  <c r="L144" i="61" s="1"/>
  <c r="L145" i="61" s="1"/>
  <c r="L146" i="61" s="1"/>
  <c r="L147" i="61" s="1"/>
  <c r="L148" i="61" s="1"/>
  <c r="L149" i="61" s="1"/>
  <c r="L150" i="61" s="1"/>
  <c r="L151" i="61" s="1"/>
  <c r="L152" i="61" s="1"/>
  <c r="L153" i="61" s="1"/>
  <c r="L154" i="61" s="1"/>
  <c r="L155" i="61" s="1"/>
  <c r="L156" i="61" s="1"/>
  <c r="L157" i="61" s="1"/>
  <c r="L158" i="61" s="1"/>
  <c r="L159" i="61" s="1"/>
  <c r="L160" i="61" s="1"/>
  <c r="L161" i="61" s="1"/>
  <c r="L162" i="61" s="1"/>
  <c r="L163" i="61" s="1"/>
  <c r="L164" i="61" s="1"/>
  <c r="L165" i="61" s="1"/>
  <c r="L166" i="61" s="1"/>
  <c r="L167" i="61" s="1"/>
  <c r="L168" i="61" s="1"/>
  <c r="L169" i="61" s="1"/>
  <c r="L170" i="61" s="1"/>
  <c r="L171" i="61" s="1"/>
  <c r="L172" i="61" s="1"/>
  <c r="L173" i="61" s="1"/>
  <c r="L174" i="61" s="1"/>
  <c r="L175" i="61" s="1"/>
  <c r="L176" i="61" s="1"/>
  <c r="L177" i="61" s="1"/>
  <c r="L178" i="61" s="1"/>
  <c r="L179" i="61" s="1"/>
  <c r="L180" i="61" s="1"/>
  <c r="L181" i="61" s="1"/>
  <c r="L182" i="61" s="1"/>
  <c r="L183" i="61" s="1"/>
  <c r="L184" i="61" s="1"/>
  <c r="L185" i="61" s="1"/>
  <c r="L186" i="61" s="1"/>
  <c r="L187" i="61" s="1"/>
  <c r="L188" i="61" s="1"/>
  <c r="L189" i="61" s="1"/>
  <c r="L190" i="61" s="1"/>
  <c r="L191" i="61" s="1"/>
  <c r="L192" i="61" s="1"/>
  <c r="L193" i="61" s="1"/>
  <c r="L194" i="61" s="1"/>
  <c r="L195" i="61" s="1"/>
  <c r="L196" i="61" s="1"/>
  <c r="L197" i="61" s="1"/>
  <c r="L198" i="61" s="1"/>
  <c r="L199" i="61" s="1"/>
  <c r="L200" i="61" s="1"/>
  <c r="L201" i="61" s="1"/>
  <c r="L202" i="61" s="1"/>
  <c r="L203" i="61" s="1"/>
  <c r="L204" i="61" s="1"/>
  <c r="L205" i="61" s="1"/>
  <c r="L206" i="61" s="1"/>
  <c r="L207" i="61" s="1"/>
  <c r="L208" i="61" s="1"/>
  <c r="L209" i="61" s="1"/>
  <c r="L210" i="61" s="1"/>
  <c r="L211" i="61" s="1"/>
  <c r="L212" i="61" s="1"/>
  <c r="L213" i="61" s="1"/>
  <c r="L214" i="61" s="1"/>
  <c r="L215" i="61" s="1"/>
  <c r="L216" i="61" s="1"/>
  <c r="L217" i="61" s="1"/>
  <c r="L218" i="61" s="1"/>
  <c r="L219" i="61" s="1"/>
  <c r="L220" i="61" s="1"/>
  <c r="L221" i="61" s="1"/>
  <c r="L222" i="61" s="1"/>
  <c r="L223" i="61" s="1"/>
  <c r="L224" i="61" s="1"/>
  <c r="L225" i="61" s="1"/>
  <c r="L226" i="61" s="1"/>
  <c r="L227" i="61" s="1"/>
  <c r="L228" i="61" s="1"/>
  <c r="L229" i="61" s="1"/>
  <c r="L230" i="61" s="1"/>
  <c r="L231" i="61" s="1"/>
  <c r="L232" i="61" s="1"/>
  <c r="L233" i="61" s="1"/>
  <c r="L234" i="61" s="1"/>
  <c r="L235" i="61" s="1"/>
  <c r="L236" i="61" s="1"/>
  <c r="L237" i="61" s="1"/>
  <c r="L238" i="61" s="1"/>
  <c r="L239" i="61" s="1"/>
  <c r="L240" i="61" s="1"/>
  <c r="L241" i="61" s="1"/>
  <c r="L242" i="61" s="1"/>
  <c r="L243" i="61" s="1"/>
  <c r="L244" i="61" s="1"/>
  <c r="L245" i="61" s="1"/>
  <c r="L246" i="61" s="1"/>
  <c r="L247" i="61" s="1"/>
  <c r="L248" i="61" s="1"/>
  <c r="L249" i="61" s="1"/>
  <c r="L250" i="61" s="1"/>
  <c r="L251" i="61" s="1"/>
  <c r="L252" i="61" s="1"/>
  <c r="L253" i="61" s="1"/>
  <c r="L254" i="61" s="1"/>
  <c r="L255" i="61" s="1"/>
  <c r="L256" i="61" s="1"/>
  <c r="L257" i="61" s="1"/>
  <c r="L258" i="61" s="1"/>
  <c r="L259" i="61" s="1"/>
  <c r="L260" i="61" s="1"/>
  <c r="L261" i="61" s="1"/>
  <c r="L262" i="61" s="1"/>
  <c r="L263" i="61" s="1"/>
  <c r="L264" i="61" s="1"/>
  <c r="L265" i="61" s="1"/>
  <c r="L266" i="61" s="1"/>
  <c r="L267" i="61" s="1"/>
  <c r="L268" i="61" s="1"/>
  <c r="L269" i="61" s="1"/>
  <c r="L270" i="61" s="1"/>
  <c r="L271" i="61" s="1"/>
  <c r="L272" i="61" s="1"/>
  <c r="L273" i="61" s="1"/>
  <c r="L274" i="61" s="1"/>
  <c r="L275" i="61" s="1"/>
  <c r="L276" i="61" s="1"/>
  <c r="L277" i="61" s="1"/>
  <c r="L278" i="61" s="1"/>
  <c r="L279" i="61" s="1"/>
  <c r="L280" i="61" s="1"/>
  <c r="L281" i="61" s="1"/>
  <c r="L282" i="61" s="1"/>
  <c r="L283" i="61" s="1"/>
  <c r="L284" i="61" s="1"/>
  <c r="L285" i="61" s="1"/>
  <c r="L286" i="61" s="1"/>
  <c r="L287" i="61" s="1"/>
  <c r="L288" i="61" s="1"/>
  <c r="L289" i="61" s="1"/>
  <c r="L290" i="61" s="1"/>
  <c r="L291" i="61" s="1"/>
  <c r="L292" i="61" s="1"/>
  <c r="L293" i="61" s="1"/>
  <c r="L294" i="61" s="1"/>
  <c r="L295" i="61" s="1"/>
  <c r="L296" i="61" s="1"/>
  <c r="L297" i="61" s="1"/>
  <c r="L298" i="61" s="1"/>
  <c r="L299" i="61" s="1"/>
  <c r="L300" i="61" s="1"/>
  <c r="L301" i="61" s="1"/>
  <c r="L302" i="61" s="1"/>
  <c r="L303" i="61" s="1"/>
  <c r="L304" i="61" s="1"/>
  <c r="L305" i="61" s="1"/>
  <c r="L306" i="61" s="1"/>
  <c r="L307" i="61" s="1"/>
  <c r="L308" i="61" s="1"/>
  <c r="L309" i="61" s="1"/>
  <c r="L310" i="61" s="1"/>
  <c r="L311" i="61" s="1"/>
  <c r="L312" i="61" s="1"/>
  <c r="L313" i="61" s="1"/>
  <c r="L314" i="61" s="1"/>
  <c r="L315" i="61" s="1"/>
  <c r="L316" i="61" s="1"/>
  <c r="L317" i="61" s="1"/>
  <c r="L318" i="61" s="1"/>
  <c r="L319" i="61" s="1"/>
  <c r="L320" i="61" s="1"/>
  <c r="L321" i="61" s="1"/>
  <c r="L322" i="61" s="1"/>
  <c r="L323" i="61" s="1"/>
  <c r="L324" i="61" s="1"/>
  <c r="L325" i="61" s="1"/>
  <c r="L326" i="61" s="1"/>
  <c r="L327" i="61" s="1"/>
  <c r="L328" i="61" s="1"/>
  <c r="L329" i="61" s="1"/>
  <c r="L330" i="61" s="1"/>
  <c r="L331" i="61" s="1"/>
  <c r="L332" i="61" s="1"/>
  <c r="L333" i="61" s="1"/>
  <c r="L334" i="61" s="1"/>
  <c r="L335" i="61" s="1"/>
  <c r="L336" i="61" s="1"/>
  <c r="L337" i="61" s="1"/>
  <c r="L338" i="61" s="1"/>
  <c r="L339" i="61" s="1"/>
  <c r="L340" i="61" s="1"/>
  <c r="L341" i="61" s="1"/>
  <c r="L342" i="61" s="1"/>
  <c r="L343" i="61" s="1"/>
  <c r="L344" i="61" s="1"/>
  <c r="L345" i="61" s="1"/>
  <c r="L346" i="61" s="1"/>
  <c r="L347" i="61" s="1"/>
  <c r="L348" i="61" s="1"/>
  <c r="L349" i="61" s="1"/>
  <c r="L350" i="61" s="1"/>
  <c r="L351" i="61" s="1"/>
  <c r="L352" i="61" s="1"/>
  <c r="L353" i="61" s="1"/>
  <c r="L354" i="61" s="1"/>
  <c r="L355" i="61" s="1"/>
  <c r="L356" i="61" s="1"/>
  <c r="L357" i="61" s="1"/>
  <c r="L358" i="61" s="1"/>
  <c r="L359" i="61" s="1"/>
  <c r="L360" i="61" s="1"/>
  <c r="L361" i="61" s="1"/>
  <c r="L362" i="61" s="1"/>
  <c r="L363" i="61" s="1"/>
  <c r="L364" i="61" s="1"/>
  <c r="L365" i="61" s="1"/>
  <c r="L366" i="61" s="1"/>
  <c r="L367" i="61" s="1"/>
  <c r="L368" i="61" s="1"/>
  <c r="L369" i="61" s="1"/>
  <c r="L370" i="61" s="1"/>
  <c r="L371" i="61" s="1"/>
  <c r="L372" i="61" s="1"/>
  <c r="L373" i="61" s="1"/>
  <c r="L374" i="61" s="1"/>
  <c r="L375" i="61" s="1"/>
  <c r="L376" i="61" s="1"/>
  <c r="L377" i="61" s="1"/>
  <c r="L378" i="61" s="1"/>
  <c r="L379" i="61" s="1"/>
  <c r="L380" i="61" s="1"/>
  <c r="L381" i="61" s="1"/>
  <c r="L382" i="61" s="1"/>
  <c r="L383" i="61" s="1"/>
  <c r="L384" i="61" s="1"/>
  <c r="L385" i="61" s="1"/>
  <c r="L386" i="61" s="1"/>
  <c r="L387" i="61" s="1"/>
  <c r="L388" i="61" s="1"/>
  <c r="L389" i="61" s="1"/>
  <c r="L390" i="61" s="1"/>
  <c r="L391" i="61" s="1"/>
  <c r="L392" i="61" s="1"/>
  <c r="L393" i="61" s="1"/>
  <c r="L394" i="61" s="1"/>
  <c r="L395" i="61" s="1"/>
  <c r="L396" i="61" s="1"/>
  <c r="L397" i="61" s="1"/>
  <c r="L398" i="61" s="1"/>
  <c r="L399" i="61" s="1"/>
  <c r="L400" i="61" s="1"/>
  <c r="L401" i="61" s="1"/>
  <c r="L402" i="61" s="1"/>
  <c r="L403" i="61" s="1"/>
  <c r="L404" i="61" s="1"/>
  <c r="L405" i="61" s="1"/>
  <c r="L406" i="61" s="1"/>
  <c r="L407" i="61" s="1"/>
  <c r="L408" i="61" s="1"/>
  <c r="L409" i="61" s="1"/>
  <c r="L410" i="61" s="1"/>
  <c r="L411" i="61" s="1"/>
  <c r="L412" i="61" s="1"/>
  <c r="L413" i="61" s="1"/>
  <c r="L414" i="61" s="1"/>
  <c r="L415" i="61" s="1"/>
  <c r="L416" i="61" s="1"/>
  <c r="L417" i="61" s="1"/>
  <c r="L418" i="61" s="1"/>
  <c r="L419" i="61" s="1"/>
  <c r="L420" i="61" s="1"/>
  <c r="L421" i="61" s="1"/>
  <c r="L422" i="61" s="1"/>
  <c r="L423" i="61" s="1"/>
  <c r="L424" i="61" s="1"/>
  <c r="L425" i="61" s="1"/>
  <c r="L426" i="61" s="1"/>
  <c r="L427" i="61" s="1"/>
  <c r="L428" i="61" s="1"/>
  <c r="L429" i="61" s="1"/>
  <c r="L430" i="61" s="1"/>
  <c r="L431" i="61" s="1"/>
  <c r="L432" i="61" s="1"/>
  <c r="L433" i="61" s="1"/>
  <c r="L434" i="61" s="1"/>
  <c r="L435" i="61" s="1"/>
  <c r="L436" i="61" s="1"/>
  <c r="L437" i="61" s="1"/>
  <c r="L438" i="61" s="1"/>
  <c r="L439" i="61" s="1"/>
  <c r="L440" i="61" s="1"/>
  <c r="L441" i="61" s="1"/>
  <c r="L442" i="61" s="1"/>
  <c r="L443" i="61" s="1"/>
  <c r="L444" i="61" s="1"/>
  <c r="L445" i="61" s="1"/>
  <c r="L446" i="61" s="1"/>
  <c r="L447" i="61" s="1"/>
  <c r="L448" i="61" s="1"/>
  <c r="L449" i="61" s="1"/>
  <c r="L450" i="61" s="1"/>
  <c r="L451" i="61" s="1"/>
  <c r="L452" i="61" s="1"/>
  <c r="L453" i="61" s="1"/>
  <c r="L454" i="61" s="1"/>
  <c r="L455" i="61" s="1"/>
  <c r="L456" i="61" s="1"/>
  <c r="L457" i="61" s="1"/>
  <c r="L458" i="61" s="1"/>
  <c r="L459" i="61" s="1"/>
  <c r="L460" i="61" s="1"/>
  <c r="L461" i="61" s="1"/>
  <c r="L462" i="61" s="1"/>
  <c r="L463" i="61" s="1"/>
  <c r="L464" i="61" s="1"/>
  <c r="L465" i="61" s="1"/>
  <c r="L466" i="61" s="1"/>
  <c r="L467" i="61" s="1"/>
  <c r="L468" i="61" s="1"/>
  <c r="L469" i="61" s="1"/>
  <c r="L470" i="61" s="1"/>
  <c r="L471" i="61" s="1"/>
  <c r="L472" i="61" s="1"/>
  <c r="L473" i="61" s="1"/>
  <c r="L474" i="61" s="1"/>
  <c r="L475" i="61" s="1"/>
  <c r="L476" i="61" s="1"/>
  <c r="L477" i="61" s="1"/>
  <c r="L478" i="61" s="1"/>
  <c r="L479" i="61" s="1"/>
  <c r="L480" i="61" s="1"/>
  <c r="L481" i="61" s="1"/>
  <c r="L482" i="61" s="1"/>
  <c r="L483" i="61" s="1"/>
  <c r="L484" i="61" s="1"/>
  <c r="L485" i="61" s="1"/>
  <c r="L486" i="61" s="1"/>
  <c r="L487" i="61" s="1"/>
  <c r="L488" i="61" s="1"/>
  <c r="L489" i="61" s="1"/>
  <c r="L490" i="61" s="1"/>
  <c r="L491" i="61" s="1"/>
  <c r="L492" i="61" s="1"/>
  <c r="L493" i="61" s="1"/>
  <c r="L494" i="61" s="1"/>
  <c r="L495" i="61" s="1"/>
  <c r="L496" i="61" s="1"/>
  <c r="L497" i="61" s="1"/>
  <c r="L498" i="61" s="1"/>
  <c r="L499" i="61" s="1"/>
  <c r="L500" i="61" s="1"/>
  <c r="L501" i="61" s="1"/>
  <c r="L502" i="61" s="1"/>
  <c r="L503" i="61" s="1"/>
  <c r="L504" i="61" s="1"/>
  <c r="L505" i="61" s="1"/>
  <c r="L506" i="61" s="1"/>
  <c r="L507" i="61" s="1"/>
  <c r="L508" i="61" s="1"/>
  <c r="L509" i="61" s="1"/>
  <c r="L510" i="61" s="1"/>
  <c r="L511" i="61" s="1"/>
  <c r="L512" i="61" s="1"/>
  <c r="L513" i="61" s="1"/>
  <c r="L514" i="61" s="1"/>
  <c r="L515" i="61" s="1"/>
  <c r="L516" i="61" s="1"/>
  <c r="L517" i="61" s="1"/>
  <c r="L518" i="61" s="1"/>
  <c r="L519" i="61" s="1"/>
  <c r="L520" i="61" s="1"/>
  <c r="L521" i="61" s="1"/>
  <c r="L522" i="61" s="1"/>
  <c r="L523" i="61" s="1"/>
  <c r="L524" i="61" s="1"/>
  <c r="L525" i="61" s="1"/>
  <c r="L526" i="61" s="1"/>
  <c r="L527" i="61" s="1"/>
  <c r="L528" i="61" s="1"/>
  <c r="L529" i="61" s="1"/>
  <c r="L530" i="61" s="1"/>
  <c r="L531" i="61" s="1"/>
  <c r="L532" i="61" s="1"/>
  <c r="L533" i="61" s="1"/>
  <c r="L534" i="61" s="1"/>
  <c r="L535" i="61" s="1"/>
  <c r="L536" i="61" s="1"/>
  <c r="L537" i="61" s="1"/>
  <c r="L538" i="61" s="1"/>
  <c r="L539" i="61" s="1"/>
  <c r="L540" i="61" s="1"/>
  <c r="L541" i="61" s="1"/>
  <c r="L542" i="61" s="1"/>
  <c r="L543" i="61" s="1"/>
  <c r="L544" i="61" s="1"/>
  <c r="L545" i="61" s="1"/>
  <c r="L546" i="61" s="1"/>
  <c r="L547" i="61" s="1"/>
  <c r="L548" i="61" s="1"/>
  <c r="L549" i="61" s="1"/>
  <c r="L550" i="61" s="1"/>
  <c r="L551" i="61" s="1"/>
  <c r="L552" i="61" s="1"/>
  <c r="L553" i="61" s="1"/>
  <c r="L554" i="61" s="1"/>
  <c r="L555" i="61" s="1"/>
  <c r="L556" i="61" s="1"/>
  <c r="L557" i="61" s="1"/>
  <c r="L558" i="61" s="1"/>
  <c r="L559" i="61" s="1"/>
  <c r="L560" i="61" s="1"/>
  <c r="L561" i="61" s="1"/>
  <c r="L562" i="61" s="1"/>
  <c r="L563" i="61" s="1"/>
  <c r="L564" i="61" s="1"/>
  <c r="L565" i="61" s="1"/>
  <c r="L566" i="61" s="1"/>
  <c r="L567" i="61" s="1"/>
  <c r="L568" i="61" s="1"/>
  <c r="L569" i="61" s="1"/>
  <c r="L570" i="61" s="1"/>
  <c r="L571" i="61" s="1"/>
  <c r="L572" i="61" s="1"/>
  <c r="L573" i="61" s="1"/>
  <c r="L574" i="61" s="1"/>
  <c r="L575" i="61" s="1"/>
  <c r="L576" i="61" s="1"/>
  <c r="L577" i="61" s="1"/>
  <c r="L578" i="61" s="1"/>
  <c r="L579" i="61" s="1"/>
  <c r="L580" i="61" s="1"/>
  <c r="L581" i="61" s="1"/>
  <c r="L582" i="61" s="1"/>
  <c r="L583" i="61" s="1"/>
  <c r="L584" i="61" s="1"/>
  <c r="L585" i="61" s="1"/>
  <c r="L586" i="61" s="1"/>
  <c r="L587" i="61" s="1"/>
  <c r="L588" i="61" s="1"/>
  <c r="L589" i="61" s="1"/>
  <c r="L590" i="61" s="1"/>
  <c r="L591" i="61" s="1"/>
  <c r="L592" i="61" s="1"/>
  <c r="L593" i="61" s="1"/>
  <c r="L594" i="61" s="1"/>
  <c r="L595" i="61" s="1"/>
  <c r="L596" i="61" s="1"/>
  <c r="L597" i="61" s="1"/>
  <c r="L598" i="61" s="1"/>
  <c r="L599" i="61" s="1"/>
  <c r="L600" i="61" s="1"/>
  <c r="L601" i="61" s="1"/>
  <c r="L602" i="61" s="1"/>
  <c r="L603" i="61" s="1"/>
  <c r="L604" i="61" s="1"/>
  <c r="L605" i="61" s="1"/>
  <c r="L606" i="61" s="1"/>
  <c r="L607" i="61" s="1"/>
  <c r="L608" i="61" s="1"/>
  <c r="L609" i="61" s="1"/>
  <c r="L610" i="61" s="1"/>
  <c r="L611" i="61" s="1"/>
  <c r="L612" i="61" s="1"/>
  <c r="L613" i="61" s="1"/>
  <c r="L614" i="61" s="1"/>
  <c r="L615" i="61" s="1"/>
  <c r="L616" i="61" s="1"/>
  <c r="L617" i="61" s="1"/>
  <c r="L618" i="61" s="1"/>
  <c r="L619" i="61" s="1"/>
  <c r="L620" i="61" s="1"/>
  <c r="L621" i="61" s="1"/>
  <c r="L622" i="61" s="1"/>
  <c r="L623" i="61" s="1"/>
  <c r="L624" i="61" s="1"/>
  <c r="L625" i="61" s="1"/>
  <c r="L626" i="61" s="1"/>
  <c r="L627" i="61" s="1"/>
  <c r="L628" i="61" s="1"/>
  <c r="L629" i="61" s="1"/>
  <c r="L630" i="61" s="1"/>
  <c r="L631" i="61" s="1"/>
  <c r="L632" i="61" s="1"/>
  <c r="L633" i="61" s="1"/>
  <c r="L634" i="61" s="1"/>
  <c r="L635" i="61" s="1"/>
  <c r="L636" i="61" s="1"/>
  <c r="L637" i="61" s="1"/>
  <c r="L638" i="61" s="1"/>
  <c r="L639" i="61" s="1"/>
  <c r="L640" i="61" s="1"/>
  <c r="G74" i="51"/>
  <c r="I28" i="61"/>
  <c r="I29" i="61" s="1"/>
  <c r="I30" i="61" s="1"/>
  <c r="I31" i="61" s="1"/>
  <c r="I32" i="61" s="1"/>
  <c r="I33" i="61" s="1"/>
  <c r="I34" i="61" s="1"/>
  <c r="I35" i="61" s="1"/>
  <c r="I36" i="61" s="1"/>
  <c r="I37" i="61" s="1"/>
  <c r="I38" i="61" s="1"/>
  <c r="I39" i="61" s="1"/>
  <c r="I40" i="61" s="1"/>
  <c r="I41" i="61" s="1"/>
  <c r="I42" i="61" s="1"/>
  <c r="I43" i="61" s="1"/>
  <c r="I44" i="61" s="1"/>
  <c r="I45" i="61" s="1"/>
  <c r="I46" i="61" s="1"/>
  <c r="I47" i="61" s="1"/>
  <c r="I48" i="61" s="1"/>
  <c r="I49" i="61" s="1"/>
  <c r="I50" i="61" s="1"/>
  <c r="I51" i="61" s="1"/>
  <c r="I52" i="61" s="1"/>
  <c r="I53" i="61" s="1"/>
  <c r="I54" i="61" s="1"/>
  <c r="I55" i="61" s="1"/>
  <c r="I56" i="61" s="1"/>
  <c r="I57" i="61" s="1"/>
  <c r="I58" i="61" s="1"/>
  <c r="I59" i="61" s="1"/>
  <c r="I60" i="61" s="1"/>
  <c r="I61" i="61" s="1"/>
  <c r="I62" i="61" s="1"/>
  <c r="I63" i="61" s="1"/>
  <c r="I64" i="61" s="1"/>
  <c r="I65" i="61" s="1"/>
  <c r="I66" i="61" s="1"/>
  <c r="I67" i="61" s="1"/>
  <c r="I68" i="61" s="1"/>
  <c r="I69" i="61" s="1"/>
  <c r="I70" i="61" s="1"/>
  <c r="I71" i="61" s="1"/>
  <c r="I72" i="61" s="1"/>
  <c r="I73" i="61" s="1"/>
  <c r="I74" i="61" s="1"/>
  <c r="I75" i="61" s="1"/>
  <c r="I76" i="61" s="1"/>
  <c r="I77" i="61" s="1"/>
  <c r="I78" i="61" s="1"/>
  <c r="I79" i="61" s="1"/>
  <c r="I80" i="61" s="1"/>
  <c r="I81" i="61" s="1"/>
  <c r="I82" i="61" s="1"/>
  <c r="I83" i="61" s="1"/>
  <c r="I84" i="61" s="1"/>
  <c r="I85" i="61" s="1"/>
  <c r="I86" i="61" s="1"/>
  <c r="I87" i="61" s="1"/>
  <c r="I88" i="61" s="1"/>
  <c r="I89" i="61" s="1"/>
  <c r="I90" i="61" s="1"/>
  <c r="I91" i="61" s="1"/>
  <c r="I92" i="61" s="1"/>
  <c r="I93" i="61" s="1"/>
  <c r="I94" i="61" s="1"/>
  <c r="I95" i="61" s="1"/>
  <c r="I96" i="61" s="1"/>
  <c r="I97" i="61" s="1"/>
  <c r="I98" i="61" s="1"/>
  <c r="I99" i="61" s="1"/>
  <c r="I100" i="61" s="1"/>
  <c r="I101" i="61" s="1"/>
  <c r="I102" i="61" s="1"/>
  <c r="I103" i="61" s="1"/>
  <c r="I104" i="61" s="1"/>
  <c r="I105" i="61" s="1"/>
  <c r="I106" i="61" s="1"/>
  <c r="I107" i="61" s="1"/>
  <c r="I108" i="61" s="1"/>
  <c r="I109" i="61" s="1"/>
  <c r="I110" i="61" s="1"/>
  <c r="I111" i="61" s="1"/>
  <c r="I112" i="61" s="1"/>
  <c r="I113" i="61" s="1"/>
  <c r="I114" i="61" s="1"/>
  <c r="I115" i="61" s="1"/>
  <c r="I116" i="61" s="1"/>
  <c r="I117" i="61" s="1"/>
  <c r="I118" i="61" s="1"/>
  <c r="I119" i="61" s="1"/>
  <c r="I120" i="61" s="1"/>
  <c r="I121" i="61" s="1"/>
  <c r="I122" i="61" s="1"/>
  <c r="I123" i="61" s="1"/>
  <c r="I124" i="61" s="1"/>
  <c r="I125" i="61" s="1"/>
  <c r="I126" i="61" s="1"/>
  <c r="I127" i="61" s="1"/>
  <c r="I128" i="61" s="1"/>
  <c r="I129" i="61" s="1"/>
  <c r="I130" i="61" s="1"/>
  <c r="I131" i="61" s="1"/>
  <c r="I132" i="61" s="1"/>
  <c r="I133" i="61" s="1"/>
  <c r="I134" i="61" s="1"/>
  <c r="I135" i="61" s="1"/>
  <c r="I136" i="61" s="1"/>
  <c r="I137" i="61" s="1"/>
  <c r="I138" i="61" s="1"/>
  <c r="I139" i="61" s="1"/>
  <c r="I140" i="61" s="1"/>
  <c r="I141" i="61" s="1"/>
  <c r="I142" i="61" s="1"/>
  <c r="I143" i="61" s="1"/>
  <c r="I144" i="61" s="1"/>
  <c r="I145" i="61" s="1"/>
  <c r="I146" i="61" s="1"/>
  <c r="I147" i="61" s="1"/>
  <c r="I148" i="61" s="1"/>
  <c r="I149" i="61" s="1"/>
  <c r="I150" i="61" s="1"/>
  <c r="I151" i="61" s="1"/>
  <c r="I152" i="61" s="1"/>
  <c r="I153" i="61" s="1"/>
  <c r="I154" i="61" s="1"/>
  <c r="I155" i="61" s="1"/>
  <c r="I156" i="61" s="1"/>
  <c r="I157" i="61" s="1"/>
  <c r="I158" i="61" s="1"/>
  <c r="I159" i="61" s="1"/>
  <c r="I160" i="61" s="1"/>
  <c r="I161" i="61" s="1"/>
  <c r="I162" i="61" s="1"/>
  <c r="I163" i="61" s="1"/>
  <c r="I164" i="61" s="1"/>
  <c r="I165" i="61" s="1"/>
  <c r="I166" i="61" s="1"/>
  <c r="I167" i="61" s="1"/>
  <c r="I168" i="61" s="1"/>
  <c r="I169" i="61" s="1"/>
  <c r="I170" i="61" s="1"/>
  <c r="I171" i="61" s="1"/>
  <c r="I172" i="61" s="1"/>
  <c r="I173" i="61" s="1"/>
  <c r="I174" i="61" s="1"/>
  <c r="I175" i="61" s="1"/>
  <c r="I176" i="61" s="1"/>
  <c r="I177" i="61" s="1"/>
  <c r="I178" i="61" s="1"/>
  <c r="I179" i="61" s="1"/>
  <c r="I180" i="61" s="1"/>
  <c r="I181" i="61" s="1"/>
  <c r="I182" i="61" s="1"/>
  <c r="I183" i="61" s="1"/>
  <c r="I184" i="61" s="1"/>
  <c r="I185" i="61" s="1"/>
  <c r="I186" i="61" s="1"/>
  <c r="I187" i="61" s="1"/>
  <c r="I188" i="61" s="1"/>
  <c r="I189" i="61" s="1"/>
  <c r="I190" i="61" s="1"/>
  <c r="I191" i="61" s="1"/>
  <c r="I192" i="61" s="1"/>
  <c r="I193" i="61" s="1"/>
  <c r="I194" i="61" s="1"/>
  <c r="I195" i="61" s="1"/>
  <c r="I196" i="61" s="1"/>
  <c r="I197" i="61" s="1"/>
  <c r="I198" i="61" s="1"/>
  <c r="I199" i="61" s="1"/>
  <c r="I200" i="61" s="1"/>
  <c r="I201" i="61" s="1"/>
  <c r="I202" i="61" s="1"/>
  <c r="I203" i="61" s="1"/>
  <c r="I204" i="61" s="1"/>
  <c r="I205" i="61" s="1"/>
  <c r="I206" i="61" s="1"/>
  <c r="I207" i="61" s="1"/>
  <c r="I208" i="61" s="1"/>
  <c r="I209" i="61" s="1"/>
  <c r="I210" i="61" s="1"/>
  <c r="I211" i="61" s="1"/>
  <c r="I212" i="61" s="1"/>
  <c r="I213" i="61" s="1"/>
  <c r="I214" i="61" s="1"/>
  <c r="I215" i="61" s="1"/>
  <c r="I216" i="61" s="1"/>
  <c r="I217" i="61" s="1"/>
  <c r="I218" i="61" s="1"/>
  <c r="I219" i="61" s="1"/>
  <c r="I220" i="61" s="1"/>
  <c r="I221" i="61" s="1"/>
  <c r="I222" i="61" s="1"/>
  <c r="I223" i="61" s="1"/>
  <c r="I224" i="61" s="1"/>
  <c r="I225" i="61" s="1"/>
  <c r="I226" i="61" s="1"/>
  <c r="I227" i="61" s="1"/>
  <c r="I228" i="61" s="1"/>
  <c r="I229" i="61" s="1"/>
  <c r="I230" i="61" s="1"/>
  <c r="I231" i="61" s="1"/>
  <c r="I232" i="61" s="1"/>
  <c r="I233" i="61" s="1"/>
  <c r="I234" i="61" s="1"/>
  <c r="I235" i="61" s="1"/>
  <c r="I236" i="61" s="1"/>
  <c r="I237" i="61" s="1"/>
  <c r="I238" i="61" s="1"/>
  <c r="I239" i="61" s="1"/>
  <c r="I240" i="61" s="1"/>
  <c r="I241" i="61" s="1"/>
  <c r="I242" i="61" s="1"/>
  <c r="I243" i="61" s="1"/>
  <c r="I244" i="61" s="1"/>
  <c r="I245" i="61" s="1"/>
  <c r="I246" i="61" s="1"/>
  <c r="I247" i="61" s="1"/>
  <c r="I248" i="61" s="1"/>
  <c r="I249" i="61" s="1"/>
  <c r="I250" i="61" s="1"/>
  <c r="I251" i="61" s="1"/>
  <c r="I252" i="61" s="1"/>
  <c r="I253" i="61" s="1"/>
  <c r="I254" i="61" s="1"/>
  <c r="I255" i="61" s="1"/>
  <c r="I256" i="61" s="1"/>
  <c r="I257" i="61" s="1"/>
  <c r="I258" i="61" s="1"/>
  <c r="I259" i="61" s="1"/>
  <c r="I260" i="61" s="1"/>
  <c r="I261" i="61" s="1"/>
  <c r="I262" i="61" s="1"/>
  <c r="I263" i="61" s="1"/>
  <c r="I264" i="61" s="1"/>
  <c r="I265" i="61" s="1"/>
  <c r="I266" i="61" s="1"/>
  <c r="I267" i="61" s="1"/>
  <c r="I268" i="61" s="1"/>
  <c r="I269" i="61" s="1"/>
  <c r="I270" i="61" s="1"/>
  <c r="I271" i="61" s="1"/>
  <c r="I272" i="61" s="1"/>
  <c r="I273" i="61" s="1"/>
  <c r="I274" i="61" s="1"/>
  <c r="I275" i="61" s="1"/>
  <c r="I276" i="61" s="1"/>
  <c r="I277" i="61" s="1"/>
  <c r="I278" i="61" s="1"/>
  <c r="I279" i="61" s="1"/>
  <c r="I280" i="61" s="1"/>
  <c r="I281" i="61" s="1"/>
  <c r="I282" i="61" s="1"/>
  <c r="I283" i="61" s="1"/>
  <c r="I284" i="61" s="1"/>
  <c r="I285" i="61" s="1"/>
  <c r="I286" i="61" s="1"/>
  <c r="I287" i="61" s="1"/>
  <c r="I288" i="61" s="1"/>
  <c r="I289" i="61" s="1"/>
  <c r="I290" i="61" s="1"/>
  <c r="I291" i="61" s="1"/>
  <c r="I292" i="61" s="1"/>
  <c r="I293" i="61" s="1"/>
  <c r="I294" i="61" s="1"/>
  <c r="I295" i="61" s="1"/>
  <c r="I296" i="61" s="1"/>
  <c r="I297" i="61" s="1"/>
  <c r="I298" i="61" s="1"/>
  <c r="I299" i="61" s="1"/>
  <c r="I300" i="61" s="1"/>
  <c r="I301" i="61" s="1"/>
  <c r="I302" i="61" s="1"/>
  <c r="I303" i="61" s="1"/>
  <c r="I304" i="61" s="1"/>
  <c r="I305" i="61" s="1"/>
  <c r="I306" i="61" s="1"/>
  <c r="I307" i="61" s="1"/>
  <c r="I308" i="61" s="1"/>
  <c r="I309" i="61" s="1"/>
  <c r="I310" i="61" s="1"/>
  <c r="I311" i="61" s="1"/>
  <c r="I312" i="61" s="1"/>
  <c r="I313" i="61" s="1"/>
  <c r="I314" i="61" s="1"/>
  <c r="I315" i="61" s="1"/>
  <c r="I316" i="61" s="1"/>
  <c r="I317" i="61" s="1"/>
  <c r="I318" i="61" s="1"/>
  <c r="I319" i="61" s="1"/>
  <c r="I320" i="61" s="1"/>
  <c r="I321" i="61" s="1"/>
  <c r="I322" i="61" s="1"/>
  <c r="I323" i="61" s="1"/>
  <c r="I324" i="61" s="1"/>
  <c r="I325" i="61" s="1"/>
  <c r="I326" i="61" s="1"/>
  <c r="I327" i="61" s="1"/>
  <c r="I328" i="61" s="1"/>
  <c r="I329" i="61" s="1"/>
  <c r="I330" i="61" s="1"/>
  <c r="I331" i="61" s="1"/>
  <c r="I332" i="61" s="1"/>
  <c r="I333" i="61" s="1"/>
  <c r="I334" i="61" s="1"/>
  <c r="I335" i="61" s="1"/>
  <c r="I336" i="61" s="1"/>
  <c r="I337" i="61" s="1"/>
  <c r="I338" i="61" s="1"/>
  <c r="I339" i="61" s="1"/>
  <c r="I340" i="61" s="1"/>
  <c r="I341" i="61" s="1"/>
  <c r="I342" i="61" s="1"/>
  <c r="I343" i="61" s="1"/>
  <c r="I344" i="61" s="1"/>
  <c r="I345" i="61" s="1"/>
  <c r="I346" i="61" s="1"/>
  <c r="I347" i="61" s="1"/>
  <c r="I348" i="61" s="1"/>
  <c r="I349" i="61" s="1"/>
  <c r="I350" i="61" s="1"/>
  <c r="I351" i="61" s="1"/>
  <c r="I352" i="61" s="1"/>
  <c r="I353" i="61" s="1"/>
  <c r="I354" i="61" s="1"/>
  <c r="I355" i="61" s="1"/>
  <c r="I356" i="61" s="1"/>
  <c r="I357" i="61" s="1"/>
  <c r="I358" i="61" s="1"/>
  <c r="I359" i="61" s="1"/>
  <c r="I360" i="61" s="1"/>
  <c r="I361" i="61" s="1"/>
  <c r="I362" i="61" s="1"/>
  <c r="I363" i="61" s="1"/>
  <c r="I364" i="61" s="1"/>
  <c r="I365" i="61" s="1"/>
  <c r="I366" i="61" s="1"/>
  <c r="I367" i="61" s="1"/>
  <c r="I368" i="61" s="1"/>
  <c r="I369" i="61" s="1"/>
  <c r="I370" i="61" s="1"/>
  <c r="I371" i="61" s="1"/>
  <c r="I372" i="61" s="1"/>
  <c r="I373" i="61" s="1"/>
  <c r="I374" i="61" s="1"/>
  <c r="I375" i="61" s="1"/>
  <c r="I376" i="61" s="1"/>
  <c r="I377" i="61" s="1"/>
  <c r="I378" i="61" s="1"/>
  <c r="I379" i="61" s="1"/>
  <c r="I380" i="61" s="1"/>
  <c r="I381" i="61" s="1"/>
  <c r="I382" i="61" s="1"/>
  <c r="I383" i="61" s="1"/>
  <c r="I384" i="61" s="1"/>
  <c r="I385" i="61" s="1"/>
  <c r="I386" i="61" s="1"/>
  <c r="I387" i="61" s="1"/>
  <c r="I388" i="61" s="1"/>
  <c r="I389" i="61" s="1"/>
  <c r="I390" i="61" s="1"/>
  <c r="I391" i="61" s="1"/>
  <c r="I392" i="61" s="1"/>
  <c r="I393" i="61" s="1"/>
  <c r="I394" i="61" s="1"/>
  <c r="I395" i="61" s="1"/>
  <c r="I396" i="61" s="1"/>
  <c r="I397" i="61" s="1"/>
  <c r="I398" i="61" s="1"/>
  <c r="I399" i="61" s="1"/>
  <c r="I400" i="61" s="1"/>
  <c r="I401" i="61" s="1"/>
  <c r="I402" i="61" s="1"/>
  <c r="I403" i="61" s="1"/>
  <c r="I404" i="61" s="1"/>
  <c r="I405" i="61" s="1"/>
  <c r="I406" i="61" s="1"/>
  <c r="I407" i="61" s="1"/>
  <c r="I408" i="61" s="1"/>
  <c r="I409" i="61" s="1"/>
  <c r="I410" i="61" s="1"/>
  <c r="I411" i="61" s="1"/>
  <c r="I412" i="61" s="1"/>
  <c r="I413" i="61" s="1"/>
  <c r="I414" i="61" s="1"/>
  <c r="I415" i="61" s="1"/>
  <c r="I416" i="61" s="1"/>
  <c r="I417" i="61" s="1"/>
  <c r="I418" i="61" s="1"/>
  <c r="I419" i="61" s="1"/>
  <c r="I420" i="61" s="1"/>
  <c r="I421" i="61" s="1"/>
  <c r="I422" i="61" s="1"/>
  <c r="I423" i="61" s="1"/>
  <c r="I424" i="61" s="1"/>
  <c r="I425" i="61" s="1"/>
  <c r="I426" i="61" s="1"/>
  <c r="I427" i="61" s="1"/>
  <c r="I428" i="61" s="1"/>
  <c r="I429" i="61" s="1"/>
  <c r="I430" i="61" s="1"/>
  <c r="I431" i="61" s="1"/>
  <c r="I432" i="61" s="1"/>
  <c r="I433" i="61" s="1"/>
  <c r="I434" i="61" s="1"/>
  <c r="I435" i="61" s="1"/>
  <c r="I436" i="61" s="1"/>
  <c r="I437" i="61" s="1"/>
  <c r="I438" i="61" s="1"/>
  <c r="I439" i="61" s="1"/>
  <c r="I440" i="61" s="1"/>
  <c r="I441" i="61" s="1"/>
  <c r="I442" i="61" s="1"/>
  <c r="I443" i="61" s="1"/>
  <c r="I444" i="61" s="1"/>
  <c r="I445" i="61" s="1"/>
  <c r="I446" i="61" s="1"/>
  <c r="I447" i="61" s="1"/>
  <c r="I448" i="61" s="1"/>
  <c r="I449" i="61" s="1"/>
  <c r="I450" i="61" s="1"/>
  <c r="I451" i="61" s="1"/>
  <c r="I452" i="61" s="1"/>
  <c r="I453" i="61" s="1"/>
  <c r="I454" i="61" s="1"/>
  <c r="I455" i="61" s="1"/>
  <c r="I456" i="61" s="1"/>
  <c r="I457" i="61" s="1"/>
  <c r="I458" i="61" s="1"/>
  <c r="I459" i="61" s="1"/>
  <c r="I460" i="61" s="1"/>
  <c r="I461" i="61" s="1"/>
  <c r="I462" i="61" s="1"/>
  <c r="I463" i="61" s="1"/>
  <c r="I464" i="61" s="1"/>
  <c r="I465" i="61" s="1"/>
  <c r="I466" i="61" s="1"/>
  <c r="I467" i="61" s="1"/>
  <c r="I468" i="61" s="1"/>
  <c r="I469" i="61" s="1"/>
  <c r="I470" i="61" s="1"/>
  <c r="I471" i="61" s="1"/>
  <c r="I472" i="61" s="1"/>
  <c r="I473" i="61" s="1"/>
  <c r="I474" i="61" s="1"/>
  <c r="I475" i="61" s="1"/>
  <c r="I476" i="61" s="1"/>
  <c r="I477" i="61" s="1"/>
  <c r="I478" i="61" s="1"/>
  <c r="I479" i="61" s="1"/>
  <c r="I480" i="61" s="1"/>
  <c r="I481" i="61" s="1"/>
  <c r="I482" i="61" s="1"/>
  <c r="I483" i="61" s="1"/>
  <c r="I484" i="61" s="1"/>
  <c r="I485" i="61" s="1"/>
  <c r="I486" i="61" s="1"/>
  <c r="I487" i="61" s="1"/>
  <c r="I488" i="61" s="1"/>
  <c r="I489" i="61" s="1"/>
  <c r="I490" i="61" s="1"/>
  <c r="I491" i="61" s="1"/>
  <c r="I492" i="61" s="1"/>
  <c r="I493" i="61" s="1"/>
  <c r="I494" i="61" s="1"/>
  <c r="I495" i="61" s="1"/>
  <c r="I496" i="61" s="1"/>
  <c r="I497" i="61" s="1"/>
  <c r="I498" i="61" s="1"/>
  <c r="I499" i="61" s="1"/>
  <c r="I500" i="61" s="1"/>
  <c r="I501" i="61" s="1"/>
  <c r="I502" i="61" s="1"/>
  <c r="I503" i="61" s="1"/>
  <c r="I504" i="61" s="1"/>
  <c r="I505" i="61" s="1"/>
  <c r="I506" i="61" s="1"/>
  <c r="I507" i="61" s="1"/>
  <c r="I508" i="61" s="1"/>
  <c r="I509" i="61" s="1"/>
  <c r="I510" i="61" s="1"/>
  <c r="I511" i="61" s="1"/>
  <c r="I512" i="61" s="1"/>
  <c r="I513" i="61" s="1"/>
  <c r="I514" i="61" s="1"/>
  <c r="I515" i="61" s="1"/>
  <c r="I516" i="61" s="1"/>
  <c r="I517" i="61" s="1"/>
  <c r="I518" i="61" s="1"/>
  <c r="I519" i="61" s="1"/>
  <c r="I520" i="61" s="1"/>
  <c r="I521" i="61" s="1"/>
  <c r="I522" i="61" s="1"/>
  <c r="I523" i="61" s="1"/>
  <c r="I524" i="61" s="1"/>
  <c r="I525" i="61" s="1"/>
  <c r="I526" i="61" s="1"/>
  <c r="I527" i="61" s="1"/>
  <c r="I528" i="61" s="1"/>
  <c r="I529" i="61" s="1"/>
  <c r="I530" i="61" s="1"/>
  <c r="I531" i="61" s="1"/>
  <c r="I532" i="61" s="1"/>
  <c r="I533" i="61" s="1"/>
  <c r="I534" i="61" s="1"/>
  <c r="I535" i="61" s="1"/>
  <c r="I536" i="61" s="1"/>
  <c r="I537" i="61" s="1"/>
  <c r="I538" i="61" s="1"/>
  <c r="I539" i="61" s="1"/>
  <c r="I540" i="61" s="1"/>
  <c r="I541" i="61" s="1"/>
  <c r="I542" i="61" s="1"/>
  <c r="I543" i="61" s="1"/>
  <c r="I544" i="61" s="1"/>
  <c r="I545" i="61" s="1"/>
  <c r="I546" i="61" s="1"/>
  <c r="I547" i="61" s="1"/>
  <c r="I548" i="61" s="1"/>
  <c r="I549" i="61" s="1"/>
  <c r="I550" i="61" s="1"/>
  <c r="I551" i="61" s="1"/>
  <c r="I552" i="61" s="1"/>
  <c r="I553" i="61" s="1"/>
  <c r="I554" i="61" s="1"/>
  <c r="I555" i="61" s="1"/>
  <c r="I556" i="61" s="1"/>
  <c r="I557" i="61" s="1"/>
  <c r="I558" i="61" s="1"/>
  <c r="I559" i="61" s="1"/>
  <c r="I560" i="61" s="1"/>
  <c r="I561" i="61" s="1"/>
  <c r="I562" i="61" s="1"/>
  <c r="I563" i="61" s="1"/>
  <c r="I564" i="61" s="1"/>
  <c r="I565" i="61" s="1"/>
  <c r="I566" i="61" s="1"/>
  <c r="I567" i="61" s="1"/>
  <c r="I568" i="61" s="1"/>
  <c r="I569" i="61" s="1"/>
  <c r="I570" i="61" s="1"/>
  <c r="I571" i="61" s="1"/>
  <c r="I572" i="61" s="1"/>
  <c r="I573" i="61" s="1"/>
  <c r="I574" i="61" s="1"/>
  <c r="I575" i="61" s="1"/>
  <c r="I576" i="61" s="1"/>
  <c r="I577" i="61" s="1"/>
  <c r="I578" i="61" s="1"/>
  <c r="I579" i="61" s="1"/>
  <c r="I580" i="61" s="1"/>
  <c r="R26" i="61"/>
  <c r="Q26" i="61"/>
  <c r="S26" i="61" s="1"/>
  <c r="N28" i="61"/>
  <c r="N29" i="61" s="1"/>
  <c r="N30" i="61" s="1"/>
  <c r="N31" i="61" s="1"/>
  <c r="N32" i="61" s="1"/>
  <c r="N33" i="61" s="1"/>
  <c r="N34" i="61" s="1"/>
  <c r="N35" i="61" s="1"/>
  <c r="N36" i="61" s="1"/>
  <c r="N37" i="61" s="1"/>
  <c r="N38" i="61" s="1"/>
  <c r="N39" i="61" s="1"/>
  <c r="N40" i="61" s="1"/>
  <c r="N41" i="61" s="1"/>
  <c r="N42" i="61" s="1"/>
  <c r="N43" i="61" s="1"/>
  <c r="N44" i="61" s="1"/>
  <c r="N45" i="61" s="1"/>
  <c r="N46" i="61" s="1"/>
  <c r="N47" i="61" s="1"/>
  <c r="N48" i="61" s="1"/>
  <c r="N49" i="61" s="1"/>
  <c r="N50" i="61" s="1"/>
  <c r="N51" i="61" s="1"/>
  <c r="N52" i="61" s="1"/>
  <c r="N53" i="61" s="1"/>
  <c r="N54" i="61" s="1"/>
  <c r="N55" i="61" s="1"/>
  <c r="N56" i="61" s="1"/>
  <c r="N57" i="61" s="1"/>
  <c r="N58" i="61" s="1"/>
  <c r="N59" i="61" s="1"/>
  <c r="N60" i="61" s="1"/>
  <c r="N61" i="61" s="1"/>
  <c r="N62" i="61" s="1"/>
  <c r="N63" i="61" s="1"/>
  <c r="N64" i="61" s="1"/>
  <c r="N65" i="61" s="1"/>
  <c r="N66" i="61" s="1"/>
  <c r="N67" i="61" s="1"/>
  <c r="N68" i="61" s="1"/>
  <c r="N69" i="61" s="1"/>
  <c r="N70" i="61" s="1"/>
  <c r="N71" i="61" s="1"/>
  <c r="N72" i="61" s="1"/>
  <c r="N73" i="61" s="1"/>
  <c r="N74" i="61" s="1"/>
  <c r="N75" i="61" s="1"/>
  <c r="N76" i="61" s="1"/>
  <c r="N77" i="61" s="1"/>
  <c r="N78" i="61" s="1"/>
  <c r="N79" i="61" s="1"/>
  <c r="N80" i="61" s="1"/>
  <c r="N81" i="61" s="1"/>
  <c r="N82" i="61" s="1"/>
  <c r="N83" i="61" s="1"/>
  <c r="N84" i="61" s="1"/>
  <c r="N85" i="61" s="1"/>
  <c r="N86" i="61" s="1"/>
  <c r="N87" i="61" s="1"/>
  <c r="N88" i="61" s="1"/>
  <c r="N89" i="61" s="1"/>
  <c r="N90" i="61" s="1"/>
  <c r="N91" i="61" s="1"/>
  <c r="N92" i="61" s="1"/>
  <c r="N93" i="61" s="1"/>
  <c r="N94" i="61" s="1"/>
  <c r="N95" i="61" s="1"/>
  <c r="N96" i="61" s="1"/>
  <c r="N97" i="61" s="1"/>
  <c r="N98" i="61" s="1"/>
  <c r="N99" i="61" s="1"/>
  <c r="N100" i="61" s="1"/>
  <c r="N101" i="61" s="1"/>
  <c r="N102" i="61" s="1"/>
  <c r="N103" i="61" s="1"/>
  <c r="N104" i="61" s="1"/>
  <c r="N105" i="61" s="1"/>
  <c r="N106" i="61" s="1"/>
  <c r="N107" i="61" s="1"/>
  <c r="N108" i="61" s="1"/>
  <c r="N109" i="61" s="1"/>
  <c r="N110" i="61" s="1"/>
  <c r="N111" i="61" s="1"/>
  <c r="N112" i="61" s="1"/>
  <c r="N113" i="61" s="1"/>
  <c r="N114" i="61" s="1"/>
  <c r="N115" i="61" s="1"/>
  <c r="N116" i="61" s="1"/>
  <c r="N117" i="61" s="1"/>
  <c r="N118" i="61" s="1"/>
  <c r="N119" i="61" s="1"/>
  <c r="N120" i="61" s="1"/>
  <c r="N121" i="61" s="1"/>
  <c r="N122" i="61" s="1"/>
  <c r="N123" i="61" s="1"/>
  <c r="N124" i="61" s="1"/>
  <c r="N125" i="61" s="1"/>
  <c r="N126" i="61" s="1"/>
  <c r="N127" i="61" s="1"/>
  <c r="N128" i="61" s="1"/>
  <c r="N129" i="61" s="1"/>
  <c r="N130" i="61" s="1"/>
  <c r="N131" i="61" s="1"/>
  <c r="N132" i="61" s="1"/>
  <c r="N133" i="61" s="1"/>
  <c r="N134" i="61" s="1"/>
  <c r="N135" i="61" s="1"/>
  <c r="N136" i="61" s="1"/>
  <c r="N137" i="61" s="1"/>
  <c r="N138" i="61" s="1"/>
  <c r="N139" i="61" s="1"/>
  <c r="N140" i="61" s="1"/>
  <c r="N141" i="61" s="1"/>
  <c r="N142" i="61" s="1"/>
  <c r="N143" i="61" s="1"/>
  <c r="N144" i="61" s="1"/>
  <c r="N145" i="61" s="1"/>
  <c r="N146" i="61" s="1"/>
  <c r="N147" i="61" s="1"/>
  <c r="N148" i="61" s="1"/>
  <c r="N149" i="61" s="1"/>
  <c r="N150" i="61" s="1"/>
  <c r="N151" i="61" s="1"/>
  <c r="N152" i="61" s="1"/>
  <c r="N153" i="61" s="1"/>
  <c r="N154" i="61" s="1"/>
  <c r="N155" i="61" s="1"/>
  <c r="N156" i="61" s="1"/>
  <c r="N157" i="61" s="1"/>
  <c r="N158" i="61" s="1"/>
  <c r="N159" i="61" s="1"/>
  <c r="N160" i="61" s="1"/>
  <c r="N161" i="61" s="1"/>
  <c r="N162" i="61" s="1"/>
  <c r="N163" i="61" s="1"/>
  <c r="N164" i="61" s="1"/>
  <c r="N165" i="61" s="1"/>
  <c r="N166" i="61" s="1"/>
  <c r="N167" i="61" s="1"/>
  <c r="N168" i="61" s="1"/>
  <c r="N169" i="61" s="1"/>
  <c r="N170" i="61" s="1"/>
  <c r="N171" i="61" s="1"/>
  <c r="N172" i="61" s="1"/>
  <c r="N173" i="61" s="1"/>
  <c r="N174" i="61" s="1"/>
  <c r="N175" i="61" s="1"/>
  <c r="N176" i="61" s="1"/>
  <c r="N177" i="61" s="1"/>
  <c r="N178" i="61" s="1"/>
  <c r="N179" i="61" s="1"/>
  <c r="N180" i="61" s="1"/>
  <c r="N181" i="61" s="1"/>
  <c r="N182" i="61" s="1"/>
  <c r="N183" i="61" s="1"/>
  <c r="N184" i="61" s="1"/>
  <c r="N185" i="61" s="1"/>
  <c r="N186" i="61" s="1"/>
  <c r="N187" i="61" s="1"/>
  <c r="N188" i="61" s="1"/>
  <c r="N189" i="61" s="1"/>
  <c r="N190" i="61" s="1"/>
  <c r="N191" i="61" s="1"/>
  <c r="N192" i="61" s="1"/>
  <c r="N193" i="61" s="1"/>
  <c r="N194" i="61" s="1"/>
  <c r="N195" i="61" s="1"/>
  <c r="N196" i="61" s="1"/>
  <c r="N197" i="61" s="1"/>
  <c r="N198" i="61" s="1"/>
  <c r="N199" i="61" s="1"/>
  <c r="N200" i="61" s="1"/>
  <c r="N201" i="61" s="1"/>
  <c r="N202" i="61" s="1"/>
  <c r="N203" i="61" s="1"/>
  <c r="N204" i="61" s="1"/>
  <c r="N205" i="61" s="1"/>
  <c r="N206" i="61" s="1"/>
  <c r="N207" i="61" s="1"/>
  <c r="N208" i="61" s="1"/>
  <c r="N209" i="61" s="1"/>
  <c r="N210" i="61" s="1"/>
  <c r="N211" i="61" s="1"/>
  <c r="N212" i="61" s="1"/>
  <c r="N213" i="61" s="1"/>
  <c r="N214" i="61" s="1"/>
  <c r="N215" i="61" s="1"/>
  <c r="N216" i="61" s="1"/>
  <c r="N217" i="61" s="1"/>
  <c r="N218" i="61" s="1"/>
  <c r="N219" i="61" s="1"/>
  <c r="N220" i="61" s="1"/>
  <c r="N221" i="61" s="1"/>
  <c r="N222" i="61" s="1"/>
  <c r="N223" i="61" s="1"/>
  <c r="N224" i="61" s="1"/>
  <c r="N225" i="61" s="1"/>
  <c r="N226" i="61" s="1"/>
  <c r="N227" i="61" s="1"/>
  <c r="N228" i="61" s="1"/>
  <c r="N229" i="61" s="1"/>
  <c r="N230" i="61" s="1"/>
  <c r="N231" i="61" s="1"/>
  <c r="N232" i="61" s="1"/>
  <c r="N233" i="61" s="1"/>
  <c r="N234" i="61" s="1"/>
  <c r="N235" i="61" s="1"/>
  <c r="N236" i="61" s="1"/>
  <c r="N237" i="61" s="1"/>
  <c r="N238" i="61" s="1"/>
  <c r="N239" i="61" s="1"/>
  <c r="N240" i="61" s="1"/>
  <c r="N241" i="61" s="1"/>
  <c r="N242" i="61" s="1"/>
  <c r="N243" i="61" s="1"/>
  <c r="N244" i="61" s="1"/>
  <c r="N245" i="61" s="1"/>
  <c r="N246" i="61" s="1"/>
  <c r="N247" i="61" s="1"/>
  <c r="N248" i="61" s="1"/>
  <c r="N249" i="61" s="1"/>
  <c r="N250" i="61" s="1"/>
  <c r="N251" i="61" s="1"/>
  <c r="N252" i="61" s="1"/>
  <c r="N253" i="61" s="1"/>
  <c r="N254" i="61" s="1"/>
  <c r="N255" i="61" s="1"/>
  <c r="N256" i="61" s="1"/>
  <c r="N257" i="61" s="1"/>
  <c r="N258" i="61" s="1"/>
  <c r="N259" i="61" s="1"/>
  <c r="N260" i="61" s="1"/>
  <c r="N261" i="61" s="1"/>
  <c r="N262" i="61" s="1"/>
  <c r="N263" i="61" s="1"/>
  <c r="N264" i="61" s="1"/>
  <c r="N265" i="61" s="1"/>
  <c r="N266" i="61" s="1"/>
  <c r="N267" i="61" s="1"/>
  <c r="N268" i="61" s="1"/>
  <c r="N269" i="61" s="1"/>
  <c r="N270" i="61" s="1"/>
  <c r="N271" i="61" s="1"/>
  <c r="N272" i="61" s="1"/>
  <c r="N273" i="61" s="1"/>
  <c r="N274" i="61" s="1"/>
  <c r="N275" i="61" s="1"/>
  <c r="N276" i="61" s="1"/>
  <c r="N277" i="61" s="1"/>
  <c r="N278" i="61" s="1"/>
  <c r="N279" i="61" s="1"/>
  <c r="N280" i="61" s="1"/>
  <c r="N281" i="61" s="1"/>
  <c r="N282" i="61" s="1"/>
  <c r="N283" i="61" s="1"/>
  <c r="N284" i="61" s="1"/>
  <c r="N285" i="61" s="1"/>
  <c r="N286" i="61" s="1"/>
  <c r="N287" i="61" s="1"/>
  <c r="N288" i="61" s="1"/>
  <c r="N289" i="61" s="1"/>
  <c r="N290" i="61" s="1"/>
  <c r="N291" i="61" s="1"/>
  <c r="N292" i="61" s="1"/>
  <c r="N293" i="61" s="1"/>
  <c r="N294" i="61" s="1"/>
  <c r="N295" i="61" s="1"/>
  <c r="N296" i="61" s="1"/>
  <c r="N297" i="61" s="1"/>
  <c r="N298" i="61" s="1"/>
  <c r="N299" i="61" s="1"/>
  <c r="N300" i="61" s="1"/>
  <c r="N301" i="61" s="1"/>
  <c r="N302" i="61" s="1"/>
  <c r="N303" i="61" s="1"/>
  <c r="N304" i="61" s="1"/>
  <c r="N305" i="61" s="1"/>
  <c r="N306" i="61" s="1"/>
  <c r="N307" i="61" s="1"/>
  <c r="N308" i="61" s="1"/>
  <c r="N309" i="61" s="1"/>
  <c r="N310" i="61" s="1"/>
  <c r="N311" i="61" s="1"/>
  <c r="N312" i="61" s="1"/>
  <c r="N313" i="61" s="1"/>
  <c r="N314" i="61" s="1"/>
  <c r="N315" i="61" s="1"/>
  <c r="N316" i="61" s="1"/>
  <c r="N317" i="61" s="1"/>
  <c r="N318" i="61" s="1"/>
  <c r="N319" i="61" s="1"/>
  <c r="N320" i="61" s="1"/>
  <c r="N321" i="61" s="1"/>
  <c r="N322" i="61" s="1"/>
  <c r="N323" i="61" s="1"/>
  <c r="N324" i="61" s="1"/>
  <c r="N325" i="61" s="1"/>
  <c r="N326" i="61" s="1"/>
  <c r="N327" i="61" s="1"/>
  <c r="N328" i="61" s="1"/>
  <c r="N329" i="61" s="1"/>
  <c r="N330" i="61" s="1"/>
  <c r="N331" i="61" s="1"/>
  <c r="N332" i="61" s="1"/>
  <c r="N333" i="61" s="1"/>
  <c r="N334" i="61" s="1"/>
  <c r="N335" i="61" s="1"/>
  <c r="N336" i="61" s="1"/>
  <c r="N337" i="61" s="1"/>
  <c r="N338" i="61" s="1"/>
  <c r="N339" i="61" s="1"/>
  <c r="N340" i="61" s="1"/>
  <c r="N341" i="61" s="1"/>
  <c r="N342" i="61" s="1"/>
  <c r="N343" i="61" s="1"/>
  <c r="N344" i="61" s="1"/>
  <c r="N345" i="61" s="1"/>
  <c r="N346" i="61" s="1"/>
  <c r="N347" i="61" s="1"/>
  <c r="N348" i="61" s="1"/>
  <c r="N349" i="61" s="1"/>
  <c r="N350" i="61" s="1"/>
  <c r="N351" i="61" s="1"/>
  <c r="N352" i="61" s="1"/>
  <c r="N353" i="61" s="1"/>
  <c r="N354" i="61" s="1"/>
  <c r="N355" i="61" s="1"/>
  <c r="N356" i="61" s="1"/>
  <c r="N357" i="61" s="1"/>
  <c r="N358" i="61" s="1"/>
  <c r="N359" i="61" s="1"/>
  <c r="N360" i="61" s="1"/>
  <c r="N361" i="61" s="1"/>
  <c r="N362" i="61" s="1"/>
  <c r="N363" i="61" s="1"/>
  <c r="N364" i="61" s="1"/>
  <c r="N365" i="61" s="1"/>
  <c r="N366" i="61" s="1"/>
  <c r="N367" i="61" s="1"/>
  <c r="N368" i="61" s="1"/>
  <c r="N369" i="61" s="1"/>
  <c r="N370" i="61" s="1"/>
  <c r="N371" i="61" s="1"/>
  <c r="N372" i="61" s="1"/>
  <c r="N373" i="61" s="1"/>
  <c r="N374" i="61" s="1"/>
  <c r="N375" i="61" s="1"/>
  <c r="N376" i="61" s="1"/>
  <c r="N377" i="61" s="1"/>
  <c r="N378" i="61" s="1"/>
  <c r="N379" i="61" s="1"/>
  <c r="N380" i="61" s="1"/>
  <c r="N381" i="61" s="1"/>
  <c r="N382" i="61" s="1"/>
  <c r="N383" i="61" s="1"/>
  <c r="N384" i="61" s="1"/>
  <c r="N385" i="61" s="1"/>
  <c r="N386" i="61" s="1"/>
  <c r="N387" i="61" s="1"/>
  <c r="N388" i="61" s="1"/>
  <c r="N389" i="61" s="1"/>
  <c r="N390" i="61" s="1"/>
  <c r="N391" i="61" s="1"/>
  <c r="N392" i="61" s="1"/>
  <c r="N393" i="61" s="1"/>
  <c r="N394" i="61" s="1"/>
  <c r="N395" i="61" s="1"/>
  <c r="N396" i="61" s="1"/>
  <c r="N397" i="61" s="1"/>
  <c r="N398" i="61" s="1"/>
  <c r="N399" i="61" s="1"/>
  <c r="N400" i="61" s="1"/>
  <c r="N401" i="61" s="1"/>
  <c r="N402" i="61" s="1"/>
  <c r="N403" i="61" s="1"/>
  <c r="N404" i="61" s="1"/>
  <c r="N405" i="61" s="1"/>
  <c r="N406" i="61" s="1"/>
  <c r="N407" i="61" s="1"/>
  <c r="N408" i="61" s="1"/>
  <c r="N409" i="61" s="1"/>
  <c r="N410" i="61" s="1"/>
  <c r="N411" i="61" s="1"/>
  <c r="N412" i="61" s="1"/>
  <c r="N413" i="61" s="1"/>
  <c r="N414" i="61" s="1"/>
  <c r="N415" i="61" s="1"/>
  <c r="N416" i="61" s="1"/>
  <c r="N417" i="61" s="1"/>
  <c r="N418" i="61" s="1"/>
  <c r="N419" i="61" s="1"/>
  <c r="N420" i="61" s="1"/>
  <c r="N421" i="61" s="1"/>
  <c r="N422" i="61" s="1"/>
  <c r="N423" i="61" s="1"/>
  <c r="N424" i="61" s="1"/>
  <c r="N425" i="61" s="1"/>
  <c r="N426" i="61" s="1"/>
  <c r="N427" i="61" s="1"/>
  <c r="N428" i="61" s="1"/>
  <c r="N429" i="61" s="1"/>
  <c r="N430" i="61" s="1"/>
  <c r="N431" i="61" s="1"/>
  <c r="N432" i="61" s="1"/>
  <c r="N433" i="61" s="1"/>
  <c r="N434" i="61" s="1"/>
  <c r="N435" i="61" s="1"/>
  <c r="N436" i="61" s="1"/>
  <c r="N437" i="61" s="1"/>
  <c r="N438" i="61" s="1"/>
  <c r="N439" i="61" s="1"/>
  <c r="N440" i="61" s="1"/>
  <c r="N441" i="61" s="1"/>
  <c r="N442" i="61" s="1"/>
  <c r="N443" i="61" s="1"/>
  <c r="N444" i="61" s="1"/>
  <c r="N445" i="61" s="1"/>
  <c r="N446" i="61" s="1"/>
  <c r="N447" i="61" s="1"/>
  <c r="N448" i="61" s="1"/>
  <c r="N449" i="61" s="1"/>
  <c r="N450" i="61" s="1"/>
  <c r="N451" i="61" s="1"/>
  <c r="N452" i="61" s="1"/>
  <c r="N453" i="61" s="1"/>
  <c r="N454" i="61" s="1"/>
  <c r="N455" i="61" s="1"/>
  <c r="N456" i="61" s="1"/>
  <c r="N457" i="61" s="1"/>
  <c r="N458" i="61" s="1"/>
  <c r="N459" i="61" s="1"/>
  <c r="N460" i="61" s="1"/>
  <c r="N461" i="61" s="1"/>
  <c r="N462" i="61" s="1"/>
  <c r="N463" i="61" s="1"/>
  <c r="N464" i="61" s="1"/>
  <c r="N465" i="61" s="1"/>
  <c r="N466" i="61" s="1"/>
  <c r="N467" i="61" s="1"/>
  <c r="N468" i="61" s="1"/>
  <c r="N469" i="61" s="1"/>
  <c r="N470" i="61" s="1"/>
  <c r="N471" i="61" s="1"/>
  <c r="N472" i="61" s="1"/>
  <c r="N473" i="61" s="1"/>
  <c r="N474" i="61" s="1"/>
  <c r="N475" i="61" s="1"/>
  <c r="N476" i="61" s="1"/>
  <c r="N477" i="61" s="1"/>
  <c r="N478" i="61" s="1"/>
  <c r="N479" i="61" s="1"/>
  <c r="N480" i="61" s="1"/>
  <c r="N481" i="61" s="1"/>
  <c r="N482" i="61" s="1"/>
  <c r="N483" i="61" s="1"/>
  <c r="N484" i="61" s="1"/>
  <c r="N485" i="61" s="1"/>
  <c r="N486" i="61" s="1"/>
  <c r="N487" i="61" s="1"/>
  <c r="N488" i="61" s="1"/>
  <c r="N489" i="61" s="1"/>
  <c r="N490" i="61" s="1"/>
  <c r="N491" i="61" s="1"/>
  <c r="N492" i="61" s="1"/>
  <c r="N493" i="61" s="1"/>
  <c r="N494" i="61" s="1"/>
  <c r="N495" i="61" s="1"/>
  <c r="N496" i="61" s="1"/>
  <c r="N497" i="61" s="1"/>
  <c r="N498" i="61" s="1"/>
  <c r="N499" i="61" s="1"/>
  <c r="N500" i="61" s="1"/>
  <c r="N501" i="61" s="1"/>
  <c r="N502" i="61" s="1"/>
  <c r="N503" i="61" s="1"/>
  <c r="N504" i="61" s="1"/>
  <c r="N505" i="61" s="1"/>
  <c r="N506" i="61" s="1"/>
  <c r="N507" i="61" s="1"/>
  <c r="N508" i="61" s="1"/>
  <c r="N509" i="61" s="1"/>
  <c r="N510" i="61" s="1"/>
  <c r="N511" i="61" s="1"/>
  <c r="N512" i="61" s="1"/>
  <c r="N513" i="61" s="1"/>
  <c r="N514" i="61" s="1"/>
  <c r="N515" i="61" s="1"/>
  <c r="N516" i="61" s="1"/>
  <c r="N517" i="61" s="1"/>
  <c r="N518" i="61" s="1"/>
  <c r="N519" i="61" s="1"/>
  <c r="N520" i="61" s="1"/>
  <c r="N521" i="61" s="1"/>
  <c r="N522" i="61" s="1"/>
  <c r="N523" i="61" s="1"/>
  <c r="N524" i="61" s="1"/>
  <c r="N525" i="61" s="1"/>
  <c r="N526" i="61" s="1"/>
  <c r="N527" i="61" s="1"/>
  <c r="N528" i="61" s="1"/>
  <c r="N529" i="61" s="1"/>
  <c r="N530" i="61" s="1"/>
  <c r="N531" i="61" s="1"/>
  <c r="N532" i="61" s="1"/>
  <c r="N533" i="61" s="1"/>
  <c r="N534" i="61" s="1"/>
  <c r="N535" i="61" s="1"/>
  <c r="N536" i="61" s="1"/>
  <c r="N537" i="61" s="1"/>
  <c r="N538" i="61" s="1"/>
  <c r="N539" i="61" s="1"/>
  <c r="N540" i="61" s="1"/>
  <c r="N541" i="61" s="1"/>
  <c r="N542" i="61" s="1"/>
  <c r="N543" i="61" s="1"/>
  <c r="N544" i="61" s="1"/>
  <c r="N545" i="61" s="1"/>
  <c r="N546" i="61" s="1"/>
  <c r="N547" i="61" s="1"/>
  <c r="N548" i="61" s="1"/>
  <c r="N549" i="61" s="1"/>
  <c r="N550" i="61" s="1"/>
  <c r="N551" i="61" s="1"/>
  <c r="N552" i="61" s="1"/>
  <c r="N553" i="61" s="1"/>
  <c r="N554" i="61" s="1"/>
  <c r="N555" i="61" s="1"/>
  <c r="N556" i="61" s="1"/>
  <c r="N557" i="61" s="1"/>
  <c r="N558" i="61" s="1"/>
  <c r="N559" i="61" s="1"/>
  <c r="N560" i="61" s="1"/>
  <c r="N561" i="61" s="1"/>
  <c r="N562" i="61" s="1"/>
  <c r="N563" i="61" s="1"/>
  <c r="N564" i="61" s="1"/>
  <c r="N565" i="61" s="1"/>
  <c r="N566" i="61" s="1"/>
  <c r="N567" i="61" s="1"/>
  <c r="N568" i="61" s="1"/>
  <c r="N569" i="61" s="1"/>
  <c r="N570" i="61" s="1"/>
  <c r="N571" i="61" s="1"/>
  <c r="N572" i="61" s="1"/>
  <c r="N573" i="61" s="1"/>
  <c r="N574" i="61" s="1"/>
  <c r="N575" i="61" s="1"/>
  <c r="N576" i="61" s="1"/>
  <c r="N577" i="61" s="1"/>
  <c r="N578" i="61" s="1"/>
  <c r="N579" i="61" s="1"/>
  <c r="N580" i="61" s="1"/>
  <c r="M13" i="61"/>
  <c r="M14" i="61" s="1"/>
  <c r="M15" i="61" s="1"/>
  <c r="M16" i="61" s="1"/>
  <c r="M17" i="61" s="1"/>
  <c r="M18" i="61" s="1"/>
  <c r="M19" i="61" s="1"/>
  <c r="M20" i="61" s="1"/>
  <c r="M21" i="61" s="1"/>
  <c r="M22" i="61" s="1"/>
  <c r="M23" i="61" s="1"/>
  <c r="M24" i="61" s="1"/>
  <c r="M25" i="61" s="1"/>
  <c r="M26" i="61" s="1"/>
  <c r="M27" i="61" s="1"/>
  <c r="G60" i="51"/>
  <c r="G122" i="51"/>
  <c r="G131" i="51"/>
  <c r="G187" i="51"/>
  <c r="I60" i="44"/>
  <c r="J60" i="44" s="1"/>
  <c r="C60" i="44" s="1"/>
  <c r="G177" i="51"/>
  <c r="I62" i="44"/>
  <c r="I61" i="44"/>
  <c r="G178" i="51"/>
  <c r="H48" i="51"/>
  <c r="G183" i="51"/>
  <c r="G157" i="51"/>
  <c r="G138" i="51"/>
  <c r="G133" i="51"/>
  <c r="H66" i="51"/>
  <c r="H161" i="51"/>
  <c r="K12" i="57"/>
  <c r="C12" i="57" s="1"/>
  <c r="E12" i="55"/>
  <c r="F12" i="55" s="1"/>
  <c r="G12" i="55" s="1"/>
  <c r="G137" i="51"/>
  <c r="G135" i="51"/>
  <c r="M17" i="55"/>
  <c r="M18" i="55" s="1"/>
  <c r="M19" i="55" s="1"/>
  <c r="M20" i="55" s="1"/>
  <c r="M21" i="55" s="1"/>
  <c r="M22" i="55" s="1"/>
  <c r="G74" i="42"/>
  <c r="G82" i="42"/>
  <c r="H66" i="42"/>
  <c r="K12" i="55"/>
  <c r="C12" i="55" s="1"/>
  <c r="H94" i="42"/>
  <c r="H56" i="51"/>
  <c r="G64" i="51"/>
  <c r="H67" i="51"/>
  <c r="U22" i="48"/>
  <c r="V22" i="48" s="1"/>
  <c r="G82" i="51"/>
  <c r="G143" i="51"/>
  <c r="H134" i="51"/>
  <c r="H142" i="51"/>
  <c r="G141" i="51"/>
  <c r="H170" i="51"/>
  <c r="H78" i="42"/>
  <c r="G77" i="51"/>
  <c r="G81" i="51"/>
  <c r="G158" i="51"/>
  <c r="G57" i="51"/>
  <c r="H13" i="56"/>
  <c r="F15" i="56"/>
  <c r="F16" i="56" s="1"/>
  <c r="F17" i="56" s="1"/>
  <c r="H55" i="51"/>
  <c r="G55" i="51"/>
  <c r="F11" i="57"/>
  <c r="G11" i="57" s="1"/>
  <c r="D13" i="55"/>
  <c r="S12" i="55"/>
  <c r="T12" i="55" s="1"/>
  <c r="H179" i="51"/>
  <c r="G179" i="51"/>
  <c r="G157" i="44"/>
  <c r="G158" i="44" s="1"/>
  <c r="G159" i="44" s="1"/>
  <c r="G160" i="44" s="1"/>
  <c r="G161" i="44" s="1"/>
  <c r="G162" i="44" s="1"/>
  <c r="G163" i="44" s="1"/>
  <c r="G164" i="44" s="1"/>
  <c r="G165" i="44" s="1"/>
  <c r="G166" i="44" s="1"/>
  <c r="G167" i="44" s="1"/>
  <c r="G168" i="44" s="1"/>
  <c r="G169" i="44" s="1"/>
  <c r="G170" i="44" s="1"/>
  <c r="G171" i="44" s="1"/>
  <c r="G172" i="44" s="1"/>
  <c r="G173" i="44" s="1"/>
  <c r="G174" i="44" s="1"/>
  <c r="G175" i="44" s="1"/>
  <c r="G176" i="44" s="1"/>
  <c r="G177" i="44" s="1"/>
  <c r="G178" i="44" s="1"/>
  <c r="G179" i="44" s="1"/>
  <c r="G180" i="44" s="1"/>
  <c r="G181" i="44" s="1"/>
  <c r="G182" i="44" s="1"/>
  <c r="G183" i="44" s="1"/>
  <c r="G184" i="44" s="1"/>
  <c r="G185" i="44" s="1"/>
  <c r="G186" i="44" s="1"/>
  <c r="G187" i="44" s="1"/>
  <c r="G188" i="44" s="1"/>
  <c r="G189" i="44" s="1"/>
  <c r="G190" i="44" s="1"/>
  <c r="G191" i="44" s="1"/>
  <c r="G192" i="44" s="1"/>
  <c r="G193" i="44" s="1"/>
  <c r="G194" i="44" s="1"/>
  <c r="G195" i="44" s="1"/>
  <c r="G196" i="44" s="1"/>
  <c r="G197" i="44" s="1"/>
  <c r="G198" i="44" s="1"/>
  <c r="G199" i="44" s="1"/>
  <c r="G200" i="44" s="1"/>
  <c r="G201" i="44" s="1"/>
  <c r="G202" i="44" s="1"/>
  <c r="I156" i="44"/>
  <c r="H18" i="41"/>
  <c r="H30" i="42"/>
  <c r="H68" i="42"/>
  <c r="V20" i="48"/>
  <c r="H85" i="42"/>
  <c r="V16" i="48"/>
  <c r="E12" i="61"/>
  <c r="F12" i="61" s="1"/>
  <c r="H12" i="61" s="1"/>
  <c r="H11" i="61"/>
  <c r="G26" i="61"/>
  <c r="H26" i="61"/>
  <c r="E27" i="61"/>
  <c r="F27" i="61" s="1"/>
  <c r="H13" i="60"/>
  <c r="G13" i="60"/>
  <c r="F14" i="60"/>
  <c r="E12" i="59"/>
  <c r="E13" i="59" s="1"/>
  <c r="E14" i="59" s="1"/>
  <c r="E15" i="59" s="1"/>
  <c r="E16" i="59" s="1"/>
  <c r="E17" i="59" s="1"/>
  <c r="E18" i="59" s="1"/>
  <c r="E19" i="59" s="1"/>
  <c r="E20" i="59" s="1"/>
  <c r="E21" i="59" s="1"/>
  <c r="E22" i="59" s="1"/>
  <c r="E23" i="59" s="1"/>
  <c r="E24" i="59" s="1"/>
  <c r="E25" i="59" s="1"/>
  <c r="E26" i="59" s="1"/>
  <c r="E27" i="59" s="1"/>
  <c r="E28" i="59" s="1"/>
  <c r="E29" i="59" s="1"/>
  <c r="E30" i="59" s="1"/>
  <c r="E31" i="59" s="1"/>
  <c r="E32" i="59" s="1"/>
  <c r="E33" i="59" s="1"/>
  <c r="E34" i="59" s="1"/>
  <c r="E35" i="59" s="1"/>
  <c r="E36" i="59" s="1"/>
  <c r="E37" i="59" s="1"/>
  <c r="E38" i="59" s="1"/>
  <c r="E39" i="59" s="1"/>
  <c r="E40" i="59" s="1"/>
  <c r="E41" i="59" s="1"/>
  <c r="E42" i="59" s="1"/>
  <c r="E43" i="59" s="1"/>
  <c r="E44" i="59" s="1"/>
  <c r="E45" i="59" s="1"/>
  <c r="E46" i="59" s="1"/>
  <c r="E47" i="59" s="1"/>
  <c r="E48" i="59" s="1"/>
  <c r="E49" i="59" s="1"/>
  <c r="E50" i="59" s="1"/>
  <c r="E51" i="59" s="1"/>
  <c r="E52" i="59" s="1"/>
  <c r="E53" i="59" s="1"/>
  <c r="E54" i="59" s="1"/>
  <c r="E55" i="59" s="1"/>
  <c r="E56" i="59" s="1"/>
  <c r="E57" i="59" s="1"/>
  <c r="E58" i="59" s="1"/>
  <c r="E59" i="59" s="1"/>
  <c r="E60" i="59" s="1"/>
  <c r="E61" i="59" s="1"/>
  <c r="E62" i="59" s="1"/>
  <c r="E63" i="59" s="1"/>
  <c r="E64" i="59" s="1"/>
  <c r="E65" i="59" s="1"/>
  <c r="E66" i="59" s="1"/>
  <c r="E67" i="59" s="1"/>
  <c r="E68" i="59" s="1"/>
  <c r="E69" i="59" s="1"/>
  <c r="E70" i="59" s="1"/>
  <c r="E71" i="59" s="1"/>
  <c r="E72" i="59" s="1"/>
  <c r="E73" i="59" s="1"/>
  <c r="E74" i="59" s="1"/>
  <c r="E75" i="59" s="1"/>
  <c r="E76" i="59" s="1"/>
  <c r="E77" i="59" s="1"/>
  <c r="E78" i="59" s="1"/>
  <c r="E79" i="59" s="1"/>
  <c r="E80" i="59" s="1"/>
  <c r="E81" i="59" s="1"/>
  <c r="E82" i="59" s="1"/>
  <c r="E83" i="59" s="1"/>
  <c r="E84" i="59" s="1"/>
  <c r="E85" i="59" s="1"/>
  <c r="E86" i="59" s="1"/>
  <c r="E87" i="59" s="1"/>
  <c r="E88" i="59" s="1"/>
  <c r="E89" i="59" s="1"/>
  <c r="E90" i="59" s="1"/>
  <c r="E91" i="59" s="1"/>
  <c r="E92" i="59" s="1"/>
  <c r="E93" i="59" s="1"/>
  <c r="E94" i="59" s="1"/>
  <c r="E95" i="59" s="1"/>
  <c r="E96" i="59" s="1"/>
  <c r="E97" i="59" s="1"/>
  <c r="E98" i="59" s="1"/>
  <c r="E99" i="59" s="1"/>
  <c r="E100" i="59" s="1"/>
  <c r="E101" i="59" s="1"/>
  <c r="E102" i="59" s="1"/>
  <c r="E103" i="59" s="1"/>
  <c r="E104" i="59" s="1"/>
  <c r="E105" i="59" s="1"/>
  <c r="E106" i="59" s="1"/>
  <c r="E107" i="59" s="1"/>
  <c r="E108" i="59" s="1"/>
  <c r="E109" i="59" s="1"/>
  <c r="E110" i="59" s="1"/>
  <c r="E111" i="59" s="1"/>
  <c r="E112" i="59" s="1"/>
  <c r="E113" i="59" s="1"/>
  <c r="E114" i="59" s="1"/>
  <c r="E115" i="59" s="1"/>
  <c r="E116" i="59" s="1"/>
  <c r="E117" i="59" s="1"/>
  <c r="E118" i="59" s="1"/>
  <c r="E119" i="59" s="1"/>
  <c r="E120" i="59" s="1"/>
  <c r="E121" i="59" s="1"/>
  <c r="E122" i="59" s="1"/>
  <c r="E123" i="59" s="1"/>
  <c r="E124" i="59" s="1"/>
  <c r="E125" i="59" s="1"/>
  <c r="E126" i="59" s="1"/>
  <c r="E127" i="59" s="1"/>
  <c r="E128" i="59" s="1"/>
  <c r="E129" i="59" s="1"/>
  <c r="E130" i="59" s="1"/>
  <c r="E131" i="59" s="1"/>
  <c r="E132" i="59" s="1"/>
  <c r="E133" i="59" s="1"/>
  <c r="E134" i="59" s="1"/>
  <c r="E135" i="59" s="1"/>
  <c r="E136" i="59" s="1"/>
  <c r="E137" i="59" s="1"/>
  <c r="E138" i="59" s="1"/>
  <c r="E139" i="59" s="1"/>
  <c r="E140" i="59" s="1"/>
  <c r="E141" i="59" s="1"/>
  <c r="E142" i="59" s="1"/>
  <c r="E143" i="59" s="1"/>
  <c r="E144" i="59" s="1"/>
  <c r="E145" i="59" s="1"/>
  <c r="E146" i="59" s="1"/>
  <c r="E147" i="59" s="1"/>
  <c r="E148" i="59" s="1"/>
  <c r="E149" i="59" s="1"/>
  <c r="E150" i="59" s="1"/>
  <c r="E151" i="59" s="1"/>
  <c r="E152" i="59" s="1"/>
  <c r="E153" i="59" s="1"/>
  <c r="E154" i="59" s="1"/>
  <c r="E155" i="59" s="1"/>
  <c r="E156" i="59" s="1"/>
  <c r="E157" i="59" s="1"/>
  <c r="E158" i="59" s="1"/>
  <c r="E159" i="59" s="1"/>
  <c r="E160" i="59" s="1"/>
  <c r="E161" i="59" s="1"/>
  <c r="E162" i="59" s="1"/>
  <c r="E163" i="59" s="1"/>
  <c r="E164" i="59" s="1"/>
  <c r="E165" i="59" s="1"/>
  <c r="E166" i="59" s="1"/>
  <c r="E167" i="59" s="1"/>
  <c r="E168" i="59" s="1"/>
  <c r="E169" i="59" s="1"/>
  <c r="E170" i="59" s="1"/>
  <c r="E171" i="59" s="1"/>
  <c r="E172" i="59" s="1"/>
  <c r="E173" i="59" s="1"/>
  <c r="E174" i="59" s="1"/>
  <c r="E175" i="59" s="1"/>
  <c r="E176" i="59" s="1"/>
  <c r="E177" i="59" s="1"/>
  <c r="E178" i="59" s="1"/>
  <c r="E179" i="59" s="1"/>
  <c r="E180" i="59" s="1"/>
  <c r="E181" i="59" s="1"/>
  <c r="E182" i="59" s="1"/>
  <c r="E183" i="59" s="1"/>
  <c r="E184" i="59" s="1"/>
  <c r="E185" i="59" s="1"/>
  <c r="E186" i="59" s="1"/>
  <c r="E187" i="59" s="1"/>
  <c r="E188" i="59" s="1"/>
  <c r="E189" i="59" s="1"/>
  <c r="E190" i="59" s="1"/>
  <c r="E191" i="59" s="1"/>
  <c r="E192" i="59" s="1"/>
  <c r="E193" i="59" s="1"/>
  <c r="E194" i="59" s="1"/>
  <c r="E195" i="59" s="1"/>
  <c r="E196" i="59" s="1"/>
  <c r="E197" i="59" s="1"/>
  <c r="E198" i="59" s="1"/>
  <c r="E199" i="59" s="1"/>
  <c r="E200" i="59" s="1"/>
  <c r="E201" i="59" s="1"/>
  <c r="E202" i="59" s="1"/>
  <c r="E203" i="59" s="1"/>
  <c r="E204" i="59" s="1"/>
  <c r="E205" i="59" s="1"/>
  <c r="E206" i="59" s="1"/>
  <c r="E207" i="59" s="1"/>
  <c r="E208" i="59" s="1"/>
  <c r="E209" i="59" s="1"/>
  <c r="E210" i="59" s="1"/>
  <c r="E211" i="59" s="1"/>
  <c r="E212" i="59" s="1"/>
  <c r="E213" i="59" s="1"/>
  <c r="E214" i="59" s="1"/>
  <c r="E215" i="59" s="1"/>
  <c r="E216" i="59" s="1"/>
  <c r="E217" i="59" s="1"/>
  <c r="E218" i="59" s="1"/>
  <c r="E219" i="59" s="1"/>
  <c r="E220" i="59" s="1"/>
  <c r="E221" i="59" s="1"/>
  <c r="E222" i="59" s="1"/>
  <c r="E223" i="59" s="1"/>
  <c r="E224" i="59" s="1"/>
  <c r="E225" i="59" s="1"/>
  <c r="E226" i="59" s="1"/>
  <c r="E227" i="59" s="1"/>
  <c r="E228" i="59" s="1"/>
  <c r="E229" i="59" s="1"/>
  <c r="E230" i="59" s="1"/>
  <c r="E231" i="59" s="1"/>
  <c r="E232" i="59" s="1"/>
  <c r="E233" i="59" s="1"/>
  <c r="E234" i="59" s="1"/>
  <c r="E235" i="59" s="1"/>
  <c r="E236" i="59" s="1"/>
  <c r="E237" i="59" s="1"/>
  <c r="E238" i="59" s="1"/>
  <c r="E239" i="59" s="1"/>
  <c r="E240" i="59" s="1"/>
  <c r="E241" i="59" s="1"/>
  <c r="E242" i="59" s="1"/>
  <c r="E243" i="59" s="1"/>
  <c r="E244" i="59" s="1"/>
  <c r="E245" i="59" s="1"/>
  <c r="E246" i="59" s="1"/>
  <c r="E247" i="59" s="1"/>
  <c r="E248" i="59" s="1"/>
  <c r="E249" i="59" s="1"/>
  <c r="E250" i="59" s="1"/>
  <c r="E251" i="59" s="1"/>
  <c r="E252" i="59" s="1"/>
  <c r="E253" i="59" s="1"/>
  <c r="E254" i="59" s="1"/>
  <c r="E255" i="59" s="1"/>
  <c r="E256" i="59" s="1"/>
  <c r="E257" i="59" s="1"/>
  <c r="E258" i="59" s="1"/>
  <c r="E259" i="59" s="1"/>
  <c r="E260" i="59" s="1"/>
  <c r="E261" i="59" s="1"/>
  <c r="E262" i="59" s="1"/>
  <c r="E263" i="59" s="1"/>
  <c r="E264" i="59" s="1"/>
  <c r="E265" i="59" s="1"/>
  <c r="E266" i="59" s="1"/>
  <c r="E267" i="59" s="1"/>
  <c r="E268" i="59" s="1"/>
  <c r="E269" i="59" s="1"/>
  <c r="E270" i="59" s="1"/>
  <c r="E271" i="59" s="1"/>
  <c r="E272" i="59" s="1"/>
  <c r="E273" i="59" s="1"/>
  <c r="E274" i="59" s="1"/>
  <c r="E275" i="59" s="1"/>
  <c r="E276" i="59" s="1"/>
  <c r="E277" i="59" s="1"/>
  <c r="E278" i="59" s="1"/>
  <c r="E279" i="59" s="1"/>
  <c r="E280" i="59" s="1"/>
  <c r="E281" i="59" s="1"/>
  <c r="E282" i="59" s="1"/>
  <c r="E283" i="59" s="1"/>
  <c r="E284" i="59" s="1"/>
  <c r="E285" i="59" s="1"/>
  <c r="E286" i="59" s="1"/>
  <c r="E287" i="59" s="1"/>
  <c r="E288" i="59" s="1"/>
  <c r="E289" i="59" s="1"/>
  <c r="E290" i="59" s="1"/>
  <c r="E291" i="59" s="1"/>
  <c r="E292" i="59" s="1"/>
  <c r="E293" i="59" s="1"/>
  <c r="E294" i="59" s="1"/>
  <c r="E295" i="59" s="1"/>
  <c r="E296" i="59" s="1"/>
  <c r="E297" i="59" s="1"/>
  <c r="E298" i="59" s="1"/>
  <c r="E299" i="59" s="1"/>
  <c r="E300" i="59" s="1"/>
  <c r="E301" i="59" s="1"/>
  <c r="E302" i="59" s="1"/>
  <c r="E303" i="59" s="1"/>
  <c r="E304" i="59" s="1"/>
  <c r="E305" i="59" s="1"/>
  <c r="E306" i="59" s="1"/>
  <c r="E307" i="59" s="1"/>
  <c r="E308" i="59" s="1"/>
  <c r="E309" i="59" s="1"/>
  <c r="E310" i="59" s="1"/>
  <c r="E311" i="59" s="1"/>
  <c r="E312" i="59" s="1"/>
  <c r="E313" i="59" s="1"/>
  <c r="E314" i="59" s="1"/>
  <c r="E315" i="59" s="1"/>
  <c r="E316" i="59" s="1"/>
  <c r="E317" i="59" s="1"/>
  <c r="E318" i="59" s="1"/>
  <c r="E319" i="59" s="1"/>
  <c r="E320" i="59" s="1"/>
  <c r="E321" i="59" s="1"/>
  <c r="E322" i="59" s="1"/>
  <c r="E323" i="59" s="1"/>
  <c r="E324" i="59" s="1"/>
  <c r="E325" i="59" s="1"/>
  <c r="E326" i="59" s="1"/>
  <c r="E327" i="59" s="1"/>
  <c r="E328" i="59" s="1"/>
  <c r="E329" i="59" s="1"/>
  <c r="E330" i="59" s="1"/>
  <c r="E331" i="59" s="1"/>
  <c r="E332" i="59" s="1"/>
  <c r="E333" i="59" s="1"/>
  <c r="E334" i="59" s="1"/>
  <c r="D14" i="59"/>
  <c r="K13" i="59"/>
  <c r="C13" i="59" s="1"/>
  <c r="D13" i="58"/>
  <c r="K12" i="58"/>
  <c r="H11" i="58"/>
  <c r="G11" i="58"/>
  <c r="F12" i="58"/>
  <c r="D14" i="57"/>
  <c r="K13" i="57"/>
  <c r="H11" i="55"/>
  <c r="G11" i="55"/>
  <c r="R12" i="55"/>
  <c r="R14" i="55"/>
  <c r="R13" i="55"/>
  <c r="D18" i="55"/>
  <c r="K17" i="55"/>
  <c r="C17" i="55" s="1"/>
  <c r="E17" i="55"/>
  <c r="F17" i="55" s="1"/>
  <c r="R15" i="55"/>
  <c r="H13" i="54"/>
  <c r="F14" i="54"/>
  <c r="G13" i="54"/>
  <c r="H13" i="53"/>
  <c r="F14" i="53"/>
  <c r="G13" i="53"/>
  <c r="H13" i="52"/>
  <c r="F14" i="52"/>
  <c r="G13" i="52"/>
  <c r="H190" i="51"/>
  <c r="G164" i="51"/>
  <c r="H164" i="51"/>
  <c r="G184" i="51"/>
  <c r="H184" i="51"/>
  <c r="G188" i="51"/>
  <c r="H188" i="51"/>
  <c r="G163" i="51"/>
  <c r="H163" i="51"/>
  <c r="G180" i="51"/>
  <c r="H180" i="51"/>
  <c r="H146" i="51"/>
  <c r="G146" i="51"/>
  <c r="G128" i="51"/>
  <c r="H128" i="51"/>
  <c r="G126" i="51"/>
  <c r="H126" i="51"/>
  <c r="G121" i="51"/>
  <c r="H121" i="51"/>
  <c r="G130" i="51"/>
  <c r="H130" i="51"/>
  <c r="G148" i="51"/>
  <c r="H148" i="51"/>
  <c r="H154" i="51"/>
  <c r="G154" i="51"/>
  <c r="G152" i="51"/>
  <c r="H152" i="51"/>
  <c r="G144" i="51"/>
  <c r="H144" i="51"/>
  <c r="H150" i="51"/>
  <c r="G150" i="51"/>
  <c r="G75" i="51"/>
  <c r="H75" i="51"/>
  <c r="H69" i="51"/>
  <c r="G69" i="51"/>
  <c r="G79" i="51"/>
  <c r="H79" i="51"/>
  <c r="H52" i="51"/>
  <c r="G52" i="51"/>
  <c r="G71" i="51"/>
  <c r="H71" i="51"/>
  <c r="H61" i="51"/>
  <c r="G61" i="51"/>
  <c r="G76" i="42"/>
  <c r="H89" i="42"/>
  <c r="H12" i="48"/>
  <c r="U12" i="48" s="1"/>
  <c r="V12" i="48" s="1"/>
  <c r="G12" i="48"/>
  <c r="G15" i="48"/>
  <c r="H15" i="48"/>
  <c r="U15" i="48" s="1"/>
  <c r="V15" i="48" s="1"/>
  <c r="H19" i="48"/>
  <c r="U19" i="48" s="1"/>
  <c r="V19" i="48" s="1"/>
  <c r="G19" i="48"/>
  <c r="G17" i="48"/>
  <c r="H17" i="48"/>
  <c r="U17" i="48" s="1"/>
  <c r="V17" i="48" s="1"/>
  <c r="G13" i="48"/>
  <c r="H13" i="48"/>
  <c r="U13" i="48" s="1"/>
  <c r="V13" i="48" s="1"/>
  <c r="G21" i="48"/>
  <c r="H21" i="48"/>
  <c r="U21" i="48" s="1"/>
  <c r="V21" i="48" s="1"/>
  <c r="G11" i="48"/>
  <c r="H11" i="48"/>
  <c r="U11" i="48" s="1"/>
  <c r="V11" i="48" s="1"/>
  <c r="I63" i="44"/>
  <c r="F23" i="43"/>
  <c r="G99" i="42"/>
  <c r="H99" i="42"/>
  <c r="G91" i="42"/>
  <c r="H91" i="42"/>
  <c r="G83" i="42"/>
  <c r="H83" i="42"/>
  <c r="G87" i="42"/>
  <c r="H87" i="42"/>
  <c r="G95" i="42"/>
  <c r="H95" i="42"/>
  <c r="G79" i="42"/>
  <c r="H79" i="42"/>
  <c r="G71" i="42"/>
  <c r="H71" i="42"/>
  <c r="G75" i="42"/>
  <c r="H75" i="42"/>
  <c r="G67" i="42"/>
  <c r="H67" i="42"/>
  <c r="G31" i="42"/>
  <c r="H31" i="42"/>
  <c r="H32" i="42"/>
  <c r="G32" i="42"/>
  <c r="E33" i="42"/>
  <c r="F33" i="42" s="1"/>
  <c r="K33" i="42"/>
  <c r="C33" i="42" s="1"/>
  <c r="H23" i="41"/>
  <c r="R11" i="41"/>
  <c r="S11" i="41"/>
  <c r="G11" i="41"/>
  <c r="H11" i="41"/>
  <c r="S17" i="41"/>
  <c r="R17" i="41"/>
  <c r="D13" i="41"/>
  <c r="K12" i="41"/>
  <c r="C12" i="41" s="1"/>
  <c r="E29" i="41"/>
  <c r="F29" i="41" s="1"/>
  <c r="D24" i="41"/>
  <c r="K23" i="41"/>
  <c r="C23" i="41" s="1"/>
  <c r="D19" i="41"/>
  <c r="K18" i="41"/>
  <c r="C18" i="41" s="1"/>
  <c r="R41" i="61" l="1"/>
  <c r="G29" i="98"/>
  <c r="C28" i="98"/>
  <c r="G133" i="42"/>
  <c r="H133" i="42"/>
  <c r="H15" i="56"/>
  <c r="F24" i="43"/>
  <c r="C23" i="43"/>
  <c r="M49" i="56"/>
  <c r="G17" i="98"/>
  <c r="C16" i="98"/>
  <c r="K15" i="44"/>
  <c r="K39" i="44"/>
  <c r="K87" i="44"/>
  <c r="K99" i="44"/>
  <c r="S26" i="48"/>
  <c r="U25" i="48"/>
  <c r="K135" i="44"/>
  <c r="M94" i="47"/>
  <c r="C93" i="47"/>
  <c r="P42" i="61"/>
  <c r="R42" i="61" s="1"/>
  <c r="C42" i="61"/>
  <c r="M66" i="56"/>
  <c r="K195" i="44"/>
  <c r="D38" i="49"/>
  <c r="C37" i="49"/>
  <c r="M78" i="47"/>
  <c r="C77" i="47"/>
  <c r="K63" i="44"/>
  <c r="K111" i="44"/>
  <c r="G49" i="98"/>
  <c r="C48" i="98"/>
  <c r="K147" i="44"/>
  <c r="F21" i="43"/>
  <c r="C20" i="43"/>
  <c r="K51" i="44"/>
  <c r="D15" i="49"/>
  <c r="C14" i="49"/>
  <c r="M174" i="47"/>
  <c r="C173" i="47"/>
  <c r="Q295" i="95"/>
  <c r="S294" i="95"/>
  <c r="U294" i="95" s="1"/>
  <c r="V294" i="95" s="1"/>
  <c r="W294" i="95" s="1"/>
  <c r="Z294" i="95" s="1"/>
  <c r="Y294" i="95" s="1"/>
  <c r="G33" i="98"/>
  <c r="C32" i="98"/>
  <c r="M190" i="47"/>
  <c r="C189" i="47"/>
  <c r="D135" i="42"/>
  <c r="E134" i="42"/>
  <c r="F134" i="42" s="1"/>
  <c r="K134" i="42"/>
  <c r="C134" i="42" s="1"/>
  <c r="D26" i="49"/>
  <c r="C25" i="49"/>
  <c r="C13" i="57"/>
  <c r="K183" i="44"/>
  <c r="G45" i="98"/>
  <c r="C44" i="98"/>
  <c r="G13" i="98"/>
  <c r="C12" i="98"/>
  <c r="J26" i="50"/>
  <c r="C25" i="50"/>
  <c r="N15" i="59"/>
  <c r="C14" i="59"/>
  <c r="K159" i="44"/>
  <c r="J20" i="54"/>
  <c r="J14" i="54"/>
  <c r="M62" i="47"/>
  <c r="C62" i="47" s="1"/>
  <c r="P110" i="44"/>
  <c r="P98" i="44"/>
  <c r="P62" i="44"/>
  <c r="P122" i="44"/>
  <c r="P74" i="44"/>
  <c r="P50" i="44"/>
  <c r="P26" i="44"/>
  <c r="P146" i="44"/>
  <c r="M158" i="47"/>
  <c r="C158" i="47" s="1"/>
  <c r="P194" i="44"/>
  <c r="P158" i="44"/>
  <c r="P170" i="44"/>
  <c r="M14" i="47"/>
  <c r="P14" i="44"/>
  <c r="P86" i="44"/>
  <c r="P38" i="44"/>
  <c r="P182" i="44"/>
  <c r="P134" i="44"/>
  <c r="M110" i="47"/>
  <c r="E121" i="48"/>
  <c r="F121" i="48" s="1"/>
  <c r="D122" i="48"/>
  <c r="K121" i="48"/>
  <c r="C121" i="48" s="1"/>
  <c r="G120" i="48"/>
  <c r="H120" i="48"/>
  <c r="G15" i="56"/>
  <c r="M15" i="56"/>
  <c r="M32" i="56"/>
  <c r="G91" i="76"/>
  <c r="H91" i="76"/>
  <c r="R25" i="48"/>
  <c r="T24" i="48"/>
  <c r="V24" i="48" s="1"/>
  <c r="K15" i="49"/>
  <c r="P14" i="49"/>
  <c r="U12" i="55"/>
  <c r="X12" i="55" s="1"/>
  <c r="W12" i="55" s="1"/>
  <c r="E24" i="41"/>
  <c r="F24" i="41" s="1"/>
  <c r="G24" i="41" s="1"/>
  <c r="P24" i="41"/>
  <c r="Q24" i="41" s="1"/>
  <c r="E13" i="41"/>
  <c r="F13" i="41" s="1"/>
  <c r="G13" i="41" s="1"/>
  <c r="E19" i="41"/>
  <c r="F19" i="41" s="1"/>
  <c r="G19" i="41" s="1"/>
  <c r="P19" i="41"/>
  <c r="Q19" i="41" s="1"/>
  <c r="P13" i="49"/>
  <c r="N14" i="41"/>
  <c r="N13" i="55"/>
  <c r="W11" i="55"/>
  <c r="E13" i="61"/>
  <c r="F13" i="61" s="1"/>
  <c r="P13" i="61"/>
  <c r="D14" i="61"/>
  <c r="C14" i="61" s="1"/>
  <c r="R12" i="61"/>
  <c r="Q12" i="61"/>
  <c r="S12" i="61" s="1"/>
  <c r="G41" i="61"/>
  <c r="D43" i="61"/>
  <c r="E42" i="61"/>
  <c r="F42" i="61" s="1"/>
  <c r="H42" i="61" s="1"/>
  <c r="Q42" i="61"/>
  <c r="S42" i="61" s="1"/>
  <c r="T42" i="61" s="1"/>
  <c r="U42" i="61" s="1"/>
  <c r="D89" i="76"/>
  <c r="K88" i="76"/>
  <c r="D94" i="77"/>
  <c r="E93" i="77"/>
  <c r="H93" i="77" s="1"/>
  <c r="D379" i="78"/>
  <c r="E378" i="78"/>
  <c r="H379" i="78" s="1"/>
  <c r="D237" i="78"/>
  <c r="E236" i="78"/>
  <c r="H237" i="78" s="1"/>
  <c r="D92" i="78"/>
  <c r="E91" i="78"/>
  <c r="H92" i="78" s="1"/>
  <c r="E282" i="77"/>
  <c r="H282" i="77" s="1"/>
  <c r="D283" i="77"/>
  <c r="D188" i="77"/>
  <c r="E187" i="77"/>
  <c r="H187" i="77" s="1"/>
  <c r="F92" i="76"/>
  <c r="F91" i="66"/>
  <c r="G91" i="66" s="1"/>
  <c r="T26" i="61"/>
  <c r="U26" i="61" s="1"/>
  <c r="M28" i="61"/>
  <c r="M29" i="61" s="1"/>
  <c r="M30" i="61" s="1"/>
  <c r="M31" i="61" s="1"/>
  <c r="M32" i="61" s="1"/>
  <c r="M33" i="61" s="1"/>
  <c r="M34" i="61" s="1"/>
  <c r="M35" i="61" s="1"/>
  <c r="M36" i="61" s="1"/>
  <c r="M37" i="61" s="1"/>
  <c r="M38" i="61" s="1"/>
  <c r="M39" i="61" s="1"/>
  <c r="M40" i="61" s="1"/>
  <c r="M41" i="61" s="1"/>
  <c r="M42" i="61" s="1"/>
  <c r="M43" i="61" s="1"/>
  <c r="M44" i="61" s="1"/>
  <c r="M45" i="61" s="1"/>
  <c r="M46" i="61" s="1"/>
  <c r="M47" i="61" s="1"/>
  <c r="M48" i="61" s="1"/>
  <c r="M49" i="61" s="1"/>
  <c r="M50" i="61" s="1"/>
  <c r="M51" i="61" s="1"/>
  <c r="M52" i="61" s="1"/>
  <c r="M53" i="61" s="1"/>
  <c r="M54" i="61" s="1"/>
  <c r="M55" i="61" s="1"/>
  <c r="M56" i="61" s="1"/>
  <c r="M57" i="61" s="1"/>
  <c r="M58" i="61" s="1"/>
  <c r="M59" i="61" s="1"/>
  <c r="M60" i="61" s="1"/>
  <c r="M61" i="61" s="1"/>
  <c r="M62" i="61" s="1"/>
  <c r="M63" i="61" s="1"/>
  <c r="M64" i="61" s="1"/>
  <c r="M65" i="61" s="1"/>
  <c r="M66" i="61" s="1"/>
  <c r="M67" i="61" s="1"/>
  <c r="M68" i="61" s="1"/>
  <c r="M69" i="61" s="1"/>
  <c r="M70" i="61" s="1"/>
  <c r="M71" i="61" s="1"/>
  <c r="M72" i="61" s="1"/>
  <c r="M73" i="61" s="1"/>
  <c r="M74" i="61" s="1"/>
  <c r="M75" i="61" s="1"/>
  <c r="M76" i="61" s="1"/>
  <c r="M77" i="61" s="1"/>
  <c r="M78" i="61" s="1"/>
  <c r="M79" i="61" s="1"/>
  <c r="M80" i="61" s="1"/>
  <c r="M81" i="61" s="1"/>
  <c r="M82" i="61" s="1"/>
  <c r="M83" i="61" s="1"/>
  <c r="M84" i="61" s="1"/>
  <c r="M85" i="61" s="1"/>
  <c r="M86" i="61" s="1"/>
  <c r="M87" i="61" s="1"/>
  <c r="M88" i="61" s="1"/>
  <c r="M89" i="61" s="1"/>
  <c r="M90" i="61" s="1"/>
  <c r="M91" i="61" s="1"/>
  <c r="M92" i="61" s="1"/>
  <c r="M93" i="61" s="1"/>
  <c r="M94" i="61" s="1"/>
  <c r="M95" i="61" s="1"/>
  <c r="M96" i="61" s="1"/>
  <c r="M97" i="61" s="1"/>
  <c r="M98" i="61" s="1"/>
  <c r="M99" i="61" s="1"/>
  <c r="M100" i="61" s="1"/>
  <c r="M101" i="61" s="1"/>
  <c r="M102" i="61" s="1"/>
  <c r="M103" i="61" s="1"/>
  <c r="M104" i="61" s="1"/>
  <c r="M105" i="61" s="1"/>
  <c r="M106" i="61" s="1"/>
  <c r="M107" i="61" s="1"/>
  <c r="M108" i="61" s="1"/>
  <c r="M109" i="61" s="1"/>
  <c r="M110" i="61" s="1"/>
  <c r="M111" i="61" s="1"/>
  <c r="M112" i="61" s="1"/>
  <c r="M113" i="61" s="1"/>
  <c r="M114" i="61" s="1"/>
  <c r="M115" i="61" s="1"/>
  <c r="M116" i="61" s="1"/>
  <c r="M117" i="61" s="1"/>
  <c r="M118" i="61" s="1"/>
  <c r="M119" i="61" s="1"/>
  <c r="M120" i="61" s="1"/>
  <c r="M121" i="61" s="1"/>
  <c r="M122" i="61" s="1"/>
  <c r="M123" i="61" s="1"/>
  <c r="M124" i="61" s="1"/>
  <c r="M125" i="61" s="1"/>
  <c r="M126" i="61" s="1"/>
  <c r="M127" i="61" s="1"/>
  <c r="M128" i="61" s="1"/>
  <c r="M129" i="61" s="1"/>
  <c r="M130" i="61" s="1"/>
  <c r="M131" i="61" s="1"/>
  <c r="M132" i="61" s="1"/>
  <c r="M133" i="61" s="1"/>
  <c r="M134" i="61" s="1"/>
  <c r="M135" i="61" s="1"/>
  <c r="M136" i="61" s="1"/>
  <c r="M137" i="61" s="1"/>
  <c r="M138" i="61" s="1"/>
  <c r="M139" i="61" s="1"/>
  <c r="M140" i="61" s="1"/>
  <c r="M141" i="61" s="1"/>
  <c r="M142" i="61" s="1"/>
  <c r="M143" i="61" s="1"/>
  <c r="M144" i="61" s="1"/>
  <c r="M145" i="61" s="1"/>
  <c r="M146" i="61" s="1"/>
  <c r="M147" i="61" s="1"/>
  <c r="M148" i="61" s="1"/>
  <c r="M149" i="61" s="1"/>
  <c r="M150" i="61" s="1"/>
  <c r="M151" i="61" s="1"/>
  <c r="M152" i="61" s="1"/>
  <c r="M153" i="61" s="1"/>
  <c r="M154" i="61" s="1"/>
  <c r="M155" i="61" s="1"/>
  <c r="M156" i="61" s="1"/>
  <c r="M157" i="61" s="1"/>
  <c r="M158" i="61" s="1"/>
  <c r="M159" i="61" s="1"/>
  <c r="M160" i="61" s="1"/>
  <c r="M161" i="61" s="1"/>
  <c r="M162" i="61" s="1"/>
  <c r="M163" i="61" s="1"/>
  <c r="M164" i="61" s="1"/>
  <c r="M165" i="61" s="1"/>
  <c r="M166" i="61" s="1"/>
  <c r="M167" i="61" s="1"/>
  <c r="M168" i="61" s="1"/>
  <c r="M169" i="61" s="1"/>
  <c r="M170" i="61" s="1"/>
  <c r="M171" i="61" s="1"/>
  <c r="M172" i="61" s="1"/>
  <c r="M173" i="61" s="1"/>
  <c r="M174" i="61" s="1"/>
  <c r="M175" i="61" s="1"/>
  <c r="M176" i="61" s="1"/>
  <c r="M177" i="61" s="1"/>
  <c r="M178" i="61" s="1"/>
  <c r="M179" i="61" s="1"/>
  <c r="M180" i="61" s="1"/>
  <c r="M181" i="61" s="1"/>
  <c r="M182" i="61" s="1"/>
  <c r="M183" i="61" s="1"/>
  <c r="M184" i="61" s="1"/>
  <c r="M185" i="61" s="1"/>
  <c r="M186" i="61" s="1"/>
  <c r="M187" i="61" s="1"/>
  <c r="M188" i="61" s="1"/>
  <c r="M189" i="61" s="1"/>
  <c r="M190" i="61" s="1"/>
  <c r="M191" i="61" s="1"/>
  <c r="M192" i="61" s="1"/>
  <c r="M193" i="61" s="1"/>
  <c r="M194" i="61" s="1"/>
  <c r="M195" i="61" s="1"/>
  <c r="M196" i="61" s="1"/>
  <c r="M197" i="61" s="1"/>
  <c r="M198" i="61" s="1"/>
  <c r="M199" i="61" s="1"/>
  <c r="M200" i="61" s="1"/>
  <c r="M201" i="61" s="1"/>
  <c r="M202" i="61" s="1"/>
  <c r="M203" i="61" s="1"/>
  <c r="M204" i="61" s="1"/>
  <c r="M205" i="61" s="1"/>
  <c r="M206" i="61" s="1"/>
  <c r="M207" i="61" s="1"/>
  <c r="M208" i="61" s="1"/>
  <c r="M209" i="61" s="1"/>
  <c r="M210" i="61" s="1"/>
  <c r="M211" i="61" s="1"/>
  <c r="M212" i="61" s="1"/>
  <c r="M213" i="61" s="1"/>
  <c r="M214" i="61" s="1"/>
  <c r="M215" i="61" s="1"/>
  <c r="M216" i="61" s="1"/>
  <c r="M217" i="61" s="1"/>
  <c r="M218" i="61" s="1"/>
  <c r="M219" i="61" s="1"/>
  <c r="M220" i="61" s="1"/>
  <c r="M221" i="61" s="1"/>
  <c r="M222" i="61" s="1"/>
  <c r="M223" i="61" s="1"/>
  <c r="M224" i="61" s="1"/>
  <c r="M225" i="61" s="1"/>
  <c r="M226" i="61" s="1"/>
  <c r="M227" i="61" s="1"/>
  <c r="M228" i="61" s="1"/>
  <c r="M229" i="61" s="1"/>
  <c r="M230" i="61" s="1"/>
  <c r="M231" i="61" s="1"/>
  <c r="M232" i="61" s="1"/>
  <c r="M233" i="61" s="1"/>
  <c r="M234" i="61" s="1"/>
  <c r="M235" i="61" s="1"/>
  <c r="M236" i="61" s="1"/>
  <c r="M237" i="61" s="1"/>
  <c r="M238" i="61" s="1"/>
  <c r="M239" i="61" s="1"/>
  <c r="M240" i="61" s="1"/>
  <c r="M241" i="61" s="1"/>
  <c r="M242" i="61" s="1"/>
  <c r="M243" i="61" s="1"/>
  <c r="M244" i="61" s="1"/>
  <c r="M245" i="61" s="1"/>
  <c r="M246" i="61" s="1"/>
  <c r="M247" i="61" s="1"/>
  <c r="M248" i="61" s="1"/>
  <c r="M249" i="61" s="1"/>
  <c r="M250" i="61" s="1"/>
  <c r="M251" i="61" s="1"/>
  <c r="M252" i="61" s="1"/>
  <c r="M253" i="61" s="1"/>
  <c r="M254" i="61" s="1"/>
  <c r="M255" i="61" s="1"/>
  <c r="M256" i="61" s="1"/>
  <c r="M257" i="61" s="1"/>
  <c r="M258" i="61" s="1"/>
  <c r="M259" i="61" s="1"/>
  <c r="M260" i="61" s="1"/>
  <c r="M261" i="61" s="1"/>
  <c r="M262" i="61" s="1"/>
  <c r="M263" i="61" s="1"/>
  <c r="M264" i="61" s="1"/>
  <c r="M265" i="61" s="1"/>
  <c r="M266" i="61" s="1"/>
  <c r="M267" i="61" s="1"/>
  <c r="M268" i="61" s="1"/>
  <c r="M269" i="61" s="1"/>
  <c r="M270" i="61" s="1"/>
  <c r="M271" i="61" s="1"/>
  <c r="M272" i="61" s="1"/>
  <c r="M273" i="61" s="1"/>
  <c r="M274" i="61" s="1"/>
  <c r="M275" i="61" s="1"/>
  <c r="M276" i="61" s="1"/>
  <c r="M277" i="61" s="1"/>
  <c r="M278" i="61" s="1"/>
  <c r="M279" i="61" s="1"/>
  <c r="M280" i="61" s="1"/>
  <c r="M281" i="61" s="1"/>
  <c r="M282" i="61" s="1"/>
  <c r="M283" i="61" s="1"/>
  <c r="M284" i="61" s="1"/>
  <c r="M285" i="61" s="1"/>
  <c r="M286" i="61" s="1"/>
  <c r="M287" i="61" s="1"/>
  <c r="M288" i="61" s="1"/>
  <c r="M289" i="61" s="1"/>
  <c r="M290" i="61" s="1"/>
  <c r="M291" i="61" s="1"/>
  <c r="M292" i="61" s="1"/>
  <c r="M293" i="61" s="1"/>
  <c r="M294" i="61" s="1"/>
  <c r="M295" i="61" s="1"/>
  <c r="M296" i="61" s="1"/>
  <c r="M297" i="61" s="1"/>
  <c r="M298" i="61" s="1"/>
  <c r="M299" i="61" s="1"/>
  <c r="M300" i="61" s="1"/>
  <c r="M301" i="61" s="1"/>
  <c r="M302" i="61" s="1"/>
  <c r="M303" i="61" s="1"/>
  <c r="M304" i="61" s="1"/>
  <c r="M305" i="61" s="1"/>
  <c r="M306" i="61" s="1"/>
  <c r="M307" i="61" s="1"/>
  <c r="M308" i="61" s="1"/>
  <c r="M309" i="61" s="1"/>
  <c r="M310" i="61" s="1"/>
  <c r="M311" i="61" s="1"/>
  <c r="M312" i="61" s="1"/>
  <c r="M313" i="61" s="1"/>
  <c r="M314" i="61" s="1"/>
  <c r="M315" i="61" s="1"/>
  <c r="M316" i="61" s="1"/>
  <c r="M317" i="61" s="1"/>
  <c r="M318" i="61" s="1"/>
  <c r="M319" i="61" s="1"/>
  <c r="M320" i="61" s="1"/>
  <c r="M321" i="61" s="1"/>
  <c r="M322" i="61" s="1"/>
  <c r="M323" i="61" s="1"/>
  <c r="M324" i="61" s="1"/>
  <c r="M325" i="61" s="1"/>
  <c r="M326" i="61" s="1"/>
  <c r="M327" i="61" s="1"/>
  <c r="M328" i="61" s="1"/>
  <c r="M329" i="61" s="1"/>
  <c r="M330" i="61" s="1"/>
  <c r="M331" i="61" s="1"/>
  <c r="M332" i="61" s="1"/>
  <c r="M333" i="61" s="1"/>
  <c r="M334" i="61" s="1"/>
  <c r="M335" i="61" s="1"/>
  <c r="M336" i="61" s="1"/>
  <c r="M337" i="61" s="1"/>
  <c r="M338" i="61" s="1"/>
  <c r="M339" i="61" s="1"/>
  <c r="M340" i="61" s="1"/>
  <c r="M341" i="61" s="1"/>
  <c r="M342" i="61" s="1"/>
  <c r="M343" i="61" s="1"/>
  <c r="M344" i="61" s="1"/>
  <c r="M345" i="61" s="1"/>
  <c r="M346" i="61" s="1"/>
  <c r="M347" i="61" s="1"/>
  <c r="M348" i="61" s="1"/>
  <c r="M349" i="61" s="1"/>
  <c r="M350" i="61" s="1"/>
  <c r="M351" i="61" s="1"/>
  <c r="M352" i="61" s="1"/>
  <c r="M353" i="61" s="1"/>
  <c r="M354" i="61" s="1"/>
  <c r="M355" i="61" s="1"/>
  <c r="M356" i="61" s="1"/>
  <c r="M357" i="61" s="1"/>
  <c r="M358" i="61" s="1"/>
  <c r="M359" i="61" s="1"/>
  <c r="M360" i="61" s="1"/>
  <c r="M361" i="61" s="1"/>
  <c r="M362" i="61" s="1"/>
  <c r="M363" i="61" s="1"/>
  <c r="M364" i="61" s="1"/>
  <c r="M365" i="61" s="1"/>
  <c r="M366" i="61" s="1"/>
  <c r="M367" i="61" s="1"/>
  <c r="M368" i="61" s="1"/>
  <c r="M369" i="61" s="1"/>
  <c r="M370" i="61" s="1"/>
  <c r="M371" i="61" s="1"/>
  <c r="M372" i="61" s="1"/>
  <c r="M373" i="61" s="1"/>
  <c r="M374" i="61" s="1"/>
  <c r="M375" i="61" s="1"/>
  <c r="M376" i="61" s="1"/>
  <c r="M377" i="61" s="1"/>
  <c r="M378" i="61" s="1"/>
  <c r="M379" i="61" s="1"/>
  <c r="M380" i="61" s="1"/>
  <c r="M381" i="61" s="1"/>
  <c r="M382" i="61" s="1"/>
  <c r="M383" i="61" s="1"/>
  <c r="M384" i="61" s="1"/>
  <c r="M385" i="61" s="1"/>
  <c r="M386" i="61" s="1"/>
  <c r="M387" i="61" s="1"/>
  <c r="M388" i="61" s="1"/>
  <c r="M389" i="61" s="1"/>
  <c r="M390" i="61" s="1"/>
  <c r="M391" i="61" s="1"/>
  <c r="M392" i="61" s="1"/>
  <c r="M393" i="61" s="1"/>
  <c r="M394" i="61" s="1"/>
  <c r="M395" i="61" s="1"/>
  <c r="M396" i="61" s="1"/>
  <c r="M397" i="61" s="1"/>
  <c r="M398" i="61" s="1"/>
  <c r="M399" i="61" s="1"/>
  <c r="M400" i="61" s="1"/>
  <c r="M401" i="61" s="1"/>
  <c r="M402" i="61" s="1"/>
  <c r="M403" i="61" s="1"/>
  <c r="M404" i="61" s="1"/>
  <c r="M405" i="61" s="1"/>
  <c r="M406" i="61" s="1"/>
  <c r="M407" i="61" s="1"/>
  <c r="M408" i="61" s="1"/>
  <c r="M409" i="61" s="1"/>
  <c r="M410" i="61" s="1"/>
  <c r="M411" i="61" s="1"/>
  <c r="M412" i="61" s="1"/>
  <c r="M413" i="61" s="1"/>
  <c r="M414" i="61" s="1"/>
  <c r="M415" i="61" s="1"/>
  <c r="M416" i="61" s="1"/>
  <c r="M417" i="61" s="1"/>
  <c r="M418" i="61" s="1"/>
  <c r="M419" i="61" s="1"/>
  <c r="M420" i="61" s="1"/>
  <c r="M421" i="61" s="1"/>
  <c r="M422" i="61" s="1"/>
  <c r="M423" i="61" s="1"/>
  <c r="M424" i="61" s="1"/>
  <c r="M425" i="61" s="1"/>
  <c r="M426" i="61" s="1"/>
  <c r="M427" i="61" s="1"/>
  <c r="M428" i="61" s="1"/>
  <c r="M429" i="61" s="1"/>
  <c r="M430" i="61" s="1"/>
  <c r="M431" i="61" s="1"/>
  <c r="M432" i="61" s="1"/>
  <c r="M433" i="61" s="1"/>
  <c r="M434" i="61" s="1"/>
  <c r="M435" i="61" s="1"/>
  <c r="M436" i="61" s="1"/>
  <c r="M437" i="61" s="1"/>
  <c r="M438" i="61" s="1"/>
  <c r="M439" i="61" s="1"/>
  <c r="M440" i="61" s="1"/>
  <c r="M441" i="61" s="1"/>
  <c r="M442" i="61" s="1"/>
  <c r="M443" i="61" s="1"/>
  <c r="M444" i="61" s="1"/>
  <c r="M445" i="61" s="1"/>
  <c r="M446" i="61" s="1"/>
  <c r="M447" i="61" s="1"/>
  <c r="M448" i="61" s="1"/>
  <c r="M449" i="61" s="1"/>
  <c r="M450" i="61" s="1"/>
  <c r="M451" i="61" s="1"/>
  <c r="M452" i="61" s="1"/>
  <c r="M453" i="61" s="1"/>
  <c r="M454" i="61" s="1"/>
  <c r="M455" i="61" s="1"/>
  <c r="M456" i="61" s="1"/>
  <c r="M457" i="61" s="1"/>
  <c r="M458" i="61" s="1"/>
  <c r="M459" i="61" s="1"/>
  <c r="M460" i="61" s="1"/>
  <c r="M461" i="61" s="1"/>
  <c r="M462" i="61" s="1"/>
  <c r="M463" i="61" s="1"/>
  <c r="M464" i="61" s="1"/>
  <c r="M465" i="61" s="1"/>
  <c r="M466" i="61" s="1"/>
  <c r="M467" i="61" s="1"/>
  <c r="M468" i="61" s="1"/>
  <c r="M469" i="61" s="1"/>
  <c r="M470" i="61" s="1"/>
  <c r="M471" i="61" s="1"/>
  <c r="M472" i="61" s="1"/>
  <c r="M473" i="61" s="1"/>
  <c r="M474" i="61" s="1"/>
  <c r="M475" i="61" s="1"/>
  <c r="M476" i="61" s="1"/>
  <c r="M477" i="61" s="1"/>
  <c r="M478" i="61" s="1"/>
  <c r="M479" i="61" s="1"/>
  <c r="M480" i="61" s="1"/>
  <c r="M481" i="61" s="1"/>
  <c r="M482" i="61" s="1"/>
  <c r="M483" i="61" s="1"/>
  <c r="M484" i="61" s="1"/>
  <c r="M485" i="61" s="1"/>
  <c r="M486" i="61" s="1"/>
  <c r="M487" i="61" s="1"/>
  <c r="M488" i="61" s="1"/>
  <c r="M489" i="61" s="1"/>
  <c r="M490" i="61" s="1"/>
  <c r="M491" i="61" s="1"/>
  <c r="M492" i="61" s="1"/>
  <c r="M493" i="61" s="1"/>
  <c r="M494" i="61" s="1"/>
  <c r="M495" i="61" s="1"/>
  <c r="M496" i="61" s="1"/>
  <c r="M497" i="61" s="1"/>
  <c r="M498" i="61" s="1"/>
  <c r="M499" i="61" s="1"/>
  <c r="M500" i="61" s="1"/>
  <c r="M501" i="61" s="1"/>
  <c r="M502" i="61" s="1"/>
  <c r="M503" i="61" s="1"/>
  <c r="M504" i="61" s="1"/>
  <c r="M505" i="61" s="1"/>
  <c r="M506" i="61" s="1"/>
  <c r="M507" i="61" s="1"/>
  <c r="M508" i="61" s="1"/>
  <c r="M509" i="61" s="1"/>
  <c r="M510" i="61" s="1"/>
  <c r="M511" i="61" s="1"/>
  <c r="M512" i="61" s="1"/>
  <c r="M513" i="61" s="1"/>
  <c r="M514" i="61" s="1"/>
  <c r="M515" i="61" s="1"/>
  <c r="M516" i="61" s="1"/>
  <c r="M517" i="61" s="1"/>
  <c r="M518" i="61" s="1"/>
  <c r="M519" i="61" s="1"/>
  <c r="M520" i="61" s="1"/>
  <c r="M521" i="61" s="1"/>
  <c r="M522" i="61" s="1"/>
  <c r="M523" i="61" s="1"/>
  <c r="M524" i="61" s="1"/>
  <c r="M525" i="61" s="1"/>
  <c r="M526" i="61" s="1"/>
  <c r="M527" i="61" s="1"/>
  <c r="M528" i="61" s="1"/>
  <c r="M529" i="61" s="1"/>
  <c r="M530" i="61" s="1"/>
  <c r="M531" i="61" s="1"/>
  <c r="M532" i="61" s="1"/>
  <c r="M533" i="61" s="1"/>
  <c r="M534" i="61" s="1"/>
  <c r="M535" i="61" s="1"/>
  <c r="M536" i="61" s="1"/>
  <c r="M537" i="61" s="1"/>
  <c r="M538" i="61" s="1"/>
  <c r="M539" i="61" s="1"/>
  <c r="M540" i="61" s="1"/>
  <c r="M541" i="61" s="1"/>
  <c r="M542" i="61" s="1"/>
  <c r="M543" i="61" s="1"/>
  <c r="M544" i="61" s="1"/>
  <c r="M545" i="61" s="1"/>
  <c r="M546" i="61" s="1"/>
  <c r="M547" i="61" s="1"/>
  <c r="M548" i="61" s="1"/>
  <c r="M549" i="61" s="1"/>
  <c r="M550" i="61" s="1"/>
  <c r="M551" i="61" s="1"/>
  <c r="M552" i="61" s="1"/>
  <c r="M553" i="61" s="1"/>
  <c r="M554" i="61" s="1"/>
  <c r="M555" i="61" s="1"/>
  <c r="M556" i="61" s="1"/>
  <c r="M557" i="61" s="1"/>
  <c r="M558" i="61" s="1"/>
  <c r="M559" i="61" s="1"/>
  <c r="M560" i="61" s="1"/>
  <c r="M561" i="61" s="1"/>
  <c r="M562" i="61" s="1"/>
  <c r="M563" i="61" s="1"/>
  <c r="M564" i="61" s="1"/>
  <c r="M565" i="61" s="1"/>
  <c r="M566" i="61" s="1"/>
  <c r="M567" i="61" s="1"/>
  <c r="M568" i="61" s="1"/>
  <c r="M569" i="61" s="1"/>
  <c r="M570" i="61" s="1"/>
  <c r="M571" i="61" s="1"/>
  <c r="M572" i="61" s="1"/>
  <c r="M573" i="61" s="1"/>
  <c r="M574" i="61" s="1"/>
  <c r="M575" i="61" s="1"/>
  <c r="M576" i="61" s="1"/>
  <c r="M577" i="61" s="1"/>
  <c r="M578" i="61" s="1"/>
  <c r="M579" i="61" s="1"/>
  <c r="M580" i="61" s="1"/>
  <c r="R27" i="61"/>
  <c r="Q27" i="61"/>
  <c r="S27" i="61" s="1"/>
  <c r="T41" i="61"/>
  <c r="U41" i="61" s="1"/>
  <c r="P28" i="61"/>
  <c r="D29" i="61"/>
  <c r="C29" i="61" s="1"/>
  <c r="E28" i="61"/>
  <c r="F28" i="61" s="1"/>
  <c r="G12" i="61"/>
  <c r="H12" i="55"/>
  <c r="I158" i="44"/>
  <c r="B50" i="61"/>
  <c r="I157" i="44"/>
  <c r="H17" i="56"/>
  <c r="F18" i="56"/>
  <c r="G17" i="56"/>
  <c r="D14" i="55"/>
  <c r="S13" i="55"/>
  <c r="K13" i="55"/>
  <c r="C13" i="55" s="1"/>
  <c r="E13" i="55"/>
  <c r="F13" i="55" s="1"/>
  <c r="F12" i="57"/>
  <c r="H11" i="57"/>
  <c r="G27" i="61"/>
  <c r="H27" i="61"/>
  <c r="H14" i="60"/>
  <c r="G14" i="60"/>
  <c r="F15" i="60"/>
  <c r="H11" i="59"/>
  <c r="G11" i="59"/>
  <c r="F12" i="59"/>
  <c r="K14" i="59"/>
  <c r="D15" i="59"/>
  <c r="D14" i="58"/>
  <c r="K13" i="58"/>
  <c r="H12" i="58"/>
  <c r="G12" i="58"/>
  <c r="F13" i="58"/>
  <c r="D15" i="57"/>
  <c r="K14" i="57"/>
  <c r="C14" i="57" s="1"/>
  <c r="G16" i="56"/>
  <c r="H16" i="56"/>
  <c r="S17" i="55"/>
  <c r="R17" i="55"/>
  <c r="T17" i="55" s="1"/>
  <c r="H17" i="55"/>
  <c r="G17" i="55"/>
  <c r="R16" i="55"/>
  <c r="D19" i="55"/>
  <c r="E18" i="55"/>
  <c r="F18" i="55" s="1"/>
  <c r="K18" i="55"/>
  <c r="C18" i="55" s="1"/>
  <c r="H14" i="54"/>
  <c r="F15" i="54"/>
  <c r="G14" i="54"/>
  <c r="F15" i="53"/>
  <c r="G14" i="53"/>
  <c r="H14" i="53"/>
  <c r="F15" i="52"/>
  <c r="G14" i="52"/>
  <c r="H14" i="52"/>
  <c r="J156" i="44"/>
  <c r="C156" i="44" s="1"/>
  <c r="J61" i="44"/>
  <c r="C61" i="44" s="1"/>
  <c r="I159" i="44"/>
  <c r="I64" i="44"/>
  <c r="K34" i="42"/>
  <c r="C34" i="42" s="1"/>
  <c r="E34" i="42"/>
  <c r="F34" i="42" s="1"/>
  <c r="H33" i="42"/>
  <c r="G33" i="42"/>
  <c r="G29" i="41"/>
  <c r="H29" i="41"/>
  <c r="T11" i="41"/>
  <c r="T17" i="41"/>
  <c r="H12" i="41"/>
  <c r="G12" i="41"/>
  <c r="D25" i="41"/>
  <c r="K24" i="41"/>
  <c r="C24" i="41" s="1"/>
  <c r="K19" i="41"/>
  <c r="C19" i="41" s="1"/>
  <c r="D20" i="41"/>
  <c r="E35" i="41"/>
  <c r="F35" i="41" s="1"/>
  <c r="K29" i="41"/>
  <c r="C29" i="41" s="1"/>
  <c r="D30" i="41"/>
  <c r="S18" i="41"/>
  <c r="R18" i="41"/>
  <c r="R23" i="41"/>
  <c r="S23" i="41"/>
  <c r="S12" i="41"/>
  <c r="R12" i="41"/>
  <c r="D14" i="41"/>
  <c r="K13" i="41"/>
  <c r="C13" i="41" s="1"/>
  <c r="D27" i="49" l="1"/>
  <c r="C26" i="49"/>
  <c r="M50" i="56"/>
  <c r="G14" i="98"/>
  <c r="C14" i="98" s="1"/>
  <c r="C13" i="98"/>
  <c r="M191" i="47"/>
  <c r="C190" i="47"/>
  <c r="M175" i="47"/>
  <c r="C174" i="47"/>
  <c r="K148" i="44"/>
  <c r="K64" i="44"/>
  <c r="M84" i="56"/>
  <c r="K136" i="44"/>
  <c r="K40" i="44"/>
  <c r="G30" i="98"/>
  <c r="C30" i="98" s="1"/>
  <c r="C29" i="98"/>
  <c r="F25" i="43"/>
  <c r="C24" i="43"/>
  <c r="K160" i="44"/>
  <c r="G46" i="98"/>
  <c r="C46" i="98" s="1"/>
  <c r="C45" i="98"/>
  <c r="D16" i="49"/>
  <c r="C15" i="49"/>
  <c r="M79" i="47"/>
  <c r="C78" i="47"/>
  <c r="S27" i="48"/>
  <c r="U26" i="48"/>
  <c r="K16" i="44"/>
  <c r="N16" i="59"/>
  <c r="K184" i="44"/>
  <c r="H134" i="42"/>
  <c r="G134" i="42"/>
  <c r="G34" i="98"/>
  <c r="C34" i="98" s="1"/>
  <c r="C33" i="98"/>
  <c r="K52" i="44"/>
  <c r="G50" i="98"/>
  <c r="C50" i="98" s="1"/>
  <c r="C49" i="98"/>
  <c r="D39" i="49"/>
  <c r="C38" i="49"/>
  <c r="K100" i="44"/>
  <c r="G18" i="98"/>
  <c r="C18" i="98" s="1"/>
  <c r="C17" i="98"/>
  <c r="P43" i="61"/>
  <c r="R43" i="61" s="1"/>
  <c r="C43" i="61"/>
  <c r="D136" i="42"/>
  <c r="E135" i="42"/>
  <c r="F135" i="42" s="1"/>
  <c r="K135" i="42"/>
  <c r="C135" i="42" s="1"/>
  <c r="M95" i="47"/>
  <c r="C94" i="47"/>
  <c r="J27" i="50"/>
  <c r="C26" i="50"/>
  <c r="Q296" i="95"/>
  <c r="S295" i="95"/>
  <c r="U295" i="95" s="1"/>
  <c r="V295" i="95" s="1"/>
  <c r="W295" i="95" s="1"/>
  <c r="Z295" i="95" s="1"/>
  <c r="Y295" i="95" s="1"/>
  <c r="F22" i="43"/>
  <c r="C22" i="43" s="1"/>
  <c r="C21" i="43"/>
  <c r="K112" i="44"/>
  <c r="K196" i="44"/>
  <c r="K88" i="44"/>
  <c r="M67" i="56"/>
  <c r="J21" i="54"/>
  <c r="J15" i="54"/>
  <c r="M111" i="47"/>
  <c r="M15" i="47"/>
  <c r="M159" i="47"/>
  <c r="C159" i="47" s="1"/>
  <c r="M63" i="47"/>
  <c r="C63" i="47" s="1"/>
  <c r="K122" i="48"/>
  <c r="C122" i="48" s="1"/>
  <c r="D123" i="48"/>
  <c r="E122" i="48"/>
  <c r="F122" i="48" s="1"/>
  <c r="G121" i="48"/>
  <c r="H121" i="48"/>
  <c r="H92" i="76"/>
  <c r="G92" i="76"/>
  <c r="M16" i="56"/>
  <c r="M33" i="56"/>
  <c r="T25" i="48"/>
  <c r="V25" i="48" s="1"/>
  <c r="R26" i="48"/>
  <c r="H13" i="41"/>
  <c r="K16" i="49"/>
  <c r="P15" i="49"/>
  <c r="H19" i="41"/>
  <c r="U11" i="41"/>
  <c r="W11" i="41" s="1"/>
  <c r="X11" i="41" s="1"/>
  <c r="U17" i="55"/>
  <c r="X17" i="55" s="1"/>
  <c r="U17" i="41"/>
  <c r="W17" i="41" s="1"/>
  <c r="E20" i="41"/>
  <c r="F20" i="41" s="1"/>
  <c r="H20" i="41" s="1"/>
  <c r="P20" i="41"/>
  <c r="Q20" i="41" s="1"/>
  <c r="E30" i="41"/>
  <c r="F30" i="41" s="1"/>
  <c r="H30" i="41" s="1"/>
  <c r="P30" i="41"/>
  <c r="Q30" i="41" s="1"/>
  <c r="E14" i="41"/>
  <c r="F14" i="41" s="1"/>
  <c r="G14" i="41" s="1"/>
  <c r="H24" i="41"/>
  <c r="E25" i="41"/>
  <c r="F25" i="41" s="1"/>
  <c r="H25" i="41" s="1"/>
  <c r="P25" i="41"/>
  <c r="Q25" i="41" s="1"/>
  <c r="N14" i="55"/>
  <c r="N15" i="41"/>
  <c r="T12" i="61"/>
  <c r="U12" i="61" s="1"/>
  <c r="D44" i="61"/>
  <c r="E43" i="61"/>
  <c r="F43" i="61" s="1"/>
  <c r="H43" i="61" s="1"/>
  <c r="G42" i="61"/>
  <c r="D15" i="61"/>
  <c r="C15" i="61" s="1"/>
  <c r="E14" i="61"/>
  <c r="F14" i="61" s="1"/>
  <c r="P14" i="61"/>
  <c r="Q13" i="61"/>
  <c r="S13" i="61" s="1"/>
  <c r="R13" i="61"/>
  <c r="G13" i="61"/>
  <c r="H13" i="61"/>
  <c r="D95" i="77"/>
  <c r="E94" i="77"/>
  <c r="H94" i="77" s="1"/>
  <c r="K89" i="76"/>
  <c r="D90" i="76"/>
  <c r="D380" i="78"/>
  <c r="E379" i="78"/>
  <c r="H380" i="78" s="1"/>
  <c r="D238" i="78"/>
  <c r="E237" i="78"/>
  <c r="H238" i="78" s="1"/>
  <c r="E92" i="78"/>
  <c r="H93" i="78" s="1"/>
  <c r="D93" i="78"/>
  <c r="E283" i="77"/>
  <c r="H283" i="77" s="1"/>
  <c r="D284" i="77"/>
  <c r="D189" i="77"/>
  <c r="E188" i="77"/>
  <c r="H188" i="77" s="1"/>
  <c r="F93" i="76"/>
  <c r="F92" i="66"/>
  <c r="G92" i="66" s="1"/>
  <c r="T27" i="61"/>
  <c r="U27" i="61" s="1"/>
  <c r="T13" i="55"/>
  <c r="U13" i="55" s="1"/>
  <c r="G28" i="61"/>
  <c r="H28" i="61"/>
  <c r="D30" i="61"/>
  <c r="C30" i="61" s="1"/>
  <c r="P29" i="61"/>
  <c r="E29" i="61"/>
  <c r="F29" i="61" s="1"/>
  <c r="R28" i="61"/>
  <c r="Q28" i="61"/>
  <c r="S28" i="61" s="1"/>
  <c r="B51" i="61"/>
  <c r="G18" i="56"/>
  <c r="H18" i="56"/>
  <c r="F19" i="56"/>
  <c r="G12" i="57"/>
  <c r="F13" i="57"/>
  <c r="H12" i="57"/>
  <c r="D15" i="55"/>
  <c r="S14" i="55"/>
  <c r="E14" i="55"/>
  <c r="F14" i="55" s="1"/>
  <c r="K14" i="55"/>
  <c r="C14" i="55" s="1"/>
  <c r="G13" i="55"/>
  <c r="H13" i="55"/>
  <c r="H15" i="60"/>
  <c r="G15" i="60"/>
  <c r="F16" i="60"/>
  <c r="G12" i="59"/>
  <c r="F13" i="59"/>
  <c r="H12" i="59"/>
  <c r="D16" i="59"/>
  <c r="K15" i="59"/>
  <c r="C15" i="59" s="1"/>
  <c r="D15" i="58"/>
  <c r="K14" i="58"/>
  <c r="H13" i="58"/>
  <c r="G13" i="58"/>
  <c r="F14" i="58"/>
  <c r="D16" i="57"/>
  <c r="K15" i="57"/>
  <c r="C15" i="57" s="1"/>
  <c r="D20" i="55"/>
  <c r="K19" i="55"/>
  <c r="C19" i="55" s="1"/>
  <c r="E19" i="55"/>
  <c r="F19" i="55" s="1"/>
  <c r="H18" i="55"/>
  <c r="G18" i="55"/>
  <c r="S18" i="55"/>
  <c r="R18" i="55"/>
  <c r="T18" i="55" s="1"/>
  <c r="H15" i="54"/>
  <c r="F16" i="54"/>
  <c r="G15" i="54"/>
  <c r="G15" i="53"/>
  <c r="H15" i="53"/>
  <c r="F16" i="53"/>
  <c r="H15" i="52"/>
  <c r="F16" i="52"/>
  <c r="G15" i="52"/>
  <c r="I65" i="44"/>
  <c r="J157" i="44"/>
  <c r="C157" i="44" s="1"/>
  <c r="I160" i="44"/>
  <c r="J62" i="44"/>
  <c r="C62" i="44" s="1"/>
  <c r="K35" i="42"/>
  <c r="C35" i="42" s="1"/>
  <c r="E35" i="42"/>
  <c r="F35" i="42" s="1"/>
  <c r="H34" i="42"/>
  <c r="G34" i="42"/>
  <c r="G35" i="41"/>
  <c r="H35" i="41"/>
  <c r="T23" i="41"/>
  <c r="R29" i="41"/>
  <c r="S29" i="41"/>
  <c r="R19" i="41"/>
  <c r="S19" i="41"/>
  <c r="T12" i="41"/>
  <c r="T18" i="41"/>
  <c r="E41" i="41"/>
  <c r="F41" i="41" s="1"/>
  <c r="D36" i="41"/>
  <c r="K35" i="41"/>
  <c r="C35" i="41" s="1"/>
  <c r="K25" i="41"/>
  <c r="C25" i="41" s="1"/>
  <c r="D26" i="41"/>
  <c r="D15" i="41"/>
  <c r="K14" i="41"/>
  <c r="C14" i="41" s="1"/>
  <c r="K30" i="41"/>
  <c r="C30" i="41" s="1"/>
  <c r="D31" i="41"/>
  <c r="D21" i="41"/>
  <c r="K20" i="41"/>
  <c r="C20" i="41" s="1"/>
  <c r="S13" i="41"/>
  <c r="R13" i="41"/>
  <c r="R24" i="41"/>
  <c r="S24" i="41"/>
  <c r="K136" i="42" l="1"/>
  <c r="C136" i="42" s="1"/>
  <c r="D137" i="42"/>
  <c r="E136" i="42"/>
  <c r="F136" i="42" s="1"/>
  <c r="K101" i="44"/>
  <c r="K137" i="44"/>
  <c r="M176" i="47"/>
  <c r="C175" i="47"/>
  <c r="D45" i="61"/>
  <c r="C45" i="61" s="1"/>
  <c r="C44" i="61"/>
  <c r="K89" i="44"/>
  <c r="Q297" i="95"/>
  <c r="S296" i="95"/>
  <c r="U296" i="95" s="1"/>
  <c r="V296" i="95" s="1"/>
  <c r="W296" i="95" s="1"/>
  <c r="Z296" i="95" s="1"/>
  <c r="Y296" i="95" s="1"/>
  <c r="D17" i="49"/>
  <c r="C16" i="49"/>
  <c r="F26" i="43"/>
  <c r="C26" i="43" s="1"/>
  <c r="C25" i="43"/>
  <c r="D28" i="49"/>
  <c r="C27" i="49"/>
  <c r="M51" i="56"/>
  <c r="D40" i="49"/>
  <c r="C39" i="49"/>
  <c r="M102" i="56"/>
  <c r="M192" i="47"/>
  <c r="C191" i="47"/>
  <c r="K197" i="44"/>
  <c r="J28" i="50"/>
  <c r="C27" i="50"/>
  <c r="K17" i="44"/>
  <c r="K185" i="44"/>
  <c r="K65" i="44"/>
  <c r="K113" i="44"/>
  <c r="M96" i="47"/>
  <c r="C95" i="47"/>
  <c r="S28" i="48"/>
  <c r="U27" i="48"/>
  <c r="K161" i="44"/>
  <c r="C21" i="41"/>
  <c r="G30" i="41"/>
  <c r="Q43" i="61"/>
  <c r="S43" i="61" s="1"/>
  <c r="T43" i="61" s="1"/>
  <c r="U43" i="61" s="1"/>
  <c r="K53" i="44"/>
  <c r="K41" i="44"/>
  <c r="K149" i="44"/>
  <c r="C31" i="41"/>
  <c r="M85" i="56"/>
  <c r="H135" i="42"/>
  <c r="G135" i="42"/>
  <c r="M80" i="47"/>
  <c r="C79" i="47"/>
  <c r="M68" i="56"/>
  <c r="J22" i="54"/>
  <c r="J16" i="54"/>
  <c r="M64" i="47"/>
  <c r="C64" i="47" s="1"/>
  <c r="M16" i="47"/>
  <c r="M160" i="47"/>
  <c r="C160" i="47" s="1"/>
  <c r="M112" i="47"/>
  <c r="G122" i="48"/>
  <c r="H122" i="48"/>
  <c r="K123" i="48"/>
  <c r="C123" i="48" s="1"/>
  <c r="E123" i="48"/>
  <c r="F123" i="48" s="1"/>
  <c r="D124" i="48"/>
  <c r="G93" i="76"/>
  <c r="H93" i="76"/>
  <c r="M34" i="56"/>
  <c r="M17" i="56"/>
  <c r="R27" i="48"/>
  <c r="T26" i="48"/>
  <c r="V26" i="48" s="1"/>
  <c r="H14" i="41"/>
  <c r="K17" i="49"/>
  <c r="P16" i="49"/>
  <c r="G20" i="41"/>
  <c r="G25" i="41"/>
  <c r="U12" i="41"/>
  <c r="W12" i="41" s="1"/>
  <c r="X12" i="41" s="1"/>
  <c r="U18" i="55"/>
  <c r="X18" i="55" s="1"/>
  <c r="U23" i="41"/>
  <c r="W23" i="41" s="1"/>
  <c r="U18" i="41"/>
  <c r="W18" i="41" s="1"/>
  <c r="E26" i="41"/>
  <c r="F26" i="41" s="1"/>
  <c r="G26" i="41" s="1"/>
  <c r="P26" i="41"/>
  <c r="Q26" i="41" s="1"/>
  <c r="E31" i="41"/>
  <c r="F31" i="41" s="1"/>
  <c r="H31" i="41" s="1"/>
  <c r="P31" i="41"/>
  <c r="Q31" i="41" s="1"/>
  <c r="E21" i="41"/>
  <c r="F21" i="41" s="1"/>
  <c r="H21" i="41" s="1"/>
  <c r="P21" i="41"/>
  <c r="Q21" i="41" s="1"/>
  <c r="E15" i="41"/>
  <c r="F15" i="41" s="1"/>
  <c r="H15" i="41" s="1"/>
  <c r="E36" i="41"/>
  <c r="F36" i="41" s="1"/>
  <c r="H36" i="41" s="1"/>
  <c r="P36" i="41"/>
  <c r="Q36" i="41" s="1"/>
  <c r="N15" i="55"/>
  <c r="N16" i="41"/>
  <c r="E44" i="61"/>
  <c r="F44" i="61" s="1"/>
  <c r="G44" i="61" s="1"/>
  <c r="X13" i="55"/>
  <c r="G43" i="61"/>
  <c r="P44" i="61"/>
  <c r="R44" i="61" s="1"/>
  <c r="T13" i="61"/>
  <c r="U13" i="61" s="1"/>
  <c r="R14" i="61"/>
  <c r="Q14" i="61"/>
  <c r="S14" i="61" s="1"/>
  <c r="G14" i="61"/>
  <c r="H14" i="61"/>
  <c r="D16" i="61"/>
  <c r="C16" i="61" s="1"/>
  <c r="P15" i="61"/>
  <c r="E15" i="61"/>
  <c r="F15" i="61" s="1"/>
  <c r="K90" i="76"/>
  <c r="D91" i="76"/>
  <c r="D96" i="77"/>
  <c r="E95" i="77"/>
  <c r="H95" i="77" s="1"/>
  <c r="E380" i="78"/>
  <c r="H381" i="78" s="1"/>
  <c r="D381" i="78"/>
  <c r="E238" i="78"/>
  <c r="H239" i="78" s="1"/>
  <c r="D239" i="78"/>
  <c r="E93" i="78"/>
  <c r="H94" i="78" s="1"/>
  <c r="D94" i="78"/>
  <c r="D285" i="77"/>
  <c r="E284" i="77"/>
  <c r="H284" i="77" s="1"/>
  <c r="D190" i="77"/>
  <c r="E189" i="77"/>
  <c r="H189" i="77" s="1"/>
  <c r="F94" i="76"/>
  <c r="F93" i="66"/>
  <c r="G93" i="66" s="1"/>
  <c r="T28" i="61"/>
  <c r="U28" i="61" s="1"/>
  <c r="R29" i="61"/>
  <c r="Q29" i="61"/>
  <c r="S29" i="61" s="1"/>
  <c r="T14" i="55"/>
  <c r="G29" i="61"/>
  <c r="H29" i="61"/>
  <c r="D31" i="61"/>
  <c r="C31" i="61" s="1"/>
  <c r="P30" i="61"/>
  <c r="E30" i="61"/>
  <c r="F30" i="61" s="1"/>
  <c r="B52" i="61"/>
  <c r="F20" i="56"/>
  <c r="H19" i="56"/>
  <c r="G19" i="56"/>
  <c r="G14" i="55"/>
  <c r="H14" i="55"/>
  <c r="S15" i="55"/>
  <c r="E15" i="55"/>
  <c r="F15" i="55" s="1"/>
  <c r="D16" i="55"/>
  <c r="K15" i="55"/>
  <c r="C15" i="55" s="1"/>
  <c r="F14" i="57"/>
  <c r="G13" i="57"/>
  <c r="H13" i="57"/>
  <c r="D46" i="61"/>
  <c r="C46" i="61" s="1"/>
  <c r="H16" i="60"/>
  <c r="G16" i="60"/>
  <c r="F17" i="60"/>
  <c r="H13" i="59"/>
  <c r="G13" i="59"/>
  <c r="F14" i="59"/>
  <c r="D17" i="59"/>
  <c r="K16" i="59"/>
  <c r="C16" i="59" s="1"/>
  <c r="D16" i="58"/>
  <c r="K15" i="58"/>
  <c r="G14" i="58"/>
  <c r="F15" i="58"/>
  <c r="H14" i="58"/>
  <c r="D17" i="57"/>
  <c r="K16" i="57"/>
  <c r="C16" i="57" s="1"/>
  <c r="H19" i="55"/>
  <c r="G19" i="55"/>
  <c r="S19" i="55"/>
  <c r="R19" i="55"/>
  <c r="T19" i="55" s="1"/>
  <c r="D21" i="55"/>
  <c r="K20" i="55"/>
  <c r="C20" i="55" s="1"/>
  <c r="E20" i="55"/>
  <c r="F20" i="55" s="1"/>
  <c r="H16" i="54"/>
  <c r="F17" i="54"/>
  <c r="G16" i="54"/>
  <c r="H16" i="53"/>
  <c r="F17" i="53"/>
  <c r="G16" i="53"/>
  <c r="H16" i="52"/>
  <c r="F17" i="52"/>
  <c r="G16" i="52"/>
  <c r="J158" i="44"/>
  <c r="C158" i="44" s="1"/>
  <c r="J63" i="44"/>
  <c r="C63" i="44" s="1"/>
  <c r="I161" i="44"/>
  <c r="I66" i="44"/>
  <c r="G35" i="42"/>
  <c r="H35" i="42"/>
  <c r="K36" i="42"/>
  <c r="C36" i="42" s="1"/>
  <c r="E36" i="42"/>
  <c r="F36" i="42" s="1"/>
  <c r="T13" i="41"/>
  <c r="T19" i="41"/>
  <c r="G41" i="41"/>
  <c r="H41" i="41"/>
  <c r="T29" i="41"/>
  <c r="R20" i="41"/>
  <c r="S20" i="41"/>
  <c r="E47" i="41"/>
  <c r="F47" i="41" s="1"/>
  <c r="D42" i="41"/>
  <c r="K41" i="41"/>
  <c r="C41" i="41" s="1"/>
  <c r="T24" i="41"/>
  <c r="K21" i="41"/>
  <c r="D22" i="41"/>
  <c r="R30" i="41"/>
  <c r="S30" i="41"/>
  <c r="S14" i="41"/>
  <c r="R14" i="41"/>
  <c r="R25" i="41"/>
  <c r="S25" i="41"/>
  <c r="R35" i="41"/>
  <c r="S35" i="41"/>
  <c r="D16" i="41"/>
  <c r="K15" i="41"/>
  <c r="C15" i="41" s="1"/>
  <c r="K26" i="41"/>
  <c r="C26" i="41" s="1"/>
  <c r="D27" i="41"/>
  <c r="D32" i="41"/>
  <c r="K31" i="41"/>
  <c r="D37" i="41"/>
  <c r="K36" i="41"/>
  <c r="C36" i="41" s="1"/>
  <c r="E45" i="61" l="1"/>
  <c r="F45" i="61" s="1"/>
  <c r="P45" i="61"/>
  <c r="R45" i="61" s="1"/>
  <c r="M97" i="47"/>
  <c r="C96" i="47"/>
  <c r="K18" i="44"/>
  <c r="M193" i="47"/>
  <c r="C192" i="47"/>
  <c r="D29" i="49"/>
  <c r="C28" i="49"/>
  <c r="K90" i="44"/>
  <c r="K138" i="44"/>
  <c r="M52" i="56"/>
  <c r="M103" i="56"/>
  <c r="K54" i="44"/>
  <c r="K114" i="44"/>
  <c r="J29" i="50"/>
  <c r="C28" i="50"/>
  <c r="K102" i="44"/>
  <c r="M86" i="56"/>
  <c r="K162" i="44"/>
  <c r="K66" i="44"/>
  <c r="K198" i="44"/>
  <c r="D41" i="49"/>
  <c r="C40" i="49"/>
  <c r="H136" i="42"/>
  <c r="G136" i="42"/>
  <c r="K150" i="44"/>
  <c r="D18" i="49"/>
  <c r="C17" i="49"/>
  <c r="C137" i="42"/>
  <c r="E137" i="42"/>
  <c r="F137" i="42" s="1"/>
  <c r="D138" i="42"/>
  <c r="K137" i="42"/>
  <c r="C17" i="57"/>
  <c r="M81" i="47"/>
  <c r="C80" i="47"/>
  <c r="S29" i="48"/>
  <c r="U28" i="48"/>
  <c r="K186" i="44"/>
  <c r="M69" i="56"/>
  <c r="K42" i="44"/>
  <c r="Q298" i="95"/>
  <c r="S298" i="95" s="1"/>
  <c r="U298" i="95" s="1"/>
  <c r="V298" i="95" s="1"/>
  <c r="W298" i="95" s="1"/>
  <c r="S297" i="95"/>
  <c r="U297" i="95" s="1"/>
  <c r="V297" i="95" s="1"/>
  <c r="W297" i="95" s="1"/>
  <c r="Z297" i="95" s="1"/>
  <c r="Y297" i="95" s="1"/>
  <c r="M177" i="47"/>
  <c r="C176" i="47"/>
  <c r="M161" i="47"/>
  <c r="C161" i="47" s="1"/>
  <c r="M17" i="47"/>
  <c r="M113" i="47"/>
  <c r="M65" i="47"/>
  <c r="C65" i="47" s="1"/>
  <c r="E124" i="48"/>
  <c r="F124" i="48" s="1"/>
  <c r="K124" i="48"/>
  <c r="C124" i="48" s="1"/>
  <c r="D125" i="48"/>
  <c r="G123" i="48"/>
  <c r="H123" i="48"/>
  <c r="M18" i="56"/>
  <c r="M35" i="56"/>
  <c r="H94" i="76"/>
  <c r="G94" i="76"/>
  <c r="G15" i="41"/>
  <c r="R28" i="48"/>
  <c r="T27" i="48"/>
  <c r="V27" i="48" s="1"/>
  <c r="G36" i="41"/>
  <c r="H26" i="41"/>
  <c r="G21" i="41"/>
  <c r="G31" i="41"/>
  <c r="K18" i="49"/>
  <c r="P17" i="49"/>
  <c r="U13" i="41"/>
  <c r="W13" i="41" s="1"/>
  <c r="X13" i="41" s="1"/>
  <c r="U19" i="55"/>
  <c r="X19" i="55" s="1"/>
  <c r="U29" i="41"/>
  <c r="W29" i="41" s="1"/>
  <c r="U14" i="55"/>
  <c r="X14" i="55" s="1"/>
  <c r="W14" i="55" s="1"/>
  <c r="U19" i="41"/>
  <c r="W19" i="41" s="1"/>
  <c r="U24" i="41"/>
  <c r="W24" i="41" s="1"/>
  <c r="E32" i="41"/>
  <c r="F32" i="41" s="1"/>
  <c r="H32" i="41" s="1"/>
  <c r="P32" i="41"/>
  <c r="Q32" i="41" s="1"/>
  <c r="E16" i="41"/>
  <c r="F16" i="41" s="1"/>
  <c r="H16" i="41" s="1"/>
  <c r="E27" i="41"/>
  <c r="F27" i="41" s="1"/>
  <c r="G27" i="41" s="1"/>
  <c r="P27" i="41"/>
  <c r="Q27" i="41" s="1"/>
  <c r="E22" i="41"/>
  <c r="F22" i="41" s="1"/>
  <c r="H22" i="41" s="1"/>
  <c r="P22" i="41"/>
  <c r="Q22" i="41" s="1"/>
  <c r="E42" i="41"/>
  <c r="F42" i="41" s="1"/>
  <c r="H42" i="41" s="1"/>
  <c r="P42" i="41"/>
  <c r="Q42" i="41" s="1"/>
  <c r="E37" i="41"/>
  <c r="F37" i="41" s="1"/>
  <c r="H37" i="41" s="1"/>
  <c r="P37" i="41"/>
  <c r="Q37" i="41" s="1"/>
  <c r="N17" i="41"/>
  <c r="H44" i="61"/>
  <c r="N16" i="55"/>
  <c r="Q44" i="61"/>
  <c r="S44" i="61" s="1"/>
  <c r="T44" i="61" s="1"/>
  <c r="U44" i="61" s="1"/>
  <c r="W13" i="55"/>
  <c r="T14" i="61"/>
  <c r="U14" i="61" s="1"/>
  <c r="H15" i="61"/>
  <c r="G15" i="61"/>
  <c r="Q15" i="61"/>
  <c r="S15" i="61" s="1"/>
  <c r="R15" i="61"/>
  <c r="D17" i="61"/>
  <c r="C17" i="61" s="1"/>
  <c r="E16" i="61"/>
  <c r="F16" i="61" s="1"/>
  <c r="P16" i="61"/>
  <c r="E96" i="77"/>
  <c r="H96" i="77" s="1"/>
  <c r="D97" i="77"/>
  <c r="D92" i="76"/>
  <c r="K91" i="76"/>
  <c r="D382" i="78"/>
  <c r="E381" i="78"/>
  <c r="H382" i="78" s="1"/>
  <c r="E239" i="78"/>
  <c r="H240" i="78" s="1"/>
  <c r="D240" i="78"/>
  <c r="D95" i="78"/>
  <c r="E94" i="78"/>
  <c r="H95" i="78" s="1"/>
  <c r="D286" i="77"/>
  <c r="E285" i="77"/>
  <c r="H285" i="77" s="1"/>
  <c r="D191" i="77"/>
  <c r="E190" i="77"/>
  <c r="H190" i="77" s="1"/>
  <c r="F95" i="76"/>
  <c r="F94" i="66"/>
  <c r="G94" i="66" s="1"/>
  <c r="T29" i="61"/>
  <c r="U29" i="61" s="1"/>
  <c r="R30" i="61"/>
  <c r="Q30" i="61"/>
  <c r="S30" i="61" s="1"/>
  <c r="T15" i="55"/>
  <c r="U15" i="55" s="1"/>
  <c r="D32" i="61"/>
  <c r="C32" i="61" s="1"/>
  <c r="P31" i="61"/>
  <c r="E31" i="61"/>
  <c r="F31" i="61" s="1"/>
  <c r="G30" i="61"/>
  <c r="H30" i="61"/>
  <c r="B53" i="61"/>
  <c r="H20" i="56"/>
  <c r="G20" i="56"/>
  <c r="F21" i="56"/>
  <c r="G15" i="55"/>
  <c r="H15" i="55"/>
  <c r="H14" i="57"/>
  <c r="F15" i="57"/>
  <c r="G14" i="57"/>
  <c r="S16" i="55"/>
  <c r="E16" i="55"/>
  <c r="F16" i="55" s="1"/>
  <c r="K16" i="55"/>
  <c r="C16" i="55" s="1"/>
  <c r="Q45" i="61"/>
  <c r="S45" i="61" s="1"/>
  <c r="P46" i="61"/>
  <c r="R46" i="61" s="1"/>
  <c r="D47" i="61"/>
  <c r="C47" i="61" s="1"/>
  <c r="E46" i="61"/>
  <c r="F46" i="61" s="1"/>
  <c r="H45" i="61"/>
  <c r="G45" i="61"/>
  <c r="H17" i="60"/>
  <c r="G17" i="60"/>
  <c r="F18" i="60"/>
  <c r="F15" i="59"/>
  <c r="H14" i="59"/>
  <c r="G14" i="59"/>
  <c r="K17" i="59"/>
  <c r="C17" i="59" s="1"/>
  <c r="D18" i="59"/>
  <c r="D17" i="58"/>
  <c r="K16" i="58"/>
  <c r="H15" i="58"/>
  <c r="G15" i="58"/>
  <c r="F16" i="58"/>
  <c r="F17" i="58" s="1"/>
  <c r="D18" i="57"/>
  <c r="K17" i="57"/>
  <c r="D22" i="55"/>
  <c r="K21" i="55"/>
  <c r="C21" i="55" s="1"/>
  <c r="E21" i="55"/>
  <c r="F21" i="55" s="1"/>
  <c r="H20" i="55"/>
  <c r="G20" i="55"/>
  <c r="S20" i="55"/>
  <c r="R20" i="55"/>
  <c r="T20" i="55" s="1"/>
  <c r="H17" i="54"/>
  <c r="F18" i="54"/>
  <c r="G17" i="54"/>
  <c r="H17" i="53"/>
  <c r="F18" i="53"/>
  <c r="G17" i="53"/>
  <c r="H17" i="52"/>
  <c r="F18" i="52"/>
  <c r="G17" i="52"/>
  <c r="J159" i="44"/>
  <c r="C159" i="44" s="1"/>
  <c r="J64" i="44"/>
  <c r="C64" i="44" s="1"/>
  <c r="I162" i="44"/>
  <c r="I67" i="44"/>
  <c r="E37" i="42"/>
  <c r="F37" i="42" s="1"/>
  <c r="K37" i="42"/>
  <c r="C37" i="42" s="1"/>
  <c r="H36" i="42"/>
  <c r="G36" i="42"/>
  <c r="H47" i="41"/>
  <c r="G47" i="41"/>
  <c r="T35" i="41"/>
  <c r="T20" i="41"/>
  <c r="D33" i="41"/>
  <c r="K32" i="41"/>
  <c r="C32" i="41" s="1"/>
  <c r="S15" i="41"/>
  <c r="R15" i="41"/>
  <c r="D43" i="41"/>
  <c r="K42" i="41"/>
  <c r="C42" i="41" s="1"/>
  <c r="D38" i="41"/>
  <c r="K37" i="41"/>
  <c r="C37" i="41" s="1"/>
  <c r="R26" i="41"/>
  <c r="S26" i="41"/>
  <c r="T25" i="41"/>
  <c r="T30" i="41"/>
  <c r="R41" i="41"/>
  <c r="S41" i="41"/>
  <c r="R31" i="41"/>
  <c r="S31" i="41"/>
  <c r="R21" i="41"/>
  <c r="S21" i="41"/>
  <c r="D28" i="41"/>
  <c r="K27" i="41"/>
  <c r="C27" i="41" s="1"/>
  <c r="R36" i="41"/>
  <c r="S36" i="41"/>
  <c r="K16" i="41"/>
  <c r="C16" i="41" s="1"/>
  <c r="T14" i="41"/>
  <c r="K22" i="41"/>
  <c r="C22" i="41" s="1"/>
  <c r="E53" i="41"/>
  <c r="F53" i="41" s="1"/>
  <c r="K47" i="41"/>
  <c r="C47" i="41" s="1"/>
  <c r="D48" i="41"/>
  <c r="M53" i="56" l="1"/>
  <c r="M82" i="47"/>
  <c r="C81" i="47"/>
  <c r="D42" i="49"/>
  <c r="C41" i="49"/>
  <c r="M104" i="56"/>
  <c r="K115" i="44"/>
  <c r="M194" i="47"/>
  <c r="C193" i="47"/>
  <c r="M178" i="47"/>
  <c r="C177" i="47"/>
  <c r="Z298" i="95"/>
  <c r="Y298" i="95" s="1"/>
  <c r="AA11" i="95"/>
  <c r="D19" i="49"/>
  <c r="C18" i="49"/>
  <c r="M87" i="56"/>
  <c r="K199" i="44"/>
  <c r="K55" i="44"/>
  <c r="K139" i="44"/>
  <c r="K19" i="44"/>
  <c r="K103" i="44"/>
  <c r="K43" i="44"/>
  <c r="K151" i="44"/>
  <c r="K187" i="44"/>
  <c r="K67" i="44"/>
  <c r="K91" i="44"/>
  <c r="M98" i="47"/>
  <c r="C97" i="47"/>
  <c r="C138" i="42"/>
  <c r="E138" i="42"/>
  <c r="F138" i="42" s="1"/>
  <c r="K138" i="42"/>
  <c r="D139" i="42"/>
  <c r="S30" i="48"/>
  <c r="U29" i="48"/>
  <c r="G137" i="42"/>
  <c r="H137" i="42"/>
  <c r="K163" i="44"/>
  <c r="J30" i="50"/>
  <c r="C29" i="50"/>
  <c r="M70" i="56"/>
  <c r="D30" i="49"/>
  <c r="C29" i="49"/>
  <c r="M66" i="47"/>
  <c r="C66" i="47" s="1"/>
  <c r="M18" i="47"/>
  <c r="M114" i="47"/>
  <c r="M162" i="47"/>
  <c r="C162" i="47" s="1"/>
  <c r="H124" i="48"/>
  <c r="G124" i="48"/>
  <c r="K125" i="48"/>
  <c r="C125" i="48" s="1"/>
  <c r="D126" i="48"/>
  <c r="E125" i="48"/>
  <c r="F125" i="48" s="1"/>
  <c r="G95" i="76"/>
  <c r="H95" i="76"/>
  <c r="M19" i="56"/>
  <c r="M36" i="56"/>
  <c r="T28" i="48"/>
  <c r="V28" i="48" s="1"/>
  <c r="R29" i="48"/>
  <c r="G37" i="41"/>
  <c r="H27" i="41"/>
  <c r="G42" i="41"/>
  <c r="G32" i="41"/>
  <c r="K19" i="49"/>
  <c r="P18" i="49"/>
  <c r="G22" i="41"/>
  <c r="G16" i="41"/>
  <c r="U20" i="55"/>
  <c r="X20" i="55" s="1"/>
  <c r="U30" i="41"/>
  <c r="W30" i="41" s="1"/>
  <c r="U20" i="41"/>
  <c r="W20" i="41" s="1"/>
  <c r="U14" i="41"/>
  <c r="W14" i="41" s="1"/>
  <c r="X14" i="41" s="1"/>
  <c r="U25" i="41"/>
  <c r="W25" i="41" s="1"/>
  <c r="U35" i="41"/>
  <c r="W35" i="41" s="1"/>
  <c r="E48" i="41"/>
  <c r="F48" i="41" s="1"/>
  <c r="H48" i="41" s="1"/>
  <c r="P48" i="41"/>
  <c r="Q48" i="41" s="1"/>
  <c r="E28" i="41"/>
  <c r="F28" i="41" s="1"/>
  <c r="G28" i="41" s="1"/>
  <c r="P28" i="41"/>
  <c r="Q28" i="41" s="1"/>
  <c r="E38" i="41"/>
  <c r="F38" i="41" s="1"/>
  <c r="H38" i="41" s="1"/>
  <c r="P38" i="41"/>
  <c r="Q38" i="41" s="1"/>
  <c r="E43" i="41"/>
  <c r="F43" i="41" s="1"/>
  <c r="H43" i="41" s="1"/>
  <c r="P43" i="41"/>
  <c r="Q43" i="41" s="1"/>
  <c r="E33" i="41"/>
  <c r="F33" i="41" s="1"/>
  <c r="H33" i="41" s="1"/>
  <c r="P33" i="41"/>
  <c r="Q33" i="41" s="1"/>
  <c r="N17" i="55"/>
  <c r="N18" i="41"/>
  <c r="X17" i="41"/>
  <c r="X15" i="55"/>
  <c r="T15" i="61"/>
  <c r="U15" i="61" s="1"/>
  <c r="R16" i="61"/>
  <c r="Q16" i="61"/>
  <c r="S16" i="61" s="1"/>
  <c r="G16" i="61"/>
  <c r="H16" i="61"/>
  <c r="D18" i="61"/>
  <c r="C18" i="61" s="1"/>
  <c r="E17" i="61"/>
  <c r="F17" i="61" s="1"/>
  <c r="P17" i="61"/>
  <c r="D93" i="76"/>
  <c r="K92" i="76"/>
  <c r="D98" i="77"/>
  <c r="E97" i="77"/>
  <c r="H97" i="77" s="1"/>
  <c r="D383" i="78"/>
  <c r="E382" i="78"/>
  <c r="H383" i="78" s="1"/>
  <c r="D241" i="78"/>
  <c r="E240" i="78"/>
  <c r="H241" i="78" s="1"/>
  <c r="D96" i="78"/>
  <c r="E95" i="78"/>
  <c r="H96" i="78" s="1"/>
  <c r="D287" i="77"/>
  <c r="E286" i="77"/>
  <c r="H286" i="77" s="1"/>
  <c r="D192" i="77"/>
  <c r="E191" i="77"/>
  <c r="H191" i="77" s="1"/>
  <c r="F96" i="76"/>
  <c r="F95" i="66"/>
  <c r="G95" i="66" s="1"/>
  <c r="Q31" i="61"/>
  <c r="S31" i="61" s="1"/>
  <c r="R31" i="61"/>
  <c r="T30" i="61"/>
  <c r="U30" i="61" s="1"/>
  <c r="T16" i="55"/>
  <c r="G31" i="61"/>
  <c r="H31" i="61"/>
  <c r="D33" i="61"/>
  <c r="C33" i="61" s="1"/>
  <c r="P32" i="61"/>
  <c r="E32" i="61"/>
  <c r="F32" i="61" s="1"/>
  <c r="B54" i="61"/>
  <c r="H21" i="56"/>
  <c r="G21" i="56"/>
  <c r="F22" i="56"/>
  <c r="G15" i="57"/>
  <c r="H15" i="57"/>
  <c r="F16" i="57"/>
  <c r="G16" i="55"/>
  <c r="H16" i="55"/>
  <c r="H46" i="61"/>
  <c r="G46" i="61"/>
  <c r="T45" i="61"/>
  <c r="U45" i="61" s="1"/>
  <c r="P47" i="61"/>
  <c r="R47" i="61" s="1"/>
  <c r="D48" i="61"/>
  <c r="C48" i="61" s="1"/>
  <c r="E47" i="61"/>
  <c r="F47" i="61" s="1"/>
  <c r="Q46" i="61"/>
  <c r="S46" i="61" s="1"/>
  <c r="H18" i="60"/>
  <c r="G18" i="60"/>
  <c r="F19" i="60"/>
  <c r="H15" i="59"/>
  <c r="G15" i="59"/>
  <c r="F16" i="59"/>
  <c r="D19" i="59"/>
  <c r="K18" i="59"/>
  <c r="C18" i="59" s="1"/>
  <c r="D18" i="58"/>
  <c r="K17" i="58"/>
  <c r="H17" i="58"/>
  <c r="F18" i="58"/>
  <c r="G17" i="58"/>
  <c r="G16" i="58"/>
  <c r="H16" i="58"/>
  <c r="D19" i="57"/>
  <c r="K18" i="57"/>
  <c r="C18" i="57" s="1"/>
  <c r="S21" i="55"/>
  <c r="R21" i="55"/>
  <c r="T21" i="55" s="1"/>
  <c r="H21" i="55"/>
  <c r="G21" i="55"/>
  <c r="E22" i="55"/>
  <c r="F22" i="55" s="1"/>
  <c r="K22" i="55"/>
  <c r="C22" i="55" s="1"/>
  <c r="H18" i="54"/>
  <c r="F19" i="54"/>
  <c r="G18" i="54"/>
  <c r="F19" i="53"/>
  <c r="G18" i="53"/>
  <c r="H18" i="53"/>
  <c r="F19" i="52"/>
  <c r="F20" i="52" s="1"/>
  <c r="G18" i="52"/>
  <c r="H18" i="52"/>
  <c r="J65" i="44"/>
  <c r="C65" i="44" s="1"/>
  <c r="J160" i="44"/>
  <c r="C160" i="44" s="1"/>
  <c r="I163" i="44"/>
  <c r="I68" i="44"/>
  <c r="E38" i="42"/>
  <c r="F38" i="42" s="1"/>
  <c r="K38" i="42"/>
  <c r="C38" i="42" s="1"/>
  <c r="H37" i="42"/>
  <c r="G37" i="42"/>
  <c r="G53" i="41"/>
  <c r="H53" i="41"/>
  <c r="T15" i="41"/>
  <c r="T36" i="41"/>
  <c r="T41" i="41"/>
  <c r="T26" i="41"/>
  <c r="D39" i="41"/>
  <c r="K38" i="41"/>
  <c r="C38" i="41" s="1"/>
  <c r="K43" i="41"/>
  <c r="C43" i="41" s="1"/>
  <c r="D44" i="41"/>
  <c r="S47" i="41"/>
  <c r="R47" i="41"/>
  <c r="S16" i="41"/>
  <c r="R16" i="41"/>
  <c r="R32" i="41"/>
  <c r="S32" i="41"/>
  <c r="R27" i="41"/>
  <c r="S27" i="41"/>
  <c r="E59" i="41"/>
  <c r="F59" i="41" s="1"/>
  <c r="D54" i="41"/>
  <c r="K53" i="41"/>
  <c r="C53" i="41" s="1"/>
  <c r="T21" i="41"/>
  <c r="T31" i="41"/>
  <c r="R37" i="41"/>
  <c r="S37" i="41"/>
  <c r="K33" i="41"/>
  <c r="C33" i="41" s="1"/>
  <c r="D34" i="41"/>
  <c r="K48" i="41"/>
  <c r="C48" i="41" s="1"/>
  <c r="D49" i="41"/>
  <c r="R22" i="41"/>
  <c r="S22" i="41"/>
  <c r="K28" i="41"/>
  <c r="C28" i="41" s="1"/>
  <c r="R42" i="41"/>
  <c r="S42" i="41"/>
  <c r="G138" i="42" l="1"/>
  <c r="H138" i="42"/>
  <c r="K44" i="44"/>
  <c r="M179" i="47"/>
  <c r="C178" i="47"/>
  <c r="C54" i="41"/>
  <c r="D31" i="49"/>
  <c r="C30" i="49"/>
  <c r="K188" i="44"/>
  <c r="K104" i="44"/>
  <c r="K200" i="44"/>
  <c r="D43" i="49"/>
  <c r="C42" i="49"/>
  <c r="M99" i="47"/>
  <c r="C98" i="47"/>
  <c r="M88" i="56"/>
  <c r="S31" i="48"/>
  <c r="U30" i="48"/>
  <c r="K20" i="44"/>
  <c r="M105" i="56"/>
  <c r="M195" i="47"/>
  <c r="C194" i="47"/>
  <c r="M83" i="47"/>
  <c r="C82" i="47"/>
  <c r="K92" i="44"/>
  <c r="K164" i="44"/>
  <c r="K68" i="44"/>
  <c r="K56" i="44"/>
  <c r="D20" i="49"/>
  <c r="C19" i="49"/>
  <c r="C49" i="41"/>
  <c r="M54" i="56"/>
  <c r="J31" i="50"/>
  <c r="C30" i="50"/>
  <c r="C139" i="42"/>
  <c r="D140" i="42"/>
  <c r="E139" i="42"/>
  <c r="F139" i="42" s="1"/>
  <c r="K139" i="42"/>
  <c r="K152" i="44"/>
  <c r="K140" i="44"/>
  <c r="K116" i="44"/>
  <c r="M71" i="56"/>
  <c r="M163" i="47"/>
  <c r="C163" i="47" s="1"/>
  <c r="M19" i="47"/>
  <c r="M115" i="47"/>
  <c r="M67" i="47"/>
  <c r="C67" i="47" s="1"/>
  <c r="G125" i="48"/>
  <c r="H125" i="48"/>
  <c r="K126" i="48"/>
  <c r="C126" i="48" s="1"/>
  <c r="E126" i="48"/>
  <c r="F126" i="48" s="1"/>
  <c r="D127" i="48"/>
  <c r="H20" i="52"/>
  <c r="G20" i="52"/>
  <c r="F21" i="52"/>
  <c r="M20" i="56"/>
  <c r="M37" i="56"/>
  <c r="H96" i="76"/>
  <c r="G96" i="76"/>
  <c r="G48" i="41"/>
  <c r="T29" i="48"/>
  <c r="V29" i="48" s="1"/>
  <c r="R30" i="48"/>
  <c r="G38" i="41"/>
  <c r="G43" i="41"/>
  <c r="G33" i="41"/>
  <c r="K20" i="49"/>
  <c r="P19" i="49"/>
  <c r="H28" i="41"/>
  <c r="U36" i="41"/>
  <c r="W36" i="41" s="1"/>
  <c r="U21" i="55"/>
  <c r="X21" i="55" s="1"/>
  <c r="U31" i="41"/>
  <c r="W31" i="41" s="1"/>
  <c r="U15" i="41"/>
  <c r="W15" i="41" s="1"/>
  <c r="X15" i="41" s="1"/>
  <c r="U21" i="41"/>
  <c r="W21" i="41" s="1"/>
  <c r="U26" i="41"/>
  <c r="W26" i="41" s="1"/>
  <c r="U16" i="55"/>
  <c r="X16" i="55" s="1"/>
  <c r="W16" i="55" s="1"/>
  <c r="U41" i="41"/>
  <c r="W41" i="41" s="1"/>
  <c r="E39" i="41"/>
  <c r="F39" i="41" s="1"/>
  <c r="G39" i="41" s="1"/>
  <c r="P39" i="41"/>
  <c r="Q39" i="41" s="1"/>
  <c r="E44" i="41"/>
  <c r="F44" i="41" s="1"/>
  <c r="H44" i="41" s="1"/>
  <c r="P44" i="41"/>
  <c r="Q44" i="41" s="1"/>
  <c r="E49" i="41"/>
  <c r="F49" i="41" s="1"/>
  <c r="H49" i="41" s="1"/>
  <c r="P49" i="41"/>
  <c r="Q49" i="41" s="1"/>
  <c r="E34" i="41"/>
  <c r="F34" i="41" s="1"/>
  <c r="G34" i="41" s="1"/>
  <c r="P34" i="41"/>
  <c r="Q34" i="41" s="1"/>
  <c r="E54" i="41"/>
  <c r="F54" i="41" s="1"/>
  <c r="G54" i="41" s="1"/>
  <c r="P54" i="41"/>
  <c r="Q54" i="41" s="1"/>
  <c r="N19" i="41"/>
  <c r="X18" i="41"/>
  <c r="N18" i="55"/>
  <c r="W17" i="55"/>
  <c r="T16" i="61"/>
  <c r="U16" i="61" s="1"/>
  <c r="W15" i="55"/>
  <c r="Q17" i="61"/>
  <c r="S17" i="61" s="1"/>
  <c r="R17" i="61"/>
  <c r="G17" i="61"/>
  <c r="H17" i="61"/>
  <c r="D19" i="61"/>
  <c r="C19" i="61" s="1"/>
  <c r="E18" i="61"/>
  <c r="F18" i="61" s="1"/>
  <c r="P18" i="61"/>
  <c r="E98" i="77"/>
  <c r="H98" i="77" s="1"/>
  <c r="D99" i="77"/>
  <c r="K93" i="76"/>
  <c r="D94" i="76"/>
  <c r="D384" i="78"/>
  <c r="E383" i="78"/>
  <c r="H384" i="78" s="1"/>
  <c r="E241" i="78"/>
  <c r="H242" i="78" s="1"/>
  <c r="D242" i="78"/>
  <c r="E96" i="78"/>
  <c r="H97" i="78" s="1"/>
  <c r="D97" i="78"/>
  <c r="D288" i="77"/>
  <c r="E287" i="77"/>
  <c r="H287" i="77" s="1"/>
  <c r="E192" i="77"/>
  <c r="H192" i="77" s="1"/>
  <c r="D193" i="77"/>
  <c r="F97" i="76"/>
  <c r="F96" i="66"/>
  <c r="G96" i="66" s="1"/>
  <c r="T31" i="61"/>
  <c r="U31" i="61" s="1"/>
  <c r="D34" i="61"/>
  <c r="C34" i="61" s="1"/>
  <c r="E33" i="61"/>
  <c r="F33" i="61" s="1"/>
  <c r="P33" i="61"/>
  <c r="G32" i="61"/>
  <c r="H32" i="61"/>
  <c r="R32" i="61"/>
  <c r="Q32" i="61"/>
  <c r="S32" i="61" s="1"/>
  <c r="B55" i="61"/>
  <c r="F23" i="56"/>
  <c r="H22" i="56"/>
  <c r="G22" i="56"/>
  <c r="G16" i="57"/>
  <c r="H16" i="57"/>
  <c r="F17" i="57"/>
  <c r="T46" i="61"/>
  <c r="U46" i="61" s="1"/>
  <c r="Q47" i="61"/>
  <c r="S47" i="61" s="1"/>
  <c r="G47" i="61"/>
  <c r="H47" i="61"/>
  <c r="P48" i="61"/>
  <c r="R48" i="61" s="1"/>
  <c r="D49" i="61"/>
  <c r="C49" i="61" s="1"/>
  <c r="E48" i="61"/>
  <c r="F48" i="61" s="1"/>
  <c r="H19" i="60"/>
  <c r="G19" i="60"/>
  <c r="F20" i="60"/>
  <c r="F17" i="59"/>
  <c r="G16" i="59"/>
  <c r="H16" i="59"/>
  <c r="D20" i="59"/>
  <c r="K19" i="59"/>
  <c r="C19" i="59" s="1"/>
  <c r="D19" i="58"/>
  <c r="K18" i="58"/>
  <c r="F19" i="58"/>
  <c r="H18" i="58"/>
  <c r="G18" i="58"/>
  <c r="D20" i="57"/>
  <c r="K19" i="57"/>
  <c r="C19" i="57" s="1"/>
  <c r="H22" i="55"/>
  <c r="G22" i="55"/>
  <c r="S22" i="55"/>
  <c r="R22" i="55"/>
  <c r="T22" i="55" s="1"/>
  <c r="H19" i="54"/>
  <c r="F20" i="54"/>
  <c r="G19" i="54"/>
  <c r="F20" i="53"/>
  <c r="H19" i="53"/>
  <c r="G19" i="53"/>
  <c r="H19" i="52"/>
  <c r="G19" i="52"/>
  <c r="J66" i="44"/>
  <c r="C66" i="44" s="1"/>
  <c r="I69" i="44"/>
  <c r="I164" i="44"/>
  <c r="J161" i="44"/>
  <c r="C161" i="44" s="1"/>
  <c r="K39" i="42"/>
  <c r="C39" i="42" s="1"/>
  <c r="E39" i="42"/>
  <c r="F39" i="42" s="1"/>
  <c r="G38" i="42"/>
  <c r="H38" i="42"/>
  <c r="T42" i="41"/>
  <c r="G59" i="41"/>
  <c r="H59" i="41"/>
  <c r="T27" i="41"/>
  <c r="T32" i="41"/>
  <c r="R33" i="41"/>
  <c r="S33" i="41"/>
  <c r="T37" i="41"/>
  <c r="D60" i="41"/>
  <c r="K59" i="41"/>
  <c r="C59" i="41" s="1"/>
  <c r="K44" i="41"/>
  <c r="C44" i="41" s="1"/>
  <c r="D45" i="41"/>
  <c r="R38" i="41"/>
  <c r="S38" i="41"/>
  <c r="D55" i="41"/>
  <c r="K54" i="41"/>
  <c r="K49" i="41"/>
  <c r="D50" i="41"/>
  <c r="K34" i="41"/>
  <c r="C34" i="41" s="1"/>
  <c r="D40" i="41"/>
  <c r="K39" i="41"/>
  <c r="C39" i="41" s="1"/>
  <c r="S48" i="41"/>
  <c r="R48" i="41"/>
  <c r="R28" i="41"/>
  <c r="S28" i="41"/>
  <c r="T22" i="41"/>
  <c r="S53" i="41"/>
  <c r="R53" i="41"/>
  <c r="T16" i="41"/>
  <c r="T47" i="41"/>
  <c r="S43" i="41"/>
  <c r="R43" i="41"/>
  <c r="K117" i="44" l="1"/>
  <c r="K165" i="44"/>
  <c r="M55" i="56"/>
  <c r="K105" i="44"/>
  <c r="M180" i="47"/>
  <c r="C179" i="47"/>
  <c r="K141" i="44"/>
  <c r="J32" i="50"/>
  <c r="C31" i="50"/>
  <c r="D21" i="49"/>
  <c r="C20" i="49"/>
  <c r="K93" i="44"/>
  <c r="K21" i="44"/>
  <c r="E140" i="42"/>
  <c r="F140" i="42" s="1"/>
  <c r="D141" i="42"/>
  <c r="K140" i="42"/>
  <c r="C140" i="42" s="1"/>
  <c r="M100" i="47"/>
  <c r="C99" i="47"/>
  <c r="K189" i="44"/>
  <c r="K45" i="44"/>
  <c r="K153" i="44"/>
  <c r="K57" i="44"/>
  <c r="M84" i="47"/>
  <c r="C83" i="47"/>
  <c r="S32" i="48"/>
  <c r="U31" i="48"/>
  <c r="D44" i="49"/>
  <c r="C43" i="49"/>
  <c r="D32" i="49"/>
  <c r="C31" i="49"/>
  <c r="K201" i="44"/>
  <c r="M89" i="56"/>
  <c r="G139" i="42"/>
  <c r="H139" i="42"/>
  <c r="M72" i="56"/>
  <c r="K69" i="44"/>
  <c r="M196" i="47"/>
  <c r="C195" i="47"/>
  <c r="M106" i="56"/>
  <c r="M68" i="47"/>
  <c r="C68" i="47" s="1"/>
  <c r="M20" i="47"/>
  <c r="M116" i="47"/>
  <c r="M164" i="47"/>
  <c r="C164" i="47" s="1"/>
  <c r="K127" i="48"/>
  <c r="C127" i="48" s="1"/>
  <c r="D128" i="48"/>
  <c r="E127" i="48"/>
  <c r="F127" i="48" s="1"/>
  <c r="H126" i="48"/>
  <c r="G126" i="48"/>
  <c r="M21" i="56"/>
  <c r="M38" i="56"/>
  <c r="H21" i="52"/>
  <c r="F22" i="52"/>
  <c r="G21" i="52"/>
  <c r="G97" i="76"/>
  <c r="H97" i="76"/>
  <c r="R31" i="48"/>
  <c r="T30" i="48"/>
  <c r="V30" i="48" s="1"/>
  <c r="H54" i="41"/>
  <c r="G49" i="41"/>
  <c r="G44" i="41"/>
  <c r="H39" i="41"/>
  <c r="H34" i="41"/>
  <c r="K21" i="49"/>
  <c r="P20" i="49"/>
  <c r="U16" i="41"/>
  <c r="W16" i="41" s="1"/>
  <c r="X16" i="41" s="1"/>
  <c r="U32" i="41"/>
  <c r="W32" i="41" s="1"/>
  <c r="U22" i="55"/>
  <c r="X22" i="55" s="1"/>
  <c r="U37" i="41"/>
  <c r="W37" i="41" s="1"/>
  <c r="U42" i="41"/>
  <c r="W42" i="41" s="1"/>
  <c r="U47" i="41"/>
  <c r="W47" i="41" s="1"/>
  <c r="U22" i="41"/>
  <c r="W22" i="41" s="1"/>
  <c r="U27" i="41"/>
  <c r="W27" i="41" s="1"/>
  <c r="E55" i="41"/>
  <c r="F55" i="41" s="1"/>
  <c r="G55" i="41" s="1"/>
  <c r="P55" i="41"/>
  <c r="Q55" i="41" s="1"/>
  <c r="E50" i="41"/>
  <c r="F50" i="41" s="1"/>
  <c r="G50" i="41" s="1"/>
  <c r="P50" i="41"/>
  <c r="Q50" i="41" s="1"/>
  <c r="E60" i="41"/>
  <c r="F60" i="41" s="1"/>
  <c r="G60" i="41" s="1"/>
  <c r="P60" i="41"/>
  <c r="Q60" i="41" s="1"/>
  <c r="E40" i="41"/>
  <c r="F40" i="41" s="1"/>
  <c r="G40" i="41" s="1"/>
  <c r="P40" i="41"/>
  <c r="Q40" i="41" s="1"/>
  <c r="E45" i="41"/>
  <c r="F45" i="41" s="1"/>
  <c r="G45" i="41" s="1"/>
  <c r="P45" i="41"/>
  <c r="Q45" i="41" s="1"/>
  <c r="N19" i="55"/>
  <c r="W18" i="55"/>
  <c r="N20" i="41"/>
  <c r="X19" i="41"/>
  <c r="T17" i="61"/>
  <c r="U17" i="61" s="1"/>
  <c r="R18" i="61"/>
  <c r="Q18" i="61"/>
  <c r="S18" i="61" s="1"/>
  <c r="H18" i="61"/>
  <c r="G18" i="61"/>
  <c r="D20" i="61"/>
  <c r="C20" i="61" s="1"/>
  <c r="E19" i="61"/>
  <c r="F19" i="61" s="1"/>
  <c r="P19" i="61"/>
  <c r="K94" i="76"/>
  <c r="D95" i="76"/>
  <c r="E99" i="77"/>
  <c r="H99" i="77" s="1"/>
  <c r="D100" i="77"/>
  <c r="D385" i="78"/>
  <c r="E384" i="78"/>
  <c r="H385" i="78" s="1"/>
  <c r="E242" i="78"/>
  <c r="H243" i="78" s="1"/>
  <c r="D243" i="78"/>
  <c r="E97" i="78"/>
  <c r="H98" i="78" s="1"/>
  <c r="D98" i="78"/>
  <c r="D289" i="77"/>
  <c r="E288" i="77"/>
  <c r="H288" i="77" s="1"/>
  <c r="D194" i="77"/>
  <c r="E193" i="77"/>
  <c r="H193" i="77" s="1"/>
  <c r="F98" i="76"/>
  <c r="F97" i="66"/>
  <c r="G97" i="66" s="1"/>
  <c r="T32" i="61"/>
  <c r="U32" i="61" s="1"/>
  <c r="R33" i="61"/>
  <c r="Q33" i="61"/>
  <c r="S33" i="61" s="1"/>
  <c r="G33" i="61"/>
  <c r="H33" i="61"/>
  <c r="D35" i="61"/>
  <c r="C35" i="61" s="1"/>
  <c r="P34" i="61"/>
  <c r="E34" i="61"/>
  <c r="F34" i="61" s="1"/>
  <c r="B56" i="61"/>
  <c r="F24" i="56"/>
  <c r="H23" i="56"/>
  <c r="G23" i="56"/>
  <c r="G17" i="57"/>
  <c r="F18" i="57"/>
  <c r="H17" i="57"/>
  <c r="T47" i="61"/>
  <c r="U47" i="61" s="1"/>
  <c r="P49" i="61"/>
  <c r="R49" i="61" s="1"/>
  <c r="E49" i="61"/>
  <c r="F49" i="61" s="1"/>
  <c r="D50" i="61"/>
  <c r="C50" i="61" s="1"/>
  <c r="Q48" i="61"/>
  <c r="S48" i="61" s="1"/>
  <c r="G48" i="61"/>
  <c r="H48" i="61"/>
  <c r="H20" i="60"/>
  <c r="G20" i="60"/>
  <c r="F21" i="60"/>
  <c r="F18" i="59"/>
  <c r="H17" i="59"/>
  <c r="G17" i="59"/>
  <c r="D21" i="59"/>
  <c r="K20" i="59"/>
  <c r="C20" i="59" s="1"/>
  <c r="D20" i="58"/>
  <c r="K19" i="58"/>
  <c r="F20" i="58"/>
  <c r="H19" i="58"/>
  <c r="G19" i="58"/>
  <c r="D21" i="57"/>
  <c r="K20" i="57"/>
  <c r="C20" i="57" s="1"/>
  <c r="H20" i="54"/>
  <c r="F21" i="54"/>
  <c r="G20" i="54"/>
  <c r="H20" i="53"/>
  <c r="F21" i="53"/>
  <c r="G20" i="53"/>
  <c r="J67" i="44"/>
  <c r="C67" i="44" s="1"/>
  <c r="J162" i="44"/>
  <c r="C162" i="44" s="1"/>
  <c r="I70" i="44"/>
  <c r="I165" i="44"/>
  <c r="G39" i="42"/>
  <c r="H39" i="42"/>
  <c r="K40" i="42"/>
  <c r="C40" i="42" s="1"/>
  <c r="E40" i="42"/>
  <c r="F40" i="42" s="1"/>
  <c r="T48" i="41"/>
  <c r="T38" i="41"/>
  <c r="R34" i="41"/>
  <c r="S34" i="41"/>
  <c r="S59" i="41"/>
  <c r="R59" i="41"/>
  <c r="T33" i="41"/>
  <c r="R39" i="41"/>
  <c r="S39" i="41"/>
  <c r="T28" i="41"/>
  <c r="S49" i="41"/>
  <c r="R49" i="41"/>
  <c r="S44" i="41"/>
  <c r="R44" i="41"/>
  <c r="D61" i="41"/>
  <c r="K60" i="41"/>
  <c r="C60" i="41" s="1"/>
  <c r="S54" i="41"/>
  <c r="R54" i="41"/>
  <c r="T43" i="41"/>
  <c r="T53" i="41"/>
  <c r="K40" i="41"/>
  <c r="C40" i="41" s="1"/>
  <c r="K50" i="41"/>
  <c r="C50" i="41" s="1"/>
  <c r="D51" i="41"/>
  <c r="D56" i="41"/>
  <c r="K55" i="41"/>
  <c r="C55" i="41" s="1"/>
  <c r="K45" i="41"/>
  <c r="C45" i="41" s="1"/>
  <c r="D46" i="41"/>
  <c r="D45" i="49" l="1"/>
  <c r="C44" i="49"/>
  <c r="K58" i="44"/>
  <c r="M73" i="56"/>
  <c r="K70" i="44"/>
  <c r="M101" i="47"/>
  <c r="C100" i="47"/>
  <c r="K22" i="44"/>
  <c r="K142" i="44"/>
  <c r="K154" i="44"/>
  <c r="M90" i="56"/>
  <c r="K94" i="44"/>
  <c r="M181" i="47"/>
  <c r="C180" i="47"/>
  <c r="K202" i="44"/>
  <c r="S33" i="48"/>
  <c r="U32" i="48"/>
  <c r="K166" i="44"/>
  <c r="C128" i="48"/>
  <c r="K46" i="44"/>
  <c r="C141" i="42"/>
  <c r="D142" i="42"/>
  <c r="E141" i="42"/>
  <c r="F141" i="42" s="1"/>
  <c r="K141" i="42"/>
  <c r="D22" i="49"/>
  <c r="C22" i="49" s="1"/>
  <c r="C21" i="49"/>
  <c r="K106" i="44"/>
  <c r="D33" i="49"/>
  <c r="C32" i="49"/>
  <c r="M85" i="47"/>
  <c r="C84" i="47"/>
  <c r="G140" i="42"/>
  <c r="H140" i="42"/>
  <c r="K118" i="44"/>
  <c r="C46" i="41"/>
  <c r="M56" i="56"/>
  <c r="M197" i="47"/>
  <c r="C196" i="47"/>
  <c r="M107" i="56"/>
  <c r="K190" i="44"/>
  <c r="J33" i="50"/>
  <c r="C32" i="50"/>
  <c r="M165" i="47"/>
  <c r="C165" i="47" s="1"/>
  <c r="M21" i="47"/>
  <c r="M117" i="47"/>
  <c r="M69" i="47"/>
  <c r="C69" i="47" s="1"/>
  <c r="H127" i="48"/>
  <c r="G127" i="48"/>
  <c r="E128" i="48"/>
  <c r="F128" i="48" s="1"/>
  <c r="D129" i="48"/>
  <c r="K128" i="48"/>
  <c r="H22" i="52"/>
  <c r="F23" i="52"/>
  <c r="G22" i="52"/>
  <c r="H98" i="76"/>
  <c r="G98" i="76"/>
  <c r="M22" i="56"/>
  <c r="M39" i="56"/>
  <c r="H40" i="41"/>
  <c r="R32" i="48"/>
  <c r="T31" i="48"/>
  <c r="V31" i="48" s="1"/>
  <c r="H50" i="41"/>
  <c r="Y11" i="55"/>
  <c r="H55" i="41"/>
  <c r="K22" i="49"/>
  <c r="P21" i="49"/>
  <c r="H45" i="41"/>
  <c r="H60" i="41"/>
  <c r="U53" i="41"/>
  <c r="W53" i="41" s="1"/>
  <c r="U43" i="41"/>
  <c r="W43" i="41" s="1"/>
  <c r="U33" i="41"/>
  <c r="W33" i="41" s="1"/>
  <c r="U28" i="41"/>
  <c r="W28" i="41" s="1"/>
  <c r="U38" i="41"/>
  <c r="W38" i="41" s="1"/>
  <c r="U48" i="41"/>
  <c r="W48" i="41" s="1"/>
  <c r="E46" i="41"/>
  <c r="F46" i="41" s="1"/>
  <c r="H46" i="41" s="1"/>
  <c r="P46" i="41"/>
  <c r="Q46" i="41" s="1"/>
  <c r="E51" i="41"/>
  <c r="F51" i="41" s="1"/>
  <c r="G51" i="41" s="1"/>
  <c r="P51" i="41"/>
  <c r="Q51" i="41" s="1"/>
  <c r="E61" i="41"/>
  <c r="F61" i="41" s="1"/>
  <c r="G61" i="41" s="1"/>
  <c r="P61" i="41"/>
  <c r="Q61" i="41" s="1"/>
  <c r="E56" i="41"/>
  <c r="F56" i="41" s="1"/>
  <c r="H56" i="41" s="1"/>
  <c r="P56" i="41"/>
  <c r="Q56" i="41" s="1"/>
  <c r="N20" i="55"/>
  <c r="W19" i="55"/>
  <c r="N21" i="41"/>
  <c r="X20" i="41"/>
  <c r="T18" i="61"/>
  <c r="U18" i="61" s="1"/>
  <c r="Q19" i="61"/>
  <c r="S19" i="61" s="1"/>
  <c r="R19" i="61"/>
  <c r="G19" i="61"/>
  <c r="H19" i="61"/>
  <c r="D21" i="61"/>
  <c r="C21" i="61" s="1"/>
  <c r="E20" i="61"/>
  <c r="F20" i="61" s="1"/>
  <c r="P20" i="61"/>
  <c r="E100" i="77"/>
  <c r="H100" i="77" s="1"/>
  <c r="D101" i="77"/>
  <c r="K95" i="76"/>
  <c r="D96" i="76"/>
  <c r="D386" i="78"/>
  <c r="E385" i="78"/>
  <c r="H386" i="78" s="1"/>
  <c r="D244" i="78"/>
  <c r="E243" i="78"/>
  <c r="H244" i="78" s="1"/>
  <c r="D99" i="78"/>
  <c r="E98" i="78"/>
  <c r="H99" i="78" s="1"/>
  <c r="D290" i="77"/>
  <c r="E289" i="77"/>
  <c r="H289" i="77" s="1"/>
  <c r="E194" i="77"/>
  <c r="H194" i="77" s="1"/>
  <c r="D195" i="77"/>
  <c r="F99" i="76"/>
  <c r="F98" i="66"/>
  <c r="G98" i="66" s="1"/>
  <c r="G34" i="61"/>
  <c r="H34" i="61"/>
  <c r="R34" i="61"/>
  <c r="Q34" i="61"/>
  <c r="S34" i="61" s="1"/>
  <c r="T33" i="61"/>
  <c r="U33" i="61" s="1"/>
  <c r="D36" i="61"/>
  <c r="C36" i="61" s="1"/>
  <c r="P35" i="61"/>
  <c r="E35" i="61"/>
  <c r="F35" i="61" s="1"/>
  <c r="B57" i="61"/>
  <c r="H24" i="56"/>
  <c r="F25" i="56"/>
  <c r="G24" i="56"/>
  <c r="H18" i="57"/>
  <c r="F19" i="57"/>
  <c r="G18" i="57"/>
  <c r="T48" i="61"/>
  <c r="U48" i="61" s="1"/>
  <c r="P50" i="61"/>
  <c r="R50" i="61" s="1"/>
  <c r="E50" i="61"/>
  <c r="F50" i="61" s="1"/>
  <c r="D51" i="61"/>
  <c r="C51" i="61" s="1"/>
  <c r="H49" i="61"/>
  <c r="G49" i="61"/>
  <c r="Q49" i="61"/>
  <c r="S49" i="61" s="1"/>
  <c r="H21" i="60"/>
  <c r="G21" i="60"/>
  <c r="F22" i="60"/>
  <c r="F19" i="59"/>
  <c r="H18" i="59"/>
  <c r="G18" i="59"/>
  <c r="D22" i="59"/>
  <c r="K21" i="59"/>
  <c r="C21" i="59" s="1"/>
  <c r="D21" i="58"/>
  <c r="K20" i="58"/>
  <c r="G20" i="58"/>
  <c r="F21" i="58"/>
  <c r="H20" i="58"/>
  <c r="D22" i="57"/>
  <c r="K21" i="57"/>
  <c r="C21" i="57" s="1"/>
  <c r="H21" i="54"/>
  <c r="G21" i="54"/>
  <c r="F22" i="54"/>
  <c r="H21" i="53"/>
  <c r="F22" i="53"/>
  <c r="G21" i="53"/>
  <c r="J68" i="44"/>
  <c r="C68" i="44" s="1"/>
  <c r="I71" i="44"/>
  <c r="J163" i="44"/>
  <c r="C163" i="44" s="1"/>
  <c r="I166" i="44"/>
  <c r="H40" i="42"/>
  <c r="G40" i="42"/>
  <c r="E41" i="42"/>
  <c r="F41" i="42" s="1"/>
  <c r="K41" i="42"/>
  <c r="C41" i="42" s="1"/>
  <c r="T34" i="41"/>
  <c r="T44" i="41"/>
  <c r="T49" i="41"/>
  <c r="T39" i="41"/>
  <c r="T59" i="41"/>
  <c r="K46" i="41"/>
  <c r="D52" i="41"/>
  <c r="K51" i="41"/>
  <c r="C51" i="41" s="1"/>
  <c r="S55" i="41"/>
  <c r="R55" i="41"/>
  <c r="R40" i="41"/>
  <c r="S40" i="41"/>
  <c r="S60" i="41"/>
  <c r="R60" i="41"/>
  <c r="S45" i="41"/>
  <c r="R45" i="41"/>
  <c r="K56" i="41"/>
  <c r="C56" i="41" s="1"/>
  <c r="D57" i="41"/>
  <c r="S50" i="41"/>
  <c r="R50" i="41"/>
  <c r="T54" i="41"/>
  <c r="D62" i="41"/>
  <c r="K61" i="41"/>
  <c r="C61" i="41" s="1"/>
  <c r="K71" i="44" l="1"/>
  <c r="M74" i="56"/>
  <c r="M86" i="47"/>
  <c r="C85" i="47"/>
  <c r="M182" i="47"/>
  <c r="C181" i="47"/>
  <c r="M57" i="56"/>
  <c r="G141" i="42"/>
  <c r="H141" i="42"/>
  <c r="M198" i="47"/>
  <c r="C197" i="47"/>
  <c r="K23" i="44"/>
  <c r="D34" i="49"/>
  <c r="C34" i="49" s="1"/>
  <c r="C33" i="49"/>
  <c r="C142" i="42"/>
  <c r="D143" i="42"/>
  <c r="K142" i="42"/>
  <c r="E142" i="42"/>
  <c r="F142" i="42" s="1"/>
  <c r="K167" i="44"/>
  <c r="K119" i="44"/>
  <c r="S34" i="48"/>
  <c r="U33" i="48"/>
  <c r="M108" i="56"/>
  <c r="M91" i="56"/>
  <c r="J34" i="50"/>
  <c r="C33" i="50"/>
  <c r="M102" i="47"/>
  <c r="C101" i="47"/>
  <c r="D46" i="49"/>
  <c r="C46" i="49" s="1"/>
  <c r="C45" i="49"/>
  <c r="M70" i="47"/>
  <c r="C70" i="47" s="1"/>
  <c r="M22" i="47"/>
  <c r="M118" i="47"/>
  <c r="M166" i="47"/>
  <c r="C166" i="47" s="1"/>
  <c r="G128" i="48"/>
  <c r="H128" i="48"/>
  <c r="E129" i="48"/>
  <c r="F129" i="48" s="1"/>
  <c r="K129" i="48"/>
  <c r="C129" i="48" s="1"/>
  <c r="D130" i="48"/>
  <c r="G99" i="76"/>
  <c r="H99" i="76"/>
  <c r="M23" i="56"/>
  <c r="M40" i="56"/>
  <c r="F24" i="52"/>
  <c r="H23" i="52"/>
  <c r="G23" i="52"/>
  <c r="R33" i="48"/>
  <c r="T32" i="48"/>
  <c r="V32" i="48" s="1"/>
  <c r="G56" i="41"/>
  <c r="H51" i="41"/>
  <c r="G46" i="41"/>
  <c r="H61" i="41"/>
  <c r="K23" i="49"/>
  <c r="P22" i="49"/>
  <c r="U39" i="41"/>
  <c r="W39" i="41" s="1"/>
  <c r="U49" i="41"/>
  <c r="W49" i="41" s="1"/>
  <c r="U44" i="41"/>
  <c r="W44" i="41" s="1"/>
  <c r="U54" i="41"/>
  <c r="W54" i="41" s="1"/>
  <c r="U59" i="41"/>
  <c r="W59" i="41" s="1"/>
  <c r="U34" i="41"/>
  <c r="W34" i="41" s="1"/>
  <c r="E52" i="41"/>
  <c r="F52" i="41" s="1"/>
  <c r="G52" i="41" s="1"/>
  <c r="P52" i="41"/>
  <c r="Q52" i="41" s="1"/>
  <c r="E62" i="41"/>
  <c r="F62" i="41" s="1"/>
  <c r="G62" i="41" s="1"/>
  <c r="P62" i="41"/>
  <c r="Q62" i="41" s="1"/>
  <c r="E57" i="41"/>
  <c r="F57" i="41" s="1"/>
  <c r="G57" i="41" s="1"/>
  <c r="P57" i="41"/>
  <c r="Q57" i="41" s="1"/>
  <c r="N21" i="55"/>
  <c r="W20" i="55"/>
  <c r="N22" i="41"/>
  <c r="X21" i="41"/>
  <c r="T19" i="61"/>
  <c r="U19" i="61" s="1"/>
  <c r="R20" i="61"/>
  <c r="Q20" i="61"/>
  <c r="S20" i="61" s="1"/>
  <c r="H20" i="61"/>
  <c r="G20" i="61"/>
  <c r="D22" i="61"/>
  <c r="C22" i="61" s="1"/>
  <c r="E21" i="61"/>
  <c r="F21" i="61" s="1"/>
  <c r="P21" i="61"/>
  <c r="K96" i="76"/>
  <c r="D97" i="76"/>
  <c r="E101" i="77"/>
  <c r="H101" i="77" s="1"/>
  <c r="D102" i="77"/>
  <c r="E386" i="78"/>
  <c r="H387" i="78" s="1"/>
  <c r="D387" i="78"/>
  <c r="D245" i="78"/>
  <c r="E244" i="78"/>
  <c r="H245" i="78" s="1"/>
  <c r="D100" i="78"/>
  <c r="E99" i="78"/>
  <c r="H100" i="78" s="1"/>
  <c r="D291" i="77"/>
  <c r="E290" i="77"/>
  <c r="H290" i="77" s="1"/>
  <c r="D196" i="77"/>
  <c r="E195" i="77"/>
  <c r="H195" i="77" s="1"/>
  <c r="F100" i="76"/>
  <c r="T34" i="61"/>
  <c r="U34" i="61" s="1"/>
  <c r="F99" i="66"/>
  <c r="G99" i="66" s="1"/>
  <c r="Q35" i="61"/>
  <c r="S35" i="61" s="1"/>
  <c r="R35" i="61"/>
  <c r="D37" i="61"/>
  <c r="C37" i="61" s="1"/>
  <c r="P36" i="61"/>
  <c r="E36" i="61"/>
  <c r="F36" i="61" s="1"/>
  <c r="G35" i="61"/>
  <c r="H35" i="61"/>
  <c r="B58" i="61"/>
  <c r="F26" i="56"/>
  <c r="G25" i="56"/>
  <c r="H25" i="56"/>
  <c r="G19" i="57"/>
  <c r="H19" i="57"/>
  <c r="F20" i="57"/>
  <c r="T49" i="61"/>
  <c r="U49" i="61" s="1"/>
  <c r="P51" i="61"/>
  <c r="R51" i="61" s="1"/>
  <c r="D52" i="61"/>
  <c r="C52" i="61" s="1"/>
  <c r="E51" i="61"/>
  <c r="F51" i="61" s="1"/>
  <c r="H50" i="61"/>
  <c r="G50" i="61"/>
  <c r="Q50" i="61"/>
  <c r="S50" i="61" s="1"/>
  <c r="H22" i="60"/>
  <c r="G22" i="60"/>
  <c r="F23" i="60"/>
  <c r="H19" i="59"/>
  <c r="F20" i="59"/>
  <c r="G19" i="59"/>
  <c r="D23" i="59"/>
  <c r="K22" i="59"/>
  <c r="C22" i="59" s="1"/>
  <c r="D22" i="58"/>
  <c r="K21" i="58"/>
  <c r="G21" i="58"/>
  <c r="F22" i="58"/>
  <c r="H21" i="58"/>
  <c r="D23" i="57"/>
  <c r="K22" i="57"/>
  <c r="C22" i="57" s="1"/>
  <c r="G22" i="54"/>
  <c r="H22" i="54"/>
  <c r="F23" i="54"/>
  <c r="F23" i="53"/>
  <c r="G22" i="53"/>
  <c r="H22" i="53"/>
  <c r="J164" i="44"/>
  <c r="C164" i="44" s="1"/>
  <c r="I167" i="44"/>
  <c r="J69" i="44"/>
  <c r="C69" i="44" s="1"/>
  <c r="I72" i="44"/>
  <c r="E42" i="42"/>
  <c r="F42" i="42" s="1"/>
  <c r="K42" i="42"/>
  <c r="C42" i="42" s="1"/>
  <c r="H41" i="42"/>
  <c r="G41" i="42"/>
  <c r="T60" i="41"/>
  <c r="T40" i="41"/>
  <c r="T50" i="41"/>
  <c r="T55" i="41"/>
  <c r="S46" i="41"/>
  <c r="R46" i="41"/>
  <c r="K57" i="41"/>
  <c r="C57" i="41" s="1"/>
  <c r="D58" i="41"/>
  <c r="S56" i="41"/>
  <c r="R56" i="41"/>
  <c r="S61" i="41"/>
  <c r="R61" i="41"/>
  <c r="T45" i="41"/>
  <c r="K52" i="41"/>
  <c r="C52" i="41" s="1"/>
  <c r="D63" i="41"/>
  <c r="K62" i="41"/>
  <c r="C62" i="41" s="1"/>
  <c r="S51" i="41"/>
  <c r="R51" i="41"/>
  <c r="M109" i="56" l="1"/>
  <c r="M87" i="47"/>
  <c r="C86" i="47"/>
  <c r="K120" i="44"/>
  <c r="M92" i="56"/>
  <c r="J35" i="50"/>
  <c r="J36" i="50" s="1"/>
  <c r="J37" i="50" s="1"/>
  <c r="J38" i="50" s="1"/>
  <c r="J39" i="50" s="1"/>
  <c r="J40" i="50" s="1"/>
  <c r="J41" i="50" s="1"/>
  <c r="J42" i="50" s="1"/>
  <c r="J43" i="50" s="1"/>
  <c r="J44" i="50" s="1"/>
  <c r="J45" i="50" s="1"/>
  <c r="J46" i="50" s="1"/>
  <c r="J47" i="50" s="1"/>
  <c r="C34" i="50"/>
  <c r="K168" i="44"/>
  <c r="K24" i="44"/>
  <c r="U34" i="48"/>
  <c r="R35" i="48"/>
  <c r="H142" i="42"/>
  <c r="G142" i="42"/>
  <c r="M75" i="56"/>
  <c r="M58" i="56"/>
  <c r="M103" i="47"/>
  <c r="C102" i="47"/>
  <c r="M199" i="47"/>
  <c r="C198" i="47"/>
  <c r="K72" i="44"/>
  <c r="K143" i="42"/>
  <c r="C143" i="42" s="1"/>
  <c r="E143" i="42"/>
  <c r="F143" i="42" s="1"/>
  <c r="D144" i="42"/>
  <c r="M183" i="47"/>
  <c r="C182" i="47"/>
  <c r="M167" i="47"/>
  <c r="C167" i="47" s="1"/>
  <c r="M23" i="47"/>
  <c r="M119" i="47"/>
  <c r="M71" i="47"/>
  <c r="C71" i="47" s="1"/>
  <c r="G129" i="48"/>
  <c r="H129" i="48"/>
  <c r="E130" i="48"/>
  <c r="F130" i="48" s="1"/>
  <c r="K130" i="48"/>
  <c r="C130" i="48" s="1"/>
  <c r="D131" i="48"/>
  <c r="M24" i="56"/>
  <c r="M41" i="56"/>
  <c r="H100" i="76"/>
  <c r="G100" i="76"/>
  <c r="G24" i="52"/>
  <c r="H24" i="52"/>
  <c r="F25" i="52"/>
  <c r="R34" i="48"/>
  <c r="T34" i="48" s="1"/>
  <c r="V34" i="48" s="1"/>
  <c r="T33" i="48"/>
  <c r="V33" i="48" s="1"/>
  <c r="H57" i="41"/>
  <c r="H52" i="41"/>
  <c r="K24" i="49"/>
  <c r="P23" i="49"/>
  <c r="H62" i="41"/>
  <c r="U50" i="41"/>
  <c r="W50" i="41" s="1"/>
  <c r="U40" i="41"/>
  <c r="W40" i="41" s="1"/>
  <c r="U45" i="41"/>
  <c r="W45" i="41" s="1"/>
  <c r="U60" i="41"/>
  <c r="W60" i="41" s="1"/>
  <c r="U55" i="41"/>
  <c r="W55" i="41" s="1"/>
  <c r="E63" i="41"/>
  <c r="F63" i="41" s="1"/>
  <c r="G63" i="41" s="1"/>
  <c r="P63" i="41"/>
  <c r="Q63" i="41" s="1"/>
  <c r="E58" i="41"/>
  <c r="F58" i="41" s="1"/>
  <c r="G58" i="41" s="1"/>
  <c r="P58" i="41"/>
  <c r="Q58" i="41" s="1"/>
  <c r="N23" i="41"/>
  <c r="X22" i="41"/>
  <c r="N22" i="55"/>
  <c r="W21" i="55"/>
  <c r="T20" i="61"/>
  <c r="U20" i="61" s="1"/>
  <c r="Q21" i="61"/>
  <c r="S21" i="61" s="1"/>
  <c r="R21" i="61"/>
  <c r="G21" i="61"/>
  <c r="H21" i="61"/>
  <c r="D23" i="61"/>
  <c r="C23" i="61" s="1"/>
  <c r="P22" i="61"/>
  <c r="E22" i="61"/>
  <c r="F22" i="61" s="1"/>
  <c r="D103" i="77"/>
  <c r="E102" i="77"/>
  <c r="H102" i="77" s="1"/>
  <c r="K97" i="76"/>
  <c r="D98" i="76"/>
  <c r="E387" i="78"/>
  <c r="H388" i="78" s="1"/>
  <c r="D388" i="78"/>
  <c r="E245" i="78"/>
  <c r="H246" i="78" s="1"/>
  <c r="D246" i="78"/>
  <c r="E100" i="78"/>
  <c r="H101" i="78" s="1"/>
  <c r="D101" i="78"/>
  <c r="D292" i="77"/>
  <c r="E291" i="77"/>
  <c r="H291" i="77" s="1"/>
  <c r="D197" i="77"/>
  <c r="E196" i="77"/>
  <c r="H196" i="77" s="1"/>
  <c r="F101" i="76"/>
  <c r="F100" i="66"/>
  <c r="G100" i="66" s="1"/>
  <c r="T35" i="61"/>
  <c r="U35" i="61" s="1"/>
  <c r="R36" i="61"/>
  <c r="Q36" i="61"/>
  <c r="S36" i="61" s="1"/>
  <c r="D38" i="61"/>
  <c r="C38" i="61" s="1"/>
  <c r="P37" i="61"/>
  <c r="E37" i="61"/>
  <c r="F37" i="61" s="1"/>
  <c r="G36" i="61"/>
  <c r="H36" i="61"/>
  <c r="B59" i="61"/>
  <c r="F27" i="56"/>
  <c r="H26" i="56"/>
  <c r="G26" i="56"/>
  <c r="H20" i="57"/>
  <c r="F21" i="57"/>
  <c r="G20" i="57"/>
  <c r="T50" i="61"/>
  <c r="U50" i="61" s="1"/>
  <c r="G51" i="61"/>
  <c r="H51" i="61"/>
  <c r="P52" i="61"/>
  <c r="R52" i="61" s="1"/>
  <c r="E52" i="61"/>
  <c r="F52" i="61" s="1"/>
  <c r="D53" i="61"/>
  <c r="C53" i="61" s="1"/>
  <c r="Q51" i="61"/>
  <c r="S51" i="61" s="1"/>
  <c r="H23" i="60"/>
  <c r="G23" i="60"/>
  <c r="F24" i="60"/>
  <c r="F21" i="59"/>
  <c r="G20" i="59"/>
  <c r="H20" i="59"/>
  <c r="K23" i="59"/>
  <c r="C23" i="59" s="1"/>
  <c r="D24" i="59"/>
  <c r="D23" i="58"/>
  <c r="K22" i="58"/>
  <c r="F23" i="58"/>
  <c r="H22" i="58"/>
  <c r="G22" i="58"/>
  <c r="D24" i="57"/>
  <c r="K23" i="57"/>
  <c r="C23" i="57" s="1"/>
  <c r="G23" i="54"/>
  <c r="H23" i="54"/>
  <c r="F24" i="54"/>
  <c r="G23" i="53"/>
  <c r="H23" i="53"/>
  <c r="F24" i="53"/>
  <c r="J70" i="44"/>
  <c r="C70" i="44" s="1"/>
  <c r="J165" i="44"/>
  <c r="C165" i="44" s="1"/>
  <c r="I73" i="44"/>
  <c r="I168" i="44"/>
  <c r="H42" i="42"/>
  <c r="G42" i="42"/>
  <c r="K43" i="42"/>
  <c r="C43" i="42" s="1"/>
  <c r="E43" i="42"/>
  <c r="F43" i="42" s="1"/>
  <c r="H58" i="41"/>
  <c r="H63" i="41"/>
  <c r="T51" i="41"/>
  <c r="D64" i="41"/>
  <c r="K63" i="41"/>
  <c r="C63" i="41" s="1"/>
  <c r="S52" i="41"/>
  <c r="R52" i="41"/>
  <c r="T61" i="41"/>
  <c r="S57" i="41"/>
  <c r="R57" i="41"/>
  <c r="T56" i="41"/>
  <c r="K58" i="41"/>
  <c r="C58" i="41" s="1"/>
  <c r="S62" i="41"/>
  <c r="R62" i="41"/>
  <c r="T46" i="41"/>
  <c r="M59" i="56" l="1"/>
  <c r="G143" i="42"/>
  <c r="H143" i="42"/>
  <c r="M200" i="47"/>
  <c r="C199" i="47"/>
  <c r="M76" i="56"/>
  <c r="K25" i="44"/>
  <c r="M110" i="56"/>
  <c r="M93" i="56"/>
  <c r="K169" i="44"/>
  <c r="K121" i="44"/>
  <c r="J48" i="50"/>
  <c r="C47" i="50"/>
  <c r="M88" i="47"/>
  <c r="C87" i="47"/>
  <c r="S35" i="48"/>
  <c r="R36" i="48"/>
  <c r="T35" i="48"/>
  <c r="M184" i="47"/>
  <c r="C183" i="47"/>
  <c r="K73" i="44"/>
  <c r="M104" i="47"/>
  <c r="C103" i="47"/>
  <c r="C144" i="42"/>
  <c r="E144" i="42"/>
  <c r="F144" i="42" s="1"/>
  <c r="K144" i="42"/>
  <c r="D145" i="42"/>
  <c r="M72" i="47"/>
  <c r="C72" i="47" s="1"/>
  <c r="M120" i="47"/>
  <c r="M24" i="47"/>
  <c r="M168" i="47"/>
  <c r="C168" i="47" s="1"/>
  <c r="G130" i="48"/>
  <c r="H130" i="48"/>
  <c r="E131" i="48"/>
  <c r="F131" i="48" s="1"/>
  <c r="K131" i="48"/>
  <c r="C131" i="48" s="1"/>
  <c r="D132" i="48"/>
  <c r="F26" i="52"/>
  <c r="G25" i="52"/>
  <c r="H25" i="52"/>
  <c r="G101" i="76"/>
  <c r="H101" i="76"/>
  <c r="M25" i="56"/>
  <c r="M42" i="56"/>
  <c r="K25" i="49"/>
  <c r="P24" i="49"/>
  <c r="U51" i="41"/>
  <c r="W51" i="41" s="1"/>
  <c r="U61" i="41"/>
  <c r="W61" i="41" s="1"/>
  <c r="U46" i="41"/>
  <c r="W46" i="41" s="1"/>
  <c r="U56" i="41"/>
  <c r="W56" i="41" s="1"/>
  <c r="E64" i="41"/>
  <c r="F64" i="41" s="1"/>
  <c r="H64" i="41" s="1"/>
  <c r="P64" i="41"/>
  <c r="Q64" i="41" s="1"/>
  <c r="W22" i="55"/>
  <c r="N24" i="41"/>
  <c r="X23" i="41"/>
  <c r="T21" i="61"/>
  <c r="U21" i="61" s="1"/>
  <c r="G22" i="61"/>
  <c r="H22" i="61"/>
  <c r="R22" i="61"/>
  <c r="Q22" i="61"/>
  <c r="S22" i="61" s="1"/>
  <c r="P23" i="61"/>
  <c r="D24" i="61"/>
  <c r="C24" i="61" s="1"/>
  <c r="E23" i="61"/>
  <c r="F23" i="61" s="1"/>
  <c r="K98" i="76"/>
  <c r="D99" i="76"/>
  <c r="D104" i="77"/>
  <c r="E103" i="77"/>
  <c r="H103" i="77" s="1"/>
  <c r="D389" i="78"/>
  <c r="E388" i="78"/>
  <c r="H389" i="78" s="1"/>
  <c r="D247" i="78"/>
  <c r="E246" i="78"/>
  <c r="H247" i="78" s="1"/>
  <c r="D102" i="78"/>
  <c r="E101" i="78"/>
  <c r="H102" i="78" s="1"/>
  <c r="D293" i="77"/>
  <c r="E292" i="77"/>
  <c r="H292" i="77" s="1"/>
  <c r="D198" i="77"/>
  <c r="E197" i="77"/>
  <c r="H197" i="77" s="1"/>
  <c r="F102" i="76"/>
  <c r="F101" i="66"/>
  <c r="G101" i="66" s="1"/>
  <c r="R37" i="61"/>
  <c r="Q37" i="61"/>
  <c r="S37" i="61" s="1"/>
  <c r="D39" i="61"/>
  <c r="C39" i="61" s="1"/>
  <c r="P38" i="61"/>
  <c r="E38" i="61"/>
  <c r="F38" i="61" s="1"/>
  <c r="T36" i="61"/>
  <c r="U36" i="61" s="1"/>
  <c r="G37" i="61"/>
  <c r="H37" i="61"/>
  <c r="B60" i="61"/>
  <c r="F28" i="56"/>
  <c r="H27" i="56"/>
  <c r="G27" i="56"/>
  <c r="G21" i="57"/>
  <c r="F22" i="57"/>
  <c r="H21" i="57"/>
  <c r="G52" i="61"/>
  <c r="H52" i="61"/>
  <c r="T51" i="61"/>
  <c r="U51" i="61" s="1"/>
  <c r="Q52" i="61"/>
  <c r="S52" i="61" s="1"/>
  <c r="P53" i="61"/>
  <c r="R53" i="61" s="1"/>
  <c r="D54" i="61"/>
  <c r="C54" i="61" s="1"/>
  <c r="E53" i="61"/>
  <c r="F53" i="61" s="1"/>
  <c r="H24" i="60"/>
  <c r="G24" i="60"/>
  <c r="F25" i="60"/>
  <c r="G21" i="59"/>
  <c r="H21" i="59"/>
  <c r="F22" i="59"/>
  <c r="D25" i="59"/>
  <c r="K24" i="59"/>
  <c r="C24" i="59" s="1"/>
  <c r="D24" i="58"/>
  <c r="K23" i="58"/>
  <c r="G23" i="58"/>
  <c r="F24" i="58"/>
  <c r="H23" i="58"/>
  <c r="D25" i="57"/>
  <c r="K24" i="57"/>
  <c r="C24" i="57" s="1"/>
  <c r="H24" i="54"/>
  <c r="G24" i="54"/>
  <c r="F25" i="54"/>
  <c r="H24" i="53"/>
  <c r="F25" i="53"/>
  <c r="G24" i="53"/>
  <c r="J71" i="44"/>
  <c r="C71" i="44" s="1"/>
  <c r="J166" i="44"/>
  <c r="C166" i="44" s="1"/>
  <c r="I169" i="44"/>
  <c r="I74" i="44"/>
  <c r="K44" i="42"/>
  <c r="C44" i="42" s="1"/>
  <c r="E44" i="42"/>
  <c r="F44" i="42" s="1"/>
  <c r="G43" i="42"/>
  <c r="H43" i="42"/>
  <c r="T57" i="41"/>
  <c r="T52" i="41"/>
  <c r="K64" i="41"/>
  <c r="C64" i="41" s="1"/>
  <c r="S58" i="41"/>
  <c r="R58" i="41"/>
  <c r="S63" i="41"/>
  <c r="R63" i="41"/>
  <c r="T62" i="41"/>
  <c r="K170" i="44" l="1"/>
  <c r="M60" i="56"/>
  <c r="J49" i="50"/>
  <c r="C48" i="50"/>
  <c r="M94" i="56"/>
  <c r="M105" i="47"/>
  <c r="C104" i="47"/>
  <c r="R37" i="48"/>
  <c r="T36" i="48"/>
  <c r="M111" i="56"/>
  <c r="D146" i="42"/>
  <c r="E145" i="42"/>
  <c r="F145" i="42" s="1"/>
  <c r="K145" i="42"/>
  <c r="C145" i="42" s="1"/>
  <c r="S36" i="48"/>
  <c r="U35" i="48"/>
  <c r="V35" i="48" s="1"/>
  <c r="M201" i="47"/>
  <c r="C200" i="47"/>
  <c r="K74" i="44"/>
  <c r="G144" i="42"/>
  <c r="H144" i="42"/>
  <c r="M185" i="47"/>
  <c r="C184" i="47"/>
  <c r="K122" i="44"/>
  <c r="M89" i="47"/>
  <c r="C88" i="47"/>
  <c r="K26" i="44"/>
  <c r="M77" i="56"/>
  <c r="M169" i="47"/>
  <c r="C169" i="47" s="1"/>
  <c r="M121" i="47"/>
  <c r="M25" i="47"/>
  <c r="M73" i="47"/>
  <c r="C73" i="47" s="1"/>
  <c r="D133" i="48"/>
  <c r="E132" i="48"/>
  <c r="F132" i="48" s="1"/>
  <c r="K132" i="48"/>
  <c r="C132" i="48" s="1"/>
  <c r="G131" i="48"/>
  <c r="H131" i="48"/>
  <c r="M26" i="56"/>
  <c r="M43" i="56"/>
  <c r="H102" i="76"/>
  <c r="G102" i="76"/>
  <c r="G26" i="52"/>
  <c r="H26" i="52"/>
  <c r="F27" i="52"/>
  <c r="G64" i="41"/>
  <c r="K26" i="49"/>
  <c r="P25" i="49"/>
  <c r="U57" i="41"/>
  <c r="W57" i="41" s="1"/>
  <c r="U62" i="41"/>
  <c r="W62" i="41" s="1"/>
  <c r="U52" i="41"/>
  <c r="W52" i="41" s="1"/>
  <c r="N25" i="41"/>
  <c r="X24" i="41"/>
  <c r="T22" i="61"/>
  <c r="U22" i="61" s="1"/>
  <c r="G23" i="61"/>
  <c r="H23" i="61"/>
  <c r="P24" i="61"/>
  <c r="E24" i="61"/>
  <c r="F24" i="61" s="1"/>
  <c r="D25" i="61"/>
  <c r="C25" i="61" s="1"/>
  <c r="Q23" i="61"/>
  <c r="S23" i="61" s="1"/>
  <c r="R23" i="61"/>
  <c r="E104" i="77"/>
  <c r="H104" i="77" s="1"/>
  <c r="D105" i="77"/>
  <c r="K99" i="76"/>
  <c r="D100" i="76"/>
  <c r="D390" i="78"/>
  <c r="E389" i="78"/>
  <c r="H390" i="78" s="1"/>
  <c r="D248" i="78"/>
  <c r="E247" i="78"/>
  <c r="H248" i="78" s="1"/>
  <c r="D103" i="78"/>
  <c r="E102" i="78"/>
  <c r="H103" i="78" s="1"/>
  <c r="D294" i="77"/>
  <c r="E293" i="77"/>
  <c r="H293" i="77" s="1"/>
  <c r="E198" i="77"/>
  <c r="H198" i="77" s="1"/>
  <c r="D199" i="77"/>
  <c r="F103" i="76"/>
  <c r="F102" i="66"/>
  <c r="G102" i="66" s="1"/>
  <c r="R38" i="61"/>
  <c r="Q38" i="61"/>
  <c r="S38" i="61" s="1"/>
  <c r="D40" i="61"/>
  <c r="C40" i="61" s="1"/>
  <c r="P39" i="61"/>
  <c r="E39" i="61"/>
  <c r="F39" i="61" s="1"/>
  <c r="T37" i="61"/>
  <c r="U37" i="61" s="1"/>
  <c r="G38" i="61"/>
  <c r="H38" i="61"/>
  <c r="B61" i="61"/>
  <c r="F29" i="56"/>
  <c r="G28" i="56"/>
  <c r="H28" i="56"/>
  <c r="H22" i="57"/>
  <c r="F23" i="57"/>
  <c r="G22" i="57"/>
  <c r="T52" i="61"/>
  <c r="U52" i="61" s="1"/>
  <c r="P54" i="61"/>
  <c r="R54" i="61" s="1"/>
  <c r="E54" i="61"/>
  <c r="F54" i="61" s="1"/>
  <c r="D55" i="61"/>
  <c r="C55" i="61" s="1"/>
  <c r="G53" i="61"/>
  <c r="H53" i="61"/>
  <c r="Q53" i="61"/>
  <c r="S53" i="61" s="1"/>
  <c r="H25" i="60"/>
  <c r="G25" i="60"/>
  <c r="F26" i="60"/>
  <c r="G22" i="59"/>
  <c r="F23" i="59"/>
  <c r="H22" i="59"/>
  <c r="D26" i="59"/>
  <c r="K25" i="59"/>
  <c r="C25" i="59" s="1"/>
  <c r="D25" i="58"/>
  <c r="K24" i="58"/>
  <c r="H24" i="58"/>
  <c r="F25" i="58"/>
  <c r="G24" i="58"/>
  <c r="D26" i="57"/>
  <c r="K25" i="57"/>
  <c r="C25" i="57" s="1"/>
  <c r="H25" i="54"/>
  <c r="G25" i="54"/>
  <c r="F26" i="54"/>
  <c r="H25" i="53"/>
  <c r="F26" i="53"/>
  <c r="G25" i="53"/>
  <c r="I170" i="44"/>
  <c r="J72" i="44"/>
  <c r="C72" i="44" s="1"/>
  <c r="J167" i="44"/>
  <c r="C167" i="44" s="1"/>
  <c r="I75" i="44"/>
  <c r="H44" i="42"/>
  <c r="G44" i="42"/>
  <c r="E45" i="42"/>
  <c r="F45" i="42" s="1"/>
  <c r="K45" i="42"/>
  <c r="C45" i="42" s="1"/>
  <c r="T63" i="41"/>
  <c r="T58" i="41"/>
  <c r="S64" i="41"/>
  <c r="R64" i="41"/>
  <c r="M61" i="56" l="1"/>
  <c r="M95" i="56"/>
  <c r="M186" i="47"/>
  <c r="C186" i="47" s="1"/>
  <c r="C185" i="47"/>
  <c r="M202" i="47"/>
  <c r="C202" i="47" s="1"/>
  <c r="C201" i="47"/>
  <c r="M112" i="56"/>
  <c r="K27" i="44"/>
  <c r="S37" i="48"/>
  <c r="U36" i="48"/>
  <c r="V36" i="48" s="1"/>
  <c r="R38" i="48"/>
  <c r="T37" i="48"/>
  <c r="J50" i="50"/>
  <c r="C49" i="50"/>
  <c r="K75" i="44"/>
  <c r="G145" i="42"/>
  <c r="H145" i="42"/>
  <c r="M106" i="47"/>
  <c r="C106" i="47" s="1"/>
  <c r="C105" i="47"/>
  <c r="M90" i="47"/>
  <c r="C90" i="47" s="1"/>
  <c r="C89" i="47"/>
  <c r="K123" i="44"/>
  <c r="D147" i="42"/>
  <c r="K146" i="42"/>
  <c r="C146" i="42" s="1"/>
  <c r="E146" i="42"/>
  <c r="F146" i="42" s="1"/>
  <c r="M78" i="56"/>
  <c r="K171" i="44"/>
  <c r="M74" i="47"/>
  <c r="C74" i="47" s="1"/>
  <c r="M26" i="47"/>
  <c r="M122" i="47"/>
  <c r="M170" i="47"/>
  <c r="C170" i="47" s="1"/>
  <c r="H132" i="48"/>
  <c r="G132" i="48"/>
  <c r="E133" i="48"/>
  <c r="F133" i="48" s="1"/>
  <c r="K133" i="48"/>
  <c r="C133" i="48" s="1"/>
  <c r="D134" i="48"/>
  <c r="G103" i="76"/>
  <c r="H103" i="76"/>
  <c r="F28" i="52"/>
  <c r="H27" i="52"/>
  <c r="G27" i="52"/>
  <c r="M27" i="56"/>
  <c r="M44" i="56"/>
  <c r="K27" i="49"/>
  <c r="P26" i="49"/>
  <c r="U58" i="41"/>
  <c r="W58" i="41" s="1"/>
  <c r="U63" i="41"/>
  <c r="W63" i="41" s="1"/>
  <c r="N26" i="41"/>
  <c r="X25" i="41"/>
  <c r="T23" i="61"/>
  <c r="U23" i="61" s="1"/>
  <c r="P25" i="61"/>
  <c r="E25" i="61"/>
  <c r="F25" i="61" s="1"/>
  <c r="G24" i="61"/>
  <c r="H24" i="61"/>
  <c r="R24" i="61"/>
  <c r="Q24" i="61"/>
  <c r="S24" i="61" s="1"/>
  <c r="K100" i="76"/>
  <c r="D101" i="76"/>
  <c r="D106" i="77"/>
  <c r="E106" i="77" s="1"/>
  <c r="H106" i="77" s="1"/>
  <c r="E105" i="77"/>
  <c r="H105" i="77" s="1"/>
  <c r="E390" i="78"/>
  <c r="H391" i="78" s="1"/>
  <c r="D391" i="78"/>
  <c r="E248" i="78"/>
  <c r="H249" i="78" s="1"/>
  <c r="D249" i="78"/>
  <c r="E103" i="78"/>
  <c r="H104" i="78" s="1"/>
  <c r="D104" i="78"/>
  <c r="D295" i="77"/>
  <c r="E294" i="77"/>
  <c r="H294" i="77" s="1"/>
  <c r="D200" i="77"/>
  <c r="E199" i="77"/>
  <c r="H199" i="77" s="1"/>
  <c r="F104" i="76"/>
  <c r="F103" i="66"/>
  <c r="G103" i="66" s="1"/>
  <c r="P40" i="61"/>
  <c r="E40" i="61"/>
  <c r="F40" i="61" s="1"/>
  <c r="R39" i="61"/>
  <c r="Q39" i="61"/>
  <c r="S39" i="61" s="1"/>
  <c r="T38" i="61"/>
  <c r="U38" i="61" s="1"/>
  <c r="G39" i="61"/>
  <c r="H39" i="61"/>
  <c r="B62" i="61"/>
  <c r="H29" i="56"/>
  <c r="G29" i="56"/>
  <c r="F30" i="56"/>
  <c r="G23" i="57"/>
  <c r="H23" i="57"/>
  <c r="F24" i="57"/>
  <c r="T53" i="61"/>
  <c r="U53" i="61" s="1"/>
  <c r="P55" i="61"/>
  <c r="R55" i="61" s="1"/>
  <c r="E55" i="61"/>
  <c r="F55" i="61" s="1"/>
  <c r="D56" i="61"/>
  <c r="C56" i="61" s="1"/>
  <c r="G54" i="61"/>
  <c r="H54" i="61"/>
  <c r="Q54" i="61"/>
  <c r="S54" i="61" s="1"/>
  <c r="H26" i="60"/>
  <c r="G26" i="60"/>
  <c r="F27" i="60"/>
  <c r="G23" i="59"/>
  <c r="F24" i="59"/>
  <c r="H23" i="59"/>
  <c r="D27" i="59"/>
  <c r="K26" i="59"/>
  <c r="C26" i="59" s="1"/>
  <c r="D26" i="58"/>
  <c r="K25" i="58"/>
  <c r="F26" i="58"/>
  <c r="G25" i="58"/>
  <c r="H25" i="58"/>
  <c r="D27" i="57"/>
  <c r="K26" i="57"/>
  <c r="C26" i="57" s="1"/>
  <c r="G26" i="54"/>
  <c r="H26" i="54"/>
  <c r="F27" i="54"/>
  <c r="F27" i="53"/>
  <c r="G26" i="53"/>
  <c r="H26" i="53"/>
  <c r="J73" i="44"/>
  <c r="C73" i="44" s="1"/>
  <c r="I171" i="44"/>
  <c r="J168" i="44"/>
  <c r="C168" i="44" s="1"/>
  <c r="I76" i="44"/>
  <c r="E46" i="42"/>
  <c r="F46" i="42" s="1"/>
  <c r="K46" i="42"/>
  <c r="C46" i="42" s="1"/>
  <c r="H45" i="42"/>
  <c r="G45" i="42"/>
  <c r="T64" i="41"/>
  <c r="M96" i="56" l="1"/>
  <c r="G146" i="42"/>
  <c r="H146" i="42"/>
  <c r="M62" i="56"/>
  <c r="J51" i="50"/>
  <c r="C50" i="50"/>
  <c r="K147" i="42"/>
  <c r="C147" i="42" s="1"/>
  <c r="E147" i="42"/>
  <c r="F147" i="42" s="1"/>
  <c r="D148" i="42"/>
  <c r="M113" i="56"/>
  <c r="R39" i="48"/>
  <c r="T38" i="48"/>
  <c r="K28" i="44"/>
  <c r="K172" i="44"/>
  <c r="K124" i="44"/>
  <c r="S38" i="48"/>
  <c r="U37" i="48"/>
  <c r="V37" i="48" s="1"/>
  <c r="M79" i="56"/>
  <c r="K76" i="44"/>
  <c r="E134" i="48"/>
  <c r="F134" i="48" s="1"/>
  <c r="K134" i="48"/>
  <c r="C134" i="48" s="1"/>
  <c r="D135" i="48"/>
  <c r="G133" i="48"/>
  <c r="H133" i="48"/>
  <c r="H104" i="76"/>
  <c r="G104" i="76"/>
  <c r="H28" i="52"/>
  <c r="G28" i="52"/>
  <c r="M28" i="56"/>
  <c r="M45" i="56"/>
  <c r="K28" i="49"/>
  <c r="P27" i="49"/>
  <c r="U64" i="41"/>
  <c r="W64" i="41" s="1"/>
  <c r="N27" i="41"/>
  <c r="X26" i="41"/>
  <c r="T24" i="61"/>
  <c r="U24" i="61" s="1"/>
  <c r="H25" i="61"/>
  <c r="G25" i="61"/>
  <c r="Q25" i="61"/>
  <c r="S25" i="61" s="1"/>
  <c r="R25" i="61"/>
  <c r="D102" i="76"/>
  <c r="K101" i="76"/>
  <c r="D392" i="78"/>
  <c r="E391" i="78"/>
  <c r="H392" i="78" s="1"/>
  <c r="D250" i="78"/>
  <c r="E249" i="78"/>
  <c r="H250" i="78" s="1"/>
  <c r="E104" i="78"/>
  <c r="H105" i="78" s="1"/>
  <c r="D105" i="78"/>
  <c r="D106" i="78" s="1"/>
  <c r="D107" i="78" s="1"/>
  <c r="D296" i="77"/>
  <c r="E295" i="77"/>
  <c r="H295" i="77" s="1"/>
  <c r="E200" i="77"/>
  <c r="H200" i="77" s="1"/>
  <c r="D201" i="77"/>
  <c r="F105" i="76"/>
  <c r="F104" i="66"/>
  <c r="G104" i="66" s="1"/>
  <c r="T39" i="61"/>
  <c r="U39" i="61" s="1"/>
  <c r="G40" i="61"/>
  <c r="H40" i="61"/>
  <c r="R40" i="61"/>
  <c r="Q40" i="61"/>
  <c r="S40" i="61" s="1"/>
  <c r="B63" i="61"/>
  <c r="G30" i="56"/>
  <c r="H30" i="56"/>
  <c r="F31" i="56"/>
  <c r="H24" i="57"/>
  <c r="F25" i="57"/>
  <c r="G24" i="57"/>
  <c r="T54" i="61"/>
  <c r="U54" i="61" s="1"/>
  <c r="H55" i="61"/>
  <c r="G55" i="61"/>
  <c r="P56" i="61"/>
  <c r="R56" i="61" s="1"/>
  <c r="D57" i="61"/>
  <c r="C57" i="61" s="1"/>
  <c r="E56" i="61"/>
  <c r="F56" i="61" s="1"/>
  <c r="Q55" i="61"/>
  <c r="S55" i="61" s="1"/>
  <c r="H27" i="60"/>
  <c r="G27" i="60"/>
  <c r="F28" i="60"/>
  <c r="H24" i="59"/>
  <c r="G24" i="59"/>
  <c r="F25" i="59"/>
  <c r="D28" i="59"/>
  <c r="K27" i="59"/>
  <c r="C27" i="59" s="1"/>
  <c r="D27" i="58"/>
  <c r="K26" i="58"/>
  <c r="G26" i="58"/>
  <c r="H26" i="58"/>
  <c r="F27" i="58"/>
  <c r="D28" i="57"/>
  <c r="K27" i="57"/>
  <c r="C27" i="57" s="1"/>
  <c r="F28" i="54"/>
  <c r="H27" i="54"/>
  <c r="G27" i="54"/>
  <c r="F28" i="53"/>
  <c r="F29" i="53" s="1"/>
  <c r="H27" i="53"/>
  <c r="G27" i="53"/>
  <c r="J74" i="44"/>
  <c r="C74" i="44" s="1"/>
  <c r="I77" i="44"/>
  <c r="I172" i="44"/>
  <c r="J169" i="44"/>
  <c r="C169" i="44" s="1"/>
  <c r="H46" i="42"/>
  <c r="G46" i="42"/>
  <c r="M114" i="56" l="1"/>
  <c r="M46" i="56"/>
  <c r="C148" i="42"/>
  <c r="K148" i="42"/>
  <c r="D149" i="42"/>
  <c r="E148" i="42"/>
  <c r="F148" i="42" s="1"/>
  <c r="J52" i="50"/>
  <c r="C51" i="50"/>
  <c r="K77" i="44"/>
  <c r="K173" i="44"/>
  <c r="M97" i="56"/>
  <c r="K29" i="44"/>
  <c r="G147" i="42"/>
  <c r="H147" i="42"/>
  <c r="C28" i="57"/>
  <c r="M63" i="56"/>
  <c r="M80" i="56"/>
  <c r="S39" i="48"/>
  <c r="U38" i="48"/>
  <c r="V38" i="48" s="1"/>
  <c r="R40" i="48"/>
  <c r="T39" i="48"/>
  <c r="C135" i="48"/>
  <c r="K125" i="44"/>
  <c r="K135" i="48"/>
  <c r="D136" i="48"/>
  <c r="E135" i="48"/>
  <c r="F135" i="48" s="1"/>
  <c r="G134" i="48"/>
  <c r="H134" i="48"/>
  <c r="F30" i="53"/>
  <c r="G29" i="53"/>
  <c r="H29" i="53"/>
  <c r="G105" i="76"/>
  <c r="H105" i="76"/>
  <c r="K29" i="49"/>
  <c r="P28" i="49"/>
  <c r="T25" i="61"/>
  <c r="U25" i="61" s="1"/>
  <c r="N28" i="41"/>
  <c r="X27" i="41"/>
  <c r="D108" i="78"/>
  <c r="E107" i="78"/>
  <c r="H108" i="78" s="1"/>
  <c r="K102" i="76"/>
  <c r="D103" i="76"/>
  <c r="E392" i="78"/>
  <c r="H393" i="78" s="1"/>
  <c r="D393" i="78"/>
  <c r="D251" i="78"/>
  <c r="E250" i="78"/>
  <c r="H251" i="78" s="1"/>
  <c r="E106" i="78"/>
  <c r="H107" i="78" s="1"/>
  <c r="E105" i="78"/>
  <c r="H106" i="78" s="1"/>
  <c r="D297" i="77"/>
  <c r="E296" i="77"/>
  <c r="H296" i="77" s="1"/>
  <c r="D202" i="77"/>
  <c r="E202" i="77" s="1"/>
  <c r="H202" i="77" s="1"/>
  <c r="E201" i="77"/>
  <c r="H201" i="77" s="1"/>
  <c r="F106" i="76"/>
  <c r="F105" i="66"/>
  <c r="G105" i="66" s="1"/>
  <c r="T40" i="61"/>
  <c r="U40" i="61" s="1"/>
  <c r="B64" i="61"/>
  <c r="F32" i="56"/>
  <c r="G31" i="56"/>
  <c r="H31" i="56"/>
  <c r="G25" i="57"/>
  <c r="H25" i="57"/>
  <c r="F26" i="57"/>
  <c r="T55" i="61"/>
  <c r="U55" i="61" s="1"/>
  <c r="G56" i="61"/>
  <c r="H56" i="61"/>
  <c r="P57" i="61"/>
  <c r="R57" i="61" s="1"/>
  <c r="E57" i="61"/>
  <c r="F57" i="61" s="1"/>
  <c r="D58" i="61"/>
  <c r="C58" i="61" s="1"/>
  <c r="Q56" i="61"/>
  <c r="S56" i="61" s="1"/>
  <c r="H28" i="60"/>
  <c r="G28" i="60"/>
  <c r="F29" i="60"/>
  <c r="G25" i="59"/>
  <c r="F26" i="59"/>
  <c r="H25" i="59"/>
  <c r="D29" i="59"/>
  <c r="K28" i="59"/>
  <c r="C28" i="59" s="1"/>
  <c r="D28" i="58"/>
  <c r="K27" i="58"/>
  <c r="F28" i="58"/>
  <c r="H27" i="58"/>
  <c r="G27" i="58"/>
  <c r="D29" i="57"/>
  <c r="K28" i="57"/>
  <c r="G28" i="54"/>
  <c r="F29" i="54"/>
  <c r="H28" i="54"/>
  <c r="H28" i="53"/>
  <c r="G28" i="53"/>
  <c r="J170" i="44"/>
  <c r="C170" i="44" s="1"/>
  <c r="I173" i="44"/>
  <c r="I78" i="44"/>
  <c r="J75" i="44"/>
  <c r="C75" i="44" s="1"/>
  <c r="T40" i="48" l="1"/>
  <c r="R41" i="48"/>
  <c r="M115" i="56"/>
  <c r="J53" i="50"/>
  <c r="C52" i="50"/>
  <c r="M81" i="56"/>
  <c r="H148" i="42"/>
  <c r="G148" i="42"/>
  <c r="K149" i="42"/>
  <c r="C149" i="42" s="1"/>
  <c r="E149" i="42"/>
  <c r="F149" i="42" s="1"/>
  <c r="D150" i="42"/>
  <c r="K174" i="44"/>
  <c r="S40" i="48"/>
  <c r="U39" i="48"/>
  <c r="V39" i="48" s="1"/>
  <c r="K78" i="44"/>
  <c r="C29" i="57"/>
  <c r="K126" i="44"/>
  <c r="M98" i="56"/>
  <c r="K30" i="44"/>
  <c r="M64" i="56"/>
  <c r="G135" i="48"/>
  <c r="H135" i="48"/>
  <c r="D137" i="48"/>
  <c r="K136" i="48"/>
  <c r="C136" i="48" s="1"/>
  <c r="E136" i="48"/>
  <c r="F136" i="48" s="1"/>
  <c r="H106" i="76"/>
  <c r="G106" i="76"/>
  <c r="G30" i="53"/>
  <c r="F31" i="53"/>
  <c r="H30" i="53"/>
  <c r="K30" i="49"/>
  <c r="P29" i="49"/>
  <c r="N29" i="41"/>
  <c r="X28" i="41"/>
  <c r="D104" i="76"/>
  <c r="K103" i="76"/>
  <c r="D109" i="78"/>
  <c r="E108" i="78"/>
  <c r="H109" i="78" s="1"/>
  <c r="D394" i="78"/>
  <c r="E393" i="78"/>
  <c r="H394" i="78" s="1"/>
  <c r="E251" i="78"/>
  <c r="H252" i="78" s="1"/>
  <c r="D252" i="78"/>
  <c r="D298" i="77"/>
  <c r="E298" i="77" s="1"/>
  <c r="H298" i="77" s="1"/>
  <c r="E297" i="77"/>
  <c r="H297" i="77" s="1"/>
  <c r="F107" i="76"/>
  <c r="F106" i="66"/>
  <c r="G106" i="66" s="1"/>
  <c r="B65" i="61"/>
  <c r="F33" i="56"/>
  <c r="G32" i="56"/>
  <c r="H32" i="56"/>
  <c r="H26" i="57"/>
  <c r="F27" i="57"/>
  <c r="G26" i="57"/>
  <c r="T56" i="61"/>
  <c r="U56" i="61" s="1"/>
  <c r="G57" i="61"/>
  <c r="H57" i="61"/>
  <c r="Q57" i="61"/>
  <c r="S57" i="61" s="1"/>
  <c r="P58" i="61"/>
  <c r="R58" i="61" s="1"/>
  <c r="E58" i="61"/>
  <c r="F58" i="61" s="1"/>
  <c r="D59" i="61"/>
  <c r="C59" i="61" s="1"/>
  <c r="H29" i="60"/>
  <c r="G29" i="60"/>
  <c r="F30" i="60"/>
  <c r="H26" i="59"/>
  <c r="F27" i="59"/>
  <c r="G26" i="59"/>
  <c r="D30" i="59"/>
  <c r="K29" i="59"/>
  <c r="C29" i="59" s="1"/>
  <c r="D29" i="58"/>
  <c r="K28" i="58"/>
  <c r="H28" i="58"/>
  <c r="F29" i="58"/>
  <c r="G28" i="58"/>
  <c r="D30" i="57"/>
  <c r="K29" i="57"/>
  <c r="G29" i="54"/>
  <c r="F30" i="54"/>
  <c r="H29" i="54"/>
  <c r="J76" i="44"/>
  <c r="C76" i="44" s="1"/>
  <c r="I79" i="44"/>
  <c r="I174" i="44"/>
  <c r="J171" i="44"/>
  <c r="C171" i="44" s="1"/>
  <c r="M82" i="56" l="1"/>
  <c r="H149" i="42"/>
  <c r="G149" i="42"/>
  <c r="K31" i="44"/>
  <c r="K79" i="44"/>
  <c r="J54" i="50"/>
  <c r="C53" i="50"/>
  <c r="M116" i="56"/>
  <c r="S41" i="48"/>
  <c r="U40" i="48"/>
  <c r="V40" i="48" s="1"/>
  <c r="T41" i="48"/>
  <c r="R42" i="48"/>
  <c r="K127" i="44"/>
  <c r="K175" i="44"/>
  <c r="M99" i="56"/>
  <c r="C150" i="42"/>
  <c r="D151" i="42"/>
  <c r="E150" i="42"/>
  <c r="F150" i="42" s="1"/>
  <c r="K150" i="42"/>
  <c r="D138" i="48"/>
  <c r="K137" i="48"/>
  <c r="C137" i="48" s="1"/>
  <c r="E137" i="48"/>
  <c r="F137" i="48" s="1"/>
  <c r="G136" i="48"/>
  <c r="H136" i="48"/>
  <c r="G107" i="76"/>
  <c r="H107" i="76"/>
  <c r="F32" i="53"/>
  <c r="H31" i="53"/>
  <c r="G31" i="53"/>
  <c r="K31" i="49"/>
  <c r="P30" i="49"/>
  <c r="N30" i="41"/>
  <c r="X29" i="41"/>
  <c r="D110" i="78"/>
  <c r="E109" i="78"/>
  <c r="H110" i="78" s="1"/>
  <c r="K104" i="76"/>
  <c r="D105" i="76"/>
  <c r="E394" i="78"/>
  <c r="H395" i="78" s="1"/>
  <c r="D395" i="78"/>
  <c r="E252" i="78"/>
  <c r="H253" i="78" s="1"/>
  <c r="D253" i="78"/>
  <c r="F108" i="76"/>
  <c r="F107" i="66"/>
  <c r="G107" i="66" s="1"/>
  <c r="H107" i="66" s="1"/>
  <c r="B66" i="61"/>
  <c r="F34" i="56"/>
  <c r="G33" i="56"/>
  <c r="H33" i="56"/>
  <c r="H27" i="57"/>
  <c r="F28" i="57"/>
  <c r="G27" i="57"/>
  <c r="T57" i="61"/>
  <c r="U57" i="61" s="1"/>
  <c r="P59" i="61"/>
  <c r="R59" i="61" s="1"/>
  <c r="D60" i="61"/>
  <c r="C60" i="61" s="1"/>
  <c r="E59" i="61"/>
  <c r="F59" i="61" s="1"/>
  <c r="H58" i="61"/>
  <c r="G58" i="61"/>
  <c r="Q58" i="61"/>
  <c r="S58" i="61" s="1"/>
  <c r="H30" i="60"/>
  <c r="G30" i="60"/>
  <c r="F31" i="60"/>
  <c r="H27" i="59"/>
  <c r="F28" i="59"/>
  <c r="G27" i="59"/>
  <c r="K30" i="59"/>
  <c r="C30" i="59" s="1"/>
  <c r="D31" i="59"/>
  <c r="D30" i="58"/>
  <c r="K29" i="58"/>
  <c r="F30" i="58"/>
  <c r="G29" i="58"/>
  <c r="H29" i="58"/>
  <c r="D31" i="57"/>
  <c r="K30" i="57"/>
  <c r="C30" i="57" s="1"/>
  <c r="G30" i="54"/>
  <c r="F31" i="54"/>
  <c r="H30" i="54"/>
  <c r="J77" i="44"/>
  <c r="C77" i="44" s="1"/>
  <c r="J172" i="44"/>
  <c r="C172" i="44" s="1"/>
  <c r="I80" i="44"/>
  <c r="I175" i="44"/>
  <c r="K176" i="44" l="1"/>
  <c r="S42" i="48"/>
  <c r="U41" i="48"/>
  <c r="V41" i="48" s="1"/>
  <c r="K80" i="44"/>
  <c r="H150" i="42"/>
  <c r="G150" i="42"/>
  <c r="D152" i="42"/>
  <c r="E151" i="42"/>
  <c r="F151" i="42" s="1"/>
  <c r="K151" i="42"/>
  <c r="C151" i="42" s="1"/>
  <c r="K128" i="44"/>
  <c r="K32" i="44"/>
  <c r="R43" i="48"/>
  <c r="T42" i="48"/>
  <c r="M117" i="56"/>
  <c r="J55" i="50"/>
  <c r="C54" i="50"/>
  <c r="M100" i="56"/>
  <c r="H137" i="48"/>
  <c r="G137" i="48"/>
  <c r="D139" i="48"/>
  <c r="K138" i="48"/>
  <c r="C138" i="48" s="1"/>
  <c r="E138" i="48"/>
  <c r="F138" i="48" s="1"/>
  <c r="H32" i="53"/>
  <c r="G32" i="53"/>
  <c r="F33" i="53"/>
  <c r="H108" i="76"/>
  <c r="G108" i="76"/>
  <c r="K32" i="49"/>
  <c r="P31" i="49"/>
  <c r="N31" i="41"/>
  <c r="X30" i="41"/>
  <c r="D106" i="76"/>
  <c r="K105" i="76"/>
  <c r="D111" i="78"/>
  <c r="E110" i="78"/>
  <c r="H111" i="78" s="1"/>
  <c r="D396" i="78"/>
  <c r="E395" i="78"/>
  <c r="H396" i="78" s="1"/>
  <c r="E253" i="78"/>
  <c r="H254" i="78" s="1"/>
  <c r="D254" i="78"/>
  <c r="F109" i="76"/>
  <c r="F108" i="66"/>
  <c r="G108" i="66" s="1"/>
  <c r="H108" i="66" s="1"/>
  <c r="B67" i="61"/>
  <c r="F35" i="56"/>
  <c r="G34" i="56"/>
  <c r="H34" i="56"/>
  <c r="G28" i="57"/>
  <c r="H28" i="57"/>
  <c r="F29" i="57"/>
  <c r="Q59" i="61"/>
  <c r="S59" i="61" s="1"/>
  <c r="P60" i="61"/>
  <c r="R60" i="61" s="1"/>
  <c r="D61" i="61"/>
  <c r="C61" i="61" s="1"/>
  <c r="E60" i="61"/>
  <c r="F60" i="61" s="1"/>
  <c r="T58" i="61"/>
  <c r="U58" i="61" s="1"/>
  <c r="H59" i="61"/>
  <c r="G59" i="61"/>
  <c r="H31" i="60"/>
  <c r="G31" i="60"/>
  <c r="F32" i="60"/>
  <c r="G28" i="59"/>
  <c r="H28" i="59"/>
  <c r="F29" i="59"/>
  <c r="K31" i="59"/>
  <c r="C31" i="59" s="1"/>
  <c r="D32" i="59"/>
  <c r="D31" i="58"/>
  <c r="K30" i="58"/>
  <c r="G30" i="58"/>
  <c r="H30" i="58"/>
  <c r="F31" i="58"/>
  <c r="D32" i="57"/>
  <c r="K31" i="57"/>
  <c r="C31" i="57" s="1"/>
  <c r="G31" i="54"/>
  <c r="F32" i="54"/>
  <c r="H31" i="54"/>
  <c r="I176" i="44"/>
  <c r="I81" i="44"/>
  <c r="J173" i="44"/>
  <c r="C173" i="44" s="1"/>
  <c r="J78" i="44"/>
  <c r="C78" i="44" s="1"/>
  <c r="K129" i="44" l="1"/>
  <c r="K81" i="44"/>
  <c r="M118" i="56"/>
  <c r="H151" i="42"/>
  <c r="G151" i="42"/>
  <c r="S43" i="48"/>
  <c r="U42" i="48"/>
  <c r="V42" i="48" s="1"/>
  <c r="J56" i="50"/>
  <c r="C55" i="50"/>
  <c r="K177" i="44"/>
  <c r="K33" i="44"/>
  <c r="T43" i="48"/>
  <c r="R44" i="48"/>
  <c r="E152" i="42"/>
  <c r="F152" i="42" s="1"/>
  <c r="D153" i="42"/>
  <c r="K152" i="42"/>
  <c r="C152" i="42" s="1"/>
  <c r="D140" i="48"/>
  <c r="E139" i="48"/>
  <c r="F139" i="48" s="1"/>
  <c r="K139" i="48"/>
  <c r="C139" i="48" s="1"/>
  <c r="G138" i="48"/>
  <c r="H138" i="48"/>
  <c r="F34" i="53"/>
  <c r="G33" i="53"/>
  <c r="H33" i="53"/>
  <c r="G109" i="76"/>
  <c r="H109" i="76"/>
  <c r="K33" i="49"/>
  <c r="P32" i="49"/>
  <c r="N32" i="41"/>
  <c r="X31" i="41"/>
  <c r="D112" i="78"/>
  <c r="E111" i="78"/>
  <c r="H112" i="78" s="1"/>
  <c r="K106" i="76"/>
  <c r="D107" i="76"/>
  <c r="D397" i="78"/>
  <c r="E396" i="78"/>
  <c r="H397" i="78" s="1"/>
  <c r="D255" i="78"/>
  <c r="E254" i="78"/>
  <c r="H255" i="78" s="1"/>
  <c r="F110" i="76"/>
  <c r="F109" i="66"/>
  <c r="G109" i="66" s="1"/>
  <c r="H109" i="66" s="1"/>
  <c r="B68" i="61"/>
  <c r="H35" i="56"/>
  <c r="F36" i="56"/>
  <c r="G35" i="56"/>
  <c r="H29" i="57"/>
  <c r="F30" i="57"/>
  <c r="G29" i="57"/>
  <c r="T59" i="61"/>
  <c r="U59" i="61" s="1"/>
  <c r="P61" i="61"/>
  <c r="R61" i="61" s="1"/>
  <c r="E61" i="61"/>
  <c r="F61" i="61" s="1"/>
  <c r="D62" i="61"/>
  <c r="C62" i="61" s="1"/>
  <c r="Q60" i="61"/>
  <c r="S60" i="61" s="1"/>
  <c r="G60" i="61"/>
  <c r="H60" i="61"/>
  <c r="F33" i="60"/>
  <c r="H32" i="60"/>
  <c r="G32" i="60"/>
  <c r="G29" i="59"/>
  <c r="H29" i="59"/>
  <c r="F30" i="59"/>
  <c r="D33" i="59"/>
  <c r="K32" i="59"/>
  <c r="C32" i="59" s="1"/>
  <c r="D32" i="58"/>
  <c r="K31" i="58"/>
  <c r="G31" i="58"/>
  <c r="F32" i="58"/>
  <c r="H31" i="58"/>
  <c r="D33" i="57"/>
  <c r="K32" i="57"/>
  <c r="C32" i="57" s="1"/>
  <c r="G32" i="54"/>
  <c r="F33" i="54"/>
  <c r="H32" i="54"/>
  <c r="J79" i="44"/>
  <c r="C79" i="44" s="1"/>
  <c r="I82" i="44"/>
  <c r="I177" i="44"/>
  <c r="J174" i="44"/>
  <c r="C174" i="44" s="1"/>
  <c r="J57" i="50" l="1"/>
  <c r="C56" i="50"/>
  <c r="T44" i="48"/>
  <c r="R45" i="48"/>
  <c r="G152" i="42"/>
  <c r="H152" i="42"/>
  <c r="S44" i="48"/>
  <c r="U43" i="48"/>
  <c r="V43" i="48" s="1"/>
  <c r="K34" i="44"/>
  <c r="K82" i="44"/>
  <c r="C153" i="42"/>
  <c r="D154" i="42"/>
  <c r="K153" i="42"/>
  <c r="E153" i="42"/>
  <c r="F153" i="42" s="1"/>
  <c r="K178" i="44"/>
  <c r="K130" i="44"/>
  <c r="G139" i="48"/>
  <c r="H139" i="48"/>
  <c r="D141" i="48"/>
  <c r="E140" i="48"/>
  <c r="F140" i="48" s="1"/>
  <c r="K140" i="48"/>
  <c r="C140" i="48" s="1"/>
  <c r="H110" i="76"/>
  <c r="G110" i="76"/>
  <c r="H34" i="53"/>
  <c r="F35" i="53"/>
  <c r="G34" i="53"/>
  <c r="K34" i="49"/>
  <c r="P33" i="49"/>
  <c r="N33" i="41"/>
  <c r="X32" i="41"/>
  <c r="D108" i="76"/>
  <c r="K107" i="76"/>
  <c r="D113" i="78"/>
  <c r="E112" i="78"/>
  <c r="H113" i="78" s="1"/>
  <c r="D398" i="78"/>
  <c r="E397" i="78"/>
  <c r="H398" i="78" s="1"/>
  <c r="E255" i="78"/>
  <c r="H256" i="78" s="1"/>
  <c r="D256" i="78"/>
  <c r="F111" i="76"/>
  <c r="F110" i="66"/>
  <c r="G110" i="66" s="1"/>
  <c r="H110" i="66" s="1"/>
  <c r="B69" i="61"/>
  <c r="G36" i="56"/>
  <c r="H36" i="56"/>
  <c r="F37" i="56"/>
  <c r="H30" i="57"/>
  <c r="G30" i="57"/>
  <c r="F31" i="57"/>
  <c r="T60" i="61"/>
  <c r="U60" i="61" s="1"/>
  <c r="P62" i="61"/>
  <c r="R62" i="61" s="1"/>
  <c r="D63" i="61"/>
  <c r="C63" i="61" s="1"/>
  <c r="E62" i="61"/>
  <c r="F62" i="61" s="1"/>
  <c r="G61" i="61"/>
  <c r="H61" i="61"/>
  <c r="Q61" i="61"/>
  <c r="S61" i="61" s="1"/>
  <c r="H33" i="60"/>
  <c r="F34" i="60"/>
  <c r="F35" i="60" s="1"/>
  <c r="G33" i="60"/>
  <c r="H30" i="59"/>
  <c r="F31" i="59"/>
  <c r="G30" i="59"/>
  <c r="D34" i="59"/>
  <c r="K33" i="59"/>
  <c r="C33" i="59" s="1"/>
  <c r="D33" i="58"/>
  <c r="K32" i="58"/>
  <c r="F33" i="58"/>
  <c r="H32" i="58"/>
  <c r="G32" i="58"/>
  <c r="D34" i="57"/>
  <c r="K33" i="57"/>
  <c r="C33" i="57" s="1"/>
  <c r="G33" i="54"/>
  <c r="F34" i="54"/>
  <c r="H33" i="54"/>
  <c r="J80" i="44"/>
  <c r="C80" i="44" s="1"/>
  <c r="J175" i="44"/>
  <c r="C175" i="44" s="1"/>
  <c r="I178" i="44"/>
  <c r="J81" i="44"/>
  <c r="C81" i="44" s="1"/>
  <c r="I83" i="44"/>
  <c r="H153" i="42" l="1"/>
  <c r="G153" i="42"/>
  <c r="R46" i="48"/>
  <c r="T46" i="48" s="1"/>
  <c r="T45" i="48"/>
  <c r="K154" i="42"/>
  <c r="C154" i="42" s="1"/>
  <c r="D155" i="42"/>
  <c r="E154" i="42"/>
  <c r="F154" i="42" s="1"/>
  <c r="S45" i="48"/>
  <c r="U44" i="48"/>
  <c r="V44" i="48" s="1"/>
  <c r="J58" i="50"/>
  <c r="C58" i="50" s="1"/>
  <c r="C57" i="50"/>
  <c r="D142" i="48"/>
  <c r="K141" i="48"/>
  <c r="C141" i="48" s="1"/>
  <c r="E141" i="48"/>
  <c r="F141" i="48" s="1"/>
  <c r="G140" i="48"/>
  <c r="H140" i="48"/>
  <c r="H35" i="53"/>
  <c r="F36" i="53"/>
  <c r="G35" i="53"/>
  <c r="H35" i="60"/>
  <c r="F36" i="60"/>
  <c r="G35" i="60"/>
  <c r="G111" i="76"/>
  <c r="H111" i="76"/>
  <c r="K35" i="49"/>
  <c r="P34" i="49"/>
  <c r="N34" i="41"/>
  <c r="X33" i="41"/>
  <c r="D114" i="78"/>
  <c r="E113" i="78"/>
  <c r="H114" i="78" s="1"/>
  <c r="K108" i="76"/>
  <c r="D109" i="76"/>
  <c r="D399" i="78"/>
  <c r="E398" i="78"/>
  <c r="H399" i="78" s="1"/>
  <c r="E256" i="78"/>
  <c r="H257" i="78" s="1"/>
  <c r="D257" i="78"/>
  <c r="F112" i="76"/>
  <c r="F111" i="66"/>
  <c r="G111" i="66" s="1"/>
  <c r="H111" i="66" s="1"/>
  <c r="B70" i="61"/>
  <c r="F38" i="56"/>
  <c r="G37" i="56"/>
  <c r="H37" i="56"/>
  <c r="F32" i="57"/>
  <c r="G31" i="57"/>
  <c r="H31" i="57"/>
  <c r="T61" i="61"/>
  <c r="U61" i="61" s="1"/>
  <c r="H62" i="61"/>
  <c r="G62" i="61"/>
  <c r="P63" i="61"/>
  <c r="R63" i="61" s="1"/>
  <c r="D64" i="61"/>
  <c r="C64" i="61" s="1"/>
  <c r="E63" i="61"/>
  <c r="F63" i="61" s="1"/>
  <c r="Q62" i="61"/>
  <c r="S62" i="61" s="1"/>
  <c r="H34" i="60"/>
  <c r="G34" i="60"/>
  <c r="G31" i="59"/>
  <c r="H31" i="59"/>
  <c r="F32" i="59"/>
  <c r="D35" i="59"/>
  <c r="K34" i="59"/>
  <c r="C34" i="59" s="1"/>
  <c r="D34" i="58"/>
  <c r="K33" i="58"/>
  <c r="F34" i="58"/>
  <c r="G33" i="58"/>
  <c r="H33" i="58"/>
  <c r="D35" i="57"/>
  <c r="K34" i="57"/>
  <c r="C34" i="57" s="1"/>
  <c r="G34" i="54"/>
  <c r="H34" i="54"/>
  <c r="J176" i="44"/>
  <c r="C176" i="44" s="1"/>
  <c r="I84" i="44"/>
  <c r="I179" i="44"/>
  <c r="S46" i="48" l="1"/>
  <c r="U45" i="48"/>
  <c r="V45" i="48" s="1"/>
  <c r="G154" i="42"/>
  <c r="H154" i="42"/>
  <c r="E155" i="42"/>
  <c r="F155" i="42" s="1"/>
  <c r="K155" i="42"/>
  <c r="C155" i="42" s="1"/>
  <c r="D156" i="42"/>
  <c r="D143" i="48"/>
  <c r="E142" i="48"/>
  <c r="F142" i="48" s="1"/>
  <c r="K142" i="48"/>
  <c r="C142" i="48" s="1"/>
  <c r="H141" i="48"/>
  <c r="G141" i="48"/>
  <c r="H36" i="53"/>
  <c r="F37" i="53"/>
  <c r="G36" i="53"/>
  <c r="H112" i="76"/>
  <c r="G112" i="76"/>
  <c r="G36" i="60"/>
  <c r="H36" i="60"/>
  <c r="F37" i="60"/>
  <c r="K36" i="49"/>
  <c r="P35" i="49"/>
  <c r="N35" i="41"/>
  <c r="X34" i="41"/>
  <c r="D110" i="76"/>
  <c r="K109" i="76"/>
  <c r="D115" i="78"/>
  <c r="E114" i="78"/>
  <c r="H115" i="78" s="1"/>
  <c r="D400" i="78"/>
  <c r="E399" i="78"/>
  <c r="H400" i="78" s="1"/>
  <c r="E257" i="78"/>
  <c r="H258" i="78" s="1"/>
  <c r="D258" i="78"/>
  <c r="F113" i="76"/>
  <c r="F112" i="66"/>
  <c r="G112" i="66" s="1"/>
  <c r="H112" i="66" s="1"/>
  <c r="B71" i="61"/>
  <c r="G38" i="56"/>
  <c r="F39" i="56"/>
  <c r="H38" i="56"/>
  <c r="F33" i="57"/>
  <c r="G32" i="57"/>
  <c r="H32" i="57"/>
  <c r="P64" i="61"/>
  <c r="R64" i="61" s="1"/>
  <c r="D65" i="61"/>
  <c r="C65" i="61" s="1"/>
  <c r="E64" i="61"/>
  <c r="F64" i="61" s="1"/>
  <c r="T62" i="61"/>
  <c r="U62" i="61" s="1"/>
  <c r="Q63" i="61"/>
  <c r="S63" i="61" s="1"/>
  <c r="H63" i="61"/>
  <c r="G63" i="61"/>
  <c r="G32" i="59"/>
  <c r="F33" i="59"/>
  <c r="H32" i="59"/>
  <c r="K35" i="59"/>
  <c r="C35" i="59" s="1"/>
  <c r="D36" i="59"/>
  <c r="K34" i="58"/>
  <c r="H34" i="58"/>
  <c r="G34" i="58"/>
  <c r="D36" i="57"/>
  <c r="K35" i="57"/>
  <c r="C35" i="57" s="1"/>
  <c r="I180" i="44"/>
  <c r="J82" i="44"/>
  <c r="C82" i="44" s="1"/>
  <c r="I85" i="44"/>
  <c r="J177" i="44"/>
  <c r="C177" i="44" s="1"/>
  <c r="S143" i="48" l="1"/>
  <c r="E156" i="42"/>
  <c r="F156" i="42" s="1"/>
  <c r="D157" i="42"/>
  <c r="K156" i="42"/>
  <c r="C156" i="42" s="1"/>
  <c r="U46" i="48"/>
  <c r="V46" i="48" s="1"/>
  <c r="R47" i="48"/>
  <c r="H155" i="42"/>
  <c r="G155" i="42"/>
  <c r="H142" i="48"/>
  <c r="G142" i="48"/>
  <c r="D144" i="48"/>
  <c r="E143" i="48"/>
  <c r="F143" i="48" s="1"/>
  <c r="U143" i="48"/>
  <c r="K143" i="48"/>
  <c r="C143" i="48" s="1"/>
  <c r="F38" i="60"/>
  <c r="H37" i="60"/>
  <c r="G37" i="60"/>
  <c r="G37" i="53"/>
  <c r="H37" i="53"/>
  <c r="F38" i="53"/>
  <c r="G113" i="76"/>
  <c r="H113" i="76"/>
  <c r="K37" i="49"/>
  <c r="P36" i="49"/>
  <c r="N36" i="41"/>
  <c r="X35" i="41"/>
  <c r="D116" i="78"/>
  <c r="E115" i="78"/>
  <c r="H116" i="78" s="1"/>
  <c r="D111" i="76"/>
  <c r="K110" i="76"/>
  <c r="D401" i="78"/>
  <c r="E400" i="78"/>
  <c r="H401" i="78" s="1"/>
  <c r="D259" i="78"/>
  <c r="E258" i="78"/>
  <c r="H259" i="78" s="1"/>
  <c r="F114" i="76"/>
  <c r="F113" i="66"/>
  <c r="G113" i="66" s="1"/>
  <c r="H113" i="66" s="1"/>
  <c r="B72" i="61"/>
  <c r="G39" i="56"/>
  <c r="H39" i="56"/>
  <c r="F40" i="56"/>
  <c r="H33" i="57"/>
  <c r="F34" i="57"/>
  <c r="G33" i="57"/>
  <c r="H64" i="61"/>
  <c r="G64" i="61"/>
  <c r="P65" i="61"/>
  <c r="R65" i="61" s="1"/>
  <c r="D66" i="61"/>
  <c r="C66" i="61" s="1"/>
  <c r="E65" i="61"/>
  <c r="F65" i="61" s="1"/>
  <c r="T63" i="61"/>
  <c r="U63" i="61" s="1"/>
  <c r="Q64" i="61"/>
  <c r="S64" i="61" s="1"/>
  <c r="H33" i="59"/>
  <c r="F34" i="59"/>
  <c r="G33" i="59"/>
  <c r="D37" i="59"/>
  <c r="K36" i="59"/>
  <c r="C36" i="59" s="1"/>
  <c r="D37" i="57"/>
  <c r="K36" i="57"/>
  <c r="C36" i="57" s="1"/>
  <c r="J83" i="44"/>
  <c r="C83" i="44" s="1"/>
  <c r="J178" i="44"/>
  <c r="C178" i="44" s="1"/>
  <c r="I86" i="44"/>
  <c r="I181" i="44"/>
  <c r="J179" i="44"/>
  <c r="C179" i="44" s="1"/>
  <c r="C37" i="57" l="1"/>
  <c r="K157" i="42"/>
  <c r="C157" i="42" s="1"/>
  <c r="E157" i="42"/>
  <c r="F157" i="42" s="1"/>
  <c r="D158" i="42"/>
  <c r="H156" i="42"/>
  <c r="G156" i="42"/>
  <c r="S144" i="48"/>
  <c r="U144" i="48" s="1"/>
  <c r="S47" i="48"/>
  <c r="T47" i="48"/>
  <c r="R48" i="48"/>
  <c r="G143" i="48"/>
  <c r="H143" i="48"/>
  <c r="D145" i="48"/>
  <c r="K144" i="48"/>
  <c r="C144" i="48" s="1"/>
  <c r="E144" i="48"/>
  <c r="F144" i="48" s="1"/>
  <c r="H38" i="53"/>
  <c r="F39" i="53"/>
  <c r="G38" i="53"/>
  <c r="H114" i="76"/>
  <c r="G114" i="76"/>
  <c r="G38" i="60"/>
  <c r="F39" i="60"/>
  <c r="H38" i="60"/>
  <c r="K38" i="49"/>
  <c r="P37" i="49"/>
  <c r="N37" i="41"/>
  <c r="X36" i="41"/>
  <c r="K111" i="76"/>
  <c r="D112" i="76"/>
  <c r="D117" i="78"/>
  <c r="E116" i="78"/>
  <c r="H117" i="78" s="1"/>
  <c r="D402" i="78"/>
  <c r="E401" i="78"/>
  <c r="H402" i="78" s="1"/>
  <c r="E259" i="78"/>
  <c r="H260" i="78" s="1"/>
  <c r="D260" i="78"/>
  <c r="F115" i="76"/>
  <c r="F114" i="66"/>
  <c r="G114" i="66" s="1"/>
  <c r="H114" i="66" s="1"/>
  <c r="B73" i="61"/>
  <c r="F41" i="56"/>
  <c r="G40" i="56"/>
  <c r="H40" i="56"/>
  <c r="H34" i="57"/>
  <c r="F35" i="57"/>
  <c r="G34" i="57"/>
  <c r="P66" i="61"/>
  <c r="R66" i="61" s="1"/>
  <c r="D67" i="61"/>
  <c r="C67" i="61" s="1"/>
  <c r="E66" i="61"/>
  <c r="F66" i="61" s="1"/>
  <c r="T64" i="61"/>
  <c r="U64" i="61" s="1"/>
  <c r="Q65" i="61"/>
  <c r="S65" i="61" s="1"/>
  <c r="G65" i="61"/>
  <c r="H65" i="61"/>
  <c r="H34" i="59"/>
  <c r="G34" i="59"/>
  <c r="F35" i="59"/>
  <c r="K37" i="59"/>
  <c r="C37" i="59" s="1"/>
  <c r="D38" i="59"/>
  <c r="D38" i="57"/>
  <c r="K37" i="57"/>
  <c r="J84" i="44"/>
  <c r="C84" i="44" s="1"/>
  <c r="I182" i="44"/>
  <c r="I87" i="44"/>
  <c r="E158" i="42" l="1"/>
  <c r="F158" i="42" s="1"/>
  <c r="K158" i="42"/>
  <c r="C158" i="42" s="1"/>
  <c r="D159" i="42"/>
  <c r="R49" i="48"/>
  <c r="T48" i="48"/>
  <c r="G157" i="42"/>
  <c r="H157" i="42"/>
  <c r="S145" i="48"/>
  <c r="S48" i="48"/>
  <c r="U47" i="48"/>
  <c r="V47" i="48" s="1"/>
  <c r="G144" i="48"/>
  <c r="H144" i="48"/>
  <c r="D146" i="48"/>
  <c r="K145" i="48"/>
  <c r="C145" i="48" s="1"/>
  <c r="U145" i="48"/>
  <c r="E145" i="48"/>
  <c r="F145" i="48" s="1"/>
  <c r="F40" i="60"/>
  <c r="H39" i="60"/>
  <c r="G39" i="60"/>
  <c r="F40" i="53"/>
  <c r="H39" i="53"/>
  <c r="G39" i="53"/>
  <c r="G115" i="76"/>
  <c r="H115" i="76"/>
  <c r="K39" i="49"/>
  <c r="P38" i="49"/>
  <c r="N38" i="41"/>
  <c r="X37" i="41"/>
  <c r="D118" i="78"/>
  <c r="E117" i="78"/>
  <c r="H118" i="78" s="1"/>
  <c r="K112" i="76"/>
  <c r="D113" i="76"/>
  <c r="D403" i="78"/>
  <c r="E402" i="78"/>
  <c r="H403" i="78" s="1"/>
  <c r="E260" i="78"/>
  <c r="H261" i="78" s="1"/>
  <c r="D261" i="78"/>
  <c r="F116" i="76"/>
  <c r="F115" i="66"/>
  <c r="G115" i="66" s="1"/>
  <c r="H115" i="66" s="1"/>
  <c r="B74" i="61"/>
  <c r="H41" i="56"/>
  <c r="F42" i="56"/>
  <c r="G41" i="56"/>
  <c r="G35" i="57"/>
  <c r="H35" i="57"/>
  <c r="F36" i="57"/>
  <c r="T65" i="61"/>
  <c r="U65" i="61" s="1"/>
  <c r="P67" i="61"/>
  <c r="R67" i="61" s="1"/>
  <c r="D68" i="61"/>
  <c r="C68" i="61" s="1"/>
  <c r="E67" i="61"/>
  <c r="F67" i="61" s="1"/>
  <c r="Q66" i="61"/>
  <c r="S66" i="61" s="1"/>
  <c r="G66" i="61"/>
  <c r="H66" i="61"/>
  <c r="G35" i="59"/>
  <c r="F36" i="59"/>
  <c r="H35" i="59"/>
  <c r="D39" i="59"/>
  <c r="K38" i="59"/>
  <c r="C38" i="59" s="1"/>
  <c r="D39" i="57"/>
  <c r="K38" i="57"/>
  <c r="C38" i="57" s="1"/>
  <c r="J85" i="44"/>
  <c r="C85" i="44" s="1"/>
  <c r="J180" i="44"/>
  <c r="C180" i="44" s="1"/>
  <c r="I88" i="44"/>
  <c r="I183" i="44"/>
  <c r="C159" i="42" l="1"/>
  <c r="E159" i="42"/>
  <c r="F159" i="42" s="1"/>
  <c r="D160" i="42"/>
  <c r="K159" i="42"/>
  <c r="G158" i="42"/>
  <c r="H158" i="42"/>
  <c r="S146" i="48"/>
  <c r="T49" i="48"/>
  <c r="R50" i="48"/>
  <c r="S49" i="48"/>
  <c r="U48" i="48"/>
  <c r="V48" i="48" s="1"/>
  <c r="U146" i="48"/>
  <c r="E146" i="48"/>
  <c r="F146" i="48" s="1"/>
  <c r="D147" i="48"/>
  <c r="K146" i="48"/>
  <c r="C146" i="48" s="1"/>
  <c r="G145" i="48"/>
  <c r="H145" i="48"/>
  <c r="F41" i="53"/>
  <c r="G40" i="53"/>
  <c r="H40" i="53"/>
  <c r="H116" i="76"/>
  <c r="G116" i="76"/>
  <c r="G40" i="60"/>
  <c r="F41" i="60"/>
  <c r="H40" i="60"/>
  <c r="K40" i="49"/>
  <c r="P39" i="49"/>
  <c r="N39" i="41"/>
  <c r="X38" i="41"/>
  <c r="D114" i="76"/>
  <c r="K113" i="76"/>
  <c r="D119" i="78"/>
  <c r="E118" i="78"/>
  <c r="H119" i="78" s="1"/>
  <c r="D404" i="78"/>
  <c r="E403" i="78"/>
  <c r="H404" i="78" s="1"/>
  <c r="D262" i="78"/>
  <c r="E261" i="78"/>
  <c r="H262" i="78" s="1"/>
  <c r="F117" i="76"/>
  <c r="F116" i="66"/>
  <c r="G116" i="66" s="1"/>
  <c r="H116" i="66" s="1"/>
  <c r="B75" i="61"/>
  <c r="F43" i="56"/>
  <c r="H42" i="56"/>
  <c r="G42" i="56"/>
  <c r="G36" i="57"/>
  <c r="H36" i="57"/>
  <c r="F37" i="57"/>
  <c r="T66" i="61"/>
  <c r="U66" i="61" s="1"/>
  <c r="G67" i="61"/>
  <c r="H67" i="61"/>
  <c r="P68" i="61"/>
  <c r="R68" i="61" s="1"/>
  <c r="D69" i="61"/>
  <c r="C69" i="61" s="1"/>
  <c r="E68" i="61"/>
  <c r="F68" i="61" s="1"/>
  <c r="Q67" i="61"/>
  <c r="S67" i="61" s="1"/>
  <c r="G36" i="59"/>
  <c r="H36" i="59"/>
  <c r="F37" i="59"/>
  <c r="D40" i="59"/>
  <c r="K39" i="59"/>
  <c r="C39" i="59" s="1"/>
  <c r="D40" i="57"/>
  <c r="K39" i="57"/>
  <c r="C39" i="57" s="1"/>
  <c r="J86" i="44"/>
  <c r="C86" i="44" s="1"/>
  <c r="J181" i="44"/>
  <c r="C181" i="44" s="1"/>
  <c r="I89" i="44"/>
  <c r="I184" i="44"/>
  <c r="D161" i="42" l="1"/>
  <c r="K160" i="42"/>
  <c r="C160" i="42" s="1"/>
  <c r="E160" i="42"/>
  <c r="F160" i="42" s="1"/>
  <c r="S147" i="48"/>
  <c r="U147" i="48" s="1"/>
  <c r="T50" i="48"/>
  <c r="R51" i="48"/>
  <c r="G159" i="42"/>
  <c r="H159" i="42"/>
  <c r="S50" i="48"/>
  <c r="U49" i="48"/>
  <c r="V49" i="48" s="1"/>
  <c r="D148" i="48"/>
  <c r="K147" i="48"/>
  <c r="C147" i="48" s="1"/>
  <c r="E147" i="48"/>
  <c r="F147" i="48" s="1"/>
  <c r="H146" i="48"/>
  <c r="G146" i="48"/>
  <c r="F42" i="60"/>
  <c r="H41" i="60"/>
  <c r="G41" i="60"/>
  <c r="G117" i="76"/>
  <c r="H117" i="76"/>
  <c r="F42" i="53"/>
  <c r="H41" i="53"/>
  <c r="G41" i="53"/>
  <c r="K41" i="49"/>
  <c r="P40" i="49"/>
  <c r="N40" i="41"/>
  <c r="X39" i="41"/>
  <c r="D120" i="78"/>
  <c r="E119" i="78"/>
  <c r="H120" i="78" s="1"/>
  <c r="K114" i="76"/>
  <c r="D115" i="76"/>
  <c r="D405" i="78"/>
  <c r="E404" i="78"/>
  <c r="H405" i="78" s="1"/>
  <c r="D263" i="78"/>
  <c r="E262" i="78"/>
  <c r="H263" i="78" s="1"/>
  <c r="F118" i="76"/>
  <c r="F117" i="66"/>
  <c r="G117" i="66" s="1"/>
  <c r="H117" i="66" s="1"/>
  <c r="B76" i="61"/>
  <c r="F44" i="56"/>
  <c r="H43" i="56"/>
  <c r="G43" i="56"/>
  <c r="H37" i="57"/>
  <c r="F38" i="57"/>
  <c r="G37" i="57"/>
  <c r="T67" i="61"/>
  <c r="U67" i="61" s="1"/>
  <c r="P69" i="61"/>
  <c r="R69" i="61" s="1"/>
  <c r="D70" i="61"/>
  <c r="C70" i="61" s="1"/>
  <c r="E69" i="61"/>
  <c r="F69" i="61" s="1"/>
  <c r="Q68" i="61"/>
  <c r="S68" i="61" s="1"/>
  <c r="H68" i="61"/>
  <c r="G68" i="61"/>
  <c r="F38" i="59"/>
  <c r="H37" i="59"/>
  <c r="G37" i="59"/>
  <c r="D41" i="59"/>
  <c r="K40" i="59"/>
  <c r="C40" i="59" s="1"/>
  <c r="D41" i="57"/>
  <c r="K40" i="57"/>
  <c r="C40" i="57" s="1"/>
  <c r="J182" i="44"/>
  <c r="C182" i="44" s="1"/>
  <c r="I90" i="44"/>
  <c r="I185" i="44"/>
  <c r="J87" i="44"/>
  <c r="C87" i="44" s="1"/>
  <c r="S51" i="48" l="1"/>
  <c r="U50" i="48"/>
  <c r="V50" i="48" s="1"/>
  <c r="G160" i="42"/>
  <c r="H160" i="42"/>
  <c r="C161" i="42"/>
  <c r="D162" i="42"/>
  <c r="E161" i="42"/>
  <c r="F161" i="42" s="1"/>
  <c r="K161" i="42"/>
  <c r="C41" i="57"/>
  <c r="S148" i="48"/>
  <c r="T51" i="48"/>
  <c r="R52" i="48"/>
  <c r="G147" i="48"/>
  <c r="H147" i="48"/>
  <c r="D149" i="48"/>
  <c r="U148" i="48"/>
  <c r="E148" i="48"/>
  <c r="F148" i="48" s="1"/>
  <c r="K148" i="48"/>
  <c r="C148" i="48" s="1"/>
  <c r="H42" i="53"/>
  <c r="G42" i="53"/>
  <c r="F43" i="53"/>
  <c r="H118" i="76"/>
  <c r="G118" i="76"/>
  <c r="F43" i="60"/>
  <c r="H42" i="60"/>
  <c r="G42" i="60"/>
  <c r="K42" i="49"/>
  <c r="P41" i="49"/>
  <c r="N41" i="41"/>
  <c r="X40" i="41"/>
  <c r="K115" i="76"/>
  <c r="D116" i="76"/>
  <c r="D121" i="78"/>
  <c r="E120" i="78"/>
  <c r="H121" i="78" s="1"/>
  <c r="D406" i="78"/>
  <c r="E405" i="78"/>
  <c r="H406" i="78" s="1"/>
  <c r="E263" i="78"/>
  <c r="H264" i="78" s="1"/>
  <c r="D264" i="78"/>
  <c r="F118" i="66"/>
  <c r="G118" i="66" s="1"/>
  <c r="H118" i="66" s="1"/>
  <c r="B77" i="61"/>
  <c r="H44" i="56"/>
  <c r="G44" i="56"/>
  <c r="F45" i="56"/>
  <c r="G38" i="57"/>
  <c r="F39" i="57"/>
  <c r="H38" i="57"/>
  <c r="T68" i="61"/>
  <c r="U68" i="61" s="1"/>
  <c r="P70" i="61"/>
  <c r="R70" i="61" s="1"/>
  <c r="E70" i="61"/>
  <c r="F70" i="61" s="1"/>
  <c r="D71" i="61"/>
  <c r="C71" i="61" s="1"/>
  <c r="Q69" i="61"/>
  <c r="S69" i="61" s="1"/>
  <c r="H69" i="61"/>
  <c r="G69" i="61"/>
  <c r="F39" i="59"/>
  <c r="H38" i="59"/>
  <c r="G38" i="59"/>
  <c r="D42" i="59"/>
  <c r="K41" i="59"/>
  <c r="C41" i="59" s="1"/>
  <c r="K41" i="57"/>
  <c r="D42" i="57"/>
  <c r="J183" i="44"/>
  <c r="C183" i="44" s="1"/>
  <c r="J88" i="44"/>
  <c r="C88" i="44" s="1"/>
  <c r="I91" i="44"/>
  <c r="I186" i="44"/>
  <c r="J184" i="44"/>
  <c r="C184" i="44" s="1"/>
  <c r="C42" i="59" l="1"/>
  <c r="R53" i="48"/>
  <c r="T52" i="48"/>
  <c r="S149" i="48"/>
  <c r="S52" i="48"/>
  <c r="U51" i="48"/>
  <c r="V51" i="48" s="1"/>
  <c r="C42" i="57"/>
  <c r="G161" i="42"/>
  <c r="H161" i="42"/>
  <c r="C162" i="42"/>
  <c r="D163" i="42"/>
  <c r="K162" i="42"/>
  <c r="E162" i="42"/>
  <c r="F162" i="42" s="1"/>
  <c r="D150" i="48"/>
  <c r="U149" i="48"/>
  <c r="E149" i="48"/>
  <c r="F149" i="48" s="1"/>
  <c r="K149" i="48"/>
  <c r="C149" i="48" s="1"/>
  <c r="H148" i="48"/>
  <c r="G148" i="48"/>
  <c r="F44" i="53"/>
  <c r="H43" i="53"/>
  <c r="G43" i="53"/>
  <c r="G43" i="60"/>
  <c r="F44" i="60"/>
  <c r="H43" i="60"/>
  <c r="K43" i="49"/>
  <c r="P42" i="49"/>
  <c r="N42" i="41"/>
  <c r="X41" i="41"/>
  <c r="D122" i="78"/>
  <c r="E121" i="78"/>
  <c r="H122" i="78" s="1"/>
  <c r="K116" i="76"/>
  <c r="D117" i="76"/>
  <c r="D407" i="78"/>
  <c r="E406" i="78"/>
  <c r="H407" i="78" s="1"/>
  <c r="D265" i="78"/>
  <c r="E264" i="78"/>
  <c r="H265" i="78" s="1"/>
  <c r="F119" i="66"/>
  <c r="G119" i="66" s="1"/>
  <c r="H119" i="66" s="1"/>
  <c r="B78" i="61"/>
  <c r="G45" i="56"/>
  <c r="F46" i="56"/>
  <c r="F47" i="56" s="1"/>
  <c r="H45" i="56"/>
  <c r="H39" i="57"/>
  <c r="F40" i="57"/>
  <c r="G39" i="57"/>
  <c r="Q70" i="61"/>
  <c r="S70" i="61" s="1"/>
  <c r="T69" i="61"/>
  <c r="U69" i="61" s="1"/>
  <c r="G70" i="61"/>
  <c r="H70" i="61"/>
  <c r="P71" i="61"/>
  <c r="R71" i="61" s="1"/>
  <c r="E71" i="61"/>
  <c r="F71" i="61" s="1"/>
  <c r="D72" i="61"/>
  <c r="C72" i="61" s="1"/>
  <c r="H39" i="59"/>
  <c r="G39" i="59"/>
  <c r="F40" i="59"/>
  <c r="D43" i="59"/>
  <c r="K42" i="59"/>
  <c r="D43" i="57"/>
  <c r="K42" i="57"/>
  <c r="J89" i="44"/>
  <c r="C89" i="44" s="1"/>
  <c r="I187" i="44"/>
  <c r="I92" i="44"/>
  <c r="G162" i="42" l="1"/>
  <c r="H162" i="42"/>
  <c r="S53" i="48"/>
  <c r="U52" i="48"/>
  <c r="V52" i="48" s="1"/>
  <c r="C163" i="42"/>
  <c r="K163" i="42"/>
  <c r="D164" i="42"/>
  <c r="E163" i="42"/>
  <c r="F163" i="42" s="1"/>
  <c r="T53" i="48"/>
  <c r="R54" i="48"/>
  <c r="C150" i="48"/>
  <c r="S150" i="48"/>
  <c r="U150" i="48" s="1"/>
  <c r="H149" i="48"/>
  <c r="G149" i="48"/>
  <c r="K150" i="48"/>
  <c r="D151" i="48"/>
  <c r="E150" i="48"/>
  <c r="F150" i="48" s="1"/>
  <c r="H44" i="60"/>
  <c r="G44" i="60"/>
  <c r="F45" i="60"/>
  <c r="G44" i="53"/>
  <c r="H44" i="53"/>
  <c r="F45" i="53"/>
  <c r="K44" i="49"/>
  <c r="P43" i="49"/>
  <c r="N43" i="41"/>
  <c r="X42" i="41"/>
  <c r="K117" i="76"/>
  <c r="D118" i="76"/>
  <c r="K118" i="76" s="1"/>
  <c r="D123" i="78"/>
  <c r="E122" i="78"/>
  <c r="H123" i="78" s="1"/>
  <c r="D408" i="78"/>
  <c r="E407" i="78"/>
  <c r="H408" i="78" s="1"/>
  <c r="D266" i="78"/>
  <c r="E265" i="78"/>
  <c r="H266" i="78" s="1"/>
  <c r="F120" i="66"/>
  <c r="G120" i="66" s="1"/>
  <c r="H120" i="66" s="1"/>
  <c r="B79" i="61"/>
  <c r="H47" i="56"/>
  <c r="G47" i="56"/>
  <c r="F48" i="56"/>
  <c r="G46" i="56"/>
  <c r="H46" i="56"/>
  <c r="H40" i="57"/>
  <c r="F41" i="57"/>
  <c r="G40" i="57"/>
  <c r="T70" i="61"/>
  <c r="U70" i="61" s="1"/>
  <c r="P72" i="61"/>
  <c r="R72" i="61" s="1"/>
  <c r="E72" i="61"/>
  <c r="F72" i="61" s="1"/>
  <c r="D73" i="61"/>
  <c r="C73" i="61" s="1"/>
  <c r="Q71" i="61"/>
  <c r="S71" i="61" s="1"/>
  <c r="G71" i="61"/>
  <c r="H71" i="61"/>
  <c r="H40" i="59"/>
  <c r="G40" i="59"/>
  <c r="F41" i="59"/>
  <c r="D44" i="59"/>
  <c r="K43" i="59"/>
  <c r="C43" i="59" s="1"/>
  <c r="K43" i="57"/>
  <c r="C43" i="57" s="1"/>
  <c r="D44" i="57"/>
  <c r="J186" i="44"/>
  <c r="C186" i="44" s="1"/>
  <c r="I188" i="44"/>
  <c r="I93" i="44"/>
  <c r="J90" i="44"/>
  <c r="C90" i="44" s="1"/>
  <c r="J185" i="44"/>
  <c r="C185" i="44" s="1"/>
  <c r="R55" i="48" l="1"/>
  <c r="T54" i="48"/>
  <c r="S151" i="48"/>
  <c r="S54" i="48"/>
  <c r="U53" i="48"/>
  <c r="V53" i="48" s="1"/>
  <c r="H163" i="42"/>
  <c r="G163" i="42"/>
  <c r="E164" i="42"/>
  <c r="F164" i="42" s="1"/>
  <c r="D165" i="42"/>
  <c r="K164" i="42"/>
  <c r="C164" i="42" s="1"/>
  <c r="G150" i="48"/>
  <c r="H150" i="48"/>
  <c r="D152" i="48"/>
  <c r="K151" i="48"/>
  <c r="C151" i="48" s="1"/>
  <c r="E151" i="48"/>
  <c r="F151" i="48" s="1"/>
  <c r="U151" i="48"/>
  <c r="F46" i="60"/>
  <c r="H45" i="60"/>
  <c r="G45" i="60"/>
  <c r="H45" i="53"/>
  <c r="G45" i="53"/>
  <c r="F46" i="53"/>
  <c r="K45" i="49"/>
  <c r="P44" i="49"/>
  <c r="N44" i="41"/>
  <c r="X43" i="41"/>
  <c r="D124" i="78"/>
  <c r="E123" i="78"/>
  <c r="H124" i="78" s="1"/>
  <c r="E408" i="78"/>
  <c r="H409" i="78" s="1"/>
  <c r="D409" i="78"/>
  <c r="D267" i="78"/>
  <c r="E266" i="78"/>
  <c r="H267" i="78" s="1"/>
  <c r="F121" i="66"/>
  <c r="G121" i="66" s="1"/>
  <c r="H121" i="66" s="1"/>
  <c r="B80" i="61"/>
  <c r="F49" i="56"/>
  <c r="H48" i="56"/>
  <c r="G48" i="56"/>
  <c r="F42" i="57"/>
  <c r="G41" i="57"/>
  <c r="H41" i="57"/>
  <c r="T71" i="61"/>
  <c r="U71" i="61" s="1"/>
  <c r="P73" i="61"/>
  <c r="R73" i="61" s="1"/>
  <c r="D74" i="61"/>
  <c r="C74" i="61" s="1"/>
  <c r="E73" i="61"/>
  <c r="F73" i="61" s="1"/>
  <c r="Q72" i="61"/>
  <c r="S72" i="61" s="1"/>
  <c r="H72" i="61"/>
  <c r="G72" i="61"/>
  <c r="F42" i="59"/>
  <c r="H41" i="59"/>
  <c r="G41" i="59"/>
  <c r="D45" i="59"/>
  <c r="K44" i="59"/>
  <c r="C44" i="59" s="1"/>
  <c r="K44" i="57"/>
  <c r="C44" i="57" s="1"/>
  <c r="D45" i="57"/>
  <c r="J91" i="44"/>
  <c r="C91" i="44" s="1"/>
  <c r="I94" i="44"/>
  <c r="J92" i="44"/>
  <c r="C92" i="44" s="1"/>
  <c r="I189" i="44"/>
  <c r="S55" i="48" l="1"/>
  <c r="U54" i="48"/>
  <c r="V54" i="48" s="1"/>
  <c r="E165" i="42"/>
  <c r="F165" i="42" s="1"/>
  <c r="D166" i="42"/>
  <c r="K165" i="42"/>
  <c r="C165" i="42" s="1"/>
  <c r="H164" i="42"/>
  <c r="G164" i="42"/>
  <c r="S152" i="48"/>
  <c r="T55" i="48"/>
  <c r="R56" i="48"/>
  <c r="H151" i="48"/>
  <c r="G151" i="48"/>
  <c r="E152" i="48"/>
  <c r="F152" i="48" s="1"/>
  <c r="K152" i="48"/>
  <c r="C152" i="48" s="1"/>
  <c r="D153" i="48"/>
  <c r="U152" i="48"/>
  <c r="H46" i="53"/>
  <c r="G46" i="53"/>
  <c r="F47" i="53"/>
  <c r="G46" i="60"/>
  <c r="F47" i="60"/>
  <c r="H46" i="60"/>
  <c r="K46" i="49"/>
  <c r="P46" i="49" s="1"/>
  <c r="P45" i="49"/>
  <c r="N45" i="41"/>
  <c r="X44" i="41"/>
  <c r="D125" i="78"/>
  <c r="E124" i="78"/>
  <c r="H125" i="78" s="1"/>
  <c r="D410" i="78"/>
  <c r="E409" i="78"/>
  <c r="H410" i="78" s="1"/>
  <c r="E267" i="78"/>
  <c r="H268" i="78" s="1"/>
  <c r="D268" i="78"/>
  <c r="F122" i="66"/>
  <c r="G122" i="66" s="1"/>
  <c r="H122" i="66" s="1"/>
  <c r="B81" i="61"/>
  <c r="G49" i="56"/>
  <c r="F50" i="56"/>
  <c r="H49" i="56"/>
  <c r="H42" i="57"/>
  <c r="G42" i="57"/>
  <c r="F43" i="57"/>
  <c r="T72" i="61"/>
  <c r="U72" i="61" s="1"/>
  <c r="Q73" i="61"/>
  <c r="S73" i="61" s="1"/>
  <c r="P74" i="61"/>
  <c r="R74" i="61" s="1"/>
  <c r="D75" i="61"/>
  <c r="C75" i="61" s="1"/>
  <c r="E74" i="61"/>
  <c r="F74" i="61" s="1"/>
  <c r="G73" i="61"/>
  <c r="H73" i="61"/>
  <c r="G42" i="59"/>
  <c r="F43" i="59"/>
  <c r="H42" i="59"/>
  <c r="D46" i="59"/>
  <c r="K45" i="59"/>
  <c r="C45" i="59" s="1"/>
  <c r="D46" i="57"/>
  <c r="K45" i="57"/>
  <c r="C45" i="57" s="1"/>
  <c r="J187" i="44"/>
  <c r="C187" i="44" s="1"/>
  <c r="I190" i="44"/>
  <c r="J188" i="44"/>
  <c r="C188" i="44" s="1"/>
  <c r="I95" i="44"/>
  <c r="J93" i="44"/>
  <c r="C93" i="44" s="1"/>
  <c r="T56" i="48" l="1"/>
  <c r="R57" i="48"/>
  <c r="C153" i="48"/>
  <c r="S153" i="48"/>
  <c r="C166" i="42"/>
  <c r="K166" i="42"/>
  <c r="E166" i="42"/>
  <c r="F166" i="42" s="1"/>
  <c r="D167" i="42"/>
  <c r="H165" i="42"/>
  <c r="G165" i="42"/>
  <c r="D47" i="59"/>
  <c r="S56" i="48"/>
  <c r="U55" i="48"/>
  <c r="V55" i="48" s="1"/>
  <c r="K153" i="48"/>
  <c r="E153" i="48"/>
  <c r="F153" i="48" s="1"/>
  <c r="D154" i="48"/>
  <c r="U153" i="48"/>
  <c r="G152" i="48"/>
  <c r="H152" i="48"/>
  <c r="H47" i="53"/>
  <c r="G47" i="53"/>
  <c r="F48" i="53"/>
  <c r="G47" i="60"/>
  <c r="F48" i="60"/>
  <c r="H47" i="60"/>
  <c r="N46" i="41"/>
  <c r="X45" i="41"/>
  <c r="D126" i="78"/>
  <c r="E125" i="78"/>
  <c r="H126" i="78" s="1"/>
  <c r="D411" i="78"/>
  <c r="E410" i="78"/>
  <c r="H411" i="78" s="1"/>
  <c r="E268" i="78"/>
  <c r="H269" i="78" s="1"/>
  <c r="D269" i="78"/>
  <c r="F123" i="66"/>
  <c r="G123" i="66" s="1"/>
  <c r="H123" i="66" s="1"/>
  <c r="B82" i="61"/>
  <c r="G50" i="56"/>
  <c r="F51" i="56"/>
  <c r="H50" i="56"/>
  <c r="H43" i="57"/>
  <c r="G43" i="57"/>
  <c r="F44" i="57"/>
  <c r="T73" i="61"/>
  <c r="U73" i="61" s="1"/>
  <c r="P75" i="61"/>
  <c r="R75" i="61" s="1"/>
  <c r="E75" i="61"/>
  <c r="F75" i="61" s="1"/>
  <c r="D76" i="61"/>
  <c r="C76" i="61" s="1"/>
  <c r="H74" i="61"/>
  <c r="G74" i="61"/>
  <c r="Q74" i="61"/>
  <c r="S74" i="61" s="1"/>
  <c r="F44" i="59"/>
  <c r="H43" i="59"/>
  <c r="G43" i="59"/>
  <c r="K46" i="59"/>
  <c r="C46" i="59" s="1"/>
  <c r="D47" i="57"/>
  <c r="K46" i="57"/>
  <c r="C46" i="57" s="1"/>
  <c r="I191" i="44"/>
  <c r="I96" i="44"/>
  <c r="S57" i="48" l="1"/>
  <c r="U56" i="48"/>
  <c r="V56" i="48" s="1"/>
  <c r="D48" i="59"/>
  <c r="D49" i="59" s="1"/>
  <c r="K167" i="42"/>
  <c r="C167" i="42" s="1"/>
  <c r="D168" i="42"/>
  <c r="E167" i="42"/>
  <c r="F167" i="42" s="1"/>
  <c r="T57" i="48"/>
  <c r="R58" i="48"/>
  <c r="T58" i="48" s="1"/>
  <c r="S154" i="48"/>
  <c r="U154" i="48" s="1"/>
  <c r="K47" i="59"/>
  <c r="C47" i="59" s="1"/>
  <c r="H166" i="42"/>
  <c r="G166" i="42"/>
  <c r="E154" i="48"/>
  <c r="F154" i="48" s="1"/>
  <c r="K154" i="48"/>
  <c r="C154" i="48" s="1"/>
  <c r="G153" i="48"/>
  <c r="H153" i="48"/>
  <c r="H48" i="53"/>
  <c r="G48" i="53"/>
  <c r="F49" i="53"/>
  <c r="G48" i="60"/>
  <c r="F49" i="60"/>
  <c r="H48" i="60"/>
  <c r="N47" i="41"/>
  <c r="X46" i="41"/>
  <c r="D127" i="78"/>
  <c r="E126" i="78"/>
  <c r="H127" i="78" s="1"/>
  <c r="D412" i="78"/>
  <c r="E411" i="78"/>
  <c r="H412" i="78" s="1"/>
  <c r="E269" i="78"/>
  <c r="H270" i="78" s="1"/>
  <c r="D270" i="78"/>
  <c r="F124" i="66"/>
  <c r="G124" i="66" s="1"/>
  <c r="H124" i="66" s="1"/>
  <c r="B83" i="61"/>
  <c r="G51" i="56"/>
  <c r="H51" i="56"/>
  <c r="F52" i="56"/>
  <c r="G44" i="57"/>
  <c r="H44" i="57"/>
  <c r="F45" i="57"/>
  <c r="T74" i="61"/>
  <c r="U74" i="61" s="1"/>
  <c r="Q75" i="61"/>
  <c r="S75" i="61" s="1"/>
  <c r="P76" i="61"/>
  <c r="R76" i="61" s="1"/>
  <c r="E76" i="61"/>
  <c r="F76" i="61" s="1"/>
  <c r="D77" i="61"/>
  <c r="C77" i="61" s="1"/>
  <c r="G75" i="61"/>
  <c r="H75" i="61"/>
  <c r="H44" i="59"/>
  <c r="G44" i="59"/>
  <c r="F45" i="59"/>
  <c r="K47" i="57"/>
  <c r="C47" i="57" s="1"/>
  <c r="D48" i="57"/>
  <c r="J94" i="44"/>
  <c r="C94" i="44" s="1"/>
  <c r="J189" i="44"/>
  <c r="C189" i="44" s="1"/>
  <c r="I97" i="44"/>
  <c r="I192" i="44"/>
  <c r="J190" i="44"/>
  <c r="C190" i="44" s="1"/>
  <c r="K48" i="59" l="1"/>
  <c r="C48" i="59" s="1"/>
  <c r="S58" i="48"/>
  <c r="U57" i="48"/>
  <c r="V57" i="48" s="1"/>
  <c r="H167" i="42"/>
  <c r="G167" i="42"/>
  <c r="E168" i="42"/>
  <c r="F168" i="42" s="1"/>
  <c r="K168" i="42"/>
  <c r="C168" i="42" s="1"/>
  <c r="D169" i="42"/>
  <c r="G154" i="48"/>
  <c r="H154" i="48"/>
  <c r="G49" i="53"/>
  <c r="F50" i="53"/>
  <c r="H49" i="53"/>
  <c r="H49" i="60"/>
  <c r="G49" i="60"/>
  <c r="F50" i="60"/>
  <c r="N48" i="41"/>
  <c r="X47" i="41"/>
  <c r="D128" i="78"/>
  <c r="E127" i="78"/>
  <c r="H128" i="78" s="1"/>
  <c r="D413" i="78"/>
  <c r="E412" i="78"/>
  <c r="H413" i="78" s="1"/>
  <c r="D271" i="78"/>
  <c r="E270" i="78"/>
  <c r="H271" i="78" s="1"/>
  <c r="F125" i="66"/>
  <c r="G125" i="66" s="1"/>
  <c r="H125" i="66" s="1"/>
  <c r="B84" i="61"/>
  <c r="D50" i="59"/>
  <c r="K49" i="59"/>
  <c r="C49" i="59" s="1"/>
  <c r="F53" i="56"/>
  <c r="H52" i="56"/>
  <c r="G52" i="56"/>
  <c r="G45" i="57"/>
  <c r="H45" i="57"/>
  <c r="F46" i="57"/>
  <c r="T75" i="61"/>
  <c r="U75" i="61" s="1"/>
  <c r="G76" i="61"/>
  <c r="H76" i="61"/>
  <c r="P77" i="61"/>
  <c r="R77" i="61" s="1"/>
  <c r="D78" i="61"/>
  <c r="C78" i="61" s="1"/>
  <c r="E77" i="61"/>
  <c r="F77" i="61" s="1"/>
  <c r="Q76" i="61"/>
  <c r="S76" i="61" s="1"/>
  <c r="G45" i="59"/>
  <c r="F46" i="59"/>
  <c r="F47" i="59" s="1"/>
  <c r="H45" i="59"/>
  <c r="D49" i="57"/>
  <c r="K48" i="57"/>
  <c r="C48" i="57" s="1"/>
  <c r="I193" i="44"/>
  <c r="I98" i="44"/>
  <c r="J95" i="44"/>
  <c r="U58" i="48" l="1"/>
  <c r="V58" i="48" s="1"/>
  <c r="R59" i="48"/>
  <c r="H168" i="42"/>
  <c r="G168" i="42"/>
  <c r="C169" i="42"/>
  <c r="D170" i="42"/>
  <c r="E169" i="42"/>
  <c r="F169" i="42" s="1"/>
  <c r="K169" i="42"/>
  <c r="J96" i="44"/>
  <c r="C95" i="44"/>
  <c r="F51" i="60"/>
  <c r="H50" i="60"/>
  <c r="G50" i="60"/>
  <c r="F51" i="53"/>
  <c r="H50" i="53"/>
  <c r="G50" i="53"/>
  <c r="N49" i="41"/>
  <c r="X48" i="41"/>
  <c r="D129" i="78"/>
  <c r="E128" i="78"/>
  <c r="H129" i="78" s="1"/>
  <c r="D414" i="78"/>
  <c r="E413" i="78"/>
  <c r="H414" i="78" s="1"/>
  <c r="D272" i="78"/>
  <c r="E271" i="78"/>
  <c r="H272" i="78" s="1"/>
  <c r="F126" i="66"/>
  <c r="G126" i="66" s="1"/>
  <c r="H126" i="66" s="1"/>
  <c r="B85" i="61"/>
  <c r="G47" i="59"/>
  <c r="F48" i="59"/>
  <c r="H47" i="59"/>
  <c r="D51" i="59"/>
  <c r="K50" i="59"/>
  <c r="C50" i="59" s="1"/>
  <c r="G53" i="56"/>
  <c r="H53" i="56"/>
  <c r="F54" i="56"/>
  <c r="H46" i="57"/>
  <c r="G46" i="57"/>
  <c r="F47" i="57"/>
  <c r="T76" i="61"/>
  <c r="U76" i="61" s="1"/>
  <c r="P78" i="61"/>
  <c r="R78" i="61" s="1"/>
  <c r="E78" i="61"/>
  <c r="F78" i="61" s="1"/>
  <c r="D79" i="61"/>
  <c r="C79" i="61" s="1"/>
  <c r="H77" i="61"/>
  <c r="G77" i="61"/>
  <c r="Q77" i="61"/>
  <c r="S77" i="61" s="1"/>
  <c r="G46" i="59"/>
  <c r="H46" i="59"/>
  <c r="D50" i="57"/>
  <c r="K49" i="57"/>
  <c r="C49" i="57" s="1"/>
  <c r="J191" i="44"/>
  <c r="I99" i="44"/>
  <c r="I194" i="44"/>
  <c r="J97" i="44" l="1"/>
  <c r="C96" i="44"/>
  <c r="S59" i="48"/>
  <c r="T59" i="48"/>
  <c r="R60" i="48"/>
  <c r="H169" i="42"/>
  <c r="G169" i="42"/>
  <c r="J192" i="44"/>
  <c r="C191" i="44"/>
  <c r="C51" i="59"/>
  <c r="D171" i="42"/>
  <c r="E170" i="42"/>
  <c r="F170" i="42" s="1"/>
  <c r="K170" i="42"/>
  <c r="C170" i="42" s="1"/>
  <c r="G51" i="53"/>
  <c r="F52" i="53"/>
  <c r="H51" i="53"/>
  <c r="F52" i="60"/>
  <c r="H51" i="60"/>
  <c r="G51" i="60"/>
  <c r="N50" i="41"/>
  <c r="X49" i="41"/>
  <c r="D130" i="78"/>
  <c r="E129" i="78"/>
  <c r="H130" i="78" s="1"/>
  <c r="D415" i="78"/>
  <c r="E414" i="78"/>
  <c r="H415" i="78" s="1"/>
  <c r="D273" i="78"/>
  <c r="E272" i="78"/>
  <c r="H273" i="78" s="1"/>
  <c r="F127" i="66"/>
  <c r="G127" i="66" s="1"/>
  <c r="H127" i="66" s="1"/>
  <c r="B86" i="61"/>
  <c r="K51" i="59"/>
  <c r="D52" i="59"/>
  <c r="H48" i="59"/>
  <c r="F49" i="59"/>
  <c r="G48" i="59"/>
  <c r="F55" i="56"/>
  <c r="G54" i="56"/>
  <c r="H54" i="56"/>
  <c r="H47" i="57"/>
  <c r="F48" i="57"/>
  <c r="G47" i="57"/>
  <c r="T77" i="61"/>
  <c r="U77" i="61" s="1"/>
  <c r="Q78" i="61"/>
  <c r="S78" i="61" s="1"/>
  <c r="H78" i="61"/>
  <c r="G78" i="61"/>
  <c r="P79" i="61"/>
  <c r="R79" i="61" s="1"/>
  <c r="E79" i="61"/>
  <c r="F79" i="61" s="1"/>
  <c r="D80" i="61"/>
  <c r="C80" i="61" s="1"/>
  <c r="K50" i="57"/>
  <c r="C50" i="57" s="1"/>
  <c r="D51" i="57"/>
  <c r="I100" i="44"/>
  <c r="I195" i="44"/>
  <c r="G170" i="42" l="1"/>
  <c r="H170" i="42"/>
  <c r="D172" i="42"/>
  <c r="E171" i="42"/>
  <c r="F171" i="42" s="1"/>
  <c r="K171" i="42"/>
  <c r="C171" i="42" s="1"/>
  <c r="R61" i="48"/>
  <c r="T60" i="48"/>
  <c r="S60" i="48"/>
  <c r="U59" i="48"/>
  <c r="V59" i="48" s="1"/>
  <c r="J193" i="44"/>
  <c r="C192" i="44"/>
  <c r="J98" i="44"/>
  <c r="C97" i="44"/>
  <c r="H52" i="60"/>
  <c r="G52" i="60"/>
  <c r="F53" i="60"/>
  <c r="F53" i="53"/>
  <c r="G52" i="53"/>
  <c r="H52" i="53"/>
  <c r="N51" i="41"/>
  <c r="X50" i="41"/>
  <c r="D131" i="78"/>
  <c r="E130" i="78"/>
  <c r="H131" i="78" s="1"/>
  <c r="E415" i="78"/>
  <c r="H416" i="78" s="1"/>
  <c r="D416" i="78"/>
  <c r="E273" i="78"/>
  <c r="H274" i="78" s="1"/>
  <c r="D274" i="78"/>
  <c r="F128" i="66"/>
  <c r="G128" i="66" s="1"/>
  <c r="H128" i="66" s="1"/>
  <c r="B87" i="61"/>
  <c r="F50" i="59"/>
  <c r="H49" i="59"/>
  <c r="G49" i="59"/>
  <c r="K52" i="59"/>
  <c r="C52" i="59" s="1"/>
  <c r="D53" i="59"/>
  <c r="H55" i="56"/>
  <c r="G55" i="56"/>
  <c r="F56" i="56"/>
  <c r="G48" i="57"/>
  <c r="H48" i="57"/>
  <c r="F49" i="57"/>
  <c r="T78" i="61"/>
  <c r="U78" i="61" s="1"/>
  <c r="G79" i="61"/>
  <c r="H79" i="61"/>
  <c r="Q79" i="61"/>
  <c r="S79" i="61" s="1"/>
  <c r="P80" i="61"/>
  <c r="R80" i="61" s="1"/>
  <c r="E80" i="61"/>
  <c r="F80" i="61" s="1"/>
  <c r="D81" i="61"/>
  <c r="C81" i="61" s="1"/>
  <c r="K51" i="57"/>
  <c r="C51" i="57" s="1"/>
  <c r="D52" i="57"/>
  <c r="I101" i="44"/>
  <c r="I196" i="44"/>
  <c r="J99" i="44" l="1"/>
  <c r="C98" i="44"/>
  <c r="R62" i="48"/>
  <c r="T61" i="48"/>
  <c r="J194" i="44"/>
  <c r="C193" i="44"/>
  <c r="G171" i="42"/>
  <c r="H171" i="42"/>
  <c r="S61" i="48"/>
  <c r="U60" i="48"/>
  <c r="V60" i="48" s="1"/>
  <c r="C172" i="42"/>
  <c r="D173" i="42"/>
  <c r="E172" i="42"/>
  <c r="F172" i="42" s="1"/>
  <c r="K172" i="42"/>
  <c r="H53" i="53"/>
  <c r="G53" i="53"/>
  <c r="F54" i="53"/>
  <c r="F54" i="60"/>
  <c r="H53" i="60"/>
  <c r="G53" i="60"/>
  <c r="N52" i="41"/>
  <c r="X51" i="41"/>
  <c r="D132" i="78"/>
  <c r="E131" i="78"/>
  <c r="H132" i="78" s="1"/>
  <c r="E416" i="78"/>
  <c r="H417" i="78" s="1"/>
  <c r="D417" i="78"/>
  <c r="E274" i="78"/>
  <c r="H275" i="78" s="1"/>
  <c r="D275" i="78"/>
  <c r="F129" i="66"/>
  <c r="G129" i="66" s="1"/>
  <c r="H129" i="66" s="1"/>
  <c r="B88" i="61"/>
  <c r="D54" i="59"/>
  <c r="K53" i="59"/>
  <c r="C53" i="59" s="1"/>
  <c r="H50" i="59"/>
  <c r="G50" i="59"/>
  <c r="F51" i="59"/>
  <c r="G56" i="56"/>
  <c r="F57" i="56"/>
  <c r="H56" i="56"/>
  <c r="H49" i="57"/>
  <c r="G49" i="57"/>
  <c r="F50" i="57"/>
  <c r="T79" i="61"/>
  <c r="U79" i="61" s="1"/>
  <c r="H80" i="61"/>
  <c r="G80" i="61"/>
  <c r="Q80" i="61"/>
  <c r="S80" i="61" s="1"/>
  <c r="P81" i="61"/>
  <c r="R81" i="61" s="1"/>
  <c r="E81" i="61"/>
  <c r="F81" i="61" s="1"/>
  <c r="D82" i="61"/>
  <c r="C82" i="61" s="1"/>
  <c r="D53" i="57"/>
  <c r="K52" i="57"/>
  <c r="C52" i="57" s="1"/>
  <c r="I102" i="44"/>
  <c r="I197" i="44"/>
  <c r="H172" i="42" l="1"/>
  <c r="G172" i="42"/>
  <c r="E173" i="42"/>
  <c r="F173" i="42" s="1"/>
  <c r="K173" i="42"/>
  <c r="C173" i="42" s="1"/>
  <c r="D174" i="42"/>
  <c r="J195" i="44"/>
  <c r="C194" i="44"/>
  <c r="S62" i="48"/>
  <c r="U61" i="48"/>
  <c r="V61" i="48" s="1"/>
  <c r="R63" i="48"/>
  <c r="T62" i="48"/>
  <c r="J100" i="44"/>
  <c r="C99" i="44"/>
  <c r="F55" i="60"/>
  <c r="G54" i="60"/>
  <c r="H54" i="60"/>
  <c r="G54" i="53"/>
  <c r="F55" i="53"/>
  <c r="H54" i="53"/>
  <c r="N53" i="41"/>
  <c r="X52" i="41"/>
  <c r="D133" i="78"/>
  <c r="E132" i="78"/>
  <c r="H133" i="78" s="1"/>
  <c r="D418" i="78"/>
  <c r="E417" i="78"/>
  <c r="H418" i="78" s="1"/>
  <c r="E275" i="78"/>
  <c r="H276" i="78" s="1"/>
  <c r="D276" i="78"/>
  <c r="F130" i="66"/>
  <c r="G130" i="66" s="1"/>
  <c r="H130" i="66" s="1"/>
  <c r="B89" i="61"/>
  <c r="G51" i="59"/>
  <c r="H51" i="59"/>
  <c r="F52" i="59"/>
  <c r="K54" i="59"/>
  <c r="C54" i="59" s="1"/>
  <c r="D55" i="59"/>
  <c r="H57" i="56"/>
  <c r="F58" i="56"/>
  <c r="G57" i="56"/>
  <c r="H50" i="57"/>
  <c r="G50" i="57"/>
  <c r="F51" i="57"/>
  <c r="P82" i="61"/>
  <c r="R82" i="61" s="1"/>
  <c r="E82" i="61"/>
  <c r="F82" i="61" s="1"/>
  <c r="D83" i="61"/>
  <c r="C83" i="61" s="1"/>
  <c r="T80" i="61"/>
  <c r="U80" i="61" s="1"/>
  <c r="Q81" i="61"/>
  <c r="S81" i="61" s="1"/>
  <c r="G81" i="61"/>
  <c r="H81" i="61"/>
  <c r="K53" i="57"/>
  <c r="C53" i="57" s="1"/>
  <c r="D54" i="57"/>
  <c r="I103" i="44"/>
  <c r="I198" i="44"/>
  <c r="J101" i="44" l="1"/>
  <c r="C100" i="44"/>
  <c r="J196" i="44"/>
  <c r="C195" i="44"/>
  <c r="D175" i="42"/>
  <c r="K174" i="42"/>
  <c r="C174" i="42" s="1"/>
  <c r="E174" i="42"/>
  <c r="F174" i="42" s="1"/>
  <c r="R64" i="48"/>
  <c r="T63" i="48"/>
  <c r="G173" i="42"/>
  <c r="H173" i="42"/>
  <c r="S63" i="48"/>
  <c r="U62" i="48"/>
  <c r="V62" i="48" s="1"/>
  <c r="H55" i="53"/>
  <c r="G55" i="53"/>
  <c r="F56" i="53"/>
  <c r="G55" i="60"/>
  <c r="H55" i="60"/>
  <c r="F56" i="60"/>
  <c r="N54" i="41"/>
  <c r="X53" i="41"/>
  <c r="D134" i="78"/>
  <c r="E133" i="78"/>
  <c r="H134" i="78" s="1"/>
  <c r="D419" i="78"/>
  <c r="E418" i="78"/>
  <c r="H419" i="78" s="1"/>
  <c r="D277" i="78"/>
  <c r="E276" i="78"/>
  <c r="H277" i="78" s="1"/>
  <c r="F131" i="66"/>
  <c r="G131" i="66" s="1"/>
  <c r="H131" i="66" s="1"/>
  <c r="B90" i="61"/>
  <c r="F53" i="59"/>
  <c r="H52" i="59"/>
  <c r="G52" i="59"/>
  <c r="D56" i="59"/>
  <c r="K55" i="59"/>
  <c r="C55" i="59" s="1"/>
  <c r="G58" i="56"/>
  <c r="H58" i="56"/>
  <c r="F59" i="56"/>
  <c r="H51" i="57"/>
  <c r="F52" i="57"/>
  <c r="G51" i="57"/>
  <c r="G82" i="61"/>
  <c r="H82" i="61"/>
  <c r="Q82" i="61"/>
  <c r="S82" i="61" s="1"/>
  <c r="T81" i="61"/>
  <c r="U81" i="61" s="1"/>
  <c r="P83" i="61"/>
  <c r="R83" i="61" s="1"/>
  <c r="D84" i="61"/>
  <c r="C84" i="61" s="1"/>
  <c r="E83" i="61"/>
  <c r="F83" i="61" s="1"/>
  <c r="D55" i="57"/>
  <c r="K54" i="57"/>
  <c r="C54" i="57" s="1"/>
  <c r="I104" i="44"/>
  <c r="I199" i="44"/>
  <c r="H174" i="42" l="1"/>
  <c r="G174" i="42"/>
  <c r="K175" i="42"/>
  <c r="C175" i="42" s="1"/>
  <c r="D176" i="42"/>
  <c r="E175" i="42"/>
  <c r="F175" i="42" s="1"/>
  <c r="J197" i="44"/>
  <c r="C196" i="44"/>
  <c r="R65" i="48"/>
  <c r="T64" i="48"/>
  <c r="S64" i="48"/>
  <c r="U63" i="48"/>
  <c r="V63" i="48" s="1"/>
  <c r="J102" i="44"/>
  <c r="C101" i="44"/>
  <c r="G56" i="53"/>
  <c r="F57" i="53"/>
  <c r="H56" i="53"/>
  <c r="F57" i="60"/>
  <c r="H56" i="60"/>
  <c r="G56" i="60"/>
  <c r="N55" i="41"/>
  <c r="X54" i="41"/>
  <c r="D135" i="78"/>
  <c r="E134" i="78"/>
  <c r="H135" i="78" s="1"/>
  <c r="E419" i="78"/>
  <c r="H420" i="78" s="1"/>
  <c r="D420" i="78"/>
  <c r="E277" i="78"/>
  <c r="H278" i="78" s="1"/>
  <c r="D278" i="78"/>
  <c r="F132" i="66"/>
  <c r="G132" i="66" s="1"/>
  <c r="H132" i="66" s="1"/>
  <c r="B91" i="61"/>
  <c r="D57" i="59"/>
  <c r="K56" i="59"/>
  <c r="C56" i="59" s="1"/>
  <c r="F54" i="59"/>
  <c r="H53" i="59"/>
  <c r="G53" i="59"/>
  <c r="G59" i="56"/>
  <c r="F60" i="56"/>
  <c r="H59" i="56"/>
  <c r="H52" i="57"/>
  <c r="F53" i="57"/>
  <c r="G52" i="57"/>
  <c r="G83" i="61"/>
  <c r="H83" i="61"/>
  <c r="P84" i="61"/>
  <c r="R84" i="61" s="1"/>
  <c r="D85" i="61"/>
  <c r="C85" i="61" s="1"/>
  <c r="E84" i="61"/>
  <c r="F84" i="61" s="1"/>
  <c r="T82" i="61"/>
  <c r="U82" i="61" s="1"/>
  <c r="Q83" i="61"/>
  <c r="S83" i="61" s="1"/>
  <c r="K55" i="57"/>
  <c r="C55" i="57" s="1"/>
  <c r="D56" i="57"/>
  <c r="I105" i="44"/>
  <c r="I200" i="44"/>
  <c r="S65" i="48" l="1"/>
  <c r="U64" i="48"/>
  <c r="V64" i="48" s="1"/>
  <c r="G175" i="42"/>
  <c r="H175" i="42"/>
  <c r="K176" i="42"/>
  <c r="C176" i="42" s="1"/>
  <c r="D177" i="42"/>
  <c r="E176" i="42"/>
  <c r="F176" i="42" s="1"/>
  <c r="T65" i="48"/>
  <c r="R66" i="48"/>
  <c r="J198" i="44"/>
  <c r="C197" i="44"/>
  <c r="J103" i="44"/>
  <c r="C102" i="44"/>
  <c r="H57" i="60"/>
  <c r="F58" i="60"/>
  <c r="G57" i="60"/>
  <c r="H57" i="53"/>
  <c r="G57" i="53"/>
  <c r="F58" i="53"/>
  <c r="N56" i="41"/>
  <c r="X55" i="41"/>
  <c r="D136" i="78"/>
  <c r="E135" i="78"/>
  <c r="H136" i="78" s="1"/>
  <c r="E420" i="78"/>
  <c r="H421" i="78" s="1"/>
  <c r="D421" i="78"/>
  <c r="D279" i="78"/>
  <c r="E278" i="78"/>
  <c r="H279" i="78" s="1"/>
  <c r="F133" i="66"/>
  <c r="G133" i="66" s="1"/>
  <c r="H133" i="66" s="1"/>
  <c r="B92" i="61"/>
  <c r="D58" i="59"/>
  <c r="K57" i="59"/>
  <c r="C57" i="59" s="1"/>
  <c r="H54" i="59"/>
  <c r="F55" i="59"/>
  <c r="G54" i="59"/>
  <c r="F61" i="56"/>
  <c r="H60" i="56"/>
  <c r="G60" i="56"/>
  <c r="G53" i="57"/>
  <c r="H53" i="57"/>
  <c r="F54" i="57"/>
  <c r="T83" i="61"/>
  <c r="U83" i="61" s="1"/>
  <c r="P85" i="61"/>
  <c r="R85" i="61" s="1"/>
  <c r="D86" i="61"/>
  <c r="C86" i="61" s="1"/>
  <c r="E85" i="61"/>
  <c r="F85" i="61" s="1"/>
  <c r="Q84" i="61"/>
  <c r="S84" i="61" s="1"/>
  <c r="G84" i="61"/>
  <c r="H84" i="61"/>
  <c r="D57" i="57"/>
  <c r="K56" i="57"/>
  <c r="C56" i="57" s="1"/>
  <c r="I106" i="44"/>
  <c r="I201" i="44"/>
  <c r="J199" i="44" l="1"/>
  <c r="C198" i="44"/>
  <c r="T66" i="48"/>
  <c r="R67" i="48"/>
  <c r="H176" i="42"/>
  <c r="G176" i="42"/>
  <c r="S66" i="48"/>
  <c r="U65" i="48"/>
  <c r="V65" i="48" s="1"/>
  <c r="J104" i="44"/>
  <c r="C103" i="44"/>
  <c r="C177" i="42"/>
  <c r="D178" i="42"/>
  <c r="E177" i="42"/>
  <c r="F177" i="42" s="1"/>
  <c r="K177" i="42"/>
  <c r="H58" i="53"/>
  <c r="F59" i="53"/>
  <c r="G58" i="53"/>
  <c r="F59" i="60"/>
  <c r="H58" i="60"/>
  <c r="G58" i="60"/>
  <c r="N57" i="41"/>
  <c r="X56" i="41"/>
  <c r="D137" i="78"/>
  <c r="E136" i="78"/>
  <c r="H137" i="78" s="1"/>
  <c r="E421" i="78"/>
  <c r="H422" i="78" s="1"/>
  <c r="D422" i="78"/>
  <c r="D280" i="78"/>
  <c r="E279" i="78"/>
  <c r="H280" i="78" s="1"/>
  <c r="F134" i="66"/>
  <c r="G134" i="66" s="1"/>
  <c r="H134" i="66" s="1"/>
  <c r="B93" i="61"/>
  <c r="F56" i="59"/>
  <c r="H55" i="59"/>
  <c r="G55" i="59"/>
  <c r="K58" i="59"/>
  <c r="C58" i="59" s="1"/>
  <c r="D59" i="59"/>
  <c r="H61" i="56"/>
  <c r="F62" i="56"/>
  <c r="G61" i="56"/>
  <c r="F55" i="57"/>
  <c r="H54" i="57"/>
  <c r="G54" i="57"/>
  <c r="G85" i="61"/>
  <c r="H85" i="61"/>
  <c r="P86" i="61"/>
  <c r="R86" i="61" s="1"/>
  <c r="E86" i="61"/>
  <c r="F86" i="61" s="1"/>
  <c r="D87" i="61"/>
  <c r="C87" i="61" s="1"/>
  <c r="T84" i="61"/>
  <c r="U84" i="61" s="1"/>
  <c r="Q85" i="61"/>
  <c r="S85" i="61" s="1"/>
  <c r="K57" i="57"/>
  <c r="C57" i="57" s="1"/>
  <c r="D58" i="57"/>
  <c r="I202" i="44"/>
  <c r="D179" i="42" l="1"/>
  <c r="E178" i="42"/>
  <c r="F178" i="42" s="1"/>
  <c r="K178" i="42"/>
  <c r="C178" i="42" s="1"/>
  <c r="R68" i="48"/>
  <c r="T67" i="48"/>
  <c r="D59" i="57"/>
  <c r="K59" i="57" s="1"/>
  <c r="J105" i="44"/>
  <c r="C104" i="44"/>
  <c r="J200" i="44"/>
  <c r="C199" i="44"/>
  <c r="S67" i="48"/>
  <c r="U66" i="48"/>
  <c r="V66" i="48" s="1"/>
  <c r="H177" i="42"/>
  <c r="G177" i="42"/>
  <c r="H59" i="60"/>
  <c r="F60" i="60"/>
  <c r="G59" i="60"/>
  <c r="H59" i="53"/>
  <c r="F60" i="53"/>
  <c r="G59" i="53"/>
  <c r="N58" i="41"/>
  <c r="X57" i="41"/>
  <c r="D138" i="78"/>
  <c r="E137" i="78"/>
  <c r="H138" i="78" s="1"/>
  <c r="E422" i="78"/>
  <c r="H423" i="78" s="1"/>
  <c r="D423" i="78"/>
  <c r="D281" i="78"/>
  <c r="E280" i="78"/>
  <c r="H281" i="78" s="1"/>
  <c r="F135" i="66"/>
  <c r="G135" i="66" s="1"/>
  <c r="H135" i="66" s="1"/>
  <c r="B94" i="61"/>
  <c r="K59" i="59"/>
  <c r="C59" i="59" s="1"/>
  <c r="D60" i="59"/>
  <c r="H56" i="59"/>
  <c r="G56" i="59"/>
  <c r="F57" i="59"/>
  <c r="F63" i="56"/>
  <c r="H62" i="56"/>
  <c r="G62" i="56"/>
  <c r="F56" i="57"/>
  <c r="H55" i="57"/>
  <c r="G55" i="57"/>
  <c r="H86" i="61"/>
  <c r="G86" i="61"/>
  <c r="T85" i="61"/>
  <c r="U85" i="61" s="1"/>
  <c r="Q86" i="61"/>
  <c r="S86" i="61" s="1"/>
  <c r="P87" i="61"/>
  <c r="R87" i="61" s="1"/>
  <c r="D88" i="61"/>
  <c r="C88" i="61" s="1"/>
  <c r="E87" i="61"/>
  <c r="F87" i="61" s="1"/>
  <c r="K58" i="57"/>
  <c r="C58" i="57" s="1"/>
  <c r="D60" i="57" l="1"/>
  <c r="S68" i="48"/>
  <c r="U67" i="48"/>
  <c r="V67" i="48" s="1"/>
  <c r="C59" i="57"/>
  <c r="J201" i="44"/>
  <c r="C200" i="44"/>
  <c r="T68" i="48"/>
  <c r="R69" i="48"/>
  <c r="G178" i="42"/>
  <c r="H178" i="42"/>
  <c r="J106" i="44"/>
  <c r="C106" i="44" s="1"/>
  <c r="C105" i="44"/>
  <c r="C179" i="42"/>
  <c r="D180" i="42"/>
  <c r="E179" i="42"/>
  <c r="F179" i="42" s="1"/>
  <c r="K179" i="42"/>
  <c r="G60" i="60"/>
  <c r="F61" i="60"/>
  <c r="H60" i="60"/>
  <c r="G60" i="53"/>
  <c r="F61" i="53"/>
  <c r="H60" i="53"/>
  <c r="N59" i="41"/>
  <c r="X58" i="41"/>
  <c r="D139" i="78"/>
  <c r="E138" i="78"/>
  <c r="H139" i="78" s="1"/>
  <c r="E423" i="78"/>
  <c r="H424" i="78" s="1"/>
  <c r="D424" i="78"/>
  <c r="E281" i="78"/>
  <c r="H282" i="78" s="1"/>
  <c r="D282" i="78"/>
  <c r="F136" i="66"/>
  <c r="G136" i="66" s="1"/>
  <c r="H136" i="66" s="1"/>
  <c r="B95" i="61"/>
  <c r="G57" i="59"/>
  <c r="F58" i="59"/>
  <c r="H57" i="59"/>
  <c r="D61" i="59"/>
  <c r="K60" i="59"/>
  <c r="C60" i="59" s="1"/>
  <c r="G63" i="56"/>
  <c r="F64" i="56"/>
  <c r="H63" i="56"/>
  <c r="H56" i="57"/>
  <c r="G56" i="57"/>
  <c r="F57" i="57"/>
  <c r="T86" i="61"/>
  <c r="U86" i="61" s="1"/>
  <c r="D61" i="57"/>
  <c r="K60" i="57"/>
  <c r="C60" i="57" s="1"/>
  <c r="G87" i="61"/>
  <c r="H87" i="61"/>
  <c r="P88" i="61"/>
  <c r="R88" i="61" s="1"/>
  <c r="D89" i="61"/>
  <c r="C89" i="61" s="1"/>
  <c r="E88" i="61"/>
  <c r="F88" i="61" s="1"/>
  <c r="Q87" i="61"/>
  <c r="S87" i="61" s="1"/>
  <c r="J202" i="44" l="1"/>
  <c r="C202" i="44" s="1"/>
  <c r="C201" i="44"/>
  <c r="C61" i="59"/>
  <c r="E180" i="42"/>
  <c r="F180" i="42" s="1"/>
  <c r="D181" i="42"/>
  <c r="K180" i="42"/>
  <c r="C180" i="42" s="1"/>
  <c r="R70" i="48"/>
  <c r="T70" i="48" s="1"/>
  <c r="T69" i="48"/>
  <c r="S69" i="48"/>
  <c r="U68" i="48"/>
  <c r="V68" i="48" s="1"/>
  <c r="H179" i="42"/>
  <c r="G179" i="42"/>
  <c r="F62" i="60"/>
  <c r="G61" i="60"/>
  <c r="H61" i="60"/>
  <c r="G61" i="53"/>
  <c r="H61" i="53"/>
  <c r="F62" i="53"/>
  <c r="N60" i="41"/>
  <c r="X59" i="41"/>
  <c r="D140" i="78"/>
  <c r="E139" i="78"/>
  <c r="H140" i="78" s="1"/>
  <c r="E424" i="78"/>
  <c r="H425" i="78" s="1"/>
  <c r="D425" i="78"/>
  <c r="D283" i="78"/>
  <c r="E282" i="78"/>
  <c r="H283" i="78" s="1"/>
  <c r="F137" i="66"/>
  <c r="G137" i="66" s="1"/>
  <c r="H137" i="66" s="1"/>
  <c r="B96" i="61"/>
  <c r="K61" i="59"/>
  <c r="D62" i="59"/>
  <c r="G58" i="59"/>
  <c r="H58" i="59"/>
  <c r="F59" i="59"/>
  <c r="F65" i="56"/>
  <c r="H64" i="56"/>
  <c r="G64" i="56"/>
  <c r="H57" i="57"/>
  <c r="F58" i="57"/>
  <c r="G57" i="57"/>
  <c r="D62" i="57"/>
  <c r="K61" i="57"/>
  <c r="C61" i="57" s="1"/>
  <c r="P89" i="61"/>
  <c r="R89" i="61" s="1"/>
  <c r="D90" i="61"/>
  <c r="C90" i="61" s="1"/>
  <c r="E89" i="61"/>
  <c r="F89" i="61" s="1"/>
  <c r="T87" i="61"/>
  <c r="U87" i="61" s="1"/>
  <c r="Q88" i="61"/>
  <c r="S88" i="61" s="1"/>
  <c r="G88" i="61"/>
  <c r="H88" i="61"/>
  <c r="D182" i="42" l="1"/>
  <c r="K181" i="42"/>
  <c r="C181" i="42" s="1"/>
  <c r="E181" i="42"/>
  <c r="F181" i="42" s="1"/>
  <c r="H180" i="42"/>
  <c r="G180" i="42"/>
  <c r="S70" i="48"/>
  <c r="U69" i="48"/>
  <c r="V69" i="48" s="1"/>
  <c r="F63" i="53"/>
  <c r="G62" i="53"/>
  <c r="H62" i="53"/>
  <c r="G62" i="60"/>
  <c r="H62" i="60"/>
  <c r="F63" i="60"/>
  <c r="N61" i="41"/>
  <c r="X60" i="41"/>
  <c r="D141" i="78"/>
  <c r="E140" i="78"/>
  <c r="H141" i="78" s="1"/>
  <c r="E425" i="78"/>
  <c r="H426" i="78" s="1"/>
  <c r="D426" i="78"/>
  <c r="D284" i="78"/>
  <c r="E283" i="78"/>
  <c r="H284" i="78" s="1"/>
  <c r="F138" i="66"/>
  <c r="G138" i="66" s="1"/>
  <c r="H138" i="66" s="1"/>
  <c r="B97" i="61"/>
  <c r="H59" i="59"/>
  <c r="F60" i="59"/>
  <c r="G59" i="59"/>
  <c r="K62" i="59"/>
  <c r="C62" i="59" s="1"/>
  <c r="D63" i="59"/>
  <c r="G65" i="56"/>
  <c r="F66" i="56"/>
  <c r="H65" i="56"/>
  <c r="F59" i="57"/>
  <c r="H58" i="57"/>
  <c r="G58" i="57"/>
  <c r="D63" i="57"/>
  <c r="K62" i="57"/>
  <c r="C62" i="57" s="1"/>
  <c r="H89" i="61"/>
  <c r="G89" i="61"/>
  <c r="P90" i="61"/>
  <c r="R90" i="61" s="1"/>
  <c r="D91" i="61"/>
  <c r="C91" i="61" s="1"/>
  <c r="E90" i="61"/>
  <c r="F90" i="61" s="1"/>
  <c r="T88" i="61"/>
  <c r="U88" i="61" s="1"/>
  <c r="Q89" i="61"/>
  <c r="S89" i="61" s="1"/>
  <c r="G181" i="42" l="1"/>
  <c r="H181" i="42"/>
  <c r="E182" i="42"/>
  <c r="F182" i="42" s="1"/>
  <c r="K182" i="42"/>
  <c r="C182" i="42" s="1"/>
  <c r="D183" i="42"/>
  <c r="R71" i="48"/>
  <c r="U70" i="48"/>
  <c r="V70" i="48" s="1"/>
  <c r="F64" i="60"/>
  <c r="H63" i="60"/>
  <c r="G63" i="60"/>
  <c r="G63" i="53"/>
  <c r="F64" i="53"/>
  <c r="H63" i="53"/>
  <c r="N62" i="41"/>
  <c r="X61" i="41"/>
  <c r="D142" i="78"/>
  <c r="E141" i="78"/>
  <c r="H142" i="78" s="1"/>
  <c r="D427" i="78"/>
  <c r="E426" i="78"/>
  <c r="H427" i="78" s="1"/>
  <c r="E284" i="78"/>
  <c r="H285" i="78" s="1"/>
  <c r="D285" i="78"/>
  <c r="F139" i="66"/>
  <c r="G139" i="66" s="1"/>
  <c r="H139" i="66" s="1"/>
  <c r="B98" i="61"/>
  <c r="K63" i="59"/>
  <c r="C63" i="59" s="1"/>
  <c r="D64" i="59"/>
  <c r="H60" i="59"/>
  <c r="G60" i="59"/>
  <c r="F61" i="59"/>
  <c r="G66" i="56"/>
  <c r="H66" i="56"/>
  <c r="F67" i="56"/>
  <c r="H59" i="57"/>
  <c r="G59" i="57"/>
  <c r="F60" i="57"/>
  <c r="T89" i="61"/>
  <c r="U89" i="61" s="1"/>
  <c r="D64" i="57"/>
  <c r="K63" i="57"/>
  <c r="C63" i="57" s="1"/>
  <c r="P91" i="61"/>
  <c r="R91" i="61" s="1"/>
  <c r="D92" i="61"/>
  <c r="C92" i="61" s="1"/>
  <c r="E91" i="61"/>
  <c r="F91" i="61" s="1"/>
  <c r="Q90" i="61"/>
  <c r="S90" i="61" s="1"/>
  <c r="G90" i="61"/>
  <c r="H90" i="61"/>
  <c r="D184" i="42" l="1"/>
  <c r="E183" i="42"/>
  <c r="F183" i="42" s="1"/>
  <c r="K183" i="42"/>
  <c r="C183" i="42" s="1"/>
  <c r="G182" i="42"/>
  <c r="H182" i="42"/>
  <c r="C64" i="59"/>
  <c r="S71" i="48"/>
  <c r="R72" i="48"/>
  <c r="T71" i="48"/>
  <c r="F65" i="53"/>
  <c r="G64" i="53"/>
  <c r="H64" i="53"/>
  <c r="H64" i="60"/>
  <c r="G64" i="60"/>
  <c r="F65" i="60"/>
  <c r="N63" i="41"/>
  <c r="X62" i="41"/>
  <c r="D143" i="78"/>
  <c r="E142" i="78"/>
  <c r="H143" i="78" s="1"/>
  <c r="D428" i="78"/>
  <c r="E427" i="78"/>
  <c r="H428" i="78" s="1"/>
  <c r="E285" i="78"/>
  <c r="H286" i="78" s="1"/>
  <c r="D286" i="78"/>
  <c r="F140" i="66"/>
  <c r="G140" i="66" s="1"/>
  <c r="H140" i="66" s="1"/>
  <c r="B99" i="61"/>
  <c r="G61" i="59"/>
  <c r="H61" i="59"/>
  <c r="F62" i="59"/>
  <c r="D65" i="59"/>
  <c r="K64" i="59"/>
  <c r="F68" i="56"/>
  <c r="H67" i="56"/>
  <c r="G67" i="56"/>
  <c r="H60" i="57"/>
  <c r="G60" i="57"/>
  <c r="F61" i="57"/>
  <c r="T90" i="61"/>
  <c r="U90" i="61" s="1"/>
  <c r="D65" i="57"/>
  <c r="K64" i="57"/>
  <c r="C64" i="57" s="1"/>
  <c r="G91" i="61"/>
  <c r="H91" i="61"/>
  <c r="P92" i="61"/>
  <c r="R92" i="61" s="1"/>
  <c r="D93" i="61"/>
  <c r="C93" i="61" s="1"/>
  <c r="E92" i="61"/>
  <c r="F92" i="61" s="1"/>
  <c r="Q91" i="61"/>
  <c r="S91" i="61" s="1"/>
  <c r="R73" i="48" l="1"/>
  <c r="T72" i="48"/>
  <c r="H183" i="42"/>
  <c r="G183" i="42"/>
  <c r="S72" i="48"/>
  <c r="U71" i="48"/>
  <c r="V71" i="48" s="1"/>
  <c r="C184" i="42"/>
  <c r="D185" i="42"/>
  <c r="K184" i="42"/>
  <c r="E184" i="42"/>
  <c r="F184" i="42" s="1"/>
  <c r="C65" i="57"/>
  <c r="G65" i="60"/>
  <c r="F66" i="60"/>
  <c r="H65" i="60"/>
  <c r="F66" i="53"/>
  <c r="H65" i="53"/>
  <c r="G65" i="53"/>
  <c r="N64" i="41"/>
  <c r="N65" i="41" s="1"/>
  <c r="X63" i="41"/>
  <c r="D144" i="78"/>
  <c r="E143" i="78"/>
  <c r="H144" i="78" s="1"/>
  <c r="D429" i="78"/>
  <c r="E428" i="78"/>
  <c r="H429" i="78" s="1"/>
  <c r="D287" i="78"/>
  <c r="E286" i="78"/>
  <c r="H287" i="78" s="1"/>
  <c r="F141" i="66"/>
  <c r="G141" i="66" s="1"/>
  <c r="H141" i="66" s="1"/>
  <c r="B100" i="61"/>
  <c r="D66" i="59"/>
  <c r="K65" i="59"/>
  <c r="C65" i="59" s="1"/>
  <c r="F63" i="59"/>
  <c r="H62" i="59"/>
  <c r="G62" i="59"/>
  <c r="H68" i="56"/>
  <c r="F69" i="56"/>
  <c r="G68" i="56"/>
  <c r="G61" i="57"/>
  <c r="F62" i="57"/>
  <c r="H61" i="57"/>
  <c r="K65" i="57"/>
  <c r="D66" i="57"/>
  <c r="P93" i="61"/>
  <c r="R93" i="61" s="1"/>
  <c r="D94" i="61"/>
  <c r="C94" i="61" s="1"/>
  <c r="E93" i="61"/>
  <c r="F93" i="61" s="1"/>
  <c r="T91" i="61"/>
  <c r="U91" i="61" s="1"/>
  <c r="Q92" i="61"/>
  <c r="S92" i="61" s="1"/>
  <c r="H92" i="61"/>
  <c r="G92" i="61"/>
  <c r="S73" i="48" l="1"/>
  <c r="U72" i="48"/>
  <c r="V72" i="48" s="1"/>
  <c r="T73" i="48"/>
  <c r="R74" i="48"/>
  <c r="G184" i="42"/>
  <c r="H184" i="42"/>
  <c r="C185" i="42"/>
  <c r="E185" i="42"/>
  <c r="F185" i="42" s="1"/>
  <c r="K185" i="42"/>
  <c r="D186" i="42"/>
  <c r="F67" i="53"/>
  <c r="H66" i="53"/>
  <c r="G66" i="53"/>
  <c r="F67" i="60"/>
  <c r="H66" i="60"/>
  <c r="G66" i="60"/>
  <c r="N66" i="41"/>
  <c r="X65" i="41"/>
  <c r="X64" i="41"/>
  <c r="D145" i="78"/>
  <c r="E144" i="78"/>
  <c r="H145" i="78" s="1"/>
  <c r="D430" i="78"/>
  <c r="E429" i="78"/>
  <c r="H430" i="78" s="1"/>
  <c r="E287" i="78"/>
  <c r="H288" i="78" s="1"/>
  <c r="D288" i="78"/>
  <c r="F142" i="66"/>
  <c r="G142" i="66" s="1"/>
  <c r="H142" i="66" s="1"/>
  <c r="B101" i="61"/>
  <c r="K66" i="59"/>
  <c r="C66" i="59" s="1"/>
  <c r="D67" i="59"/>
  <c r="H63" i="59"/>
  <c r="F64" i="59"/>
  <c r="G63" i="59"/>
  <c r="G69" i="56"/>
  <c r="F70" i="56"/>
  <c r="H69" i="56"/>
  <c r="H62" i="57"/>
  <c r="G62" i="57"/>
  <c r="F63" i="57"/>
  <c r="D67" i="57"/>
  <c r="K66" i="57"/>
  <c r="C66" i="57" s="1"/>
  <c r="H93" i="61"/>
  <c r="G93" i="61"/>
  <c r="P94" i="61"/>
  <c r="R94" i="61" s="1"/>
  <c r="D95" i="61"/>
  <c r="C95" i="61" s="1"/>
  <c r="E94" i="61"/>
  <c r="F94" i="61" s="1"/>
  <c r="T92" i="61"/>
  <c r="U92" i="61" s="1"/>
  <c r="Q93" i="61"/>
  <c r="S93" i="61" s="1"/>
  <c r="S74" i="48" l="1"/>
  <c r="U73" i="48"/>
  <c r="V73" i="48" s="1"/>
  <c r="R75" i="48"/>
  <c r="T74" i="48"/>
  <c r="K186" i="42"/>
  <c r="C186" i="42" s="1"/>
  <c r="E186" i="42"/>
  <c r="F186" i="42" s="1"/>
  <c r="D187" i="42"/>
  <c r="H185" i="42"/>
  <c r="G185" i="42"/>
  <c r="G67" i="60"/>
  <c r="F68" i="60"/>
  <c r="H67" i="60"/>
  <c r="G67" i="53"/>
  <c r="F68" i="53"/>
  <c r="H67" i="53"/>
  <c r="N67" i="41"/>
  <c r="X66" i="41"/>
  <c r="D146" i="78"/>
  <c r="E145" i="78"/>
  <c r="H146" i="78" s="1"/>
  <c r="D431" i="78"/>
  <c r="E430" i="78"/>
  <c r="H431" i="78" s="1"/>
  <c r="E288" i="78"/>
  <c r="H289" i="78" s="1"/>
  <c r="D289" i="78"/>
  <c r="F143" i="66"/>
  <c r="G143" i="66" s="1"/>
  <c r="H143" i="66" s="1"/>
  <c r="B102" i="61"/>
  <c r="H64" i="59"/>
  <c r="G64" i="59"/>
  <c r="F65" i="59"/>
  <c r="D68" i="59"/>
  <c r="K67" i="59"/>
  <c r="C67" i="59" s="1"/>
  <c r="G70" i="56"/>
  <c r="F71" i="56"/>
  <c r="H70" i="56"/>
  <c r="F64" i="57"/>
  <c r="H63" i="57"/>
  <c r="G63" i="57"/>
  <c r="D68" i="57"/>
  <c r="K67" i="57"/>
  <c r="C67" i="57" s="1"/>
  <c r="P95" i="61"/>
  <c r="R95" i="61" s="1"/>
  <c r="D101" i="61"/>
  <c r="C101" i="61" s="1"/>
  <c r="D96" i="61"/>
  <c r="C96" i="61" s="1"/>
  <c r="E95" i="61"/>
  <c r="F95" i="61" s="1"/>
  <c r="T93" i="61"/>
  <c r="U93" i="61" s="1"/>
  <c r="Q94" i="61"/>
  <c r="S94" i="61" s="1"/>
  <c r="G94" i="61"/>
  <c r="H94" i="61"/>
  <c r="R76" i="48" l="1"/>
  <c r="T75" i="48"/>
  <c r="C187" i="42"/>
  <c r="D188" i="42"/>
  <c r="E187" i="42"/>
  <c r="F187" i="42" s="1"/>
  <c r="K187" i="42"/>
  <c r="H186" i="42"/>
  <c r="G186" i="42"/>
  <c r="S75" i="48"/>
  <c r="U74" i="48"/>
  <c r="V74" i="48" s="1"/>
  <c r="C68" i="57"/>
  <c r="C68" i="59"/>
  <c r="H68" i="60"/>
  <c r="F69" i="60"/>
  <c r="G68" i="60"/>
  <c r="F69" i="53"/>
  <c r="H68" i="53"/>
  <c r="G68" i="53"/>
  <c r="N68" i="41"/>
  <c r="X67" i="41"/>
  <c r="D147" i="78"/>
  <c r="E146" i="78"/>
  <c r="H147" i="78" s="1"/>
  <c r="E431" i="78"/>
  <c r="H432" i="78" s="1"/>
  <c r="D432" i="78"/>
  <c r="D290" i="78"/>
  <c r="E289" i="78"/>
  <c r="H290" i="78" s="1"/>
  <c r="F144" i="66"/>
  <c r="G144" i="66" s="1"/>
  <c r="H144" i="66" s="1"/>
  <c r="B103" i="61"/>
  <c r="D69" i="59"/>
  <c r="K68" i="59"/>
  <c r="G65" i="59"/>
  <c r="F66" i="59"/>
  <c r="H65" i="59"/>
  <c r="F72" i="56"/>
  <c r="H71" i="56"/>
  <c r="G71" i="56"/>
  <c r="H64" i="57"/>
  <c r="F65" i="57"/>
  <c r="G64" i="57"/>
  <c r="D69" i="57"/>
  <c r="K68" i="57"/>
  <c r="G95" i="61"/>
  <c r="H95" i="61"/>
  <c r="T94" i="61"/>
  <c r="U94" i="61" s="1"/>
  <c r="P96" i="61"/>
  <c r="R96" i="61" s="1"/>
  <c r="D97" i="61"/>
  <c r="C97" i="61" s="1"/>
  <c r="E96" i="61"/>
  <c r="F96" i="61" s="1"/>
  <c r="P101" i="61"/>
  <c r="R101" i="61" s="1"/>
  <c r="E101" i="61"/>
  <c r="F101" i="61" s="1"/>
  <c r="D102" i="61"/>
  <c r="C102" i="61" s="1"/>
  <c r="Q95" i="61"/>
  <c r="S95" i="61" s="1"/>
  <c r="H187" i="42" l="1"/>
  <c r="G187" i="42"/>
  <c r="C188" i="42"/>
  <c r="E188" i="42"/>
  <c r="F188" i="42" s="1"/>
  <c r="D189" i="42"/>
  <c r="K188" i="42"/>
  <c r="S76" i="48"/>
  <c r="U75" i="48"/>
  <c r="V75" i="48" s="1"/>
  <c r="R77" i="48"/>
  <c r="T76" i="48"/>
  <c r="C69" i="57"/>
  <c r="H69" i="53"/>
  <c r="F70" i="53"/>
  <c r="G69" i="53"/>
  <c r="H69" i="60"/>
  <c r="F70" i="60"/>
  <c r="G69" i="60"/>
  <c r="N69" i="41"/>
  <c r="X68" i="41"/>
  <c r="D148" i="78"/>
  <c r="E147" i="78"/>
  <c r="H148" i="78" s="1"/>
  <c r="D433" i="78"/>
  <c r="E432" i="78"/>
  <c r="H433" i="78" s="1"/>
  <c r="D291" i="78"/>
  <c r="E290" i="78"/>
  <c r="H291" i="78" s="1"/>
  <c r="F145" i="66"/>
  <c r="G145" i="66" s="1"/>
  <c r="H145" i="66" s="1"/>
  <c r="B104" i="61"/>
  <c r="H66" i="59"/>
  <c r="F67" i="59"/>
  <c r="G66" i="59"/>
  <c r="D70" i="59"/>
  <c r="K69" i="59"/>
  <c r="C69" i="59" s="1"/>
  <c r="G72" i="56"/>
  <c r="F73" i="56"/>
  <c r="H72" i="56"/>
  <c r="G65" i="57"/>
  <c r="H65" i="57"/>
  <c r="F66" i="57"/>
  <c r="D70" i="57"/>
  <c r="K69" i="57"/>
  <c r="G101" i="61"/>
  <c r="H101" i="61"/>
  <c r="Q96" i="61"/>
  <c r="S96" i="61" s="1"/>
  <c r="T95" i="61"/>
  <c r="U95" i="61" s="1"/>
  <c r="Q101" i="61"/>
  <c r="S101" i="61" s="1"/>
  <c r="G96" i="61"/>
  <c r="H96" i="61"/>
  <c r="P102" i="61"/>
  <c r="R102" i="61" s="1"/>
  <c r="D103" i="61"/>
  <c r="C103" i="61" s="1"/>
  <c r="E102" i="61"/>
  <c r="F102" i="61" s="1"/>
  <c r="P97" i="61"/>
  <c r="R97" i="61" s="1"/>
  <c r="E97" i="61"/>
  <c r="F97" i="61" s="1"/>
  <c r="D98" i="61"/>
  <c r="C98" i="61" s="1"/>
  <c r="D190" i="42" l="1"/>
  <c r="K189" i="42"/>
  <c r="C189" i="42" s="1"/>
  <c r="E189" i="42"/>
  <c r="F189" i="42" s="1"/>
  <c r="R78" i="48"/>
  <c r="T77" i="48"/>
  <c r="G188" i="42"/>
  <c r="H188" i="42"/>
  <c r="S77" i="48"/>
  <c r="U76" i="48"/>
  <c r="V76" i="48" s="1"/>
  <c r="F71" i="53"/>
  <c r="G70" i="53"/>
  <c r="H70" i="53"/>
  <c r="G70" i="60"/>
  <c r="F71" i="60"/>
  <c r="H70" i="60"/>
  <c r="N70" i="41"/>
  <c r="X69" i="41"/>
  <c r="D149" i="78"/>
  <c r="E148" i="78"/>
  <c r="H149" i="78" s="1"/>
  <c r="D434" i="78"/>
  <c r="E433" i="78"/>
  <c r="H434" i="78" s="1"/>
  <c r="E291" i="78"/>
  <c r="H292" i="78" s="1"/>
  <c r="D292" i="78"/>
  <c r="F146" i="66"/>
  <c r="G146" i="66" s="1"/>
  <c r="H146" i="66" s="1"/>
  <c r="B105" i="61"/>
  <c r="K70" i="59"/>
  <c r="C70" i="59" s="1"/>
  <c r="D71" i="59"/>
  <c r="H67" i="59"/>
  <c r="F68" i="59"/>
  <c r="G67" i="59"/>
  <c r="F74" i="56"/>
  <c r="G73" i="56"/>
  <c r="H73" i="56"/>
  <c r="F67" i="57"/>
  <c r="H66" i="57"/>
  <c r="G66" i="57"/>
  <c r="D71" i="57"/>
  <c r="K70" i="57"/>
  <c r="C70" i="57" s="1"/>
  <c r="G102" i="61"/>
  <c r="H102" i="61"/>
  <c r="P98" i="61"/>
  <c r="R98" i="61" s="1"/>
  <c r="E98" i="61"/>
  <c r="F98" i="61" s="1"/>
  <c r="D99" i="61"/>
  <c r="C99" i="61" s="1"/>
  <c r="P103" i="61"/>
  <c r="R103" i="61" s="1"/>
  <c r="D104" i="61"/>
  <c r="C104" i="61" s="1"/>
  <c r="E103" i="61"/>
  <c r="F103" i="61" s="1"/>
  <c r="T101" i="61"/>
  <c r="U101" i="61" s="1"/>
  <c r="T96" i="61"/>
  <c r="U96" i="61" s="1"/>
  <c r="G97" i="61"/>
  <c r="H97" i="61"/>
  <c r="Q102" i="61"/>
  <c r="S102" i="61" s="1"/>
  <c r="Q97" i="61"/>
  <c r="S97" i="61" s="1"/>
  <c r="R79" i="48" l="1"/>
  <c r="T78" i="48"/>
  <c r="G189" i="42"/>
  <c r="H189" i="42"/>
  <c r="C190" i="42"/>
  <c r="K190" i="42"/>
  <c r="E190" i="42"/>
  <c r="F190" i="42" s="1"/>
  <c r="S78" i="48"/>
  <c r="U77" i="48"/>
  <c r="V77" i="48" s="1"/>
  <c r="G71" i="60"/>
  <c r="F72" i="60"/>
  <c r="H71" i="60"/>
  <c r="F72" i="53"/>
  <c r="G71" i="53"/>
  <c r="H71" i="53"/>
  <c r="N71" i="41"/>
  <c r="X70" i="41"/>
  <c r="D150" i="78"/>
  <c r="E149" i="78"/>
  <c r="H150" i="78" s="1"/>
  <c r="D435" i="78"/>
  <c r="E434" i="78"/>
  <c r="H435" i="78" s="1"/>
  <c r="E292" i="78"/>
  <c r="H293" i="78" s="1"/>
  <c r="D293" i="78"/>
  <c r="F147" i="66"/>
  <c r="G147" i="66" s="1"/>
  <c r="H147" i="66" s="1"/>
  <c r="B106" i="61"/>
  <c r="G68" i="59"/>
  <c r="F69" i="59"/>
  <c r="H68" i="59"/>
  <c r="D72" i="59"/>
  <c r="K71" i="59"/>
  <c r="C71" i="59" s="1"/>
  <c r="G74" i="56"/>
  <c r="F75" i="56"/>
  <c r="H74" i="56"/>
  <c r="F68" i="57"/>
  <c r="H67" i="57"/>
  <c r="G67" i="57"/>
  <c r="T97" i="61"/>
  <c r="U97" i="61" s="1"/>
  <c r="D72" i="57"/>
  <c r="K71" i="57"/>
  <c r="C71" i="57" s="1"/>
  <c r="G103" i="61"/>
  <c r="H103" i="61"/>
  <c r="H98" i="61"/>
  <c r="G98" i="61"/>
  <c r="P104" i="61"/>
  <c r="R104" i="61" s="1"/>
  <c r="D105" i="61"/>
  <c r="C105" i="61" s="1"/>
  <c r="E104" i="61"/>
  <c r="F104" i="61" s="1"/>
  <c r="Q98" i="61"/>
  <c r="S98" i="61" s="1"/>
  <c r="Q103" i="61"/>
  <c r="S103" i="61" s="1"/>
  <c r="T102" i="61"/>
  <c r="U102" i="61" s="1"/>
  <c r="P99" i="61"/>
  <c r="R99" i="61" s="1"/>
  <c r="D100" i="61"/>
  <c r="C100" i="61" s="1"/>
  <c r="E99" i="61"/>
  <c r="F99" i="61" s="1"/>
  <c r="S79" i="48" l="1"/>
  <c r="U78" i="48"/>
  <c r="V78" i="48" s="1"/>
  <c r="T79" i="48"/>
  <c r="R80" i="48"/>
  <c r="C72" i="57"/>
  <c r="H190" i="42"/>
  <c r="G190" i="42"/>
  <c r="F73" i="53"/>
  <c r="H72" i="53"/>
  <c r="G72" i="53"/>
  <c r="G72" i="60"/>
  <c r="H72" i="60"/>
  <c r="F73" i="60"/>
  <c r="N72" i="41"/>
  <c r="X71" i="41"/>
  <c r="D151" i="78"/>
  <c r="E150" i="78"/>
  <c r="H151" i="78" s="1"/>
  <c r="D436" i="78"/>
  <c r="E435" i="78"/>
  <c r="H436" i="78" s="1"/>
  <c r="D294" i="78"/>
  <c r="E293" i="78"/>
  <c r="H294" i="78" s="1"/>
  <c r="F148" i="66"/>
  <c r="G148" i="66" s="1"/>
  <c r="H148" i="66" s="1"/>
  <c r="B107" i="61"/>
  <c r="K72" i="59"/>
  <c r="C72" i="59" s="1"/>
  <c r="D73" i="59"/>
  <c r="F70" i="59"/>
  <c r="G69" i="59"/>
  <c r="H69" i="59"/>
  <c r="F76" i="56"/>
  <c r="H75" i="56"/>
  <c r="G75" i="56"/>
  <c r="G68" i="57"/>
  <c r="H68" i="57"/>
  <c r="F69" i="57"/>
  <c r="T98" i="61"/>
  <c r="U98" i="61" s="1"/>
  <c r="D73" i="57"/>
  <c r="K72" i="57"/>
  <c r="G99" i="61"/>
  <c r="H99" i="61"/>
  <c r="T103" i="61"/>
  <c r="U103" i="61" s="1"/>
  <c r="H104" i="61"/>
  <c r="G104" i="61"/>
  <c r="E100" i="61"/>
  <c r="F100" i="61" s="1"/>
  <c r="P100" i="61"/>
  <c r="R100" i="61" s="1"/>
  <c r="P105" i="61"/>
  <c r="R105" i="61" s="1"/>
  <c r="E105" i="61"/>
  <c r="F105" i="61" s="1"/>
  <c r="D106" i="61"/>
  <c r="C106" i="61" s="1"/>
  <c r="Q99" i="61"/>
  <c r="S99" i="61" s="1"/>
  <c r="Q104" i="61"/>
  <c r="S104" i="61" s="1"/>
  <c r="R81" i="48" l="1"/>
  <c r="T80" i="48"/>
  <c r="S80" i="48"/>
  <c r="U79" i="48"/>
  <c r="V79" i="48" s="1"/>
  <c r="H73" i="60"/>
  <c r="G73" i="60"/>
  <c r="F74" i="60"/>
  <c r="G73" i="53"/>
  <c r="H73" i="53"/>
  <c r="F74" i="53"/>
  <c r="N73" i="41"/>
  <c r="X72" i="41"/>
  <c r="D152" i="78"/>
  <c r="E151" i="78"/>
  <c r="H152" i="78" s="1"/>
  <c r="D437" i="78"/>
  <c r="E436" i="78"/>
  <c r="H437" i="78" s="1"/>
  <c r="E294" i="78"/>
  <c r="H295" i="78" s="1"/>
  <c r="D295" i="78"/>
  <c r="F149" i="66"/>
  <c r="G149" i="66" s="1"/>
  <c r="H149" i="66" s="1"/>
  <c r="B108" i="61"/>
  <c r="G70" i="59"/>
  <c r="F71" i="59"/>
  <c r="H70" i="59"/>
  <c r="K73" i="59"/>
  <c r="C73" i="59" s="1"/>
  <c r="D74" i="59"/>
  <c r="G76" i="56"/>
  <c r="F77" i="56"/>
  <c r="H76" i="56"/>
  <c r="F70" i="57"/>
  <c r="H69" i="57"/>
  <c r="G69" i="57"/>
  <c r="D74" i="57"/>
  <c r="K73" i="57"/>
  <c r="C73" i="57" s="1"/>
  <c r="P106" i="61"/>
  <c r="R106" i="61" s="1"/>
  <c r="D107" i="61"/>
  <c r="C107" i="61" s="1"/>
  <c r="E106" i="61"/>
  <c r="F106" i="61" s="1"/>
  <c r="G100" i="61"/>
  <c r="H100" i="61"/>
  <c r="Q105" i="61"/>
  <c r="S105" i="61" s="1"/>
  <c r="T99" i="61"/>
  <c r="U99" i="61" s="1"/>
  <c r="Q100" i="61"/>
  <c r="S100" i="61" s="1"/>
  <c r="T104" i="61"/>
  <c r="U104" i="61" s="1"/>
  <c r="G105" i="61"/>
  <c r="H105" i="61"/>
  <c r="S81" i="48" l="1"/>
  <c r="U80" i="48"/>
  <c r="V80" i="48" s="1"/>
  <c r="T81" i="48"/>
  <c r="R82" i="48"/>
  <c r="T82" i="48" s="1"/>
  <c r="G74" i="60"/>
  <c r="F75" i="60"/>
  <c r="H74" i="60"/>
  <c r="G74" i="53"/>
  <c r="F75" i="53"/>
  <c r="H74" i="53"/>
  <c r="N74" i="41"/>
  <c r="X73" i="41"/>
  <c r="D153" i="78"/>
  <c r="E152" i="78"/>
  <c r="H153" i="78" s="1"/>
  <c r="E437" i="78"/>
  <c r="H438" i="78" s="1"/>
  <c r="D438" i="78"/>
  <c r="D296" i="78"/>
  <c r="E295" i="78"/>
  <c r="H296" i="78" s="1"/>
  <c r="F150" i="66"/>
  <c r="G150" i="66" s="1"/>
  <c r="H150" i="66" s="1"/>
  <c r="B109" i="61"/>
  <c r="D75" i="59"/>
  <c r="K74" i="59"/>
  <c r="C74" i="59" s="1"/>
  <c r="G71" i="59"/>
  <c r="F72" i="59"/>
  <c r="H71" i="59"/>
  <c r="H77" i="56"/>
  <c r="F78" i="56"/>
  <c r="G77" i="56"/>
  <c r="H70" i="57"/>
  <c r="G70" i="57"/>
  <c r="F71" i="57"/>
  <c r="D75" i="57"/>
  <c r="K74" i="57"/>
  <c r="C74" i="57" s="1"/>
  <c r="P107" i="61"/>
  <c r="R107" i="61" s="1"/>
  <c r="E107" i="61"/>
  <c r="F107" i="61" s="1"/>
  <c r="D108" i="61"/>
  <c r="C108" i="61" s="1"/>
  <c r="Q106" i="61"/>
  <c r="S106" i="61" s="1"/>
  <c r="T100" i="61"/>
  <c r="U100" i="61" s="1"/>
  <c r="T105" i="61"/>
  <c r="U105" i="61" s="1"/>
  <c r="H106" i="61"/>
  <c r="G106" i="61"/>
  <c r="S82" i="48" l="1"/>
  <c r="U81" i="48"/>
  <c r="V81" i="48" s="1"/>
  <c r="F76" i="60"/>
  <c r="G75" i="60"/>
  <c r="H75" i="60"/>
  <c r="H75" i="53"/>
  <c r="F76" i="53"/>
  <c r="G75" i="53"/>
  <c r="N75" i="41"/>
  <c r="X74" i="41"/>
  <c r="D154" i="78"/>
  <c r="E154" i="78" s="1"/>
  <c r="E153" i="78"/>
  <c r="H154" i="78" s="1"/>
  <c r="D439" i="78"/>
  <c r="E438" i="78"/>
  <c r="H439" i="78" s="1"/>
  <c r="D297" i="78"/>
  <c r="E296" i="78"/>
  <c r="H297" i="78" s="1"/>
  <c r="F151" i="66"/>
  <c r="G151" i="66" s="1"/>
  <c r="H151" i="66" s="1"/>
  <c r="B110" i="61"/>
  <c r="H72" i="59"/>
  <c r="F73" i="59"/>
  <c r="G72" i="59"/>
  <c r="K75" i="59"/>
  <c r="C75" i="59" s="1"/>
  <c r="D76" i="59"/>
  <c r="H78" i="56"/>
  <c r="F79" i="56"/>
  <c r="G78" i="56"/>
  <c r="H71" i="57"/>
  <c r="G71" i="57"/>
  <c r="F72" i="57"/>
  <c r="T106" i="61"/>
  <c r="U106" i="61" s="1"/>
  <c r="D76" i="57"/>
  <c r="K75" i="57"/>
  <c r="C75" i="57" s="1"/>
  <c r="P108" i="61"/>
  <c r="R108" i="61" s="1"/>
  <c r="D109" i="61"/>
  <c r="C109" i="61" s="1"/>
  <c r="E108" i="61"/>
  <c r="F108" i="61" s="1"/>
  <c r="G107" i="61"/>
  <c r="H107" i="61"/>
  <c r="Q107" i="61"/>
  <c r="S107" i="61" s="1"/>
  <c r="U82" i="48" l="1"/>
  <c r="V82" i="48" s="1"/>
  <c r="R83" i="48"/>
  <c r="F77" i="53"/>
  <c r="H76" i="53"/>
  <c r="G76" i="53"/>
  <c r="F77" i="60"/>
  <c r="G76" i="60"/>
  <c r="H76" i="60"/>
  <c r="N76" i="41"/>
  <c r="X75" i="41"/>
  <c r="D440" i="78"/>
  <c r="E439" i="78"/>
  <c r="H440" i="78" s="1"/>
  <c r="E297" i="78"/>
  <c r="H298" i="78" s="1"/>
  <c r="D298" i="78"/>
  <c r="E298" i="78" s="1"/>
  <c r="F152" i="66"/>
  <c r="G152" i="66" s="1"/>
  <c r="H152" i="66" s="1"/>
  <c r="B111" i="61"/>
  <c r="D77" i="59"/>
  <c r="K76" i="59"/>
  <c r="C76" i="59" s="1"/>
  <c r="H73" i="59"/>
  <c r="F74" i="59"/>
  <c r="G73" i="59"/>
  <c r="G79" i="56"/>
  <c r="F80" i="56"/>
  <c r="H79" i="56"/>
  <c r="G72" i="57"/>
  <c r="F73" i="57"/>
  <c r="H72" i="57"/>
  <c r="K76" i="57"/>
  <c r="C76" i="57" s="1"/>
  <c r="D77" i="57"/>
  <c r="P109" i="61"/>
  <c r="R109" i="61" s="1"/>
  <c r="E109" i="61"/>
  <c r="F109" i="61" s="1"/>
  <c r="D110" i="61"/>
  <c r="C110" i="61" s="1"/>
  <c r="T107" i="61"/>
  <c r="U107" i="61" s="1"/>
  <c r="H108" i="61"/>
  <c r="G108" i="61"/>
  <c r="Q108" i="61"/>
  <c r="S108" i="61" s="1"/>
  <c r="S83" i="48" l="1"/>
  <c r="T83" i="48"/>
  <c r="R84" i="48"/>
  <c r="F78" i="60"/>
  <c r="H77" i="60"/>
  <c r="G77" i="60"/>
  <c r="G77" i="53"/>
  <c r="F78" i="53"/>
  <c r="H77" i="53"/>
  <c r="N77" i="41"/>
  <c r="X76" i="41"/>
  <c r="E440" i="78"/>
  <c r="H441" i="78" s="1"/>
  <c r="D441" i="78"/>
  <c r="F153" i="66"/>
  <c r="G153" i="66" s="1"/>
  <c r="H153" i="66" s="1"/>
  <c r="B112" i="61"/>
  <c r="H74" i="59"/>
  <c r="G74" i="59"/>
  <c r="F75" i="59"/>
  <c r="D78" i="59"/>
  <c r="K77" i="59"/>
  <c r="C77" i="59" s="1"/>
  <c r="G80" i="56"/>
  <c r="F81" i="56"/>
  <c r="H80" i="56"/>
  <c r="G73" i="57"/>
  <c r="F74" i="57"/>
  <c r="H73" i="57"/>
  <c r="K77" i="57"/>
  <c r="C77" i="57" s="1"/>
  <c r="D78" i="57"/>
  <c r="T108" i="61"/>
  <c r="U108" i="61" s="1"/>
  <c r="P110" i="61"/>
  <c r="R110" i="61" s="1"/>
  <c r="E110" i="61"/>
  <c r="F110" i="61" s="1"/>
  <c r="D111" i="61"/>
  <c r="C111" i="61" s="1"/>
  <c r="H109" i="61"/>
  <c r="G109" i="61"/>
  <c r="Q109" i="61"/>
  <c r="S109" i="61" s="1"/>
  <c r="T84" i="48" l="1"/>
  <c r="R85" i="48"/>
  <c r="S84" i="48"/>
  <c r="U83" i="48"/>
  <c r="V83" i="48" s="1"/>
  <c r="H78" i="53"/>
  <c r="F79" i="53"/>
  <c r="G78" i="53"/>
  <c r="H78" i="60"/>
  <c r="F79" i="60"/>
  <c r="G78" i="60"/>
  <c r="N78" i="41"/>
  <c r="X77" i="41"/>
  <c r="D442" i="78"/>
  <c r="E442" i="78" s="1"/>
  <c r="E441" i="78"/>
  <c r="H442" i="78" s="1"/>
  <c r="F154" i="66"/>
  <c r="G154" i="66" s="1"/>
  <c r="H154" i="66" s="1"/>
  <c r="B113" i="61"/>
  <c r="K78" i="59"/>
  <c r="C78" i="59" s="1"/>
  <c r="D79" i="59"/>
  <c r="G75" i="59"/>
  <c r="H75" i="59"/>
  <c r="F76" i="59"/>
  <c r="G81" i="56"/>
  <c r="F82" i="56"/>
  <c r="F83" i="56" s="1"/>
  <c r="H81" i="56"/>
  <c r="F75" i="57"/>
  <c r="H74" i="57"/>
  <c r="G74" i="57"/>
  <c r="T109" i="61"/>
  <c r="U109" i="61" s="1"/>
  <c r="K78" i="57"/>
  <c r="C78" i="57" s="1"/>
  <c r="D79" i="57"/>
  <c r="P111" i="61"/>
  <c r="R111" i="61" s="1"/>
  <c r="D112" i="61"/>
  <c r="C112" i="61" s="1"/>
  <c r="E111" i="61"/>
  <c r="F111" i="61" s="1"/>
  <c r="G110" i="61"/>
  <c r="H110" i="61"/>
  <c r="Q110" i="61"/>
  <c r="S110" i="61" s="1"/>
  <c r="S85" i="48" l="1"/>
  <c r="U84" i="48"/>
  <c r="V84" i="48" s="1"/>
  <c r="T85" i="48"/>
  <c r="R86" i="48"/>
  <c r="H83" i="56"/>
  <c r="F84" i="56"/>
  <c r="G83" i="56"/>
  <c r="G79" i="53"/>
  <c r="H79" i="53"/>
  <c r="F80" i="53"/>
  <c r="G79" i="60"/>
  <c r="H79" i="60"/>
  <c r="F80" i="60"/>
  <c r="N79" i="41"/>
  <c r="X78" i="41"/>
  <c r="F155" i="66"/>
  <c r="G155" i="66" s="1"/>
  <c r="H155" i="66" s="1"/>
  <c r="B114" i="61"/>
  <c r="H76" i="59"/>
  <c r="F77" i="59"/>
  <c r="G76" i="59"/>
  <c r="D80" i="59"/>
  <c r="K79" i="59"/>
  <c r="C79" i="59" s="1"/>
  <c r="G82" i="56"/>
  <c r="H82" i="56"/>
  <c r="H75" i="57"/>
  <c r="G75" i="57"/>
  <c r="F76" i="57"/>
  <c r="T110" i="61"/>
  <c r="U110" i="61" s="1"/>
  <c r="D80" i="57"/>
  <c r="K79" i="57"/>
  <c r="C79" i="57" s="1"/>
  <c r="H111" i="61"/>
  <c r="G111" i="61"/>
  <c r="P112" i="61"/>
  <c r="R112" i="61" s="1"/>
  <c r="E112" i="61"/>
  <c r="F112" i="61" s="1"/>
  <c r="D113" i="61"/>
  <c r="C113" i="61" s="1"/>
  <c r="Q111" i="61"/>
  <c r="S111" i="61" s="1"/>
  <c r="R87" i="48" l="1"/>
  <c r="T86" i="48"/>
  <c r="S86" i="48"/>
  <c r="U85" i="48"/>
  <c r="V85" i="48" s="1"/>
  <c r="G80" i="53"/>
  <c r="H80" i="53"/>
  <c r="F81" i="53"/>
  <c r="F85" i="56"/>
  <c r="G84" i="56"/>
  <c r="H84" i="56"/>
  <c r="G80" i="60"/>
  <c r="H80" i="60"/>
  <c r="F81" i="60"/>
  <c r="N80" i="41"/>
  <c r="X79" i="41"/>
  <c r="F156" i="66"/>
  <c r="G156" i="66" s="1"/>
  <c r="H156" i="66" s="1"/>
  <c r="B115" i="61"/>
  <c r="K80" i="59"/>
  <c r="C80" i="59" s="1"/>
  <c r="D81" i="59"/>
  <c r="F78" i="59"/>
  <c r="H77" i="59"/>
  <c r="G77" i="59"/>
  <c r="F77" i="57"/>
  <c r="H76" i="57"/>
  <c r="G76" i="57"/>
  <c r="K80" i="57"/>
  <c r="C80" i="57" s="1"/>
  <c r="D81" i="57"/>
  <c r="G112" i="61"/>
  <c r="H112" i="61"/>
  <c r="T111" i="61"/>
  <c r="U111" i="61" s="1"/>
  <c r="Q112" i="61"/>
  <c r="S112" i="61" s="1"/>
  <c r="P113" i="61"/>
  <c r="R113" i="61" s="1"/>
  <c r="D114" i="61"/>
  <c r="C114" i="61" s="1"/>
  <c r="E113" i="61"/>
  <c r="F113" i="61" s="1"/>
  <c r="S87" i="48" l="1"/>
  <c r="U86" i="48"/>
  <c r="V86" i="48" s="1"/>
  <c r="R88" i="48"/>
  <c r="T87" i="48"/>
  <c r="F86" i="56"/>
  <c r="G85" i="56"/>
  <c r="H85" i="56"/>
  <c r="F82" i="53"/>
  <c r="H81" i="53"/>
  <c r="G81" i="53"/>
  <c r="G81" i="60"/>
  <c r="F82" i="60"/>
  <c r="H81" i="60"/>
  <c r="N81" i="41"/>
  <c r="X80" i="41"/>
  <c r="F157" i="66"/>
  <c r="G157" i="66" s="1"/>
  <c r="H157" i="66" s="1"/>
  <c r="B116" i="61"/>
  <c r="G78" i="59"/>
  <c r="F79" i="59"/>
  <c r="H78" i="59"/>
  <c r="D82" i="59"/>
  <c r="K81" i="59"/>
  <c r="C81" i="59" s="1"/>
  <c r="H77" i="57"/>
  <c r="G77" i="57"/>
  <c r="F78" i="57"/>
  <c r="T112" i="61"/>
  <c r="U112" i="61" s="1"/>
  <c r="D82" i="57"/>
  <c r="K81" i="57"/>
  <c r="C81" i="57" s="1"/>
  <c r="P114" i="61"/>
  <c r="R114" i="61" s="1"/>
  <c r="D115" i="61"/>
  <c r="C115" i="61" s="1"/>
  <c r="E114" i="61"/>
  <c r="F114" i="61" s="1"/>
  <c r="G113" i="61"/>
  <c r="H113" i="61"/>
  <c r="Q113" i="61"/>
  <c r="S113" i="61" s="1"/>
  <c r="R89" i="48" l="1"/>
  <c r="T88" i="48"/>
  <c r="S88" i="48"/>
  <c r="U87" i="48"/>
  <c r="V87" i="48" s="1"/>
  <c r="H82" i="60"/>
  <c r="G82" i="60"/>
  <c r="H82" i="53"/>
  <c r="G82" i="53"/>
  <c r="F87" i="56"/>
  <c r="H86" i="56"/>
  <c r="G86" i="56"/>
  <c r="N82" i="41"/>
  <c r="X81" i="41"/>
  <c r="F158" i="66"/>
  <c r="G158" i="66" s="1"/>
  <c r="H158" i="66" s="1"/>
  <c r="B117" i="61"/>
  <c r="K82" i="59"/>
  <c r="C82" i="59" s="1"/>
  <c r="D83" i="59"/>
  <c r="H79" i="59"/>
  <c r="G79" i="59"/>
  <c r="F80" i="59"/>
  <c r="H78" i="57"/>
  <c r="G78" i="57"/>
  <c r="F79" i="57"/>
  <c r="K82" i="57"/>
  <c r="C82" i="57" s="1"/>
  <c r="D83" i="57"/>
  <c r="T113" i="61"/>
  <c r="U113" i="61" s="1"/>
  <c r="G114" i="61"/>
  <c r="H114" i="61"/>
  <c r="P115" i="61"/>
  <c r="R115" i="61" s="1"/>
  <c r="E115" i="61"/>
  <c r="F115" i="61" s="1"/>
  <c r="D116" i="61"/>
  <c r="C116" i="61" s="1"/>
  <c r="Q114" i="61"/>
  <c r="S114" i="61" s="1"/>
  <c r="S89" i="48" l="1"/>
  <c r="U88" i="48"/>
  <c r="V88" i="48" s="1"/>
  <c r="R90" i="48"/>
  <c r="T89" i="48"/>
  <c r="G87" i="56"/>
  <c r="H87" i="56"/>
  <c r="F88" i="56"/>
  <c r="N83" i="41"/>
  <c r="X82" i="41"/>
  <c r="F159" i="66"/>
  <c r="G159" i="66" s="1"/>
  <c r="H159" i="66" s="1"/>
  <c r="B118" i="61"/>
  <c r="K83" i="59"/>
  <c r="C83" i="59" s="1"/>
  <c r="D84" i="59"/>
  <c r="H80" i="59"/>
  <c r="F81" i="59"/>
  <c r="G80" i="59"/>
  <c r="F80" i="57"/>
  <c r="G79" i="57"/>
  <c r="H79" i="57"/>
  <c r="D84" i="57"/>
  <c r="K83" i="57"/>
  <c r="C83" i="57" s="1"/>
  <c r="Q115" i="61"/>
  <c r="S115" i="61" s="1"/>
  <c r="T114" i="61"/>
  <c r="U114" i="61" s="1"/>
  <c r="P116" i="61"/>
  <c r="R116" i="61" s="1"/>
  <c r="E116" i="61"/>
  <c r="F116" i="61" s="1"/>
  <c r="D117" i="61"/>
  <c r="C117" i="61" s="1"/>
  <c r="H115" i="61"/>
  <c r="G115" i="61"/>
  <c r="T90" i="48" l="1"/>
  <c r="R91" i="48"/>
  <c r="S90" i="48"/>
  <c r="U89" i="48"/>
  <c r="V89" i="48" s="1"/>
  <c r="C84" i="59"/>
  <c r="C84" i="57"/>
  <c r="F89" i="56"/>
  <c r="H88" i="56"/>
  <c r="G88" i="56"/>
  <c r="N84" i="41"/>
  <c r="X83" i="41"/>
  <c r="F160" i="66"/>
  <c r="G160" i="66" s="1"/>
  <c r="H160" i="66" s="1"/>
  <c r="B119" i="61"/>
  <c r="H81" i="59"/>
  <c r="G81" i="59"/>
  <c r="F82" i="59"/>
  <c r="K84" i="59"/>
  <c r="D85" i="59"/>
  <c r="G80" i="57"/>
  <c r="F81" i="57"/>
  <c r="H80" i="57"/>
  <c r="K84" i="57"/>
  <c r="D85" i="57"/>
  <c r="P117" i="61"/>
  <c r="R117" i="61" s="1"/>
  <c r="D118" i="61"/>
  <c r="C118" i="61" s="1"/>
  <c r="E117" i="61"/>
  <c r="F117" i="61" s="1"/>
  <c r="Q116" i="61"/>
  <c r="S116" i="61" s="1"/>
  <c r="G116" i="61"/>
  <c r="H116" i="61"/>
  <c r="T115" i="61"/>
  <c r="U115" i="61" s="1"/>
  <c r="S91" i="48" l="1"/>
  <c r="U90" i="48"/>
  <c r="V90" i="48" s="1"/>
  <c r="R92" i="48"/>
  <c r="T91" i="48"/>
  <c r="G89" i="56"/>
  <c r="H89" i="56"/>
  <c r="F90" i="56"/>
  <c r="N85" i="41"/>
  <c r="X84" i="41"/>
  <c r="F161" i="66"/>
  <c r="G161" i="66" s="1"/>
  <c r="H161" i="66" s="1"/>
  <c r="B120" i="61"/>
  <c r="F83" i="59"/>
  <c r="H82" i="59"/>
  <c r="G82" i="59"/>
  <c r="D86" i="59"/>
  <c r="K85" i="59"/>
  <c r="C85" i="59" s="1"/>
  <c r="H81" i="57"/>
  <c r="F82" i="57"/>
  <c r="G81" i="57"/>
  <c r="D86" i="57"/>
  <c r="K85" i="57"/>
  <c r="C85" i="57" s="1"/>
  <c r="G117" i="61"/>
  <c r="H117" i="61"/>
  <c r="P118" i="61"/>
  <c r="R118" i="61" s="1"/>
  <c r="D119" i="61"/>
  <c r="C119" i="61" s="1"/>
  <c r="E118" i="61"/>
  <c r="F118" i="61" s="1"/>
  <c r="T116" i="61"/>
  <c r="U116" i="61" s="1"/>
  <c r="Q117" i="61"/>
  <c r="S117" i="61" s="1"/>
  <c r="R93" i="48" l="1"/>
  <c r="T92" i="48"/>
  <c r="C86" i="59"/>
  <c r="S92" i="48"/>
  <c r="U91" i="48"/>
  <c r="V91" i="48" s="1"/>
  <c r="F91" i="56"/>
  <c r="H90" i="56"/>
  <c r="G90" i="56"/>
  <c r="N86" i="41"/>
  <c r="X85" i="41"/>
  <c r="F162" i="66"/>
  <c r="G162" i="66" s="1"/>
  <c r="H162" i="66" s="1"/>
  <c r="B121" i="61"/>
  <c r="K86" i="59"/>
  <c r="D87" i="59"/>
  <c r="F84" i="59"/>
  <c r="G83" i="59"/>
  <c r="H83" i="59"/>
  <c r="H82" i="57"/>
  <c r="F83" i="57"/>
  <c r="G82" i="57"/>
  <c r="T117" i="61"/>
  <c r="U117" i="61" s="1"/>
  <c r="D87" i="57"/>
  <c r="K86" i="57"/>
  <c r="C86" i="57" s="1"/>
  <c r="P119" i="61"/>
  <c r="R119" i="61" s="1"/>
  <c r="E119" i="61"/>
  <c r="F119" i="61" s="1"/>
  <c r="D120" i="61"/>
  <c r="C120" i="61" s="1"/>
  <c r="Q118" i="61"/>
  <c r="S118" i="61" s="1"/>
  <c r="H118" i="61"/>
  <c r="G118" i="61"/>
  <c r="S93" i="48" l="1"/>
  <c r="U92" i="48"/>
  <c r="V92" i="48" s="1"/>
  <c r="R94" i="48"/>
  <c r="T94" i="48" s="1"/>
  <c r="T93" i="48"/>
  <c r="C87" i="57"/>
  <c r="F92" i="56"/>
  <c r="H91" i="56"/>
  <c r="G91" i="56"/>
  <c r="N87" i="41"/>
  <c r="X86" i="41"/>
  <c r="F163" i="66"/>
  <c r="G163" i="66" s="1"/>
  <c r="H163" i="66" s="1"/>
  <c r="B122" i="61"/>
  <c r="G84" i="59"/>
  <c r="F85" i="59"/>
  <c r="H84" i="59"/>
  <c r="D88" i="59"/>
  <c r="K87" i="59"/>
  <c r="C87" i="59" s="1"/>
  <c r="G83" i="57"/>
  <c r="H83" i="57"/>
  <c r="F84" i="57"/>
  <c r="T118" i="61"/>
  <c r="U118" i="61" s="1"/>
  <c r="K87" i="57"/>
  <c r="D88" i="57"/>
  <c r="P120" i="61"/>
  <c r="R120" i="61" s="1"/>
  <c r="E120" i="61"/>
  <c r="F120" i="61" s="1"/>
  <c r="D121" i="61"/>
  <c r="C121" i="61" s="1"/>
  <c r="G119" i="61"/>
  <c r="H119" i="61"/>
  <c r="Q119" i="61"/>
  <c r="S119" i="61" s="1"/>
  <c r="S94" i="48" l="1"/>
  <c r="U93" i="48"/>
  <c r="V93" i="48" s="1"/>
  <c r="H92" i="56"/>
  <c r="G92" i="56"/>
  <c r="F93" i="56"/>
  <c r="N88" i="41"/>
  <c r="X87" i="41"/>
  <c r="F164" i="66"/>
  <c r="G164" i="66" s="1"/>
  <c r="H164" i="66" s="1"/>
  <c r="B123" i="61"/>
  <c r="K88" i="59"/>
  <c r="C88" i="59" s="1"/>
  <c r="D89" i="59"/>
  <c r="F86" i="59"/>
  <c r="G85" i="59"/>
  <c r="H85" i="59"/>
  <c r="F85" i="57"/>
  <c r="H84" i="57"/>
  <c r="G84" i="57"/>
  <c r="D89" i="57"/>
  <c r="K88" i="57"/>
  <c r="C88" i="57" s="1"/>
  <c r="T119" i="61"/>
  <c r="U119" i="61" s="1"/>
  <c r="P121" i="61"/>
  <c r="R121" i="61" s="1"/>
  <c r="D122" i="61"/>
  <c r="C122" i="61" s="1"/>
  <c r="E121" i="61"/>
  <c r="F121" i="61" s="1"/>
  <c r="G120" i="61"/>
  <c r="H120" i="61"/>
  <c r="Q120" i="61"/>
  <c r="S120" i="61" s="1"/>
  <c r="R95" i="48" l="1"/>
  <c r="U94" i="48"/>
  <c r="V94" i="48" s="1"/>
  <c r="F94" i="56"/>
  <c r="G93" i="56"/>
  <c r="H93" i="56"/>
  <c r="N89" i="41"/>
  <c r="X88" i="41"/>
  <c r="F165" i="66"/>
  <c r="G165" i="66" s="1"/>
  <c r="H165" i="66" s="1"/>
  <c r="B124" i="61"/>
  <c r="G86" i="59"/>
  <c r="F87" i="59"/>
  <c r="H86" i="59"/>
  <c r="K89" i="59"/>
  <c r="C89" i="59" s="1"/>
  <c r="D90" i="59"/>
  <c r="H85" i="57"/>
  <c r="G85" i="57"/>
  <c r="F86" i="57"/>
  <c r="T120" i="61"/>
  <c r="U120" i="61" s="1"/>
  <c r="D90" i="57"/>
  <c r="K89" i="57"/>
  <c r="C89" i="57" s="1"/>
  <c r="H121" i="61"/>
  <c r="G121" i="61"/>
  <c r="P122" i="61"/>
  <c r="R122" i="61" s="1"/>
  <c r="D123" i="61"/>
  <c r="C123" i="61" s="1"/>
  <c r="E122" i="61"/>
  <c r="F122" i="61" s="1"/>
  <c r="Q121" i="61"/>
  <c r="S121" i="61" s="1"/>
  <c r="S95" i="48" l="1"/>
  <c r="R96" i="48"/>
  <c r="T95" i="48"/>
  <c r="C90" i="59"/>
  <c r="G94" i="56"/>
  <c r="F95" i="56"/>
  <c r="H94" i="56"/>
  <c r="N90" i="41"/>
  <c r="X89" i="41"/>
  <c r="F166" i="66"/>
  <c r="G166" i="66" s="1"/>
  <c r="H166" i="66" s="1"/>
  <c r="B125" i="61"/>
  <c r="F88" i="59"/>
  <c r="G87" i="59"/>
  <c r="H87" i="59"/>
  <c r="K90" i="59"/>
  <c r="D91" i="59"/>
  <c r="F87" i="57"/>
  <c r="G86" i="57"/>
  <c r="H86" i="57"/>
  <c r="K90" i="57"/>
  <c r="C90" i="57" s="1"/>
  <c r="D91" i="57"/>
  <c r="P123" i="61"/>
  <c r="R123" i="61" s="1"/>
  <c r="D124" i="61"/>
  <c r="C124" i="61" s="1"/>
  <c r="E123" i="61"/>
  <c r="F123" i="61" s="1"/>
  <c r="T121" i="61"/>
  <c r="U121" i="61" s="1"/>
  <c r="Q122" i="61"/>
  <c r="S122" i="61" s="1"/>
  <c r="G122" i="61"/>
  <c r="H122" i="61"/>
  <c r="R97" i="48" l="1"/>
  <c r="T96" i="48"/>
  <c r="S96" i="48"/>
  <c r="U95" i="48"/>
  <c r="V95" i="48" s="1"/>
  <c r="F96" i="56"/>
  <c r="G95" i="56"/>
  <c r="H95" i="56"/>
  <c r="N91" i="41"/>
  <c r="X90" i="41"/>
  <c r="F167" i="66"/>
  <c r="G167" i="66" s="1"/>
  <c r="H167" i="66" s="1"/>
  <c r="B126" i="61"/>
  <c r="K91" i="59"/>
  <c r="C91" i="59" s="1"/>
  <c r="D92" i="59"/>
  <c r="H88" i="59"/>
  <c r="G88" i="59"/>
  <c r="F89" i="59"/>
  <c r="H87" i="57"/>
  <c r="G87" i="57"/>
  <c r="F88" i="57"/>
  <c r="T122" i="61"/>
  <c r="U122" i="61" s="1"/>
  <c r="D92" i="57"/>
  <c r="K91" i="57"/>
  <c r="C91" i="57" s="1"/>
  <c r="P124" i="61"/>
  <c r="R124" i="61" s="1"/>
  <c r="E124" i="61"/>
  <c r="F124" i="61" s="1"/>
  <c r="D125" i="61"/>
  <c r="C125" i="61" s="1"/>
  <c r="G123" i="61"/>
  <c r="H123" i="61"/>
  <c r="Q123" i="61"/>
  <c r="S123" i="61" s="1"/>
  <c r="S97" i="48" l="1"/>
  <c r="U96" i="48"/>
  <c r="V96" i="48" s="1"/>
  <c r="R98" i="48"/>
  <c r="T97" i="48"/>
  <c r="F97" i="56"/>
  <c r="H96" i="56"/>
  <c r="G96" i="56"/>
  <c r="N92" i="41"/>
  <c r="X91" i="41"/>
  <c r="F168" i="66"/>
  <c r="G168" i="66" s="1"/>
  <c r="H168" i="66" s="1"/>
  <c r="B127" i="61"/>
  <c r="K92" i="59"/>
  <c r="C92" i="59" s="1"/>
  <c r="D93" i="59"/>
  <c r="G89" i="59"/>
  <c r="F90" i="59"/>
  <c r="H89" i="59"/>
  <c r="F89" i="57"/>
  <c r="H88" i="57"/>
  <c r="G88" i="57"/>
  <c r="D93" i="57"/>
  <c r="K92" i="57"/>
  <c r="C92" i="57" s="1"/>
  <c r="G124" i="61"/>
  <c r="H124" i="61"/>
  <c r="T123" i="61"/>
  <c r="U123" i="61" s="1"/>
  <c r="P125" i="61"/>
  <c r="R125" i="61" s="1"/>
  <c r="E125" i="61"/>
  <c r="F125" i="61" s="1"/>
  <c r="D126" i="61"/>
  <c r="C126" i="61" s="1"/>
  <c r="Q124" i="61"/>
  <c r="S124" i="61" s="1"/>
  <c r="T98" i="48" l="1"/>
  <c r="R99" i="48"/>
  <c r="S98" i="48"/>
  <c r="U97" i="48"/>
  <c r="V97" i="48" s="1"/>
  <c r="G97" i="56"/>
  <c r="F98" i="56"/>
  <c r="H97" i="56"/>
  <c r="N93" i="41"/>
  <c r="X92" i="41"/>
  <c r="F169" i="66"/>
  <c r="G169" i="66" s="1"/>
  <c r="H169" i="66" s="1"/>
  <c r="B128" i="61"/>
  <c r="F91" i="59"/>
  <c r="H90" i="59"/>
  <c r="G90" i="59"/>
  <c r="K93" i="59"/>
  <c r="C93" i="59" s="1"/>
  <c r="D94" i="59"/>
  <c r="F90" i="57"/>
  <c r="H89" i="57"/>
  <c r="G89" i="57"/>
  <c r="K93" i="57"/>
  <c r="C93" i="57" s="1"/>
  <c r="D94" i="57"/>
  <c r="Q125" i="61"/>
  <c r="S125" i="61" s="1"/>
  <c r="T124" i="61"/>
  <c r="U124" i="61" s="1"/>
  <c r="P126" i="61"/>
  <c r="R126" i="61" s="1"/>
  <c r="E126" i="61"/>
  <c r="F126" i="61" s="1"/>
  <c r="D127" i="61"/>
  <c r="C127" i="61" s="1"/>
  <c r="G125" i="61"/>
  <c r="H125" i="61"/>
  <c r="S99" i="48" l="1"/>
  <c r="U98" i="48"/>
  <c r="V98" i="48" s="1"/>
  <c r="T99" i="48"/>
  <c r="R100" i="48"/>
  <c r="C94" i="59"/>
  <c r="G98" i="56"/>
  <c r="F99" i="56"/>
  <c r="H98" i="56"/>
  <c r="N94" i="41"/>
  <c r="X93" i="41"/>
  <c r="F170" i="66"/>
  <c r="G170" i="66" s="1"/>
  <c r="H170" i="66" s="1"/>
  <c r="B129" i="61"/>
  <c r="K94" i="59"/>
  <c r="D95" i="59"/>
  <c r="H91" i="59"/>
  <c r="G91" i="59"/>
  <c r="F92" i="59"/>
  <c r="G90" i="57"/>
  <c r="F91" i="57"/>
  <c r="H90" i="57"/>
  <c r="T125" i="61"/>
  <c r="U125" i="61" s="1"/>
  <c r="K94" i="57"/>
  <c r="C94" i="57" s="1"/>
  <c r="D95" i="57"/>
  <c r="P127" i="61"/>
  <c r="R127" i="61" s="1"/>
  <c r="D128" i="61"/>
  <c r="C128" i="61" s="1"/>
  <c r="E127" i="61"/>
  <c r="F127" i="61" s="1"/>
  <c r="Q126" i="61"/>
  <c r="S126" i="61" s="1"/>
  <c r="H126" i="61"/>
  <c r="G126" i="61"/>
  <c r="T100" i="48" l="1"/>
  <c r="R101" i="48"/>
  <c r="C95" i="57"/>
  <c r="S100" i="48"/>
  <c r="U99" i="48"/>
  <c r="V99" i="48" s="1"/>
  <c r="F100" i="56"/>
  <c r="H99" i="56"/>
  <c r="G99" i="56"/>
  <c r="N95" i="41"/>
  <c r="X94" i="41"/>
  <c r="F171" i="66"/>
  <c r="G171" i="66" s="1"/>
  <c r="H171" i="66" s="1"/>
  <c r="B130" i="61"/>
  <c r="G92" i="59"/>
  <c r="F93" i="59"/>
  <c r="H92" i="59"/>
  <c r="D96" i="59"/>
  <c r="K95" i="59"/>
  <c r="C95" i="59" s="1"/>
  <c r="F92" i="57"/>
  <c r="G91" i="57"/>
  <c r="H91" i="57"/>
  <c r="K95" i="57"/>
  <c r="D96" i="57"/>
  <c r="H127" i="61"/>
  <c r="G127" i="61"/>
  <c r="P128" i="61"/>
  <c r="R128" i="61" s="1"/>
  <c r="D129" i="61"/>
  <c r="C129" i="61" s="1"/>
  <c r="E128" i="61"/>
  <c r="F128" i="61" s="1"/>
  <c r="T126" i="61"/>
  <c r="U126" i="61" s="1"/>
  <c r="Q127" i="61"/>
  <c r="S127" i="61" s="1"/>
  <c r="S101" i="48" l="1"/>
  <c r="U100" i="48"/>
  <c r="V100" i="48" s="1"/>
  <c r="C96" i="59"/>
  <c r="T101" i="48"/>
  <c r="R102" i="48"/>
  <c r="G100" i="56"/>
  <c r="F101" i="56"/>
  <c r="H100" i="56"/>
  <c r="N96" i="41"/>
  <c r="X95" i="41"/>
  <c r="F172" i="66"/>
  <c r="G172" i="66" s="1"/>
  <c r="H172" i="66" s="1"/>
  <c r="B131" i="61"/>
  <c r="D97" i="59"/>
  <c r="K96" i="59"/>
  <c r="G93" i="59"/>
  <c r="H93" i="59"/>
  <c r="F94" i="59"/>
  <c r="H92" i="57"/>
  <c r="G92" i="57"/>
  <c r="F93" i="57"/>
  <c r="K96" i="57"/>
  <c r="C96" i="57" s="1"/>
  <c r="D97" i="57"/>
  <c r="Q128" i="61"/>
  <c r="S128" i="61" s="1"/>
  <c r="T127" i="61"/>
  <c r="U127" i="61" s="1"/>
  <c r="P129" i="61"/>
  <c r="R129" i="61" s="1"/>
  <c r="E129" i="61"/>
  <c r="F129" i="61" s="1"/>
  <c r="D130" i="61"/>
  <c r="C130" i="61" s="1"/>
  <c r="H128" i="61"/>
  <c r="G128" i="61"/>
  <c r="R103" i="48" l="1"/>
  <c r="T102" i="48"/>
  <c r="S102" i="48"/>
  <c r="U101" i="48"/>
  <c r="V101" i="48" s="1"/>
  <c r="C97" i="57"/>
  <c r="F102" i="56"/>
  <c r="G101" i="56"/>
  <c r="H101" i="56"/>
  <c r="N97" i="41"/>
  <c r="X96" i="41"/>
  <c r="F173" i="66"/>
  <c r="G173" i="66" s="1"/>
  <c r="H173" i="66" s="1"/>
  <c r="B132" i="61"/>
  <c r="F95" i="59"/>
  <c r="G94" i="59"/>
  <c r="H94" i="59"/>
  <c r="D98" i="59"/>
  <c r="K97" i="59"/>
  <c r="C97" i="59" s="1"/>
  <c r="F94" i="57"/>
  <c r="G93" i="57"/>
  <c r="H93" i="57"/>
  <c r="D98" i="57"/>
  <c r="K97" i="57"/>
  <c r="Q129" i="61"/>
  <c r="S129" i="61" s="1"/>
  <c r="P130" i="61"/>
  <c r="R130" i="61" s="1"/>
  <c r="E130" i="61"/>
  <c r="F130" i="61" s="1"/>
  <c r="D131" i="61"/>
  <c r="C131" i="61" s="1"/>
  <c r="H129" i="61"/>
  <c r="G129" i="61"/>
  <c r="T128" i="61"/>
  <c r="U128" i="61" s="1"/>
  <c r="S103" i="48" l="1"/>
  <c r="U102" i="48"/>
  <c r="V102" i="48" s="1"/>
  <c r="R104" i="48"/>
  <c r="T103" i="48"/>
  <c r="C98" i="59"/>
  <c r="G102" i="56"/>
  <c r="F103" i="56"/>
  <c r="H102" i="56"/>
  <c r="N98" i="41"/>
  <c r="X97" i="41"/>
  <c r="F174" i="66"/>
  <c r="G174" i="66" s="1"/>
  <c r="H174" i="66" s="1"/>
  <c r="B133" i="61"/>
  <c r="K98" i="59"/>
  <c r="D99" i="59"/>
  <c r="F96" i="59"/>
  <c r="G95" i="59"/>
  <c r="H95" i="59"/>
  <c r="G94" i="57"/>
  <c r="F95" i="57"/>
  <c r="H94" i="57"/>
  <c r="T129" i="61"/>
  <c r="U129" i="61" s="1"/>
  <c r="K98" i="57"/>
  <c r="C98" i="57" s="1"/>
  <c r="D99" i="57"/>
  <c r="G130" i="61"/>
  <c r="H130" i="61"/>
  <c r="Q130" i="61"/>
  <c r="S130" i="61" s="1"/>
  <c r="P131" i="61"/>
  <c r="R131" i="61" s="1"/>
  <c r="D132" i="61"/>
  <c r="C132" i="61" s="1"/>
  <c r="E131" i="61"/>
  <c r="F131" i="61" s="1"/>
  <c r="R105" i="48" l="1"/>
  <c r="T104" i="48"/>
  <c r="C99" i="57"/>
  <c r="S104" i="48"/>
  <c r="U103" i="48"/>
  <c r="V103" i="48" s="1"/>
  <c r="F104" i="56"/>
  <c r="G103" i="56"/>
  <c r="H103" i="56"/>
  <c r="N99" i="41"/>
  <c r="X98" i="41"/>
  <c r="F175" i="66"/>
  <c r="G175" i="66" s="1"/>
  <c r="H175" i="66" s="1"/>
  <c r="B134" i="61"/>
  <c r="H96" i="59"/>
  <c r="G96" i="59"/>
  <c r="F97" i="59"/>
  <c r="K99" i="59"/>
  <c r="C99" i="59" s="1"/>
  <c r="D100" i="59"/>
  <c r="F96" i="57"/>
  <c r="G95" i="57"/>
  <c r="H95" i="57"/>
  <c r="D100" i="57"/>
  <c r="K99" i="57"/>
  <c r="G131" i="61"/>
  <c r="H131" i="61"/>
  <c r="T130" i="61"/>
  <c r="U130" i="61" s="1"/>
  <c r="P132" i="61"/>
  <c r="R132" i="61" s="1"/>
  <c r="D133" i="61"/>
  <c r="C133" i="61" s="1"/>
  <c r="E132" i="61"/>
  <c r="F132" i="61" s="1"/>
  <c r="Q131" i="61"/>
  <c r="S131" i="61" s="1"/>
  <c r="S105" i="48" l="1"/>
  <c r="U104" i="48"/>
  <c r="V104" i="48" s="1"/>
  <c r="R106" i="48"/>
  <c r="T106" i="48" s="1"/>
  <c r="T105" i="48"/>
  <c r="F105" i="56"/>
  <c r="H104" i="56"/>
  <c r="G104" i="56"/>
  <c r="N100" i="41"/>
  <c r="X99" i="41"/>
  <c r="F176" i="66"/>
  <c r="G176" i="66" s="1"/>
  <c r="H176" i="66" s="1"/>
  <c r="B135" i="61"/>
  <c r="F98" i="59"/>
  <c r="G97" i="59"/>
  <c r="H97" i="59"/>
  <c r="D101" i="59"/>
  <c r="K100" i="59"/>
  <c r="C100" i="59" s="1"/>
  <c r="F97" i="57"/>
  <c r="H96" i="57"/>
  <c r="G96" i="57"/>
  <c r="K100" i="57"/>
  <c r="C100" i="57" s="1"/>
  <c r="D101" i="57"/>
  <c r="Q132" i="61"/>
  <c r="S132" i="61" s="1"/>
  <c r="T131" i="61"/>
  <c r="U131" i="61" s="1"/>
  <c r="H132" i="61"/>
  <c r="G132" i="61"/>
  <c r="P133" i="61"/>
  <c r="R133" i="61" s="1"/>
  <c r="D134" i="61"/>
  <c r="C134" i="61" s="1"/>
  <c r="E133" i="61"/>
  <c r="F133" i="61" s="1"/>
  <c r="S106" i="48" l="1"/>
  <c r="U105" i="48"/>
  <c r="V105" i="48" s="1"/>
  <c r="H105" i="56"/>
  <c r="G105" i="56"/>
  <c r="F106" i="56"/>
  <c r="N101" i="41"/>
  <c r="X100" i="41"/>
  <c r="F177" i="66"/>
  <c r="G177" i="66" s="1"/>
  <c r="H177" i="66" s="1"/>
  <c r="B136" i="61"/>
  <c r="K101" i="59"/>
  <c r="C101" i="59" s="1"/>
  <c r="D102" i="59"/>
  <c r="F99" i="59"/>
  <c r="H98" i="59"/>
  <c r="G98" i="59"/>
  <c r="F98" i="57"/>
  <c r="H97" i="57"/>
  <c r="G97" i="57"/>
  <c r="K101" i="57"/>
  <c r="C101" i="57" s="1"/>
  <c r="D102" i="57"/>
  <c r="H133" i="61"/>
  <c r="G133" i="61"/>
  <c r="P134" i="61"/>
  <c r="R134" i="61" s="1"/>
  <c r="E134" i="61"/>
  <c r="F134" i="61" s="1"/>
  <c r="D135" i="61"/>
  <c r="C135" i="61" s="1"/>
  <c r="Q133" i="61"/>
  <c r="S133" i="61" s="1"/>
  <c r="T132" i="61"/>
  <c r="U132" i="61" s="1"/>
  <c r="R107" i="48" l="1"/>
  <c r="U106" i="48"/>
  <c r="V106" i="48" s="1"/>
  <c r="F107" i="56"/>
  <c r="H106" i="56"/>
  <c r="G106" i="56"/>
  <c r="N102" i="41"/>
  <c r="X101" i="41"/>
  <c r="F178" i="66"/>
  <c r="G178" i="66" s="1"/>
  <c r="H178" i="66" s="1"/>
  <c r="B137" i="61"/>
  <c r="F100" i="59"/>
  <c r="H99" i="59"/>
  <c r="G99" i="59"/>
  <c r="K102" i="59"/>
  <c r="C102" i="59" s="1"/>
  <c r="D103" i="59"/>
  <c r="G98" i="57"/>
  <c r="F99" i="57"/>
  <c r="H98" i="57"/>
  <c r="K102" i="57"/>
  <c r="C102" i="57" s="1"/>
  <c r="D103" i="57"/>
  <c r="H134" i="61"/>
  <c r="G134" i="61"/>
  <c r="T133" i="61"/>
  <c r="U133" i="61" s="1"/>
  <c r="Q134" i="61"/>
  <c r="S134" i="61" s="1"/>
  <c r="P135" i="61"/>
  <c r="R135" i="61" s="1"/>
  <c r="E135" i="61"/>
  <c r="F135" i="61" s="1"/>
  <c r="D136" i="61"/>
  <c r="C136" i="61" s="1"/>
  <c r="S107" i="48" l="1"/>
  <c r="T107" i="48"/>
  <c r="R108" i="48"/>
  <c r="F108" i="56"/>
  <c r="G107" i="56"/>
  <c r="H107" i="56"/>
  <c r="N103" i="41"/>
  <c r="X102" i="41"/>
  <c r="F179" i="66"/>
  <c r="G179" i="66" s="1"/>
  <c r="H179" i="66" s="1"/>
  <c r="B138" i="61"/>
  <c r="D104" i="59"/>
  <c r="K103" i="59"/>
  <c r="C103" i="59" s="1"/>
  <c r="G100" i="59"/>
  <c r="H100" i="59"/>
  <c r="F101" i="59"/>
  <c r="F100" i="57"/>
  <c r="H99" i="57"/>
  <c r="G99" i="57"/>
  <c r="D104" i="57"/>
  <c r="K103" i="57"/>
  <c r="C103" i="57" s="1"/>
  <c r="Q135" i="61"/>
  <c r="S135" i="61" s="1"/>
  <c r="P136" i="61"/>
  <c r="R136" i="61" s="1"/>
  <c r="D137" i="61"/>
  <c r="C137" i="61" s="1"/>
  <c r="E136" i="61"/>
  <c r="F136" i="61" s="1"/>
  <c r="H135" i="61"/>
  <c r="G135" i="61"/>
  <c r="T134" i="61"/>
  <c r="U134" i="61" s="1"/>
  <c r="R109" i="48" l="1"/>
  <c r="T108" i="48"/>
  <c r="S108" i="48"/>
  <c r="U107" i="48"/>
  <c r="V107" i="48" s="1"/>
  <c r="G108" i="56"/>
  <c r="F109" i="56"/>
  <c r="H108" i="56"/>
  <c r="N104" i="41"/>
  <c r="X103" i="41"/>
  <c r="F180" i="66"/>
  <c r="G180" i="66" s="1"/>
  <c r="H180" i="66" s="1"/>
  <c r="B139" i="61"/>
  <c r="F102" i="59"/>
  <c r="G101" i="59"/>
  <c r="H101" i="59"/>
  <c r="D105" i="59"/>
  <c r="K104" i="59"/>
  <c r="C104" i="59" s="1"/>
  <c r="F101" i="57"/>
  <c r="H100" i="57"/>
  <c r="G100" i="57"/>
  <c r="T135" i="61"/>
  <c r="U135" i="61" s="1"/>
  <c r="K104" i="57"/>
  <c r="C104" i="57" s="1"/>
  <c r="D105" i="57"/>
  <c r="P137" i="61"/>
  <c r="R137" i="61" s="1"/>
  <c r="D138" i="61"/>
  <c r="C138" i="61" s="1"/>
  <c r="E137" i="61"/>
  <c r="F137" i="61" s="1"/>
  <c r="Q136" i="61"/>
  <c r="S136" i="61" s="1"/>
  <c r="H136" i="61"/>
  <c r="G136" i="61"/>
  <c r="S109" i="48" l="1"/>
  <c r="U108" i="48"/>
  <c r="V108" i="48" s="1"/>
  <c r="T109" i="48"/>
  <c r="R110" i="48"/>
  <c r="C105" i="59"/>
  <c r="F110" i="56"/>
  <c r="H109" i="56"/>
  <c r="G109" i="56"/>
  <c r="N105" i="41"/>
  <c r="X104" i="41"/>
  <c r="F181" i="66"/>
  <c r="G181" i="66" s="1"/>
  <c r="H181" i="66" s="1"/>
  <c r="B140" i="61"/>
  <c r="K105" i="59"/>
  <c r="D106" i="59"/>
  <c r="F103" i="59"/>
  <c r="H102" i="59"/>
  <c r="G102" i="59"/>
  <c r="H101" i="57"/>
  <c r="F102" i="57"/>
  <c r="G101" i="57"/>
  <c r="T136" i="61"/>
  <c r="U136" i="61" s="1"/>
  <c r="K105" i="57"/>
  <c r="C105" i="57" s="1"/>
  <c r="D106" i="57"/>
  <c r="H137" i="61"/>
  <c r="G137" i="61"/>
  <c r="P138" i="61"/>
  <c r="R138" i="61" s="1"/>
  <c r="D139" i="61"/>
  <c r="C139" i="61" s="1"/>
  <c r="E138" i="61"/>
  <c r="F138" i="61" s="1"/>
  <c r="Q137" i="61"/>
  <c r="S137" i="61" s="1"/>
  <c r="R111" i="48" l="1"/>
  <c r="T110" i="48"/>
  <c r="C106" i="57"/>
  <c r="S110" i="48"/>
  <c r="U109" i="48"/>
  <c r="V109" i="48" s="1"/>
  <c r="F111" i="56"/>
  <c r="H110" i="56"/>
  <c r="G110" i="56"/>
  <c r="N106" i="41"/>
  <c r="X105" i="41"/>
  <c r="F182" i="66"/>
  <c r="G182" i="66" s="1"/>
  <c r="H182" i="66" s="1"/>
  <c r="B141" i="61"/>
  <c r="G103" i="59"/>
  <c r="F104" i="59"/>
  <c r="H103" i="59"/>
  <c r="K106" i="59"/>
  <c r="C106" i="59" s="1"/>
  <c r="D107" i="59"/>
  <c r="G102" i="57"/>
  <c r="H102" i="57"/>
  <c r="F103" i="57"/>
  <c r="T137" i="61"/>
  <c r="U137" i="61" s="1"/>
  <c r="K106" i="57"/>
  <c r="D107" i="57"/>
  <c r="Q138" i="61"/>
  <c r="S138" i="61" s="1"/>
  <c r="P139" i="61"/>
  <c r="R139" i="61" s="1"/>
  <c r="E139" i="61"/>
  <c r="F139" i="61" s="1"/>
  <c r="D140" i="61"/>
  <c r="C140" i="61" s="1"/>
  <c r="H138" i="61"/>
  <c r="G138" i="61"/>
  <c r="S111" i="48" l="1"/>
  <c r="U110" i="48"/>
  <c r="V110" i="48" s="1"/>
  <c r="C107" i="57"/>
  <c r="T111" i="48"/>
  <c r="R112" i="48"/>
  <c r="F112" i="56"/>
  <c r="H111" i="56"/>
  <c r="G111" i="56"/>
  <c r="N107" i="41"/>
  <c r="X106" i="41"/>
  <c r="F183" i="66"/>
  <c r="G183" i="66" s="1"/>
  <c r="H183" i="66" s="1"/>
  <c r="B142" i="61"/>
  <c r="G104" i="59"/>
  <c r="H104" i="59"/>
  <c r="F105" i="59"/>
  <c r="D108" i="59"/>
  <c r="K107" i="59"/>
  <c r="C107" i="59" s="1"/>
  <c r="F104" i="57"/>
  <c r="H103" i="57"/>
  <c r="G103" i="57"/>
  <c r="T138" i="61"/>
  <c r="U138" i="61" s="1"/>
  <c r="D108" i="57"/>
  <c r="K107" i="57"/>
  <c r="Q139" i="61"/>
  <c r="S139" i="61" s="1"/>
  <c r="P140" i="61"/>
  <c r="R140" i="61" s="1"/>
  <c r="E140" i="61"/>
  <c r="F140" i="61" s="1"/>
  <c r="D141" i="61"/>
  <c r="C141" i="61" s="1"/>
  <c r="H139" i="61"/>
  <c r="G139" i="61"/>
  <c r="R113" i="48" l="1"/>
  <c r="T112" i="48"/>
  <c r="S112" i="48"/>
  <c r="U111" i="48"/>
  <c r="V111" i="48" s="1"/>
  <c r="C108" i="59"/>
  <c r="F113" i="56"/>
  <c r="H112" i="56"/>
  <c r="G112" i="56"/>
  <c r="N108" i="41"/>
  <c r="X107" i="41"/>
  <c r="F184" i="66"/>
  <c r="G184" i="66" s="1"/>
  <c r="H184" i="66" s="1"/>
  <c r="B143" i="61"/>
  <c r="K108" i="59"/>
  <c r="D109" i="59"/>
  <c r="H105" i="59"/>
  <c r="F106" i="59"/>
  <c r="G105" i="59"/>
  <c r="F105" i="57"/>
  <c r="H104" i="57"/>
  <c r="G104" i="57"/>
  <c r="T139" i="61"/>
  <c r="U139" i="61" s="1"/>
  <c r="D109" i="57"/>
  <c r="K108" i="57"/>
  <c r="C108" i="57" s="1"/>
  <c r="G140" i="61"/>
  <c r="H140" i="61"/>
  <c r="Q140" i="61"/>
  <c r="S140" i="61" s="1"/>
  <c r="P141" i="61"/>
  <c r="R141" i="61" s="1"/>
  <c r="E141" i="61"/>
  <c r="F141" i="61" s="1"/>
  <c r="D142" i="61"/>
  <c r="C142" i="61" s="1"/>
  <c r="S113" i="48" l="1"/>
  <c r="U112" i="48"/>
  <c r="V112" i="48" s="1"/>
  <c r="T113" i="48"/>
  <c r="R114" i="48"/>
  <c r="F114" i="56"/>
  <c r="G113" i="56"/>
  <c r="H113" i="56"/>
  <c r="N109" i="41"/>
  <c r="X108" i="41"/>
  <c r="F185" i="66"/>
  <c r="G185" i="66" s="1"/>
  <c r="H185" i="66" s="1"/>
  <c r="B144" i="61"/>
  <c r="G106" i="59"/>
  <c r="H106" i="59"/>
  <c r="F107" i="59"/>
  <c r="K109" i="59"/>
  <c r="C109" i="59" s="1"/>
  <c r="D110" i="59"/>
  <c r="G105" i="57"/>
  <c r="H105" i="57"/>
  <c r="F106" i="57"/>
  <c r="T140" i="61"/>
  <c r="U140" i="61" s="1"/>
  <c r="K109" i="57"/>
  <c r="C109" i="57" s="1"/>
  <c r="D110" i="57"/>
  <c r="P142" i="61"/>
  <c r="R142" i="61" s="1"/>
  <c r="E142" i="61"/>
  <c r="F142" i="61" s="1"/>
  <c r="D143" i="61"/>
  <c r="C143" i="61" s="1"/>
  <c r="G141" i="61"/>
  <c r="H141" i="61"/>
  <c r="Q141" i="61"/>
  <c r="S141" i="61" s="1"/>
  <c r="C110" i="57" l="1"/>
  <c r="S114" i="48"/>
  <c r="U113" i="48"/>
  <c r="V113" i="48" s="1"/>
  <c r="R115" i="48"/>
  <c r="T114" i="48"/>
  <c r="F115" i="56"/>
  <c r="H114" i="56"/>
  <c r="G114" i="56"/>
  <c r="N110" i="41"/>
  <c r="X109" i="41"/>
  <c r="F186" i="66"/>
  <c r="G186" i="66" s="1"/>
  <c r="H186" i="66" s="1"/>
  <c r="B145" i="61"/>
  <c r="G107" i="59"/>
  <c r="F108" i="59"/>
  <c r="H107" i="59"/>
  <c r="D111" i="59"/>
  <c r="K110" i="59"/>
  <c r="C110" i="59" s="1"/>
  <c r="H106" i="57"/>
  <c r="F107" i="57"/>
  <c r="G106" i="57"/>
  <c r="T141" i="61"/>
  <c r="U141" i="61" s="1"/>
  <c r="K110" i="57"/>
  <c r="D111" i="57"/>
  <c r="P143" i="61"/>
  <c r="R143" i="61" s="1"/>
  <c r="E143" i="61"/>
  <c r="F143" i="61" s="1"/>
  <c r="D144" i="61"/>
  <c r="C144" i="61" s="1"/>
  <c r="H142" i="61"/>
  <c r="G142" i="61"/>
  <c r="Q142" i="61"/>
  <c r="S142" i="61" s="1"/>
  <c r="T115" i="48" l="1"/>
  <c r="R116" i="48"/>
  <c r="S115" i="48"/>
  <c r="U114" i="48"/>
  <c r="V114" i="48" s="1"/>
  <c r="H115" i="56"/>
  <c r="G115" i="56"/>
  <c r="F116" i="56"/>
  <c r="N111" i="41"/>
  <c r="X110" i="41"/>
  <c r="F187" i="66"/>
  <c r="G187" i="66" s="1"/>
  <c r="H187" i="66" s="1"/>
  <c r="B146" i="61"/>
  <c r="D112" i="59"/>
  <c r="K111" i="59"/>
  <c r="C111" i="59" s="1"/>
  <c r="F109" i="59"/>
  <c r="H108" i="59"/>
  <c r="G108" i="59"/>
  <c r="H107" i="57"/>
  <c r="F108" i="57"/>
  <c r="G107" i="57"/>
  <c r="D112" i="57"/>
  <c r="K111" i="57"/>
  <c r="C111" i="57" s="1"/>
  <c r="P144" i="61"/>
  <c r="R144" i="61" s="1"/>
  <c r="E144" i="61"/>
  <c r="F144" i="61" s="1"/>
  <c r="D145" i="61"/>
  <c r="C145" i="61" s="1"/>
  <c r="G143" i="61"/>
  <c r="H143" i="61"/>
  <c r="T142" i="61"/>
  <c r="U142" i="61" s="1"/>
  <c r="Q143" i="61"/>
  <c r="S143" i="61" s="1"/>
  <c r="S116" i="48" l="1"/>
  <c r="U115" i="48"/>
  <c r="V115" i="48" s="1"/>
  <c r="R117" i="48"/>
  <c r="T116" i="48"/>
  <c r="C112" i="57"/>
  <c r="F117" i="56"/>
  <c r="H116" i="56"/>
  <c r="G116" i="56"/>
  <c r="N112" i="41"/>
  <c r="X111" i="41"/>
  <c r="F188" i="66"/>
  <c r="G188" i="66" s="1"/>
  <c r="H188" i="66" s="1"/>
  <c r="B147" i="61"/>
  <c r="G109" i="59"/>
  <c r="H109" i="59"/>
  <c r="F110" i="59"/>
  <c r="K112" i="59"/>
  <c r="C112" i="59" s="1"/>
  <c r="D113" i="59"/>
  <c r="G108" i="57"/>
  <c r="F109" i="57"/>
  <c r="H108" i="57"/>
  <c r="T143" i="61"/>
  <c r="U143" i="61" s="1"/>
  <c r="K112" i="57"/>
  <c r="D113" i="57"/>
  <c r="P145" i="61"/>
  <c r="R145" i="61" s="1"/>
  <c r="D146" i="61"/>
  <c r="C146" i="61" s="1"/>
  <c r="E145" i="61"/>
  <c r="F145" i="61" s="1"/>
  <c r="G144" i="61"/>
  <c r="H144" i="61"/>
  <c r="Q144" i="61"/>
  <c r="S144" i="61" s="1"/>
  <c r="T117" i="48" l="1"/>
  <c r="R118" i="48"/>
  <c r="T118" i="48" s="1"/>
  <c r="C113" i="57"/>
  <c r="S117" i="48"/>
  <c r="U116" i="48"/>
  <c r="V116" i="48" s="1"/>
  <c r="H117" i="56"/>
  <c r="G117" i="56"/>
  <c r="F118" i="56"/>
  <c r="N113" i="41"/>
  <c r="X112" i="41"/>
  <c r="F189" i="66"/>
  <c r="G189" i="66" s="1"/>
  <c r="H189" i="66" s="1"/>
  <c r="B148" i="61"/>
  <c r="G110" i="59"/>
  <c r="H110" i="59"/>
  <c r="F111" i="59"/>
  <c r="D114" i="59"/>
  <c r="K113" i="59"/>
  <c r="C113" i="59" s="1"/>
  <c r="F110" i="57"/>
  <c r="H109" i="57"/>
  <c r="G109" i="57"/>
  <c r="T144" i="61"/>
  <c r="U144" i="61" s="1"/>
  <c r="K113" i="57"/>
  <c r="D114" i="57"/>
  <c r="G145" i="61"/>
  <c r="H145" i="61"/>
  <c r="P146" i="61"/>
  <c r="R146" i="61" s="1"/>
  <c r="E146" i="61"/>
  <c r="F146" i="61" s="1"/>
  <c r="D147" i="61"/>
  <c r="C147" i="61" s="1"/>
  <c r="Q145" i="61"/>
  <c r="S145" i="61" s="1"/>
  <c r="S118" i="48" l="1"/>
  <c r="U117" i="48"/>
  <c r="V117" i="48" s="1"/>
  <c r="H118" i="56"/>
  <c r="G118" i="56"/>
  <c r="N114" i="41"/>
  <c r="X113" i="41"/>
  <c r="F190" i="66"/>
  <c r="G190" i="66" s="1"/>
  <c r="H190" i="66" s="1"/>
  <c r="B149" i="61"/>
  <c r="D115" i="59"/>
  <c r="K114" i="59"/>
  <c r="C114" i="59" s="1"/>
  <c r="H111" i="59"/>
  <c r="F112" i="59"/>
  <c r="G111" i="59"/>
  <c r="F111" i="57"/>
  <c r="H110" i="57"/>
  <c r="G110" i="57"/>
  <c r="D115" i="57"/>
  <c r="K114" i="57"/>
  <c r="C114" i="57" s="1"/>
  <c r="G146" i="61"/>
  <c r="H146" i="61"/>
  <c r="T145" i="61"/>
  <c r="U145" i="61" s="1"/>
  <c r="Q146" i="61"/>
  <c r="S146" i="61" s="1"/>
  <c r="P147" i="61"/>
  <c r="R147" i="61" s="1"/>
  <c r="E147" i="61"/>
  <c r="F147" i="61" s="1"/>
  <c r="D148" i="61"/>
  <c r="C148" i="61" s="1"/>
  <c r="R119" i="48" l="1"/>
  <c r="U118" i="48"/>
  <c r="V118" i="48" s="1"/>
  <c r="N115" i="41"/>
  <c r="X114" i="41"/>
  <c r="F191" i="66"/>
  <c r="G191" i="66" s="1"/>
  <c r="H191" i="66" s="1"/>
  <c r="B150" i="61"/>
  <c r="H112" i="59"/>
  <c r="F113" i="59"/>
  <c r="G112" i="59"/>
  <c r="K115" i="59"/>
  <c r="C115" i="59" s="1"/>
  <c r="D116" i="59"/>
  <c r="F112" i="57"/>
  <c r="H111" i="57"/>
  <c r="G111" i="57"/>
  <c r="T146" i="61"/>
  <c r="U146" i="61" s="1"/>
  <c r="D116" i="57"/>
  <c r="K115" i="57"/>
  <c r="C115" i="57" s="1"/>
  <c r="G147" i="61"/>
  <c r="H147" i="61"/>
  <c r="Q147" i="61"/>
  <c r="S147" i="61" s="1"/>
  <c r="P148" i="61"/>
  <c r="R148" i="61" s="1"/>
  <c r="D149" i="61"/>
  <c r="C149" i="61" s="1"/>
  <c r="E148" i="61"/>
  <c r="F148" i="61" s="1"/>
  <c r="S119" i="48" l="1"/>
  <c r="R120" i="48"/>
  <c r="T119" i="48"/>
  <c r="N116" i="41"/>
  <c r="X115" i="41"/>
  <c r="F192" i="66"/>
  <c r="G192" i="66" s="1"/>
  <c r="H192" i="66" s="1"/>
  <c r="B151" i="61"/>
  <c r="G113" i="59"/>
  <c r="F114" i="59"/>
  <c r="H113" i="59"/>
  <c r="K116" i="59"/>
  <c r="C116" i="59" s="1"/>
  <c r="D117" i="59"/>
  <c r="H112" i="57"/>
  <c r="G112" i="57"/>
  <c r="F113" i="57"/>
  <c r="K116" i="57"/>
  <c r="C116" i="57" s="1"/>
  <c r="D117" i="57"/>
  <c r="G148" i="61"/>
  <c r="H148" i="61"/>
  <c r="T147" i="61"/>
  <c r="U147" i="61" s="1"/>
  <c r="P149" i="61"/>
  <c r="R149" i="61" s="1"/>
  <c r="E149" i="61"/>
  <c r="F149" i="61" s="1"/>
  <c r="D150" i="61"/>
  <c r="C150" i="61" s="1"/>
  <c r="Q148" i="61"/>
  <c r="S148" i="61" s="1"/>
  <c r="R121" i="48" l="1"/>
  <c r="T120" i="48"/>
  <c r="S120" i="48"/>
  <c r="U119" i="48"/>
  <c r="V119" i="48" s="1"/>
  <c r="N117" i="41"/>
  <c r="X116" i="41"/>
  <c r="F193" i="66"/>
  <c r="G193" i="66" s="1"/>
  <c r="H193" i="66" s="1"/>
  <c r="B152" i="61"/>
  <c r="H114" i="59"/>
  <c r="G114" i="59"/>
  <c r="F115" i="59"/>
  <c r="D118" i="59"/>
  <c r="K117" i="59"/>
  <c r="C117" i="59" s="1"/>
  <c r="H113" i="57"/>
  <c r="F114" i="57"/>
  <c r="G113" i="57"/>
  <c r="K117" i="57"/>
  <c r="C117" i="57" s="1"/>
  <c r="D118" i="57"/>
  <c r="Q149" i="61"/>
  <c r="S149" i="61" s="1"/>
  <c r="T148" i="61"/>
  <c r="U148" i="61" s="1"/>
  <c r="P150" i="61"/>
  <c r="R150" i="61" s="1"/>
  <c r="E150" i="61"/>
  <c r="F150" i="61" s="1"/>
  <c r="D151" i="61"/>
  <c r="C151" i="61" s="1"/>
  <c r="G149" i="61"/>
  <c r="H149" i="61"/>
  <c r="S121" i="48" l="1"/>
  <c r="U120" i="48"/>
  <c r="V120" i="48" s="1"/>
  <c r="T121" i="48"/>
  <c r="R122" i="48"/>
  <c r="N118" i="41"/>
  <c r="X117" i="41"/>
  <c r="F194" i="66"/>
  <c r="G194" i="66" s="1"/>
  <c r="H194" i="66" s="1"/>
  <c r="B153" i="61"/>
  <c r="K118" i="59"/>
  <c r="C118" i="59" s="1"/>
  <c r="D119" i="59"/>
  <c r="G115" i="59"/>
  <c r="F116" i="59"/>
  <c r="H115" i="59"/>
  <c r="H114" i="57"/>
  <c r="F115" i="57"/>
  <c r="G114" i="57"/>
  <c r="T149" i="61"/>
  <c r="U149" i="61" s="1"/>
  <c r="D119" i="57"/>
  <c r="K118" i="57"/>
  <c r="C118" i="57" s="1"/>
  <c r="P151" i="61"/>
  <c r="R151" i="61" s="1"/>
  <c r="D152" i="61"/>
  <c r="C152" i="61" s="1"/>
  <c r="E151" i="61"/>
  <c r="F151" i="61" s="1"/>
  <c r="Q150" i="61"/>
  <c r="S150" i="61" s="1"/>
  <c r="G150" i="61"/>
  <c r="H150" i="61"/>
  <c r="S122" i="48" l="1"/>
  <c r="U121" i="48"/>
  <c r="V121" i="48" s="1"/>
  <c r="R123" i="48"/>
  <c r="T122" i="48"/>
  <c r="N119" i="41"/>
  <c r="X118" i="41"/>
  <c r="F195" i="66"/>
  <c r="G195" i="66" s="1"/>
  <c r="H195" i="66" s="1"/>
  <c r="B154" i="61"/>
  <c r="F117" i="59"/>
  <c r="H116" i="59"/>
  <c r="G116" i="59"/>
  <c r="K119" i="59"/>
  <c r="C119" i="59" s="1"/>
  <c r="D120" i="59"/>
  <c r="F116" i="57"/>
  <c r="H115" i="57"/>
  <c r="G115" i="57"/>
  <c r="K119" i="57"/>
  <c r="C119" i="57" s="1"/>
  <c r="D120" i="57"/>
  <c r="G151" i="61"/>
  <c r="H151" i="61"/>
  <c r="P152" i="61"/>
  <c r="R152" i="61" s="1"/>
  <c r="D153" i="61"/>
  <c r="C153" i="61" s="1"/>
  <c r="E152" i="61"/>
  <c r="F152" i="61" s="1"/>
  <c r="T150" i="61"/>
  <c r="U150" i="61" s="1"/>
  <c r="Q151" i="61"/>
  <c r="S151" i="61" s="1"/>
  <c r="T123" i="48" l="1"/>
  <c r="R124" i="48"/>
  <c r="S123" i="48"/>
  <c r="U122" i="48"/>
  <c r="V122" i="48" s="1"/>
  <c r="N120" i="41"/>
  <c r="X119" i="41"/>
  <c r="F196" i="66"/>
  <c r="G196" i="66" s="1"/>
  <c r="H196" i="66" s="1"/>
  <c r="B155" i="61"/>
  <c r="D121" i="59"/>
  <c r="K120" i="59"/>
  <c r="C120" i="59" s="1"/>
  <c r="G117" i="59"/>
  <c r="H117" i="59"/>
  <c r="F118" i="59"/>
  <c r="F117" i="57"/>
  <c r="G116" i="57"/>
  <c r="H116" i="57"/>
  <c r="D121" i="57"/>
  <c r="K120" i="57"/>
  <c r="C120" i="57" s="1"/>
  <c r="P153" i="61"/>
  <c r="R153" i="61" s="1"/>
  <c r="E153" i="61"/>
  <c r="F153" i="61" s="1"/>
  <c r="D154" i="61"/>
  <c r="C154" i="61" s="1"/>
  <c r="T151" i="61"/>
  <c r="U151" i="61" s="1"/>
  <c r="Q152" i="61"/>
  <c r="S152" i="61" s="1"/>
  <c r="G152" i="61"/>
  <c r="H152" i="61"/>
  <c r="S124" i="48" l="1"/>
  <c r="U123" i="48"/>
  <c r="V123" i="48" s="1"/>
  <c r="C121" i="59"/>
  <c r="R125" i="48"/>
  <c r="T124" i="48"/>
  <c r="N121" i="41"/>
  <c r="X120" i="41"/>
  <c r="F197" i="66"/>
  <c r="G197" i="66" s="1"/>
  <c r="H197" i="66" s="1"/>
  <c r="B156" i="61"/>
  <c r="F119" i="59"/>
  <c r="H118" i="59"/>
  <c r="G118" i="59"/>
  <c r="D122" i="59"/>
  <c r="K121" i="59"/>
  <c r="F118" i="57"/>
  <c r="G117" i="57"/>
  <c r="H117" i="57"/>
  <c r="T152" i="61"/>
  <c r="U152" i="61" s="1"/>
  <c r="K121" i="57"/>
  <c r="C121" i="57" s="1"/>
  <c r="D122" i="57"/>
  <c r="H153" i="61"/>
  <c r="G153" i="61"/>
  <c r="P154" i="61"/>
  <c r="R154" i="61" s="1"/>
  <c r="E154" i="61"/>
  <c r="F154" i="61" s="1"/>
  <c r="D155" i="61"/>
  <c r="C155" i="61" s="1"/>
  <c r="Q153" i="61"/>
  <c r="S153" i="61" s="1"/>
  <c r="T125" i="48" l="1"/>
  <c r="R126" i="48"/>
  <c r="S125" i="48"/>
  <c r="U124" i="48"/>
  <c r="V124" i="48" s="1"/>
  <c r="N122" i="41"/>
  <c r="X121" i="41"/>
  <c r="F198" i="66"/>
  <c r="G198" i="66" s="1"/>
  <c r="H198" i="66" s="1"/>
  <c r="B157" i="61"/>
  <c r="D123" i="59"/>
  <c r="K122" i="59"/>
  <c r="C122" i="59" s="1"/>
  <c r="G119" i="59"/>
  <c r="F120" i="59"/>
  <c r="H119" i="59"/>
  <c r="G118" i="57"/>
  <c r="H118" i="57"/>
  <c r="F119" i="57"/>
  <c r="T153" i="61"/>
  <c r="U153" i="61" s="1"/>
  <c r="D123" i="57"/>
  <c r="K122" i="57"/>
  <c r="C122" i="57" s="1"/>
  <c r="H154" i="61"/>
  <c r="G154" i="61"/>
  <c r="Q154" i="61"/>
  <c r="S154" i="61" s="1"/>
  <c r="P155" i="61"/>
  <c r="R155" i="61" s="1"/>
  <c r="D161" i="61"/>
  <c r="C161" i="61" s="1"/>
  <c r="D156" i="61"/>
  <c r="C156" i="61" s="1"/>
  <c r="E155" i="61"/>
  <c r="F155" i="61" s="1"/>
  <c r="S126" i="48" l="1"/>
  <c r="U125" i="48"/>
  <c r="V125" i="48" s="1"/>
  <c r="C123" i="59"/>
  <c r="T126" i="48"/>
  <c r="R127" i="48"/>
  <c r="N123" i="41"/>
  <c r="X122" i="41"/>
  <c r="F199" i="66"/>
  <c r="G199" i="66" s="1"/>
  <c r="H199" i="66" s="1"/>
  <c r="B158" i="61"/>
  <c r="H120" i="59"/>
  <c r="G120" i="59"/>
  <c r="F121" i="59"/>
  <c r="D124" i="59"/>
  <c r="K123" i="59"/>
  <c r="G119" i="57"/>
  <c r="H119" i="57"/>
  <c r="F120" i="57"/>
  <c r="T154" i="61"/>
  <c r="U154" i="61" s="1"/>
  <c r="K123" i="57"/>
  <c r="C123" i="57" s="1"/>
  <c r="D124" i="57"/>
  <c r="H155" i="61"/>
  <c r="G155" i="61"/>
  <c r="P156" i="61"/>
  <c r="R156" i="61" s="1"/>
  <c r="D157" i="61"/>
  <c r="C157" i="61" s="1"/>
  <c r="E156" i="61"/>
  <c r="F156" i="61" s="1"/>
  <c r="D162" i="61"/>
  <c r="C162" i="61" s="1"/>
  <c r="P161" i="61"/>
  <c r="R161" i="61" s="1"/>
  <c r="E161" i="61"/>
  <c r="F161" i="61" s="1"/>
  <c r="Q155" i="61"/>
  <c r="S155" i="61" s="1"/>
  <c r="R128" i="48" l="1"/>
  <c r="T127" i="48"/>
  <c r="S127" i="48"/>
  <c r="U126" i="48"/>
  <c r="V126" i="48" s="1"/>
  <c r="N124" i="41"/>
  <c r="X123" i="41"/>
  <c r="F200" i="66"/>
  <c r="G200" i="66" s="1"/>
  <c r="H200" i="66" s="1"/>
  <c r="B159" i="61"/>
  <c r="D125" i="59"/>
  <c r="K124" i="59"/>
  <c r="C124" i="59" s="1"/>
  <c r="F122" i="59"/>
  <c r="H121" i="59"/>
  <c r="G121" i="59"/>
  <c r="F121" i="57"/>
  <c r="H120" i="57"/>
  <c r="G120" i="57"/>
  <c r="D125" i="57"/>
  <c r="K124" i="57"/>
  <c r="C124" i="57" s="1"/>
  <c r="P162" i="61"/>
  <c r="R162" i="61" s="1"/>
  <c r="D163" i="61"/>
  <c r="C163" i="61" s="1"/>
  <c r="E162" i="61"/>
  <c r="F162" i="61" s="1"/>
  <c r="H161" i="61"/>
  <c r="G161" i="61"/>
  <c r="P157" i="61"/>
  <c r="R157" i="61" s="1"/>
  <c r="D158" i="61"/>
  <c r="C158" i="61" s="1"/>
  <c r="E157" i="61"/>
  <c r="F157" i="61" s="1"/>
  <c r="Q161" i="61"/>
  <c r="S161" i="61" s="1"/>
  <c r="Q156" i="61"/>
  <c r="S156" i="61" s="1"/>
  <c r="T155" i="61"/>
  <c r="U155" i="61" s="1"/>
  <c r="G156" i="61"/>
  <c r="H156" i="61"/>
  <c r="S128" i="48" l="1"/>
  <c r="U127" i="48"/>
  <c r="V127" i="48" s="1"/>
  <c r="R129" i="48"/>
  <c r="T128" i="48"/>
  <c r="N125" i="41"/>
  <c r="X124" i="41"/>
  <c r="F201" i="66"/>
  <c r="G201" i="66" s="1"/>
  <c r="H201" i="66" s="1"/>
  <c r="B160" i="61"/>
  <c r="F123" i="59"/>
  <c r="H122" i="59"/>
  <c r="G122" i="59"/>
  <c r="K125" i="59"/>
  <c r="C125" i="59" s="1"/>
  <c r="D126" i="59"/>
  <c r="H121" i="57"/>
  <c r="G121" i="57"/>
  <c r="F122" i="57"/>
  <c r="T156" i="61"/>
  <c r="U156" i="61" s="1"/>
  <c r="D126" i="57"/>
  <c r="K125" i="57"/>
  <c r="C125" i="57" s="1"/>
  <c r="G157" i="61"/>
  <c r="H157" i="61"/>
  <c r="Q157" i="61"/>
  <c r="S157" i="61" s="1"/>
  <c r="P163" i="61"/>
  <c r="R163" i="61" s="1"/>
  <c r="E163" i="61"/>
  <c r="F163" i="61" s="1"/>
  <c r="D164" i="61"/>
  <c r="C164" i="61" s="1"/>
  <c r="P158" i="61"/>
  <c r="R158" i="61" s="1"/>
  <c r="E158" i="61"/>
  <c r="F158" i="61" s="1"/>
  <c r="D159" i="61"/>
  <c r="C159" i="61" s="1"/>
  <c r="H162" i="61"/>
  <c r="G162" i="61"/>
  <c r="T161" i="61"/>
  <c r="U161" i="61" s="1"/>
  <c r="Q162" i="61"/>
  <c r="S162" i="61" s="1"/>
  <c r="R130" i="48" l="1"/>
  <c r="T130" i="48" s="1"/>
  <c r="T129" i="48"/>
  <c r="S129" i="48"/>
  <c r="U128" i="48"/>
  <c r="V128" i="48" s="1"/>
  <c r="N126" i="41"/>
  <c r="X125" i="41"/>
  <c r="F202" i="66"/>
  <c r="G202" i="66" s="1"/>
  <c r="H202" i="66" s="1"/>
  <c r="B161" i="61"/>
  <c r="K126" i="59"/>
  <c r="C126" i="59" s="1"/>
  <c r="D127" i="59"/>
  <c r="G123" i="59"/>
  <c r="H123" i="59"/>
  <c r="F124" i="59"/>
  <c r="F123" i="57"/>
  <c r="H122" i="57"/>
  <c r="G122" i="57"/>
  <c r="D127" i="57"/>
  <c r="K126" i="57"/>
  <c r="C126" i="57" s="1"/>
  <c r="Q158" i="61"/>
  <c r="S158" i="61" s="1"/>
  <c r="T162" i="61"/>
  <c r="U162" i="61" s="1"/>
  <c r="P164" i="61"/>
  <c r="R164" i="61" s="1"/>
  <c r="D165" i="61"/>
  <c r="C165" i="61" s="1"/>
  <c r="E164" i="61"/>
  <c r="F164" i="61" s="1"/>
  <c r="T157" i="61"/>
  <c r="U157" i="61" s="1"/>
  <c r="P159" i="61"/>
  <c r="R159" i="61" s="1"/>
  <c r="D160" i="61"/>
  <c r="C160" i="61" s="1"/>
  <c r="E159" i="61"/>
  <c r="F159" i="61" s="1"/>
  <c r="G163" i="61"/>
  <c r="H163" i="61"/>
  <c r="G158" i="61"/>
  <c r="H158" i="61"/>
  <c r="Q163" i="61"/>
  <c r="S163" i="61" s="1"/>
  <c r="S130" i="48" l="1"/>
  <c r="U129" i="48"/>
  <c r="V129" i="48" s="1"/>
  <c r="N127" i="41"/>
  <c r="X126" i="41"/>
  <c r="B162" i="61"/>
  <c r="K127" i="59"/>
  <c r="C127" i="59" s="1"/>
  <c r="D128" i="59"/>
  <c r="G124" i="59"/>
  <c r="H124" i="59"/>
  <c r="F125" i="59"/>
  <c r="F124" i="57"/>
  <c r="H123" i="57"/>
  <c r="G123" i="57"/>
  <c r="T158" i="61"/>
  <c r="U158" i="61" s="1"/>
  <c r="T163" i="61"/>
  <c r="U163" i="61" s="1"/>
  <c r="D128" i="57"/>
  <c r="K127" i="57"/>
  <c r="C127" i="57" s="1"/>
  <c r="Q159" i="61"/>
  <c r="S159" i="61" s="1"/>
  <c r="Q164" i="61"/>
  <c r="S164" i="61" s="1"/>
  <c r="G159" i="61"/>
  <c r="H159" i="61"/>
  <c r="G164" i="61"/>
  <c r="H164" i="61"/>
  <c r="E160" i="61"/>
  <c r="F160" i="61" s="1"/>
  <c r="P160" i="61"/>
  <c r="R160" i="61" s="1"/>
  <c r="P165" i="61"/>
  <c r="R165" i="61" s="1"/>
  <c r="E165" i="61"/>
  <c r="F165" i="61" s="1"/>
  <c r="D166" i="61"/>
  <c r="C166" i="61" s="1"/>
  <c r="R131" i="48" l="1"/>
  <c r="U130" i="48"/>
  <c r="V130" i="48" s="1"/>
  <c r="C128" i="59"/>
  <c r="C128" i="57"/>
  <c r="N128" i="41"/>
  <c r="X127" i="41"/>
  <c r="B163" i="61"/>
  <c r="D129" i="59"/>
  <c r="K128" i="59"/>
  <c r="G125" i="59"/>
  <c r="H125" i="59"/>
  <c r="F126" i="59"/>
  <c r="H124" i="57"/>
  <c r="G124" i="57"/>
  <c r="F125" i="57"/>
  <c r="T159" i="61"/>
  <c r="U159" i="61" s="1"/>
  <c r="K128" i="57"/>
  <c r="D129" i="57"/>
  <c r="H165" i="61"/>
  <c r="G165" i="61"/>
  <c r="T164" i="61"/>
  <c r="U164" i="61" s="1"/>
  <c r="Q165" i="61"/>
  <c r="S165" i="61" s="1"/>
  <c r="Q160" i="61"/>
  <c r="S160" i="61" s="1"/>
  <c r="P166" i="61"/>
  <c r="R166" i="61" s="1"/>
  <c r="D167" i="61"/>
  <c r="C167" i="61" s="1"/>
  <c r="E166" i="61"/>
  <c r="F166" i="61" s="1"/>
  <c r="G160" i="61"/>
  <c r="H160" i="61"/>
  <c r="S131" i="48" l="1"/>
  <c r="T131" i="48"/>
  <c r="R132" i="48"/>
  <c r="N129" i="41"/>
  <c r="X128" i="41"/>
  <c r="B164" i="61"/>
  <c r="F127" i="59"/>
  <c r="H126" i="59"/>
  <c r="G126" i="59"/>
  <c r="K129" i="59"/>
  <c r="C129" i="59" s="1"/>
  <c r="D130" i="59"/>
  <c r="F126" i="57"/>
  <c r="G125" i="57"/>
  <c r="H125" i="57"/>
  <c r="T165" i="61"/>
  <c r="U165" i="61" s="1"/>
  <c r="T160" i="61"/>
  <c r="U160" i="61" s="1"/>
  <c r="D130" i="57"/>
  <c r="K129" i="57"/>
  <c r="C129" i="57" s="1"/>
  <c r="H166" i="61"/>
  <c r="G166" i="61"/>
  <c r="Q166" i="61"/>
  <c r="S166" i="61" s="1"/>
  <c r="P167" i="61"/>
  <c r="R167" i="61" s="1"/>
  <c r="E167" i="61"/>
  <c r="F167" i="61" s="1"/>
  <c r="D168" i="61"/>
  <c r="C168" i="61" s="1"/>
  <c r="T132" i="48" l="1"/>
  <c r="R133" i="48"/>
  <c r="S132" i="48"/>
  <c r="U131" i="48"/>
  <c r="V131" i="48" s="1"/>
  <c r="N130" i="41"/>
  <c r="X129" i="41"/>
  <c r="B165" i="61"/>
  <c r="D131" i="59"/>
  <c r="K130" i="59"/>
  <c r="C130" i="59" s="1"/>
  <c r="H127" i="59"/>
  <c r="F128" i="59"/>
  <c r="G127" i="59"/>
  <c r="H126" i="57"/>
  <c r="F127" i="57"/>
  <c r="G126" i="57"/>
  <c r="K130" i="57"/>
  <c r="C130" i="57" s="1"/>
  <c r="D131" i="57"/>
  <c r="P168" i="61"/>
  <c r="R168" i="61" s="1"/>
  <c r="E168" i="61"/>
  <c r="F168" i="61" s="1"/>
  <c r="D169" i="61"/>
  <c r="C169" i="61" s="1"/>
  <c r="G167" i="61"/>
  <c r="H167" i="61"/>
  <c r="T166" i="61"/>
  <c r="U166" i="61" s="1"/>
  <c r="Q167" i="61"/>
  <c r="S167" i="61" s="1"/>
  <c r="S133" i="48" l="1"/>
  <c r="U132" i="48"/>
  <c r="V132" i="48" s="1"/>
  <c r="R134" i="48"/>
  <c r="T133" i="48"/>
  <c r="N131" i="41"/>
  <c r="X130" i="41"/>
  <c r="B166" i="61"/>
  <c r="H128" i="59"/>
  <c r="G128" i="59"/>
  <c r="F129" i="59"/>
  <c r="K131" i="59"/>
  <c r="C131" i="59" s="1"/>
  <c r="D132" i="59"/>
  <c r="G127" i="57"/>
  <c r="F128" i="57"/>
  <c r="H127" i="57"/>
  <c r="K131" i="57"/>
  <c r="C131" i="57" s="1"/>
  <c r="D132" i="57"/>
  <c r="P169" i="61"/>
  <c r="R169" i="61" s="1"/>
  <c r="E169" i="61"/>
  <c r="F169" i="61" s="1"/>
  <c r="D170" i="61"/>
  <c r="C170" i="61" s="1"/>
  <c r="T167" i="61"/>
  <c r="U167" i="61" s="1"/>
  <c r="G168" i="61"/>
  <c r="H168" i="61"/>
  <c r="Q168" i="61"/>
  <c r="S168" i="61" s="1"/>
  <c r="T134" i="48" l="1"/>
  <c r="R135" i="48"/>
  <c r="S134" i="48"/>
  <c r="U133" i="48"/>
  <c r="V133" i="48" s="1"/>
  <c r="N132" i="41"/>
  <c r="X131" i="41"/>
  <c r="B167" i="61"/>
  <c r="G129" i="59"/>
  <c r="F130" i="59"/>
  <c r="H129" i="59"/>
  <c r="K132" i="59"/>
  <c r="C132" i="59" s="1"/>
  <c r="D133" i="59"/>
  <c r="G128" i="57"/>
  <c r="F129" i="57"/>
  <c r="H128" i="57"/>
  <c r="T168" i="61"/>
  <c r="U168" i="61" s="1"/>
  <c r="D133" i="57"/>
  <c r="K132" i="57"/>
  <c r="C132" i="57" s="1"/>
  <c r="P170" i="61"/>
  <c r="R170" i="61" s="1"/>
  <c r="D171" i="61"/>
  <c r="C171" i="61" s="1"/>
  <c r="E170" i="61"/>
  <c r="F170" i="61" s="1"/>
  <c r="H169" i="61"/>
  <c r="G169" i="61"/>
  <c r="Q169" i="61"/>
  <c r="S169" i="61" s="1"/>
  <c r="S135" i="48" l="1"/>
  <c r="U134" i="48"/>
  <c r="V134" i="48" s="1"/>
  <c r="R136" i="48"/>
  <c r="T135" i="48"/>
  <c r="N133" i="41"/>
  <c r="X132" i="41"/>
  <c r="B168" i="61"/>
  <c r="G130" i="59"/>
  <c r="F131" i="59"/>
  <c r="H130" i="59"/>
  <c r="K133" i="59"/>
  <c r="C133" i="59" s="1"/>
  <c r="D134" i="59"/>
  <c r="F130" i="57"/>
  <c r="G129" i="57"/>
  <c r="H129" i="57"/>
  <c r="T169" i="61"/>
  <c r="U169" i="61" s="1"/>
  <c r="D134" i="57"/>
  <c r="K133" i="57"/>
  <c r="C133" i="57" s="1"/>
  <c r="H170" i="61"/>
  <c r="G170" i="61"/>
  <c r="P171" i="61"/>
  <c r="R171" i="61" s="1"/>
  <c r="D172" i="61"/>
  <c r="C172" i="61" s="1"/>
  <c r="E171" i="61"/>
  <c r="F171" i="61" s="1"/>
  <c r="Q170" i="61"/>
  <c r="S170" i="61" s="1"/>
  <c r="T136" i="48" l="1"/>
  <c r="R137" i="48"/>
  <c r="S136" i="48"/>
  <c r="U135" i="48"/>
  <c r="V135" i="48" s="1"/>
  <c r="N134" i="41"/>
  <c r="X133" i="41"/>
  <c r="B169" i="61"/>
  <c r="G131" i="59"/>
  <c r="F132" i="59"/>
  <c r="H131" i="59"/>
  <c r="D135" i="59"/>
  <c r="K134" i="59"/>
  <c r="C134" i="59" s="1"/>
  <c r="G130" i="57"/>
  <c r="H130" i="57"/>
  <c r="F131" i="57"/>
  <c r="D135" i="57"/>
  <c r="K134" i="57"/>
  <c r="C134" i="57" s="1"/>
  <c r="P172" i="61"/>
  <c r="R172" i="61" s="1"/>
  <c r="E172" i="61"/>
  <c r="F172" i="61" s="1"/>
  <c r="D173" i="61"/>
  <c r="C173" i="61" s="1"/>
  <c r="T170" i="61"/>
  <c r="U170" i="61" s="1"/>
  <c r="Q171" i="61"/>
  <c r="S171" i="61" s="1"/>
  <c r="G171" i="61"/>
  <c r="H171" i="61"/>
  <c r="S137" i="48" l="1"/>
  <c r="U136" i="48"/>
  <c r="V136" i="48" s="1"/>
  <c r="T137" i="48"/>
  <c r="R138" i="48"/>
  <c r="C135" i="59"/>
  <c r="N135" i="41"/>
  <c r="X134" i="41"/>
  <c r="B170" i="61"/>
  <c r="K135" i="59"/>
  <c r="D136" i="59"/>
  <c r="F133" i="59"/>
  <c r="H132" i="59"/>
  <c r="G132" i="59"/>
  <c r="F132" i="57"/>
  <c r="G131" i="57"/>
  <c r="H131" i="57"/>
  <c r="D136" i="57"/>
  <c r="K135" i="57"/>
  <c r="C135" i="57" s="1"/>
  <c r="H172" i="61"/>
  <c r="G172" i="61"/>
  <c r="P173" i="61"/>
  <c r="R173" i="61" s="1"/>
  <c r="D174" i="61"/>
  <c r="C174" i="61" s="1"/>
  <c r="E173" i="61"/>
  <c r="F173" i="61" s="1"/>
  <c r="T171" i="61"/>
  <c r="U171" i="61" s="1"/>
  <c r="Q172" i="61"/>
  <c r="S172" i="61" s="1"/>
  <c r="R139" i="48" l="1"/>
  <c r="T138" i="48"/>
  <c r="S138" i="48"/>
  <c r="U137" i="48"/>
  <c r="V137" i="48" s="1"/>
  <c r="N136" i="41"/>
  <c r="X135" i="41"/>
  <c r="B171" i="61"/>
  <c r="H133" i="59"/>
  <c r="F134" i="59"/>
  <c r="G133" i="59"/>
  <c r="K136" i="59"/>
  <c r="C136" i="59" s="1"/>
  <c r="D137" i="59"/>
  <c r="G132" i="57"/>
  <c r="F133" i="57"/>
  <c r="H132" i="57"/>
  <c r="T172" i="61"/>
  <c r="U172" i="61" s="1"/>
  <c r="D137" i="57"/>
  <c r="K136" i="57"/>
  <c r="C136" i="57" s="1"/>
  <c r="P174" i="61"/>
  <c r="R174" i="61" s="1"/>
  <c r="E174" i="61"/>
  <c r="F174" i="61" s="1"/>
  <c r="D175" i="61"/>
  <c r="C175" i="61" s="1"/>
  <c r="Q173" i="61"/>
  <c r="S173" i="61" s="1"/>
  <c r="G173" i="61"/>
  <c r="H173" i="61"/>
  <c r="S139" i="48" l="1"/>
  <c r="U138" i="48"/>
  <c r="V138" i="48" s="1"/>
  <c r="R140" i="48"/>
  <c r="T139" i="48"/>
  <c r="N137" i="41"/>
  <c r="X136" i="41"/>
  <c r="B172" i="61"/>
  <c r="H134" i="59"/>
  <c r="G134" i="59"/>
  <c r="F135" i="59"/>
  <c r="K137" i="59"/>
  <c r="C137" i="59" s="1"/>
  <c r="D138" i="59"/>
  <c r="F134" i="57"/>
  <c r="H133" i="57"/>
  <c r="G133" i="57"/>
  <c r="T173" i="61"/>
  <c r="U173" i="61" s="1"/>
  <c r="D138" i="57"/>
  <c r="K137" i="57"/>
  <c r="C137" i="57" s="1"/>
  <c r="P175" i="61"/>
  <c r="R175" i="61" s="1"/>
  <c r="D176" i="61"/>
  <c r="C176" i="61" s="1"/>
  <c r="E175" i="61"/>
  <c r="F175" i="61" s="1"/>
  <c r="H174" i="61"/>
  <c r="G174" i="61"/>
  <c r="Q174" i="61"/>
  <c r="S174" i="61" s="1"/>
  <c r="T140" i="48" l="1"/>
  <c r="R141" i="48"/>
  <c r="S140" i="48"/>
  <c r="U139" i="48"/>
  <c r="V139" i="48" s="1"/>
  <c r="C138" i="59"/>
  <c r="N138" i="41"/>
  <c r="X137" i="41"/>
  <c r="B173" i="61"/>
  <c r="G135" i="59"/>
  <c r="H135" i="59"/>
  <c r="F136" i="59"/>
  <c r="D139" i="59"/>
  <c r="K138" i="59"/>
  <c r="H134" i="57"/>
  <c r="G134" i="57"/>
  <c r="F135" i="57"/>
  <c r="D139" i="57"/>
  <c r="K138" i="57"/>
  <c r="C138" i="57" s="1"/>
  <c r="H175" i="61"/>
  <c r="G175" i="61"/>
  <c r="T174" i="61"/>
  <c r="U174" i="61" s="1"/>
  <c r="P176" i="61"/>
  <c r="R176" i="61" s="1"/>
  <c r="E176" i="61"/>
  <c r="F176" i="61" s="1"/>
  <c r="D177" i="61"/>
  <c r="C177" i="61" s="1"/>
  <c r="Q175" i="61"/>
  <c r="S175" i="61" s="1"/>
  <c r="T141" i="48" l="1"/>
  <c r="R142" i="48"/>
  <c r="T142" i="48" s="1"/>
  <c r="S141" i="48"/>
  <c r="U140" i="48"/>
  <c r="V140" i="48" s="1"/>
  <c r="N139" i="41"/>
  <c r="X138" i="41"/>
  <c r="B174" i="61"/>
  <c r="D140" i="59"/>
  <c r="K139" i="59"/>
  <c r="C139" i="59" s="1"/>
  <c r="F137" i="59"/>
  <c r="H136" i="59"/>
  <c r="G136" i="59"/>
  <c r="G135" i="57"/>
  <c r="F136" i="57"/>
  <c r="H135" i="57"/>
  <c r="T175" i="61"/>
  <c r="U175" i="61" s="1"/>
  <c r="K139" i="57"/>
  <c r="C139" i="57" s="1"/>
  <c r="D140" i="57"/>
  <c r="Q176" i="61"/>
  <c r="S176" i="61" s="1"/>
  <c r="P177" i="61"/>
  <c r="R177" i="61" s="1"/>
  <c r="E177" i="61"/>
  <c r="F177" i="61" s="1"/>
  <c r="D178" i="61"/>
  <c r="C178" i="61" s="1"/>
  <c r="H176" i="61"/>
  <c r="G176" i="61"/>
  <c r="S142" i="48" l="1"/>
  <c r="U141" i="48"/>
  <c r="V141" i="48" s="1"/>
  <c r="N140" i="41"/>
  <c r="X139" i="41"/>
  <c r="B175" i="61"/>
  <c r="F138" i="59"/>
  <c r="H137" i="59"/>
  <c r="G137" i="59"/>
  <c r="K140" i="59"/>
  <c r="C140" i="59" s="1"/>
  <c r="D141" i="59"/>
  <c r="G136" i="57"/>
  <c r="H136" i="57"/>
  <c r="F137" i="57"/>
  <c r="D141" i="57"/>
  <c r="K140" i="57"/>
  <c r="C140" i="57" s="1"/>
  <c r="P178" i="61"/>
  <c r="R178" i="61" s="1"/>
  <c r="D179" i="61"/>
  <c r="C179" i="61" s="1"/>
  <c r="E178" i="61"/>
  <c r="F178" i="61" s="1"/>
  <c r="H177" i="61"/>
  <c r="G177" i="61"/>
  <c r="Q177" i="61"/>
  <c r="S177" i="61" s="1"/>
  <c r="T176" i="61"/>
  <c r="U176" i="61" s="1"/>
  <c r="U142" i="48" l="1"/>
  <c r="V142" i="48" s="1"/>
  <c r="R143" i="48"/>
  <c r="N141" i="41"/>
  <c r="X140" i="41"/>
  <c r="B176" i="61"/>
  <c r="K141" i="59"/>
  <c r="C141" i="59" s="1"/>
  <c r="D142" i="59"/>
  <c r="F139" i="59"/>
  <c r="H138" i="59"/>
  <c r="G138" i="59"/>
  <c r="G137" i="57"/>
  <c r="H137" i="57"/>
  <c r="F138" i="57"/>
  <c r="T177" i="61"/>
  <c r="U177" i="61" s="1"/>
  <c r="D142" i="57"/>
  <c r="K141" i="57"/>
  <c r="C141" i="57" s="1"/>
  <c r="H178" i="61"/>
  <c r="G178" i="61"/>
  <c r="P179" i="61"/>
  <c r="R179" i="61" s="1"/>
  <c r="D180" i="61"/>
  <c r="C180" i="61" s="1"/>
  <c r="E179" i="61"/>
  <c r="F179" i="61" s="1"/>
  <c r="Q178" i="61"/>
  <c r="S178" i="61" s="1"/>
  <c r="R144" i="48" l="1"/>
  <c r="T143" i="48"/>
  <c r="V143" i="48" s="1"/>
  <c r="W142" i="48" s="1"/>
  <c r="X142" i="48" s="1"/>
  <c r="Z142" i="48" s="1"/>
  <c r="AA142" i="48" s="1"/>
  <c r="C142" i="59"/>
  <c r="N142" i="41"/>
  <c r="X141" i="41"/>
  <c r="B177" i="61"/>
  <c r="D143" i="59"/>
  <c r="K142" i="59"/>
  <c r="G139" i="59"/>
  <c r="F140" i="59"/>
  <c r="H139" i="59"/>
  <c r="G138" i="57"/>
  <c r="F139" i="57"/>
  <c r="H138" i="57"/>
  <c r="T178" i="61"/>
  <c r="U178" i="61" s="1"/>
  <c r="D143" i="57"/>
  <c r="K142" i="57"/>
  <c r="C142" i="57" s="1"/>
  <c r="P180" i="61"/>
  <c r="R180" i="61" s="1"/>
  <c r="D181" i="61"/>
  <c r="C181" i="61" s="1"/>
  <c r="E180" i="61"/>
  <c r="F180" i="61" s="1"/>
  <c r="Q179" i="61"/>
  <c r="S179" i="61" s="1"/>
  <c r="H179" i="61"/>
  <c r="G179" i="61"/>
  <c r="W143" i="48" l="1"/>
  <c r="X143" i="48" s="1"/>
  <c r="Z143" i="48" s="1"/>
  <c r="AA143" i="48" s="1"/>
  <c r="W81" i="48"/>
  <c r="X81" i="48" s="1"/>
  <c r="Z81" i="48" s="1"/>
  <c r="AA81" i="48" s="1"/>
  <c r="W92" i="48"/>
  <c r="X92" i="48" s="1"/>
  <c r="Z92" i="48" s="1"/>
  <c r="AA92" i="48" s="1"/>
  <c r="W86" i="48"/>
  <c r="X86" i="48" s="1"/>
  <c r="Z86" i="48" s="1"/>
  <c r="AA86" i="48" s="1"/>
  <c r="W112" i="48"/>
  <c r="X112" i="48" s="1"/>
  <c r="Z112" i="48" s="1"/>
  <c r="AA112" i="48" s="1"/>
  <c r="W64" i="48"/>
  <c r="X64" i="48" s="1"/>
  <c r="Z64" i="48" s="1"/>
  <c r="AA64" i="48" s="1"/>
  <c r="W24" i="48"/>
  <c r="X24" i="48" s="1"/>
  <c r="Z24" i="48" s="1"/>
  <c r="AA24" i="48" s="1"/>
  <c r="W13" i="48"/>
  <c r="X13" i="48" s="1"/>
  <c r="Z13" i="48" s="1"/>
  <c r="AA13" i="48" s="1"/>
  <c r="W26" i="48"/>
  <c r="X26" i="48" s="1"/>
  <c r="Z26" i="48" s="1"/>
  <c r="AA26" i="48" s="1"/>
  <c r="W45" i="48"/>
  <c r="X45" i="48" s="1"/>
  <c r="Z45" i="48" s="1"/>
  <c r="AA45" i="48" s="1"/>
  <c r="W95" i="48"/>
  <c r="X95" i="48" s="1"/>
  <c r="Z95" i="48" s="1"/>
  <c r="AA95" i="48" s="1"/>
  <c r="W91" i="48"/>
  <c r="X91" i="48" s="1"/>
  <c r="Z91" i="48" s="1"/>
  <c r="AA91" i="48" s="1"/>
  <c r="W27" i="48"/>
  <c r="X27" i="48" s="1"/>
  <c r="Z27" i="48" s="1"/>
  <c r="AA27" i="48" s="1"/>
  <c r="W101" i="48"/>
  <c r="X101" i="48" s="1"/>
  <c r="Z101" i="48" s="1"/>
  <c r="AA101" i="48" s="1"/>
  <c r="W121" i="48"/>
  <c r="X121" i="48" s="1"/>
  <c r="Z121" i="48" s="1"/>
  <c r="AA121" i="48" s="1"/>
  <c r="W129" i="48"/>
  <c r="X129" i="48" s="1"/>
  <c r="Z129" i="48" s="1"/>
  <c r="AA129" i="48" s="1"/>
  <c r="W131" i="48"/>
  <c r="X131" i="48" s="1"/>
  <c r="Z131" i="48" s="1"/>
  <c r="AA131" i="48" s="1"/>
  <c r="W71" i="48"/>
  <c r="X71" i="48" s="1"/>
  <c r="Z71" i="48" s="1"/>
  <c r="AA71" i="48" s="1"/>
  <c r="W19" i="48"/>
  <c r="X19" i="48" s="1"/>
  <c r="Z19" i="48" s="1"/>
  <c r="AA19" i="48" s="1"/>
  <c r="W66" i="48"/>
  <c r="X66" i="48" s="1"/>
  <c r="Z66" i="48" s="1"/>
  <c r="AA66" i="48" s="1"/>
  <c r="W77" i="48"/>
  <c r="X77" i="48" s="1"/>
  <c r="Z77" i="48" s="1"/>
  <c r="AA77" i="48" s="1"/>
  <c r="W33" i="48"/>
  <c r="X33" i="48" s="1"/>
  <c r="Z33" i="48" s="1"/>
  <c r="AA33" i="48" s="1"/>
  <c r="W72" i="48"/>
  <c r="X72" i="48" s="1"/>
  <c r="Z72" i="48" s="1"/>
  <c r="AA72" i="48" s="1"/>
  <c r="W76" i="48"/>
  <c r="X76" i="48" s="1"/>
  <c r="Z76" i="48" s="1"/>
  <c r="AA76" i="48" s="1"/>
  <c r="W70" i="48"/>
  <c r="X70" i="48" s="1"/>
  <c r="Z70" i="48" s="1"/>
  <c r="AA70" i="48" s="1"/>
  <c r="W60" i="48"/>
  <c r="X60" i="48" s="1"/>
  <c r="Z60" i="48" s="1"/>
  <c r="AA60" i="48" s="1"/>
  <c r="W105" i="48"/>
  <c r="X105" i="48" s="1"/>
  <c r="Z105" i="48" s="1"/>
  <c r="AA105" i="48" s="1"/>
  <c r="W11" i="48"/>
  <c r="X11" i="48" s="1"/>
  <c r="W35" i="48"/>
  <c r="X35" i="48" s="1"/>
  <c r="Z35" i="48" s="1"/>
  <c r="AA35" i="48" s="1"/>
  <c r="W28" i="48"/>
  <c r="X28" i="48" s="1"/>
  <c r="Z28" i="48" s="1"/>
  <c r="AA28" i="48" s="1"/>
  <c r="W122" i="48"/>
  <c r="X122" i="48" s="1"/>
  <c r="Z122" i="48" s="1"/>
  <c r="AA122" i="48" s="1"/>
  <c r="W130" i="48"/>
  <c r="X130" i="48" s="1"/>
  <c r="Z130" i="48" s="1"/>
  <c r="AA130" i="48" s="1"/>
  <c r="W90" i="48"/>
  <c r="X90" i="48" s="1"/>
  <c r="Z90" i="48" s="1"/>
  <c r="AA90" i="48" s="1"/>
  <c r="W50" i="48"/>
  <c r="X50" i="48" s="1"/>
  <c r="Z50" i="48" s="1"/>
  <c r="AA50" i="48" s="1"/>
  <c r="W69" i="48"/>
  <c r="X69" i="48" s="1"/>
  <c r="Z69" i="48" s="1"/>
  <c r="AA69" i="48" s="1"/>
  <c r="W79" i="48"/>
  <c r="X79" i="48" s="1"/>
  <c r="Z79" i="48" s="1"/>
  <c r="AA79" i="48" s="1"/>
  <c r="W98" i="48"/>
  <c r="X98" i="48" s="1"/>
  <c r="Z98" i="48" s="1"/>
  <c r="AA98" i="48" s="1"/>
  <c r="W59" i="48"/>
  <c r="X59" i="48" s="1"/>
  <c r="Z59" i="48" s="1"/>
  <c r="AA59" i="48" s="1"/>
  <c r="W38" i="48"/>
  <c r="X38" i="48" s="1"/>
  <c r="Z38" i="48" s="1"/>
  <c r="AA38" i="48" s="1"/>
  <c r="W102" i="48"/>
  <c r="X102" i="48" s="1"/>
  <c r="Z102" i="48" s="1"/>
  <c r="AA102" i="48" s="1"/>
  <c r="W61" i="48"/>
  <c r="X61" i="48" s="1"/>
  <c r="Z61" i="48" s="1"/>
  <c r="AA61" i="48" s="1"/>
  <c r="W16" i="48"/>
  <c r="X16" i="48" s="1"/>
  <c r="Z16" i="48" s="1"/>
  <c r="AA16" i="48" s="1"/>
  <c r="W12" i="48"/>
  <c r="X12" i="48" s="1"/>
  <c r="Z12" i="48" s="1"/>
  <c r="AA12" i="48" s="1"/>
  <c r="W68" i="48"/>
  <c r="X68" i="48" s="1"/>
  <c r="Z68" i="48" s="1"/>
  <c r="AA68" i="48" s="1"/>
  <c r="W47" i="48"/>
  <c r="X47" i="48" s="1"/>
  <c r="Z47" i="48" s="1"/>
  <c r="AA47" i="48" s="1"/>
  <c r="W94" i="48"/>
  <c r="X94" i="48" s="1"/>
  <c r="Z94" i="48" s="1"/>
  <c r="AA94" i="48" s="1"/>
  <c r="W107" i="48"/>
  <c r="X107" i="48" s="1"/>
  <c r="Z107" i="48" s="1"/>
  <c r="AA107" i="48" s="1"/>
  <c r="W51" i="48"/>
  <c r="X51" i="48" s="1"/>
  <c r="Z51" i="48" s="1"/>
  <c r="AA51" i="48" s="1"/>
  <c r="W123" i="48"/>
  <c r="X123" i="48" s="1"/>
  <c r="Z123" i="48" s="1"/>
  <c r="AA123" i="48" s="1"/>
  <c r="W57" i="48"/>
  <c r="X57" i="48" s="1"/>
  <c r="Z57" i="48" s="1"/>
  <c r="AA57" i="48" s="1"/>
  <c r="W56" i="48"/>
  <c r="X56" i="48" s="1"/>
  <c r="Z56" i="48" s="1"/>
  <c r="AA56" i="48" s="1"/>
  <c r="W99" i="48"/>
  <c r="X99" i="48" s="1"/>
  <c r="Z99" i="48" s="1"/>
  <c r="AA99" i="48" s="1"/>
  <c r="W113" i="48"/>
  <c r="X113" i="48" s="1"/>
  <c r="Z113" i="48" s="1"/>
  <c r="AA113" i="48" s="1"/>
  <c r="W53" i="48"/>
  <c r="X53" i="48" s="1"/>
  <c r="Z53" i="48" s="1"/>
  <c r="AA53" i="48" s="1"/>
  <c r="W85" i="48"/>
  <c r="X85" i="48" s="1"/>
  <c r="Z85" i="48" s="1"/>
  <c r="AA85" i="48" s="1"/>
  <c r="W44" i="48"/>
  <c r="X44" i="48" s="1"/>
  <c r="Z44" i="48" s="1"/>
  <c r="AA44" i="48" s="1"/>
  <c r="W22" i="48"/>
  <c r="X22" i="48" s="1"/>
  <c r="Z22" i="48" s="1"/>
  <c r="AA22" i="48" s="1"/>
  <c r="W58" i="48"/>
  <c r="X58" i="48" s="1"/>
  <c r="Z58" i="48" s="1"/>
  <c r="AA58" i="48" s="1"/>
  <c r="W25" i="48"/>
  <c r="X25" i="48" s="1"/>
  <c r="Z25" i="48" s="1"/>
  <c r="AA25" i="48" s="1"/>
  <c r="W96" i="48"/>
  <c r="X96" i="48" s="1"/>
  <c r="Z96" i="48" s="1"/>
  <c r="AA96" i="48" s="1"/>
  <c r="W73" i="48"/>
  <c r="X73" i="48" s="1"/>
  <c r="Z73" i="48" s="1"/>
  <c r="AA73" i="48" s="1"/>
  <c r="W49" i="48"/>
  <c r="X49" i="48" s="1"/>
  <c r="Z49" i="48" s="1"/>
  <c r="AA49" i="48" s="1"/>
  <c r="W40" i="48"/>
  <c r="X40" i="48" s="1"/>
  <c r="Z40" i="48" s="1"/>
  <c r="AA40" i="48" s="1"/>
  <c r="W108" i="48"/>
  <c r="X108" i="48" s="1"/>
  <c r="Z108" i="48" s="1"/>
  <c r="AA108" i="48" s="1"/>
  <c r="W97" i="48"/>
  <c r="X97" i="48" s="1"/>
  <c r="Z97" i="48" s="1"/>
  <c r="AA97" i="48" s="1"/>
  <c r="W82" i="48"/>
  <c r="X82" i="48" s="1"/>
  <c r="Z82" i="48" s="1"/>
  <c r="AA82" i="48" s="1"/>
  <c r="W54" i="48"/>
  <c r="X54" i="48" s="1"/>
  <c r="Z54" i="48" s="1"/>
  <c r="AA54" i="48" s="1"/>
  <c r="W36" i="48"/>
  <c r="X36" i="48" s="1"/>
  <c r="Z36" i="48" s="1"/>
  <c r="AA36" i="48" s="1"/>
  <c r="W67" i="48"/>
  <c r="X67" i="48" s="1"/>
  <c r="Z67" i="48" s="1"/>
  <c r="AA67" i="48" s="1"/>
  <c r="W103" i="48"/>
  <c r="X103" i="48" s="1"/>
  <c r="Z103" i="48" s="1"/>
  <c r="AA103" i="48" s="1"/>
  <c r="W124" i="48"/>
  <c r="X124" i="48" s="1"/>
  <c r="Z124" i="48" s="1"/>
  <c r="AA124" i="48" s="1"/>
  <c r="W126" i="48"/>
  <c r="X126" i="48" s="1"/>
  <c r="Z126" i="48" s="1"/>
  <c r="AA126" i="48" s="1"/>
  <c r="W41" i="48"/>
  <c r="X41" i="48" s="1"/>
  <c r="Z41" i="48" s="1"/>
  <c r="AA41" i="48" s="1"/>
  <c r="W14" i="48"/>
  <c r="X14" i="48" s="1"/>
  <c r="Z14" i="48" s="1"/>
  <c r="AA14" i="48" s="1"/>
  <c r="W39" i="48"/>
  <c r="X39" i="48" s="1"/>
  <c r="Z39" i="48" s="1"/>
  <c r="AA39" i="48" s="1"/>
  <c r="W37" i="48"/>
  <c r="X37" i="48" s="1"/>
  <c r="Z37" i="48" s="1"/>
  <c r="AA37" i="48" s="1"/>
  <c r="W78" i="48"/>
  <c r="X78" i="48" s="1"/>
  <c r="Z78" i="48" s="1"/>
  <c r="AA78" i="48" s="1"/>
  <c r="W114" i="48"/>
  <c r="X114" i="48" s="1"/>
  <c r="Z114" i="48" s="1"/>
  <c r="AA114" i="48" s="1"/>
  <c r="W106" i="48"/>
  <c r="X106" i="48" s="1"/>
  <c r="Z106" i="48" s="1"/>
  <c r="AA106" i="48" s="1"/>
  <c r="W89" i="48"/>
  <c r="X89" i="48" s="1"/>
  <c r="Z89" i="48" s="1"/>
  <c r="AA89" i="48" s="1"/>
  <c r="W31" i="48"/>
  <c r="X31" i="48" s="1"/>
  <c r="Z31" i="48" s="1"/>
  <c r="AA31" i="48" s="1"/>
  <c r="W116" i="48"/>
  <c r="X116" i="48" s="1"/>
  <c r="Z116" i="48" s="1"/>
  <c r="AA116" i="48" s="1"/>
  <c r="W52" i="48"/>
  <c r="X52" i="48" s="1"/>
  <c r="Z52" i="48" s="1"/>
  <c r="AA52" i="48" s="1"/>
  <c r="W17" i="48"/>
  <c r="X17" i="48" s="1"/>
  <c r="Z17" i="48" s="1"/>
  <c r="AA17" i="48" s="1"/>
  <c r="W63" i="48"/>
  <c r="X63" i="48" s="1"/>
  <c r="Z63" i="48" s="1"/>
  <c r="AA63" i="48" s="1"/>
  <c r="W110" i="48"/>
  <c r="X110" i="48" s="1"/>
  <c r="Z110" i="48" s="1"/>
  <c r="AA110" i="48" s="1"/>
  <c r="W46" i="48"/>
  <c r="X46" i="48" s="1"/>
  <c r="Z46" i="48" s="1"/>
  <c r="AA46" i="48" s="1"/>
  <c r="W84" i="48"/>
  <c r="X84" i="48" s="1"/>
  <c r="Z84" i="48" s="1"/>
  <c r="AA84" i="48" s="1"/>
  <c r="W125" i="48"/>
  <c r="X125" i="48" s="1"/>
  <c r="Z125" i="48" s="1"/>
  <c r="AA125" i="48" s="1"/>
  <c r="W30" i="48"/>
  <c r="X30" i="48" s="1"/>
  <c r="Z30" i="48" s="1"/>
  <c r="AA30" i="48" s="1"/>
  <c r="W20" i="48"/>
  <c r="X20" i="48" s="1"/>
  <c r="Z20" i="48" s="1"/>
  <c r="AA20" i="48" s="1"/>
  <c r="W118" i="48"/>
  <c r="X118" i="48" s="1"/>
  <c r="Z118" i="48" s="1"/>
  <c r="AA118" i="48" s="1"/>
  <c r="W62" i="48"/>
  <c r="X62" i="48" s="1"/>
  <c r="Z62" i="48" s="1"/>
  <c r="AA62" i="48" s="1"/>
  <c r="W80" i="48"/>
  <c r="X80" i="48" s="1"/>
  <c r="Z80" i="48" s="1"/>
  <c r="AA80" i="48" s="1"/>
  <c r="W34" i="48"/>
  <c r="X34" i="48" s="1"/>
  <c r="Z34" i="48" s="1"/>
  <c r="AA34" i="48" s="1"/>
  <c r="W109" i="48"/>
  <c r="X109" i="48" s="1"/>
  <c r="Z109" i="48" s="1"/>
  <c r="AA109" i="48" s="1"/>
  <c r="W23" i="48"/>
  <c r="X23" i="48" s="1"/>
  <c r="Z23" i="48" s="1"/>
  <c r="AA23" i="48" s="1"/>
  <c r="W18" i="48"/>
  <c r="X18" i="48" s="1"/>
  <c r="Z18" i="48" s="1"/>
  <c r="AA18" i="48" s="1"/>
  <c r="W104" i="48"/>
  <c r="X104" i="48" s="1"/>
  <c r="Z104" i="48" s="1"/>
  <c r="AA104" i="48" s="1"/>
  <c r="W75" i="48"/>
  <c r="X75" i="48" s="1"/>
  <c r="Z75" i="48" s="1"/>
  <c r="AA75" i="48" s="1"/>
  <c r="W111" i="48"/>
  <c r="X111" i="48" s="1"/>
  <c r="Z111" i="48" s="1"/>
  <c r="AA111" i="48" s="1"/>
  <c r="W87" i="48"/>
  <c r="X87" i="48" s="1"/>
  <c r="Z87" i="48" s="1"/>
  <c r="AA87" i="48" s="1"/>
  <c r="W115" i="48"/>
  <c r="X115" i="48" s="1"/>
  <c r="Z115" i="48" s="1"/>
  <c r="AA115" i="48" s="1"/>
  <c r="W21" i="48"/>
  <c r="X21" i="48" s="1"/>
  <c r="Z21" i="48" s="1"/>
  <c r="AA21" i="48" s="1"/>
  <c r="W127" i="48"/>
  <c r="X127" i="48" s="1"/>
  <c r="Z127" i="48" s="1"/>
  <c r="AA127" i="48" s="1"/>
  <c r="W93" i="48"/>
  <c r="X93" i="48" s="1"/>
  <c r="Z93" i="48" s="1"/>
  <c r="AA93" i="48" s="1"/>
  <c r="W119" i="48"/>
  <c r="X119" i="48" s="1"/>
  <c r="Z119" i="48" s="1"/>
  <c r="AA119" i="48" s="1"/>
  <c r="W88" i="48"/>
  <c r="X88" i="48" s="1"/>
  <c r="Z88" i="48" s="1"/>
  <c r="AA88" i="48" s="1"/>
  <c r="W43" i="48"/>
  <c r="X43" i="48" s="1"/>
  <c r="Z43" i="48" s="1"/>
  <c r="AA43" i="48" s="1"/>
  <c r="W100" i="48"/>
  <c r="X100" i="48" s="1"/>
  <c r="Z100" i="48" s="1"/>
  <c r="AA100" i="48" s="1"/>
  <c r="W32" i="48"/>
  <c r="X32" i="48" s="1"/>
  <c r="Z32" i="48" s="1"/>
  <c r="AA32" i="48" s="1"/>
  <c r="W15" i="48"/>
  <c r="X15" i="48" s="1"/>
  <c r="Z15" i="48" s="1"/>
  <c r="AA15" i="48" s="1"/>
  <c r="W83" i="48"/>
  <c r="X83" i="48" s="1"/>
  <c r="Z83" i="48" s="1"/>
  <c r="AA83" i="48" s="1"/>
  <c r="W65" i="48"/>
  <c r="X65" i="48" s="1"/>
  <c r="Z65" i="48" s="1"/>
  <c r="AA65" i="48" s="1"/>
  <c r="W117" i="48"/>
  <c r="X117" i="48" s="1"/>
  <c r="Z117" i="48" s="1"/>
  <c r="AA117" i="48" s="1"/>
  <c r="W48" i="48"/>
  <c r="X48" i="48" s="1"/>
  <c r="Z48" i="48" s="1"/>
  <c r="AA48" i="48" s="1"/>
  <c r="W55" i="48"/>
  <c r="X55" i="48" s="1"/>
  <c r="Z55" i="48" s="1"/>
  <c r="AA55" i="48" s="1"/>
  <c r="W42" i="48"/>
  <c r="X42" i="48" s="1"/>
  <c r="Z42" i="48" s="1"/>
  <c r="AA42" i="48" s="1"/>
  <c r="W120" i="48"/>
  <c r="X120" i="48" s="1"/>
  <c r="Z120" i="48" s="1"/>
  <c r="AA120" i="48" s="1"/>
  <c r="W128" i="48"/>
  <c r="X128" i="48" s="1"/>
  <c r="Z128" i="48" s="1"/>
  <c r="AA128" i="48" s="1"/>
  <c r="W74" i="48"/>
  <c r="X74" i="48" s="1"/>
  <c r="Z74" i="48" s="1"/>
  <c r="AA74" i="48" s="1"/>
  <c r="W29" i="48"/>
  <c r="X29" i="48" s="1"/>
  <c r="Z29" i="48" s="1"/>
  <c r="AA29" i="48" s="1"/>
  <c r="W132" i="48"/>
  <c r="X132" i="48" s="1"/>
  <c r="Z132" i="48" s="1"/>
  <c r="AA132" i="48" s="1"/>
  <c r="W133" i="48"/>
  <c r="X133" i="48" s="1"/>
  <c r="Z133" i="48" s="1"/>
  <c r="AA133" i="48" s="1"/>
  <c r="W134" i="48"/>
  <c r="X134" i="48" s="1"/>
  <c r="Z134" i="48" s="1"/>
  <c r="AA134" i="48" s="1"/>
  <c r="W135" i="48"/>
  <c r="X135" i="48" s="1"/>
  <c r="Z135" i="48" s="1"/>
  <c r="AA135" i="48" s="1"/>
  <c r="W136" i="48"/>
  <c r="X136" i="48" s="1"/>
  <c r="Z136" i="48" s="1"/>
  <c r="AA136" i="48" s="1"/>
  <c r="W137" i="48"/>
  <c r="X137" i="48" s="1"/>
  <c r="Z137" i="48" s="1"/>
  <c r="AA137" i="48" s="1"/>
  <c r="W138" i="48"/>
  <c r="X138" i="48" s="1"/>
  <c r="Z138" i="48" s="1"/>
  <c r="AA138" i="48" s="1"/>
  <c r="W139" i="48"/>
  <c r="X139" i="48" s="1"/>
  <c r="Z139" i="48" s="1"/>
  <c r="AA139" i="48" s="1"/>
  <c r="W140" i="48"/>
  <c r="X140" i="48" s="1"/>
  <c r="Z140" i="48" s="1"/>
  <c r="AA140" i="48" s="1"/>
  <c r="W141" i="48"/>
  <c r="X141" i="48" s="1"/>
  <c r="Z141" i="48" s="1"/>
  <c r="AA141" i="48" s="1"/>
  <c r="C143" i="59"/>
  <c r="T144" i="48"/>
  <c r="V144" i="48" s="1"/>
  <c r="R145" i="48"/>
  <c r="N143" i="41"/>
  <c r="X142" i="41"/>
  <c r="B178" i="61"/>
  <c r="H140" i="59"/>
  <c r="G140" i="59"/>
  <c r="F141" i="59"/>
  <c r="K143" i="59"/>
  <c r="D144" i="59"/>
  <c r="F140" i="57"/>
  <c r="H139" i="57"/>
  <c r="G139" i="57"/>
  <c r="D144" i="57"/>
  <c r="K143" i="57"/>
  <c r="C143" i="57" s="1"/>
  <c r="G180" i="61"/>
  <c r="H180" i="61"/>
  <c r="P181" i="61"/>
  <c r="R181" i="61" s="1"/>
  <c r="E181" i="61"/>
  <c r="F181" i="61" s="1"/>
  <c r="D182" i="61"/>
  <c r="C182" i="61" s="1"/>
  <c r="T179" i="61"/>
  <c r="U179" i="61" s="1"/>
  <c r="Q180" i="61"/>
  <c r="S180" i="61" s="1"/>
  <c r="W144" i="48" l="1"/>
  <c r="X144" i="48" s="1"/>
  <c r="Z11" i="48"/>
  <c r="AA11" i="48" s="1"/>
  <c r="T145" i="48"/>
  <c r="V145" i="48" s="1"/>
  <c r="R146" i="48"/>
  <c r="N144" i="41"/>
  <c r="X143" i="41"/>
  <c r="B179" i="61"/>
  <c r="F142" i="59"/>
  <c r="H141" i="59"/>
  <c r="G141" i="59"/>
  <c r="D145" i="59"/>
  <c r="K144" i="59"/>
  <c r="C144" i="59" s="1"/>
  <c r="G140" i="57"/>
  <c r="H140" i="57"/>
  <c r="F141" i="57"/>
  <c r="D145" i="57"/>
  <c r="K144" i="57"/>
  <c r="C144" i="57" s="1"/>
  <c r="H181" i="61"/>
  <c r="G181" i="61"/>
  <c r="T180" i="61"/>
  <c r="U180" i="61" s="1"/>
  <c r="Q181" i="61"/>
  <c r="S181" i="61" s="1"/>
  <c r="P182" i="61"/>
  <c r="R182" i="61" s="1"/>
  <c r="D183" i="61"/>
  <c r="C183" i="61" s="1"/>
  <c r="E182" i="61"/>
  <c r="F182" i="61" s="1"/>
  <c r="Z144" i="48" l="1"/>
  <c r="AA144" i="48" s="1"/>
  <c r="T146" i="48"/>
  <c r="V146" i="48" s="1"/>
  <c r="R147" i="48"/>
  <c r="W145" i="48"/>
  <c r="X145" i="48" s="1"/>
  <c r="C145" i="59"/>
  <c r="N145" i="41"/>
  <c r="X144" i="41"/>
  <c r="B180" i="61"/>
  <c r="K145" i="59"/>
  <c r="D146" i="59"/>
  <c r="H142" i="59"/>
  <c r="G142" i="59"/>
  <c r="F143" i="59"/>
  <c r="F142" i="57"/>
  <c r="H141" i="57"/>
  <c r="G141" i="57"/>
  <c r="T181" i="61"/>
  <c r="U181" i="61" s="1"/>
  <c r="D146" i="57"/>
  <c r="K145" i="57"/>
  <c r="C145" i="57" s="1"/>
  <c r="Q182" i="61"/>
  <c r="S182" i="61" s="1"/>
  <c r="H182" i="61"/>
  <c r="G182" i="61"/>
  <c r="P183" i="61"/>
  <c r="R183" i="61" s="1"/>
  <c r="D184" i="61"/>
  <c r="C184" i="61" s="1"/>
  <c r="E183" i="61"/>
  <c r="F183" i="61" s="1"/>
  <c r="Z145" i="48" l="1"/>
  <c r="AA145" i="48" s="1"/>
  <c r="R148" i="48"/>
  <c r="T147" i="48"/>
  <c r="V147" i="48" s="1"/>
  <c r="W146" i="48"/>
  <c r="X146" i="48" s="1"/>
  <c r="Z146" i="48" s="1"/>
  <c r="AA146" i="48" s="1"/>
  <c r="N146" i="41"/>
  <c r="X145" i="41"/>
  <c r="B181" i="61"/>
  <c r="K146" i="59"/>
  <c r="C146" i="59" s="1"/>
  <c r="D147" i="59"/>
  <c r="F144" i="59"/>
  <c r="H143" i="59"/>
  <c r="G143" i="59"/>
  <c r="G142" i="57"/>
  <c r="F143" i="57"/>
  <c r="H142" i="57"/>
  <c r="D147" i="57"/>
  <c r="K146" i="57"/>
  <c r="C146" i="57" s="1"/>
  <c r="P184" i="61"/>
  <c r="R184" i="61" s="1"/>
  <c r="D185" i="61"/>
  <c r="C185" i="61" s="1"/>
  <c r="E184" i="61"/>
  <c r="F184" i="61" s="1"/>
  <c r="Q183" i="61"/>
  <c r="S183" i="61" s="1"/>
  <c r="G183" i="61"/>
  <c r="H183" i="61"/>
  <c r="T182" i="61"/>
  <c r="U182" i="61" s="1"/>
  <c r="W147" i="48" l="1"/>
  <c r="X147" i="48" s="1"/>
  <c r="R149" i="48"/>
  <c r="T148" i="48"/>
  <c r="V148" i="48" s="1"/>
  <c r="N147" i="41"/>
  <c r="X146" i="41"/>
  <c r="B182" i="61"/>
  <c r="G144" i="59"/>
  <c r="H144" i="59"/>
  <c r="F145" i="59"/>
  <c r="K147" i="59"/>
  <c r="C147" i="59" s="1"/>
  <c r="D148" i="59"/>
  <c r="F144" i="57"/>
  <c r="G143" i="57"/>
  <c r="H143" i="57"/>
  <c r="T183" i="61"/>
  <c r="U183" i="61" s="1"/>
  <c r="D148" i="57"/>
  <c r="K147" i="57"/>
  <c r="C147" i="57" s="1"/>
  <c r="P185" i="61"/>
  <c r="R185" i="61" s="1"/>
  <c r="E185" i="61"/>
  <c r="F185" i="61" s="1"/>
  <c r="D186" i="61"/>
  <c r="C186" i="61" s="1"/>
  <c r="G184" i="61"/>
  <c r="H184" i="61"/>
  <c r="Q184" i="61"/>
  <c r="S184" i="61" s="1"/>
  <c r="Z147" i="48" l="1"/>
  <c r="AA147" i="48" s="1"/>
  <c r="W148" i="48"/>
  <c r="X148" i="48" s="1"/>
  <c r="Z148" i="48" s="1"/>
  <c r="AA148" i="48" s="1"/>
  <c r="T149" i="48"/>
  <c r="V149" i="48" s="1"/>
  <c r="R150" i="48"/>
  <c r="N148" i="41"/>
  <c r="X148" i="41" s="1"/>
  <c r="X147" i="41"/>
  <c r="B183" i="61"/>
  <c r="F146" i="59"/>
  <c r="G145" i="59"/>
  <c r="H145" i="59"/>
  <c r="K148" i="59"/>
  <c r="C148" i="59" s="1"/>
  <c r="D149" i="59"/>
  <c r="F145" i="57"/>
  <c r="H144" i="57"/>
  <c r="G144" i="57"/>
  <c r="T184" i="61"/>
  <c r="U184" i="61" s="1"/>
  <c r="D149" i="57"/>
  <c r="K148" i="57"/>
  <c r="C148" i="57" s="1"/>
  <c r="G185" i="61"/>
  <c r="H185" i="61"/>
  <c r="P186" i="61"/>
  <c r="R186" i="61" s="1"/>
  <c r="E186" i="61"/>
  <c r="F186" i="61" s="1"/>
  <c r="D187" i="61"/>
  <c r="C187" i="61" s="1"/>
  <c r="Q185" i="61"/>
  <c r="S185" i="61" s="1"/>
  <c r="W149" i="48" l="1"/>
  <c r="X149" i="48" s="1"/>
  <c r="Z149" i="48" s="1"/>
  <c r="AA149" i="48" s="1"/>
  <c r="C149" i="59"/>
  <c r="R151" i="48"/>
  <c r="T150" i="48"/>
  <c r="V150" i="48" s="1"/>
  <c r="B184" i="61"/>
  <c r="D150" i="59"/>
  <c r="K149" i="59"/>
  <c r="G146" i="59"/>
  <c r="H146" i="59"/>
  <c r="F147" i="59"/>
  <c r="G145" i="57"/>
  <c r="F146" i="57"/>
  <c r="H145" i="57"/>
  <c r="T185" i="61"/>
  <c r="U185" i="61" s="1"/>
  <c r="K149" i="57"/>
  <c r="C149" i="57" s="1"/>
  <c r="D150" i="57"/>
  <c r="G186" i="61"/>
  <c r="H186" i="61"/>
  <c r="Q186" i="61"/>
  <c r="S186" i="61" s="1"/>
  <c r="P187" i="61"/>
  <c r="R187" i="61" s="1"/>
  <c r="E187" i="61"/>
  <c r="F187" i="61" s="1"/>
  <c r="D188" i="61"/>
  <c r="C188" i="61" s="1"/>
  <c r="W150" i="48" l="1"/>
  <c r="X150" i="48" s="1"/>
  <c r="Z150" i="48" s="1"/>
  <c r="AA150" i="48" s="1"/>
  <c r="R152" i="48"/>
  <c r="T151" i="48"/>
  <c r="V151" i="48" s="1"/>
  <c r="C150" i="57"/>
  <c r="B185" i="61"/>
  <c r="H147" i="59"/>
  <c r="G147" i="59"/>
  <c r="F148" i="59"/>
  <c r="D151" i="59"/>
  <c r="K150" i="59"/>
  <c r="C150" i="59" s="1"/>
  <c r="G146" i="57"/>
  <c r="F147" i="57"/>
  <c r="H146" i="57"/>
  <c r="D151" i="57"/>
  <c r="K150" i="57"/>
  <c r="P188" i="61"/>
  <c r="R188" i="61" s="1"/>
  <c r="D189" i="61"/>
  <c r="C189" i="61" s="1"/>
  <c r="E188" i="61"/>
  <c r="F188" i="61" s="1"/>
  <c r="T186" i="61"/>
  <c r="U186" i="61" s="1"/>
  <c r="G187" i="61"/>
  <c r="H187" i="61"/>
  <c r="Q187" i="61"/>
  <c r="S187" i="61" s="1"/>
  <c r="W151" i="48" l="1"/>
  <c r="X151" i="48" s="1"/>
  <c r="Z151" i="48" s="1"/>
  <c r="AA151" i="48" s="1"/>
  <c r="R153" i="48"/>
  <c r="T152" i="48"/>
  <c r="V152" i="48" s="1"/>
  <c r="C151" i="59"/>
  <c r="B186" i="61"/>
  <c r="D152" i="59"/>
  <c r="K151" i="59"/>
  <c r="F149" i="59"/>
  <c r="G148" i="59"/>
  <c r="H148" i="59"/>
  <c r="G147" i="57"/>
  <c r="F148" i="57"/>
  <c r="H147" i="57"/>
  <c r="T187" i="61"/>
  <c r="U187" i="61" s="1"/>
  <c r="D152" i="57"/>
  <c r="K151" i="57"/>
  <c r="C151" i="57" s="1"/>
  <c r="G188" i="61"/>
  <c r="H188" i="61"/>
  <c r="P189" i="61"/>
  <c r="R189" i="61" s="1"/>
  <c r="D190" i="61"/>
  <c r="C190" i="61" s="1"/>
  <c r="E189" i="61"/>
  <c r="F189" i="61" s="1"/>
  <c r="Q188" i="61"/>
  <c r="S188" i="61" s="1"/>
  <c r="W152" i="48" l="1"/>
  <c r="X152" i="48" s="1"/>
  <c r="Z152" i="48" s="1"/>
  <c r="AA152" i="48" s="1"/>
  <c r="T153" i="48"/>
  <c r="V153" i="48" s="1"/>
  <c r="R154" i="48"/>
  <c r="T154" i="48" s="1"/>
  <c r="V154" i="48" s="1"/>
  <c r="W154" i="48" s="1"/>
  <c r="X154" i="48" s="1"/>
  <c r="B187" i="61"/>
  <c r="F150" i="59"/>
  <c r="H149" i="59"/>
  <c r="G149" i="59"/>
  <c r="K152" i="59"/>
  <c r="C152" i="59" s="1"/>
  <c r="D153" i="59"/>
  <c r="G148" i="57"/>
  <c r="F149" i="57"/>
  <c r="H148" i="57"/>
  <c r="K152" i="57"/>
  <c r="C152" i="57" s="1"/>
  <c r="D153" i="57"/>
  <c r="P190" i="61"/>
  <c r="R190" i="61" s="1"/>
  <c r="E190" i="61"/>
  <c r="F190" i="61" s="1"/>
  <c r="D191" i="61"/>
  <c r="C191" i="61" s="1"/>
  <c r="Q189" i="61"/>
  <c r="S189" i="61" s="1"/>
  <c r="T188" i="61"/>
  <c r="U188" i="61" s="1"/>
  <c r="H189" i="61"/>
  <c r="G189" i="61"/>
  <c r="Z154" i="48" l="1"/>
  <c r="AA154" i="48" s="1"/>
  <c r="W153" i="48"/>
  <c r="X153" i="48" s="1"/>
  <c r="C153" i="59"/>
  <c r="C153" i="57"/>
  <c r="B188" i="61"/>
  <c r="D154" i="59"/>
  <c r="K153" i="59"/>
  <c r="F151" i="59"/>
  <c r="H150" i="59"/>
  <c r="G150" i="59"/>
  <c r="H149" i="57"/>
  <c r="F150" i="57"/>
  <c r="G149" i="57"/>
  <c r="T189" i="61"/>
  <c r="U189" i="61" s="1"/>
  <c r="K153" i="57"/>
  <c r="D154" i="57"/>
  <c r="H190" i="61"/>
  <c r="G190" i="61"/>
  <c r="P191" i="61"/>
  <c r="R191" i="61" s="1"/>
  <c r="D192" i="61"/>
  <c r="C192" i="61" s="1"/>
  <c r="E191" i="61"/>
  <c r="F191" i="61" s="1"/>
  <c r="Q190" i="61"/>
  <c r="S190" i="61" s="1"/>
  <c r="Z153" i="48" l="1"/>
  <c r="AA153" i="48" s="1"/>
  <c r="AB11" i="48"/>
  <c r="B189" i="61"/>
  <c r="K154" i="59"/>
  <c r="C154" i="59" s="1"/>
  <c r="D155" i="59"/>
  <c r="G151" i="59"/>
  <c r="H151" i="59"/>
  <c r="F152" i="59"/>
  <c r="F151" i="57"/>
  <c r="H150" i="57"/>
  <c r="G150" i="57"/>
  <c r="T190" i="61"/>
  <c r="U190" i="61" s="1"/>
  <c r="K154" i="57"/>
  <c r="C154" i="57" s="1"/>
  <c r="D155" i="57"/>
  <c r="P192" i="61"/>
  <c r="R192" i="61" s="1"/>
  <c r="D193" i="61"/>
  <c r="C193" i="61" s="1"/>
  <c r="E192" i="61"/>
  <c r="F192" i="61" s="1"/>
  <c r="Q191" i="61"/>
  <c r="S191" i="61" s="1"/>
  <c r="G191" i="61"/>
  <c r="H191" i="61"/>
  <c r="B190" i="61" l="1"/>
  <c r="D156" i="59"/>
  <c r="K155" i="59"/>
  <c r="C155" i="59" s="1"/>
  <c r="F153" i="59"/>
  <c r="H152" i="59"/>
  <c r="G152" i="59"/>
  <c r="G151" i="57"/>
  <c r="F152" i="57"/>
  <c r="H151" i="57"/>
  <c r="D156" i="57"/>
  <c r="K155" i="57"/>
  <c r="C155" i="57" s="1"/>
  <c r="P193" i="61"/>
  <c r="R193" i="61" s="1"/>
  <c r="D194" i="61"/>
  <c r="C194" i="61" s="1"/>
  <c r="E193" i="61"/>
  <c r="F193" i="61" s="1"/>
  <c r="G192" i="61"/>
  <c r="H192" i="61"/>
  <c r="T191" i="61"/>
  <c r="U191" i="61" s="1"/>
  <c r="Q192" i="61"/>
  <c r="S192" i="61" s="1"/>
  <c r="B191" i="61" l="1"/>
  <c r="K156" i="59"/>
  <c r="C156" i="59" s="1"/>
  <c r="D157" i="59"/>
  <c r="F154" i="59"/>
  <c r="F155" i="59" s="1"/>
  <c r="G153" i="59"/>
  <c r="H153" i="59"/>
  <c r="G152" i="57"/>
  <c r="H152" i="57"/>
  <c r="F153" i="57"/>
  <c r="K156" i="57"/>
  <c r="C156" i="57" s="1"/>
  <c r="D157" i="57"/>
  <c r="T192" i="61"/>
  <c r="U192" i="61" s="1"/>
  <c r="H193" i="61"/>
  <c r="G193" i="61"/>
  <c r="P194" i="61"/>
  <c r="R194" i="61" s="1"/>
  <c r="D195" i="61"/>
  <c r="C195" i="61" s="1"/>
  <c r="E194" i="61"/>
  <c r="F194" i="61" s="1"/>
  <c r="Q193" i="61"/>
  <c r="S193" i="61" s="1"/>
  <c r="B192" i="61" l="1"/>
  <c r="F156" i="59"/>
  <c r="H155" i="59"/>
  <c r="G155" i="59"/>
  <c r="D158" i="59"/>
  <c r="K157" i="59"/>
  <c r="C157" i="59" s="1"/>
  <c r="H154" i="59"/>
  <c r="G154" i="59"/>
  <c r="H153" i="57"/>
  <c r="F154" i="57"/>
  <c r="G153" i="57"/>
  <c r="D158" i="57"/>
  <c r="K157" i="57"/>
  <c r="C157" i="57" s="1"/>
  <c r="T193" i="61"/>
  <c r="U193" i="61" s="1"/>
  <c r="Q194" i="61"/>
  <c r="S194" i="61" s="1"/>
  <c r="H194" i="61"/>
  <c r="G194" i="61"/>
  <c r="P195" i="61"/>
  <c r="R195" i="61" s="1"/>
  <c r="E195" i="61"/>
  <c r="F195" i="61" s="1"/>
  <c r="D196" i="61"/>
  <c r="C196" i="61" s="1"/>
  <c r="B193" i="61" l="1"/>
  <c r="K158" i="59"/>
  <c r="C158" i="59" s="1"/>
  <c r="D159" i="59"/>
  <c r="H156" i="59"/>
  <c r="F157" i="59"/>
  <c r="G156" i="59"/>
  <c r="F155" i="57"/>
  <c r="H154" i="57"/>
  <c r="G154" i="57"/>
  <c r="T194" i="61"/>
  <c r="U194" i="61" s="1"/>
  <c r="D159" i="57"/>
  <c r="K158" i="57"/>
  <c r="C158" i="57" s="1"/>
  <c r="Q195" i="61"/>
  <c r="S195" i="61" s="1"/>
  <c r="P196" i="61"/>
  <c r="R196" i="61" s="1"/>
  <c r="D197" i="61"/>
  <c r="C197" i="61" s="1"/>
  <c r="E196" i="61"/>
  <c r="F196" i="61" s="1"/>
  <c r="G195" i="61"/>
  <c r="H195" i="61"/>
  <c r="B194" i="61" l="1"/>
  <c r="G157" i="59"/>
  <c r="F158" i="59"/>
  <c r="H157" i="59"/>
  <c r="K159" i="59"/>
  <c r="C159" i="59" s="1"/>
  <c r="D160" i="59"/>
  <c r="G155" i="57"/>
  <c r="F156" i="57"/>
  <c r="H155" i="57"/>
  <c r="T195" i="61"/>
  <c r="U195" i="61" s="1"/>
  <c r="D160" i="57"/>
  <c r="K159" i="57"/>
  <c r="C159" i="57" s="1"/>
  <c r="H196" i="61"/>
  <c r="G196" i="61"/>
  <c r="P197" i="61"/>
  <c r="R197" i="61" s="1"/>
  <c r="E197" i="61"/>
  <c r="F197" i="61" s="1"/>
  <c r="D198" i="61"/>
  <c r="C198" i="61" s="1"/>
  <c r="Q196" i="61"/>
  <c r="S196" i="61" s="1"/>
  <c r="B195" i="61" l="1"/>
  <c r="G158" i="59"/>
  <c r="H158" i="59"/>
  <c r="F159" i="59"/>
  <c r="D161" i="59"/>
  <c r="K160" i="59"/>
  <c r="C160" i="59" s="1"/>
  <c r="F157" i="57"/>
  <c r="H156" i="57"/>
  <c r="G156" i="57"/>
  <c r="T196" i="61"/>
  <c r="U196" i="61" s="1"/>
  <c r="D161" i="57"/>
  <c r="K160" i="57"/>
  <c r="C160" i="57" s="1"/>
  <c r="H197" i="61"/>
  <c r="G197" i="61"/>
  <c r="Q197" i="61"/>
  <c r="S197" i="61" s="1"/>
  <c r="P198" i="61"/>
  <c r="R198" i="61" s="1"/>
  <c r="D199" i="61"/>
  <c r="C199" i="61" s="1"/>
  <c r="E198" i="61"/>
  <c r="F198" i="61" s="1"/>
  <c r="B196" i="61" l="1"/>
  <c r="H159" i="59"/>
  <c r="G159" i="59"/>
  <c r="F160" i="59"/>
  <c r="K161" i="59"/>
  <c r="C161" i="59" s="1"/>
  <c r="D162" i="59"/>
  <c r="G157" i="57"/>
  <c r="F158" i="57"/>
  <c r="H157" i="57"/>
  <c r="T197" i="61"/>
  <c r="U197" i="61" s="1"/>
  <c r="K161" i="57"/>
  <c r="C161" i="57" s="1"/>
  <c r="D162" i="57"/>
  <c r="H198" i="61"/>
  <c r="G198" i="61"/>
  <c r="P199" i="61"/>
  <c r="R199" i="61" s="1"/>
  <c r="D200" i="61"/>
  <c r="C200" i="61" s="1"/>
  <c r="E199" i="61"/>
  <c r="F199" i="61" s="1"/>
  <c r="Q198" i="61"/>
  <c r="S198" i="61" s="1"/>
  <c r="B197" i="61" l="1"/>
  <c r="F161" i="59"/>
  <c r="H160" i="59"/>
  <c r="G160" i="59"/>
  <c r="K162" i="59"/>
  <c r="C162" i="59" s="1"/>
  <c r="D163" i="59"/>
  <c r="H158" i="57"/>
  <c r="G158" i="57"/>
  <c r="F159" i="57"/>
  <c r="K162" i="57"/>
  <c r="C162" i="57" s="1"/>
  <c r="D163" i="57"/>
  <c r="P200" i="61"/>
  <c r="R200" i="61" s="1"/>
  <c r="E200" i="61"/>
  <c r="F200" i="61" s="1"/>
  <c r="D201" i="61"/>
  <c r="C201" i="61" s="1"/>
  <c r="T198" i="61"/>
  <c r="U198" i="61" s="1"/>
  <c r="Q199" i="61"/>
  <c r="S199" i="61" s="1"/>
  <c r="G199" i="61"/>
  <c r="H199" i="61"/>
  <c r="B198" i="61" l="1"/>
  <c r="D164" i="59"/>
  <c r="K163" i="59"/>
  <c r="C163" i="59" s="1"/>
  <c r="F162" i="59"/>
  <c r="G161" i="59"/>
  <c r="H161" i="59"/>
  <c r="G159" i="57"/>
  <c r="F160" i="57"/>
  <c r="H159" i="57"/>
  <c r="T199" i="61"/>
  <c r="U199" i="61" s="1"/>
  <c r="D164" i="57"/>
  <c r="K163" i="57"/>
  <c r="C163" i="57" s="1"/>
  <c r="P201" i="61"/>
  <c r="R201" i="61" s="1"/>
  <c r="E201" i="61"/>
  <c r="F201" i="61" s="1"/>
  <c r="D202" i="61"/>
  <c r="C202" i="61" s="1"/>
  <c r="H200" i="61"/>
  <c r="G200" i="61"/>
  <c r="Q200" i="61"/>
  <c r="S200" i="61" s="1"/>
  <c r="B199" i="61" l="1"/>
  <c r="G162" i="59"/>
  <c r="H162" i="59"/>
  <c r="F163" i="59"/>
  <c r="D165" i="59"/>
  <c r="K164" i="59"/>
  <c r="C164" i="59" s="1"/>
  <c r="F161" i="57"/>
  <c r="H160" i="57"/>
  <c r="G160" i="57"/>
  <c r="T200" i="61"/>
  <c r="U200" i="61" s="1"/>
  <c r="K164" i="57"/>
  <c r="C164" i="57" s="1"/>
  <c r="D165" i="57"/>
  <c r="P202" i="61"/>
  <c r="R202" i="61" s="1"/>
  <c r="E202" i="61"/>
  <c r="F202" i="61" s="1"/>
  <c r="D203" i="61"/>
  <c r="C203" i="61" s="1"/>
  <c r="G201" i="61"/>
  <c r="H201" i="61"/>
  <c r="Q201" i="61"/>
  <c r="S201" i="61" s="1"/>
  <c r="B200" i="61" l="1"/>
  <c r="K165" i="59"/>
  <c r="C165" i="59" s="1"/>
  <c r="D166" i="59"/>
  <c r="G163" i="59"/>
  <c r="F164" i="59"/>
  <c r="H163" i="59"/>
  <c r="F162" i="57"/>
  <c r="H161" i="57"/>
  <c r="G161" i="57"/>
  <c r="T201" i="61"/>
  <c r="U201" i="61" s="1"/>
  <c r="D166" i="57"/>
  <c r="K165" i="57"/>
  <c r="C165" i="57" s="1"/>
  <c r="P203" i="61"/>
  <c r="R203" i="61" s="1"/>
  <c r="E203" i="61"/>
  <c r="F203" i="61" s="1"/>
  <c r="D204" i="61"/>
  <c r="C204" i="61" s="1"/>
  <c r="G202" i="61"/>
  <c r="H202" i="61"/>
  <c r="Q202" i="61"/>
  <c r="S202" i="61" s="1"/>
  <c r="B201" i="61" l="1"/>
  <c r="H164" i="59"/>
  <c r="G164" i="59"/>
  <c r="F165" i="59"/>
  <c r="D167" i="59"/>
  <c r="K166" i="59"/>
  <c r="C166" i="59" s="1"/>
  <c r="H162" i="57"/>
  <c r="F163" i="57"/>
  <c r="G162" i="57"/>
  <c r="T202" i="61"/>
  <c r="U202" i="61" s="1"/>
  <c r="K166" i="57"/>
  <c r="C166" i="57" s="1"/>
  <c r="D167" i="57"/>
  <c r="P204" i="61"/>
  <c r="R204" i="61" s="1"/>
  <c r="D205" i="61"/>
  <c r="C205" i="61" s="1"/>
  <c r="E204" i="61"/>
  <c r="F204" i="61" s="1"/>
  <c r="G203" i="61"/>
  <c r="H203" i="61"/>
  <c r="Q203" i="61"/>
  <c r="S203" i="61" s="1"/>
  <c r="B202" i="61" l="1"/>
  <c r="K167" i="59"/>
  <c r="C167" i="59" s="1"/>
  <c r="D168" i="59"/>
  <c r="G165" i="59"/>
  <c r="F166" i="59"/>
  <c r="H165" i="59"/>
  <c r="G163" i="57"/>
  <c r="H163" i="57"/>
  <c r="F164" i="57"/>
  <c r="T203" i="61"/>
  <c r="U203" i="61" s="1"/>
  <c r="K167" i="57"/>
  <c r="C167" i="57" s="1"/>
  <c r="D168" i="57"/>
  <c r="G204" i="61"/>
  <c r="H204" i="61"/>
  <c r="P205" i="61"/>
  <c r="R205" i="61" s="1"/>
  <c r="E205" i="61"/>
  <c r="F205" i="61" s="1"/>
  <c r="D206" i="61"/>
  <c r="C206" i="61" s="1"/>
  <c r="Q204" i="61"/>
  <c r="S204" i="61" s="1"/>
  <c r="B203" i="61" l="1"/>
  <c r="F167" i="59"/>
  <c r="H166" i="59"/>
  <c r="G166" i="59"/>
  <c r="D169" i="59"/>
  <c r="K168" i="59"/>
  <c r="C168" i="59" s="1"/>
  <c r="H164" i="57"/>
  <c r="G164" i="57"/>
  <c r="F165" i="57"/>
  <c r="T204" i="61"/>
  <c r="U204" i="61" s="1"/>
  <c r="D169" i="57"/>
  <c r="K168" i="57"/>
  <c r="C168" i="57" s="1"/>
  <c r="H205" i="61"/>
  <c r="G205" i="61"/>
  <c r="Q205" i="61"/>
  <c r="S205" i="61" s="1"/>
  <c r="P206" i="61"/>
  <c r="R206" i="61" s="1"/>
  <c r="E206" i="61"/>
  <c r="F206" i="61" s="1"/>
  <c r="D207" i="61"/>
  <c r="C207" i="61" s="1"/>
  <c r="B204" i="61" l="1"/>
  <c r="D170" i="59"/>
  <c r="K169" i="59"/>
  <c r="C169" i="59" s="1"/>
  <c r="G167" i="59"/>
  <c r="H167" i="59"/>
  <c r="F168" i="59"/>
  <c r="H165" i="57"/>
  <c r="F166" i="57"/>
  <c r="G165" i="57"/>
  <c r="T205" i="61"/>
  <c r="U205" i="61" s="1"/>
  <c r="D170" i="57"/>
  <c r="K169" i="57"/>
  <c r="C169" i="57" s="1"/>
  <c r="P207" i="61"/>
  <c r="R207" i="61" s="1"/>
  <c r="D208" i="61"/>
  <c r="C208" i="61" s="1"/>
  <c r="E207" i="61"/>
  <c r="F207" i="61" s="1"/>
  <c r="G206" i="61"/>
  <c r="H206" i="61"/>
  <c r="Q206" i="61"/>
  <c r="S206" i="61" s="1"/>
  <c r="B205" i="61" l="1"/>
  <c r="H168" i="59"/>
  <c r="G168" i="59"/>
  <c r="F169" i="59"/>
  <c r="K170" i="59"/>
  <c r="C170" i="59" s="1"/>
  <c r="D171" i="59"/>
  <c r="G166" i="57"/>
  <c r="F167" i="57"/>
  <c r="H166" i="57"/>
  <c r="D171" i="57"/>
  <c r="K170" i="57"/>
  <c r="C170" i="57" s="1"/>
  <c r="T206" i="61"/>
  <c r="U206" i="61" s="1"/>
  <c r="G207" i="61"/>
  <c r="H207" i="61"/>
  <c r="P208" i="61"/>
  <c r="R208" i="61" s="1"/>
  <c r="E208" i="61"/>
  <c r="F208" i="61" s="1"/>
  <c r="D209" i="61"/>
  <c r="C209" i="61" s="1"/>
  <c r="Q207" i="61"/>
  <c r="S207" i="61" s="1"/>
  <c r="B206" i="61" l="1"/>
  <c r="F170" i="59"/>
  <c r="G169" i="59"/>
  <c r="H169" i="59"/>
  <c r="D172" i="59"/>
  <c r="K171" i="59"/>
  <c r="C171" i="59" s="1"/>
  <c r="G167" i="57"/>
  <c r="F168" i="57"/>
  <c r="H167" i="57"/>
  <c r="T207" i="61"/>
  <c r="U207" i="61" s="1"/>
  <c r="D172" i="57"/>
  <c r="K171" i="57"/>
  <c r="C171" i="57" s="1"/>
  <c r="Q208" i="61"/>
  <c r="S208" i="61" s="1"/>
  <c r="P209" i="61"/>
  <c r="R209" i="61" s="1"/>
  <c r="D210" i="61"/>
  <c r="C210" i="61" s="1"/>
  <c r="E209" i="61"/>
  <c r="F209" i="61" s="1"/>
  <c r="H208" i="61"/>
  <c r="G208" i="61"/>
  <c r="B207" i="61" l="1"/>
  <c r="D173" i="59"/>
  <c r="K172" i="59"/>
  <c r="C172" i="59" s="1"/>
  <c r="F171" i="59"/>
  <c r="H170" i="59"/>
  <c r="G170" i="59"/>
  <c r="G168" i="57"/>
  <c r="H168" i="57"/>
  <c r="F169" i="57"/>
  <c r="T208" i="61"/>
  <c r="U208" i="61" s="1"/>
  <c r="D173" i="57"/>
  <c r="K172" i="57"/>
  <c r="C172" i="57" s="1"/>
  <c r="P210" i="61"/>
  <c r="R210" i="61" s="1"/>
  <c r="E210" i="61"/>
  <c r="F210" i="61" s="1"/>
  <c r="D211" i="61"/>
  <c r="C211" i="61" s="1"/>
  <c r="Q209" i="61"/>
  <c r="S209" i="61" s="1"/>
  <c r="G209" i="61"/>
  <c r="H209" i="61"/>
  <c r="B208" i="61" l="1"/>
  <c r="G171" i="59"/>
  <c r="F172" i="59"/>
  <c r="H171" i="59"/>
  <c r="K173" i="59"/>
  <c r="C173" i="59" s="1"/>
  <c r="D174" i="59"/>
  <c r="G169" i="57"/>
  <c r="F170" i="57"/>
  <c r="H169" i="57"/>
  <c r="T209" i="61"/>
  <c r="U209" i="61" s="1"/>
  <c r="K173" i="57"/>
  <c r="C173" i="57" s="1"/>
  <c r="D174" i="57"/>
  <c r="P211" i="61"/>
  <c r="R211" i="61" s="1"/>
  <c r="D212" i="61"/>
  <c r="C212" i="61" s="1"/>
  <c r="E211" i="61"/>
  <c r="F211" i="61" s="1"/>
  <c r="H210" i="61"/>
  <c r="G210" i="61"/>
  <c r="Q210" i="61"/>
  <c r="S210" i="61" s="1"/>
  <c r="B209" i="61" l="1"/>
  <c r="H172" i="59"/>
  <c r="G172" i="59"/>
  <c r="F173" i="59"/>
  <c r="D175" i="59"/>
  <c r="K174" i="59"/>
  <c r="C174" i="59" s="1"/>
  <c r="F171" i="57"/>
  <c r="H170" i="57"/>
  <c r="G170" i="57"/>
  <c r="D175" i="57"/>
  <c r="K174" i="57"/>
  <c r="C174" i="57" s="1"/>
  <c r="T210" i="61"/>
  <c r="U210" i="61" s="1"/>
  <c r="H211" i="61"/>
  <c r="G211" i="61"/>
  <c r="P212" i="61"/>
  <c r="R212" i="61" s="1"/>
  <c r="D213" i="61"/>
  <c r="C213" i="61" s="1"/>
  <c r="E212" i="61"/>
  <c r="F212" i="61" s="1"/>
  <c r="Q211" i="61"/>
  <c r="S211" i="61" s="1"/>
  <c r="B210" i="61" l="1"/>
  <c r="D176" i="59"/>
  <c r="K175" i="59"/>
  <c r="C175" i="59" s="1"/>
  <c r="F174" i="59"/>
  <c r="G173" i="59"/>
  <c r="H173" i="59"/>
  <c r="H171" i="57"/>
  <c r="F172" i="57"/>
  <c r="G171" i="57"/>
  <c r="T211" i="61"/>
  <c r="U211" i="61" s="1"/>
  <c r="K175" i="57"/>
  <c r="C175" i="57" s="1"/>
  <c r="D176" i="57"/>
  <c r="Q212" i="61"/>
  <c r="S212" i="61" s="1"/>
  <c r="H212" i="61"/>
  <c r="G212" i="61"/>
  <c r="P213" i="61"/>
  <c r="R213" i="61" s="1"/>
  <c r="D214" i="61"/>
  <c r="C214" i="61" s="1"/>
  <c r="E213" i="61"/>
  <c r="F213" i="61" s="1"/>
  <c r="B211" i="61" l="1"/>
  <c r="G174" i="59"/>
  <c r="F175" i="59"/>
  <c r="H174" i="59"/>
  <c r="D177" i="59"/>
  <c r="K176" i="59"/>
  <c r="C176" i="59" s="1"/>
  <c r="F173" i="57"/>
  <c r="H172" i="57"/>
  <c r="G172" i="57"/>
  <c r="D177" i="57"/>
  <c r="K176" i="57"/>
  <c r="C176" i="57" s="1"/>
  <c r="P214" i="61"/>
  <c r="R214" i="61" s="1"/>
  <c r="D215" i="61"/>
  <c r="C215" i="61" s="1"/>
  <c r="E214" i="61"/>
  <c r="F214" i="61" s="1"/>
  <c r="G213" i="61"/>
  <c r="H213" i="61"/>
  <c r="Q213" i="61"/>
  <c r="S213" i="61" s="1"/>
  <c r="T212" i="61"/>
  <c r="U212" i="61" s="1"/>
  <c r="B212" i="61" l="1"/>
  <c r="D178" i="59"/>
  <c r="K177" i="59"/>
  <c r="C177" i="59" s="1"/>
  <c r="F176" i="59"/>
  <c r="G175" i="59"/>
  <c r="H175" i="59"/>
  <c r="F174" i="57"/>
  <c r="G173" i="57"/>
  <c r="H173" i="57"/>
  <c r="T213" i="61"/>
  <c r="U213" i="61" s="1"/>
  <c r="K177" i="57"/>
  <c r="C177" i="57" s="1"/>
  <c r="D178" i="57"/>
  <c r="G214" i="61"/>
  <c r="H214" i="61"/>
  <c r="P215" i="61"/>
  <c r="R215" i="61" s="1"/>
  <c r="D221" i="61"/>
  <c r="C221" i="61" s="1"/>
  <c r="D216" i="61"/>
  <c r="C216" i="61" s="1"/>
  <c r="E215" i="61"/>
  <c r="F215" i="61" s="1"/>
  <c r="Q214" i="61"/>
  <c r="S214" i="61" s="1"/>
  <c r="B213" i="61" l="1"/>
  <c r="G176" i="59"/>
  <c r="F177" i="59"/>
  <c r="H176" i="59"/>
  <c r="D179" i="59"/>
  <c r="K178" i="59"/>
  <c r="C178" i="59" s="1"/>
  <c r="F175" i="57"/>
  <c r="H174" i="57"/>
  <c r="G174" i="57"/>
  <c r="T214" i="61"/>
  <c r="U214" i="61" s="1"/>
  <c r="K178" i="57"/>
  <c r="C178" i="57" s="1"/>
  <c r="D179" i="57"/>
  <c r="Q215" i="61"/>
  <c r="S215" i="61" s="1"/>
  <c r="D222" i="61"/>
  <c r="C222" i="61" s="1"/>
  <c r="P221" i="61"/>
  <c r="R221" i="61" s="1"/>
  <c r="E221" i="61"/>
  <c r="F221" i="61" s="1"/>
  <c r="G215" i="61"/>
  <c r="H215" i="61"/>
  <c r="P216" i="61"/>
  <c r="R216" i="61" s="1"/>
  <c r="E216" i="61"/>
  <c r="F216" i="61" s="1"/>
  <c r="D217" i="61"/>
  <c r="C217" i="61" s="1"/>
  <c r="B214" i="61" l="1"/>
  <c r="K179" i="59"/>
  <c r="C179" i="59" s="1"/>
  <c r="D180" i="59"/>
  <c r="F178" i="59"/>
  <c r="G177" i="59"/>
  <c r="H177" i="59"/>
  <c r="H175" i="57"/>
  <c r="F176" i="57"/>
  <c r="G175" i="57"/>
  <c r="K179" i="57"/>
  <c r="C179" i="57" s="1"/>
  <c r="D180" i="57"/>
  <c r="Q216" i="61"/>
  <c r="S216" i="61" s="1"/>
  <c r="Q221" i="61"/>
  <c r="S221" i="61" s="1"/>
  <c r="P222" i="61"/>
  <c r="R222" i="61" s="1"/>
  <c r="D223" i="61"/>
  <c r="C223" i="61" s="1"/>
  <c r="E222" i="61"/>
  <c r="F222" i="61" s="1"/>
  <c r="P217" i="61"/>
  <c r="R217" i="61" s="1"/>
  <c r="E217" i="61"/>
  <c r="F217" i="61" s="1"/>
  <c r="D218" i="61"/>
  <c r="C218" i="61" s="1"/>
  <c r="G216" i="61"/>
  <c r="H216" i="61"/>
  <c r="G221" i="61"/>
  <c r="H221" i="61"/>
  <c r="T215" i="61"/>
  <c r="U215" i="61" s="1"/>
  <c r="B215" i="61" l="1"/>
  <c r="G178" i="59"/>
  <c r="F179" i="59"/>
  <c r="H178" i="59"/>
  <c r="K180" i="59"/>
  <c r="C180" i="59" s="1"/>
  <c r="D181" i="59"/>
  <c r="F177" i="57"/>
  <c r="H176" i="57"/>
  <c r="G176" i="57"/>
  <c r="D181" i="57"/>
  <c r="K180" i="57"/>
  <c r="C180" i="57" s="1"/>
  <c r="Q217" i="61"/>
  <c r="S217" i="61" s="1"/>
  <c r="G222" i="61"/>
  <c r="H222" i="61"/>
  <c r="T221" i="61"/>
  <c r="U221" i="61" s="1"/>
  <c r="P218" i="61"/>
  <c r="R218" i="61" s="1"/>
  <c r="E218" i="61"/>
  <c r="F218" i="61" s="1"/>
  <c r="D219" i="61"/>
  <c r="C219" i="61" s="1"/>
  <c r="P223" i="61"/>
  <c r="R223" i="61" s="1"/>
  <c r="D224" i="61"/>
  <c r="C224" i="61" s="1"/>
  <c r="E223" i="61"/>
  <c r="F223" i="61" s="1"/>
  <c r="H217" i="61"/>
  <c r="G217" i="61"/>
  <c r="Q222" i="61"/>
  <c r="S222" i="61" s="1"/>
  <c r="T216" i="61"/>
  <c r="U216" i="61" s="1"/>
  <c r="B216" i="61" l="1"/>
  <c r="H179" i="59"/>
  <c r="F180" i="59"/>
  <c r="G179" i="59"/>
  <c r="D182" i="59"/>
  <c r="K181" i="59"/>
  <c r="C181" i="59" s="1"/>
  <c r="H177" i="57"/>
  <c r="G177" i="57"/>
  <c r="F178" i="57"/>
  <c r="D182" i="57"/>
  <c r="K181" i="57"/>
  <c r="C181" i="57" s="1"/>
  <c r="P224" i="61"/>
  <c r="R224" i="61" s="1"/>
  <c r="E224" i="61"/>
  <c r="F224" i="61" s="1"/>
  <c r="D225" i="61"/>
  <c r="C225" i="61" s="1"/>
  <c r="Q218" i="61"/>
  <c r="S218" i="61" s="1"/>
  <c r="P219" i="61"/>
  <c r="R219" i="61" s="1"/>
  <c r="D220" i="61"/>
  <c r="C220" i="61" s="1"/>
  <c r="E219" i="61"/>
  <c r="F219" i="61" s="1"/>
  <c r="T222" i="61"/>
  <c r="U222" i="61" s="1"/>
  <c r="H223" i="61"/>
  <c r="G223" i="61"/>
  <c r="G218" i="61"/>
  <c r="H218" i="61"/>
  <c r="Q223" i="61"/>
  <c r="S223" i="61" s="1"/>
  <c r="T217" i="61"/>
  <c r="U217" i="61" s="1"/>
  <c r="B217" i="61" l="1"/>
  <c r="K182" i="59"/>
  <c r="C182" i="59" s="1"/>
  <c r="D183" i="59"/>
  <c r="H180" i="59"/>
  <c r="G180" i="59"/>
  <c r="F181" i="59"/>
  <c r="H178" i="57"/>
  <c r="F179" i="57"/>
  <c r="G178" i="57"/>
  <c r="T218" i="61"/>
  <c r="U218" i="61" s="1"/>
  <c r="K182" i="57"/>
  <c r="C182" i="57" s="1"/>
  <c r="D183" i="57"/>
  <c r="G219" i="61"/>
  <c r="H219" i="61"/>
  <c r="T223" i="61"/>
  <c r="U223" i="61" s="1"/>
  <c r="E220" i="61"/>
  <c r="F220" i="61" s="1"/>
  <c r="P220" i="61"/>
  <c r="R220" i="61" s="1"/>
  <c r="P225" i="61"/>
  <c r="R225" i="61" s="1"/>
  <c r="D226" i="61"/>
  <c r="C226" i="61" s="1"/>
  <c r="E225" i="61"/>
  <c r="F225" i="61" s="1"/>
  <c r="Q219" i="61"/>
  <c r="S219" i="61" s="1"/>
  <c r="H224" i="61"/>
  <c r="G224" i="61"/>
  <c r="Q224" i="61"/>
  <c r="S224" i="61" s="1"/>
  <c r="B218" i="61" l="1"/>
  <c r="D184" i="59"/>
  <c r="K183" i="59"/>
  <c r="C183" i="59" s="1"/>
  <c r="G181" i="59"/>
  <c r="F182" i="59"/>
  <c r="H181" i="59"/>
  <c r="G179" i="57"/>
  <c r="F180" i="57"/>
  <c r="H179" i="57"/>
  <c r="T219" i="61"/>
  <c r="U219" i="61" s="1"/>
  <c r="K183" i="57"/>
  <c r="C183" i="57" s="1"/>
  <c r="D184" i="57"/>
  <c r="Q225" i="61"/>
  <c r="S225" i="61" s="1"/>
  <c r="H225" i="61"/>
  <c r="G225" i="61"/>
  <c r="H220" i="61"/>
  <c r="G220" i="61"/>
  <c r="T224" i="61"/>
  <c r="U224" i="61" s="1"/>
  <c r="P226" i="61"/>
  <c r="R226" i="61" s="1"/>
  <c r="E226" i="61"/>
  <c r="F226" i="61" s="1"/>
  <c r="D227" i="61"/>
  <c r="C227" i="61" s="1"/>
  <c r="Q220" i="61"/>
  <c r="S220" i="61" s="1"/>
  <c r="B219" i="61" l="1"/>
  <c r="F183" i="59"/>
  <c r="G182" i="59"/>
  <c r="H182" i="59"/>
  <c r="K184" i="59"/>
  <c r="C184" i="59" s="1"/>
  <c r="D185" i="59"/>
  <c r="H180" i="57"/>
  <c r="F181" i="57"/>
  <c r="G180" i="57"/>
  <c r="T220" i="61"/>
  <c r="U220" i="61" s="1"/>
  <c r="T225" i="61"/>
  <c r="U225" i="61" s="1"/>
  <c r="K184" i="57"/>
  <c r="C184" i="57" s="1"/>
  <c r="D185" i="57"/>
  <c r="Q226" i="61"/>
  <c r="S226" i="61" s="1"/>
  <c r="P227" i="61"/>
  <c r="R227" i="61" s="1"/>
  <c r="D228" i="61"/>
  <c r="C228" i="61" s="1"/>
  <c r="E227" i="61"/>
  <c r="F227" i="61" s="1"/>
  <c r="G226" i="61"/>
  <c r="H226" i="61"/>
  <c r="B220" i="61" l="1"/>
  <c r="D186" i="59"/>
  <c r="K185" i="59"/>
  <c r="C185" i="59" s="1"/>
  <c r="G183" i="59"/>
  <c r="H183" i="59"/>
  <c r="F184" i="59"/>
  <c r="G181" i="57"/>
  <c r="F182" i="57"/>
  <c r="H181" i="57"/>
  <c r="D186" i="57"/>
  <c r="K185" i="57"/>
  <c r="C185" i="57" s="1"/>
  <c r="G227" i="61"/>
  <c r="H227" i="61"/>
  <c r="P228" i="61"/>
  <c r="R228" i="61" s="1"/>
  <c r="E228" i="61"/>
  <c r="F228" i="61" s="1"/>
  <c r="D229" i="61"/>
  <c r="C229" i="61" s="1"/>
  <c r="Q227" i="61"/>
  <c r="S227" i="61" s="1"/>
  <c r="T226" i="61"/>
  <c r="U226" i="61" s="1"/>
  <c r="B221" i="61" l="1"/>
  <c r="H184" i="59"/>
  <c r="G184" i="59"/>
  <c r="F185" i="59"/>
  <c r="D187" i="59"/>
  <c r="K186" i="59"/>
  <c r="C186" i="59" s="1"/>
  <c r="F183" i="57"/>
  <c r="H182" i="57"/>
  <c r="G182" i="57"/>
  <c r="K186" i="57"/>
  <c r="C186" i="57" s="1"/>
  <c r="D187" i="57"/>
  <c r="T227" i="61"/>
  <c r="U227" i="61" s="1"/>
  <c r="H228" i="61"/>
  <c r="G228" i="61"/>
  <c r="Q228" i="61"/>
  <c r="S228" i="61" s="1"/>
  <c r="P229" i="61"/>
  <c r="R229" i="61" s="1"/>
  <c r="E229" i="61"/>
  <c r="F229" i="61" s="1"/>
  <c r="D230" i="61"/>
  <c r="C230" i="61" s="1"/>
  <c r="B222" i="61" l="1"/>
  <c r="G185" i="59"/>
  <c r="F186" i="59"/>
  <c r="H185" i="59"/>
  <c r="D188" i="59"/>
  <c r="K187" i="59"/>
  <c r="C187" i="59" s="1"/>
  <c r="F184" i="57"/>
  <c r="G183" i="57"/>
  <c r="H183" i="57"/>
  <c r="T228" i="61"/>
  <c r="U228" i="61" s="1"/>
  <c r="D188" i="57"/>
  <c r="K187" i="57"/>
  <c r="C187" i="57" s="1"/>
  <c r="Q229" i="61"/>
  <c r="S229" i="61" s="1"/>
  <c r="P230" i="61"/>
  <c r="R230" i="61" s="1"/>
  <c r="D231" i="61"/>
  <c r="C231" i="61" s="1"/>
  <c r="E230" i="61"/>
  <c r="F230" i="61" s="1"/>
  <c r="H229" i="61"/>
  <c r="G229" i="61"/>
  <c r="B223" i="61" l="1"/>
  <c r="D189" i="59"/>
  <c r="K188" i="59"/>
  <c r="C188" i="59" s="1"/>
  <c r="F187" i="59"/>
  <c r="G186" i="59"/>
  <c r="H186" i="59"/>
  <c r="F185" i="57"/>
  <c r="G184" i="57"/>
  <c r="H184" i="57"/>
  <c r="D189" i="57"/>
  <c r="K188" i="57"/>
  <c r="C188" i="57" s="1"/>
  <c r="P231" i="61"/>
  <c r="R231" i="61" s="1"/>
  <c r="E231" i="61"/>
  <c r="F231" i="61" s="1"/>
  <c r="D232" i="61"/>
  <c r="C232" i="61" s="1"/>
  <c r="Q230" i="61"/>
  <c r="S230" i="61" s="1"/>
  <c r="G230" i="61"/>
  <c r="H230" i="61"/>
  <c r="T229" i="61"/>
  <c r="U229" i="61" s="1"/>
  <c r="B224" i="61" l="1"/>
  <c r="G187" i="59"/>
  <c r="F188" i="59"/>
  <c r="H187" i="59"/>
  <c r="K189" i="59"/>
  <c r="C189" i="59" s="1"/>
  <c r="D190" i="59"/>
  <c r="H185" i="57"/>
  <c r="G185" i="57"/>
  <c r="F186" i="57"/>
  <c r="D190" i="57"/>
  <c r="K189" i="57"/>
  <c r="C189" i="57" s="1"/>
  <c r="P232" i="61"/>
  <c r="R232" i="61" s="1"/>
  <c r="E232" i="61"/>
  <c r="F232" i="61" s="1"/>
  <c r="D233" i="61"/>
  <c r="C233" i="61" s="1"/>
  <c r="G231" i="61"/>
  <c r="H231" i="61"/>
  <c r="T230" i="61"/>
  <c r="U230" i="61" s="1"/>
  <c r="Q231" i="61"/>
  <c r="S231" i="61" s="1"/>
  <c r="B225" i="61" l="1"/>
  <c r="F189" i="59"/>
  <c r="H188" i="59"/>
  <c r="G188" i="59"/>
  <c r="D191" i="59"/>
  <c r="K190" i="59"/>
  <c r="C190" i="59" s="1"/>
  <c r="H186" i="57"/>
  <c r="G186" i="57"/>
  <c r="F187" i="57"/>
  <c r="K190" i="57"/>
  <c r="C190" i="57" s="1"/>
  <c r="D191" i="57"/>
  <c r="T231" i="61"/>
  <c r="U231" i="61" s="1"/>
  <c r="P233" i="61"/>
  <c r="R233" i="61" s="1"/>
  <c r="E233" i="61"/>
  <c r="F233" i="61" s="1"/>
  <c r="D234" i="61"/>
  <c r="C234" i="61" s="1"/>
  <c r="H232" i="61"/>
  <c r="G232" i="61"/>
  <c r="Q232" i="61"/>
  <c r="S232" i="61" s="1"/>
  <c r="B226" i="61" l="1"/>
  <c r="K191" i="59"/>
  <c r="C191" i="59" s="1"/>
  <c r="D192" i="59"/>
  <c r="H189" i="59"/>
  <c r="F190" i="59"/>
  <c r="G189" i="59"/>
  <c r="G187" i="57"/>
  <c r="F188" i="57"/>
  <c r="H187" i="57"/>
  <c r="K191" i="57"/>
  <c r="C191" i="57" s="1"/>
  <c r="D192" i="57"/>
  <c r="P234" i="61"/>
  <c r="R234" i="61" s="1"/>
  <c r="E234" i="61"/>
  <c r="F234" i="61" s="1"/>
  <c r="D235" i="61"/>
  <c r="C235" i="61" s="1"/>
  <c r="T232" i="61"/>
  <c r="U232" i="61" s="1"/>
  <c r="H233" i="61"/>
  <c r="G233" i="61"/>
  <c r="Q233" i="61"/>
  <c r="S233" i="61" s="1"/>
  <c r="B227" i="61" l="1"/>
  <c r="H190" i="59"/>
  <c r="F191" i="59"/>
  <c r="G190" i="59"/>
  <c r="K192" i="59"/>
  <c r="C192" i="59" s="1"/>
  <c r="D193" i="59"/>
  <c r="H188" i="57"/>
  <c r="G188" i="57"/>
  <c r="F189" i="57"/>
  <c r="T233" i="61"/>
  <c r="U233" i="61" s="1"/>
  <c r="K192" i="57"/>
  <c r="C192" i="57" s="1"/>
  <c r="D193" i="57"/>
  <c r="P235" i="61"/>
  <c r="R235" i="61" s="1"/>
  <c r="E235" i="61"/>
  <c r="F235" i="61" s="1"/>
  <c r="D236" i="61"/>
  <c r="C236" i="61" s="1"/>
  <c r="G234" i="61"/>
  <c r="H234" i="61"/>
  <c r="Q234" i="61"/>
  <c r="S234" i="61" s="1"/>
  <c r="B228" i="61" l="1"/>
  <c r="H191" i="59"/>
  <c r="G191" i="59"/>
  <c r="F192" i="59"/>
  <c r="D194" i="59"/>
  <c r="K193" i="59"/>
  <c r="C193" i="59" s="1"/>
  <c r="H189" i="57"/>
  <c r="F190" i="57"/>
  <c r="G189" i="57"/>
  <c r="D194" i="57"/>
  <c r="K193" i="57"/>
  <c r="C193" i="57" s="1"/>
  <c r="T234" i="61"/>
  <c r="U234" i="61" s="1"/>
  <c r="P236" i="61"/>
  <c r="R236" i="61" s="1"/>
  <c r="E236" i="61"/>
  <c r="F236" i="61" s="1"/>
  <c r="D237" i="61"/>
  <c r="C237" i="61" s="1"/>
  <c r="G235" i="61"/>
  <c r="H235" i="61"/>
  <c r="Q235" i="61"/>
  <c r="S235" i="61" s="1"/>
  <c r="B229" i="61" l="1"/>
  <c r="K194" i="59"/>
  <c r="C194" i="59" s="1"/>
  <c r="D195" i="59"/>
  <c r="H192" i="59"/>
  <c r="F193" i="59"/>
  <c r="G192" i="59"/>
  <c r="H190" i="57"/>
  <c r="G190" i="57"/>
  <c r="F191" i="57"/>
  <c r="T235" i="61"/>
  <c r="U235" i="61" s="1"/>
  <c r="K194" i="57"/>
  <c r="C194" i="57" s="1"/>
  <c r="D195" i="57"/>
  <c r="G236" i="61"/>
  <c r="H236" i="61"/>
  <c r="P237" i="61"/>
  <c r="R237" i="61" s="1"/>
  <c r="D238" i="61"/>
  <c r="C238" i="61" s="1"/>
  <c r="E237" i="61"/>
  <c r="F237" i="61" s="1"/>
  <c r="Q236" i="61"/>
  <c r="S236" i="61" s="1"/>
  <c r="B230" i="61" l="1"/>
  <c r="F194" i="59"/>
  <c r="H193" i="59"/>
  <c r="G193" i="59"/>
  <c r="D196" i="59"/>
  <c r="K195" i="59"/>
  <c r="C195" i="59" s="1"/>
  <c r="F192" i="57"/>
  <c r="H191" i="57"/>
  <c r="G191" i="57"/>
  <c r="D196" i="57"/>
  <c r="K195" i="57"/>
  <c r="C195" i="57" s="1"/>
  <c r="T236" i="61"/>
  <c r="U236" i="61" s="1"/>
  <c r="H237" i="61"/>
  <c r="G237" i="61"/>
  <c r="P238" i="61"/>
  <c r="R238" i="61" s="1"/>
  <c r="D239" i="61"/>
  <c r="C239" i="61" s="1"/>
  <c r="E238" i="61"/>
  <c r="F238" i="61" s="1"/>
  <c r="Q237" i="61"/>
  <c r="S237" i="61" s="1"/>
  <c r="B231" i="61" l="1"/>
  <c r="K196" i="59"/>
  <c r="C196" i="59" s="1"/>
  <c r="D197" i="59"/>
  <c r="F195" i="59"/>
  <c r="G194" i="59"/>
  <c r="H194" i="59"/>
  <c r="F193" i="57"/>
  <c r="H192" i="57"/>
  <c r="G192" i="57"/>
  <c r="T237" i="61"/>
  <c r="U237" i="61" s="1"/>
  <c r="K196" i="57"/>
  <c r="C196" i="57" s="1"/>
  <c r="D197" i="57"/>
  <c r="P239" i="61"/>
  <c r="R239" i="61" s="1"/>
  <c r="D240" i="61"/>
  <c r="C240" i="61" s="1"/>
  <c r="E239" i="61"/>
  <c r="F239" i="61" s="1"/>
  <c r="Q238" i="61"/>
  <c r="S238" i="61" s="1"/>
  <c r="H238" i="61"/>
  <c r="G238" i="61"/>
  <c r="B232" i="61" l="1"/>
  <c r="G195" i="59"/>
  <c r="F196" i="59"/>
  <c r="H195" i="59"/>
  <c r="D198" i="59"/>
  <c r="K197" i="59"/>
  <c r="C197" i="59" s="1"/>
  <c r="G193" i="57"/>
  <c r="H193" i="57"/>
  <c r="F194" i="57"/>
  <c r="K197" i="57"/>
  <c r="C197" i="57" s="1"/>
  <c r="D198" i="57"/>
  <c r="T238" i="61"/>
  <c r="U238" i="61" s="1"/>
  <c r="G239" i="61"/>
  <c r="H239" i="61"/>
  <c r="P240" i="61"/>
  <c r="R240" i="61" s="1"/>
  <c r="D241" i="61"/>
  <c r="C241" i="61" s="1"/>
  <c r="E240" i="61"/>
  <c r="F240" i="61" s="1"/>
  <c r="Q239" i="61"/>
  <c r="S239" i="61" s="1"/>
  <c r="B233" i="61" l="1"/>
  <c r="D199" i="59"/>
  <c r="K198" i="59"/>
  <c r="C198" i="59" s="1"/>
  <c r="F197" i="59"/>
  <c r="H196" i="59"/>
  <c r="G196" i="59"/>
  <c r="F195" i="57"/>
  <c r="H194" i="57"/>
  <c r="G194" i="57"/>
  <c r="T239" i="61"/>
  <c r="U239" i="61" s="1"/>
  <c r="D199" i="57"/>
  <c r="K198" i="57"/>
  <c r="C198" i="57" s="1"/>
  <c r="Q240" i="61"/>
  <c r="S240" i="61" s="1"/>
  <c r="G240" i="61"/>
  <c r="H240" i="61"/>
  <c r="P241" i="61"/>
  <c r="R241" i="61" s="1"/>
  <c r="E241" i="61"/>
  <c r="F241" i="61" s="1"/>
  <c r="D242" i="61"/>
  <c r="C242" i="61" s="1"/>
  <c r="B234" i="61" l="1"/>
  <c r="G197" i="59"/>
  <c r="H197" i="59"/>
  <c r="F198" i="59"/>
  <c r="D200" i="59"/>
  <c r="K199" i="59"/>
  <c r="C199" i="59" s="1"/>
  <c r="G195" i="57"/>
  <c r="F196" i="57"/>
  <c r="H195" i="57"/>
  <c r="D200" i="57"/>
  <c r="K199" i="57"/>
  <c r="C199" i="57" s="1"/>
  <c r="G241" i="61"/>
  <c r="H241" i="61"/>
  <c r="Q241" i="61"/>
  <c r="S241" i="61" s="1"/>
  <c r="P242" i="61"/>
  <c r="R242" i="61" s="1"/>
  <c r="D243" i="61"/>
  <c r="C243" i="61" s="1"/>
  <c r="E242" i="61"/>
  <c r="F242" i="61" s="1"/>
  <c r="T240" i="61"/>
  <c r="U240" i="61" s="1"/>
  <c r="B235" i="61" l="1"/>
  <c r="K200" i="59"/>
  <c r="C200" i="59" s="1"/>
  <c r="D201" i="59"/>
  <c r="F199" i="59"/>
  <c r="G198" i="59"/>
  <c r="H198" i="59"/>
  <c r="F197" i="57"/>
  <c r="H196" i="57"/>
  <c r="G196" i="57"/>
  <c r="T241" i="61"/>
  <c r="U241" i="61" s="1"/>
  <c r="D201" i="57"/>
  <c r="K200" i="57"/>
  <c r="C200" i="57" s="1"/>
  <c r="Q242" i="61"/>
  <c r="S242" i="61" s="1"/>
  <c r="G242" i="61"/>
  <c r="H242" i="61"/>
  <c r="P243" i="61"/>
  <c r="R243" i="61" s="1"/>
  <c r="E243" i="61"/>
  <c r="F243" i="61" s="1"/>
  <c r="D244" i="61"/>
  <c r="C244" i="61" s="1"/>
  <c r="B236" i="61" l="1"/>
  <c r="F200" i="59"/>
  <c r="G199" i="59"/>
  <c r="H199" i="59"/>
  <c r="D202" i="59"/>
  <c r="K201" i="59"/>
  <c r="C201" i="59" s="1"/>
  <c r="H197" i="57"/>
  <c r="F198" i="57"/>
  <c r="G197" i="57"/>
  <c r="T242" i="61"/>
  <c r="U242" i="61" s="1"/>
  <c r="D202" i="57"/>
  <c r="K201" i="57"/>
  <c r="C201" i="57" s="1"/>
  <c r="Q243" i="61"/>
  <c r="S243" i="61" s="1"/>
  <c r="P244" i="61"/>
  <c r="R244" i="61" s="1"/>
  <c r="D245" i="61"/>
  <c r="C245" i="61" s="1"/>
  <c r="E244" i="61"/>
  <c r="F244" i="61" s="1"/>
  <c r="H243" i="61"/>
  <c r="G243" i="61"/>
  <c r="B237" i="61" l="1"/>
  <c r="K202" i="59"/>
  <c r="C202" i="59" s="1"/>
  <c r="D203" i="59"/>
  <c r="G200" i="59"/>
  <c r="F201" i="59"/>
  <c r="H200" i="59"/>
  <c r="H198" i="57"/>
  <c r="G198" i="57"/>
  <c r="F199" i="57"/>
  <c r="T243" i="61"/>
  <c r="U243" i="61" s="1"/>
  <c r="K202" i="57"/>
  <c r="C202" i="57" s="1"/>
  <c r="D203" i="57"/>
  <c r="G244" i="61"/>
  <c r="H244" i="61"/>
  <c r="P245" i="61"/>
  <c r="R245" i="61" s="1"/>
  <c r="E245" i="61"/>
  <c r="F245" i="61" s="1"/>
  <c r="D246" i="61"/>
  <c r="C246" i="61" s="1"/>
  <c r="Q244" i="61"/>
  <c r="S244" i="61" s="1"/>
  <c r="B238" i="61" l="1"/>
  <c r="F202" i="59"/>
  <c r="H201" i="59"/>
  <c r="G201" i="59"/>
  <c r="D204" i="59"/>
  <c r="K203" i="59"/>
  <c r="C203" i="59" s="1"/>
  <c r="F200" i="57"/>
  <c r="G199" i="57"/>
  <c r="H199" i="57"/>
  <c r="T244" i="61"/>
  <c r="U244" i="61" s="1"/>
  <c r="D204" i="57"/>
  <c r="K203" i="57"/>
  <c r="C203" i="57" s="1"/>
  <c r="G245" i="61"/>
  <c r="H245" i="61"/>
  <c r="Q245" i="61"/>
  <c r="S245" i="61" s="1"/>
  <c r="P246" i="61"/>
  <c r="R246" i="61" s="1"/>
  <c r="E246" i="61"/>
  <c r="F246" i="61" s="1"/>
  <c r="D247" i="61"/>
  <c r="C247" i="61" s="1"/>
  <c r="B239" i="61" l="1"/>
  <c r="D205" i="59"/>
  <c r="K204" i="59"/>
  <c r="C204" i="59" s="1"/>
  <c r="H202" i="59"/>
  <c r="G202" i="59"/>
  <c r="F203" i="59"/>
  <c r="H200" i="57"/>
  <c r="G200" i="57"/>
  <c r="F201" i="57"/>
  <c r="D205" i="57"/>
  <c r="K204" i="57"/>
  <c r="C204" i="57" s="1"/>
  <c r="P247" i="61"/>
  <c r="R247" i="61" s="1"/>
  <c r="D248" i="61"/>
  <c r="C248" i="61" s="1"/>
  <c r="E247" i="61"/>
  <c r="F247" i="61" s="1"/>
  <c r="T245" i="61"/>
  <c r="U245" i="61" s="1"/>
  <c r="Q246" i="61"/>
  <c r="S246" i="61" s="1"/>
  <c r="G246" i="61"/>
  <c r="H246" i="61"/>
  <c r="B240" i="61" l="1"/>
  <c r="H203" i="59"/>
  <c r="G203" i="59"/>
  <c r="F204" i="59"/>
  <c r="K205" i="59"/>
  <c r="C205" i="59" s="1"/>
  <c r="D206" i="59"/>
  <c r="H201" i="57"/>
  <c r="G201" i="57"/>
  <c r="F202" i="57"/>
  <c r="T246" i="61"/>
  <c r="U246" i="61" s="1"/>
  <c r="D206" i="57"/>
  <c r="K205" i="57"/>
  <c r="C205" i="57" s="1"/>
  <c r="H247" i="61"/>
  <c r="G247" i="61"/>
  <c r="P248" i="61"/>
  <c r="R248" i="61" s="1"/>
  <c r="D249" i="61"/>
  <c r="C249" i="61" s="1"/>
  <c r="E248" i="61"/>
  <c r="F248" i="61" s="1"/>
  <c r="Q247" i="61"/>
  <c r="S247" i="61" s="1"/>
  <c r="B241" i="61" l="1"/>
  <c r="F205" i="59"/>
  <c r="H204" i="59"/>
  <c r="G204" i="59"/>
  <c r="D207" i="59"/>
  <c r="K206" i="59"/>
  <c r="C206" i="59" s="1"/>
  <c r="F203" i="57"/>
  <c r="H202" i="57"/>
  <c r="G202" i="57"/>
  <c r="T247" i="61"/>
  <c r="U247" i="61" s="1"/>
  <c r="D207" i="57"/>
  <c r="K206" i="57"/>
  <c r="C206" i="57" s="1"/>
  <c r="Q248" i="61"/>
  <c r="S248" i="61" s="1"/>
  <c r="H248" i="61"/>
  <c r="G248" i="61"/>
  <c r="P249" i="61"/>
  <c r="R249" i="61" s="1"/>
  <c r="E249" i="61"/>
  <c r="F249" i="61" s="1"/>
  <c r="D250" i="61"/>
  <c r="C250" i="61" s="1"/>
  <c r="B242" i="61" l="1"/>
  <c r="K207" i="59"/>
  <c r="C207" i="59" s="1"/>
  <c r="D208" i="59"/>
  <c r="H205" i="59"/>
  <c r="G205" i="59"/>
  <c r="F206" i="59"/>
  <c r="F204" i="57"/>
  <c r="H203" i="57"/>
  <c r="G203" i="57"/>
  <c r="T248" i="61"/>
  <c r="U248" i="61" s="1"/>
  <c r="K207" i="57"/>
  <c r="C207" i="57" s="1"/>
  <c r="D208" i="57"/>
  <c r="G249" i="61"/>
  <c r="H249" i="61"/>
  <c r="Q249" i="61"/>
  <c r="S249" i="61" s="1"/>
  <c r="P250" i="61"/>
  <c r="R250" i="61" s="1"/>
  <c r="D251" i="61"/>
  <c r="C251" i="61" s="1"/>
  <c r="E250" i="61"/>
  <c r="F250" i="61" s="1"/>
  <c r="B243" i="61" l="1"/>
  <c r="D209" i="59"/>
  <c r="K208" i="59"/>
  <c r="C208" i="59" s="1"/>
  <c r="F207" i="59"/>
  <c r="G206" i="59"/>
  <c r="H206" i="59"/>
  <c r="G204" i="57"/>
  <c r="F205" i="57"/>
  <c r="H204" i="57"/>
  <c r="T249" i="61"/>
  <c r="U249" i="61" s="1"/>
  <c r="D209" i="57"/>
  <c r="K208" i="57"/>
  <c r="C208" i="57" s="1"/>
  <c r="Q250" i="61"/>
  <c r="S250" i="61" s="1"/>
  <c r="H250" i="61"/>
  <c r="G250" i="61"/>
  <c r="P251" i="61"/>
  <c r="R251" i="61" s="1"/>
  <c r="D252" i="61"/>
  <c r="C252" i="61" s="1"/>
  <c r="E251" i="61"/>
  <c r="F251" i="61" s="1"/>
  <c r="B244" i="61" l="1"/>
  <c r="G207" i="59"/>
  <c r="F208" i="59"/>
  <c r="H207" i="59"/>
  <c r="D210" i="59"/>
  <c r="K209" i="59"/>
  <c r="C209" i="59" s="1"/>
  <c r="G205" i="57"/>
  <c r="F206" i="57"/>
  <c r="H205" i="57"/>
  <c r="T250" i="61"/>
  <c r="U250" i="61" s="1"/>
  <c r="D210" i="57"/>
  <c r="K209" i="57"/>
  <c r="C209" i="57" s="1"/>
  <c r="Q251" i="61"/>
  <c r="S251" i="61" s="1"/>
  <c r="H251" i="61"/>
  <c r="G251" i="61"/>
  <c r="P252" i="61"/>
  <c r="R252" i="61" s="1"/>
  <c r="D253" i="61"/>
  <c r="C253" i="61" s="1"/>
  <c r="E252" i="61"/>
  <c r="F252" i="61" s="1"/>
  <c r="B245" i="61" l="1"/>
  <c r="K210" i="59"/>
  <c r="C210" i="59" s="1"/>
  <c r="D211" i="59"/>
  <c r="F209" i="59"/>
  <c r="H208" i="59"/>
  <c r="G208" i="59"/>
  <c r="H206" i="57"/>
  <c r="G206" i="57"/>
  <c r="F207" i="57"/>
  <c r="K210" i="57"/>
  <c r="C210" i="57" s="1"/>
  <c r="D211" i="57"/>
  <c r="P253" i="61"/>
  <c r="R253" i="61" s="1"/>
  <c r="E253" i="61"/>
  <c r="F253" i="61" s="1"/>
  <c r="D254" i="61"/>
  <c r="C254" i="61" s="1"/>
  <c r="Q252" i="61"/>
  <c r="S252" i="61" s="1"/>
  <c r="H252" i="61"/>
  <c r="G252" i="61"/>
  <c r="T251" i="61"/>
  <c r="U251" i="61" s="1"/>
  <c r="B246" i="61" l="1"/>
  <c r="F210" i="59"/>
  <c r="H209" i="59"/>
  <c r="G209" i="59"/>
  <c r="D212" i="59"/>
  <c r="K211" i="59"/>
  <c r="C211" i="59" s="1"/>
  <c r="G207" i="57"/>
  <c r="F208" i="57"/>
  <c r="H207" i="57"/>
  <c r="T252" i="61"/>
  <c r="U252" i="61" s="1"/>
  <c r="D212" i="57"/>
  <c r="K211" i="57"/>
  <c r="C211" i="57" s="1"/>
  <c r="P254" i="61"/>
  <c r="R254" i="61" s="1"/>
  <c r="D255" i="61"/>
  <c r="C255" i="61" s="1"/>
  <c r="E254" i="61"/>
  <c r="F254" i="61" s="1"/>
  <c r="H253" i="61"/>
  <c r="G253" i="61"/>
  <c r="Q253" i="61"/>
  <c r="S253" i="61" s="1"/>
  <c r="B247" i="61" l="1"/>
  <c r="K212" i="59"/>
  <c r="C212" i="59" s="1"/>
  <c r="D213" i="59"/>
  <c r="G210" i="59"/>
  <c r="F211" i="59"/>
  <c r="H210" i="59"/>
  <c r="H208" i="57"/>
  <c r="G208" i="57"/>
  <c r="F209" i="57"/>
  <c r="D213" i="57"/>
  <c r="K212" i="57"/>
  <c r="C212" i="57" s="1"/>
  <c r="G254" i="61"/>
  <c r="H254" i="61"/>
  <c r="T253" i="61"/>
  <c r="U253" i="61" s="1"/>
  <c r="P255" i="61"/>
  <c r="R255" i="61" s="1"/>
  <c r="D256" i="61"/>
  <c r="C256" i="61" s="1"/>
  <c r="E255" i="61"/>
  <c r="F255" i="61" s="1"/>
  <c r="Q254" i="61"/>
  <c r="S254" i="61" s="1"/>
  <c r="B248" i="61" l="1"/>
  <c r="F212" i="59"/>
  <c r="H211" i="59"/>
  <c r="G211" i="59"/>
  <c r="D214" i="59"/>
  <c r="K213" i="59"/>
  <c r="C213" i="59" s="1"/>
  <c r="G209" i="57"/>
  <c r="F210" i="57"/>
  <c r="H209" i="57"/>
  <c r="K213" i="57"/>
  <c r="C213" i="57" s="1"/>
  <c r="D214" i="57"/>
  <c r="T254" i="61"/>
  <c r="U254" i="61" s="1"/>
  <c r="Q255" i="61"/>
  <c r="S255" i="61" s="1"/>
  <c r="H255" i="61"/>
  <c r="G255" i="61"/>
  <c r="P256" i="61"/>
  <c r="R256" i="61" s="1"/>
  <c r="E256" i="61"/>
  <c r="F256" i="61" s="1"/>
  <c r="D257" i="61"/>
  <c r="C257" i="61" s="1"/>
  <c r="B249" i="61" l="1"/>
  <c r="D215" i="59"/>
  <c r="K214" i="59"/>
  <c r="C214" i="59" s="1"/>
  <c r="H212" i="59"/>
  <c r="F213" i="59"/>
  <c r="G212" i="59"/>
  <c r="F211" i="57"/>
  <c r="H210" i="57"/>
  <c r="G210" i="57"/>
  <c r="T255" i="61"/>
  <c r="U255" i="61" s="1"/>
  <c r="K214" i="57"/>
  <c r="C214" i="57" s="1"/>
  <c r="D215" i="57"/>
  <c r="G256" i="61"/>
  <c r="H256" i="61"/>
  <c r="P257" i="61"/>
  <c r="R257" i="61" s="1"/>
  <c r="D258" i="61"/>
  <c r="C258" i="61" s="1"/>
  <c r="E257" i="61"/>
  <c r="F257" i="61" s="1"/>
  <c r="Q256" i="61"/>
  <c r="S256" i="61" s="1"/>
  <c r="B250" i="61" l="1"/>
  <c r="H213" i="59"/>
  <c r="F214" i="59"/>
  <c r="G213" i="59"/>
  <c r="D216" i="59"/>
  <c r="K215" i="59"/>
  <c r="C215" i="59" s="1"/>
  <c r="H211" i="57"/>
  <c r="F212" i="57"/>
  <c r="G211" i="57"/>
  <c r="T256" i="61"/>
  <c r="U256" i="61" s="1"/>
  <c r="K215" i="57"/>
  <c r="C215" i="57" s="1"/>
  <c r="D216" i="57"/>
  <c r="H257" i="61"/>
  <c r="G257" i="61"/>
  <c r="P258" i="61"/>
  <c r="R258" i="61" s="1"/>
  <c r="D259" i="61"/>
  <c r="C259" i="61" s="1"/>
  <c r="E258" i="61"/>
  <c r="F258" i="61" s="1"/>
  <c r="Q257" i="61"/>
  <c r="S257" i="61" s="1"/>
  <c r="B251" i="61" l="1"/>
  <c r="D217" i="59"/>
  <c r="K216" i="59"/>
  <c r="C216" i="59" s="1"/>
  <c r="G214" i="59"/>
  <c r="F215" i="59"/>
  <c r="H214" i="59"/>
  <c r="F213" i="57"/>
  <c r="H212" i="57"/>
  <c r="G212" i="57"/>
  <c r="K216" i="57"/>
  <c r="C216" i="57" s="1"/>
  <c r="D217" i="57"/>
  <c r="G258" i="61"/>
  <c r="H258" i="61"/>
  <c r="P259" i="61"/>
  <c r="R259" i="61" s="1"/>
  <c r="D260" i="61"/>
  <c r="C260" i="61" s="1"/>
  <c r="E259" i="61"/>
  <c r="F259" i="61" s="1"/>
  <c r="T257" i="61"/>
  <c r="U257" i="61" s="1"/>
  <c r="Q258" i="61"/>
  <c r="S258" i="61" s="1"/>
  <c r="B252" i="61" l="1"/>
  <c r="F216" i="59"/>
  <c r="G215" i="59"/>
  <c r="H215" i="59"/>
  <c r="K217" i="59"/>
  <c r="C217" i="59" s="1"/>
  <c r="D218" i="59"/>
  <c r="G213" i="57"/>
  <c r="H213" i="57"/>
  <c r="F214" i="57"/>
  <c r="T258" i="61"/>
  <c r="U258" i="61" s="1"/>
  <c r="D218" i="57"/>
  <c r="K217" i="57"/>
  <c r="C217" i="57" s="1"/>
  <c r="P260" i="61"/>
  <c r="R260" i="61" s="1"/>
  <c r="D261" i="61"/>
  <c r="C261" i="61" s="1"/>
  <c r="E260" i="61"/>
  <c r="F260" i="61" s="1"/>
  <c r="Q259" i="61"/>
  <c r="S259" i="61" s="1"/>
  <c r="H259" i="61"/>
  <c r="G259" i="61"/>
  <c r="B253" i="61" l="1"/>
  <c r="D219" i="59"/>
  <c r="K218" i="59"/>
  <c r="C218" i="59" s="1"/>
  <c r="F217" i="59"/>
  <c r="G216" i="59"/>
  <c r="H216" i="59"/>
  <c r="H214" i="57"/>
  <c r="G214" i="57"/>
  <c r="F215" i="57"/>
  <c r="T259" i="61"/>
  <c r="U259" i="61" s="1"/>
  <c r="K218" i="57"/>
  <c r="C218" i="57" s="1"/>
  <c r="D219" i="57"/>
  <c r="G260" i="61"/>
  <c r="H260" i="61"/>
  <c r="P261" i="61"/>
  <c r="R261" i="61" s="1"/>
  <c r="E261" i="61"/>
  <c r="F261" i="61" s="1"/>
  <c r="D262" i="61"/>
  <c r="C262" i="61" s="1"/>
  <c r="Q260" i="61"/>
  <c r="S260" i="61" s="1"/>
  <c r="B254" i="61" l="1"/>
  <c r="G217" i="59"/>
  <c r="F218" i="59"/>
  <c r="H217" i="59"/>
  <c r="K219" i="59"/>
  <c r="C219" i="59" s="1"/>
  <c r="D220" i="59"/>
  <c r="F216" i="57"/>
  <c r="G215" i="57"/>
  <c r="H215" i="57"/>
  <c r="T260" i="61"/>
  <c r="U260" i="61" s="1"/>
  <c r="D220" i="57"/>
  <c r="K219" i="57"/>
  <c r="C219" i="57" s="1"/>
  <c r="H261" i="61"/>
  <c r="G261" i="61"/>
  <c r="Q261" i="61"/>
  <c r="S261" i="61" s="1"/>
  <c r="P262" i="61"/>
  <c r="R262" i="61" s="1"/>
  <c r="D263" i="61"/>
  <c r="C263" i="61" s="1"/>
  <c r="E262" i="61"/>
  <c r="F262" i="61" s="1"/>
  <c r="B255" i="61" l="1"/>
  <c r="F219" i="59"/>
  <c r="G218" i="59"/>
  <c r="H218" i="59"/>
  <c r="D221" i="59"/>
  <c r="K220" i="59"/>
  <c r="C220" i="59" s="1"/>
  <c r="F217" i="57"/>
  <c r="H216" i="57"/>
  <c r="G216" i="57"/>
  <c r="K220" i="57"/>
  <c r="C220" i="57" s="1"/>
  <c r="D221" i="57"/>
  <c r="T261" i="61"/>
  <c r="U261" i="61" s="1"/>
  <c r="H262" i="61"/>
  <c r="G262" i="61"/>
  <c r="P263" i="61"/>
  <c r="R263" i="61" s="1"/>
  <c r="D264" i="61"/>
  <c r="C264" i="61" s="1"/>
  <c r="E263" i="61"/>
  <c r="F263" i="61" s="1"/>
  <c r="Q262" i="61"/>
  <c r="S262" i="61" s="1"/>
  <c r="B256" i="61" l="1"/>
  <c r="D222" i="59"/>
  <c r="K221" i="59"/>
  <c r="C221" i="59" s="1"/>
  <c r="G219" i="59"/>
  <c r="H219" i="59"/>
  <c r="F220" i="59"/>
  <c r="H217" i="57"/>
  <c r="F218" i="57"/>
  <c r="G217" i="57"/>
  <c r="T262" i="61"/>
  <c r="U262" i="61" s="1"/>
  <c r="K221" i="57"/>
  <c r="C221" i="57" s="1"/>
  <c r="D222" i="57"/>
  <c r="Q263" i="61"/>
  <c r="S263" i="61" s="1"/>
  <c r="H263" i="61"/>
  <c r="G263" i="61"/>
  <c r="P264" i="61"/>
  <c r="R264" i="61" s="1"/>
  <c r="E264" i="61"/>
  <c r="F264" i="61" s="1"/>
  <c r="D265" i="61"/>
  <c r="C265" i="61" s="1"/>
  <c r="B257" i="61" l="1"/>
  <c r="F221" i="59"/>
  <c r="G220" i="59"/>
  <c r="H220" i="59"/>
  <c r="K222" i="59"/>
  <c r="C222" i="59" s="1"/>
  <c r="D223" i="59"/>
  <c r="G218" i="57"/>
  <c r="F219" i="57"/>
  <c r="H218" i="57"/>
  <c r="K222" i="57"/>
  <c r="C222" i="57" s="1"/>
  <c r="D223" i="57"/>
  <c r="H264" i="61"/>
  <c r="G264" i="61"/>
  <c r="Q264" i="61"/>
  <c r="S264" i="61" s="1"/>
  <c r="P265" i="61"/>
  <c r="R265" i="61" s="1"/>
  <c r="E265" i="61"/>
  <c r="F265" i="61" s="1"/>
  <c r="D266" i="61"/>
  <c r="C266" i="61" s="1"/>
  <c r="T263" i="61"/>
  <c r="U263" i="61" s="1"/>
  <c r="B258" i="61" l="1"/>
  <c r="D224" i="59"/>
  <c r="K223" i="59"/>
  <c r="C223" i="59" s="1"/>
  <c r="H221" i="59"/>
  <c r="G221" i="59"/>
  <c r="F222" i="59"/>
  <c r="H219" i="57"/>
  <c r="G219" i="57"/>
  <c r="F220" i="57"/>
  <c r="D224" i="57"/>
  <c r="K223" i="57"/>
  <c r="C223" i="57" s="1"/>
  <c r="T264" i="61"/>
  <c r="U264" i="61" s="1"/>
  <c r="P266" i="61"/>
  <c r="R266" i="61" s="1"/>
  <c r="D267" i="61"/>
  <c r="C267" i="61" s="1"/>
  <c r="E266" i="61"/>
  <c r="F266" i="61" s="1"/>
  <c r="H265" i="61"/>
  <c r="G265" i="61"/>
  <c r="Q265" i="61"/>
  <c r="S265" i="61" s="1"/>
  <c r="B259" i="61" l="1"/>
  <c r="H222" i="59"/>
  <c r="F223" i="59"/>
  <c r="G222" i="59"/>
  <c r="K224" i="59"/>
  <c r="C224" i="59" s="1"/>
  <c r="D225" i="59"/>
  <c r="H220" i="57"/>
  <c r="G220" i="57"/>
  <c r="F221" i="57"/>
  <c r="K224" i="57"/>
  <c r="C224" i="57" s="1"/>
  <c r="D225" i="57"/>
  <c r="T265" i="61"/>
  <c r="U265" i="61" s="1"/>
  <c r="P267" i="61"/>
  <c r="R267" i="61" s="1"/>
  <c r="E267" i="61"/>
  <c r="F267" i="61" s="1"/>
  <c r="D268" i="61"/>
  <c r="C268" i="61" s="1"/>
  <c r="Q266" i="61"/>
  <c r="S266" i="61" s="1"/>
  <c r="H266" i="61"/>
  <c r="G266" i="61"/>
  <c r="B260" i="61" l="1"/>
  <c r="F224" i="59"/>
  <c r="G223" i="59"/>
  <c r="H223" i="59"/>
  <c r="D226" i="59"/>
  <c r="K225" i="59"/>
  <c r="C225" i="59" s="1"/>
  <c r="H221" i="57"/>
  <c r="F222" i="57"/>
  <c r="G221" i="57"/>
  <c r="D226" i="57"/>
  <c r="K225" i="57"/>
  <c r="C225" i="57" s="1"/>
  <c r="Q267" i="61"/>
  <c r="S267" i="61" s="1"/>
  <c r="P268" i="61"/>
  <c r="R268" i="61" s="1"/>
  <c r="E268" i="61"/>
  <c r="F268" i="61" s="1"/>
  <c r="D269" i="61"/>
  <c r="C269" i="61" s="1"/>
  <c r="H267" i="61"/>
  <c r="G267" i="61"/>
  <c r="T266" i="61"/>
  <c r="U266" i="61" s="1"/>
  <c r="B261" i="61" l="1"/>
  <c r="K226" i="59"/>
  <c r="C226" i="59" s="1"/>
  <c r="D227" i="59"/>
  <c r="G224" i="59"/>
  <c r="F225" i="59"/>
  <c r="H224" i="59"/>
  <c r="F223" i="57"/>
  <c r="G222" i="57"/>
  <c r="H222" i="57"/>
  <c r="K226" i="57"/>
  <c r="C226" i="57" s="1"/>
  <c r="D227" i="57"/>
  <c r="P269" i="61"/>
  <c r="R269" i="61" s="1"/>
  <c r="D270" i="61"/>
  <c r="C270" i="61" s="1"/>
  <c r="E269" i="61"/>
  <c r="F269" i="61" s="1"/>
  <c r="H268" i="61"/>
  <c r="G268" i="61"/>
  <c r="Q268" i="61"/>
  <c r="S268" i="61" s="1"/>
  <c r="T267" i="61"/>
  <c r="U267" i="61" s="1"/>
  <c r="B262" i="61" l="1"/>
  <c r="F226" i="59"/>
  <c r="G225" i="59"/>
  <c r="H225" i="59"/>
  <c r="D228" i="59"/>
  <c r="K227" i="59"/>
  <c r="C227" i="59" s="1"/>
  <c r="G223" i="57"/>
  <c r="F224" i="57"/>
  <c r="H223" i="57"/>
  <c r="T268" i="61"/>
  <c r="U268" i="61" s="1"/>
  <c r="D228" i="57"/>
  <c r="K227" i="57"/>
  <c r="C227" i="57" s="1"/>
  <c r="H269" i="61"/>
  <c r="G269" i="61"/>
  <c r="P270" i="61"/>
  <c r="R270" i="61" s="1"/>
  <c r="E270" i="61"/>
  <c r="F270" i="61" s="1"/>
  <c r="D271" i="61"/>
  <c r="C271" i="61" s="1"/>
  <c r="Q269" i="61"/>
  <c r="S269" i="61" s="1"/>
  <c r="B263" i="61" l="1"/>
  <c r="D229" i="59"/>
  <c r="K228" i="59"/>
  <c r="C228" i="59" s="1"/>
  <c r="F227" i="59"/>
  <c r="H226" i="59"/>
  <c r="G226" i="59"/>
  <c r="H224" i="57"/>
  <c r="G224" i="57"/>
  <c r="F225" i="57"/>
  <c r="D229" i="57"/>
  <c r="K228" i="57"/>
  <c r="C228" i="57" s="1"/>
  <c r="T269" i="61"/>
  <c r="U269" i="61" s="1"/>
  <c r="Q270" i="61"/>
  <c r="S270" i="61" s="1"/>
  <c r="H270" i="61"/>
  <c r="G270" i="61"/>
  <c r="P271" i="61"/>
  <c r="R271" i="61" s="1"/>
  <c r="E271" i="61"/>
  <c r="F271" i="61" s="1"/>
  <c r="D272" i="61"/>
  <c r="C272" i="61" s="1"/>
  <c r="B264" i="61" l="1"/>
  <c r="G227" i="59"/>
  <c r="F228" i="59"/>
  <c r="H227" i="59"/>
  <c r="D230" i="59"/>
  <c r="K229" i="59"/>
  <c r="C229" i="59" s="1"/>
  <c r="H225" i="57"/>
  <c r="F226" i="57"/>
  <c r="G225" i="57"/>
  <c r="D230" i="57"/>
  <c r="K229" i="57"/>
  <c r="C229" i="57" s="1"/>
  <c r="P272" i="61"/>
  <c r="R272" i="61" s="1"/>
  <c r="E272" i="61"/>
  <c r="F272" i="61" s="1"/>
  <c r="D273" i="61"/>
  <c r="C273" i="61" s="1"/>
  <c r="T270" i="61"/>
  <c r="U270" i="61" s="1"/>
  <c r="G271" i="61"/>
  <c r="H271" i="61"/>
  <c r="Q271" i="61"/>
  <c r="S271" i="61" s="1"/>
  <c r="B265" i="61" l="1"/>
  <c r="D231" i="59"/>
  <c r="K230" i="59"/>
  <c r="C230" i="59" s="1"/>
  <c r="H228" i="59"/>
  <c r="G228" i="59"/>
  <c r="F229" i="59"/>
  <c r="F227" i="57"/>
  <c r="G226" i="57"/>
  <c r="H226" i="57"/>
  <c r="T271" i="61"/>
  <c r="U271" i="61" s="1"/>
  <c r="K230" i="57"/>
  <c r="C230" i="57" s="1"/>
  <c r="D231" i="57"/>
  <c r="P273" i="61"/>
  <c r="R273" i="61" s="1"/>
  <c r="D274" i="61"/>
  <c r="C274" i="61" s="1"/>
  <c r="E273" i="61"/>
  <c r="F273" i="61" s="1"/>
  <c r="H272" i="61"/>
  <c r="G272" i="61"/>
  <c r="Q272" i="61"/>
  <c r="S272" i="61" s="1"/>
  <c r="B266" i="61" l="1"/>
  <c r="H229" i="59"/>
  <c r="G229" i="59"/>
  <c r="F230" i="59"/>
  <c r="D232" i="59"/>
  <c r="K231" i="59"/>
  <c r="C231" i="59" s="1"/>
  <c r="H227" i="57"/>
  <c r="F228" i="57"/>
  <c r="G227" i="57"/>
  <c r="T272" i="61"/>
  <c r="U272" i="61" s="1"/>
  <c r="D232" i="57"/>
  <c r="K231" i="57"/>
  <c r="C231" i="57" s="1"/>
  <c r="H273" i="61"/>
  <c r="G273" i="61"/>
  <c r="P274" i="61"/>
  <c r="R274" i="61" s="1"/>
  <c r="E274" i="61"/>
  <c r="F274" i="61" s="1"/>
  <c r="D275" i="61"/>
  <c r="C275" i="61" s="1"/>
  <c r="Q273" i="61"/>
  <c r="S273" i="61" s="1"/>
  <c r="B267" i="61" l="1"/>
  <c r="D233" i="59"/>
  <c r="K232" i="59"/>
  <c r="C232" i="59" s="1"/>
  <c r="F231" i="59"/>
  <c r="H230" i="59"/>
  <c r="G230" i="59"/>
  <c r="G228" i="57"/>
  <c r="H228" i="57"/>
  <c r="F229" i="57"/>
  <c r="D233" i="57"/>
  <c r="K232" i="57"/>
  <c r="C232" i="57" s="1"/>
  <c r="G274" i="61"/>
  <c r="H274" i="61"/>
  <c r="T273" i="61"/>
  <c r="U273" i="61" s="1"/>
  <c r="Q274" i="61"/>
  <c r="S274" i="61" s="1"/>
  <c r="P275" i="61"/>
  <c r="R275" i="61" s="1"/>
  <c r="D281" i="61"/>
  <c r="C281" i="61" s="1"/>
  <c r="E275" i="61"/>
  <c r="F275" i="61" s="1"/>
  <c r="D276" i="61"/>
  <c r="C276" i="61" s="1"/>
  <c r="B268" i="61" l="1"/>
  <c r="F232" i="59"/>
  <c r="H231" i="59"/>
  <c r="G231" i="59"/>
  <c r="D234" i="59"/>
  <c r="K233" i="59"/>
  <c r="C233" i="59" s="1"/>
  <c r="H229" i="57"/>
  <c r="G229" i="57"/>
  <c r="F230" i="57"/>
  <c r="T274" i="61"/>
  <c r="U274" i="61" s="1"/>
  <c r="K233" i="57"/>
  <c r="C233" i="57" s="1"/>
  <c r="D234" i="57"/>
  <c r="G275" i="61"/>
  <c r="H275" i="61"/>
  <c r="E281" i="61"/>
  <c r="F281" i="61" s="1"/>
  <c r="P281" i="61"/>
  <c r="R281" i="61" s="1"/>
  <c r="D282" i="61"/>
  <c r="C282" i="61" s="1"/>
  <c r="Q275" i="61"/>
  <c r="S275" i="61" s="1"/>
  <c r="P276" i="61"/>
  <c r="R276" i="61" s="1"/>
  <c r="D277" i="61"/>
  <c r="C277" i="61" s="1"/>
  <c r="E276" i="61"/>
  <c r="F276" i="61" s="1"/>
  <c r="B269" i="61" l="1"/>
  <c r="K234" i="59"/>
  <c r="C234" i="59" s="1"/>
  <c r="D235" i="59"/>
  <c r="G232" i="59"/>
  <c r="H232" i="59"/>
  <c r="F233" i="59"/>
  <c r="H230" i="57"/>
  <c r="G230" i="57"/>
  <c r="F231" i="57"/>
  <c r="T275" i="61"/>
  <c r="U275" i="61" s="1"/>
  <c r="D235" i="57"/>
  <c r="K234" i="57"/>
  <c r="C234" i="57" s="1"/>
  <c r="H281" i="61"/>
  <c r="G281" i="61"/>
  <c r="Q276" i="61"/>
  <c r="S276" i="61" s="1"/>
  <c r="Q281" i="61"/>
  <c r="S281" i="61" s="1"/>
  <c r="H276" i="61"/>
  <c r="G276" i="61"/>
  <c r="P277" i="61"/>
  <c r="R277" i="61" s="1"/>
  <c r="D278" i="61"/>
  <c r="C278" i="61" s="1"/>
  <c r="E277" i="61"/>
  <c r="F277" i="61" s="1"/>
  <c r="P282" i="61"/>
  <c r="R282" i="61" s="1"/>
  <c r="E282" i="61"/>
  <c r="F282" i="61" s="1"/>
  <c r="D283" i="61"/>
  <c r="C283" i="61" s="1"/>
  <c r="B270" i="61" l="1"/>
  <c r="D236" i="59"/>
  <c r="K235" i="59"/>
  <c r="C235" i="59" s="1"/>
  <c r="G233" i="59"/>
  <c r="F234" i="59"/>
  <c r="H233" i="59"/>
  <c r="F232" i="57"/>
  <c r="G231" i="57"/>
  <c r="H231" i="57"/>
  <c r="T281" i="61"/>
  <c r="U281" i="61" s="1"/>
  <c r="T276" i="61"/>
  <c r="U276" i="61" s="1"/>
  <c r="K235" i="57"/>
  <c r="C235" i="57" s="1"/>
  <c r="D236" i="57"/>
  <c r="Q282" i="61"/>
  <c r="S282" i="61" s="1"/>
  <c r="P283" i="61"/>
  <c r="R283" i="61" s="1"/>
  <c r="D284" i="61"/>
  <c r="C284" i="61" s="1"/>
  <c r="E283" i="61"/>
  <c r="F283" i="61" s="1"/>
  <c r="P278" i="61"/>
  <c r="R278" i="61" s="1"/>
  <c r="D279" i="61"/>
  <c r="C279" i="61" s="1"/>
  <c r="E278" i="61"/>
  <c r="F278" i="61" s="1"/>
  <c r="H277" i="61"/>
  <c r="G277" i="61"/>
  <c r="H282" i="61"/>
  <c r="G282" i="61"/>
  <c r="Q277" i="61"/>
  <c r="S277" i="61" s="1"/>
  <c r="B271" i="61" l="1"/>
  <c r="H234" i="59"/>
  <c r="G234" i="59"/>
  <c r="F235" i="59"/>
  <c r="K236" i="59"/>
  <c r="C236" i="59" s="1"/>
  <c r="D237" i="59"/>
  <c r="G232" i="57"/>
  <c r="F233" i="57"/>
  <c r="H232" i="57"/>
  <c r="T277" i="61"/>
  <c r="U277" i="61" s="1"/>
  <c r="D237" i="57"/>
  <c r="K236" i="57"/>
  <c r="C236" i="57" s="1"/>
  <c r="H278" i="61"/>
  <c r="G278" i="61"/>
  <c r="P284" i="61"/>
  <c r="R284" i="61" s="1"/>
  <c r="D285" i="61"/>
  <c r="C285" i="61" s="1"/>
  <c r="E284" i="61"/>
  <c r="F284" i="61" s="1"/>
  <c r="P279" i="61"/>
  <c r="R279" i="61" s="1"/>
  <c r="E279" i="61"/>
  <c r="F279" i="61" s="1"/>
  <c r="D280" i="61"/>
  <c r="C280" i="61" s="1"/>
  <c r="Q283" i="61"/>
  <c r="S283" i="61" s="1"/>
  <c r="Q278" i="61"/>
  <c r="S278" i="61" s="1"/>
  <c r="G283" i="61"/>
  <c r="H283" i="61"/>
  <c r="T282" i="61"/>
  <c r="U282" i="61" s="1"/>
  <c r="B272" i="61" l="1"/>
  <c r="G235" i="59"/>
  <c r="F236" i="59"/>
  <c r="H235" i="59"/>
  <c r="D238" i="59"/>
  <c r="K237" i="59"/>
  <c r="C237" i="59" s="1"/>
  <c r="G233" i="57"/>
  <c r="H233" i="57"/>
  <c r="F234" i="57"/>
  <c r="T283" i="61"/>
  <c r="U283" i="61" s="1"/>
  <c r="T278" i="61"/>
  <c r="U278" i="61" s="1"/>
  <c r="K237" i="57"/>
  <c r="C237" i="57" s="1"/>
  <c r="D238" i="57"/>
  <c r="Q284" i="61"/>
  <c r="S284" i="61" s="1"/>
  <c r="E280" i="61"/>
  <c r="F280" i="61" s="1"/>
  <c r="P280" i="61"/>
  <c r="R280" i="61" s="1"/>
  <c r="P285" i="61"/>
  <c r="R285" i="61" s="1"/>
  <c r="D286" i="61"/>
  <c r="C286" i="61" s="1"/>
  <c r="E285" i="61"/>
  <c r="F285" i="61" s="1"/>
  <c r="Q279" i="61"/>
  <c r="S279" i="61" s="1"/>
  <c r="H279" i="61"/>
  <c r="G279" i="61"/>
  <c r="H284" i="61"/>
  <c r="G284" i="61"/>
  <c r="B273" i="61" l="1"/>
  <c r="K238" i="59"/>
  <c r="C238" i="59" s="1"/>
  <c r="D239" i="59"/>
  <c r="G236" i="59"/>
  <c r="H236" i="59"/>
  <c r="F237" i="59"/>
  <c r="F235" i="57"/>
  <c r="G234" i="57"/>
  <c r="H234" i="57"/>
  <c r="T279" i="61"/>
  <c r="U279" i="61" s="1"/>
  <c r="T284" i="61"/>
  <c r="U284" i="61" s="1"/>
  <c r="D239" i="57"/>
  <c r="K238" i="57"/>
  <c r="C238" i="57" s="1"/>
  <c r="Q280" i="61"/>
  <c r="S280" i="61" s="1"/>
  <c r="G280" i="61"/>
  <c r="H280" i="61"/>
  <c r="P286" i="61"/>
  <c r="R286" i="61" s="1"/>
  <c r="E286" i="61"/>
  <c r="F286" i="61" s="1"/>
  <c r="D287" i="61"/>
  <c r="C287" i="61" s="1"/>
  <c r="H285" i="61"/>
  <c r="G285" i="61"/>
  <c r="Q285" i="61"/>
  <c r="S285" i="61" s="1"/>
  <c r="B274" i="61" l="1"/>
  <c r="K239" i="59"/>
  <c r="C239" i="59" s="1"/>
  <c r="D240" i="59"/>
  <c r="F238" i="59"/>
  <c r="H237" i="59"/>
  <c r="G237" i="59"/>
  <c r="G235" i="57"/>
  <c r="F236" i="57"/>
  <c r="H235" i="57"/>
  <c r="T280" i="61"/>
  <c r="U280" i="61" s="1"/>
  <c r="D240" i="57"/>
  <c r="K239" i="57"/>
  <c r="C239" i="57" s="1"/>
  <c r="T285" i="61"/>
  <c r="U285" i="61" s="1"/>
  <c r="P287" i="61"/>
  <c r="R287" i="61" s="1"/>
  <c r="E287" i="61"/>
  <c r="F287" i="61" s="1"/>
  <c r="D288" i="61"/>
  <c r="C288" i="61" s="1"/>
  <c r="H286" i="61"/>
  <c r="G286" i="61"/>
  <c r="Q286" i="61"/>
  <c r="S286" i="61" s="1"/>
  <c r="B275" i="61" l="1"/>
  <c r="G238" i="59"/>
  <c r="H238" i="59"/>
  <c r="F239" i="59"/>
  <c r="D241" i="59"/>
  <c r="K240" i="59"/>
  <c r="C240" i="59" s="1"/>
  <c r="G236" i="57"/>
  <c r="F237" i="57"/>
  <c r="H236" i="57"/>
  <c r="D241" i="57"/>
  <c r="K240" i="57"/>
  <c r="C240" i="57" s="1"/>
  <c r="T286" i="61"/>
  <c r="U286" i="61" s="1"/>
  <c r="G287" i="61"/>
  <c r="H287" i="61"/>
  <c r="Q287" i="61"/>
  <c r="S287" i="61" s="1"/>
  <c r="P288" i="61"/>
  <c r="R288" i="61" s="1"/>
  <c r="E288" i="61"/>
  <c r="F288" i="61" s="1"/>
  <c r="D289" i="61"/>
  <c r="C289" i="61" s="1"/>
  <c r="B276" i="61" l="1"/>
  <c r="K241" i="59"/>
  <c r="C241" i="59" s="1"/>
  <c r="D242" i="59"/>
  <c r="G239" i="59"/>
  <c r="F240" i="59"/>
  <c r="H239" i="59"/>
  <c r="H237" i="57"/>
  <c r="G237" i="57"/>
  <c r="F238" i="57"/>
  <c r="D242" i="57"/>
  <c r="K241" i="57"/>
  <c r="C241" i="57" s="1"/>
  <c r="P289" i="61"/>
  <c r="R289" i="61" s="1"/>
  <c r="D290" i="61"/>
  <c r="C290" i="61" s="1"/>
  <c r="E289" i="61"/>
  <c r="F289" i="61" s="1"/>
  <c r="G288" i="61"/>
  <c r="H288" i="61"/>
  <c r="Q288" i="61"/>
  <c r="S288" i="61" s="1"/>
  <c r="T287" i="61"/>
  <c r="U287" i="61" s="1"/>
  <c r="B277" i="61" l="1"/>
  <c r="G240" i="59"/>
  <c r="F241" i="59"/>
  <c r="H240" i="59"/>
  <c r="K242" i="59"/>
  <c r="C242" i="59" s="1"/>
  <c r="D243" i="59"/>
  <c r="G238" i="57"/>
  <c r="F239" i="57"/>
  <c r="H238" i="57"/>
  <c r="T288" i="61"/>
  <c r="U288" i="61" s="1"/>
  <c r="D243" i="57"/>
  <c r="K242" i="57"/>
  <c r="C242" i="57" s="1"/>
  <c r="H289" i="61"/>
  <c r="G289" i="61"/>
  <c r="P290" i="61"/>
  <c r="R290" i="61" s="1"/>
  <c r="D291" i="61"/>
  <c r="C291" i="61" s="1"/>
  <c r="E290" i="61"/>
  <c r="F290" i="61" s="1"/>
  <c r="Q289" i="61"/>
  <c r="S289" i="61" s="1"/>
  <c r="B278" i="61" l="1"/>
  <c r="F242" i="59"/>
  <c r="G241" i="59"/>
  <c r="H241" i="59"/>
  <c r="K243" i="59"/>
  <c r="C243" i="59" s="1"/>
  <c r="D244" i="59"/>
  <c r="F240" i="57"/>
  <c r="H239" i="57"/>
  <c r="G239" i="57"/>
  <c r="T289" i="61"/>
  <c r="U289" i="61" s="1"/>
  <c r="D244" i="57"/>
  <c r="K243" i="57"/>
  <c r="C243" i="57" s="1"/>
  <c r="P291" i="61"/>
  <c r="R291" i="61" s="1"/>
  <c r="E291" i="61"/>
  <c r="F291" i="61" s="1"/>
  <c r="D292" i="61"/>
  <c r="C292" i="61" s="1"/>
  <c r="Q290" i="61"/>
  <c r="S290" i="61" s="1"/>
  <c r="H290" i="61"/>
  <c r="G290" i="61"/>
  <c r="B279" i="61" l="1"/>
  <c r="D245" i="59"/>
  <c r="K244" i="59"/>
  <c r="C244" i="59" s="1"/>
  <c r="G242" i="59"/>
  <c r="F243" i="59"/>
  <c r="H242" i="59"/>
  <c r="G240" i="57"/>
  <c r="F241" i="57"/>
  <c r="H240" i="57"/>
  <c r="T290" i="61"/>
  <c r="U290" i="61" s="1"/>
  <c r="D245" i="57"/>
  <c r="K244" i="57"/>
  <c r="C244" i="57" s="1"/>
  <c r="P292" i="61"/>
  <c r="R292" i="61" s="1"/>
  <c r="D293" i="61"/>
  <c r="C293" i="61" s="1"/>
  <c r="E292" i="61"/>
  <c r="F292" i="61" s="1"/>
  <c r="H291" i="61"/>
  <c r="G291" i="61"/>
  <c r="Q291" i="61"/>
  <c r="S291" i="61" s="1"/>
  <c r="B280" i="61" l="1"/>
  <c r="F244" i="59"/>
  <c r="H243" i="59"/>
  <c r="G243" i="59"/>
  <c r="D246" i="59"/>
  <c r="K245" i="59"/>
  <c r="C245" i="59" s="1"/>
  <c r="G241" i="57"/>
  <c r="F242" i="57"/>
  <c r="H241" i="57"/>
  <c r="T291" i="61"/>
  <c r="U291" i="61" s="1"/>
  <c r="K245" i="57"/>
  <c r="C245" i="57" s="1"/>
  <c r="D246" i="57"/>
  <c r="P293" i="61"/>
  <c r="R293" i="61" s="1"/>
  <c r="D294" i="61"/>
  <c r="C294" i="61" s="1"/>
  <c r="E293" i="61"/>
  <c r="F293" i="61" s="1"/>
  <c r="G292" i="61"/>
  <c r="H292" i="61"/>
  <c r="Q292" i="61"/>
  <c r="S292" i="61" s="1"/>
  <c r="B281" i="61" l="1"/>
  <c r="K246" i="59"/>
  <c r="C246" i="59" s="1"/>
  <c r="D247" i="59"/>
  <c r="H244" i="59"/>
  <c r="F245" i="59"/>
  <c r="G244" i="59"/>
  <c r="H242" i="57"/>
  <c r="F243" i="57"/>
  <c r="G242" i="57"/>
  <c r="D247" i="57"/>
  <c r="K246" i="57"/>
  <c r="C246" i="57" s="1"/>
  <c r="G293" i="61"/>
  <c r="H293" i="61"/>
  <c r="T292" i="61"/>
  <c r="U292" i="61" s="1"/>
  <c r="P294" i="61"/>
  <c r="R294" i="61" s="1"/>
  <c r="E294" i="61"/>
  <c r="F294" i="61" s="1"/>
  <c r="D295" i="61"/>
  <c r="C295" i="61" s="1"/>
  <c r="Q293" i="61"/>
  <c r="S293" i="61" s="1"/>
  <c r="B282" i="61" l="1"/>
  <c r="F246" i="59"/>
  <c r="H245" i="59"/>
  <c r="G245" i="59"/>
  <c r="K247" i="59"/>
  <c r="C247" i="59" s="1"/>
  <c r="D248" i="59"/>
  <c r="G243" i="57"/>
  <c r="F244" i="57"/>
  <c r="H243" i="57"/>
  <c r="T293" i="61"/>
  <c r="U293" i="61" s="1"/>
  <c r="K247" i="57"/>
  <c r="C247" i="57" s="1"/>
  <c r="D248" i="57"/>
  <c r="Q294" i="61"/>
  <c r="S294" i="61" s="1"/>
  <c r="P295" i="61"/>
  <c r="R295" i="61" s="1"/>
  <c r="D296" i="61"/>
  <c r="C296" i="61" s="1"/>
  <c r="E295" i="61"/>
  <c r="F295" i="61" s="1"/>
  <c r="H294" i="61"/>
  <c r="G294" i="61"/>
  <c r="B283" i="61" l="1"/>
  <c r="D249" i="59"/>
  <c r="K248" i="59"/>
  <c r="C248" i="59" s="1"/>
  <c r="F247" i="59"/>
  <c r="G246" i="59"/>
  <c r="H246" i="59"/>
  <c r="H244" i="57"/>
  <c r="G244" i="57"/>
  <c r="F245" i="57"/>
  <c r="D249" i="57"/>
  <c r="K248" i="57"/>
  <c r="C248" i="57" s="1"/>
  <c r="H295" i="61"/>
  <c r="G295" i="61"/>
  <c r="P296" i="61"/>
  <c r="R296" i="61" s="1"/>
  <c r="D297" i="61"/>
  <c r="C297" i="61" s="1"/>
  <c r="E296" i="61"/>
  <c r="F296" i="61" s="1"/>
  <c r="Q295" i="61"/>
  <c r="S295" i="61" s="1"/>
  <c r="T294" i="61"/>
  <c r="U294" i="61" s="1"/>
  <c r="B284" i="61" l="1"/>
  <c r="G247" i="59"/>
  <c r="F248" i="59"/>
  <c r="H247" i="59"/>
  <c r="D250" i="59"/>
  <c r="K249" i="59"/>
  <c r="C249" i="59" s="1"/>
  <c r="F246" i="57"/>
  <c r="H245" i="57"/>
  <c r="G245" i="57"/>
  <c r="T295" i="61"/>
  <c r="U295" i="61" s="1"/>
  <c r="K249" i="57"/>
  <c r="C249" i="57" s="1"/>
  <c r="D250" i="57"/>
  <c r="Q296" i="61"/>
  <c r="S296" i="61" s="1"/>
  <c r="P297" i="61"/>
  <c r="R297" i="61" s="1"/>
  <c r="E297" i="61"/>
  <c r="F297" i="61" s="1"/>
  <c r="D298" i="61"/>
  <c r="C298" i="61" s="1"/>
  <c r="G296" i="61"/>
  <c r="H296" i="61"/>
  <c r="B285" i="61" l="1"/>
  <c r="K250" i="59"/>
  <c r="C250" i="59" s="1"/>
  <c r="D251" i="59"/>
  <c r="F249" i="59"/>
  <c r="H248" i="59"/>
  <c r="G248" i="59"/>
  <c r="F247" i="57"/>
  <c r="H246" i="57"/>
  <c r="G246" i="57"/>
  <c r="K250" i="57"/>
  <c r="C250" i="57" s="1"/>
  <c r="D251" i="57"/>
  <c r="Q297" i="61"/>
  <c r="S297" i="61" s="1"/>
  <c r="H297" i="61"/>
  <c r="G297" i="61"/>
  <c r="P298" i="61"/>
  <c r="R298" i="61" s="1"/>
  <c r="D299" i="61"/>
  <c r="C299" i="61" s="1"/>
  <c r="E298" i="61"/>
  <c r="F298" i="61" s="1"/>
  <c r="T296" i="61"/>
  <c r="U296" i="61" s="1"/>
  <c r="B286" i="61" l="1"/>
  <c r="G249" i="59"/>
  <c r="F250" i="59"/>
  <c r="H249" i="59"/>
  <c r="K251" i="59"/>
  <c r="C251" i="59" s="1"/>
  <c r="D252" i="59"/>
  <c r="F248" i="57"/>
  <c r="G247" i="57"/>
  <c r="H247" i="57"/>
  <c r="D252" i="57"/>
  <c r="K251" i="57"/>
  <c r="C251" i="57" s="1"/>
  <c r="H298" i="61"/>
  <c r="G298" i="61"/>
  <c r="P299" i="61"/>
  <c r="R299" i="61" s="1"/>
  <c r="E299" i="61"/>
  <c r="F299" i="61" s="1"/>
  <c r="D300" i="61"/>
  <c r="C300" i="61" s="1"/>
  <c r="T297" i="61"/>
  <c r="U297" i="61" s="1"/>
  <c r="Q298" i="61"/>
  <c r="S298" i="61" s="1"/>
  <c r="B287" i="61" l="1"/>
  <c r="F251" i="59"/>
  <c r="G250" i="59"/>
  <c r="H250" i="59"/>
  <c r="K252" i="59"/>
  <c r="C252" i="59" s="1"/>
  <c r="D253" i="59"/>
  <c r="H248" i="57"/>
  <c r="G248" i="57"/>
  <c r="F249" i="57"/>
  <c r="D253" i="57"/>
  <c r="K252" i="57"/>
  <c r="C252" i="57" s="1"/>
  <c r="T298" i="61"/>
  <c r="U298" i="61" s="1"/>
  <c r="Q299" i="61"/>
  <c r="S299" i="61" s="1"/>
  <c r="G299" i="61"/>
  <c r="H299" i="61"/>
  <c r="P300" i="61"/>
  <c r="R300" i="61" s="1"/>
  <c r="E300" i="61"/>
  <c r="F300" i="61" s="1"/>
  <c r="D301" i="61"/>
  <c r="C301" i="61" s="1"/>
  <c r="B288" i="61" l="1"/>
  <c r="K253" i="59"/>
  <c r="C253" i="59" s="1"/>
  <c r="D254" i="59"/>
  <c r="G251" i="59"/>
  <c r="H251" i="59"/>
  <c r="F252" i="59"/>
  <c r="F250" i="57"/>
  <c r="H249" i="57"/>
  <c r="G249" i="57"/>
  <c r="D254" i="57"/>
  <c r="K253" i="57"/>
  <c r="C253" i="57" s="1"/>
  <c r="G300" i="61"/>
  <c r="H300" i="61"/>
  <c r="T299" i="61"/>
  <c r="U299" i="61" s="1"/>
  <c r="P301" i="61"/>
  <c r="R301" i="61" s="1"/>
  <c r="D302" i="61"/>
  <c r="C302" i="61" s="1"/>
  <c r="E301" i="61"/>
  <c r="F301" i="61" s="1"/>
  <c r="Q300" i="61"/>
  <c r="S300" i="61" s="1"/>
  <c r="B289" i="61" l="1"/>
  <c r="D255" i="59"/>
  <c r="K254" i="59"/>
  <c r="C254" i="59" s="1"/>
  <c r="G252" i="59"/>
  <c r="F253" i="59"/>
  <c r="H252" i="59"/>
  <c r="H250" i="57"/>
  <c r="G250" i="57"/>
  <c r="F251" i="57"/>
  <c r="K254" i="57"/>
  <c r="C254" i="57" s="1"/>
  <c r="D255" i="57"/>
  <c r="T300" i="61"/>
  <c r="U300" i="61" s="1"/>
  <c r="H301" i="61"/>
  <c r="G301" i="61"/>
  <c r="Q301" i="61"/>
  <c r="S301" i="61" s="1"/>
  <c r="P302" i="61"/>
  <c r="R302" i="61" s="1"/>
  <c r="D303" i="61"/>
  <c r="C303" i="61" s="1"/>
  <c r="E302" i="61"/>
  <c r="F302" i="61" s="1"/>
  <c r="B290" i="61" l="1"/>
  <c r="H253" i="59"/>
  <c r="F254" i="59"/>
  <c r="G253" i="59"/>
  <c r="K255" i="59"/>
  <c r="C255" i="59" s="1"/>
  <c r="D256" i="59"/>
  <c r="G251" i="57"/>
  <c r="F252" i="57"/>
  <c r="H251" i="57"/>
  <c r="D256" i="57"/>
  <c r="K255" i="57"/>
  <c r="C255" i="57" s="1"/>
  <c r="G302" i="61"/>
  <c r="H302" i="61"/>
  <c r="Q302" i="61"/>
  <c r="S302" i="61" s="1"/>
  <c r="P303" i="61"/>
  <c r="R303" i="61" s="1"/>
  <c r="D304" i="61"/>
  <c r="C304" i="61" s="1"/>
  <c r="E303" i="61"/>
  <c r="F303" i="61" s="1"/>
  <c r="T301" i="61"/>
  <c r="U301" i="61" s="1"/>
  <c r="B291" i="61" l="1"/>
  <c r="G254" i="59"/>
  <c r="F255" i="59"/>
  <c r="H254" i="59"/>
  <c r="K256" i="59"/>
  <c r="C256" i="59" s="1"/>
  <c r="D257" i="59"/>
  <c r="F253" i="57"/>
  <c r="G252" i="57"/>
  <c r="H252" i="57"/>
  <c r="T302" i="61"/>
  <c r="U302" i="61" s="1"/>
  <c r="D257" i="57"/>
  <c r="K256" i="57"/>
  <c r="C256" i="57" s="1"/>
  <c r="P304" i="61"/>
  <c r="R304" i="61" s="1"/>
  <c r="E304" i="61"/>
  <c r="F304" i="61" s="1"/>
  <c r="D305" i="61"/>
  <c r="C305" i="61" s="1"/>
  <c r="G303" i="61"/>
  <c r="H303" i="61"/>
  <c r="Q303" i="61"/>
  <c r="S303" i="61" s="1"/>
  <c r="B292" i="61" l="1"/>
  <c r="H255" i="59"/>
  <c r="G255" i="59"/>
  <c r="F256" i="59"/>
  <c r="D258" i="59"/>
  <c r="K257" i="59"/>
  <c r="C257" i="59" s="1"/>
  <c r="H253" i="57"/>
  <c r="G253" i="57"/>
  <c r="F254" i="57"/>
  <c r="K257" i="57"/>
  <c r="C257" i="57" s="1"/>
  <c r="D258" i="57"/>
  <c r="T303" i="61"/>
  <c r="U303" i="61" s="1"/>
  <c r="P305" i="61"/>
  <c r="R305" i="61" s="1"/>
  <c r="E305" i="61"/>
  <c r="F305" i="61" s="1"/>
  <c r="D306" i="61"/>
  <c r="C306" i="61" s="1"/>
  <c r="G304" i="61"/>
  <c r="H304" i="61"/>
  <c r="Q304" i="61"/>
  <c r="S304" i="61" s="1"/>
  <c r="B293" i="61" l="1"/>
  <c r="K258" i="59"/>
  <c r="C258" i="59" s="1"/>
  <c r="D259" i="59"/>
  <c r="G256" i="59"/>
  <c r="F257" i="59"/>
  <c r="H256" i="59"/>
  <c r="G254" i="57"/>
  <c r="F255" i="57"/>
  <c r="H254" i="57"/>
  <c r="D259" i="57"/>
  <c r="K258" i="57"/>
  <c r="C258" i="57" s="1"/>
  <c r="T304" i="61"/>
  <c r="U304" i="61" s="1"/>
  <c r="G305" i="61"/>
  <c r="H305" i="61"/>
  <c r="P306" i="61"/>
  <c r="R306" i="61" s="1"/>
  <c r="E306" i="61"/>
  <c r="F306" i="61" s="1"/>
  <c r="D307" i="61"/>
  <c r="C307" i="61" s="1"/>
  <c r="Q305" i="61"/>
  <c r="S305" i="61" s="1"/>
  <c r="B294" i="61" l="1"/>
  <c r="F258" i="59"/>
  <c r="G257" i="59"/>
  <c r="H257" i="59"/>
  <c r="K259" i="59"/>
  <c r="C259" i="59" s="1"/>
  <c r="D260" i="59"/>
  <c r="G255" i="57"/>
  <c r="F256" i="57"/>
  <c r="H255" i="57"/>
  <c r="D260" i="57"/>
  <c r="K259" i="57"/>
  <c r="C259" i="57" s="1"/>
  <c r="T305" i="61"/>
  <c r="U305" i="61" s="1"/>
  <c r="Q306" i="61"/>
  <c r="S306" i="61" s="1"/>
  <c r="P307" i="61"/>
  <c r="R307" i="61" s="1"/>
  <c r="D308" i="61"/>
  <c r="C308" i="61" s="1"/>
  <c r="E307" i="61"/>
  <c r="F307" i="61" s="1"/>
  <c r="G306" i="61"/>
  <c r="H306" i="61"/>
  <c r="B295" i="61" l="1"/>
  <c r="K260" i="59"/>
  <c r="C260" i="59" s="1"/>
  <c r="D261" i="59"/>
  <c r="F259" i="59"/>
  <c r="H258" i="59"/>
  <c r="G258" i="59"/>
  <c r="F257" i="57"/>
  <c r="H256" i="57"/>
  <c r="G256" i="57"/>
  <c r="D261" i="57"/>
  <c r="K260" i="57"/>
  <c r="C260" i="57" s="1"/>
  <c r="Q307" i="61"/>
  <c r="S307" i="61" s="1"/>
  <c r="T306" i="61"/>
  <c r="U306" i="61" s="1"/>
  <c r="H307" i="61"/>
  <c r="G307" i="61"/>
  <c r="P308" i="61"/>
  <c r="R308" i="61" s="1"/>
  <c r="D309" i="61"/>
  <c r="C309" i="61" s="1"/>
  <c r="E308" i="61"/>
  <c r="F308" i="61" s="1"/>
  <c r="AA12" i="96" l="1"/>
  <c r="Z12" i="96" s="1"/>
  <c r="AA14" i="96"/>
  <c r="Z14" i="96" s="1"/>
  <c r="AA13" i="96"/>
  <c r="Z13" i="96" s="1"/>
  <c r="AA122" i="96"/>
  <c r="Z122" i="96" s="1"/>
  <c r="AA22" i="96"/>
  <c r="Z22" i="96" s="1"/>
  <c r="AA97" i="96"/>
  <c r="Z97" i="96" s="1"/>
  <c r="AA58" i="96"/>
  <c r="Z58" i="96" s="1"/>
  <c r="AA18" i="96"/>
  <c r="Z18" i="96" s="1"/>
  <c r="AA38" i="96"/>
  <c r="Z38" i="96" s="1"/>
  <c r="AA151" i="96"/>
  <c r="Z151" i="96" s="1"/>
  <c r="AA78" i="96"/>
  <c r="Z78" i="96" s="1"/>
  <c r="AA86" i="96"/>
  <c r="Z86" i="96" s="1"/>
  <c r="AA43" i="96"/>
  <c r="Z43" i="96" s="1"/>
  <c r="AA84" i="96"/>
  <c r="Z84" i="96" s="1"/>
  <c r="AA33" i="96"/>
  <c r="Z33" i="96" s="1"/>
  <c r="AA62" i="96"/>
  <c r="Z62" i="96" s="1"/>
  <c r="AA42" i="96"/>
  <c r="Z42" i="96" s="1"/>
  <c r="AA67" i="96"/>
  <c r="Z67" i="96" s="1"/>
  <c r="AA146" i="96"/>
  <c r="Z146" i="96" s="1"/>
  <c r="AA51" i="96"/>
  <c r="Z51" i="96" s="1"/>
  <c r="AA81" i="96"/>
  <c r="Z81" i="96" s="1"/>
  <c r="AA132" i="96"/>
  <c r="Z132" i="96" s="1"/>
  <c r="AA108" i="96"/>
  <c r="Z108" i="96" s="1"/>
  <c r="AA53" i="96"/>
  <c r="Z53" i="96" s="1"/>
  <c r="AA55" i="96"/>
  <c r="Z55" i="96" s="1"/>
  <c r="AA47" i="96"/>
  <c r="Z47" i="96" s="1"/>
  <c r="AA131" i="96"/>
  <c r="Z131" i="96" s="1"/>
  <c r="AA140" i="96"/>
  <c r="Z140" i="96" s="1"/>
  <c r="AA91" i="96"/>
  <c r="Z91" i="96" s="1"/>
  <c r="AA64" i="96"/>
  <c r="Z64" i="96" s="1"/>
  <c r="AA118" i="96"/>
  <c r="Z118" i="96" s="1"/>
  <c r="AA30" i="96"/>
  <c r="Z30" i="96" s="1"/>
  <c r="AA139" i="96"/>
  <c r="Z139" i="96" s="1"/>
  <c r="AA65" i="96"/>
  <c r="Z65" i="96" s="1"/>
  <c r="AA129" i="96"/>
  <c r="Z129" i="96" s="1"/>
  <c r="AA54" i="96"/>
  <c r="Z54" i="96" s="1"/>
  <c r="AA88" i="96"/>
  <c r="Z88" i="96" s="1"/>
  <c r="AA148" i="96"/>
  <c r="Z148" i="96" s="1"/>
  <c r="AA63" i="96"/>
  <c r="Z63" i="96" s="1"/>
  <c r="AA135" i="96"/>
  <c r="Z135" i="96" s="1"/>
  <c r="AA143" i="96"/>
  <c r="Z143" i="96" s="1"/>
  <c r="AA153" i="96"/>
  <c r="Z153" i="96" s="1"/>
  <c r="AA87" i="96"/>
  <c r="Z87" i="96" s="1"/>
  <c r="AA154" i="96"/>
  <c r="Z154" i="96" s="1"/>
  <c r="AA136" i="96"/>
  <c r="Z136" i="96" s="1"/>
  <c r="AA147" i="96"/>
  <c r="Z147" i="96" s="1"/>
  <c r="AA144" i="96"/>
  <c r="Z144" i="96" s="1"/>
  <c r="AA23" i="96"/>
  <c r="Z23" i="96" s="1"/>
  <c r="AA32" i="96"/>
  <c r="Z32" i="96" s="1"/>
  <c r="AA90" i="96"/>
  <c r="Z90" i="96" s="1"/>
  <c r="AA125" i="96"/>
  <c r="Z125" i="96" s="1"/>
  <c r="AA112" i="96"/>
  <c r="Z112" i="96" s="1"/>
  <c r="AA68" i="96"/>
  <c r="Z68" i="96" s="1"/>
  <c r="AA98" i="96"/>
  <c r="Z98" i="96" s="1"/>
  <c r="AA114" i="96"/>
  <c r="Z114" i="96" s="1"/>
  <c r="AA29" i="96"/>
  <c r="Z29" i="96" s="1"/>
  <c r="AA79" i="96"/>
  <c r="Z79" i="96" s="1"/>
  <c r="AA85" i="96"/>
  <c r="Z85" i="96" s="1"/>
  <c r="AA72" i="96"/>
  <c r="Z72" i="96" s="1"/>
  <c r="AA111" i="96"/>
  <c r="Z111" i="96" s="1"/>
  <c r="AA113" i="96"/>
  <c r="Z113" i="96" s="1"/>
  <c r="AA149" i="96"/>
  <c r="Z149" i="96" s="1"/>
  <c r="AA39" i="96"/>
  <c r="Z39" i="96" s="1"/>
  <c r="AA59" i="96"/>
  <c r="Z59" i="96" s="1"/>
  <c r="AA115" i="96"/>
  <c r="Z115" i="96" s="1"/>
  <c r="AA74" i="96"/>
  <c r="Z74" i="96" s="1"/>
  <c r="AA77" i="96"/>
  <c r="Z77" i="96" s="1"/>
  <c r="AA96" i="96"/>
  <c r="Z96" i="96" s="1"/>
  <c r="AA20" i="96"/>
  <c r="Z20" i="96" s="1"/>
  <c r="AA28" i="96"/>
  <c r="Z28" i="96" s="1"/>
  <c r="AA101" i="96"/>
  <c r="Z101" i="96" s="1"/>
  <c r="AA44" i="96"/>
  <c r="Z44" i="96" s="1"/>
  <c r="AA134" i="96"/>
  <c r="Z134" i="96" s="1"/>
  <c r="AA102" i="96"/>
  <c r="Z102" i="96" s="1"/>
  <c r="AA61" i="96"/>
  <c r="Z61" i="96" s="1"/>
  <c r="AA126" i="96"/>
  <c r="Z126" i="96" s="1"/>
  <c r="AA60" i="96"/>
  <c r="Z60" i="96" s="1"/>
  <c r="AA46" i="96"/>
  <c r="Z46" i="96" s="1"/>
  <c r="AA152" i="96"/>
  <c r="Z152" i="96" s="1"/>
  <c r="AA70" i="96"/>
  <c r="Z70" i="96" s="1"/>
  <c r="AA82" i="96"/>
  <c r="Z82" i="96" s="1"/>
  <c r="AA142" i="96"/>
  <c r="Z142" i="96" s="1"/>
  <c r="AA49" i="96"/>
  <c r="Z49" i="96" s="1"/>
  <c r="AA50" i="96"/>
  <c r="Z50" i="96" s="1"/>
  <c r="AA89" i="96"/>
  <c r="Z89" i="96" s="1"/>
  <c r="AA73" i="96"/>
  <c r="Z73" i="96" s="1"/>
  <c r="AA36" i="96"/>
  <c r="Z36" i="96" s="1"/>
  <c r="AA66" i="96"/>
  <c r="Z66" i="96" s="1"/>
  <c r="AA127" i="96"/>
  <c r="Z127" i="96" s="1"/>
  <c r="AA145" i="96"/>
  <c r="Z145" i="96" s="1"/>
  <c r="AA56" i="96"/>
  <c r="Z56" i="96" s="1"/>
  <c r="AA121" i="96"/>
  <c r="Z121" i="96" s="1"/>
  <c r="AA76" i="96"/>
  <c r="Z76" i="96" s="1"/>
  <c r="AA104" i="96"/>
  <c r="Z104" i="96" s="1"/>
  <c r="AA110" i="96"/>
  <c r="Z110" i="96" s="1"/>
  <c r="AA15" i="96"/>
  <c r="Z15" i="96" s="1"/>
  <c r="AA21" i="96"/>
  <c r="Z21" i="96" s="1"/>
  <c r="AA120" i="96"/>
  <c r="Z120" i="96" s="1"/>
  <c r="AA99" i="96"/>
  <c r="Z99" i="96" s="1"/>
  <c r="AA137" i="96"/>
  <c r="Z137" i="96" s="1"/>
  <c r="AA138" i="96"/>
  <c r="Z138" i="96" s="1"/>
  <c r="AA31" i="96"/>
  <c r="Z31" i="96" s="1"/>
  <c r="AA75" i="96"/>
  <c r="Z75" i="96" s="1"/>
  <c r="AA83" i="96"/>
  <c r="Z83" i="96" s="1"/>
  <c r="AA27" i="96"/>
  <c r="Z27" i="96" s="1"/>
  <c r="AA93" i="96"/>
  <c r="Z93" i="96" s="1"/>
  <c r="AA48" i="96"/>
  <c r="Z48" i="96" s="1"/>
  <c r="AA92" i="96"/>
  <c r="Z92" i="96" s="1"/>
  <c r="AA69" i="96"/>
  <c r="Z69" i="96" s="1"/>
  <c r="AA119" i="96"/>
  <c r="Z119" i="96" s="1"/>
  <c r="AA26" i="96"/>
  <c r="Z26" i="96" s="1"/>
  <c r="AA107" i="96"/>
  <c r="Z107" i="96" s="1"/>
  <c r="AA71" i="96"/>
  <c r="Z71" i="96" s="1"/>
  <c r="AA133" i="96"/>
  <c r="Z133" i="96" s="1"/>
  <c r="AA141" i="96"/>
  <c r="Z141" i="96" s="1"/>
  <c r="AA52" i="96"/>
  <c r="Z52" i="96" s="1"/>
  <c r="AA116" i="96"/>
  <c r="Z116" i="96" s="1"/>
  <c r="AA103" i="96"/>
  <c r="Z103" i="96" s="1"/>
  <c r="AA24" i="96"/>
  <c r="Z24" i="96" s="1"/>
  <c r="AA17" i="96"/>
  <c r="Z17" i="96" s="1"/>
  <c r="AA130" i="96"/>
  <c r="Z130" i="96" s="1"/>
  <c r="AA45" i="96"/>
  <c r="Z45" i="96" s="1"/>
  <c r="AA57" i="96"/>
  <c r="Z57" i="96" s="1"/>
  <c r="AA16" i="96"/>
  <c r="Z16" i="96" s="1"/>
  <c r="AA80" i="96"/>
  <c r="Z80" i="96" s="1"/>
  <c r="AA128" i="96"/>
  <c r="Z128" i="96" s="1"/>
  <c r="AA35" i="96"/>
  <c r="Z35" i="96" s="1"/>
  <c r="AA100" i="96"/>
  <c r="Z100" i="96" s="1"/>
  <c r="AA106" i="96"/>
  <c r="Z106" i="96" s="1"/>
  <c r="AA19" i="96"/>
  <c r="Z19" i="96" s="1"/>
  <c r="AA109" i="96"/>
  <c r="Z109" i="96" s="1"/>
  <c r="AA124" i="96"/>
  <c r="Z124" i="96" s="1"/>
  <c r="AA37" i="96"/>
  <c r="Z37" i="96" s="1"/>
  <c r="AA41" i="96"/>
  <c r="Z41" i="96" s="1"/>
  <c r="AA123" i="96"/>
  <c r="Z123" i="96" s="1"/>
  <c r="AA105" i="96"/>
  <c r="Z105" i="96" s="1"/>
  <c r="AA40" i="96"/>
  <c r="Z40" i="96" s="1"/>
  <c r="AA150" i="96"/>
  <c r="Z150" i="96" s="1"/>
  <c r="AA94" i="96"/>
  <c r="Z94" i="96" s="1"/>
  <c r="AA34" i="96"/>
  <c r="Z34" i="96" s="1"/>
  <c r="AA95" i="96"/>
  <c r="Z95" i="96" s="1"/>
  <c r="AA117" i="96"/>
  <c r="Z117" i="96" s="1"/>
  <c r="AA25" i="96"/>
  <c r="Z25" i="96" s="1"/>
  <c r="B296" i="61"/>
  <c r="G259" i="59"/>
  <c r="F260" i="59"/>
  <c r="H259" i="59"/>
  <c r="D262" i="59"/>
  <c r="K261" i="59"/>
  <c r="C261" i="59" s="1"/>
  <c r="F258" i="57"/>
  <c r="G257" i="57"/>
  <c r="H257" i="57"/>
  <c r="T307" i="61"/>
  <c r="U307" i="61" s="1"/>
  <c r="D262" i="57"/>
  <c r="K261" i="57"/>
  <c r="C261" i="57" s="1"/>
  <c r="P309" i="61"/>
  <c r="R309" i="61" s="1"/>
  <c r="E309" i="61"/>
  <c r="F309" i="61" s="1"/>
  <c r="D310" i="61"/>
  <c r="C310" i="61" s="1"/>
  <c r="Q308" i="61"/>
  <c r="S308" i="61" s="1"/>
  <c r="H308" i="61"/>
  <c r="G308" i="61"/>
  <c r="AA11" i="96" l="1"/>
  <c r="Z11" i="96" s="1"/>
  <c r="B297" i="61"/>
  <c r="K262" i="59"/>
  <c r="C262" i="59" s="1"/>
  <c r="D263" i="59"/>
  <c r="G260" i="59"/>
  <c r="F261" i="59"/>
  <c r="H260" i="59"/>
  <c r="H258" i="57"/>
  <c r="G258" i="57"/>
  <c r="F259" i="57"/>
  <c r="T308" i="61"/>
  <c r="U308" i="61" s="1"/>
  <c r="D263" i="57"/>
  <c r="K262" i="57"/>
  <c r="C262" i="57" s="1"/>
  <c r="P310" i="61"/>
  <c r="R310" i="61" s="1"/>
  <c r="E310" i="61"/>
  <c r="F310" i="61" s="1"/>
  <c r="D311" i="61"/>
  <c r="C311" i="61" s="1"/>
  <c r="H309" i="61"/>
  <c r="G309" i="61"/>
  <c r="Q309" i="61"/>
  <c r="S309" i="61" s="1"/>
  <c r="B298" i="61" l="1"/>
  <c r="G261" i="59"/>
  <c r="F262" i="59"/>
  <c r="H261" i="59"/>
  <c r="D264" i="59"/>
  <c r="K263" i="59"/>
  <c r="C263" i="59" s="1"/>
  <c r="G259" i="57"/>
  <c r="F260" i="57"/>
  <c r="H259" i="57"/>
  <c r="T309" i="61"/>
  <c r="U309" i="61" s="1"/>
  <c r="D264" i="57"/>
  <c r="K263" i="57"/>
  <c r="C263" i="57" s="1"/>
  <c r="P311" i="61"/>
  <c r="R311" i="61" s="1"/>
  <c r="E311" i="61"/>
  <c r="F311" i="61" s="1"/>
  <c r="D312" i="61"/>
  <c r="C312" i="61" s="1"/>
  <c r="G310" i="61"/>
  <c r="H310" i="61"/>
  <c r="Q310" i="61"/>
  <c r="S310" i="61" s="1"/>
  <c r="B299" i="61" l="1"/>
  <c r="K264" i="59"/>
  <c r="C264" i="59" s="1"/>
  <c r="D265" i="59"/>
  <c r="H262" i="59"/>
  <c r="F263" i="59"/>
  <c r="G262" i="59"/>
  <c r="F261" i="57"/>
  <c r="G260" i="57"/>
  <c r="H260" i="57"/>
  <c r="D265" i="57"/>
  <c r="K264" i="57"/>
  <c r="C264" i="57" s="1"/>
  <c r="T310" i="61"/>
  <c r="U310" i="61" s="1"/>
  <c r="G311" i="61"/>
  <c r="H311" i="61"/>
  <c r="P312" i="61"/>
  <c r="R312" i="61" s="1"/>
  <c r="E312" i="61"/>
  <c r="F312" i="61" s="1"/>
  <c r="D313" i="61"/>
  <c r="C313" i="61" s="1"/>
  <c r="Q311" i="61"/>
  <c r="S311" i="61" s="1"/>
  <c r="B300" i="61" l="1"/>
  <c r="F264" i="59"/>
  <c r="H263" i="59"/>
  <c r="G263" i="59"/>
  <c r="D266" i="59"/>
  <c r="K265" i="59"/>
  <c r="C265" i="59" s="1"/>
  <c r="H261" i="57"/>
  <c r="G261" i="57"/>
  <c r="F262" i="57"/>
  <c r="T311" i="61"/>
  <c r="U311" i="61" s="1"/>
  <c r="D266" i="57"/>
  <c r="K265" i="57"/>
  <c r="C265" i="57" s="1"/>
  <c r="P313" i="61"/>
  <c r="R313" i="61" s="1"/>
  <c r="D314" i="61"/>
  <c r="C314" i="61" s="1"/>
  <c r="E313" i="61"/>
  <c r="F313" i="61" s="1"/>
  <c r="Q312" i="61"/>
  <c r="S312" i="61" s="1"/>
  <c r="G312" i="61"/>
  <c r="H312" i="61"/>
  <c r="B301" i="61" l="1"/>
  <c r="D267" i="59"/>
  <c r="K266" i="59"/>
  <c r="C266" i="59" s="1"/>
  <c r="H264" i="59"/>
  <c r="F265" i="59"/>
  <c r="G264" i="59"/>
  <c r="F263" i="57"/>
  <c r="H262" i="57"/>
  <c r="G262" i="57"/>
  <c r="T312" i="61"/>
  <c r="U312" i="61" s="1"/>
  <c r="D267" i="57"/>
  <c r="K266" i="57"/>
  <c r="C266" i="57" s="1"/>
  <c r="G313" i="61"/>
  <c r="H313" i="61"/>
  <c r="P314" i="61"/>
  <c r="R314" i="61" s="1"/>
  <c r="D315" i="61"/>
  <c r="C315" i="61" s="1"/>
  <c r="E314" i="61"/>
  <c r="F314" i="61" s="1"/>
  <c r="Q313" i="61"/>
  <c r="S313" i="61" s="1"/>
  <c r="B302" i="61" l="1"/>
  <c r="H265" i="59"/>
  <c r="G265" i="59"/>
  <c r="F266" i="59"/>
  <c r="D268" i="59"/>
  <c r="K267" i="59"/>
  <c r="C267" i="59" s="1"/>
  <c r="H263" i="57"/>
  <c r="F264" i="57"/>
  <c r="G263" i="57"/>
  <c r="D268" i="57"/>
  <c r="K267" i="57"/>
  <c r="C267" i="57" s="1"/>
  <c r="Q314" i="61"/>
  <c r="S314" i="61" s="1"/>
  <c r="P315" i="61"/>
  <c r="R315" i="61" s="1"/>
  <c r="E315" i="61"/>
  <c r="F315" i="61" s="1"/>
  <c r="D316" i="61"/>
  <c r="C316" i="61" s="1"/>
  <c r="T313" i="61"/>
  <c r="U313" i="61" s="1"/>
  <c r="H314" i="61"/>
  <c r="G314" i="61"/>
  <c r="B303" i="61" l="1"/>
  <c r="D269" i="59"/>
  <c r="K268" i="59"/>
  <c r="C268" i="59" s="1"/>
  <c r="F267" i="59"/>
  <c r="H266" i="59"/>
  <c r="G266" i="59"/>
  <c r="G264" i="57"/>
  <c r="F265" i="57"/>
  <c r="H264" i="57"/>
  <c r="T314" i="61"/>
  <c r="U314" i="61" s="1"/>
  <c r="D269" i="57"/>
  <c r="K268" i="57"/>
  <c r="C268" i="57" s="1"/>
  <c r="P316" i="61"/>
  <c r="R316" i="61" s="1"/>
  <c r="D317" i="61"/>
  <c r="C317" i="61" s="1"/>
  <c r="E316" i="61"/>
  <c r="F316" i="61" s="1"/>
  <c r="G315" i="61"/>
  <c r="H315" i="61"/>
  <c r="Q315" i="61"/>
  <c r="S315" i="61" s="1"/>
  <c r="B304" i="61" l="1"/>
  <c r="H267" i="59"/>
  <c r="F268" i="59"/>
  <c r="G267" i="59"/>
  <c r="K269" i="59"/>
  <c r="C269" i="59" s="1"/>
  <c r="D270" i="59"/>
  <c r="G265" i="57"/>
  <c r="F266" i="57"/>
  <c r="H265" i="57"/>
  <c r="T315" i="61"/>
  <c r="U315" i="61" s="1"/>
  <c r="K269" i="57"/>
  <c r="C269" i="57" s="1"/>
  <c r="D270" i="57"/>
  <c r="G316" i="61"/>
  <c r="H316" i="61"/>
  <c r="P317" i="61"/>
  <c r="R317" i="61" s="1"/>
  <c r="D318" i="61"/>
  <c r="C318" i="61" s="1"/>
  <c r="E317" i="61"/>
  <c r="F317" i="61" s="1"/>
  <c r="Q316" i="61"/>
  <c r="S316" i="61" s="1"/>
  <c r="B305" i="61" l="1"/>
  <c r="G268" i="59"/>
  <c r="H268" i="59"/>
  <c r="F269" i="59"/>
  <c r="D271" i="59"/>
  <c r="K270" i="59"/>
  <c r="C270" i="59" s="1"/>
  <c r="H266" i="57"/>
  <c r="G266" i="57"/>
  <c r="F267" i="57"/>
  <c r="D271" i="57"/>
  <c r="K270" i="57"/>
  <c r="C270" i="57" s="1"/>
  <c r="P318" i="61"/>
  <c r="R318" i="61" s="1"/>
  <c r="E318" i="61"/>
  <c r="F318" i="61" s="1"/>
  <c r="D319" i="61"/>
  <c r="C319" i="61" s="1"/>
  <c r="T316" i="61"/>
  <c r="U316" i="61" s="1"/>
  <c r="Q317" i="61"/>
  <c r="S317" i="61" s="1"/>
  <c r="G317" i="61"/>
  <c r="H317" i="61"/>
  <c r="B306" i="61" l="1"/>
  <c r="D272" i="59"/>
  <c r="K271" i="59"/>
  <c r="C271" i="59" s="1"/>
  <c r="F270" i="59"/>
  <c r="H269" i="59"/>
  <c r="G269" i="59"/>
  <c r="F268" i="57"/>
  <c r="H267" i="57"/>
  <c r="G267" i="57"/>
  <c r="T317" i="61"/>
  <c r="U317" i="61" s="1"/>
  <c r="D272" i="57"/>
  <c r="K271" i="57"/>
  <c r="C271" i="57" s="1"/>
  <c r="P319" i="61"/>
  <c r="R319" i="61" s="1"/>
  <c r="E319" i="61"/>
  <c r="F319" i="61" s="1"/>
  <c r="D320" i="61"/>
  <c r="C320" i="61" s="1"/>
  <c r="G318" i="61"/>
  <c r="H318" i="61"/>
  <c r="Q318" i="61"/>
  <c r="S318" i="61" s="1"/>
  <c r="B307" i="61" l="1"/>
  <c r="H270" i="59"/>
  <c r="F271" i="59"/>
  <c r="G270" i="59"/>
  <c r="K272" i="59"/>
  <c r="C272" i="59" s="1"/>
  <c r="D273" i="59"/>
  <c r="H268" i="57"/>
  <c r="G268" i="57"/>
  <c r="F269" i="57"/>
  <c r="T318" i="61"/>
  <c r="U318" i="61" s="1"/>
  <c r="K272" i="57"/>
  <c r="C272" i="57" s="1"/>
  <c r="D273" i="57"/>
  <c r="P320" i="61"/>
  <c r="R320" i="61" s="1"/>
  <c r="D321" i="61"/>
  <c r="C321" i="61" s="1"/>
  <c r="E320" i="61"/>
  <c r="F320" i="61" s="1"/>
  <c r="G319" i="61"/>
  <c r="H319" i="61"/>
  <c r="Q319" i="61"/>
  <c r="S319" i="61" s="1"/>
  <c r="B308" i="61" l="1"/>
  <c r="G271" i="59"/>
  <c r="F272" i="59"/>
  <c r="H271" i="59"/>
  <c r="D274" i="59"/>
  <c r="K273" i="59"/>
  <c r="C273" i="59" s="1"/>
  <c r="F270" i="57"/>
  <c r="H269" i="57"/>
  <c r="G269" i="57"/>
  <c r="T319" i="61"/>
  <c r="U319" i="61" s="1"/>
  <c r="K273" i="57"/>
  <c r="C273" i="57" s="1"/>
  <c r="D274" i="57"/>
  <c r="H320" i="61"/>
  <c r="G320" i="61"/>
  <c r="P321" i="61"/>
  <c r="R321" i="61" s="1"/>
  <c r="E321" i="61"/>
  <c r="F321" i="61" s="1"/>
  <c r="D322" i="61"/>
  <c r="C322" i="61" s="1"/>
  <c r="Q320" i="61"/>
  <c r="S320" i="61" s="1"/>
  <c r="B309" i="61" l="1"/>
  <c r="D275" i="59"/>
  <c r="K274" i="59"/>
  <c r="C274" i="59" s="1"/>
  <c r="F273" i="59"/>
  <c r="H272" i="59"/>
  <c r="G272" i="59"/>
  <c r="H270" i="57"/>
  <c r="F271" i="57"/>
  <c r="G270" i="57"/>
  <c r="T320" i="61"/>
  <c r="U320" i="61" s="1"/>
  <c r="K274" i="57"/>
  <c r="C274" i="57" s="1"/>
  <c r="D275" i="57"/>
  <c r="H321" i="61"/>
  <c r="G321" i="61"/>
  <c r="Q321" i="61"/>
  <c r="S321" i="61" s="1"/>
  <c r="P322" i="61"/>
  <c r="R322" i="61" s="1"/>
  <c r="E322" i="61"/>
  <c r="F322" i="61" s="1"/>
  <c r="D323" i="61"/>
  <c r="C323" i="61" s="1"/>
  <c r="B310" i="61" l="1"/>
  <c r="F274" i="59"/>
  <c r="H273" i="59"/>
  <c r="G273" i="59"/>
  <c r="D276" i="59"/>
  <c r="K275" i="59"/>
  <c r="C275" i="59" s="1"/>
  <c r="G271" i="57"/>
  <c r="F272" i="57"/>
  <c r="H271" i="57"/>
  <c r="K275" i="57"/>
  <c r="C275" i="57" s="1"/>
  <c r="D276" i="57"/>
  <c r="T321" i="61"/>
  <c r="U321" i="61" s="1"/>
  <c r="H322" i="61"/>
  <c r="G322" i="61"/>
  <c r="P323" i="61"/>
  <c r="R323" i="61" s="1"/>
  <c r="E323" i="61"/>
  <c r="F323" i="61" s="1"/>
  <c r="D324" i="61"/>
  <c r="C324" i="61" s="1"/>
  <c r="Q322" i="61"/>
  <c r="S322" i="61" s="1"/>
  <c r="B311" i="61" l="1"/>
  <c r="D277" i="59"/>
  <c r="K276" i="59"/>
  <c r="C276" i="59" s="1"/>
  <c r="G274" i="59"/>
  <c r="F275" i="59"/>
  <c r="H274" i="59"/>
  <c r="H272" i="57"/>
  <c r="G272" i="57"/>
  <c r="F273" i="57"/>
  <c r="T322" i="61"/>
  <c r="U322" i="61" s="1"/>
  <c r="K276" i="57"/>
  <c r="C276" i="57" s="1"/>
  <c r="D277" i="57"/>
  <c r="Q323" i="61"/>
  <c r="S323" i="61" s="1"/>
  <c r="P324" i="61"/>
  <c r="R324" i="61" s="1"/>
  <c r="E324" i="61"/>
  <c r="F324" i="61" s="1"/>
  <c r="D325" i="61"/>
  <c r="C325" i="61" s="1"/>
  <c r="H323" i="61"/>
  <c r="G323" i="61"/>
  <c r="B312" i="61" l="1"/>
  <c r="G275" i="59"/>
  <c r="H275" i="59"/>
  <c r="F276" i="59"/>
  <c r="K277" i="59"/>
  <c r="C277" i="59" s="1"/>
  <c r="D278" i="59"/>
  <c r="G273" i="57"/>
  <c r="H273" i="57"/>
  <c r="F274" i="57"/>
  <c r="T323" i="61"/>
  <c r="U323" i="61" s="1"/>
  <c r="D278" i="57"/>
  <c r="K277" i="57"/>
  <c r="C277" i="57" s="1"/>
  <c r="H324" i="61"/>
  <c r="G324" i="61"/>
  <c r="Q324" i="61"/>
  <c r="S324" i="61" s="1"/>
  <c r="P325" i="61"/>
  <c r="R325" i="61" s="1"/>
  <c r="D326" i="61"/>
  <c r="C326" i="61" s="1"/>
  <c r="E325" i="61"/>
  <c r="F325" i="61" s="1"/>
  <c r="B313" i="61" l="1"/>
  <c r="F277" i="59"/>
  <c r="H276" i="59"/>
  <c r="G276" i="59"/>
  <c r="D279" i="59"/>
  <c r="K278" i="59"/>
  <c r="C278" i="59" s="1"/>
  <c r="F275" i="57"/>
  <c r="G274" i="57"/>
  <c r="H274" i="57"/>
  <c r="T324" i="61"/>
  <c r="U324" i="61" s="1"/>
  <c r="K278" i="57"/>
  <c r="C278" i="57" s="1"/>
  <c r="D279" i="57"/>
  <c r="H325" i="61"/>
  <c r="G325" i="61"/>
  <c r="P326" i="61"/>
  <c r="R326" i="61" s="1"/>
  <c r="E326" i="61"/>
  <c r="F326" i="61" s="1"/>
  <c r="D327" i="61"/>
  <c r="C327" i="61" s="1"/>
  <c r="Q325" i="61"/>
  <c r="S325" i="61" s="1"/>
  <c r="B314" i="61" l="1"/>
  <c r="D280" i="59"/>
  <c r="K279" i="59"/>
  <c r="C279" i="59" s="1"/>
  <c r="F278" i="59"/>
  <c r="G277" i="59"/>
  <c r="H277" i="59"/>
  <c r="F276" i="57"/>
  <c r="H275" i="57"/>
  <c r="G275" i="57"/>
  <c r="T325" i="61"/>
  <c r="U325" i="61" s="1"/>
  <c r="D280" i="57"/>
  <c r="K279" i="57"/>
  <c r="C279" i="57" s="1"/>
  <c r="H326" i="61"/>
  <c r="G326" i="61"/>
  <c r="Q326" i="61"/>
  <c r="S326" i="61" s="1"/>
  <c r="P327" i="61"/>
  <c r="R327" i="61" s="1"/>
  <c r="E327" i="61"/>
  <c r="F327" i="61" s="1"/>
  <c r="D328" i="61"/>
  <c r="C328" i="61" s="1"/>
  <c r="B315" i="61" l="1"/>
  <c r="H278" i="59"/>
  <c r="G278" i="59"/>
  <c r="F279" i="59"/>
  <c r="D281" i="59"/>
  <c r="K280" i="59"/>
  <c r="C280" i="59" s="1"/>
  <c r="H276" i="57"/>
  <c r="G276" i="57"/>
  <c r="F277" i="57"/>
  <c r="T326" i="61"/>
  <c r="U326" i="61" s="1"/>
  <c r="D281" i="57"/>
  <c r="K280" i="57"/>
  <c r="C280" i="57" s="1"/>
  <c r="H327" i="61"/>
  <c r="G327" i="61"/>
  <c r="P328" i="61"/>
  <c r="R328" i="61" s="1"/>
  <c r="D329" i="61"/>
  <c r="C329" i="61" s="1"/>
  <c r="E328" i="61"/>
  <c r="F328" i="61" s="1"/>
  <c r="Q327" i="61"/>
  <c r="S327" i="61" s="1"/>
  <c r="B316" i="61" l="1"/>
  <c r="K281" i="59"/>
  <c r="C281" i="59" s="1"/>
  <c r="D282" i="59"/>
  <c r="F280" i="59"/>
  <c r="G279" i="59"/>
  <c r="H279" i="59"/>
  <c r="H277" i="57"/>
  <c r="F278" i="57"/>
  <c r="G277" i="57"/>
  <c r="T327" i="61"/>
  <c r="U327" i="61" s="1"/>
  <c r="D282" i="57"/>
  <c r="K281" i="57"/>
  <c r="C281" i="57" s="1"/>
  <c r="Q328" i="61"/>
  <c r="S328" i="61" s="1"/>
  <c r="P329" i="61"/>
  <c r="R329" i="61" s="1"/>
  <c r="E329" i="61"/>
  <c r="F329" i="61" s="1"/>
  <c r="D330" i="61"/>
  <c r="C330" i="61" s="1"/>
  <c r="H328" i="61"/>
  <c r="G328" i="61"/>
  <c r="B317" i="61" l="1"/>
  <c r="H280" i="59"/>
  <c r="G280" i="59"/>
  <c r="F281" i="59"/>
  <c r="K282" i="59"/>
  <c r="C282" i="59" s="1"/>
  <c r="D283" i="59"/>
  <c r="G278" i="57"/>
  <c r="F279" i="57"/>
  <c r="H278" i="57"/>
  <c r="K282" i="57"/>
  <c r="C282" i="57" s="1"/>
  <c r="D283" i="57"/>
  <c r="H329" i="61"/>
  <c r="G329" i="61"/>
  <c r="Q329" i="61"/>
  <c r="S329" i="61" s="1"/>
  <c r="P330" i="61"/>
  <c r="R330" i="61" s="1"/>
  <c r="E330" i="61"/>
  <c r="F330" i="61" s="1"/>
  <c r="D331" i="61"/>
  <c r="C331" i="61" s="1"/>
  <c r="T328" i="61"/>
  <c r="U328" i="61" s="1"/>
  <c r="B318" i="61" l="1"/>
  <c r="F282" i="59"/>
  <c r="G281" i="59"/>
  <c r="H281" i="59"/>
  <c r="K283" i="59"/>
  <c r="C283" i="59" s="1"/>
  <c r="D284" i="59"/>
  <c r="F280" i="57"/>
  <c r="H279" i="57"/>
  <c r="G279" i="57"/>
  <c r="T329" i="61"/>
  <c r="U329" i="61" s="1"/>
  <c r="D284" i="57"/>
  <c r="K283" i="57"/>
  <c r="C283" i="57" s="1"/>
  <c r="P331" i="61"/>
  <c r="R331" i="61" s="1"/>
  <c r="D332" i="61"/>
  <c r="C332" i="61" s="1"/>
  <c r="E331" i="61"/>
  <c r="F331" i="61" s="1"/>
  <c r="H330" i="61"/>
  <c r="G330" i="61"/>
  <c r="Q330" i="61"/>
  <c r="S330" i="61" s="1"/>
  <c r="B319" i="61" l="1"/>
  <c r="D285" i="59"/>
  <c r="K284" i="59"/>
  <c r="C284" i="59" s="1"/>
  <c r="G282" i="59"/>
  <c r="F283" i="59"/>
  <c r="H282" i="59"/>
  <c r="G280" i="57"/>
  <c r="F281" i="57"/>
  <c r="H280" i="57"/>
  <c r="T330" i="61"/>
  <c r="U330" i="61" s="1"/>
  <c r="D285" i="57"/>
  <c r="K284" i="57"/>
  <c r="C284" i="57" s="1"/>
  <c r="P332" i="61"/>
  <c r="R332" i="61" s="1"/>
  <c r="D333" i="61"/>
  <c r="C333" i="61" s="1"/>
  <c r="E332" i="61"/>
  <c r="F332" i="61" s="1"/>
  <c r="H331" i="61"/>
  <c r="G331" i="61"/>
  <c r="Q331" i="61"/>
  <c r="S331" i="61" s="1"/>
  <c r="B320" i="61" l="1"/>
  <c r="H283" i="59"/>
  <c r="G283" i="59"/>
  <c r="F284" i="59"/>
  <c r="D286" i="59"/>
  <c r="K285" i="59"/>
  <c r="C285" i="59" s="1"/>
  <c r="H281" i="57"/>
  <c r="F282" i="57"/>
  <c r="G281" i="57"/>
  <c r="T331" i="61"/>
  <c r="U331" i="61" s="1"/>
  <c r="K285" i="57"/>
  <c r="C285" i="57" s="1"/>
  <c r="D286" i="57"/>
  <c r="H332" i="61"/>
  <c r="G332" i="61"/>
  <c r="P333" i="61"/>
  <c r="R333" i="61" s="1"/>
  <c r="E333" i="61"/>
  <c r="F333" i="61" s="1"/>
  <c r="D334" i="61"/>
  <c r="C334" i="61" s="1"/>
  <c r="Q332" i="61"/>
  <c r="S332" i="61" s="1"/>
  <c r="B321" i="61" l="1"/>
  <c r="D287" i="59"/>
  <c r="K286" i="59"/>
  <c r="C286" i="59" s="1"/>
  <c r="G284" i="59"/>
  <c r="H284" i="59"/>
  <c r="F285" i="59"/>
  <c r="G282" i="57"/>
  <c r="F283" i="57"/>
  <c r="H282" i="57"/>
  <c r="T332" i="61"/>
  <c r="U332" i="61" s="1"/>
  <c r="K286" i="57"/>
  <c r="C286" i="57" s="1"/>
  <c r="D287" i="57"/>
  <c r="H333" i="61"/>
  <c r="G333" i="61"/>
  <c r="Q333" i="61"/>
  <c r="S333" i="61" s="1"/>
  <c r="P334" i="61"/>
  <c r="R334" i="61" s="1"/>
  <c r="E334" i="61"/>
  <c r="F334" i="61" s="1"/>
  <c r="D335" i="61"/>
  <c r="C335" i="61" s="1"/>
  <c r="B322" i="61" l="1"/>
  <c r="H285" i="59"/>
  <c r="F286" i="59"/>
  <c r="G285" i="59"/>
  <c r="K287" i="59"/>
  <c r="C287" i="59" s="1"/>
  <c r="D288" i="59"/>
  <c r="F284" i="57"/>
  <c r="H283" i="57"/>
  <c r="G283" i="57"/>
  <c r="D288" i="57"/>
  <c r="K287" i="57"/>
  <c r="C287" i="57" s="1"/>
  <c r="T333" i="61"/>
  <c r="U333" i="61" s="1"/>
  <c r="G334" i="61"/>
  <c r="H334" i="61"/>
  <c r="P335" i="61"/>
  <c r="R335" i="61" s="1"/>
  <c r="D341" i="61"/>
  <c r="C341" i="61" s="1"/>
  <c r="E335" i="61"/>
  <c r="F335" i="61" s="1"/>
  <c r="D336" i="61"/>
  <c r="C336" i="61" s="1"/>
  <c r="Q334" i="61"/>
  <c r="S334" i="61" s="1"/>
  <c r="B323" i="61" l="1"/>
  <c r="F287" i="59"/>
  <c r="G286" i="59"/>
  <c r="H286" i="59"/>
  <c r="K288" i="59"/>
  <c r="C288" i="59" s="1"/>
  <c r="D289" i="59"/>
  <c r="H284" i="57"/>
  <c r="F285" i="57"/>
  <c r="G284" i="57"/>
  <c r="T334" i="61"/>
  <c r="U334" i="61" s="1"/>
  <c r="K288" i="57"/>
  <c r="C288" i="57" s="1"/>
  <c r="D289" i="57"/>
  <c r="Q335" i="61"/>
  <c r="S335" i="61" s="1"/>
  <c r="P336" i="61"/>
  <c r="R336" i="61" s="1"/>
  <c r="D337" i="61"/>
  <c r="C337" i="61" s="1"/>
  <c r="E336" i="61"/>
  <c r="F336" i="61" s="1"/>
  <c r="H335" i="61"/>
  <c r="G335" i="61"/>
  <c r="E341" i="61"/>
  <c r="F341" i="61" s="1"/>
  <c r="P341" i="61"/>
  <c r="R341" i="61" s="1"/>
  <c r="D342" i="61"/>
  <c r="C342" i="61" s="1"/>
  <c r="B324" i="61" l="1"/>
  <c r="K289" i="59"/>
  <c r="C289" i="59" s="1"/>
  <c r="D290" i="59"/>
  <c r="F288" i="59"/>
  <c r="G287" i="59"/>
  <c r="H287" i="59"/>
  <c r="F286" i="57"/>
  <c r="H285" i="57"/>
  <c r="G285" i="57"/>
  <c r="K289" i="57"/>
  <c r="C289" i="57" s="1"/>
  <c r="D290" i="57"/>
  <c r="G341" i="61"/>
  <c r="H341" i="61"/>
  <c r="P337" i="61"/>
  <c r="R337" i="61" s="1"/>
  <c r="D338" i="61"/>
  <c r="C338" i="61" s="1"/>
  <c r="E337" i="61"/>
  <c r="F337" i="61" s="1"/>
  <c r="P342" i="61"/>
  <c r="R342" i="61" s="1"/>
  <c r="E342" i="61"/>
  <c r="F342" i="61" s="1"/>
  <c r="D343" i="61"/>
  <c r="C343" i="61" s="1"/>
  <c r="Q336" i="61"/>
  <c r="S336" i="61" s="1"/>
  <c r="Q341" i="61"/>
  <c r="S341" i="61" s="1"/>
  <c r="H336" i="61"/>
  <c r="G336" i="61"/>
  <c r="T335" i="61"/>
  <c r="U335" i="61" s="1"/>
  <c r="B325" i="61" l="1"/>
  <c r="F289" i="59"/>
  <c r="H288" i="59"/>
  <c r="G288" i="59"/>
  <c r="K290" i="59"/>
  <c r="C290" i="59" s="1"/>
  <c r="D291" i="59"/>
  <c r="H286" i="57"/>
  <c r="G286" i="57"/>
  <c r="F287" i="57"/>
  <c r="T341" i="61"/>
  <c r="U341" i="61" s="1"/>
  <c r="T336" i="61"/>
  <c r="U336" i="61" s="1"/>
  <c r="D291" i="57"/>
  <c r="K290" i="57"/>
  <c r="C290" i="57" s="1"/>
  <c r="Q342" i="61"/>
  <c r="S342" i="61" s="1"/>
  <c r="P343" i="61"/>
  <c r="R343" i="61" s="1"/>
  <c r="D344" i="61"/>
  <c r="C344" i="61" s="1"/>
  <c r="E343" i="61"/>
  <c r="F343" i="61" s="1"/>
  <c r="P338" i="61"/>
  <c r="R338" i="61" s="1"/>
  <c r="E338" i="61"/>
  <c r="F338" i="61" s="1"/>
  <c r="D339" i="61"/>
  <c r="C339" i="61" s="1"/>
  <c r="H342" i="61"/>
  <c r="G342" i="61"/>
  <c r="Q337" i="61"/>
  <c r="S337" i="61" s="1"/>
  <c r="H337" i="61"/>
  <c r="G337" i="61"/>
  <c r="B326" i="61" l="1"/>
  <c r="D292" i="59"/>
  <c r="K291" i="59"/>
  <c r="C291" i="59" s="1"/>
  <c r="G289" i="59"/>
  <c r="F290" i="59"/>
  <c r="H289" i="59"/>
  <c r="H287" i="57"/>
  <c r="G287" i="57"/>
  <c r="F288" i="57"/>
  <c r="T337" i="61"/>
  <c r="U337" i="61" s="1"/>
  <c r="T342" i="61"/>
  <c r="U342" i="61" s="1"/>
  <c r="K291" i="57"/>
  <c r="C291" i="57" s="1"/>
  <c r="D292" i="57"/>
  <c r="Q343" i="61"/>
  <c r="S343" i="61" s="1"/>
  <c r="P339" i="61"/>
  <c r="R339" i="61" s="1"/>
  <c r="D340" i="61"/>
  <c r="C340" i="61" s="1"/>
  <c r="E339" i="61"/>
  <c r="F339" i="61" s="1"/>
  <c r="P344" i="61"/>
  <c r="R344" i="61" s="1"/>
  <c r="E344" i="61"/>
  <c r="F344" i="61" s="1"/>
  <c r="D345" i="61"/>
  <c r="C345" i="61" s="1"/>
  <c r="H338" i="61"/>
  <c r="G338" i="61"/>
  <c r="Q338" i="61"/>
  <c r="S338" i="61" s="1"/>
  <c r="H343" i="61"/>
  <c r="G343" i="61"/>
  <c r="B327" i="61" l="1"/>
  <c r="G290" i="59"/>
  <c r="F291" i="59"/>
  <c r="H290" i="59"/>
  <c r="K292" i="59"/>
  <c r="C292" i="59" s="1"/>
  <c r="D293" i="59"/>
  <c r="F289" i="57"/>
  <c r="H288" i="57"/>
  <c r="G288" i="57"/>
  <c r="T343" i="61"/>
  <c r="U343" i="61" s="1"/>
  <c r="T338" i="61"/>
  <c r="U338" i="61" s="1"/>
  <c r="D293" i="57"/>
  <c r="K292" i="57"/>
  <c r="C292" i="57" s="1"/>
  <c r="P345" i="61"/>
  <c r="R345" i="61" s="1"/>
  <c r="D346" i="61"/>
  <c r="C346" i="61" s="1"/>
  <c r="E345" i="61"/>
  <c r="F345" i="61" s="1"/>
  <c r="E340" i="61"/>
  <c r="F340" i="61" s="1"/>
  <c r="P340" i="61"/>
  <c r="R340" i="61" s="1"/>
  <c r="H344" i="61"/>
  <c r="G344" i="61"/>
  <c r="Q339" i="61"/>
  <c r="S339" i="61" s="1"/>
  <c r="Q344" i="61"/>
  <c r="S344" i="61" s="1"/>
  <c r="H339" i="61"/>
  <c r="G339" i="61"/>
  <c r="B328" i="61" l="1"/>
  <c r="H291" i="59"/>
  <c r="G291" i="59"/>
  <c r="F292" i="59"/>
  <c r="D294" i="59"/>
  <c r="K293" i="59"/>
  <c r="C293" i="59" s="1"/>
  <c r="G289" i="57"/>
  <c r="F290" i="57"/>
  <c r="H289" i="57"/>
  <c r="T339" i="61"/>
  <c r="U339" i="61" s="1"/>
  <c r="T344" i="61"/>
  <c r="U344" i="61" s="1"/>
  <c r="D294" i="57"/>
  <c r="K293" i="57"/>
  <c r="C293" i="57" s="1"/>
  <c r="G345" i="61"/>
  <c r="H345" i="61"/>
  <c r="H340" i="61"/>
  <c r="G340" i="61"/>
  <c r="P346" i="61"/>
  <c r="R346" i="61" s="1"/>
  <c r="E346" i="61"/>
  <c r="F346" i="61" s="1"/>
  <c r="D347" i="61"/>
  <c r="C347" i="61" s="1"/>
  <c r="Q340" i="61"/>
  <c r="S340" i="61" s="1"/>
  <c r="Q345" i="61"/>
  <c r="S345" i="61" s="1"/>
  <c r="B329" i="61" l="1"/>
  <c r="K294" i="59"/>
  <c r="C294" i="59" s="1"/>
  <c r="D295" i="59"/>
  <c r="G292" i="59"/>
  <c r="F293" i="59"/>
  <c r="H292" i="59"/>
  <c r="G290" i="57"/>
  <c r="F291" i="57"/>
  <c r="H290" i="57"/>
  <c r="K294" i="57"/>
  <c r="C294" i="57" s="1"/>
  <c r="D295" i="57"/>
  <c r="H346" i="61"/>
  <c r="G346" i="61"/>
  <c r="T345" i="61"/>
  <c r="U345" i="61" s="1"/>
  <c r="P347" i="61"/>
  <c r="R347" i="61" s="1"/>
  <c r="E347" i="61"/>
  <c r="F347" i="61" s="1"/>
  <c r="D348" i="61"/>
  <c r="C348" i="61" s="1"/>
  <c r="T340" i="61"/>
  <c r="U340" i="61" s="1"/>
  <c r="Q346" i="61"/>
  <c r="S346" i="61" s="1"/>
  <c r="B330" i="61" l="1"/>
  <c r="F294" i="59"/>
  <c r="G293" i="59"/>
  <c r="H293" i="59"/>
  <c r="K295" i="59"/>
  <c r="C295" i="59" s="1"/>
  <c r="D296" i="59"/>
  <c r="H291" i="57"/>
  <c r="G291" i="57"/>
  <c r="F292" i="57"/>
  <c r="T346" i="61"/>
  <c r="U346" i="61" s="1"/>
  <c r="D296" i="57"/>
  <c r="K295" i="57"/>
  <c r="C295" i="57" s="1"/>
  <c r="Q347" i="61"/>
  <c r="S347" i="61" s="1"/>
  <c r="P348" i="61"/>
  <c r="R348" i="61" s="1"/>
  <c r="D349" i="61"/>
  <c r="C349" i="61" s="1"/>
  <c r="E348" i="61"/>
  <c r="F348" i="61" s="1"/>
  <c r="H347" i="61"/>
  <c r="G347" i="61"/>
  <c r="B331" i="61" l="1"/>
  <c r="K296" i="59"/>
  <c r="C296" i="59" s="1"/>
  <c r="D297" i="59"/>
  <c r="F295" i="59"/>
  <c r="H294" i="59"/>
  <c r="G294" i="59"/>
  <c r="G292" i="57"/>
  <c r="F293" i="57"/>
  <c r="H292" i="57"/>
  <c r="K296" i="57"/>
  <c r="C296" i="57" s="1"/>
  <c r="D297" i="57"/>
  <c r="Q348" i="61"/>
  <c r="S348" i="61" s="1"/>
  <c r="G348" i="61"/>
  <c r="H348" i="61"/>
  <c r="P349" i="61"/>
  <c r="R349" i="61" s="1"/>
  <c r="D350" i="61"/>
  <c r="C350" i="61" s="1"/>
  <c r="E349" i="61"/>
  <c r="F349" i="61" s="1"/>
  <c r="T347" i="61"/>
  <c r="U347" i="61" s="1"/>
  <c r="B332" i="61" l="1"/>
  <c r="G295" i="59"/>
  <c r="F296" i="59"/>
  <c r="H295" i="59"/>
  <c r="D298" i="59"/>
  <c r="K297" i="59"/>
  <c r="C297" i="59" s="1"/>
  <c r="F294" i="57"/>
  <c r="G293" i="57"/>
  <c r="H293" i="57"/>
  <c r="D298" i="57"/>
  <c r="K297" i="57"/>
  <c r="C297" i="57" s="1"/>
  <c r="P350" i="61"/>
  <c r="R350" i="61" s="1"/>
  <c r="D351" i="61"/>
  <c r="C351" i="61" s="1"/>
  <c r="E350" i="61"/>
  <c r="F350" i="61" s="1"/>
  <c r="G349" i="61"/>
  <c r="H349" i="61"/>
  <c r="Q349" i="61"/>
  <c r="S349" i="61" s="1"/>
  <c r="T348" i="61"/>
  <c r="U348" i="61" s="1"/>
  <c r="K298" i="57" l="1"/>
  <c r="C298" i="57" s="1"/>
  <c r="B333" i="61"/>
  <c r="K298" i="59"/>
  <c r="C298" i="59" s="1"/>
  <c r="D299" i="59"/>
  <c r="G296" i="59"/>
  <c r="H296" i="59"/>
  <c r="F297" i="59"/>
  <c r="H294" i="57"/>
  <c r="G294" i="57"/>
  <c r="F295" i="57"/>
  <c r="T349" i="61"/>
  <c r="U349" i="61" s="1"/>
  <c r="G350" i="61"/>
  <c r="H350" i="61"/>
  <c r="P351" i="61"/>
  <c r="R351" i="61" s="1"/>
  <c r="E351" i="61"/>
  <c r="F351" i="61" s="1"/>
  <c r="D352" i="61"/>
  <c r="C352" i="61" s="1"/>
  <c r="Q350" i="61"/>
  <c r="S350" i="61" s="1"/>
  <c r="B334" i="61" l="1"/>
  <c r="D300" i="59"/>
  <c r="K299" i="59"/>
  <c r="C299" i="59" s="1"/>
  <c r="G297" i="59"/>
  <c r="F298" i="59"/>
  <c r="H297" i="59"/>
  <c r="H295" i="57"/>
  <c r="F296" i="57"/>
  <c r="G295" i="57"/>
  <c r="T350" i="61"/>
  <c r="U350" i="61" s="1"/>
  <c r="G351" i="61"/>
  <c r="H351" i="61"/>
  <c r="Q351" i="61"/>
  <c r="S351" i="61" s="1"/>
  <c r="P352" i="61"/>
  <c r="R352" i="61" s="1"/>
  <c r="D353" i="61"/>
  <c r="C353" i="61" s="1"/>
  <c r="E352" i="61"/>
  <c r="F352" i="61" s="1"/>
  <c r="B335" i="61" l="1"/>
  <c r="H298" i="59"/>
  <c r="F299" i="59"/>
  <c r="G298" i="59"/>
  <c r="K300" i="59"/>
  <c r="C300" i="59" s="1"/>
  <c r="D301" i="59"/>
  <c r="H296" i="57"/>
  <c r="G296" i="57"/>
  <c r="F297" i="57"/>
  <c r="T351" i="61"/>
  <c r="U351" i="61" s="1"/>
  <c r="H352" i="61"/>
  <c r="G352" i="61"/>
  <c r="P353" i="61"/>
  <c r="R353" i="61" s="1"/>
  <c r="D354" i="61"/>
  <c r="C354" i="61" s="1"/>
  <c r="E353" i="61"/>
  <c r="F353" i="61" s="1"/>
  <c r="Q352" i="61"/>
  <c r="S352" i="61" s="1"/>
  <c r="B336" i="61" l="1"/>
  <c r="F300" i="59"/>
  <c r="G299" i="59"/>
  <c r="H299" i="59"/>
  <c r="D302" i="59"/>
  <c r="K301" i="59"/>
  <c r="C301" i="59" s="1"/>
  <c r="H297" i="57"/>
  <c r="G297" i="57"/>
  <c r="F298" i="57"/>
  <c r="T352" i="61"/>
  <c r="U352" i="61" s="1"/>
  <c r="Q353" i="61"/>
  <c r="S353" i="61" s="1"/>
  <c r="P354" i="61"/>
  <c r="R354" i="61" s="1"/>
  <c r="D355" i="61"/>
  <c r="C355" i="61" s="1"/>
  <c r="E354" i="61"/>
  <c r="F354" i="61" s="1"/>
  <c r="H353" i="61"/>
  <c r="G353" i="61"/>
  <c r="B337" i="61" l="1"/>
  <c r="D303" i="59"/>
  <c r="K302" i="59"/>
  <c r="C302" i="59" s="1"/>
  <c r="F301" i="59"/>
  <c r="H300" i="59"/>
  <c r="G300" i="59"/>
  <c r="G298" i="57"/>
  <c r="H298" i="57"/>
  <c r="H354" i="61"/>
  <c r="G354" i="61"/>
  <c r="Q354" i="61"/>
  <c r="S354" i="61" s="1"/>
  <c r="T353" i="61"/>
  <c r="U353" i="61" s="1"/>
  <c r="P355" i="61"/>
  <c r="R355" i="61" s="1"/>
  <c r="E355" i="61"/>
  <c r="F355" i="61" s="1"/>
  <c r="D356" i="61"/>
  <c r="C356" i="61" s="1"/>
  <c r="B338" i="61" l="1"/>
  <c r="H301" i="59"/>
  <c r="G301" i="59"/>
  <c r="F302" i="59"/>
  <c r="D304" i="59"/>
  <c r="K303" i="59"/>
  <c r="C303" i="59" s="1"/>
  <c r="T354" i="61"/>
  <c r="U354" i="61" s="1"/>
  <c r="G355" i="61"/>
  <c r="H355" i="61"/>
  <c r="P356" i="61"/>
  <c r="R356" i="61" s="1"/>
  <c r="D357" i="61"/>
  <c r="C357" i="61" s="1"/>
  <c r="E356" i="61"/>
  <c r="F356" i="61" s="1"/>
  <c r="Q355" i="61"/>
  <c r="S355" i="61" s="1"/>
  <c r="B339" i="61" l="1"/>
  <c r="D305" i="59"/>
  <c r="K304" i="59"/>
  <c r="C304" i="59" s="1"/>
  <c r="F303" i="59"/>
  <c r="H302" i="59"/>
  <c r="G302" i="59"/>
  <c r="T355" i="61"/>
  <c r="U355" i="61" s="1"/>
  <c r="Q356" i="61"/>
  <c r="S356" i="61" s="1"/>
  <c r="P357" i="61"/>
  <c r="R357" i="61" s="1"/>
  <c r="D358" i="61"/>
  <c r="C358" i="61" s="1"/>
  <c r="E357" i="61"/>
  <c r="F357" i="61" s="1"/>
  <c r="G356" i="61"/>
  <c r="H356" i="61"/>
  <c r="B340" i="61" l="1"/>
  <c r="G303" i="59"/>
  <c r="F304" i="59"/>
  <c r="H303" i="59"/>
  <c r="K305" i="59"/>
  <c r="C305" i="59" s="1"/>
  <c r="D306" i="59"/>
  <c r="Q357" i="61"/>
  <c r="S357" i="61" s="1"/>
  <c r="H357" i="61"/>
  <c r="G357" i="61"/>
  <c r="P358" i="61"/>
  <c r="R358" i="61" s="1"/>
  <c r="E358" i="61"/>
  <c r="F358" i="61" s="1"/>
  <c r="D359" i="61"/>
  <c r="C359" i="61" s="1"/>
  <c r="T356" i="61"/>
  <c r="U356" i="61" s="1"/>
  <c r="B341" i="61" l="1"/>
  <c r="G304" i="59"/>
  <c r="F305" i="59"/>
  <c r="H304" i="59"/>
  <c r="K306" i="59"/>
  <c r="C306" i="59" s="1"/>
  <c r="D307" i="59"/>
  <c r="Q358" i="61"/>
  <c r="S358" i="61" s="1"/>
  <c r="P359" i="61"/>
  <c r="R359" i="61" s="1"/>
  <c r="E359" i="61"/>
  <c r="F359" i="61" s="1"/>
  <c r="D360" i="61"/>
  <c r="C360" i="61" s="1"/>
  <c r="H358" i="61"/>
  <c r="G358" i="61"/>
  <c r="T357" i="61"/>
  <c r="U357" i="61" s="1"/>
  <c r="B342" i="61" l="1"/>
  <c r="H305" i="59"/>
  <c r="G305" i="59"/>
  <c r="F306" i="59"/>
  <c r="D308" i="59"/>
  <c r="K307" i="59"/>
  <c r="C307" i="59" s="1"/>
  <c r="T358" i="61"/>
  <c r="U358" i="61" s="1"/>
  <c r="P360" i="61"/>
  <c r="R360" i="61" s="1"/>
  <c r="E360" i="61"/>
  <c r="F360" i="61" s="1"/>
  <c r="D361" i="61"/>
  <c r="C361" i="61" s="1"/>
  <c r="H359" i="61"/>
  <c r="G359" i="61"/>
  <c r="Q359" i="61"/>
  <c r="S359" i="61" s="1"/>
  <c r="B343" i="61" l="1"/>
  <c r="D309" i="59"/>
  <c r="K308" i="59"/>
  <c r="C308" i="59" s="1"/>
  <c r="F307" i="59"/>
  <c r="G306" i="59"/>
  <c r="H306" i="59"/>
  <c r="T359" i="61"/>
  <c r="U359" i="61" s="1"/>
  <c r="P361" i="61"/>
  <c r="R361" i="61" s="1"/>
  <c r="D362" i="61"/>
  <c r="C362" i="61" s="1"/>
  <c r="E361" i="61"/>
  <c r="F361" i="61" s="1"/>
  <c r="H360" i="61"/>
  <c r="G360" i="61"/>
  <c r="Q360" i="61"/>
  <c r="S360" i="61" s="1"/>
  <c r="B344" i="61" l="1"/>
  <c r="F308" i="59"/>
  <c r="H307" i="59"/>
  <c r="G307" i="59"/>
  <c r="D310" i="59"/>
  <c r="K309" i="59"/>
  <c r="C309" i="59" s="1"/>
  <c r="T360" i="61"/>
  <c r="U360" i="61" s="1"/>
  <c r="H361" i="61"/>
  <c r="G361" i="61"/>
  <c r="P362" i="61"/>
  <c r="R362" i="61" s="1"/>
  <c r="D363" i="61"/>
  <c r="C363" i="61" s="1"/>
  <c r="E362" i="61"/>
  <c r="F362" i="61" s="1"/>
  <c r="Q361" i="61"/>
  <c r="S361" i="61" s="1"/>
  <c r="B345" i="61" l="1"/>
  <c r="K310" i="59"/>
  <c r="C310" i="59" s="1"/>
  <c r="D311" i="59"/>
  <c r="H308" i="59"/>
  <c r="G308" i="59"/>
  <c r="F309" i="59"/>
  <c r="T361" i="61"/>
  <c r="U361" i="61" s="1"/>
  <c r="Q362" i="61"/>
  <c r="S362" i="61" s="1"/>
  <c r="P363" i="61"/>
  <c r="R363" i="61" s="1"/>
  <c r="D364" i="61"/>
  <c r="C364" i="61" s="1"/>
  <c r="E363" i="61"/>
  <c r="F363" i="61" s="1"/>
  <c r="H362" i="61"/>
  <c r="G362" i="61"/>
  <c r="B346" i="61" l="1"/>
  <c r="D312" i="59"/>
  <c r="K311" i="59"/>
  <c r="C311" i="59" s="1"/>
  <c r="G309" i="59"/>
  <c r="H309" i="59"/>
  <c r="F310" i="59"/>
  <c r="T362" i="61"/>
  <c r="U362" i="61" s="1"/>
  <c r="Q363" i="61"/>
  <c r="S363" i="61" s="1"/>
  <c r="H363" i="61"/>
  <c r="G363" i="61"/>
  <c r="P364" i="61"/>
  <c r="R364" i="61" s="1"/>
  <c r="E364" i="61"/>
  <c r="F364" i="61" s="1"/>
  <c r="D365" i="61"/>
  <c r="C365" i="61" s="1"/>
  <c r="B347" i="61" l="1"/>
  <c r="F311" i="59"/>
  <c r="G310" i="59"/>
  <c r="H310" i="59"/>
  <c r="K312" i="59"/>
  <c r="C312" i="59" s="1"/>
  <c r="D313" i="59"/>
  <c r="T363" i="61"/>
  <c r="U363" i="61" s="1"/>
  <c r="H364" i="61"/>
  <c r="G364" i="61"/>
  <c r="Q364" i="61"/>
  <c r="S364" i="61" s="1"/>
  <c r="P365" i="61"/>
  <c r="R365" i="61" s="1"/>
  <c r="E365" i="61"/>
  <c r="F365" i="61" s="1"/>
  <c r="D366" i="61"/>
  <c r="C366" i="61" s="1"/>
  <c r="B348" i="61" l="1"/>
  <c r="D314" i="59"/>
  <c r="K313" i="59"/>
  <c r="C313" i="59" s="1"/>
  <c r="F312" i="59"/>
  <c r="H311" i="59"/>
  <c r="G311" i="59"/>
  <c r="T364" i="61"/>
  <c r="U364" i="61" s="1"/>
  <c r="H365" i="61"/>
  <c r="G365" i="61"/>
  <c r="P366" i="61"/>
  <c r="R366" i="61" s="1"/>
  <c r="E366" i="61"/>
  <c r="F366" i="61" s="1"/>
  <c r="D367" i="61"/>
  <c r="C367" i="61" s="1"/>
  <c r="Q365" i="61"/>
  <c r="S365" i="61" s="1"/>
  <c r="B349" i="61" l="1"/>
  <c r="H312" i="59"/>
  <c r="F313" i="59"/>
  <c r="G312" i="59"/>
  <c r="K314" i="59"/>
  <c r="C314" i="59" s="1"/>
  <c r="D315" i="59"/>
  <c r="T365" i="61"/>
  <c r="U365" i="61" s="1"/>
  <c r="Q366" i="61"/>
  <c r="S366" i="61" s="1"/>
  <c r="P367" i="61"/>
  <c r="R367" i="61" s="1"/>
  <c r="D368" i="61"/>
  <c r="C368" i="61" s="1"/>
  <c r="E367" i="61"/>
  <c r="F367" i="61" s="1"/>
  <c r="H366" i="61"/>
  <c r="G366" i="61"/>
  <c r="B350" i="61" l="1"/>
  <c r="H313" i="59"/>
  <c r="G313" i="59"/>
  <c r="F314" i="59"/>
  <c r="K315" i="59"/>
  <c r="C315" i="59" s="1"/>
  <c r="D316" i="59"/>
  <c r="T366" i="61"/>
  <c r="U366" i="61" s="1"/>
  <c r="H367" i="61"/>
  <c r="G367" i="61"/>
  <c r="Q367" i="61"/>
  <c r="S367" i="61" s="1"/>
  <c r="P368" i="61"/>
  <c r="R368" i="61" s="1"/>
  <c r="D369" i="61"/>
  <c r="C369" i="61" s="1"/>
  <c r="E368" i="61"/>
  <c r="F368" i="61" s="1"/>
  <c r="B351" i="61" l="1"/>
  <c r="G314" i="59"/>
  <c r="F315" i="59"/>
  <c r="H314" i="59"/>
  <c r="D317" i="59"/>
  <c r="K316" i="59"/>
  <c r="C316" i="59" s="1"/>
  <c r="G368" i="61"/>
  <c r="H368" i="61"/>
  <c r="T367" i="61"/>
  <c r="U367" i="61" s="1"/>
  <c r="P369" i="61"/>
  <c r="R369" i="61" s="1"/>
  <c r="E369" i="61"/>
  <c r="F369" i="61" s="1"/>
  <c r="D370" i="61"/>
  <c r="C370" i="61" s="1"/>
  <c r="Q368" i="61"/>
  <c r="S368" i="61" s="1"/>
  <c r="B352" i="61" l="1"/>
  <c r="D318" i="59"/>
  <c r="K317" i="59"/>
  <c r="C317" i="59" s="1"/>
  <c r="H315" i="59"/>
  <c r="G315" i="59"/>
  <c r="F316" i="59"/>
  <c r="T368" i="61"/>
  <c r="U368" i="61" s="1"/>
  <c r="Q369" i="61"/>
  <c r="S369" i="61" s="1"/>
  <c r="P370" i="61"/>
  <c r="R370" i="61" s="1"/>
  <c r="E370" i="61"/>
  <c r="F370" i="61" s="1"/>
  <c r="D371" i="61"/>
  <c r="C371" i="61" s="1"/>
  <c r="G369" i="61"/>
  <c r="H369" i="61"/>
  <c r="B353" i="61" l="1"/>
  <c r="G316" i="59"/>
  <c r="H316" i="59"/>
  <c r="F317" i="59"/>
  <c r="D319" i="59"/>
  <c r="K318" i="59"/>
  <c r="C318" i="59" s="1"/>
  <c r="Q370" i="61"/>
  <c r="S370" i="61" s="1"/>
  <c r="P371" i="61"/>
  <c r="R371" i="61" s="1"/>
  <c r="E371" i="61"/>
  <c r="F371" i="61" s="1"/>
  <c r="D372" i="61"/>
  <c r="C372" i="61" s="1"/>
  <c r="H370" i="61"/>
  <c r="G370" i="61"/>
  <c r="T369" i="61"/>
  <c r="U369" i="61" s="1"/>
  <c r="B354" i="61" l="1"/>
  <c r="D320" i="59"/>
  <c r="K319" i="59"/>
  <c r="C319" i="59" s="1"/>
  <c r="F318" i="59"/>
  <c r="H317" i="59"/>
  <c r="G317" i="59"/>
  <c r="T370" i="61"/>
  <c r="U370" i="61" s="1"/>
  <c r="H371" i="61"/>
  <c r="G371" i="61"/>
  <c r="Q371" i="61"/>
  <c r="S371" i="61" s="1"/>
  <c r="P372" i="61"/>
  <c r="R372" i="61" s="1"/>
  <c r="E372" i="61"/>
  <c r="F372" i="61" s="1"/>
  <c r="D373" i="61"/>
  <c r="C373" i="61" s="1"/>
  <c r="B355" i="61" l="1"/>
  <c r="G318" i="59"/>
  <c r="F319" i="59"/>
  <c r="H318" i="59"/>
  <c r="K320" i="59"/>
  <c r="C320" i="59" s="1"/>
  <c r="D321" i="59"/>
  <c r="T371" i="61"/>
  <c r="U371" i="61" s="1"/>
  <c r="P373" i="61"/>
  <c r="R373" i="61" s="1"/>
  <c r="D374" i="61"/>
  <c r="C374" i="61" s="1"/>
  <c r="E373" i="61"/>
  <c r="F373" i="61" s="1"/>
  <c r="H372" i="61"/>
  <c r="G372" i="61"/>
  <c r="Q372" i="61"/>
  <c r="S372" i="61" s="1"/>
  <c r="B356" i="61" l="1"/>
  <c r="G319" i="59"/>
  <c r="F320" i="59"/>
  <c r="H319" i="59"/>
  <c r="D322" i="59"/>
  <c r="K321" i="59"/>
  <c r="C321" i="59" s="1"/>
  <c r="T372" i="61"/>
  <c r="U372" i="61" s="1"/>
  <c r="P374" i="61"/>
  <c r="R374" i="61" s="1"/>
  <c r="D375" i="61"/>
  <c r="C375" i="61" s="1"/>
  <c r="E374" i="61"/>
  <c r="F374" i="61" s="1"/>
  <c r="G373" i="61"/>
  <c r="H373" i="61"/>
  <c r="Q373" i="61"/>
  <c r="S373" i="61" s="1"/>
  <c r="B357" i="61" l="1"/>
  <c r="D323" i="59"/>
  <c r="K322" i="59"/>
  <c r="C322" i="59" s="1"/>
  <c r="H320" i="59"/>
  <c r="G320" i="59"/>
  <c r="F321" i="59"/>
  <c r="T373" i="61"/>
  <c r="U373" i="61" s="1"/>
  <c r="H374" i="61"/>
  <c r="G374" i="61"/>
  <c r="P375" i="61"/>
  <c r="R375" i="61" s="1"/>
  <c r="E375" i="61"/>
  <c r="F375" i="61" s="1"/>
  <c r="D376" i="61"/>
  <c r="C376" i="61" s="1"/>
  <c r="Q374" i="61"/>
  <c r="S374" i="61" s="1"/>
  <c r="B358" i="61" l="1"/>
  <c r="F322" i="59"/>
  <c r="H321" i="59"/>
  <c r="G321" i="59"/>
  <c r="D324" i="59"/>
  <c r="K323" i="59"/>
  <c r="C323" i="59" s="1"/>
  <c r="T374" i="61"/>
  <c r="U374" i="61" s="1"/>
  <c r="G375" i="61"/>
  <c r="H375" i="61"/>
  <c r="Q375" i="61"/>
  <c r="S375" i="61" s="1"/>
  <c r="P376" i="61"/>
  <c r="R376" i="61" s="1"/>
  <c r="D377" i="61"/>
  <c r="C377" i="61" s="1"/>
  <c r="E376" i="61"/>
  <c r="F376" i="61" s="1"/>
  <c r="B359" i="61" l="1"/>
  <c r="K324" i="59"/>
  <c r="C324" i="59" s="1"/>
  <c r="D325" i="59"/>
  <c r="G322" i="59"/>
  <c r="F323" i="59"/>
  <c r="H322" i="59"/>
  <c r="G376" i="61"/>
  <c r="H376" i="61"/>
  <c r="T375" i="61"/>
  <c r="U375" i="61" s="1"/>
  <c r="P377" i="61"/>
  <c r="R377" i="61" s="1"/>
  <c r="E377" i="61"/>
  <c r="F377" i="61" s="1"/>
  <c r="D378" i="61"/>
  <c r="C378" i="61" s="1"/>
  <c r="Q376" i="61"/>
  <c r="S376" i="61" s="1"/>
  <c r="B360" i="61" l="1"/>
  <c r="G323" i="59"/>
  <c r="H323" i="59"/>
  <c r="F324" i="59"/>
  <c r="K325" i="59"/>
  <c r="C325" i="59" s="1"/>
  <c r="D326" i="59"/>
  <c r="T376" i="61"/>
  <c r="U376" i="61" s="1"/>
  <c r="Q377" i="61"/>
  <c r="S377" i="61" s="1"/>
  <c r="P378" i="61"/>
  <c r="R378" i="61" s="1"/>
  <c r="D379" i="61"/>
  <c r="C379" i="61" s="1"/>
  <c r="E378" i="61"/>
  <c r="F378" i="61" s="1"/>
  <c r="G377" i="61"/>
  <c r="H377" i="61"/>
  <c r="B361" i="61" l="1"/>
  <c r="G324" i="59"/>
  <c r="F325" i="59"/>
  <c r="H324" i="59"/>
  <c r="D327" i="59"/>
  <c r="K326" i="59"/>
  <c r="C326" i="59" s="1"/>
  <c r="G378" i="61"/>
  <c r="H378" i="61"/>
  <c r="Q378" i="61"/>
  <c r="S378" i="61" s="1"/>
  <c r="T377" i="61"/>
  <c r="U377" i="61" s="1"/>
  <c r="P379" i="61"/>
  <c r="R379" i="61" s="1"/>
  <c r="E379" i="61"/>
  <c r="F379" i="61" s="1"/>
  <c r="D380" i="61"/>
  <c r="C380" i="61" s="1"/>
  <c r="B362" i="61" l="1"/>
  <c r="D328" i="59"/>
  <c r="K327" i="59"/>
  <c r="C327" i="59" s="1"/>
  <c r="G325" i="59"/>
  <c r="H325" i="59"/>
  <c r="F326" i="59"/>
  <c r="P380" i="61"/>
  <c r="R380" i="61" s="1"/>
  <c r="E380" i="61"/>
  <c r="F380" i="61" s="1"/>
  <c r="D381" i="61"/>
  <c r="C381" i="61" s="1"/>
  <c r="T378" i="61"/>
  <c r="U378" i="61" s="1"/>
  <c r="G379" i="61"/>
  <c r="H379" i="61"/>
  <c r="Q379" i="61"/>
  <c r="S379" i="61" s="1"/>
  <c r="B363" i="61" l="1"/>
  <c r="H326" i="59"/>
  <c r="F327" i="59"/>
  <c r="G326" i="59"/>
  <c r="K328" i="59"/>
  <c r="C328" i="59" s="1"/>
  <c r="D329" i="59"/>
  <c r="T379" i="61"/>
  <c r="U379" i="61" s="1"/>
  <c r="P381" i="61"/>
  <c r="R381" i="61" s="1"/>
  <c r="E381" i="61"/>
  <c r="F381" i="61" s="1"/>
  <c r="D382" i="61"/>
  <c r="C382" i="61" s="1"/>
  <c r="H380" i="61"/>
  <c r="G380" i="61"/>
  <c r="Q380" i="61"/>
  <c r="S380" i="61" s="1"/>
  <c r="B364" i="61" l="1"/>
  <c r="F328" i="59"/>
  <c r="H327" i="59"/>
  <c r="G327" i="59"/>
  <c r="D330" i="59"/>
  <c r="K329" i="59"/>
  <c r="C329" i="59" s="1"/>
  <c r="P382" i="61"/>
  <c r="R382" i="61" s="1"/>
  <c r="E382" i="61"/>
  <c r="F382" i="61" s="1"/>
  <c r="D383" i="61"/>
  <c r="C383" i="61" s="1"/>
  <c r="T380" i="61"/>
  <c r="U380" i="61" s="1"/>
  <c r="H381" i="61"/>
  <c r="G381" i="61"/>
  <c r="Q381" i="61"/>
  <c r="S381" i="61" s="1"/>
  <c r="B365" i="61" l="1"/>
  <c r="D331" i="59"/>
  <c r="K330" i="59"/>
  <c r="C330" i="59" s="1"/>
  <c r="G328" i="59"/>
  <c r="F329" i="59"/>
  <c r="H328" i="59"/>
  <c r="T381" i="61"/>
  <c r="U381" i="61" s="1"/>
  <c r="P383" i="61"/>
  <c r="R383" i="61" s="1"/>
  <c r="E383" i="61"/>
  <c r="F383" i="61" s="1"/>
  <c r="D384" i="61"/>
  <c r="C384" i="61" s="1"/>
  <c r="H382" i="61"/>
  <c r="G382" i="61"/>
  <c r="Q382" i="61"/>
  <c r="S382" i="61" s="1"/>
  <c r="B366" i="61" l="1"/>
  <c r="F330" i="59"/>
  <c r="H329" i="59"/>
  <c r="G329" i="59"/>
  <c r="D332" i="59"/>
  <c r="K331" i="59"/>
  <c r="C331" i="59" s="1"/>
  <c r="T382" i="61"/>
  <c r="U382" i="61" s="1"/>
  <c r="P384" i="61"/>
  <c r="R384" i="61" s="1"/>
  <c r="E384" i="61"/>
  <c r="F384" i="61" s="1"/>
  <c r="D385" i="61"/>
  <c r="C385" i="61" s="1"/>
  <c r="G383" i="61"/>
  <c r="H383" i="61"/>
  <c r="Q383" i="61"/>
  <c r="S383" i="61" s="1"/>
  <c r="B367" i="61" l="1"/>
  <c r="D333" i="59"/>
  <c r="K332" i="59"/>
  <c r="C332" i="59" s="1"/>
  <c r="F331" i="59"/>
  <c r="G330" i="59"/>
  <c r="H330" i="59"/>
  <c r="T383" i="61"/>
  <c r="U383" i="61" s="1"/>
  <c r="G384" i="61"/>
  <c r="H384" i="61"/>
  <c r="Q384" i="61"/>
  <c r="S384" i="61" s="1"/>
  <c r="P385" i="61"/>
  <c r="R385" i="61" s="1"/>
  <c r="E385" i="61"/>
  <c r="F385" i="61" s="1"/>
  <c r="D386" i="61"/>
  <c r="C386" i="61" s="1"/>
  <c r="B368" i="61" l="1"/>
  <c r="F332" i="59"/>
  <c r="H331" i="59"/>
  <c r="G331" i="59"/>
  <c r="D334" i="59"/>
  <c r="K333" i="59"/>
  <c r="C333" i="59" s="1"/>
  <c r="H385" i="61"/>
  <c r="G385" i="61"/>
  <c r="P386" i="61"/>
  <c r="R386" i="61" s="1"/>
  <c r="E386" i="61"/>
  <c r="F386" i="61" s="1"/>
  <c r="D387" i="61"/>
  <c r="C387" i="61" s="1"/>
  <c r="Q385" i="61"/>
  <c r="S385" i="61" s="1"/>
  <c r="T384" i="61"/>
  <c r="U384" i="61" s="1"/>
  <c r="K334" i="59" l="1"/>
  <c r="C334" i="59" s="1"/>
  <c r="B369" i="61"/>
  <c r="H332" i="59"/>
  <c r="G332" i="59"/>
  <c r="F333" i="59"/>
  <c r="T385" i="61"/>
  <c r="U385" i="61" s="1"/>
  <c r="Q386" i="61"/>
  <c r="S386" i="61" s="1"/>
  <c r="G386" i="61"/>
  <c r="H386" i="61"/>
  <c r="P387" i="61"/>
  <c r="R387" i="61" s="1"/>
  <c r="E387" i="61"/>
  <c r="F387" i="61" s="1"/>
  <c r="D388" i="61"/>
  <c r="C388" i="61" s="1"/>
  <c r="B370" i="61" l="1"/>
  <c r="G333" i="59"/>
  <c r="H333" i="59"/>
  <c r="F334" i="59"/>
  <c r="P388" i="61"/>
  <c r="R388" i="61" s="1"/>
  <c r="D389" i="61"/>
  <c r="C389" i="61" s="1"/>
  <c r="E388" i="61"/>
  <c r="F388" i="61" s="1"/>
  <c r="H387" i="61"/>
  <c r="G387" i="61"/>
  <c r="T386" i="61"/>
  <c r="U386" i="61" s="1"/>
  <c r="Q387" i="61"/>
  <c r="S387" i="61" s="1"/>
  <c r="B371" i="61" l="1"/>
  <c r="H334" i="59"/>
  <c r="G334" i="59"/>
  <c r="T387" i="61"/>
  <c r="U387" i="61" s="1"/>
  <c r="H388" i="61"/>
  <c r="G388" i="61"/>
  <c r="P389" i="61"/>
  <c r="R389" i="61" s="1"/>
  <c r="E389" i="61"/>
  <c r="F389" i="61" s="1"/>
  <c r="D390" i="61"/>
  <c r="C390" i="61" s="1"/>
  <c r="Q388" i="61"/>
  <c r="S388" i="61" s="1"/>
  <c r="B372" i="61" l="1"/>
  <c r="T388" i="61"/>
  <c r="U388" i="61" s="1"/>
  <c r="H389" i="61"/>
  <c r="G389" i="61"/>
  <c r="Q389" i="61"/>
  <c r="S389" i="61" s="1"/>
  <c r="P390" i="61"/>
  <c r="R390" i="61" s="1"/>
  <c r="E390" i="61"/>
  <c r="F390" i="61" s="1"/>
  <c r="D391" i="61"/>
  <c r="C391" i="61" s="1"/>
  <c r="B373" i="61" l="1"/>
  <c r="T389" i="61"/>
  <c r="U389" i="61" s="1"/>
  <c r="P391" i="61"/>
  <c r="R391" i="61" s="1"/>
  <c r="D392" i="61"/>
  <c r="C392" i="61" s="1"/>
  <c r="E391" i="61"/>
  <c r="F391" i="61" s="1"/>
  <c r="H390" i="61"/>
  <c r="G390" i="61"/>
  <c r="Q390" i="61"/>
  <c r="S390" i="61" s="1"/>
  <c r="B374" i="61" l="1"/>
  <c r="T390" i="61"/>
  <c r="U390" i="61" s="1"/>
  <c r="H391" i="61"/>
  <c r="G391" i="61"/>
  <c r="P392" i="61"/>
  <c r="R392" i="61" s="1"/>
  <c r="D393" i="61"/>
  <c r="C393" i="61" s="1"/>
  <c r="E392" i="61"/>
  <c r="F392" i="61" s="1"/>
  <c r="Q391" i="61"/>
  <c r="S391" i="61" s="1"/>
  <c r="B375" i="61" l="1"/>
  <c r="T391" i="61"/>
  <c r="U391" i="61" s="1"/>
  <c r="Q392" i="61"/>
  <c r="S392" i="61" s="1"/>
  <c r="H392" i="61"/>
  <c r="G392" i="61"/>
  <c r="P393" i="61"/>
  <c r="R393" i="61" s="1"/>
  <c r="E393" i="61"/>
  <c r="F393" i="61" s="1"/>
  <c r="D394" i="61"/>
  <c r="C394" i="61" s="1"/>
  <c r="B376" i="61" l="1"/>
  <c r="T392" i="61"/>
  <c r="U392" i="61" s="1"/>
  <c r="H393" i="61"/>
  <c r="G393" i="61"/>
  <c r="P394" i="61"/>
  <c r="R394" i="61" s="1"/>
  <c r="E394" i="61"/>
  <c r="F394" i="61" s="1"/>
  <c r="D395" i="61"/>
  <c r="C395" i="61" s="1"/>
  <c r="Q393" i="61"/>
  <c r="S393" i="61" s="1"/>
  <c r="B377" i="61" l="1"/>
  <c r="G394" i="61"/>
  <c r="H394" i="61"/>
  <c r="T393" i="61"/>
  <c r="U393" i="61" s="1"/>
  <c r="Q394" i="61"/>
  <c r="S394" i="61" s="1"/>
  <c r="P395" i="61"/>
  <c r="R395" i="61" s="1"/>
  <c r="D401" i="61"/>
  <c r="C401" i="61" s="1"/>
  <c r="E395" i="61"/>
  <c r="F395" i="61" s="1"/>
  <c r="D396" i="61"/>
  <c r="C396" i="61" s="1"/>
  <c r="B378" i="61" l="1"/>
  <c r="H395" i="61"/>
  <c r="G395" i="61"/>
  <c r="E401" i="61"/>
  <c r="F401" i="61" s="1"/>
  <c r="P401" i="61"/>
  <c r="R401" i="61" s="1"/>
  <c r="D402" i="61"/>
  <c r="C402" i="61" s="1"/>
  <c r="Q395" i="61"/>
  <c r="S395" i="61" s="1"/>
  <c r="P396" i="61"/>
  <c r="R396" i="61" s="1"/>
  <c r="D397" i="61"/>
  <c r="C397" i="61" s="1"/>
  <c r="E396" i="61"/>
  <c r="F396" i="61" s="1"/>
  <c r="T394" i="61"/>
  <c r="U394" i="61" s="1"/>
  <c r="B379" i="61" l="1"/>
  <c r="G401" i="61"/>
  <c r="H401" i="61"/>
  <c r="Q396" i="61"/>
  <c r="S396" i="61" s="1"/>
  <c r="Q401" i="61"/>
  <c r="S401" i="61" s="1"/>
  <c r="T395" i="61"/>
  <c r="U395" i="61" s="1"/>
  <c r="H396" i="61"/>
  <c r="G396" i="61"/>
  <c r="P397" i="61"/>
  <c r="R397" i="61" s="1"/>
  <c r="D398" i="61"/>
  <c r="C398" i="61" s="1"/>
  <c r="E397" i="61"/>
  <c r="F397" i="61" s="1"/>
  <c r="P402" i="61"/>
  <c r="R402" i="61" s="1"/>
  <c r="E402" i="61"/>
  <c r="F402" i="61" s="1"/>
  <c r="D403" i="61"/>
  <c r="C403" i="61" s="1"/>
  <c r="B380" i="61" l="1"/>
  <c r="T401" i="61"/>
  <c r="U401" i="61" s="1"/>
  <c r="P403" i="61"/>
  <c r="R403" i="61" s="1"/>
  <c r="E403" i="61"/>
  <c r="F403" i="61" s="1"/>
  <c r="D404" i="61"/>
  <c r="C404" i="61" s="1"/>
  <c r="P398" i="61"/>
  <c r="R398" i="61" s="1"/>
  <c r="E398" i="61"/>
  <c r="F398" i="61" s="1"/>
  <c r="D399" i="61"/>
  <c r="C399" i="61" s="1"/>
  <c r="T396" i="61"/>
  <c r="U396" i="61" s="1"/>
  <c r="G402" i="61"/>
  <c r="H402" i="61"/>
  <c r="Q397" i="61"/>
  <c r="S397" i="61" s="1"/>
  <c r="H397" i="61"/>
  <c r="G397" i="61"/>
  <c r="Q402" i="61"/>
  <c r="S402" i="61" s="1"/>
  <c r="B381" i="61" l="1"/>
  <c r="T402" i="61"/>
  <c r="U402" i="61" s="1"/>
  <c r="T397" i="61"/>
  <c r="U397" i="61" s="1"/>
  <c r="P404" i="61"/>
  <c r="R404" i="61" s="1"/>
  <c r="E404" i="61"/>
  <c r="F404" i="61" s="1"/>
  <c r="D405" i="61"/>
  <c r="C405" i="61" s="1"/>
  <c r="Q398" i="61"/>
  <c r="S398" i="61" s="1"/>
  <c r="P399" i="61"/>
  <c r="R399" i="61" s="1"/>
  <c r="D400" i="61"/>
  <c r="C400" i="61" s="1"/>
  <c r="E399" i="61"/>
  <c r="F399" i="61" s="1"/>
  <c r="H403" i="61"/>
  <c r="G403" i="61"/>
  <c r="H398" i="61"/>
  <c r="G398" i="61"/>
  <c r="Q403" i="61"/>
  <c r="S403" i="61" s="1"/>
  <c r="B382" i="61" l="1"/>
  <c r="P405" i="61"/>
  <c r="R405" i="61" s="1"/>
  <c r="D406" i="61"/>
  <c r="C406" i="61" s="1"/>
  <c r="E405" i="61"/>
  <c r="F405" i="61" s="1"/>
  <c r="T403" i="61"/>
  <c r="U403" i="61" s="1"/>
  <c r="Q399" i="61"/>
  <c r="S399" i="61" s="1"/>
  <c r="H404" i="61"/>
  <c r="G404" i="61"/>
  <c r="E400" i="61"/>
  <c r="F400" i="61" s="1"/>
  <c r="P400" i="61"/>
  <c r="R400" i="61" s="1"/>
  <c r="Q404" i="61"/>
  <c r="S404" i="61" s="1"/>
  <c r="H399" i="61"/>
  <c r="G399" i="61"/>
  <c r="T398" i="61"/>
  <c r="U398" i="61" s="1"/>
  <c r="B383" i="61" l="1"/>
  <c r="T399" i="61"/>
  <c r="U399" i="61" s="1"/>
  <c r="Q400" i="61"/>
  <c r="S400" i="61" s="1"/>
  <c r="T404" i="61"/>
  <c r="U404" i="61" s="1"/>
  <c r="H405" i="61"/>
  <c r="G405" i="61"/>
  <c r="P406" i="61"/>
  <c r="R406" i="61" s="1"/>
  <c r="E406" i="61"/>
  <c r="F406" i="61" s="1"/>
  <c r="D407" i="61"/>
  <c r="C407" i="61" s="1"/>
  <c r="H400" i="61"/>
  <c r="G400" i="61"/>
  <c r="Q405" i="61"/>
  <c r="S405" i="61" s="1"/>
  <c r="B384" i="61" l="1"/>
  <c r="T405" i="61"/>
  <c r="U405" i="61" s="1"/>
  <c r="H406" i="61"/>
  <c r="G406" i="61"/>
  <c r="Q406" i="61"/>
  <c r="S406" i="61" s="1"/>
  <c r="P407" i="61"/>
  <c r="R407" i="61" s="1"/>
  <c r="E407" i="61"/>
  <c r="F407" i="61" s="1"/>
  <c r="D408" i="61"/>
  <c r="C408" i="61" s="1"/>
  <c r="T400" i="61"/>
  <c r="U400" i="61" s="1"/>
  <c r="B385" i="61" l="1"/>
  <c r="T406" i="61"/>
  <c r="U406" i="61" s="1"/>
  <c r="H407" i="61"/>
  <c r="G407" i="61"/>
  <c r="P408" i="61"/>
  <c r="R408" i="61" s="1"/>
  <c r="E408" i="61"/>
  <c r="F408" i="61" s="1"/>
  <c r="D409" i="61"/>
  <c r="C409" i="61" s="1"/>
  <c r="Q407" i="61"/>
  <c r="S407" i="61" s="1"/>
  <c r="B386" i="61" l="1"/>
  <c r="H408" i="61"/>
  <c r="G408" i="61"/>
  <c r="T407" i="61"/>
  <c r="U407" i="61" s="1"/>
  <c r="Q408" i="61"/>
  <c r="S408" i="61" s="1"/>
  <c r="P409" i="61"/>
  <c r="R409" i="61" s="1"/>
  <c r="D410" i="61"/>
  <c r="C410" i="61" s="1"/>
  <c r="E409" i="61"/>
  <c r="F409" i="61" s="1"/>
  <c r="B387" i="61" l="1"/>
  <c r="T408" i="61"/>
  <c r="U408" i="61" s="1"/>
  <c r="P410" i="61"/>
  <c r="R410" i="61" s="1"/>
  <c r="E410" i="61"/>
  <c r="F410" i="61" s="1"/>
  <c r="D411" i="61"/>
  <c r="C411" i="61" s="1"/>
  <c r="G409" i="61"/>
  <c r="H409" i="61"/>
  <c r="Q409" i="61"/>
  <c r="S409" i="61" s="1"/>
  <c r="B388" i="61" l="1"/>
  <c r="T409" i="61"/>
  <c r="U409" i="61" s="1"/>
  <c r="P411" i="61"/>
  <c r="R411" i="61" s="1"/>
  <c r="E411" i="61"/>
  <c r="F411" i="61" s="1"/>
  <c r="D412" i="61"/>
  <c r="C412" i="61" s="1"/>
  <c r="G410" i="61"/>
  <c r="H410" i="61"/>
  <c r="Q410" i="61"/>
  <c r="S410" i="61" s="1"/>
  <c r="B389" i="61" l="1"/>
  <c r="T410" i="61"/>
  <c r="U410" i="61" s="1"/>
  <c r="P412" i="61"/>
  <c r="R412" i="61" s="1"/>
  <c r="E412" i="61"/>
  <c r="F412" i="61" s="1"/>
  <c r="D413" i="61"/>
  <c r="C413" i="61" s="1"/>
  <c r="H411" i="61"/>
  <c r="G411" i="61"/>
  <c r="Q411" i="61"/>
  <c r="S411" i="61" s="1"/>
  <c r="B390" i="61" l="1"/>
  <c r="T411" i="61"/>
  <c r="U411" i="61" s="1"/>
  <c r="P413" i="61"/>
  <c r="R413" i="61" s="1"/>
  <c r="D414" i="61"/>
  <c r="C414" i="61" s="1"/>
  <c r="E413" i="61"/>
  <c r="F413" i="61" s="1"/>
  <c r="G412" i="61"/>
  <c r="H412" i="61"/>
  <c r="Q412" i="61"/>
  <c r="S412" i="61" s="1"/>
  <c r="B391" i="61" l="1"/>
  <c r="T412" i="61"/>
  <c r="U412" i="61" s="1"/>
  <c r="P414" i="61"/>
  <c r="R414" i="61" s="1"/>
  <c r="D415" i="61"/>
  <c r="C415" i="61" s="1"/>
  <c r="E414" i="61"/>
  <c r="F414" i="61" s="1"/>
  <c r="Q413" i="61"/>
  <c r="S413" i="61" s="1"/>
  <c r="G413" i="61"/>
  <c r="H413" i="61"/>
  <c r="B392" i="61" l="1"/>
  <c r="T413" i="61"/>
  <c r="U413" i="61" s="1"/>
  <c r="H414" i="61"/>
  <c r="G414" i="61"/>
  <c r="P415" i="61"/>
  <c r="R415" i="61" s="1"/>
  <c r="E415" i="61"/>
  <c r="F415" i="61" s="1"/>
  <c r="D416" i="61"/>
  <c r="C416" i="61" s="1"/>
  <c r="Q414" i="61"/>
  <c r="S414" i="61" s="1"/>
  <c r="B393" i="61" l="1"/>
  <c r="T414" i="61"/>
  <c r="U414" i="61" s="1"/>
  <c r="G415" i="61"/>
  <c r="H415" i="61"/>
  <c r="Q415" i="61"/>
  <c r="S415" i="61" s="1"/>
  <c r="P416" i="61"/>
  <c r="R416" i="61" s="1"/>
  <c r="E416" i="61"/>
  <c r="F416" i="61" s="1"/>
  <c r="D417" i="61"/>
  <c r="C417" i="61" s="1"/>
  <c r="B394" i="61" l="1"/>
  <c r="T415" i="61"/>
  <c r="U415" i="61" s="1"/>
  <c r="P417" i="61"/>
  <c r="R417" i="61" s="1"/>
  <c r="D418" i="61"/>
  <c r="C418" i="61" s="1"/>
  <c r="E417" i="61"/>
  <c r="F417" i="61" s="1"/>
  <c r="H416" i="61"/>
  <c r="G416" i="61"/>
  <c r="Q416" i="61"/>
  <c r="S416" i="61" s="1"/>
  <c r="B395" i="61" l="1"/>
  <c r="T416" i="61"/>
  <c r="U416" i="61" s="1"/>
  <c r="H417" i="61"/>
  <c r="G417" i="61"/>
  <c r="Q417" i="61"/>
  <c r="S417" i="61" s="1"/>
  <c r="P418" i="61"/>
  <c r="R418" i="61" s="1"/>
  <c r="D419" i="61"/>
  <c r="C419" i="61" s="1"/>
  <c r="E418" i="61"/>
  <c r="F418" i="61" s="1"/>
  <c r="B396" i="61" l="1"/>
  <c r="T417" i="61"/>
  <c r="U417" i="61" s="1"/>
  <c r="G418" i="61"/>
  <c r="H418" i="61"/>
  <c r="P419" i="61"/>
  <c r="R419" i="61" s="1"/>
  <c r="E419" i="61"/>
  <c r="F419" i="61" s="1"/>
  <c r="D420" i="61"/>
  <c r="C420" i="61" s="1"/>
  <c r="Q418" i="61"/>
  <c r="S418" i="61" s="1"/>
  <c r="B397" i="61" l="1"/>
  <c r="T418" i="61"/>
  <c r="U418" i="61" s="1"/>
  <c r="G419" i="61"/>
  <c r="H419" i="61"/>
  <c r="Q419" i="61"/>
  <c r="S419" i="61" s="1"/>
  <c r="P420" i="61"/>
  <c r="R420" i="61" s="1"/>
  <c r="D421" i="61"/>
  <c r="C421" i="61" s="1"/>
  <c r="E420" i="61"/>
  <c r="F420" i="61" s="1"/>
  <c r="B398" i="61" l="1"/>
  <c r="T419" i="61"/>
  <c r="U419" i="61" s="1"/>
  <c r="H420" i="61"/>
  <c r="G420" i="61"/>
  <c r="P421" i="61"/>
  <c r="R421" i="61" s="1"/>
  <c r="D422" i="61"/>
  <c r="C422" i="61" s="1"/>
  <c r="E421" i="61"/>
  <c r="F421" i="61" s="1"/>
  <c r="Q420" i="61"/>
  <c r="S420" i="61" s="1"/>
  <c r="B399" i="61" l="1"/>
  <c r="P422" i="61"/>
  <c r="R422" i="61" s="1"/>
  <c r="D423" i="61"/>
  <c r="C423" i="61" s="1"/>
  <c r="E422" i="61"/>
  <c r="F422" i="61" s="1"/>
  <c r="T420" i="61"/>
  <c r="U420" i="61" s="1"/>
  <c r="Q421" i="61"/>
  <c r="S421" i="61" s="1"/>
  <c r="H421" i="61"/>
  <c r="G421" i="61"/>
  <c r="B400" i="61" l="1"/>
  <c r="T421" i="61"/>
  <c r="U421" i="61" s="1"/>
  <c r="P423" i="61"/>
  <c r="R423" i="61" s="1"/>
  <c r="D424" i="61"/>
  <c r="C424" i="61" s="1"/>
  <c r="E423" i="61"/>
  <c r="F423" i="61" s="1"/>
  <c r="H422" i="61"/>
  <c r="G422" i="61"/>
  <c r="Q422" i="61"/>
  <c r="S422" i="61" s="1"/>
  <c r="B401" i="61" l="1"/>
  <c r="G423" i="61"/>
  <c r="H423" i="61"/>
  <c r="T422" i="61"/>
  <c r="U422" i="61" s="1"/>
  <c r="P424" i="61"/>
  <c r="R424" i="61" s="1"/>
  <c r="D425" i="61"/>
  <c r="C425" i="61" s="1"/>
  <c r="E424" i="61"/>
  <c r="F424" i="61" s="1"/>
  <c r="Q423" i="61"/>
  <c r="S423" i="61" s="1"/>
  <c r="B402" i="61" l="1"/>
  <c r="T423" i="61"/>
  <c r="U423" i="61" s="1"/>
  <c r="Q424" i="61"/>
  <c r="S424" i="61" s="1"/>
  <c r="G424" i="61"/>
  <c r="H424" i="61"/>
  <c r="P425" i="61"/>
  <c r="R425" i="61" s="1"/>
  <c r="D426" i="61"/>
  <c r="C426" i="61" s="1"/>
  <c r="E425" i="61"/>
  <c r="F425" i="61" s="1"/>
  <c r="B403" i="61" l="1"/>
  <c r="T424" i="61"/>
  <c r="U424" i="61" s="1"/>
  <c r="P426" i="61"/>
  <c r="R426" i="61" s="1"/>
  <c r="D427" i="61"/>
  <c r="C427" i="61" s="1"/>
  <c r="E426" i="61"/>
  <c r="F426" i="61" s="1"/>
  <c r="G425" i="61"/>
  <c r="H425" i="61"/>
  <c r="Q425" i="61"/>
  <c r="S425" i="61" s="1"/>
  <c r="B404" i="61" l="1"/>
  <c r="T425" i="61"/>
  <c r="U425" i="61" s="1"/>
  <c r="H426" i="61"/>
  <c r="G426" i="61"/>
  <c r="P427" i="61"/>
  <c r="R427" i="61" s="1"/>
  <c r="D428" i="61"/>
  <c r="C428" i="61" s="1"/>
  <c r="E427" i="61"/>
  <c r="F427" i="61" s="1"/>
  <c r="Q426" i="61"/>
  <c r="S426" i="61" s="1"/>
  <c r="B405" i="61" l="1"/>
  <c r="T426" i="61"/>
  <c r="U426" i="61" s="1"/>
  <c r="H427" i="61"/>
  <c r="G427" i="61"/>
  <c r="Q427" i="61"/>
  <c r="S427" i="61" s="1"/>
  <c r="P428" i="61"/>
  <c r="R428" i="61" s="1"/>
  <c r="D429" i="61"/>
  <c r="C429" i="61" s="1"/>
  <c r="E428" i="61"/>
  <c r="F428" i="61" s="1"/>
  <c r="B406" i="61" l="1"/>
  <c r="P429" i="61"/>
  <c r="R429" i="61" s="1"/>
  <c r="E429" i="61"/>
  <c r="F429" i="61" s="1"/>
  <c r="D430" i="61"/>
  <c r="C430" i="61" s="1"/>
  <c r="G428" i="61"/>
  <c r="H428" i="61"/>
  <c r="Q428" i="61"/>
  <c r="S428" i="61" s="1"/>
  <c r="T427" i="61"/>
  <c r="U427" i="61" s="1"/>
  <c r="B407" i="61" l="1"/>
  <c r="T428" i="61"/>
  <c r="U428" i="61" s="1"/>
  <c r="P430" i="61"/>
  <c r="R430" i="61" s="1"/>
  <c r="E430" i="61"/>
  <c r="F430" i="61" s="1"/>
  <c r="D431" i="61"/>
  <c r="C431" i="61" s="1"/>
  <c r="G429" i="61"/>
  <c r="H429" i="61"/>
  <c r="Q429" i="61"/>
  <c r="S429" i="61" s="1"/>
  <c r="B408" i="61" l="1"/>
  <c r="T429" i="61"/>
  <c r="U429" i="61" s="1"/>
  <c r="G430" i="61"/>
  <c r="H430" i="61"/>
  <c r="P431" i="61"/>
  <c r="R431" i="61" s="1"/>
  <c r="D432" i="61"/>
  <c r="C432" i="61" s="1"/>
  <c r="E431" i="61"/>
  <c r="F431" i="61" s="1"/>
  <c r="Q430" i="61"/>
  <c r="S430" i="61" s="1"/>
  <c r="B409" i="61" l="1"/>
  <c r="T430" i="61"/>
  <c r="U430" i="61" s="1"/>
  <c r="Q431" i="61"/>
  <c r="S431" i="61" s="1"/>
  <c r="P432" i="61"/>
  <c r="R432" i="61" s="1"/>
  <c r="D433" i="61"/>
  <c r="C433" i="61" s="1"/>
  <c r="E432" i="61"/>
  <c r="F432" i="61" s="1"/>
  <c r="H431" i="61"/>
  <c r="G431" i="61"/>
  <c r="B410" i="61" l="1"/>
  <c r="T431" i="61"/>
  <c r="U431" i="61" s="1"/>
  <c r="P433" i="61"/>
  <c r="R433" i="61" s="1"/>
  <c r="D434" i="61"/>
  <c r="C434" i="61" s="1"/>
  <c r="E433" i="61"/>
  <c r="F433" i="61" s="1"/>
  <c r="Q432" i="61"/>
  <c r="S432" i="61" s="1"/>
  <c r="G432" i="61"/>
  <c r="H432" i="61"/>
  <c r="B411" i="61" l="1"/>
  <c r="T432" i="61"/>
  <c r="U432" i="61" s="1"/>
  <c r="G433" i="61"/>
  <c r="H433" i="61"/>
  <c r="P434" i="61"/>
  <c r="R434" i="61" s="1"/>
  <c r="D435" i="61"/>
  <c r="C435" i="61" s="1"/>
  <c r="E434" i="61"/>
  <c r="F434" i="61" s="1"/>
  <c r="Q433" i="61"/>
  <c r="S433" i="61" s="1"/>
  <c r="B412" i="61" l="1"/>
  <c r="T433" i="61"/>
  <c r="U433" i="61" s="1"/>
  <c r="Q434" i="61"/>
  <c r="S434" i="61" s="1"/>
  <c r="P435" i="61"/>
  <c r="R435" i="61" s="1"/>
  <c r="E435" i="61"/>
  <c r="F435" i="61" s="1"/>
  <c r="D436" i="61"/>
  <c r="C436" i="61" s="1"/>
  <c r="H434" i="61"/>
  <c r="G434" i="61"/>
  <c r="B413" i="61" l="1"/>
  <c r="T434" i="61"/>
  <c r="U434" i="61" s="1"/>
  <c r="Q435" i="61"/>
  <c r="S435" i="61" s="1"/>
  <c r="P436" i="61"/>
  <c r="R436" i="61" s="1"/>
  <c r="D437" i="61"/>
  <c r="C437" i="61" s="1"/>
  <c r="E436" i="61"/>
  <c r="F436" i="61" s="1"/>
  <c r="G435" i="61"/>
  <c r="H435" i="61"/>
  <c r="B414" i="61" l="1"/>
  <c r="T435" i="61"/>
  <c r="U435" i="61" s="1"/>
  <c r="P437" i="61"/>
  <c r="R437" i="61" s="1"/>
  <c r="D438" i="61"/>
  <c r="C438" i="61" s="1"/>
  <c r="E437" i="61"/>
  <c r="F437" i="61" s="1"/>
  <c r="Q436" i="61"/>
  <c r="S436" i="61" s="1"/>
  <c r="G436" i="61"/>
  <c r="H436" i="61"/>
  <c r="B415" i="61" l="1"/>
  <c r="G437" i="61"/>
  <c r="H437" i="61"/>
  <c r="P438" i="61"/>
  <c r="R438" i="61" s="1"/>
  <c r="E438" i="61"/>
  <c r="F438" i="61" s="1"/>
  <c r="D439" i="61"/>
  <c r="C439" i="61" s="1"/>
  <c r="T436" i="61"/>
  <c r="U436" i="61" s="1"/>
  <c r="Q437" i="61"/>
  <c r="S437" i="61" s="1"/>
  <c r="B416" i="61" l="1"/>
  <c r="T437" i="61"/>
  <c r="U437" i="61" s="1"/>
  <c r="Q438" i="61"/>
  <c r="S438" i="61" s="1"/>
  <c r="G438" i="61"/>
  <c r="H438" i="61"/>
  <c r="P439" i="61"/>
  <c r="R439" i="61" s="1"/>
  <c r="E439" i="61"/>
  <c r="F439" i="61" s="1"/>
  <c r="D440" i="61"/>
  <c r="C440" i="61" s="1"/>
  <c r="B417" i="61" l="1"/>
  <c r="T438" i="61"/>
  <c r="U438" i="61" s="1"/>
  <c r="P440" i="61"/>
  <c r="R440" i="61" s="1"/>
  <c r="D441" i="61"/>
  <c r="C441" i="61" s="1"/>
  <c r="E440" i="61"/>
  <c r="F440" i="61" s="1"/>
  <c r="G439" i="61"/>
  <c r="H439" i="61"/>
  <c r="Q439" i="61"/>
  <c r="S439" i="61" s="1"/>
  <c r="B418" i="61" l="1"/>
  <c r="T439" i="61"/>
  <c r="U439" i="61" s="1"/>
  <c r="H440" i="61"/>
  <c r="G440" i="61"/>
  <c r="P441" i="61"/>
  <c r="R441" i="61" s="1"/>
  <c r="E441" i="61"/>
  <c r="F441" i="61" s="1"/>
  <c r="D442" i="61"/>
  <c r="C442" i="61" s="1"/>
  <c r="Q440" i="61"/>
  <c r="S440" i="61" s="1"/>
  <c r="B419" i="61" l="1"/>
  <c r="H441" i="61"/>
  <c r="G441" i="61"/>
  <c r="T440" i="61"/>
  <c r="U440" i="61" s="1"/>
  <c r="Q441" i="61"/>
  <c r="S441" i="61" s="1"/>
  <c r="P442" i="61"/>
  <c r="R442" i="61" s="1"/>
  <c r="E442" i="61"/>
  <c r="F442" i="61" s="1"/>
  <c r="D443" i="61"/>
  <c r="C443" i="61" s="1"/>
  <c r="B420" i="61" l="1"/>
  <c r="T441" i="61"/>
  <c r="U441" i="61" s="1"/>
  <c r="P443" i="61"/>
  <c r="R443" i="61" s="1"/>
  <c r="E443" i="61"/>
  <c r="F443" i="61" s="1"/>
  <c r="D444" i="61"/>
  <c r="C444" i="61" s="1"/>
  <c r="Q442" i="61"/>
  <c r="S442" i="61" s="1"/>
  <c r="H442" i="61"/>
  <c r="G442" i="61"/>
  <c r="B421" i="61" l="1"/>
  <c r="T442" i="61"/>
  <c r="U442" i="61" s="1"/>
  <c r="P444" i="61"/>
  <c r="R444" i="61" s="1"/>
  <c r="E444" i="61"/>
  <c r="F444" i="61" s="1"/>
  <c r="D445" i="61"/>
  <c r="C445" i="61" s="1"/>
  <c r="H443" i="61"/>
  <c r="G443" i="61"/>
  <c r="Q443" i="61"/>
  <c r="S443" i="61" s="1"/>
  <c r="B422" i="61" l="1"/>
  <c r="T443" i="61"/>
  <c r="U443" i="61" s="1"/>
  <c r="P445" i="61"/>
  <c r="R445" i="61" s="1"/>
  <c r="D446" i="61"/>
  <c r="C446" i="61" s="1"/>
  <c r="E445" i="61"/>
  <c r="F445" i="61" s="1"/>
  <c r="H444" i="61"/>
  <c r="G444" i="61"/>
  <c r="Q444" i="61"/>
  <c r="S444" i="61" s="1"/>
  <c r="B423" i="61" l="1"/>
  <c r="T444" i="61"/>
  <c r="U444" i="61" s="1"/>
  <c r="H445" i="61"/>
  <c r="G445" i="61"/>
  <c r="P446" i="61"/>
  <c r="R446" i="61" s="1"/>
  <c r="E446" i="61"/>
  <c r="F446" i="61" s="1"/>
  <c r="D447" i="61"/>
  <c r="C447" i="61" s="1"/>
  <c r="Q445" i="61"/>
  <c r="S445" i="61" s="1"/>
  <c r="B424" i="61" l="1"/>
  <c r="T445" i="61"/>
  <c r="U445" i="61" s="1"/>
  <c r="H446" i="61"/>
  <c r="G446" i="61"/>
  <c r="Q446" i="61"/>
  <c r="S446" i="61" s="1"/>
  <c r="P447" i="61"/>
  <c r="R447" i="61" s="1"/>
  <c r="E447" i="61"/>
  <c r="F447" i="61" s="1"/>
  <c r="D448" i="61"/>
  <c r="C448" i="61" s="1"/>
  <c r="B425" i="61" l="1"/>
  <c r="T446" i="61"/>
  <c r="U446" i="61" s="1"/>
  <c r="H447" i="61"/>
  <c r="G447" i="61"/>
  <c r="P448" i="61"/>
  <c r="R448" i="61" s="1"/>
  <c r="D449" i="61"/>
  <c r="C449" i="61" s="1"/>
  <c r="E448" i="61"/>
  <c r="F448" i="61" s="1"/>
  <c r="Q447" i="61"/>
  <c r="S447" i="61" s="1"/>
  <c r="B426" i="61" l="1"/>
  <c r="T447" i="61"/>
  <c r="U447" i="61" s="1"/>
  <c r="Q448" i="61"/>
  <c r="S448" i="61" s="1"/>
  <c r="H448" i="61"/>
  <c r="G448" i="61"/>
  <c r="P449" i="61"/>
  <c r="R449" i="61" s="1"/>
  <c r="E449" i="61"/>
  <c r="F449" i="61" s="1"/>
  <c r="D450" i="61"/>
  <c r="C450" i="61" s="1"/>
  <c r="B427" i="61" l="1"/>
  <c r="H449" i="61"/>
  <c r="G449" i="61"/>
  <c r="Q449" i="61"/>
  <c r="S449" i="61" s="1"/>
  <c r="P450" i="61"/>
  <c r="R450" i="61" s="1"/>
  <c r="E450" i="61"/>
  <c r="F450" i="61" s="1"/>
  <c r="D451" i="61"/>
  <c r="C451" i="61" s="1"/>
  <c r="T448" i="61"/>
  <c r="U448" i="61" s="1"/>
  <c r="B428" i="61" l="1"/>
  <c r="T449" i="61"/>
  <c r="U449" i="61" s="1"/>
  <c r="H450" i="61"/>
  <c r="G450" i="61"/>
  <c r="P451" i="61"/>
  <c r="R451" i="61" s="1"/>
  <c r="D452" i="61"/>
  <c r="C452" i="61" s="1"/>
  <c r="E451" i="61"/>
  <c r="F451" i="61" s="1"/>
  <c r="Q450" i="61"/>
  <c r="S450" i="61" s="1"/>
  <c r="B429" i="61" l="1"/>
  <c r="T450" i="61"/>
  <c r="U450" i="61" s="1"/>
  <c r="Q451" i="61"/>
  <c r="S451" i="61" s="1"/>
  <c r="H451" i="61"/>
  <c r="G451" i="61"/>
  <c r="P452" i="61"/>
  <c r="R452" i="61" s="1"/>
  <c r="D453" i="61"/>
  <c r="C453" i="61" s="1"/>
  <c r="E452" i="61"/>
  <c r="F452" i="61" s="1"/>
  <c r="B430" i="61" l="1"/>
  <c r="T451" i="61"/>
  <c r="U451" i="61" s="1"/>
  <c r="H452" i="61"/>
  <c r="G452" i="61"/>
  <c r="P453" i="61"/>
  <c r="R453" i="61" s="1"/>
  <c r="E453" i="61"/>
  <c r="F453" i="61" s="1"/>
  <c r="D454" i="61"/>
  <c r="C454" i="61" s="1"/>
  <c r="Q452" i="61"/>
  <c r="S452" i="61" s="1"/>
  <c r="B431" i="61" l="1"/>
  <c r="T452" i="61"/>
  <c r="U452" i="61" s="1"/>
  <c r="Q453" i="61"/>
  <c r="S453" i="61" s="1"/>
  <c r="H453" i="61"/>
  <c r="G453" i="61"/>
  <c r="P454" i="61"/>
  <c r="R454" i="61" s="1"/>
  <c r="E454" i="61"/>
  <c r="F454" i="61" s="1"/>
  <c r="D455" i="61"/>
  <c r="D461" i="61" s="1"/>
  <c r="C461" i="61" l="1"/>
  <c r="C455" i="61"/>
  <c r="P461" i="61"/>
  <c r="E461" i="61"/>
  <c r="F461" i="61" s="1"/>
  <c r="D462" i="61"/>
  <c r="C462" i="61" s="1"/>
  <c r="B432" i="61"/>
  <c r="T453" i="61"/>
  <c r="U453" i="61" s="1"/>
  <c r="G454" i="61"/>
  <c r="H454" i="61"/>
  <c r="Q454" i="61"/>
  <c r="S454" i="61" s="1"/>
  <c r="P455" i="61"/>
  <c r="R455" i="61" s="1"/>
  <c r="E455" i="61"/>
  <c r="F455" i="61" s="1"/>
  <c r="D456" i="61"/>
  <c r="C456" i="61" s="1"/>
  <c r="E462" i="61" l="1"/>
  <c r="F462" i="61" s="1"/>
  <c r="D463" i="61"/>
  <c r="C463" i="61" s="1"/>
  <c r="P462" i="61"/>
  <c r="G461" i="61"/>
  <c r="H461" i="61"/>
  <c r="R461" i="61"/>
  <c r="Q461" i="61"/>
  <c r="S461" i="61" s="1"/>
  <c r="B433" i="61"/>
  <c r="T454" i="61"/>
  <c r="U454" i="61" s="1"/>
  <c r="P456" i="61"/>
  <c r="R456" i="61" s="1"/>
  <c r="D457" i="61"/>
  <c r="C457" i="61" s="1"/>
  <c r="E456" i="61"/>
  <c r="F456" i="61" s="1"/>
  <c r="H455" i="61"/>
  <c r="G455" i="61"/>
  <c r="Q455" i="61"/>
  <c r="S455" i="61" s="1"/>
  <c r="T461" i="61" l="1"/>
  <c r="U461" i="61" s="1"/>
  <c r="Q462" i="61"/>
  <c r="S462" i="61" s="1"/>
  <c r="R462" i="61"/>
  <c r="D464" i="61"/>
  <c r="C464" i="61" s="1"/>
  <c r="P463" i="61"/>
  <c r="E463" i="61"/>
  <c r="F463" i="61" s="1"/>
  <c r="G462" i="61"/>
  <c r="H462" i="61"/>
  <c r="B434" i="61"/>
  <c r="T455" i="61"/>
  <c r="U455" i="61" s="1"/>
  <c r="H456" i="61"/>
  <c r="G456" i="61"/>
  <c r="P457" i="61"/>
  <c r="R457" i="61" s="1"/>
  <c r="D458" i="61"/>
  <c r="C458" i="61" s="1"/>
  <c r="E457" i="61"/>
  <c r="F457" i="61" s="1"/>
  <c r="Q456" i="61"/>
  <c r="S456" i="61" s="1"/>
  <c r="Q463" i="61" l="1"/>
  <c r="S463" i="61" s="1"/>
  <c r="R463" i="61"/>
  <c r="D465" i="61"/>
  <c r="C465" i="61" s="1"/>
  <c r="P464" i="61"/>
  <c r="E464" i="61"/>
  <c r="F464" i="61" s="1"/>
  <c r="H463" i="61"/>
  <c r="G463" i="61"/>
  <c r="T462" i="61"/>
  <c r="U462" i="61" s="1"/>
  <c r="B435" i="61"/>
  <c r="T456" i="61"/>
  <c r="U456" i="61" s="1"/>
  <c r="P458" i="61"/>
  <c r="R458" i="61" s="1"/>
  <c r="E458" i="61"/>
  <c r="F458" i="61" s="1"/>
  <c r="D459" i="61"/>
  <c r="C459" i="61" s="1"/>
  <c r="H457" i="61"/>
  <c r="G457" i="61"/>
  <c r="Q457" i="61"/>
  <c r="S457" i="61" s="1"/>
  <c r="T463" i="61" l="1"/>
  <c r="U463" i="61" s="1"/>
  <c r="R464" i="61"/>
  <c r="Q464" i="61"/>
  <c r="S464" i="61" s="1"/>
  <c r="D466" i="61"/>
  <c r="C466" i="61" s="1"/>
  <c r="P465" i="61"/>
  <c r="E465" i="61"/>
  <c r="F465" i="61" s="1"/>
  <c r="G464" i="61"/>
  <c r="H464" i="61"/>
  <c r="B436" i="61"/>
  <c r="T457" i="61"/>
  <c r="U457" i="61" s="1"/>
  <c r="Q458" i="61"/>
  <c r="S458" i="61" s="1"/>
  <c r="P459" i="61"/>
  <c r="R459" i="61" s="1"/>
  <c r="D460" i="61"/>
  <c r="C460" i="61" s="1"/>
  <c r="E459" i="61"/>
  <c r="F459" i="61" s="1"/>
  <c r="H458" i="61"/>
  <c r="G458" i="61"/>
  <c r="T464" i="61" l="1"/>
  <c r="U464" i="61" s="1"/>
  <c r="R465" i="61"/>
  <c r="Q465" i="61"/>
  <c r="S465" i="61" s="1"/>
  <c r="E466" i="61"/>
  <c r="F466" i="61" s="1"/>
  <c r="P466" i="61"/>
  <c r="D467" i="61"/>
  <c r="C467" i="61" s="1"/>
  <c r="G465" i="61"/>
  <c r="H465" i="61"/>
  <c r="B437" i="61"/>
  <c r="H459" i="61"/>
  <c r="G459" i="61"/>
  <c r="T458" i="61"/>
  <c r="U458" i="61" s="1"/>
  <c r="E460" i="61"/>
  <c r="F460" i="61" s="1"/>
  <c r="P460" i="61"/>
  <c r="R460" i="61" s="1"/>
  <c r="Q459" i="61"/>
  <c r="S459" i="61" s="1"/>
  <c r="T465" i="61" l="1"/>
  <c r="U465" i="61" s="1"/>
  <c r="R466" i="61"/>
  <c r="Q466" i="61"/>
  <c r="S466" i="61" s="1"/>
  <c r="H466" i="61"/>
  <c r="G466" i="61"/>
  <c r="E467" i="61"/>
  <c r="F467" i="61" s="1"/>
  <c r="D468" i="61"/>
  <c r="C468" i="61" s="1"/>
  <c r="P467" i="61"/>
  <c r="B438" i="61"/>
  <c r="T459" i="61"/>
  <c r="U459" i="61" s="1"/>
  <c r="H460" i="61"/>
  <c r="G460" i="61"/>
  <c r="Q460" i="61"/>
  <c r="S460" i="61" s="1"/>
  <c r="T466" i="61" l="1"/>
  <c r="U466" i="61" s="1"/>
  <c r="Q467" i="61"/>
  <c r="S467" i="61" s="1"/>
  <c r="R467" i="61"/>
  <c r="E468" i="61"/>
  <c r="F468" i="61" s="1"/>
  <c r="D469" i="61"/>
  <c r="C469" i="61" s="1"/>
  <c r="P468" i="61"/>
  <c r="H467" i="61"/>
  <c r="G467" i="61"/>
  <c r="B439" i="61"/>
  <c r="T460" i="61"/>
  <c r="U460" i="61" s="1"/>
  <c r="R468" i="61" l="1"/>
  <c r="Q468" i="61"/>
  <c r="S468" i="61" s="1"/>
  <c r="P469" i="61"/>
  <c r="E469" i="61"/>
  <c r="F469" i="61" s="1"/>
  <c r="D470" i="61"/>
  <c r="C470" i="61" s="1"/>
  <c r="H468" i="61"/>
  <c r="G468" i="61"/>
  <c r="T467" i="61"/>
  <c r="U467" i="61" s="1"/>
  <c r="B440" i="61"/>
  <c r="T468" i="61" l="1"/>
  <c r="U468" i="61" s="1"/>
  <c r="H469" i="61"/>
  <c r="G469" i="61"/>
  <c r="R469" i="61"/>
  <c r="Q469" i="61"/>
  <c r="S469" i="61" s="1"/>
  <c r="D471" i="61"/>
  <c r="C471" i="61" s="1"/>
  <c r="E470" i="61"/>
  <c r="F470" i="61" s="1"/>
  <c r="P470" i="61"/>
  <c r="B441" i="61"/>
  <c r="T469" i="61" l="1"/>
  <c r="U469" i="61" s="1"/>
  <c r="R470" i="61"/>
  <c r="Q470" i="61"/>
  <c r="S470" i="61" s="1"/>
  <c r="G470" i="61"/>
  <c r="H470" i="61"/>
  <c r="E471" i="61"/>
  <c r="F471" i="61" s="1"/>
  <c r="P471" i="61"/>
  <c r="D472" i="61"/>
  <c r="C472" i="61" s="1"/>
  <c r="B442" i="61"/>
  <c r="T470" i="61" l="1"/>
  <c r="U470" i="61" s="1"/>
  <c r="H471" i="61"/>
  <c r="G471" i="61"/>
  <c r="D473" i="61"/>
  <c r="C473" i="61" s="1"/>
  <c r="P472" i="61"/>
  <c r="E472" i="61"/>
  <c r="F472" i="61" s="1"/>
  <c r="Q471" i="61"/>
  <c r="S471" i="61" s="1"/>
  <c r="R471" i="61"/>
  <c r="B443" i="61"/>
  <c r="T471" i="61" l="1"/>
  <c r="U471" i="61" s="1"/>
  <c r="D474" i="61"/>
  <c r="C474" i="61" s="1"/>
  <c r="P473" i="61"/>
  <c r="E473" i="61"/>
  <c r="F473" i="61" s="1"/>
  <c r="Q472" i="61"/>
  <c r="S472" i="61" s="1"/>
  <c r="R472" i="61"/>
  <c r="H472" i="61"/>
  <c r="G472" i="61"/>
  <c r="B444" i="61"/>
  <c r="T472" i="61" l="1"/>
  <c r="U472" i="61" s="1"/>
  <c r="H473" i="61"/>
  <c r="G473" i="61"/>
  <c r="R473" i="61"/>
  <c r="Q473" i="61"/>
  <c r="S473" i="61" s="1"/>
  <c r="E474" i="61"/>
  <c r="F474" i="61" s="1"/>
  <c r="P474" i="61"/>
  <c r="D475" i="61"/>
  <c r="C475" i="61" s="1"/>
  <c r="B445" i="61"/>
  <c r="T473" i="61" l="1"/>
  <c r="U473" i="61" s="1"/>
  <c r="E475" i="61"/>
  <c r="F475" i="61" s="1"/>
  <c r="D476" i="61"/>
  <c r="C476" i="61" s="1"/>
  <c r="P475" i="61"/>
  <c r="Q474" i="61"/>
  <c r="S474" i="61" s="1"/>
  <c r="R474" i="61"/>
  <c r="G474" i="61"/>
  <c r="H474" i="61"/>
  <c r="B446" i="61"/>
  <c r="T474" i="61" l="1"/>
  <c r="U474" i="61" s="1"/>
  <c r="R475" i="61"/>
  <c r="Q475" i="61"/>
  <c r="S475" i="61" s="1"/>
  <c r="E476" i="61"/>
  <c r="F476" i="61" s="1"/>
  <c r="P476" i="61"/>
  <c r="D477" i="61"/>
  <c r="C477" i="61" s="1"/>
  <c r="G475" i="61"/>
  <c r="H475" i="61"/>
  <c r="B447" i="61"/>
  <c r="T475" i="61" l="1"/>
  <c r="U475" i="61" s="1"/>
  <c r="R476" i="61"/>
  <c r="Q476" i="61"/>
  <c r="S476" i="61" s="1"/>
  <c r="G476" i="61"/>
  <c r="H476" i="61"/>
  <c r="E477" i="61"/>
  <c r="F477" i="61" s="1"/>
  <c r="D478" i="61"/>
  <c r="C478" i="61" s="1"/>
  <c r="P477" i="61"/>
  <c r="B448" i="61"/>
  <c r="T476" i="61" l="1"/>
  <c r="U476" i="61" s="1"/>
  <c r="E478" i="61"/>
  <c r="F478" i="61" s="1"/>
  <c r="D479" i="61"/>
  <c r="C479" i="61" s="1"/>
  <c r="P478" i="61"/>
  <c r="Q477" i="61"/>
  <c r="S477" i="61" s="1"/>
  <c r="R477" i="61"/>
  <c r="G477" i="61"/>
  <c r="H477" i="61"/>
  <c r="B449" i="61"/>
  <c r="T477" i="61" l="1"/>
  <c r="U477" i="61" s="1"/>
  <c r="R478" i="61"/>
  <c r="Q478" i="61"/>
  <c r="S478" i="61" s="1"/>
  <c r="E479" i="61"/>
  <c r="F479" i="61" s="1"/>
  <c r="D480" i="61"/>
  <c r="C480" i="61" s="1"/>
  <c r="P479" i="61"/>
  <c r="G478" i="61"/>
  <c r="H478" i="61"/>
  <c r="B450" i="61"/>
  <c r="T478" i="61" l="1"/>
  <c r="U478" i="61" s="1"/>
  <c r="E480" i="61"/>
  <c r="F480" i="61" s="1"/>
  <c r="P480" i="61"/>
  <c r="D481" i="61"/>
  <c r="C481" i="61" s="1"/>
  <c r="H479" i="61"/>
  <c r="G479" i="61"/>
  <c r="R479" i="61"/>
  <c r="Q479" i="61"/>
  <c r="S479" i="61" s="1"/>
  <c r="B451" i="61"/>
  <c r="T479" i="61" l="1"/>
  <c r="U479" i="61" s="1"/>
  <c r="D482" i="61"/>
  <c r="C482" i="61" s="1"/>
  <c r="P481" i="61"/>
  <c r="E481" i="61"/>
  <c r="F481" i="61" s="1"/>
  <c r="R480" i="61"/>
  <c r="Q480" i="61"/>
  <c r="S480" i="61" s="1"/>
  <c r="H480" i="61"/>
  <c r="G480" i="61"/>
  <c r="B452" i="61"/>
  <c r="T480" i="61" l="1"/>
  <c r="U480" i="61" s="1"/>
  <c r="H481" i="61"/>
  <c r="G481" i="61"/>
  <c r="R481" i="61"/>
  <c r="Q481" i="61"/>
  <c r="S481" i="61" s="1"/>
  <c r="P482" i="61"/>
  <c r="D483" i="61"/>
  <c r="C483" i="61" s="1"/>
  <c r="E482" i="61"/>
  <c r="F482" i="61" s="1"/>
  <c r="B453" i="61"/>
  <c r="T481" i="61" l="1"/>
  <c r="U481" i="61" s="1"/>
  <c r="E483" i="61"/>
  <c r="F483" i="61" s="1"/>
  <c r="D484" i="61"/>
  <c r="C484" i="61" s="1"/>
  <c r="P483" i="61"/>
  <c r="G482" i="61"/>
  <c r="H482" i="61"/>
  <c r="R482" i="61"/>
  <c r="Q482" i="61"/>
  <c r="S482" i="61" s="1"/>
  <c r="B454" i="61"/>
  <c r="T482" i="61" l="1"/>
  <c r="U482" i="61" s="1"/>
  <c r="R483" i="61"/>
  <c r="Q483" i="61"/>
  <c r="S483" i="61" s="1"/>
  <c r="E484" i="61"/>
  <c r="F484" i="61" s="1"/>
  <c r="P484" i="61"/>
  <c r="D485" i="61"/>
  <c r="C485" i="61" s="1"/>
  <c r="G483" i="61"/>
  <c r="H483" i="61"/>
  <c r="B455" i="61"/>
  <c r="T483" i="61" l="1"/>
  <c r="U483" i="61" s="1"/>
  <c r="G484" i="61"/>
  <c r="H484" i="61"/>
  <c r="E485" i="61"/>
  <c r="F485" i="61" s="1"/>
  <c r="D486" i="61"/>
  <c r="C486" i="61" s="1"/>
  <c r="P485" i="61"/>
  <c r="R484" i="61"/>
  <c r="Q484" i="61"/>
  <c r="S484" i="61" s="1"/>
  <c r="B456" i="61"/>
  <c r="T484" i="61" l="1"/>
  <c r="U484" i="61" s="1"/>
  <c r="G485" i="61"/>
  <c r="H485" i="61"/>
  <c r="R485" i="61"/>
  <c r="Q485" i="61"/>
  <c r="S485" i="61" s="1"/>
  <c r="E486" i="61"/>
  <c r="F486" i="61" s="1"/>
  <c r="P486" i="61"/>
  <c r="D487" i="61"/>
  <c r="C487" i="61" s="1"/>
  <c r="B457" i="61"/>
  <c r="T485" i="61" l="1"/>
  <c r="U485" i="61" s="1"/>
  <c r="D488" i="61"/>
  <c r="C488" i="61" s="1"/>
  <c r="P487" i="61"/>
  <c r="E487" i="61"/>
  <c r="F487" i="61" s="1"/>
  <c r="R486" i="61"/>
  <c r="Q486" i="61"/>
  <c r="S486" i="61" s="1"/>
  <c r="G486" i="61"/>
  <c r="H486" i="61"/>
  <c r="B458" i="61"/>
  <c r="H487" i="61" l="1"/>
  <c r="G487" i="61"/>
  <c r="Q487" i="61"/>
  <c r="S487" i="61" s="1"/>
  <c r="R487" i="61"/>
  <c r="T486" i="61"/>
  <c r="U486" i="61" s="1"/>
  <c r="E488" i="61"/>
  <c r="F488" i="61" s="1"/>
  <c r="P488" i="61"/>
  <c r="D489" i="61"/>
  <c r="C489" i="61" s="1"/>
  <c r="B459" i="61"/>
  <c r="T487" i="61" l="1"/>
  <c r="U487" i="61" s="1"/>
  <c r="R488" i="61"/>
  <c r="Q488" i="61"/>
  <c r="S488" i="61" s="1"/>
  <c r="E489" i="61"/>
  <c r="F489" i="61" s="1"/>
  <c r="D490" i="61"/>
  <c r="C490" i="61" s="1"/>
  <c r="P489" i="61"/>
  <c r="H488" i="61"/>
  <c r="G488" i="61"/>
  <c r="B460" i="61"/>
  <c r="B461" i="61" s="1"/>
  <c r="B462" i="61" s="1"/>
  <c r="B463" i="61" s="1"/>
  <c r="B464" i="61" s="1"/>
  <c r="B465" i="61" s="1"/>
  <c r="B466" i="61" s="1"/>
  <c r="B467" i="61" s="1"/>
  <c r="B468" i="61" s="1"/>
  <c r="B469" i="61" s="1"/>
  <c r="B470" i="61" s="1"/>
  <c r="B471" i="61" s="1"/>
  <c r="B472" i="61" s="1"/>
  <c r="B473" i="61" s="1"/>
  <c r="B474" i="61" s="1"/>
  <c r="B475" i="61" s="1"/>
  <c r="B476" i="61" s="1"/>
  <c r="B477" i="61" s="1"/>
  <c r="B478" i="61" s="1"/>
  <c r="B479" i="61" s="1"/>
  <c r="B480" i="61" s="1"/>
  <c r="B481" i="61" s="1"/>
  <c r="B482" i="61" s="1"/>
  <c r="B483" i="61" s="1"/>
  <c r="B484" i="61" s="1"/>
  <c r="B485" i="61" s="1"/>
  <c r="B486" i="61" s="1"/>
  <c r="B487" i="61" s="1"/>
  <c r="B488" i="61" s="1"/>
  <c r="B489" i="61" s="1"/>
  <c r="B490" i="61" s="1"/>
  <c r="B491" i="61" s="1"/>
  <c r="B492" i="61" s="1"/>
  <c r="B493" i="61" s="1"/>
  <c r="B494" i="61" s="1"/>
  <c r="B495" i="61" s="1"/>
  <c r="B496" i="61" s="1"/>
  <c r="B497" i="61" s="1"/>
  <c r="B498" i="61" s="1"/>
  <c r="B499" i="61" s="1"/>
  <c r="B500" i="61" s="1"/>
  <c r="B501" i="61" s="1"/>
  <c r="B502" i="61" s="1"/>
  <c r="B503" i="61" s="1"/>
  <c r="B504" i="61" s="1"/>
  <c r="B505" i="61" s="1"/>
  <c r="B506" i="61" s="1"/>
  <c r="B507" i="61" s="1"/>
  <c r="B508" i="61" s="1"/>
  <c r="B509" i="61" s="1"/>
  <c r="B510" i="61" s="1"/>
  <c r="B511" i="61" s="1"/>
  <c r="B512" i="61" s="1"/>
  <c r="B513" i="61" s="1"/>
  <c r="B514" i="61" s="1"/>
  <c r="B515" i="61" s="1"/>
  <c r="B516" i="61" s="1"/>
  <c r="B517" i="61" s="1"/>
  <c r="B518" i="61" s="1"/>
  <c r="B519" i="61" s="1"/>
  <c r="B520" i="61" s="1"/>
  <c r="B521" i="61" s="1"/>
  <c r="B522" i="61" s="1"/>
  <c r="B523" i="61" s="1"/>
  <c r="B524" i="61" s="1"/>
  <c r="B525" i="61" s="1"/>
  <c r="B526" i="61" s="1"/>
  <c r="B527" i="61" s="1"/>
  <c r="B528" i="61" s="1"/>
  <c r="B529" i="61" s="1"/>
  <c r="B530" i="61" s="1"/>
  <c r="B531" i="61" s="1"/>
  <c r="B532" i="61" s="1"/>
  <c r="B533" i="61" s="1"/>
  <c r="B534" i="61" s="1"/>
  <c r="B535" i="61" s="1"/>
  <c r="B536" i="61" s="1"/>
  <c r="B537" i="61" s="1"/>
  <c r="B538" i="61" s="1"/>
  <c r="B539" i="61" s="1"/>
  <c r="B540" i="61" s="1"/>
  <c r="B541" i="61" s="1"/>
  <c r="B542" i="61" s="1"/>
  <c r="B543" i="61" s="1"/>
  <c r="B544" i="61" s="1"/>
  <c r="B545" i="61" s="1"/>
  <c r="B546" i="61" s="1"/>
  <c r="B547" i="61" s="1"/>
  <c r="B548" i="61" s="1"/>
  <c r="B549" i="61" s="1"/>
  <c r="B550" i="61" s="1"/>
  <c r="B551" i="61" s="1"/>
  <c r="B552" i="61" s="1"/>
  <c r="B553" i="61" s="1"/>
  <c r="B554" i="61" s="1"/>
  <c r="B555" i="61" s="1"/>
  <c r="B556" i="61" s="1"/>
  <c r="B557" i="61" s="1"/>
  <c r="B558" i="61" s="1"/>
  <c r="B559" i="61" s="1"/>
  <c r="B560" i="61" s="1"/>
  <c r="B561" i="61" s="1"/>
  <c r="B562" i="61" s="1"/>
  <c r="B563" i="61" s="1"/>
  <c r="B564" i="61" s="1"/>
  <c r="B565" i="61" s="1"/>
  <c r="B566" i="61" s="1"/>
  <c r="B567" i="61" s="1"/>
  <c r="B568" i="61" s="1"/>
  <c r="B569" i="61" s="1"/>
  <c r="B570" i="61" s="1"/>
  <c r="B571" i="61" s="1"/>
  <c r="B572" i="61" s="1"/>
  <c r="B573" i="61" s="1"/>
  <c r="B574" i="61" s="1"/>
  <c r="B575" i="61" s="1"/>
  <c r="B576" i="61" s="1"/>
  <c r="B577" i="61" s="1"/>
  <c r="B578" i="61" s="1"/>
  <c r="B579" i="61" s="1"/>
  <c r="B580" i="61" s="1"/>
  <c r="T488" i="61" l="1"/>
  <c r="U488" i="61" s="1"/>
  <c r="H489" i="61"/>
  <c r="G489" i="61"/>
  <c r="R489" i="61"/>
  <c r="Q489" i="61"/>
  <c r="S489" i="61" s="1"/>
  <c r="E490" i="61"/>
  <c r="F490" i="61" s="1"/>
  <c r="P490" i="61"/>
  <c r="D491" i="61"/>
  <c r="C491" i="61" s="1"/>
  <c r="C28" i="1"/>
  <c r="D155" i="53" l="1"/>
  <c r="D83" i="53"/>
  <c r="R490" i="61"/>
  <c r="Q490" i="61"/>
  <c r="S490" i="61" s="1"/>
  <c r="E491" i="61"/>
  <c r="F491" i="61" s="1"/>
  <c r="D492" i="61"/>
  <c r="C492" i="61" s="1"/>
  <c r="P491" i="61"/>
  <c r="G490" i="61"/>
  <c r="H490" i="61"/>
  <c r="T489" i="61"/>
  <c r="U489" i="61" s="1"/>
  <c r="D11" i="52"/>
  <c r="D11" i="53"/>
  <c r="C134" i="1"/>
  <c r="J25" i="98" l="1"/>
  <c r="J23" i="98"/>
  <c r="J22" i="98"/>
  <c r="J20" i="98"/>
  <c r="J24" i="98"/>
  <c r="N19" i="98"/>
  <c r="N20" i="98" s="1"/>
  <c r="N21" i="98" s="1"/>
  <c r="N22" i="98" s="1"/>
  <c r="N23" i="98" s="1"/>
  <c r="N24" i="98" s="1"/>
  <c r="N25" i="98" s="1"/>
  <c r="N26" i="98" s="1"/>
  <c r="J26" i="98"/>
  <c r="J21" i="98"/>
  <c r="J19" i="98"/>
  <c r="O71" i="94"/>
  <c r="O72" i="94" s="1"/>
  <c r="O73" i="94" s="1"/>
  <c r="O74" i="94" s="1"/>
  <c r="O75" i="94" s="1"/>
  <c r="O76" i="94" s="1"/>
  <c r="O77" i="94" s="1"/>
  <c r="O78" i="94" s="1"/>
  <c r="O79" i="94" s="1"/>
  <c r="O80" i="94" s="1"/>
  <c r="O81" i="94" s="1"/>
  <c r="O82" i="94" s="1"/>
  <c r="O119" i="94"/>
  <c r="O120" i="94" s="1"/>
  <c r="O121" i="94" s="1"/>
  <c r="O122" i="94" s="1"/>
  <c r="O123" i="94" s="1"/>
  <c r="O124" i="94" s="1"/>
  <c r="O125" i="94" s="1"/>
  <c r="O126" i="94" s="1"/>
  <c r="O127" i="94" s="1"/>
  <c r="O128" i="94" s="1"/>
  <c r="O129" i="94" s="1"/>
  <c r="O130" i="94" s="1"/>
  <c r="O143" i="94"/>
  <c r="O144" i="94" s="1"/>
  <c r="O145" i="94" s="1"/>
  <c r="O146" i="94" s="1"/>
  <c r="O147" i="94" s="1"/>
  <c r="O148" i="94" s="1"/>
  <c r="O149" i="94" s="1"/>
  <c r="O150" i="94" s="1"/>
  <c r="O151" i="94" s="1"/>
  <c r="O152" i="94" s="1"/>
  <c r="O153" i="94" s="1"/>
  <c r="O154" i="94" s="1"/>
  <c r="O143" i="48"/>
  <c r="O144" i="48" s="1"/>
  <c r="O145" i="48" s="1"/>
  <c r="O146" i="48" s="1"/>
  <c r="O147" i="48" s="1"/>
  <c r="O148" i="48" s="1"/>
  <c r="O149" i="48" s="1"/>
  <c r="O150" i="48" s="1"/>
  <c r="O151" i="48" s="1"/>
  <c r="O152" i="48" s="1"/>
  <c r="O153" i="48" s="1"/>
  <c r="O154" i="48" s="1"/>
  <c r="O83" i="94"/>
  <c r="O84" i="94" s="1"/>
  <c r="O85" i="94" s="1"/>
  <c r="O86" i="94" s="1"/>
  <c r="O87" i="94" s="1"/>
  <c r="O88" i="94" s="1"/>
  <c r="O89" i="94" s="1"/>
  <c r="O90" i="94" s="1"/>
  <c r="O91" i="94" s="1"/>
  <c r="O92" i="94" s="1"/>
  <c r="O93" i="94" s="1"/>
  <c r="O94" i="94" s="1"/>
  <c r="O131" i="94"/>
  <c r="O132" i="94" s="1"/>
  <c r="O133" i="94" s="1"/>
  <c r="O134" i="94" s="1"/>
  <c r="O135" i="94" s="1"/>
  <c r="O136" i="94" s="1"/>
  <c r="O137" i="94" s="1"/>
  <c r="O138" i="94" s="1"/>
  <c r="O139" i="94" s="1"/>
  <c r="O140" i="94" s="1"/>
  <c r="O141" i="94" s="1"/>
  <c r="O142" i="94" s="1"/>
  <c r="O203" i="92"/>
  <c r="O204" i="92" s="1"/>
  <c r="O205" i="92" s="1"/>
  <c r="O206" i="92" s="1"/>
  <c r="O207" i="92" s="1"/>
  <c r="O208" i="92" s="1"/>
  <c r="O209" i="92" s="1"/>
  <c r="O210" i="92" s="1"/>
  <c r="O211" i="92" s="1"/>
  <c r="O212" i="92" s="1"/>
  <c r="O213" i="92" s="1"/>
  <c r="O214" i="92" s="1"/>
  <c r="O215" i="92" s="1"/>
  <c r="O216" i="92" s="1"/>
  <c r="O217" i="92" s="1"/>
  <c r="O218" i="92" s="1"/>
  <c r="O219" i="92" s="1"/>
  <c r="O220" i="92" s="1"/>
  <c r="O221" i="92" s="1"/>
  <c r="O222" i="92" s="1"/>
  <c r="O223" i="92" s="1"/>
  <c r="O224" i="92" s="1"/>
  <c r="O225" i="92" s="1"/>
  <c r="O226" i="92" s="1"/>
  <c r="O227" i="92" s="1"/>
  <c r="O228" i="92" s="1"/>
  <c r="O229" i="92" s="1"/>
  <c r="O230" i="92" s="1"/>
  <c r="O231" i="92" s="1"/>
  <c r="O232" i="92" s="1"/>
  <c r="O233" i="92" s="1"/>
  <c r="O234" i="92" s="1"/>
  <c r="O235" i="92" s="1"/>
  <c r="O236" i="92" s="1"/>
  <c r="O237" i="92" s="1"/>
  <c r="O238" i="92" s="1"/>
  <c r="O239" i="92" s="1"/>
  <c r="O240" i="92" s="1"/>
  <c r="O241" i="92" s="1"/>
  <c r="O242" i="92" s="1"/>
  <c r="O243" i="92" s="1"/>
  <c r="O244" i="92" s="1"/>
  <c r="O245" i="92" s="1"/>
  <c r="O246" i="92" s="1"/>
  <c r="O247" i="92" s="1"/>
  <c r="O248" i="92" s="1"/>
  <c r="O249" i="92" s="1"/>
  <c r="O250" i="92" s="1"/>
  <c r="O203" i="87"/>
  <c r="O204" i="87" s="1"/>
  <c r="O205" i="87" s="1"/>
  <c r="O206" i="87" s="1"/>
  <c r="O207" i="87" s="1"/>
  <c r="O208" i="87" s="1"/>
  <c r="O209" i="87" s="1"/>
  <c r="O210" i="87" s="1"/>
  <c r="O211" i="87" s="1"/>
  <c r="O212" i="87" s="1"/>
  <c r="O213" i="87" s="1"/>
  <c r="O214" i="87" s="1"/>
  <c r="O215" i="87" s="1"/>
  <c r="O216" i="87" s="1"/>
  <c r="O217" i="87" s="1"/>
  <c r="O218" i="87" s="1"/>
  <c r="O219" i="87" s="1"/>
  <c r="O220" i="87" s="1"/>
  <c r="O221" i="87" s="1"/>
  <c r="O222" i="87" s="1"/>
  <c r="O223" i="87" s="1"/>
  <c r="O224" i="87" s="1"/>
  <c r="O225" i="87" s="1"/>
  <c r="O226" i="87" s="1"/>
  <c r="O227" i="87" s="1"/>
  <c r="O228" i="87" s="1"/>
  <c r="O229" i="87" s="1"/>
  <c r="O230" i="87" s="1"/>
  <c r="O231" i="87" s="1"/>
  <c r="O232" i="87" s="1"/>
  <c r="O233" i="87" s="1"/>
  <c r="O234" i="87" s="1"/>
  <c r="O235" i="87" s="1"/>
  <c r="O236" i="87" s="1"/>
  <c r="O237" i="87" s="1"/>
  <c r="O238" i="87" s="1"/>
  <c r="O239" i="87" s="1"/>
  <c r="O240" i="87" s="1"/>
  <c r="O241" i="87" s="1"/>
  <c r="O242" i="87" s="1"/>
  <c r="O243" i="87" s="1"/>
  <c r="O244" i="87" s="1"/>
  <c r="O245" i="87" s="1"/>
  <c r="O246" i="87" s="1"/>
  <c r="O247" i="87" s="1"/>
  <c r="O248" i="87" s="1"/>
  <c r="O249" i="87" s="1"/>
  <c r="O250" i="87" s="1"/>
  <c r="O59" i="94"/>
  <c r="O60" i="94" s="1"/>
  <c r="O61" i="94" s="1"/>
  <c r="O62" i="94" s="1"/>
  <c r="O63" i="94" s="1"/>
  <c r="O64" i="94" s="1"/>
  <c r="O65" i="94" s="1"/>
  <c r="O66" i="94" s="1"/>
  <c r="O67" i="94" s="1"/>
  <c r="O68" i="94" s="1"/>
  <c r="O69" i="94" s="1"/>
  <c r="O70" i="94" s="1"/>
  <c r="O59" i="46"/>
  <c r="O60" i="46" s="1"/>
  <c r="O61" i="46" s="1"/>
  <c r="O62" i="46" s="1"/>
  <c r="O63" i="46" s="1"/>
  <c r="O64" i="46" s="1"/>
  <c r="O65" i="46" s="1"/>
  <c r="O66" i="46" s="1"/>
  <c r="O67" i="46" s="1"/>
  <c r="O68" i="46" s="1"/>
  <c r="O69" i="46" s="1"/>
  <c r="O70" i="46" s="1"/>
  <c r="O119" i="48"/>
  <c r="O120" i="48" s="1"/>
  <c r="O121" i="48" s="1"/>
  <c r="O122" i="48" s="1"/>
  <c r="O123" i="48" s="1"/>
  <c r="O124" i="48" s="1"/>
  <c r="O125" i="48" s="1"/>
  <c r="O126" i="48" s="1"/>
  <c r="O127" i="48" s="1"/>
  <c r="O128" i="48" s="1"/>
  <c r="O129" i="48" s="1"/>
  <c r="O130" i="48" s="1"/>
  <c r="O83" i="48"/>
  <c r="O84" i="48" s="1"/>
  <c r="O85" i="48" s="1"/>
  <c r="O86" i="48" s="1"/>
  <c r="O87" i="48" s="1"/>
  <c r="O88" i="48" s="1"/>
  <c r="O89" i="48" s="1"/>
  <c r="O90" i="48" s="1"/>
  <c r="O91" i="48" s="1"/>
  <c r="O92" i="48" s="1"/>
  <c r="O93" i="48" s="1"/>
  <c r="O94" i="48" s="1"/>
  <c r="O107" i="48"/>
  <c r="O108" i="48" s="1"/>
  <c r="O109" i="48" s="1"/>
  <c r="O110" i="48" s="1"/>
  <c r="O111" i="48" s="1"/>
  <c r="O112" i="48" s="1"/>
  <c r="O113" i="48" s="1"/>
  <c r="O114" i="48" s="1"/>
  <c r="O115" i="48" s="1"/>
  <c r="O116" i="48" s="1"/>
  <c r="O117" i="48" s="1"/>
  <c r="O118" i="48" s="1"/>
  <c r="O107" i="88"/>
  <c r="O108" i="88" s="1"/>
  <c r="O109" i="88" s="1"/>
  <c r="O110" i="88" s="1"/>
  <c r="O111" i="88" s="1"/>
  <c r="O112" i="88" s="1"/>
  <c r="O113" i="88" s="1"/>
  <c r="O114" i="88" s="1"/>
  <c r="O115" i="88" s="1"/>
  <c r="O116" i="88" s="1"/>
  <c r="O117" i="88" s="1"/>
  <c r="O118" i="88" s="1"/>
  <c r="O119" i="88" s="1"/>
  <c r="O120" i="88" s="1"/>
  <c r="O121" i="88" s="1"/>
  <c r="O122" i="88" s="1"/>
  <c r="O123" i="88" s="1"/>
  <c r="O124" i="88" s="1"/>
  <c r="O125" i="88" s="1"/>
  <c r="O126" i="88" s="1"/>
  <c r="O127" i="88" s="1"/>
  <c r="O128" i="88" s="1"/>
  <c r="O129" i="88" s="1"/>
  <c r="O130" i="88" s="1"/>
  <c r="O59" i="45"/>
  <c r="O60" i="45" s="1"/>
  <c r="O61" i="45" s="1"/>
  <c r="O62" i="45" s="1"/>
  <c r="O63" i="45" s="1"/>
  <c r="O64" i="45" s="1"/>
  <c r="O65" i="45" s="1"/>
  <c r="O66" i="45" s="1"/>
  <c r="O67" i="45" s="1"/>
  <c r="O68" i="45" s="1"/>
  <c r="O69" i="45" s="1"/>
  <c r="O70" i="45" s="1"/>
  <c r="O59" i="48"/>
  <c r="O60" i="48" s="1"/>
  <c r="O61" i="48" s="1"/>
  <c r="O62" i="48" s="1"/>
  <c r="O63" i="48" s="1"/>
  <c r="O64" i="48" s="1"/>
  <c r="O65" i="48" s="1"/>
  <c r="O66" i="48" s="1"/>
  <c r="O67" i="48" s="1"/>
  <c r="O68" i="48" s="1"/>
  <c r="O69" i="48" s="1"/>
  <c r="O70" i="48" s="1"/>
  <c r="O95" i="48"/>
  <c r="O96" i="48" s="1"/>
  <c r="O97" i="48" s="1"/>
  <c r="O98" i="48" s="1"/>
  <c r="O99" i="48" s="1"/>
  <c r="O100" i="48" s="1"/>
  <c r="O101" i="48" s="1"/>
  <c r="O102" i="48" s="1"/>
  <c r="O103" i="48" s="1"/>
  <c r="O104" i="48" s="1"/>
  <c r="O105" i="48" s="1"/>
  <c r="O106" i="48" s="1"/>
  <c r="O95" i="94"/>
  <c r="O96" i="94" s="1"/>
  <c r="O97" i="94" s="1"/>
  <c r="O98" i="94" s="1"/>
  <c r="O99" i="94" s="1"/>
  <c r="O100" i="94" s="1"/>
  <c r="O101" i="94" s="1"/>
  <c r="O102" i="94" s="1"/>
  <c r="O103" i="94" s="1"/>
  <c r="O104" i="94" s="1"/>
  <c r="O105" i="94" s="1"/>
  <c r="O106" i="94" s="1"/>
  <c r="O107" i="94"/>
  <c r="O108" i="94" s="1"/>
  <c r="O109" i="94" s="1"/>
  <c r="O110" i="94" s="1"/>
  <c r="O111" i="94" s="1"/>
  <c r="O112" i="94" s="1"/>
  <c r="O113" i="94" s="1"/>
  <c r="O114" i="94" s="1"/>
  <c r="O115" i="94" s="1"/>
  <c r="O116" i="94" s="1"/>
  <c r="O117" i="94" s="1"/>
  <c r="O118" i="94" s="1"/>
  <c r="O71" i="48"/>
  <c r="O72" i="48" s="1"/>
  <c r="O73" i="48" s="1"/>
  <c r="O74" i="48" s="1"/>
  <c r="O75" i="48" s="1"/>
  <c r="O76" i="48" s="1"/>
  <c r="O77" i="48" s="1"/>
  <c r="O78" i="48" s="1"/>
  <c r="O79" i="48" s="1"/>
  <c r="O80" i="48" s="1"/>
  <c r="O81" i="48" s="1"/>
  <c r="O82" i="48" s="1"/>
  <c r="O131" i="48"/>
  <c r="O132" i="48" s="1"/>
  <c r="O133" i="48" s="1"/>
  <c r="O134" i="48" s="1"/>
  <c r="O135" i="48" s="1"/>
  <c r="O136" i="48" s="1"/>
  <c r="O137" i="48" s="1"/>
  <c r="O138" i="48" s="1"/>
  <c r="O139" i="48" s="1"/>
  <c r="O140" i="48" s="1"/>
  <c r="O141" i="48" s="1"/>
  <c r="O142" i="48" s="1"/>
  <c r="O203" i="91"/>
  <c r="O204" i="91" s="1"/>
  <c r="O205" i="91" s="1"/>
  <c r="O206" i="91" s="1"/>
  <c r="O207" i="91" s="1"/>
  <c r="O208" i="91" s="1"/>
  <c r="O209" i="91" s="1"/>
  <c r="O210" i="91" s="1"/>
  <c r="O211" i="91" s="1"/>
  <c r="O212" i="91" s="1"/>
  <c r="O213" i="91" s="1"/>
  <c r="O214" i="91" s="1"/>
  <c r="O215" i="91" s="1"/>
  <c r="O216" i="91" s="1"/>
  <c r="O217" i="91" s="1"/>
  <c r="O218" i="91" s="1"/>
  <c r="O219" i="91" s="1"/>
  <c r="O220" i="91" s="1"/>
  <c r="O221" i="91" s="1"/>
  <c r="O222" i="91" s="1"/>
  <c r="O223" i="91" s="1"/>
  <c r="O224" i="91" s="1"/>
  <c r="O225" i="91" s="1"/>
  <c r="O226" i="91" s="1"/>
  <c r="O227" i="91" s="1"/>
  <c r="O228" i="91" s="1"/>
  <c r="O229" i="91" s="1"/>
  <c r="O230" i="91" s="1"/>
  <c r="O231" i="91" s="1"/>
  <c r="O232" i="91" s="1"/>
  <c r="O233" i="91" s="1"/>
  <c r="O234" i="91" s="1"/>
  <c r="O235" i="91" s="1"/>
  <c r="O236" i="91" s="1"/>
  <c r="O237" i="91" s="1"/>
  <c r="O238" i="91" s="1"/>
  <c r="O239" i="91" s="1"/>
  <c r="O240" i="91" s="1"/>
  <c r="O241" i="91" s="1"/>
  <c r="O242" i="91" s="1"/>
  <c r="O243" i="91" s="1"/>
  <c r="O244" i="91" s="1"/>
  <c r="O245" i="91" s="1"/>
  <c r="O246" i="91" s="1"/>
  <c r="O247" i="91" s="1"/>
  <c r="O248" i="91" s="1"/>
  <c r="O249" i="91" s="1"/>
  <c r="O250" i="91" s="1"/>
  <c r="O203" i="89"/>
  <c r="O204" i="89" s="1"/>
  <c r="O205" i="89" s="1"/>
  <c r="O206" i="89" s="1"/>
  <c r="O207" i="89" s="1"/>
  <c r="O208" i="89" s="1"/>
  <c r="O209" i="89" s="1"/>
  <c r="O210" i="89" s="1"/>
  <c r="O211" i="89" s="1"/>
  <c r="O212" i="89" s="1"/>
  <c r="O213" i="89" s="1"/>
  <c r="O214" i="89" s="1"/>
  <c r="O215" i="89" s="1"/>
  <c r="O216" i="89" s="1"/>
  <c r="O217" i="89" s="1"/>
  <c r="O218" i="89" s="1"/>
  <c r="O219" i="89" s="1"/>
  <c r="O220" i="89" s="1"/>
  <c r="O221" i="89" s="1"/>
  <c r="O222" i="89" s="1"/>
  <c r="O223" i="89" s="1"/>
  <c r="O224" i="89" s="1"/>
  <c r="O225" i="89" s="1"/>
  <c r="O226" i="89" s="1"/>
  <c r="O227" i="89" s="1"/>
  <c r="O228" i="89" s="1"/>
  <c r="O229" i="89" s="1"/>
  <c r="O230" i="89" s="1"/>
  <c r="O231" i="89" s="1"/>
  <c r="O232" i="89" s="1"/>
  <c r="O233" i="89" s="1"/>
  <c r="O234" i="89" s="1"/>
  <c r="O235" i="89" s="1"/>
  <c r="O236" i="89" s="1"/>
  <c r="O237" i="89" s="1"/>
  <c r="O238" i="89" s="1"/>
  <c r="O239" i="89" s="1"/>
  <c r="O240" i="89" s="1"/>
  <c r="O241" i="89" s="1"/>
  <c r="O242" i="89" s="1"/>
  <c r="O243" i="89" s="1"/>
  <c r="O244" i="89" s="1"/>
  <c r="O245" i="89" s="1"/>
  <c r="O246" i="89" s="1"/>
  <c r="O247" i="89" s="1"/>
  <c r="O248" i="89" s="1"/>
  <c r="O249" i="89" s="1"/>
  <c r="O250" i="89" s="1"/>
  <c r="J31" i="98"/>
  <c r="J39" i="98"/>
  <c r="J47" i="98"/>
  <c r="J18" i="98"/>
  <c r="N11" i="98"/>
  <c r="N12" i="98" s="1"/>
  <c r="N13" i="98" s="1"/>
  <c r="N14" i="98" s="1"/>
  <c r="N15" i="98" s="1"/>
  <c r="N16" i="98" s="1"/>
  <c r="N17" i="98" s="1"/>
  <c r="N18" i="98" s="1"/>
  <c r="N27" i="98" s="1"/>
  <c r="N28" i="98" s="1"/>
  <c r="N29" i="98" s="1"/>
  <c r="N30" i="98" s="1"/>
  <c r="N31" i="98" s="1"/>
  <c r="N32" i="98" s="1"/>
  <c r="N33" i="98" s="1"/>
  <c r="N34" i="98" s="1"/>
  <c r="N35" i="98" s="1"/>
  <c r="N36" i="98" s="1"/>
  <c r="N37" i="98" s="1"/>
  <c r="N38" i="98" s="1"/>
  <c r="N39" i="98" s="1"/>
  <c r="N40" i="98" s="1"/>
  <c r="N41" i="98" s="1"/>
  <c r="N42" i="98" s="1"/>
  <c r="N43" i="98" s="1"/>
  <c r="N44" i="98" s="1"/>
  <c r="N45" i="98" s="1"/>
  <c r="N46" i="98" s="1"/>
  <c r="N47" i="98" s="1"/>
  <c r="N48" i="98" s="1"/>
  <c r="N49" i="98" s="1"/>
  <c r="N50" i="98" s="1"/>
  <c r="J41" i="98"/>
  <c r="J16" i="98"/>
  <c r="J32" i="98"/>
  <c r="J40" i="98"/>
  <c r="J48" i="98"/>
  <c r="J17" i="98"/>
  <c r="J33" i="98"/>
  <c r="J49" i="98"/>
  <c r="J38" i="98"/>
  <c r="J30" i="98"/>
  <c r="J34" i="98"/>
  <c r="J42" i="98"/>
  <c r="J50" i="98"/>
  <c r="J15" i="98"/>
  <c r="J36" i="98"/>
  <c r="J13" i="98"/>
  <c r="J37" i="98"/>
  <c r="J45" i="98"/>
  <c r="J12" i="98"/>
  <c r="J46" i="98"/>
  <c r="J11" i="98"/>
  <c r="J35" i="98"/>
  <c r="J43" i="98"/>
  <c r="J27" i="98"/>
  <c r="J14" i="98"/>
  <c r="J44" i="98"/>
  <c r="J28" i="98"/>
  <c r="J29" i="98"/>
  <c r="O83" i="88"/>
  <c r="O84" i="88" s="1"/>
  <c r="O85" i="88" s="1"/>
  <c r="O86" i="88" s="1"/>
  <c r="O87" i="88" s="1"/>
  <c r="O88" i="88" s="1"/>
  <c r="O89" i="88" s="1"/>
  <c r="O90" i="88" s="1"/>
  <c r="O91" i="88" s="1"/>
  <c r="O92" i="88" s="1"/>
  <c r="O93" i="88" s="1"/>
  <c r="O94" i="88" s="1"/>
  <c r="O95" i="88" s="1"/>
  <c r="O96" i="88" s="1"/>
  <c r="O97" i="88" s="1"/>
  <c r="O98" i="88" s="1"/>
  <c r="O99" i="88" s="1"/>
  <c r="O100" i="88" s="1"/>
  <c r="O101" i="88" s="1"/>
  <c r="O102" i="88" s="1"/>
  <c r="O103" i="88" s="1"/>
  <c r="O104" i="88" s="1"/>
  <c r="O105" i="88" s="1"/>
  <c r="O106" i="88" s="1"/>
  <c r="O59" i="88"/>
  <c r="O60" i="88" s="1"/>
  <c r="O61" i="88" s="1"/>
  <c r="O62" i="88" s="1"/>
  <c r="O63" i="88" s="1"/>
  <c r="O64" i="88" s="1"/>
  <c r="O65" i="88" s="1"/>
  <c r="O66" i="88" s="1"/>
  <c r="O67" i="88" s="1"/>
  <c r="O68" i="88" s="1"/>
  <c r="O69" i="88" s="1"/>
  <c r="O70" i="88" s="1"/>
  <c r="O71" i="88" s="1"/>
  <c r="O72" i="88" s="1"/>
  <c r="O73" i="88" s="1"/>
  <c r="O74" i="88" s="1"/>
  <c r="O75" i="88" s="1"/>
  <c r="O76" i="88" s="1"/>
  <c r="O77" i="88" s="1"/>
  <c r="O78" i="88" s="1"/>
  <c r="O79" i="88" s="1"/>
  <c r="O80" i="88" s="1"/>
  <c r="O81" i="88" s="1"/>
  <c r="O82" i="88" s="1"/>
  <c r="O35" i="88"/>
  <c r="O36" i="88" s="1"/>
  <c r="O37" i="88" s="1"/>
  <c r="O38" i="88" s="1"/>
  <c r="O39" i="88" s="1"/>
  <c r="O40" i="88" s="1"/>
  <c r="O41" i="88" s="1"/>
  <c r="O42" i="88" s="1"/>
  <c r="O43" i="88" s="1"/>
  <c r="O44" i="88" s="1"/>
  <c r="O45" i="88" s="1"/>
  <c r="O46" i="88" s="1"/>
  <c r="O47" i="88" s="1"/>
  <c r="O48" i="88" s="1"/>
  <c r="O49" i="88" s="1"/>
  <c r="O50" i="88" s="1"/>
  <c r="O51" i="88" s="1"/>
  <c r="O52" i="88" s="1"/>
  <c r="O53" i="88" s="1"/>
  <c r="O54" i="88" s="1"/>
  <c r="O55" i="88" s="1"/>
  <c r="O56" i="88" s="1"/>
  <c r="O57" i="88" s="1"/>
  <c r="O58" i="88" s="1"/>
  <c r="O11" i="88"/>
  <c r="O12" i="88" s="1"/>
  <c r="O13" i="88" s="1"/>
  <c r="O14" i="88" s="1"/>
  <c r="O15" i="88" s="1"/>
  <c r="O16" i="88" s="1"/>
  <c r="O17" i="88" s="1"/>
  <c r="O18" i="88" s="1"/>
  <c r="O19" i="88" s="1"/>
  <c r="O20" i="88" s="1"/>
  <c r="O21" i="88" s="1"/>
  <c r="O22" i="88" s="1"/>
  <c r="O23" i="88" s="1"/>
  <c r="O24" i="88" s="1"/>
  <c r="O25" i="88" s="1"/>
  <c r="O26" i="88" s="1"/>
  <c r="O27" i="88" s="1"/>
  <c r="O28" i="88" s="1"/>
  <c r="O29" i="88" s="1"/>
  <c r="O30" i="88" s="1"/>
  <c r="O31" i="88" s="1"/>
  <c r="O32" i="88" s="1"/>
  <c r="O33" i="88" s="1"/>
  <c r="O34" i="88" s="1"/>
  <c r="O35" i="94"/>
  <c r="O36" i="94" s="1"/>
  <c r="O37" i="94" s="1"/>
  <c r="O38" i="94" s="1"/>
  <c r="O39" i="94" s="1"/>
  <c r="O40" i="94" s="1"/>
  <c r="O41" i="94" s="1"/>
  <c r="O42" i="94" s="1"/>
  <c r="O43" i="94" s="1"/>
  <c r="O44" i="94" s="1"/>
  <c r="O45" i="94" s="1"/>
  <c r="O46" i="94" s="1"/>
  <c r="O47" i="94"/>
  <c r="O48" i="94" s="1"/>
  <c r="O49" i="94" s="1"/>
  <c r="O50" i="94" s="1"/>
  <c r="O51" i="94" s="1"/>
  <c r="O52" i="94" s="1"/>
  <c r="O53" i="94" s="1"/>
  <c r="O54" i="94" s="1"/>
  <c r="O55" i="94" s="1"/>
  <c r="O56" i="94" s="1"/>
  <c r="O57" i="94" s="1"/>
  <c r="O58" i="94" s="1"/>
  <c r="O23" i="94"/>
  <c r="O24" i="94" s="1"/>
  <c r="O25" i="94" s="1"/>
  <c r="O26" i="94" s="1"/>
  <c r="O27" i="94" s="1"/>
  <c r="O28" i="94" s="1"/>
  <c r="O29" i="94" s="1"/>
  <c r="O30" i="94" s="1"/>
  <c r="O31" i="94" s="1"/>
  <c r="O32" i="94" s="1"/>
  <c r="O33" i="94" s="1"/>
  <c r="O34" i="94" s="1"/>
  <c r="O11" i="94"/>
  <c r="O12" i="94" s="1"/>
  <c r="O13" i="94" s="1"/>
  <c r="O14" i="94" s="1"/>
  <c r="O15" i="94" s="1"/>
  <c r="O16" i="94" s="1"/>
  <c r="O17" i="94" s="1"/>
  <c r="O18" i="94" s="1"/>
  <c r="O19" i="94" s="1"/>
  <c r="O20" i="94" s="1"/>
  <c r="O21" i="94" s="1"/>
  <c r="O22" i="94" s="1"/>
  <c r="O107" i="91"/>
  <c r="O108" i="91" s="1"/>
  <c r="O109" i="91" s="1"/>
  <c r="O110" i="91" s="1"/>
  <c r="O111" i="91" s="1"/>
  <c r="O112" i="91" s="1"/>
  <c r="O113" i="91" s="1"/>
  <c r="O114" i="91" s="1"/>
  <c r="O115" i="91" s="1"/>
  <c r="O116" i="91" s="1"/>
  <c r="O117" i="91" s="1"/>
  <c r="O118" i="91" s="1"/>
  <c r="O119" i="91" s="1"/>
  <c r="O120" i="91" s="1"/>
  <c r="O121" i="91" s="1"/>
  <c r="O122" i="91" s="1"/>
  <c r="O123" i="91" s="1"/>
  <c r="O124" i="91" s="1"/>
  <c r="O125" i="91" s="1"/>
  <c r="O126" i="91" s="1"/>
  <c r="O127" i="91" s="1"/>
  <c r="O128" i="91" s="1"/>
  <c r="O129" i="91" s="1"/>
  <c r="O130" i="91" s="1"/>
  <c r="O131" i="91" s="1"/>
  <c r="O132" i="91" s="1"/>
  <c r="O133" i="91" s="1"/>
  <c r="O134" i="91" s="1"/>
  <c r="O135" i="91" s="1"/>
  <c r="O136" i="91" s="1"/>
  <c r="O137" i="91" s="1"/>
  <c r="O138" i="91" s="1"/>
  <c r="O139" i="91" s="1"/>
  <c r="O140" i="91" s="1"/>
  <c r="O141" i="91" s="1"/>
  <c r="O142" i="91" s="1"/>
  <c r="O143" i="91" s="1"/>
  <c r="O144" i="91" s="1"/>
  <c r="O145" i="91" s="1"/>
  <c r="O146" i="91" s="1"/>
  <c r="O147" i="91" s="1"/>
  <c r="O148" i="91" s="1"/>
  <c r="O149" i="91" s="1"/>
  <c r="O150" i="91" s="1"/>
  <c r="O151" i="91" s="1"/>
  <c r="O152" i="91" s="1"/>
  <c r="O153" i="91" s="1"/>
  <c r="O154" i="91" s="1"/>
  <c r="O11" i="91"/>
  <c r="O12" i="91" s="1"/>
  <c r="O13" i="91" s="1"/>
  <c r="O14" i="91" s="1"/>
  <c r="O15" i="91" s="1"/>
  <c r="O16" i="91" s="1"/>
  <c r="O17" i="91" s="1"/>
  <c r="O18" i="91" s="1"/>
  <c r="O19" i="91" s="1"/>
  <c r="O20" i="91" s="1"/>
  <c r="O21" i="91" s="1"/>
  <c r="O22" i="91" s="1"/>
  <c r="O23" i="91" s="1"/>
  <c r="O24" i="91" s="1"/>
  <c r="O25" i="91" s="1"/>
  <c r="O26" i="91" s="1"/>
  <c r="O27" i="91" s="1"/>
  <c r="O28" i="91" s="1"/>
  <c r="O29" i="91" s="1"/>
  <c r="O30" i="91" s="1"/>
  <c r="O31" i="91" s="1"/>
  <c r="O32" i="91" s="1"/>
  <c r="O33" i="91" s="1"/>
  <c r="O34" i="91" s="1"/>
  <c r="O35" i="91" s="1"/>
  <c r="O36" i="91" s="1"/>
  <c r="O37" i="91" s="1"/>
  <c r="O38" i="91" s="1"/>
  <c r="O39" i="91" s="1"/>
  <c r="O40" i="91" s="1"/>
  <c r="O41" i="91" s="1"/>
  <c r="O42" i="91" s="1"/>
  <c r="O43" i="91" s="1"/>
  <c r="O44" i="91" s="1"/>
  <c r="O45" i="91" s="1"/>
  <c r="O46" i="91" s="1"/>
  <c r="O47" i="91" s="1"/>
  <c r="O48" i="91" s="1"/>
  <c r="O49" i="91" s="1"/>
  <c r="O50" i="91" s="1"/>
  <c r="O51" i="91" s="1"/>
  <c r="O52" i="91" s="1"/>
  <c r="O53" i="91" s="1"/>
  <c r="O54" i="91" s="1"/>
  <c r="O55" i="91" s="1"/>
  <c r="O56" i="91" s="1"/>
  <c r="O57" i="91" s="1"/>
  <c r="O58" i="91" s="1"/>
  <c r="O155" i="91"/>
  <c r="O156" i="91" s="1"/>
  <c r="O157" i="91" s="1"/>
  <c r="O158" i="91" s="1"/>
  <c r="O159" i="91" s="1"/>
  <c r="O160" i="91" s="1"/>
  <c r="O161" i="91" s="1"/>
  <c r="O162" i="91" s="1"/>
  <c r="O163" i="91" s="1"/>
  <c r="O164" i="91" s="1"/>
  <c r="O165" i="91" s="1"/>
  <c r="O166" i="91" s="1"/>
  <c r="O167" i="91" s="1"/>
  <c r="O168" i="91" s="1"/>
  <c r="O169" i="91" s="1"/>
  <c r="O170" i="91" s="1"/>
  <c r="O171" i="91" s="1"/>
  <c r="O172" i="91" s="1"/>
  <c r="O173" i="91" s="1"/>
  <c r="O174" i="91" s="1"/>
  <c r="O175" i="91" s="1"/>
  <c r="O176" i="91" s="1"/>
  <c r="O177" i="91" s="1"/>
  <c r="O178" i="91" s="1"/>
  <c r="O179" i="91" s="1"/>
  <c r="O180" i="91" s="1"/>
  <c r="O181" i="91" s="1"/>
  <c r="O182" i="91" s="1"/>
  <c r="O183" i="91" s="1"/>
  <c r="O184" i="91" s="1"/>
  <c r="O185" i="91" s="1"/>
  <c r="O186" i="91" s="1"/>
  <c r="O187" i="91" s="1"/>
  <c r="O188" i="91" s="1"/>
  <c r="O189" i="91" s="1"/>
  <c r="O190" i="91" s="1"/>
  <c r="O191" i="91" s="1"/>
  <c r="O192" i="91" s="1"/>
  <c r="O193" i="91" s="1"/>
  <c r="O194" i="91" s="1"/>
  <c r="O195" i="91" s="1"/>
  <c r="O196" i="91" s="1"/>
  <c r="O197" i="91" s="1"/>
  <c r="O198" i="91" s="1"/>
  <c r="O199" i="91" s="1"/>
  <c r="O200" i="91" s="1"/>
  <c r="O201" i="91" s="1"/>
  <c r="O202" i="91" s="1"/>
  <c r="O107" i="92"/>
  <c r="O108" i="92" s="1"/>
  <c r="O109" i="92" s="1"/>
  <c r="O110" i="92" s="1"/>
  <c r="O111" i="92" s="1"/>
  <c r="O112" i="92" s="1"/>
  <c r="O113" i="92" s="1"/>
  <c r="O114" i="92" s="1"/>
  <c r="O115" i="92" s="1"/>
  <c r="O116" i="92" s="1"/>
  <c r="O117" i="92" s="1"/>
  <c r="O118" i="92" s="1"/>
  <c r="O119" i="92" s="1"/>
  <c r="O120" i="92" s="1"/>
  <c r="O121" i="92" s="1"/>
  <c r="O122" i="92" s="1"/>
  <c r="O123" i="92" s="1"/>
  <c r="O124" i="92" s="1"/>
  <c r="O125" i="92" s="1"/>
  <c r="O126" i="92" s="1"/>
  <c r="O127" i="92" s="1"/>
  <c r="O128" i="92" s="1"/>
  <c r="O129" i="92" s="1"/>
  <c r="O130" i="92" s="1"/>
  <c r="O131" i="92" s="1"/>
  <c r="O132" i="92" s="1"/>
  <c r="O133" i="92" s="1"/>
  <c r="O134" i="92" s="1"/>
  <c r="O135" i="92" s="1"/>
  <c r="O136" i="92" s="1"/>
  <c r="O137" i="92" s="1"/>
  <c r="O138" i="92" s="1"/>
  <c r="O139" i="92" s="1"/>
  <c r="O140" i="92" s="1"/>
  <c r="O141" i="92" s="1"/>
  <c r="O142" i="92" s="1"/>
  <c r="O143" i="92" s="1"/>
  <c r="O144" i="92" s="1"/>
  <c r="O145" i="92" s="1"/>
  <c r="O146" i="92" s="1"/>
  <c r="O147" i="92" s="1"/>
  <c r="O148" i="92" s="1"/>
  <c r="O149" i="92" s="1"/>
  <c r="O150" i="92" s="1"/>
  <c r="O151" i="92" s="1"/>
  <c r="O152" i="92" s="1"/>
  <c r="O153" i="92" s="1"/>
  <c r="O154" i="92" s="1"/>
  <c r="O11" i="92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O24" i="92" s="1"/>
  <c r="O25" i="92" s="1"/>
  <c r="O26" i="92" s="1"/>
  <c r="O27" i="92" s="1"/>
  <c r="O28" i="92" s="1"/>
  <c r="O29" i="92" s="1"/>
  <c r="O30" i="92" s="1"/>
  <c r="O31" i="92" s="1"/>
  <c r="O32" i="92" s="1"/>
  <c r="O33" i="92" s="1"/>
  <c r="O34" i="92" s="1"/>
  <c r="O35" i="92" s="1"/>
  <c r="O36" i="92" s="1"/>
  <c r="O37" i="92" s="1"/>
  <c r="O38" i="92" s="1"/>
  <c r="O39" i="92" s="1"/>
  <c r="O40" i="92" s="1"/>
  <c r="O41" i="92" s="1"/>
  <c r="O42" i="92" s="1"/>
  <c r="O43" i="92" s="1"/>
  <c r="O44" i="92" s="1"/>
  <c r="O45" i="92" s="1"/>
  <c r="O46" i="92" s="1"/>
  <c r="O47" i="92" s="1"/>
  <c r="O48" i="92" s="1"/>
  <c r="O49" i="92" s="1"/>
  <c r="O50" i="92" s="1"/>
  <c r="O51" i="92" s="1"/>
  <c r="O52" i="92" s="1"/>
  <c r="O53" i="92" s="1"/>
  <c r="O54" i="92" s="1"/>
  <c r="O55" i="92" s="1"/>
  <c r="O56" i="92" s="1"/>
  <c r="O57" i="92" s="1"/>
  <c r="O58" i="92" s="1"/>
  <c r="O59" i="91"/>
  <c r="O60" i="91" s="1"/>
  <c r="O61" i="91" s="1"/>
  <c r="O62" i="91" s="1"/>
  <c r="O63" i="91" s="1"/>
  <c r="O64" i="91" s="1"/>
  <c r="O65" i="91" s="1"/>
  <c r="O66" i="91" s="1"/>
  <c r="O67" i="91" s="1"/>
  <c r="O68" i="91" s="1"/>
  <c r="O69" i="91" s="1"/>
  <c r="O70" i="91" s="1"/>
  <c r="O71" i="91" s="1"/>
  <c r="O72" i="91" s="1"/>
  <c r="O73" i="91" s="1"/>
  <c r="O74" i="91" s="1"/>
  <c r="O75" i="91" s="1"/>
  <c r="O76" i="91" s="1"/>
  <c r="O77" i="91" s="1"/>
  <c r="O78" i="91" s="1"/>
  <c r="O79" i="91" s="1"/>
  <c r="O80" i="91" s="1"/>
  <c r="O81" i="91" s="1"/>
  <c r="O82" i="91" s="1"/>
  <c r="O83" i="91" s="1"/>
  <c r="O84" i="91" s="1"/>
  <c r="O85" i="91" s="1"/>
  <c r="O86" i="91" s="1"/>
  <c r="O87" i="91" s="1"/>
  <c r="O88" i="91" s="1"/>
  <c r="O89" i="91" s="1"/>
  <c r="O90" i="91" s="1"/>
  <c r="O91" i="91" s="1"/>
  <c r="O92" i="91" s="1"/>
  <c r="O93" i="91" s="1"/>
  <c r="O94" i="91" s="1"/>
  <c r="O95" i="91" s="1"/>
  <c r="O96" i="91" s="1"/>
  <c r="O97" i="91" s="1"/>
  <c r="O98" i="91" s="1"/>
  <c r="O99" i="91" s="1"/>
  <c r="O100" i="91" s="1"/>
  <c r="O101" i="91" s="1"/>
  <c r="O102" i="91" s="1"/>
  <c r="O103" i="91" s="1"/>
  <c r="O104" i="91" s="1"/>
  <c r="O105" i="91" s="1"/>
  <c r="O106" i="91" s="1"/>
  <c r="O155" i="92"/>
  <c r="O156" i="92" s="1"/>
  <c r="O157" i="92" s="1"/>
  <c r="O158" i="92" s="1"/>
  <c r="O159" i="92" s="1"/>
  <c r="O160" i="92" s="1"/>
  <c r="O161" i="92" s="1"/>
  <c r="O162" i="92" s="1"/>
  <c r="O163" i="92" s="1"/>
  <c r="O164" i="92" s="1"/>
  <c r="O165" i="92" s="1"/>
  <c r="O166" i="92" s="1"/>
  <c r="O167" i="92" s="1"/>
  <c r="O168" i="92" s="1"/>
  <c r="O169" i="92" s="1"/>
  <c r="O170" i="92" s="1"/>
  <c r="O171" i="92" s="1"/>
  <c r="O172" i="92" s="1"/>
  <c r="O173" i="92" s="1"/>
  <c r="O174" i="92" s="1"/>
  <c r="O175" i="92" s="1"/>
  <c r="O176" i="92" s="1"/>
  <c r="O177" i="92" s="1"/>
  <c r="O178" i="92" s="1"/>
  <c r="O179" i="92" s="1"/>
  <c r="O180" i="92" s="1"/>
  <c r="O181" i="92" s="1"/>
  <c r="O182" i="92" s="1"/>
  <c r="O183" i="92" s="1"/>
  <c r="O184" i="92" s="1"/>
  <c r="O185" i="92" s="1"/>
  <c r="O186" i="92" s="1"/>
  <c r="O187" i="92" s="1"/>
  <c r="O188" i="92" s="1"/>
  <c r="O189" i="92" s="1"/>
  <c r="O190" i="92" s="1"/>
  <c r="O191" i="92" s="1"/>
  <c r="O192" i="92" s="1"/>
  <c r="O193" i="92" s="1"/>
  <c r="O194" i="92" s="1"/>
  <c r="O195" i="92" s="1"/>
  <c r="O196" i="92" s="1"/>
  <c r="O197" i="92" s="1"/>
  <c r="O198" i="92" s="1"/>
  <c r="O199" i="92" s="1"/>
  <c r="O200" i="92" s="1"/>
  <c r="O201" i="92" s="1"/>
  <c r="O202" i="92" s="1"/>
  <c r="O59" i="92"/>
  <c r="O60" i="92" s="1"/>
  <c r="O61" i="92" s="1"/>
  <c r="O62" i="92" s="1"/>
  <c r="O63" i="92" s="1"/>
  <c r="O64" i="92" s="1"/>
  <c r="O65" i="92" s="1"/>
  <c r="O66" i="92" s="1"/>
  <c r="O67" i="92" s="1"/>
  <c r="O68" i="92" s="1"/>
  <c r="O69" i="92" s="1"/>
  <c r="O70" i="92" s="1"/>
  <c r="O71" i="92" s="1"/>
  <c r="O72" i="92" s="1"/>
  <c r="O73" i="92" s="1"/>
  <c r="O74" i="92" s="1"/>
  <c r="O75" i="92" s="1"/>
  <c r="O76" i="92" s="1"/>
  <c r="O77" i="92" s="1"/>
  <c r="O78" i="92" s="1"/>
  <c r="O79" i="92" s="1"/>
  <c r="O80" i="92" s="1"/>
  <c r="O81" i="92" s="1"/>
  <c r="O82" i="92" s="1"/>
  <c r="O83" i="92" s="1"/>
  <c r="O84" i="92" s="1"/>
  <c r="O85" i="92" s="1"/>
  <c r="O86" i="92" s="1"/>
  <c r="O87" i="92" s="1"/>
  <c r="O88" i="92" s="1"/>
  <c r="O89" i="92" s="1"/>
  <c r="O90" i="92" s="1"/>
  <c r="O91" i="92" s="1"/>
  <c r="O92" i="92" s="1"/>
  <c r="O93" i="92" s="1"/>
  <c r="O94" i="92" s="1"/>
  <c r="O95" i="92" s="1"/>
  <c r="O96" i="92" s="1"/>
  <c r="O97" i="92" s="1"/>
  <c r="O98" i="92" s="1"/>
  <c r="O99" i="92" s="1"/>
  <c r="O100" i="92" s="1"/>
  <c r="O101" i="92" s="1"/>
  <c r="O102" i="92" s="1"/>
  <c r="O103" i="92" s="1"/>
  <c r="O104" i="92" s="1"/>
  <c r="O105" i="92" s="1"/>
  <c r="O106" i="92" s="1"/>
  <c r="O59" i="87"/>
  <c r="O11" i="87"/>
  <c r="O12" i="87" s="1"/>
  <c r="O13" i="87" s="1"/>
  <c r="O14" i="87" s="1"/>
  <c r="O15" i="87" s="1"/>
  <c r="O16" i="87" s="1"/>
  <c r="O17" i="87" s="1"/>
  <c r="O18" i="87" s="1"/>
  <c r="O19" i="87" s="1"/>
  <c r="O20" i="87" s="1"/>
  <c r="O21" i="87" s="1"/>
  <c r="O22" i="87" s="1"/>
  <c r="O23" i="87" s="1"/>
  <c r="O24" i="87" s="1"/>
  <c r="O25" i="87" s="1"/>
  <c r="O26" i="87" s="1"/>
  <c r="O27" i="87" s="1"/>
  <c r="O28" i="87" s="1"/>
  <c r="O29" i="87" s="1"/>
  <c r="O30" i="87" s="1"/>
  <c r="O31" i="87" s="1"/>
  <c r="O32" i="87" s="1"/>
  <c r="O33" i="87" s="1"/>
  <c r="O34" i="87" s="1"/>
  <c r="O35" i="87" s="1"/>
  <c r="O36" i="87" s="1"/>
  <c r="O37" i="87" s="1"/>
  <c r="O38" i="87" s="1"/>
  <c r="O39" i="87" s="1"/>
  <c r="O40" i="87" s="1"/>
  <c r="O41" i="87" s="1"/>
  <c r="O42" i="87" s="1"/>
  <c r="O43" i="87" s="1"/>
  <c r="O44" i="87" s="1"/>
  <c r="O45" i="87" s="1"/>
  <c r="O46" i="87" s="1"/>
  <c r="O47" i="87" s="1"/>
  <c r="O48" i="87" s="1"/>
  <c r="O49" i="87" s="1"/>
  <c r="O50" i="87" s="1"/>
  <c r="O51" i="87" s="1"/>
  <c r="O52" i="87" s="1"/>
  <c r="O53" i="87" s="1"/>
  <c r="O54" i="87" s="1"/>
  <c r="O55" i="87" s="1"/>
  <c r="O56" i="87" s="1"/>
  <c r="O57" i="87" s="1"/>
  <c r="O58" i="87" s="1"/>
  <c r="O107" i="89"/>
  <c r="O107" i="87"/>
  <c r="O108" i="87" s="1"/>
  <c r="O109" i="87" s="1"/>
  <c r="O110" i="87" s="1"/>
  <c r="O111" i="87" s="1"/>
  <c r="O112" i="87" s="1"/>
  <c r="O113" i="87" s="1"/>
  <c r="O114" i="87" s="1"/>
  <c r="O115" i="87" s="1"/>
  <c r="O116" i="87" s="1"/>
  <c r="O117" i="87" s="1"/>
  <c r="O118" i="87" s="1"/>
  <c r="O11" i="89"/>
  <c r="O12" i="89" s="1"/>
  <c r="O13" i="89" s="1"/>
  <c r="O14" i="89" s="1"/>
  <c r="O15" i="89" s="1"/>
  <c r="O16" i="89" s="1"/>
  <c r="O17" i="89" s="1"/>
  <c r="O18" i="89" s="1"/>
  <c r="O19" i="89" s="1"/>
  <c r="O20" i="89" s="1"/>
  <c r="O21" i="89" s="1"/>
  <c r="O22" i="89" s="1"/>
  <c r="O23" i="89" s="1"/>
  <c r="O24" i="89" s="1"/>
  <c r="O25" i="89" s="1"/>
  <c r="O26" i="89" s="1"/>
  <c r="O27" i="89" s="1"/>
  <c r="O28" i="89" s="1"/>
  <c r="O29" i="89" s="1"/>
  <c r="O30" i="89" s="1"/>
  <c r="O31" i="89" s="1"/>
  <c r="O32" i="89" s="1"/>
  <c r="O33" i="89" s="1"/>
  <c r="O34" i="89" s="1"/>
  <c r="O35" i="89" s="1"/>
  <c r="O36" i="89" s="1"/>
  <c r="O37" i="89" s="1"/>
  <c r="O38" i="89" s="1"/>
  <c r="O39" i="89" s="1"/>
  <c r="O40" i="89" s="1"/>
  <c r="O41" i="89" s="1"/>
  <c r="O42" i="89" s="1"/>
  <c r="O43" i="89" s="1"/>
  <c r="O44" i="89" s="1"/>
  <c r="O45" i="89" s="1"/>
  <c r="O46" i="89" s="1"/>
  <c r="O47" i="89" s="1"/>
  <c r="O48" i="89" s="1"/>
  <c r="O49" i="89" s="1"/>
  <c r="O50" i="89" s="1"/>
  <c r="O51" i="89" s="1"/>
  <c r="O52" i="89" s="1"/>
  <c r="O53" i="89" s="1"/>
  <c r="O54" i="89" s="1"/>
  <c r="O55" i="89" s="1"/>
  <c r="O56" i="89" s="1"/>
  <c r="O57" i="89" s="1"/>
  <c r="O58" i="89" s="1"/>
  <c r="O155" i="87"/>
  <c r="O156" i="87" s="1"/>
  <c r="O157" i="87" s="1"/>
  <c r="O158" i="87" s="1"/>
  <c r="O159" i="87" s="1"/>
  <c r="O160" i="87" s="1"/>
  <c r="O161" i="87" s="1"/>
  <c r="O162" i="87" s="1"/>
  <c r="O163" i="87" s="1"/>
  <c r="O164" i="87" s="1"/>
  <c r="O165" i="87" s="1"/>
  <c r="O166" i="87" s="1"/>
  <c r="O155" i="89"/>
  <c r="O59" i="89"/>
  <c r="T490" i="61"/>
  <c r="U490" i="61" s="1"/>
  <c r="K83" i="53"/>
  <c r="C83" i="53" s="1"/>
  <c r="E83" i="53"/>
  <c r="E84" i="53" s="1"/>
  <c r="E85" i="53" s="1"/>
  <c r="E86" i="53" s="1"/>
  <c r="E87" i="53" s="1"/>
  <c r="E88" i="53" s="1"/>
  <c r="E89" i="53" s="1"/>
  <c r="E90" i="53" s="1"/>
  <c r="E91" i="53" s="1"/>
  <c r="E92" i="53" s="1"/>
  <c r="E93" i="53" s="1"/>
  <c r="E94" i="53" s="1"/>
  <c r="E95" i="53" s="1"/>
  <c r="E96" i="53" s="1"/>
  <c r="E97" i="53" s="1"/>
  <c r="E98" i="53" s="1"/>
  <c r="E99" i="53" s="1"/>
  <c r="E100" i="53" s="1"/>
  <c r="E101" i="53" s="1"/>
  <c r="E102" i="53" s="1"/>
  <c r="E103" i="53" s="1"/>
  <c r="E104" i="53" s="1"/>
  <c r="E105" i="53" s="1"/>
  <c r="E106" i="53" s="1"/>
  <c r="E107" i="53" s="1"/>
  <c r="E108" i="53" s="1"/>
  <c r="E109" i="53" s="1"/>
  <c r="E110" i="53" s="1"/>
  <c r="E111" i="53" s="1"/>
  <c r="E112" i="53" s="1"/>
  <c r="E113" i="53" s="1"/>
  <c r="E114" i="53" s="1"/>
  <c r="E115" i="53" s="1"/>
  <c r="E116" i="53" s="1"/>
  <c r="E117" i="53" s="1"/>
  <c r="E118" i="53" s="1"/>
  <c r="E119" i="53" s="1"/>
  <c r="E120" i="53" s="1"/>
  <c r="E121" i="53" s="1"/>
  <c r="E122" i="53" s="1"/>
  <c r="E123" i="53" s="1"/>
  <c r="E124" i="53" s="1"/>
  <c r="E125" i="53" s="1"/>
  <c r="E126" i="53" s="1"/>
  <c r="E127" i="53" s="1"/>
  <c r="E128" i="53" s="1"/>
  <c r="E129" i="53" s="1"/>
  <c r="E130" i="53" s="1"/>
  <c r="E131" i="53" s="1"/>
  <c r="E132" i="53" s="1"/>
  <c r="E133" i="53" s="1"/>
  <c r="E134" i="53" s="1"/>
  <c r="E135" i="53" s="1"/>
  <c r="E136" i="53" s="1"/>
  <c r="E137" i="53" s="1"/>
  <c r="E138" i="53" s="1"/>
  <c r="E139" i="53" s="1"/>
  <c r="E140" i="53" s="1"/>
  <c r="E141" i="53" s="1"/>
  <c r="E142" i="53" s="1"/>
  <c r="E143" i="53" s="1"/>
  <c r="E144" i="53" s="1"/>
  <c r="E145" i="53" s="1"/>
  <c r="E146" i="53" s="1"/>
  <c r="E147" i="53" s="1"/>
  <c r="E148" i="53" s="1"/>
  <c r="E149" i="53" s="1"/>
  <c r="E150" i="53" s="1"/>
  <c r="E151" i="53" s="1"/>
  <c r="E152" i="53" s="1"/>
  <c r="E153" i="53" s="1"/>
  <c r="E154" i="53" s="1"/>
  <c r="D84" i="53"/>
  <c r="O47" i="48"/>
  <c r="O48" i="48" s="1"/>
  <c r="O49" i="48" s="1"/>
  <c r="O50" i="48" s="1"/>
  <c r="O51" i="48" s="1"/>
  <c r="O52" i="48" s="1"/>
  <c r="O53" i="48" s="1"/>
  <c r="O54" i="48" s="1"/>
  <c r="O55" i="48" s="1"/>
  <c r="O56" i="48" s="1"/>
  <c r="O57" i="48" s="1"/>
  <c r="O58" i="48" s="1"/>
  <c r="O35" i="48"/>
  <c r="O36" i="48" s="1"/>
  <c r="O37" i="48" s="1"/>
  <c r="O38" i="48" s="1"/>
  <c r="O39" i="48" s="1"/>
  <c r="O40" i="48" s="1"/>
  <c r="O41" i="48" s="1"/>
  <c r="O42" i="48" s="1"/>
  <c r="O43" i="48" s="1"/>
  <c r="O44" i="48" s="1"/>
  <c r="O45" i="48" s="1"/>
  <c r="O46" i="48" s="1"/>
  <c r="O23" i="48"/>
  <c r="O24" i="48" s="1"/>
  <c r="O25" i="48" s="1"/>
  <c r="O26" i="48" s="1"/>
  <c r="O27" i="48" s="1"/>
  <c r="O28" i="48" s="1"/>
  <c r="O29" i="48" s="1"/>
  <c r="O30" i="48" s="1"/>
  <c r="O31" i="48" s="1"/>
  <c r="O32" i="48" s="1"/>
  <c r="O33" i="48" s="1"/>
  <c r="O34" i="48" s="1"/>
  <c r="K155" i="53"/>
  <c r="C155" i="53" s="1"/>
  <c r="E155" i="53"/>
  <c r="E156" i="53" s="1"/>
  <c r="E157" i="53" s="1"/>
  <c r="E158" i="53" s="1"/>
  <c r="E159" i="53" s="1"/>
  <c r="E160" i="53" s="1"/>
  <c r="E161" i="53" s="1"/>
  <c r="E162" i="53" s="1"/>
  <c r="E163" i="53" s="1"/>
  <c r="E164" i="53" s="1"/>
  <c r="E165" i="53" s="1"/>
  <c r="E166" i="53" s="1"/>
  <c r="E167" i="53" s="1"/>
  <c r="E168" i="53" s="1"/>
  <c r="E169" i="53" s="1"/>
  <c r="E170" i="53" s="1"/>
  <c r="E171" i="53" s="1"/>
  <c r="E172" i="53" s="1"/>
  <c r="E173" i="53" s="1"/>
  <c r="E174" i="53" s="1"/>
  <c r="E175" i="53" s="1"/>
  <c r="E176" i="53" s="1"/>
  <c r="E177" i="53" s="1"/>
  <c r="E178" i="53" s="1"/>
  <c r="E179" i="53" s="1"/>
  <c r="E180" i="53" s="1"/>
  <c r="E181" i="53" s="1"/>
  <c r="E182" i="53" s="1"/>
  <c r="E183" i="53" s="1"/>
  <c r="E184" i="53" s="1"/>
  <c r="E185" i="53" s="1"/>
  <c r="E186" i="53" s="1"/>
  <c r="E187" i="53" s="1"/>
  <c r="E188" i="53" s="1"/>
  <c r="E189" i="53" s="1"/>
  <c r="E190" i="53" s="1"/>
  <c r="E191" i="53" s="1"/>
  <c r="E192" i="53" s="1"/>
  <c r="E193" i="53" s="1"/>
  <c r="E194" i="53" s="1"/>
  <c r="E195" i="53" s="1"/>
  <c r="E196" i="53" s="1"/>
  <c r="E197" i="53" s="1"/>
  <c r="E198" i="53" s="1"/>
  <c r="E199" i="53" s="1"/>
  <c r="E200" i="53" s="1"/>
  <c r="E201" i="53" s="1"/>
  <c r="E202" i="53" s="1"/>
  <c r="E203" i="53" s="1"/>
  <c r="E204" i="53" s="1"/>
  <c r="E205" i="53" s="1"/>
  <c r="E206" i="53" s="1"/>
  <c r="E207" i="53" s="1"/>
  <c r="E208" i="53" s="1"/>
  <c r="E209" i="53" s="1"/>
  <c r="E210" i="53" s="1"/>
  <c r="E211" i="53" s="1"/>
  <c r="E212" i="53" s="1"/>
  <c r="E213" i="53" s="1"/>
  <c r="E214" i="53" s="1"/>
  <c r="E215" i="53" s="1"/>
  <c r="E216" i="53" s="1"/>
  <c r="E217" i="53" s="1"/>
  <c r="E218" i="53" s="1"/>
  <c r="E219" i="53" s="1"/>
  <c r="E220" i="53" s="1"/>
  <c r="E221" i="53" s="1"/>
  <c r="E222" i="53" s="1"/>
  <c r="E223" i="53" s="1"/>
  <c r="E224" i="53" s="1"/>
  <c r="E225" i="53" s="1"/>
  <c r="E226" i="53" s="1"/>
  <c r="D156" i="53"/>
  <c r="O47" i="46"/>
  <c r="O48" i="46" s="1"/>
  <c r="O49" i="46" s="1"/>
  <c r="O50" i="46" s="1"/>
  <c r="O51" i="46" s="1"/>
  <c r="O52" i="46" s="1"/>
  <c r="O53" i="46" s="1"/>
  <c r="O54" i="46" s="1"/>
  <c r="O55" i="46" s="1"/>
  <c r="O56" i="46" s="1"/>
  <c r="O57" i="46" s="1"/>
  <c r="O58" i="46" s="1"/>
  <c r="O35" i="46"/>
  <c r="O36" i="46" s="1"/>
  <c r="O37" i="46" s="1"/>
  <c r="O38" i="46" s="1"/>
  <c r="O39" i="46" s="1"/>
  <c r="O40" i="46" s="1"/>
  <c r="O41" i="46" s="1"/>
  <c r="O42" i="46" s="1"/>
  <c r="O43" i="46" s="1"/>
  <c r="O44" i="46" s="1"/>
  <c r="O45" i="46" s="1"/>
  <c r="O46" i="46" s="1"/>
  <c r="O23" i="46"/>
  <c r="O24" i="46" s="1"/>
  <c r="O25" i="46" s="1"/>
  <c r="O26" i="46" s="1"/>
  <c r="O27" i="46" s="1"/>
  <c r="O28" i="46" s="1"/>
  <c r="O29" i="46" s="1"/>
  <c r="O30" i="46" s="1"/>
  <c r="O31" i="46" s="1"/>
  <c r="O32" i="46" s="1"/>
  <c r="O33" i="46" s="1"/>
  <c r="O34" i="46" s="1"/>
  <c r="O35" i="45"/>
  <c r="O36" i="45" s="1"/>
  <c r="O37" i="45" s="1"/>
  <c r="O38" i="45" s="1"/>
  <c r="O39" i="45" s="1"/>
  <c r="O40" i="45" s="1"/>
  <c r="O41" i="45" s="1"/>
  <c r="O42" i="45" s="1"/>
  <c r="O43" i="45" s="1"/>
  <c r="O44" i="45" s="1"/>
  <c r="O45" i="45" s="1"/>
  <c r="O46" i="45" s="1"/>
  <c r="O47" i="45"/>
  <c r="O48" i="45" s="1"/>
  <c r="O49" i="45" s="1"/>
  <c r="O50" i="45" s="1"/>
  <c r="O51" i="45" s="1"/>
  <c r="O52" i="45" s="1"/>
  <c r="O53" i="45" s="1"/>
  <c r="O54" i="45" s="1"/>
  <c r="O55" i="45" s="1"/>
  <c r="O56" i="45" s="1"/>
  <c r="O57" i="45" s="1"/>
  <c r="O58" i="45" s="1"/>
  <c r="O23" i="45"/>
  <c r="O24" i="45" s="1"/>
  <c r="O25" i="45" s="1"/>
  <c r="O26" i="45" s="1"/>
  <c r="O27" i="45" s="1"/>
  <c r="O28" i="45" s="1"/>
  <c r="O29" i="45" s="1"/>
  <c r="O30" i="45" s="1"/>
  <c r="O31" i="45" s="1"/>
  <c r="O32" i="45" s="1"/>
  <c r="O33" i="45" s="1"/>
  <c r="O34" i="45" s="1"/>
  <c r="O11" i="45"/>
  <c r="O12" i="45" s="1"/>
  <c r="O13" i="45" s="1"/>
  <c r="O14" i="45" s="1"/>
  <c r="O15" i="45" s="1"/>
  <c r="O16" i="45" s="1"/>
  <c r="O17" i="45" s="1"/>
  <c r="O18" i="45" s="1"/>
  <c r="O19" i="45" s="1"/>
  <c r="O20" i="45" s="1"/>
  <c r="O21" i="45" s="1"/>
  <c r="O22" i="45" s="1"/>
  <c r="I46" i="82"/>
  <c r="I43" i="82"/>
  <c r="I39" i="82"/>
  <c r="I32" i="82"/>
  <c r="I28" i="82"/>
  <c r="I25" i="82"/>
  <c r="I21" i="82"/>
  <c r="I16" i="82"/>
  <c r="I13" i="82"/>
  <c r="I18" i="82"/>
  <c r="I37" i="82"/>
  <c r="I30" i="82"/>
  <c r="I23" i="82"/>
  <c r="I19" i="82"/>
  <c r="I15" i="82"/>
  <c r="I12" i="82"/>
  <c r="I14" i="82"/>
  <c r="I36" i="82"/>
  <c r="I33" i="82"/>
  <c r="I29" i="82"/>
  <c r="I26" i="82"/>
  <c r="I22" i="82"/>
  <c r="I45" i="82"/>
  <c r="I42" i="82"/>
  <c r="I38" i="82"/>
  <c r="I35" i="82"/>
  <c r="I31" i="82"/>
  <c r="I24" i="82"/>
  <c r="I20" i="82"/>
  <c r="I44" i="82"/>
  <c r="I41" i="82"/>
  <c r="I34" i="82"/>
  <c r="I27" i="82"/>
  <c r="I40" i="82"/>
  <c r="I17" i="82"/>
  <c r="E492" i="61"/>
  <c r="F492" i="61" s="1"/>
  <c r="D493" i="61"/>
  <c r="C493" i="61" s="1"/>
  <c r="P492" i="61"/>
  <c r="I11" i="82"/>
  <c r="H491" i="61"/>
  <c r="G491" i="61"/>
  <c r="Q491" i="61"/>
  <c r="S491" i="61" s="1"/>
  <c r="R491" i="61"/>
  <c r="J11" i="81"/>
  <c r="J12" i="81" s="1"/>
  <c r="J13" i="81" s="1"/>
  <c r="J14" i="81" s="1"/>
  <c r="J15" i="81" s="1"/>
  <c r="J16" i="81" s="1"/>
  <c r="J17" i="81" s="1"/>
  <c r="J18" i="81" s="1"/>
  <c r="J19" i="81" s="1"/>
  <c r="J20" i="81" s="1"/>
  <c r="J21" i="81" s="1"/>
  <c r="J22" i="81" s="1"/>
  <c r="J23" i="81" s="1"/>
  <c r="J24" i="81" s="1"/>
  <c r="J25" i="81" s="1"/>
  <c r="J26" i="81" s="1"/>
  <c r="J27" i="81" s="1"/>
  <c r="J28" i="81" s="1"/>
  <c r="J29" i="81" s="1"/>
  <c r="J30" i="81" s="1"/>
  <c r="J31" i="81" s="1"/>
  <c r="J32" i="81" s="1"/>
  <c r="J33" i="81" s="1"/>
  <c r="J34" i="81" s="1"/>
  <c r="J35" i="81" s="1"/>
  <c r="J36" i="81" s="1"/>
  <c r="J37" i="81" s="1"/>
  <c r="J38" i="81" s="1"/>
  <c r="J39" i="81" s="1"/>
  <c r="J40" i="81" s="1"/>
  <c r="J41" i="81" s="1"/>
  <c r="J42" i="81" s="1"/>
  <c r="J43" i="81" s="1"/>
  <c r="J44" i="81" s="1"/>
  <c r="J45" i="81" s="1"/>
  <c r="J46" i="81" s="1"/>
  <c r="J47" i="81" s="1"/>
  <c r="J48" i="81" s="1"/>
  <c r="J49" i="81" s="1"/>
  <c r="J50" i="81" s="1"/>
  <c r="J51" i="81" s="1"/>
  <c r="J52" i="81" s="1"/>
  <c r="J53" i="81" s="1"/>
  <c r="J54" i="81" s="1"/>
  <c r="J55" i="81" s="1"/>
  <c r="J56" i="81" s="1"/>
  <c r="J57" i="81" s="1"/>
  <c r="J58" i="81" s="1"/>
  <c r="J59" i="81" s="1"/>
  <c r="J60" i="81" s="1"/>
  <c r="J61" i="81" s="1"/>
  <c r="J62" i="81" s="1"/>
  <c r="J63" i="81" s="1"/>
  <c r="J64" i="81" s="1"/>
  <c r="J65" i="81" s="1"/>
  <c r="J66" i="81" s="1"/>
  <c r="J67" i="81" s="1"/>
  <c r="J68" i="81" s="1"/>
  <c r="J69" i="81" s="1"/>
  <c r="J70" i="81" s="1"/>
  <c r="J71" i="81" s="1"/>
  <c r="J72" i="81" s="1"/>
  <c r="J73" i="81" s="1"/>
  <c r="J74" i="81" s="1"/>
  <c r="J75" i="81" s="1"/>
  <c r="J76" i="81" s="1"/>
  <c r="J77" i="81" s="1"/>
  <c r="J78" i="81" s="1"/>
  <c r="J79" i="81" s="1"/>
  <c r="J80" i="81" s="1"/>
  <c r="J81" i="81" s="1"/>
  <c r="J82" i="81" s="1"/>
  <c r="J11" i="80"/>
  <c r="O11" i="79"/>
  <c r="O12" i="79" s="1"/>
  <c r="O13" i="79" s="1"/>
  <c r="O14" i="79" s="1"/>
  <c r="O15" i="79" s="1"/>
  <c r="O16" i="79" s="1"/>
  <c r="O17" i="79" s="1"/>
  <c r="O18" i="79" s="1"/>
  <c r="O19" i="79" s="1"/>
  <c r="O20" i="79" s="1"/>
  <c r="O21" i="79" s="1"/>
  <c r="O22" i="79" s="1"/>
  <c r="O23" i="79" s="1"/>
  <c r="O24" i="79" s="1"/>
  <c r="O25" i="79" s="1"/>
  <c r="O26" i="79" s="1"/>
  <c r="O27" i="79" s="1"/>
  <c r="O28" i="79" s="1"/>
  <c r="O29" i="79" s="1"/>
  <c r="O30" i="79" s="1"/>
  <c r="O31" i="79" s="1"/>
  <c r="O32" i="79" s="1"/>
  <c r="O33" i="79" s="1"/>
  <c r="O34" i="79" s="1"/>
  <c r="O35" i="79" s="1"/>
  <c r="O36" i="79" s="1"/>
  <c r="O37" i="79" s="1"/>
  <c r="O38" i="79" s="1"/>
  <c r="O39" i="79" s="1"/>
  <c r="O40" i="79" s="1"/>
  <c r="K11" i="78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K90" i="78" s="1"/>
  <c r="K91" i="78" s="1"/>
  <c r="K92" i="78" s="1"/>
  <c r="K93" i="78" s="1"/>
  <c r="K94" i="78" s="1"/>
  <c r="K95" i="78" s="1"/>
  <c r="K96" i="78" s="1"/>
  <c r="K97" i="78" s="1"/>
  <c r="K98" i="78" s="1"/>
  <c r="K99" i="78" s="1"/>
  <c r="K100" i="78" s="1"/>
  <c r="K101" i="78" s="1"/>
  <c r="K102" i="78" s="1"/>
  <c r="K103" i="78" s="1"/>
  <c r="K104" i="78" s="1"/>
  <c r="K105" i="78" s="1"/>
  <c r="K106" i="78" s="1"/>
  <c r="K107" i="78" s="1"/>
  <c r="K108" i="78" s="1"/>
  <c r="K109" i="78" s="1"/>
  <c r="K110" i="78" s="1"/>
  <c r="K111" i="78" s="1"/>
  <c r="K112" i="78" s="1"/>
  <c r="K113" i="78" s="1"/>
  <c r="K114" i="78" s="1"/>
  <c r="K115" i="78" s="1"/>
  <c r="K116" i="78" s="1"/>
  <c r="K117" i="78" s="1"/>
  <c r="K118" i="78" s="1"/>
  <c r="K119" i="78" s="1"/>
  <c r="K120" i="78" s="1"/>
  <c r="K121" i="78" s="1"/>
  <c r="K122" i="78" s="1"/>
  <c r="K123" i="78" s="1"/>
  <c r="K124" i="78" s="1"/>
  <c r="K125" i="78" s="1"/>
  <c r="K126" i="78" s="1"/>
  <c r="K127" i="78" s="1"/>
  <c r="K128" i="78" s="1"/>
  <c r="K129" i="78" s="1"/>
  <c r="K130" i="78" s="1"/>
  <c r="K131" i="78" s="1"/>
  <c r="K132" i="78" s="1"/>
  <c r="K133" i="78" s="1"/>
  <c r="K134" i="78" s="1"/>
  <c r="K135" i="78" s="1"/>
  <c r="K136" i="78" s="1"/>
  <c r="K137" i="78" s="1"/>
  <c r="K138" i="78" s="1"/>
  <c r="K139" i="78" s="1"/>
  <c r="K140" i="78" s="1"/>
  <c r="K141" i="78" s="1"/>
  <c r="K142" i="78" s="1"/>
  <c r="K143" i="78" s="1"/>
  <c r="K144" i="78" s="1"/>
  <c r="K145" i="78" s="1"/>
  <c r="K146" i="78" s="1"/>
  <c r="K147" i="78" s="1"/>
  <c r="K148" i="78" s="1"/>
  <c r="K149" i="78" s="1"/>
  <c r="K150" i="78" s="1"/>
  <c r="K151" i="78" s="1"/>
  <c r="K152" i="78" s="1"/>
  <c r="K153" i="78" s="1"/>
  <c r="K154" i="78" s="1"/>
  <c r="K155" i="78" s="1"/>
  <c r="K156" i="78" s="1"/>
  <c r="K157" i="78" s="1"/>
  <c r="K158" i="78" s="1"/>
  <c r="K159" i="78" s="1"/>
  <c r="K160" i="78" s="1"/>
  <c r="K161" i="78" s="1"/>
  <c r="K162" i="78" s="1"/>
  <c r="K163" i="78" s="1"/>
  <c r="K164" i="78" s="1"/>
  <c r="K165" i="78" s="1"/>
  <c r="K166" i="78" s="1"/>
  <c r="K167" i="78" s="1"/>
  <c r="K168" i="78" s="1"/>
  <c r="K169" i="78" s="1"/>
  <c r="K170" i="78" s="1"/>
  <c r="K171" i="78" s="1"/>
  <c r="K172" i="78" s="1"/>
  <c r="K173" i="78" s="1"/>
  <c r="K174" i="78" s="1"/>
  <c r="K175" i="78" s="1"/>
  <c r="K176" i="78" s="1"/>
  <c r="K177" i="78" s="1"/>
  <c r="K178" i="78" s="1"/>
  <c r="K179" i="78" s="1"/>
  <c r="K180" i="78" s="1"/>
  <c r="K181" i="78" s="1"/>
  <c r="K182" i="78" s="1"/>
  <c r="K183" i="78" s="1"/>
  <c r="K184" i="78" s="1"/>
  <c r="K185" i="78" s="1"/>
  <c r="K186" i="78" s="1"/>
  <c r="K187" i="78" s="1"/>
  <c r="K188" i="78" s="1"/>
  <c r="K189" i="78" s="1"/>
  <c r="K190" i="78" s="1"/>
  <c r="K191" i="78" s="1"/>
  <c r="K192" i="78" s="1"/>
  <c r="K193" i="78" s="1"/>
  <c r="K194" i="78" s="1"/>
  <c r="K195" i="78" s="1"/>
  <c r="K196" i="78" s="1"/>
  <c r="K197" i="78" s="1"/>
  <c r="K198" i="78" s="1"/>
  <c r="K199" i="78" s="1"/>
  <c r="K200" i="78" s="1"/>
  <c r="K201" i="78" s="1"/>
  <c r="K202" i="78" s="1"/>
  <c r="K203" i="78" s="1"/>
  <c r="K204" i="78" s="1"/>
  <c r="K205" i="78" s="1"/>
  <c r="K206" i="78" s="1"/>
  <c r="K207" i="78" s="1"/>
  <c r="K208" i="78" s="1"/>
  <c r="K209" i="78" s="1"/>
  <c r="K210" i="78" s="1"/>
  <c r="K211" i="78" s="1"/>
  <c r="K212" i="78" s="1"/>
  <c r="K213" i="78" s="1"/>
  <c r="K214" i="78" s="1"/>
  <c r="K215" i="78" s="1"/>
  <c r="K216" i="78" s="1"/>
  <c r="K217" i="78" s="1"/>
  <c r="K218" i="78" s="1"/>
  <c r="K219" i="78" s="1"/>
  <c r="K220" i="78" s="1"/>
  <c r="K221" i="78" s="1"/>
  <c r="K222" i="78" s="1"/>
  <c r="K223" i="78" s="1"/>
  <c r="K224" i="78" s="1"/>
  <c r="K225" i="78" s="1"/>
  <c r="K226" i="78" s="1"/>
  <c r="K227" i="78" s="1"/>
  <c r="K228" i="78" s="1"/>
  <c r="K229" i="78" s="1"/>
  <c r="K230" i="78" s="1"/>
  <c r="K231" i="78" s="1"/>
  <c r="K232" i="78" s="1"/>
  <c r="K233" i="78" s="1"/>
  <c r="K234" i="78" s="1"/>
  <c r="K235" i="78" s="1"/>
  <c r="K236" i="78" s="1"/>
  <c r="K237" i="78" s="1"/>
  <c r="K238" i="78" s="1"/>
  <c r="K239" i="78" s="1"/>
  <c r="K240" i="78" s="1"/>
  <c r="K241" i="78" s="1"/>
  <c r="K242" i="78" s="1"/>
  <c r="K243" i="78" s="1"/>
  <c r="K244" i="78" s="1"/>
  <c r="K245" i="78" s="1"/>
  <c r="K246" i="78" s="1"/>
  <c r="K247" i="78" s="1"/>
  <c r="K248" i="78" s="1"/>
  <c r="K249" i="78" s="1"/>
  <c r="K250" i="78" s="1"/>
  <c r="K251" i="78" s="1"/>
  <c r="K252" i="78" s="1"/>
  <c r="K253" i="78" s="1"/>
  <c r="K254" i="78" s="1"/>
  <c r="K255" i="78" s="1"/>
  <c r="K256" i="78" s="1"/>
  <c r="K257" i="78" s="1"/>
  <c r="K258" i="78" s="1"/>
  <c r="K259" i="78" s="1"/>
  <c r="K260" i="78" s="1"/>
  <c r="K261" i="78" s="1"/>
  <c r="K262" i="78" s="1"/>
  <c r="K263" i="78" s="1"/>
  <c r="K264" i="78" s="1"/>
  <c r="K265" i="78" s="1"/>
  <c r="K266" i="78" s="1"/>
  <c r="K267" i="78" s="1"/>
  <c r="K268" i="78" s="1"/>
  <c r="K269" i="78" s="1"/>
  <c r="K270" i="78" s="1"/>
  <c r="K271" i="78" s="1"/>
  <c r="K272" i="78" s="1"/>
  <c r="K273" i="78" s="1"/>
  <c r="K274" i="78" s="1"/>
  <c r="K275" i="78" s="1"/>
  <c r="K276" i="78" s="1"/>
  <c r="K277" i="78" s="1"/>
  <c r="K278" i="78" s="1"/>
  <c r="K279" i="78" s="1"/>
  <c r="K280" i="78" s="1"/>
  <c r="K281" i="78" s="1"/>
  <c r="K282" i="78" s="1"/>
  <c r="K283" i="78" s="1"/>
  <c r="K284" i="78" s="1"/>
  <c r="K285" i="78" s="1"/>
  <c r="K286" i="78" s="1"/>
  <c r="K287" i="78" s="1"/>
  <c r="K288" i="78" s="1"/>
  <c r="K289" i="78" s="1"/>
  <c r="K290" i="78" s="1"/>
  <c r="K291" i="78" s="1"/>
  <c r="K292" i="78" s="1"/>
  <c r="K293" i="78" s="1"/>
  <c r="K294" i="78" s="1"/>
  <c r="K295" i="78" s="1"/>
  <c r="K296" i="78" s="1"/>
  <c r="K297" i="78" s="1"/>
  <c r="K298" i="78" s="1"/>
  <c r="K299" i="78" s="1"/>
  <c r="K300" i="78" s="1"/>
  <c r="K301" i="78" s="1"/>
  <c r="K302" i="78" s="1"/>
  <c r="K303" i="78" s="1"/>
  <c r="K304" i="78" s="1"/>
  <c r="K305" i="78" s="1"/>
  <c r="K306" i="78" s="1"/>
  <c r="K307" i="78" s="1"/>
  <c r="K308" i="78" s="1"/>
  <c r="K309" i="78" s="1"/>
  <c r="K310" i="78" s="1"/>
  <c r="K311" i="78" s="1"/>
  <c r="K312" i="78" s="1"/>
  <c r="K313" i="78" s="1"/>
  <c r="K314" i="78" s="1"/>
  <c r="K315" i="78" s="1"/>
  <c r="K316" i="78" s="1"/>
  <c r="K317" i="78" s="1"/>
  <c r="K318" i="78" s="1"/>
  <c r="K319" i="78" s="1"/>
  <c r="K320" i="78" s="1"/>
  <c r="K321" i="78" s="1"/>
  <c r="K322" i="78" s="1"/>
  <c r="K323" i="78" s="1"/>
  <c r="K324" i="78" s="1"/>
  <c r="K325" i="78" s="1"/>
  <c r="K326" i="78" s="1"/>
  <c r="K327" i="78" s="1"/>
  <c r="K328" i="78" s="1"/>
  <c r="K329" i="78" s="1"/>
  <c r="K330" i="78" s="1"/>
  <c r="K331" i="78" s="1"/>
  <c r="K332" i="78" s="1"/>
  <c r="K333" i="78" s="1"/>
  <c r="K334" i="78" s="1"/>
  <c r="K335" i="78" s="1"/>
  <c r="K336" i="78" s="1"/>
  <c r="K337" i="78" s="1"/>
  <c r="K338" i="78" s="1"/>
  <c r="K339" i="78" s="1"/>
  <c r="K340" i="78" s="1"/>
  <c r="K341" i="78" s="1"/>
  <c r="K342" i="78" s="1"/>
  <c r="K343" i="78" s="1"/>
  <c r="K344" i="78" s="1"/>
  <c r="K345" i="78" s="1"/>
  <c r="K346" i="78" s="1"/>
  <c r="K347" i="78" s="1"/>
  <c r="K348" i="78" s="1"/>
  <c r="K349" i="78" s="1"/>
  <c r="K350" i="78" s="1"/>
  <c r="K351" i="78" s="1"/>
  <c r="K352" i="78" s="1"/>
  <c r="K353" i="78" s="1"/>
  <c r="K354" i="78" s="1"/>
  <c r="K355" i="78" s="1"/>
  <c r="K356" i="78" s="1"/>
  <c r="K357" i="78" s="1"/>
  <c r="K358" i="78" s="1"/>
  <c r="K359" i="78" s="1"/>
  <c r="K360" i="78" s="1"/>
  <c r="K361" i="78" s="1"/>
  <c r="K362" i="78" s="1"/>
  <c r="K363" i="78" s="1"/>
  <c r="K364" i="78" s="1"/>
  <c r="K365" i="78" s="1"/>
  <c r="K366" i="78" s="1"/>
  <c r="K367" i="78" s="1"/>
  <c r="K368" i="78" s="1"/>
  <c r="K369" i="78" s="1"/>
  <c r="K370" i="78" s="1"/>
  <c r="K371" i="78" s="1"/>
  <c r="K372" i="78" s="1"/>
  <c r="K373" i="78" s="1"/>
  <c r="K374" i="78" s="1"/>
  <c r="K375" i="78" s="1"/>
  <c r="K376" i="78" s="1"/>
  <c r="K377" i="78" s="1"/>
  <c r="K378" i="78" s="1"/>
  <c r="K379" i="78" s="1"/>
  <c r="K380" i="78" s="1"/>
  <c r="K381" i="78" s="1"/>
  <c r="K382" i="78" s="1"/>
  <c r="K383" i="78" s="1"/>
  <c r="K384" i="78" s="1"/>
  <c r="K385" i="78" s="1"/>
  <c r="K386" i="78" s="1"/>
  <c r="K387" i="78" s="1"/>
  <c r="K388" i="78" s="1"/>
  <c r="K389" i="78" s="1"/>
  <c r="K390" i="78" s="1"/>
  <c r="K391" i="78" s="1"/>
  <c r="K392" i="78" s="1"/>
  <c r="K393" i="78" s="1"/>
  <c r="K394" i="78" s="1"/>
  <c r="K395" i="78" s="1"/>
  <c r="K396" i="78" s="1"/>
  <c r="K397" i="78" s="1"/>
  <c r="K398" i="78" s="1"/>
  <c r="K399" i="78" s="1"/>
  <c r="K400" i="78" s="1"/>
  <c r="K401" i="78" s="1"/>
  <c r="K402" i="78" s="1"/>
  <c r="K403" i="78" s="1"/>
  <c r="K404" i="78" s="1"/>
  <c r="K405" i="78" s="1"/>
  <c r="K406" i="78" s="1"/>
  <c r="K407" i="78" s="1"/>
  <c r="K408" i="78" s="1"/>
  <c r="K409" i="78" s="1"/>
  <c r="K410" i="78" s="1"/>
  <c r="K411" i="78" s="1"/>
  <c r="K412" i="78" s="1"/>
  <c r="K413" i="78" s="1"/>
  <c r="K414" i="78" s="1"/>
  <c r="K415" i="78" s="1"/>
  <c r="K416" i="78" s="1"/>
  <c r="K417" i="78" s="1"/>
  <c r="K418" i="78" s="1"/>
  <c r="K419" i="78" s="1"/>
  <c r="K420" i="78" s="1"/>
  <c r="K421" i="78" s="1"/>
  <c r="K422" i="78" s="1"/>
  <c r="K423" i="78" s="1"/>
  <c r="K424" i="78" s="1"/>
  <c r="K425" i="78" s="1"/>
  <c r="K426" i="78" s="1"/>
  <c r="K427" i="78" s="1"/>
  <c r="K428" i="78" s="1"/>
  <c r="K429" i="78" s="1"/>
  <c r="K430" i="78" s="1"/>
  <c r="K431" i="78" s="1"/>
  <c r="K432" i="78" s="1"/>
  <c r="K433" i="78" s="1"/>
  <c r="K434" i="78" s="1"/>
  <c r="K435" i="78" s="1"/>
  <c r="K436" i="78" s="1"/>
  <c r="K437" i="78" s="1"/>
  <c r="K438" i="78" s="1"/>
  <c r="K439" i="78" s="1"/>
  <c r="K440" i="78" s="1"/>
  <c r="K441" i="78" s="1"/>
  <c r="K442" i="78" s="1"/>
  <c r="K11" i="77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99" i="77" s="1"/>
  <c r="K100" i="77" s="1"/>
  <c r="K101" i="77" s="1"/>
  <c r="K102" i="77" s="1"/>
  <c r="K103" i="77" s="1"/>
  <c r="K104" i="77" s="1"/>
  <c r="K105" i="77" s="1"/>
  <c r="K106" i="77" s="1"/>
  <c r="K107" i="77" s="1"/>
  <c r="K108" i="77" s="1"/>
  <c r="K109" i="77" s="1"/>
  <c r="K110" i="77" s="1"/>
  <c r="K111" i="77" s="1"/>
  <c r="K112" i="77" s="1"/>
  <c r="K113" i="77" s="1"/>
  <c r="K114" i="77" s="1"/>
  <c r="K115" i="77" s="1"/>
  <c r="K116" i="77" s="1"/>
  <c r="K117" i="77" s="1"/>
  <c r="K118" i="77" s="1"/>
  <c r="K119" i="77" s="1"/>
  <c r="K120" i="77" s="1"/>
  <c r="K121" i="77" s="1"/>
  <c r="K122" i="77" s="1"/>
  <c r="K123" i="77" s="1"/>
  <c r="K124" i="77" s="1"/>
  <c r="K125" i="77" s="1"/>
  <c r="K126" i="77" s="1"/>
  <c r="K127" i="77" s="1"/>
  <c r="K128" i="77" s="1"/>
  <c r="K129" i="77" s="1"/>
  <c r="K130" i="77" s="1"/>
  <c r="K131" i="77" s="1"/>
  <c r="K132" i="77" s="1"/>
  <c r="K133" i="77" s="1"/>
  <c r="K134" i="77" s="1"/>
  <c r="K135" i="77" s="1"/>
  <c r="K136" i="77" s="1"/>
  <c r="K137" i="77" s="1"/>
  <c r="K138" i="77" s="1"/>
  <c r="K139" i="77" s="1"/>
  <c r="K140" i="77" s="1"/>
  <c r="K141" i="77" s="1"/>
  <c r="K142" i="77" s="1"/>
  <c r="K143" i="77" s="1"/>
  <c r="K144" i="77" s="1"/>
  <c r="K145" i="77" s="1"/>
  <c r="K146" i="77" s="1"/>
  <c r="K147" i="77" s="1"/>
  <c r="K148" i="77" s="1"/>
  <c r="K149" i="77" s="1"/>
  <c r="K150" i="77" s="1"/>
  <c r="K151" i="77" s="1"/>
  <c r="K152" i="77" s="1"/>
  <c r="K153" i="77" s="1"/>
  <c r="K154" i="77" s="1"/>
  <c r="K155" i="77" s="1"/>
  <c r="K156" i="77" s="1"/>
  <c r="K157" i="77" s="1"/>
  <c r="K158" i="77" s="1"/>
  <c r="K159" i="77" s="1"/>
  <c r="K160" i="77" s="1"/>
  <c r="K161" i="77" s="1"/>
  <c r="K162" i="77" s="1"/>
  <c r="K163" i="77" s="1"/>
  <c r="K164" i="77" s="1"/>
  <c r="K165" i="77" s="1"/>
  <c r="K166" i="77" s="1"/>
  <c r="K167" i="77" s="1"/>
  <c r="K168" i="77" s="1"/>
  <c r="K169" i="77" s="1"/>
  <c r="K170" i="77" s="1"/>
  <c r="K171" i="77" s="1"/>
  <c r="K172" i="77" s="1"/>
  <c r="K173" i="77" s="1"/>
  <c r="K174" i="77" s="1"/>
  <c r="K175" i="77" s="1"/>
  <c r="K176" i="77" s="1"/>
  <c r="K177" i="77" s="1"/>
  <c r="K178" i="77" s="1"/>
  <c r="K179" i="77" s="1"/>
  <c r="K180" i="77" s="1"/>
  <c r="K181" i="77" s="1"/>
  <c r="K182" i="77" s="1"/>
  <c r="K183" i="77" s="1"/>
  <c r="K184" i="77" s="1"/>
  <c r="K185" i="77" s="1"/>
  <c r="K186" i="77" s="1"/>
  <c r="K187" i="77" s="1"/>
  <c r="K188" i="77" s="1"/>
  <c r="K189" i="77" s="1"/>
  <c r="K190" i="77" s="1"/>
  <c r="K191" i="77" s="1"/>
  <c r="K192" i="77" s="1"/>
  <c r="K193" i="77" s="1"/>
  <c r="K194" i="77" s="1"/>
  <c r="K195" i="77" s="1"/>
  <c r="K196" i="77" s="1"/>
  <c r="K197" i="77" s="1"/>
  <c r="K198" i="77" s="1"/>
  <c r="K199" i="77" s="1"/>
  <c r="K200" i="77" s="1"/>
  <c r="K201" i="77" s="1"/>
  <c r="K202" i="77" s="1"/>
  <c r="K203" i="77" s="1"/>
  <c r="K204" i="77" s="1"/>
  <c r="K205" i="77" s="1"/>
  <c r="K206" i="77" s="1"/>
  <c r="K207" i="77" s="1"/>
  <c r="K208" i="77" s="1"/>
  <c r="K209" i="77" s="1"/>
  <c r="K210" i="77" s="1"/>
  <c r="K211" i="77" s="1"/>
  <c r="K212" i="77" s="1"/>
  <c r="K213" i="77" s="1"/>
  <c r="K214" i="77" s="1"/>
  <c r="K215" i="77" s="1"/>
  <c r="K216" i="77" s="1"/>
  <c r="K217" i="77" s="1"/>
  <c r="K218" i="77" s="1"/>
  <c r="K219" i="77" s="1"/>
  <c r="K220" i="77" s="1"/>
  <c r="K221" i="77" s="1"/>
  <c r="K222" i="77" s="1"/>
  <c r="K223" i="77" s="1"/>
  <c r="K224" i="77" s="1"/>
  <c r="K225" i="77" s="1"/>
  <c r="K226" i="77" s="1"/>
  <c r="K227" i="77" s="1"/>
  <c r="K228" i="77" s="1"/>
  <c r="K229" i="77" s="1"/>
  <c r="K230" i="77" s="1"/>
  <c r="K231" i="77" s="1"/>
  <c r="K232" i="77" s="1"/>
  <c r="K233" i="77" s="1"/>
  <c r="K234" i="77" s="1"/>
  <c r="K235" i="77" s="1"/>
  <c r="K236" i="77" s="1"/>
  <c r="K237" i="77" s="1"/>
  <c r="K238" i="77" s="1"/>
  <c r="K239" i="77" s="1"/>
  <c r="K240" i="77" s="1"/>
  <c r="K241" i="77" s="1"/>
  <c r="K242" i="77" s="1"/>
  <c r="K243" i="77" s="1"/>
  <c r="K244" i="77" s="1"/>
  <c r="K245" i="77" s="1"/>
  <c r="K246" i="77" s="1"/>
  <c r="K247" i="77" s="1"/>
  <c r="K248" i="77" s="1"/>
  <c r="K249" i="77" s="1"/>
  <c r="K250" i="77" s="1"/>
  <c r="K251" i="77" s="1"/>
  <c r="K252" i="77" s="1"/>
  <c r="K253" i="77" s="1"/>
  <c r="K254" i="77" s="1"/>
  <c r="K255" i="77" s="1"/>
  <c r="K256" i="77" s="1"/>
  <c r="K257" i="77" s="1"/>
  <c r="K258" i="77" s="1"/>
  <c r="K259" i="77" s="1"/>
  <c r="K260" i="77" s="1"/>
  <c r="K261" i="77" s="1"/>
  <c r="K262" i="77" s="1"/>
  <c r="K263" i="77" s="1"/>
  <c r="K264" i="77" s="1"/>
  <c r="K265" i="77" s="1"/>
  <c r="K266" i="77" s="1"/>
  <c r="K267" i="77" s="1"/>
  <c r="K268" i="77" s="1"/>
  <c r="K269" i="77" s="1"/>
  <c r="K270" i="77" s="1"/>
  <c r="K271" i="77" s="1"/>
  <c r="K272" i="77" s="1"/>
  <c r="K273" i="77" s="1"/>
  <c r="K274" i="77" s="1"/>
  <c r="K275" i="77" s="1"/>
  <c r="K276" i="77" s="1"/>
  <c r="K277" i="77" s="1"/>
  <c r="K278" i="77" s="1"/>
  <c r="K279" i="77" s="1"/>
  <c r="K280" i="77" s="1"/>
  <c r="K281" i="77" s="1"/>
  <c r="K282" i="77" s="1"/>
  <c r="K283" i="77" s="1"/>
  <c r="K284" i="77" s="1"/>
  <c r="K285" i="77" s="1"/>
  <c r="K286" i="77" s="1"/>
  <c r="K287" i="77" s="1"/>
  <c r="K288" i="77" s="1"/>
  <c r="K289" i="77" s="1"/>
  <c r="K290" i="77" s="1"/>
  <c r="K291" i="77" s="1"/>
  <c r="K292" i="77" s="1"/>
  <c r="K293" i="77" s="1"/>
  <c r="K294" i="77" s="1"/>
  <c r="K295" i="77" s="1"/>
  <c r="K296" i="77" s="1"/>
  <c r="K297" i="77" s="1"/>
  <c r="K298" i="77" s="1"/>
  <c r="N11" i="71"/>
  <c r="N12" i="71" s="1"/>
  <c r="N13" i="71" s="1"/>
  <c r="N14" i="71" s="1"/>
  <c r="N15" i="71" s="1"/>
  <c r="N16" i="71" s="1"/>
  <c r="N17" i="71" s="1"/>
  <c r="N18" i="71" s="1"/>
  <c r="N19" i="71" s="1"/>
  <c r="N20" i="71" s="1"/>
  <c r="N21" i="71" s="1"/>
  <c r="N22" i="71" s="1"/>
  <c r="N23" i="71" s="1"/>
  <c r="N24" i="71" s="1"/>
  <c r="N25" i="71" s="1"/>
  <c r="N26" i="71" s="1"/>
  <c r="N27" i="71" s="1"/>
  <c r="N28" i="71" s="1"/>
  <c r="N29" i="71" s="1"/>
  <c r="N30" i="71" s="1"/>
  <c r="N31" i="71" s="1"/>
  <c r="N32" i="71" s="1"/>
  <c r="N33" i="71" s="1"/>
  <c r="N34" i="71" s="1"/>
  <c r="N35" i="71" s="1"/>
  <c r="N36" i="71" s="1"/>
  <c r="N37" i="71" s="1"/>
  <c r="N38" i="71" s="1"/>
  <c r="N39" i="71" s="1"/>
  <c r="N40" i="71" s="1"/>
  <c r="N41" i="71" s="1"/>
  <c r="N42" i="71" s="1"/>
  <c r="N43" i="71" s="1"/>
  <c r="N44" i="71" s="1"/>
  <c r="N45" i="71" s="1"/>
  <c r="N46" i="71" s="1"/>
  <c r="N47" i="71" s="1"/>
  <c r="N48" i="71" s="1"/>
  <c r="N49" i="71" s="1"/>
  <c r="N50" i="71" s="1"/>
  <c r="N51" i="71" s="1"/>
  <c r="N52" i="71" s="1"/>
  <c r="N53" i="71" s="1"/>
  <c r="N54" i="71" s="1"/>
  <c r="N55" i="71" s="1"/>
  <c r="N56" i="71" s="1"/>
  <c r="N57" i="71" s="1"/>
  <c r="N58" i="71" s="1"/>
  <c r="K11" i="72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K24" i="72" s="1"/>
  <c r="K25" i="72" s="1"/>
  <c r="K26" i="72" s="1"/>
  <c r="K27" i="72" s="1"/>
  <c r="K28" i="72" s="1"/>
  <c r="K29" i="72" s="1"/>
  <c r="K30" i="72" s="1"/>
  <c r="K31" i="72" s="1"/>
  <c r="K32" i="72" s="1"/>
  <c r="K33" i="72" s="1"/>
  <c r="K34" i="72" s="1"/>
  <c r="K35" i="72" s="1"/>
  <c r="K36" i="72" s="1"/>
  <c r="K37" i="72" s="1"/>
  <c r="K38" i="72" s="1"/>
  <c r="K39" i="72" s="1"/>
  <c r="K40" i="72" s="1"/>
  <c r="K41" i="72" s="1"/>
  <c r="K42" i="72" s="1"/>
  <c r="K43" i="72" s="1"/>
  <c r="K44" i="72" s="1"/>
  <c r="K45" i="72" s="1"/>
  <c r="K46" i="72" s="1"/>
  <c r="K11" i="70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24" i="70" s="1"/>
  <c r="K25" i="70" s="1"/>
  <c r="K26" i="70" s="1"/>
  <c r="K27" i="70" s="1"/>
  <c r="K28" i="70" s="1"/>
  <c r="K29" i="70" s="1"/>
  <c r="K30" i="70" s="1"/>
  <c r="K31" i="70" s="1"/>
  <c r="K32" i="70" s="1"/>
  <c r="K33" i="70" s="1"/>
  <c r="K34" i="70" s="1"/>
  <c r="I11" i="69"/>
  <c r="I12" i="69" s="1"/>
  <c r="I13" i="69" s="1"/>
  <c r="I14" i="69" s="1"/>
  <c r="I15" i="69" s="1"/>
  <c r="I16" i="69" s="1"/>
  <c r="I17" i="69" s="1"/>
  <c r="I18" i="69" s="1"/>
  <c r="I19" i="69" s="1"/>
  <c r="I20" i="69" s="1"/>
  <c r="I21" i="69" s="1"/>
  <c r="I22" i="69" s="1"/>
  <c r="I23" i="69" s="1"/>
  <c r="I24" i="69" s="1"/>
  <c r="I25" i="69" s="1"/>
  <c r="I26" i="69" s="1"/>
  <c r="I27" i="69" s="1"/>
  <c r="I28" i="69" s="1"/>
  <c r="I29" i="69" s="1"/>
  <c r="I30" i="69" s="1"/>
  <c r="I31" i="69" s="1"/>
  <c r="I32" i="69" s="1"/>
  <c r="I33" i="69" s="1"/>
  <c r="I34" i="69" s="1"/>
  <c r="I35" i="69" s="1"/>
  <c r="I36" i="69" s="1"/>
  <c r="I37" i="69" s="1"/>
  <c r="I38" i="69" s="1"/>
  <c r="I39" i="69" s="1"/>
  <c r="I40" i="69" s="1"/>
  <c r="I41" i="69" s="1"/>
  <c r="I42" i="69" s="1"/>
  <c r="I43" i="69" s="1"/>
  <c r="I44" i="69" s="1"/>
  <c r="I45" i="69" s="1"/>
  <c r="I46" i="69" s="1"/>
  <c r="I47" i="69" s="1"/>
  <c r="I48" i="69" s="1"/>
  <c r="I49" i="69" s="1"/>
  <c r="I50" i="69" s="1"/>
  <c r="I51" i="69" s="1"/>
  <c r="I52" i="69" s="1"/>
  <c r="I53" i="69" s="1"/>
  <c r="I54" i="69" s="1"/>
  <c r="I55" i="69" s="1"/>
  <c r="I56" i="69" s="1"/>
  <c r="I57" i="69" s="1"/>
  <c r="I58" i="69" s="1"/>
  <c r="I59" i="69" s="1"/>
  <c r="I60" i="69" s="1"/>
  <c r="I61" i="69" s="1"/>
  <c r="I62" i="69" s="1"/>
  <c r="I63" i="69" s="1"/>
  <c r="I64" i="69" s="1"/>
  <c r="I65" i="69" s="1"/>
  <c r="I66" i="69" s="1"/>
  <c r="I67" i="69" s="1"/>
  <c r="I68" i="69" s="1"/>
  <c r="I69" i="69" s="1"/>
  <c r="I70" i="69" s="1"/>
  <c r="I71" i="69" s="1"/>
  <c r="I72" i="69" s="1"/>
  <c r="I73" i="69" s="1"/>
  <c r="I74" i="69" s="1"/>
  <c r="I75" i="69" s="1"/>
  <c r="I76" i="69" s="1"/>
  <c r="I77" i="69" s="1"/>
  <c r="I78" i="69" s="1"/>
  <c r="I79" i="69" s="1"/>
  <c r="I80" i="69" s="1"/>
  <c r="I81" i="69" s="1"/>
  <c r="I82" i="69" s="1"/>
  <c r="I83" i="69" s="1"/>
  <c r="I84" i="69" s="1"/>
  <c r="I85" i="69" s="1"/>
  <c r="I86" i="69" s="1"/>
  <c r="I87" i="69" s="1"/>
  <c r="I88" i="69" s="1"/>
  <c r="I89" i="69" s="1"/>
  <c r="I90" i="69" s="1"/>
  <c r="I91" i="69" s="1"/>
  <c r="I92" i="69" s="1"/>
  <c r="I93" i="69" s="1"/>
  <c r="I94" i="69" s="1"/>
  <c r="I95" i="69" s="1"/>
  <c r="I96" i="69" s="1"/>
  <c r="I97" i="69" s="1"/>
  <c r="I98" i="69" s="1"/>
  <c r="I99" i="69" s="1"/>
  <c r="I100" i="69" s="1"/>
  <c r="I101" i="69" s="1"/>
  <c r="I102" i="69" s="1"/>
  <c r="I103" i="69" s="1"/>
  <c r="I104" i="69" s="1"/>
  <c r="I105" i="69" s="1"/>
  <c r="I106" i="69" s="1"/>
  <c r="I107" i="69" s="1"/>
  <c r="I108" i="69" s="1"/>
  <c r="I109" i="69" s="1"/>
  <c r="I110" i="69" s="1"/>
  <c r="I111" i="69" s="1"/>
  <c r="I112" i="69" s="1"/>
  <c r="I113" i="69" s="1"/>
  <c r="I114" i="69" s="1"/>
  <c r="I115" i="69" s="1"/>
  <c r="I116" i="69" s="1"/>
  <c r="I117" i="69" s="1"/>
  <c r="I118" i="69" s="1"/>
  <c r="I119" i="69" s="1"/>
  <c r="I120" i="69" s="1"/>
  <c r="I121" i="69" s="1"/>
  <c r="I122" i="69" s="1"/>
  <c r="I123" i="69" s="1"/>
  <c r="I124" i="69" s="1"/>
  <c r="I125" i="69" s="1"/>
  <c r="I126" i="69" s="1"/>
  <c r="I127" i="69" s="1"/>
  <c r="I128" i="69" s="1"/>
  <c r="I129" i="69" s="1"/>
  <c r="I130" i="69" s="1"/>
  <c r="I131" i="69" s="1"/>
  <c r="I132" i="69" s="1"/>
  <c r="I133" i="69" s="1"/>
  <c r="I134" i="69" s="1"/>
  <c r="I135" i="69" s="1"/>
  <c r="I136" i="69" s="1"/>
  <c r="I137" i="69" s="1"/>
  <c r="I138" i="69" s="1"/>
  <c r="I139" i="69" s="1"/>
  <c r="I140" i="69" s="1"/>
  <c r="I141" i="69" s="1"/>
  <c r="I142" i="69" s="1"/>
  <c r="I143" i="69" s="1"/>
  <c r="I144" i="69" s="1"/>
  <c r="I145" i="69" s="1"/>
  <c r="I146" i="69" s="1"/>
  <c r="I147" i="69" s="1"/>
  <c r="I148" i="69" s="1"/>
  <c r="I149" i="69" s="1"/>
  <c r="I150" i="69" s="1"/>
  <c r="I151" i="69" s="1"/>
  <c r="I152" i="69" s="1"/>
  <c r="I153" i="69" s="1"/>
  <c r="I154" i="69" s="1"/>
  <c r="K11" i="68"/>
  <c r="I11" i="67"/>
  <c r="K11" i="66"/>
  <c r="K11" i="65"/>
  <c r="O11" i="63"/>
  <c r="O12" i="63" s="1"/>
  <c r="O13" i="63" s="1"/>
  <c r="O14" i="63" s="1"/>
  <c r="O15" i="63" s="1"/>
  <c r="O16" i="63" s="1"/>
  <c r="O17" i="63" s="1"/>
  <c r="O18" i="63" s="1"/>
  <c r="O19" i="63" s="1"/>
  <c r="O20" i="63" s="1"/>
  <c r="O21" i="63" s="1"/>
  <c r="O22" i="63" s="1"/>
  <c r="O23" i="63" s="1"/>
  <c r="O24" i="63" s="1"/>
  <c r="O25" i="63" s="1"/>
  <c r="O26" i="63" s="1"/>
  <c r="O27" i="63" s="1"/>
  <c r="O28" i="63" s="1"/>
  <c r="O29" i="63" s="1"/>
  <c r="O30" i="63" s="1"/>
  <c r="O31" i="63" s="1"/>
  <c r="O32" i="63" s="1"/>
  <c r="O33" i="63" s="1"/>
  <c r="O34" i="63" s="1"/>
  <c r="O35" i="63" s="1"/>
  <c r="O36" i="63" s="1"/>
  <c r="O37" i="63" s="1"/>
  <c r="O38" i="63" s="1"/>
  <c r="O39" i="63" s="1"/>
  <c r="O40" i="63" s="1"/>
  <c r="O41" i="63" s="1"/>
  <c r="O42" i="63" s="1"/>
  <c r="O43" i="63" s="1"/>
  <c r="O44" i="63" s="1"/>
  <c r="O45" i="63" s="1"/>
  <c r="O46" i="63" s="1"/>
  <c r="O47" i="63" s="1"/>
  <c r="O48" i="63" s="1"/>
  <c r="O49" i="63" s="1"/>
  <c r="O50" i="63" s="1"/>
  <c r="O51" i="63" s="1"/>
  <c r="O52" i="63" s="1"/>
  <c r="O53" i="63" s="1"/>
  <c r="O54" i="63" s="1"/>
  <c r="O55" i="63" s="1"/>
  <c r="O56" i="63" s="1"/>
  <c r="O57" i="63" s="1"/>
  <c r="O58" i="63" s="1"/>
  <c r="H11" i="62"/>
  <c r="H12" i="62" s="1"/>
  <c r="H13" i="62" s="1"/>
  <c r="H14" i="62" s="1"/>
  <c r="H15" i="62" s="1"/>
  <c r="H16" i="62" s="1"/>
  <c r="H17" i="62" s="1"/>
  <c r="H18" i="62" s="1"/>
  <c r="H19" i="62" s="1"/>
  <c r="D12" i="53"/>
  <c r="K11" i="53"/>
  <c r="C11" i="53" s="1"/>
  <c r="E11" i="53"/>
  <c r="E12" i="53" s="1"/>
  <c r="E13" i="53" s="1"/>
  <c r="E14" i="53" s="1"/>
  <c r="E15" i="53" s="1"/>
  <c r="E16" i="53" s="1"/>
  <c r="E17" i="53" s="1"/>
  <c r="E18" i="53" s="1"/>
  <c r="E19" i="53" s="1"/>
  <c r="E20" i="53" s="1"/>
  <c r="E21" i="53" s="1"/>
  <c r="E22" i="53" s="1"/>
  <c r="E23" i="53" s="1"/>
  <c r="E24" i="53" s="1"/>
  <c r="E25" i="53" s="1"/>
  <c r="E26" i="53" s="1"/>
  <c r="E27" i="53" s="1"/>
  <c r="E28" i="53" s="1"/>
  <c r="E29" i="53" s="1"/>
  <c r="E30" i="53" s="1"/>
  <c r="E31" i="53" s="1"/>
  <c r="E32" i="53" s="1"/>
  <c r="E33" i="53" s="1"/>
  <c r="E34" i="53" s="1"/>
  <c r="E35" i="53" s="1"/>
  <c r="E36" i="53" s="1"/>
  <c r="E37" i="53" s="1"/>
  <c r="E38" i="53" s="1"/>
  <c r="E39" i="53" s="1"/>
  <c r="E40" i="53" s="1"/>
  <c r="E41" i="53" s="1"/>
  <c r="E42" i="53" s="1"/>
  <c r="E43" i="53" s="1"/>
  <c r="E44" i="53" s="1"/>
  <c r="E45" i="53" s="1"/>
  <c r="E46" i="53" s="1"/>
  <c r="E47" i="53" s="1"/>
  <c r="E48" i="53" s="1"/>
  <c r="E49" i="53" s="1"/>
  <c r="E50" i="53" s="1"/>
  <c r="E51" i="53" s="1"/>
  <c r="E52" i="53" s="1"/>
  <c r="E53" i="53" s="1"/>
  <c r="E54" i="53" s="1"/>
  <c r="E55" i="53" s="1"/>
  <c r="E56" i="53" s="1"/>
  <c r="E57" i="53" s="1"/>
  <c r="E58" i="53" s="1"/>
  <c r="E59" i="53" s="1"/>
  <c r="E60" i="53" s="1"/>
  <c r="E61" i="53" s="1"/>
  <c r="E62" i="53" s="1"/>
  <c r="E63" i="53" s="1"/>
  <c r="E64" i="53" s="1"/>
  <c r="E65" i="53" s="1"/>
  <c r="E66" i="53" s="1"/>
  <c r="E67" i="53" s="1"/>
  <c r="E68" i="53" s="1"/>
  <c r="E69" i="53" s="1"/>
  <c r="E70" i="53" s="1"/>
  <c r="E71" i="53" s="1"/>
  <c r="E72" i="53" s="1"/>
  <c r="E73" i="53" s="1"/>
  <c r="E74" i="53" s="1"/>
  <c r="E75" i="53" s="1"/>
  <c r="E76" i="53" s="1"/>
  <c r="E77" i="53" s="1"/>
  <c r="E78" i="53" s="1"/>
  <c r="E79" i="53" s="1"/>
  <c r="E80" i="53" s="1"/>
  <c r="E81" i="53" s="1"/>
  <c r="E82" i="53" s="1"/>
  <c r="K11" i="47"/>
  <c r="K12" i="47" s="1"/>
  <c r="P12" i="47" s="1"/>
  <c r="O11" i="46"/>
  <c r="O12" i="46" s="1"/>
  <c r="O13" i="46" s="1"/>
  <c r="O14" i="46" s="1"/>
  <c r="O15" i="46" s="1"/>
  <c r="O16" i="46" s="1"/>
  <c r="O17" i="46" s="1"/>
  <c r="O18" i="46" s="1"/>
  <c r="O19" i="46" s="1"/>
  <c r="O20" i="46" s="1"/>
  <c r="O21" i="46" s="1"/>
  <c r="O22" i="46" s="1"/>
  <c r="N11" i="51"/>
  <c r="N12" i="51" s="1"/>
  <c r="N13" i="51" s="1"/>
  <c r="N14" i="51" s="1"/>
  <c r="N15" i="51" s="1"/>
  <c r="N16" i="51" s="1"/>
  <c r="N17" i="51" s="1"/>
  <c r="N18" i="51" s="1"/>
  <c r="N19" i="51" s="1"/>
  <c r="N20" i="51" s="1"/>
  <c r="N21" i="51" s="1"/>
  <c r="N22" i="51" s="1"/>
  <c r="N23" i="51" s="1"/>
  <c r="N24" i="51" s="1"/>
  <c r="N25" i="51" s="1"/>
  <c r="N26" i="51" s="1"/>
  <c r="N27" i="51" s="1"/>
  <c r="N28" i="51" s="1"/>
  <c r="N29" i="51" s="1"/>
  <c r="N30" i="51" s="1"/>
  <c r="N31" i="51" s="1"/>
  <c r="N32" i="51" s="1"/>
  <c r="N33" i="51" s="1"/>
  <c r="N34" i="51" s="1"/>
  <c r="N35" i="51" s="1"/>
  <c r="N36" i="51" s="1"/>
  <c r="N37" i="51" s="1"/>
  <c r="N38" i="51" s="1"/>
  <c r="N39" i="51" s="1"/>
  <c r="N40" i="51" s="1"/>
  <c r="N41" i="51" s="1"/>
  <c r="N42" i="51" s="1"/>
  <c r="N43" i="51" s="1"/>
  <c r="N44" i="51" s="1"/>
  <c r="N45" i="51" s="1"/>
  <c r="N46" i="51" s="1"/>
  <c r="N47" i="51" s="1"/>
  <c r="N48" i="51" s="1"/>
  <c r="N49" i="51" s="1"/>
  <c r="N50" i="51" s="1"/>
  <c r="N51" i="51" s="1"/>
  <c r="N52" i="51" s="1"/>
  <c r="N53" i="51" s="1"/>
  <c r="N54" i="51" s="1"/>
  <c r="N55" i="51" s="1"/>
  <c r="N56" i="51" s="1"/>
  <c r="N57" i="51" s="1"/>
  <c r="N58" i="51" s="1"/>
  <c r="N59" i="51" s="1"/>
  <c r="N60" i="51" s="1"/>
  <c r="N61" i="51" s="1"/>
  <c r="N62" i="51" s="1"/>
  <c r="N63" i="51" s="1"/>
  <c r="N64" i="51" s="1"/>
  <c r="N65" i="51" s="1"/>
  <c r="N66" i="51" s="1"/>
  <c r="N67" i="51" s="1"/>
  <c r="N68" i="51" s="1"/>
  <c r="N69" i="51" s="1"/>
  <c r="N70" i="51" s="1"/>
  <c r="N71" i="51" s="1"/>
  <c r="N72" i="51" s="1"/>
  <c r="N73" i="51" s="1"/>
  <c r="N74" i="51" s="1"/>
  <c r="N75" i="51" s="1"/>
  <c r="N76" i="51" s="1"/>
  <c r="N77" i="51" s="1"/>
  <c r="N78" i="51" s="1"/>
  <c r="N79" i="51" s="1"/>
  <c r="N80" i="51" s="1"/>
  <c r="N81" i="51" s="1"/>
  <c r="N82" i="51" s="1"/>
  <c r="N83" i="51" s="1"/>
  <c r="N84" i="51" s="1"/>
  <c r="N85" i="51" s="1"/>
  <c r="N86" i="51" s="1"/>
  <c r="N87" i="51" s="1"/>
  <c r="N88" i="51" s="1"/>
  <c r="N89" i="51" s="1"/>
  <c r="N90" i="51" s="1"/>
  <c r="N91" i="51" s="1"/>
  <c r="N92" i="51" s="1"/>
  <c r="N93" i="51" s="1"/>
  <c r="N94" i="51" s="1"/>
  <c r="N95" i="51" s="1"/>
  <c r="N96" i="51" s="1"/>
  <c r="N97" i="51" s="1"/>
  <c r="N98" i="51" s="1"/>
  <c r="N99" i="51" s="1"/>
  <c r="N100" i="51" s="1"/>
  <c r="N101" i="51" s="1"/>
  <c r="N102" i="51" s="1"/>
  <c r="N103" i="51" s="1"/>
  <c r="N104" i="51" s="1"/>
  <c r="N105" i="51" s="1"/>
  <c r="N106" i="51" s="1"/>
  <c r="N107" i="51" s="1"/>
  <c r="N108" i="51" s="1"/>
  <c r="N109" i="51" s="1"/>
  <c r="N110" i="51" s="1"/>
  <c r="N111" i="51" s="1"/>
  <c r="N112" i="51" s="1"/>
  <c r="N113" i="51" s="1"/>
  <c r="N114" i="51" s="1"/>
  <c r="N115" i="51" s="1"/>
  <c r="N116" i="51" s="1"/>
  <c r="N117" i="51" s="1"/>
  <c r="N118" i="51" s="1"/>
  <c r="N119" i="51" s="1"/>
  <c r="N120" i="51" s="1"/>
  <c r="N121" i="51" s="1"/>
  <c r="N122" i="51" s="1"/>
  <c r="N123" i="51" s="1"/>
  <c r="N124" i="51" s="1"/>
  <c r="N125" i="51" s="1"/>
  <c r="N126" i="51" s="1"/>
  <c r="N127" i="51" s="1"/>
  <c r="N128" i="51" s="1"/>
  <c r="N129" i="51" s="1"/>
  <c r="N130" i="51" s="1"/>
  <c r="N131" i="51" s="1"/>
  <c r="N132" i="51" s="1"/>
  <c r="N133" i="51" s="1"/>
  <c r="N134" i="51" s="1"/>
  <c r="N135" i="51" s="1"/>
  <c r="N136" i="51" s="1"/>
  <c r="N137" i="51" s="1"/>
  <c r="N138" i="51" s="1"/>
  <c r="N139" i="51" s="1"/>
  <c r="N140" i="51" s="1"/>
  <c r="N141" i="51" s="1"/>
  <c r="N142" i="51" s="1"/>
  <c r="N143" i="51" s="1"/>
  <c r="N144" i="51" s="1"/>
  <c r="N145" i="51" s="1"/>
  <c r="N146" i="51" s="1"/>
  <c r="N147" i="51" s="1"/>
  <c r="N148" i="51" s="1"/>
  <c r="N149" i="51" s="1"/>
  <c r="N150" i="51" s="1"/>
  <c r="N151" i="51" s="1"/>
  <c r="N152" i="51" s="1"/>
  <c r="N153" i="51" s="1"/>
  <c r="N154" i="51" s="1"/>
  <c r="N155" i="51" s="1"/>
  <c r="N156" i="51" s="1"/>
  <c r="N157" i="51" s="1"/>
  <c r="N158" i="51" s="1"/>
  <c r="N159" i="51" s="1"/>
  <c r="N160" i="51" s="1"/>
  <c r="N161" i="51" s="1"/>
  <c r="N162" i="51" s="1"/>
  <c r="N163" i="51" s="1"/>
  <c r="N164" i="51" s="1"/>
  <c r="N165" i="51" s="1"/>
  <c r="N166" i="51" s="1"/>
  <c r="N167" i="51" s="1"/>
  <c r="N168" i="51" s="1"/>
  <c r="N169" i="51" s="1"/>
  <c r="N170" i="51" s="1"/>
  <c r="N171" i="51" s="1"/>
  <c r="N172" i="51" s="1"/>
  <c r="N173" i="51" s="1"/>
  <c r="N174" i="51" s="1"/>
  <c r="N175" i="51" s="1"/>
  <c r="N176" i="51" s="1"/>
  <c r="N177" i="51" s="1"/>
  <c r="N178" i="51" s="1"/>
  <c r="N179" i="51" s="1"/>
  <c r="N180" i="51" s="1"/>
  <c r="N181" i="51" s="1"/>
  <c r="N182" i="51" s="1"/>
  <c r="N183" i="51" s="1"/>
  <c r="N184" i="51" s="1"/>
  <c r="N185" i="51" s="1"/>
  <c r="N186" i="51" s="1"/>
  <c r="N187" i="51" s="1"/>
  <c r="N188" i="51" s="1"/>
  <c r="N189" i="51" s="1"/>
  <c r="N190" i="51" s="1"/>
  <c r="I11" i="49"/>
  <c r="I12" i="49" s="1"/>
  <c r="I13" i="49" s="1"/>
  <c r="I14" i="49" s="1"/>
  <c r="I15" i="49" s="1"/>
  <c r="I16" i="49" s="1"/>
  <c r="I17" i="49" s="1"/>
  <c r="I18" i="49" s="1"/>
  <c r="I19" i="49" s="1"/>
  <c r="I20" i="49" s="1"/>
  <c r="I21" i="49" s="1"/>
  <c r="I22" i="49" s="1"/>
  <c r="I23" i="49" s="1"/>
  <c r="I24" i="49" s="1"/>
  <c r="I25" i="49" s="1"/>
  <c r="I26" i="49" s="1"/>
  <c r="I27" i="49" s="1"/>
  <c r="I28" i="49" s="1"/>
  <c r="I29" i="49" s="1"/>
  <c r="I30" i="49" s="1"/>
  <c r="I31" i="49" s="1"/>
  <c r="I32" i="49" s="1"/>
  <c r="I33" i="49" s="1"/>
  <c r="I34" i="49" s="1"/>
  <c r="I35" i="49" s="1"/>
  <c r="I36" i="49" s="1"/>
  <c r="I37" i="49" s="1"/>
  <c r="I38" i="49" s="1"/>
  <c r="I39" i="49" s="1"/>
  <c r="I40" i="49" s="1"/>
  <c r="I41" i="49" s="1"/>
  <c r="I42" i="49" s="1"/>
  <c r="I43" i="49" s="1"/>
  <c r="I44" i="49" s="1"/>
  <c r="I45" i="49" s="1"/>
  <c r="I46" i="49" s="1"/>
  <c r="O11" i="48"/>
  <c r="O12" i="48" s="1"/>
  <c r="O13" i="48" s="1"/>
  <c r="O14" i="48" s="1"/>
  <c r="O15" i="48" s="1"/>
  <c r="O16" i="48" s="1"/>
  <c r="O17" i="48" s="1"/>
  <c r="O18" i="48" s="1"/>
  <c r="O19" i="48" s="1"/>
  <c r="O20" i="48" s="1"/>
  <c r="O21" i="48" s="1"/>
  <c r="O22" i="48" s="1"/>
  <c r="D12" i="52"/>
  <c r="E11" i="52"/>
  <c r="E12" i="52" s="1"/>
  <c r="E13" i="52" s="1"/>
  <c r="E14" i="52" s="1"/>
  <c r="E15" i="52" s="1"/>
  <c r="E16" i="52" s="1"/>
  <c r="E17" i="52" s="1"/>
  <c r="E18" i="52" s="1"/>
  <c r="E19" i="52" s="1"/>
  <c r="E20" i="52" s="1"/>
  <c r="E21" i="52" s="1"/>
  <c r="E22" i="52" s="1"/>
  <c r="E23" i="52" s="1"/>
  <c r="E24" i="52" s="1"/>
  <c r="E25" i="52" s="1"/>
  <c r="E26" i="52" s="1"/>
  <c r="E27" i="52" s="1"/>
  <c r="E28" i="52" s="1"/>
  <c r="K11" i="52"/>
  <c r="C11" i="52" s="1"/>
  <c r="N11" i="44"/>
  <c r="N12" i="44" s="1"/>
  <c r="N13" i="44" s="1"/>
  <c r="N14" i="44" s="1"/>
  <c r="N15" i="44" s="1"/>
  <c r="N16" i="44" s="1"/>
  <c r="N17" i="44" s="1"/>
  <c r="N18" i="44" s="1"/>
  <c r="N19" i="44" s="1"/>
  <c r="N20" i="44" s="1"/>
  <c r="N21" i="44" s="1"/>
  <c r="N22" i="44" s="1"/>
  <c r="N23" i="44" s="1"/>
  <c r="N24" i="44" s="1"/>
  <c r="N25" i="44" s="1"/>
  <c r="N26" i="44" s="1"/>
  <c r="N27" i="44" s="1"/>
  <c r="N28" i="44" s="1"/>
  <c r="N29" i="44" s="1"/>
  <c r="N30" i="44" s="1"/>
  <c r="N31" i="44" s="1"/>
  <c r="N32" i="44" s="1"/>
  <c r="N33" i="44" s="1"/>
  <c r="N34" i="44" s="1"/>
  <c r="N35" i="44" s="1"/>
  <c r="N36" i="44" s="1"/>
  <c r="N37" i="44" s="1"/>
  <c r="N38" i="44" s="1"/>
  <c r="N39" i="44" s="1"/>
  <c r="N40" i="44" s="1"/>
  <c r="N41" i="44" s="1"/>
  <c r="N42" i="44" s="1"/>
  <c r="N43" i="44" s="1"/>
  <c r="N44" i="44" s="1"/>
  <c r="N45" i="44" s="1"/>
  <c r="N46" i="44" s="1"/>
  <c r="N47" i="44" s="1"/>
  <c r="N48" i="44" s="1"/>
  <c r="N49" i="44" s="1"/>
  <c r="N50" i="44" s="1"/>
  <c r="N51" i="44" s="1"/>
  <c r="N52" i="44" s="1"/>
  <c r="N53" i="44" s="1"/>
  <c r="N54" i="44" s="1"/>
  <c r="N55" i="44" s="1"/>
  <c r="N56" i="44" s="1"/>
  <c r="N57" i="44" s="1"/>
  <c r="N58" i="44" s="1"/>
  <c r="N59" i="44" s="1"/>
  <c r="N60" i="44" s="1"/>
  <c r="N61" i="44" s="1"/>
  <c r="N62" i="44" s="1"/>
  <c r="N63" i="44" s="1"/>
  <c r="N64" i="44" s="1"/>
  <c r="N65" i="44" s="1"/>
  <c r="N66" i="44" s="1"/>
  <c r="N67" i="44" s="1"/>
  <c r="N68" i="44" s="1"/>
  <c r="N69" i="44" s="1"/>
  <c r="N70" i="44" s="1"/>
  <c r="N71" i="44" s="1"/>
  <c r="N72" i="44" s="1"/>
  <c r="N73" i="44" s="1"/>
  <c r="N74" i="44" s="1"/>
  <c r="N75" i="44" s="1"/>
  <c r="N76" i="44" s="1"/>
  <c r="N77" i="44" s="1"/>
  <c r="N78" i="44" s="1"/>
  <c r="N79" i="44" s="1"/>
  <c r="N80" i="44" s="1"/>
  <c r="N81" i="44" s="1"/>
  <c r="N82" i="44" s="1"/>
  <c r="N83" i="44" s="1"/>
  <c r="N84" i="44" s="1"/>
  <c r="N85" i="44" s="1"/>
  <c r="N86" i="44" s="1"/>
  <c r="N87" i="44" s="1"/>
  <c r="N88" i="44" s="1"/>
  <c r="N89" i="44" s="1"/>
  <c r="N90" i="44" s="1"/>
  <c r="N91" i="44" s="1"/>
  <c r="N92" i="44" s="1"/>
  <c r="N93" i="44" s="1"/>
  <c r="N94" i="44" s="1"/>
  <c r="N95" i="44" s="1"/>
  <c r="N96" i="44" s="1"/>
  <c r="N97" i="44" s="1"/>
  <c r="N98" i="44" s="1"/>
  <c r="N99" i="44" s="1"/>
  <c r="N100" i="44" s="1"/>
  <c r="N101" i="44" s="1"/>
  <c r="N102" i="44" s="1"/>
  <c r="N103" i="44" s="1"/>
  <c r="N104" i="44" s="1"/>
  <c r="N105" i="44" s="1"/>
  <c r="N106" i="44" s="1"/>
  <c r="N107" i="44" s="1"/>
  <c r="N108" i="44" s="1"/>
  <c r="N109" i="44" s="1"/>
  <c r="N110" i="44" s="1"/>
  <c r="N111" i="44" s="1"/>
  <c r="N112" i="44" s="1"/>
  <c r="N113" i="44" s="1"/>
  <c r="N114" i="44" s="1"/>
  <c r="N115" i="44" s="1"/>
  <c r="N116" i="44" s="1"/>
  <c r="N117" i="44" s="1"/>
  <c r="N118" i="44" s="1"/>
  <c r="N119" i="44" s="1"/>
  <c r="N120" i="44" s="1"/>
  <c r="N121" i="44" s="1"/>
  <c r="N122" i="44" s="1"/>
  <c r="N123" i="44" s="1"/>
  <c r="N124" i="44" s="1"/>
  <c r="N125" i="44" s="1"/>
  <c r="N126" i="44" s="1"/>
  <c r="N127" i="44" s="1"/>
  <c r="N128" i="44" s="1"/>
  <c r="N129" i="44" s="1"/>
  <c r="N130" i="44" s="1"/>
  <c r="N131" i="44" s="1"/>
  <c r="N132" i="44" s="1"/>
  <c r="N133" i="44" s="1"/>
  <c r="N134" i="44" s="1"/>
  <c r="N135" i="44" s="1"/>
  <c r="N136" i="44" s="1"/>
  <c r="N137" i="44" s="1"/>
  <c r="N138" i="44" s="1"/>
  <c r="N139" i="44" s="1"/>
  <c r="N140" i="44" s="1"/>
  <c r="N141" i="44" s="1"/>
  <c r="N142" i="44" s="1"/>
  <c r="N143" i="44" s="1"/>
  <c r="N144" i="44" s="1"/>
  <c r="N145" i="44" s="1"/>
  <c r="N146" i="44" s="1"/>
  <c r="N147" i="44" s="1"/>
  <c r="N148" i="44" s="1"/>
  <c r="N149" i="44" s="1"/>
  <c r="N150" i="44" s="1"/>
  <c r="N151" i="44" s="1"/>
  <c r="N152" i="44" s="1"/>
  <c r="N153" i="44" s="1"/>
  <c r="N154" i="44" s="1"/>
  <c r="N155" i="44" s="1"/>
  <c r="N156" i="44" s="1"/>
  <c r="N157" i="44" s="1"/>
  <c r="N158" i="44" s="1"/>
  <c r="N159" i="44" s="1"/>
  <c r="N160" i="44" s="1"/>
  <c r="N161" i="44" s="1"/>
  <c r="N162" i="44" s="1"/>
  <c r="N163" i="44" s="1"/>
  <c r="N164" i="44" s="1"/>
  <c r="N165" i="44" s="1"/>
  <c r="N166" i="44" s="1"/>
  <c r="N167" i="44" s="1"/>
  <c r="N168" i="44" s="1"/>
  <c r="N169" i="44" s="1"/>
  <c r="N170" i="44" s="1"/>
  <c r="N171" i="44" s="1"/>
  <c r="N172" i="44" s="1"/>
  <c r="N173" i="44" s="1"/>
  <c r="N174" i="44" s="1"/>
  <c r="N175" i="44" s="1"/>
  <c r="N176" i="44" s="1"/>
  <c r="N177" i="44" s="1"/>
  <c r="N178" i="44" s="1"/>
  <c r="N179" i="44" s="1"/>
  <c r="N180" i="44" s="1"/>
  <c r="N181" i="44" s="1"/>
  <c r="N182" i="44" s="1"/>
  <c r="N183" i="44" s="1"/>
  <c r="N184" i="44" s="1"/>
  <c r="N185" i="44" s="1"/>
  <c r="N186" i="44" s="1"/>
  <c r="N187" i="44" s="1"/>
  <c r="N188" i="44" s="1"/>
  <c r="N189" i="44" s="1"/>
  <c r="N190" i="44" s="1"/>
  <c r="N191" i="44" s="1"/>
  <c r="N192" i="44" s="1"/>
  <c r="N193" i="44" s="1"/>
  <c r="N194" i="44" s="1"/>
  <c r="N195" i="44" s="1"/>
  <c r="N196" i="44" s="1"/>
  <c r="N197" i="44" s="1"/>
  <c r="N198" i="44" s="1"/>
  <c r="N199" i="44" s="1"/>
  <c r="N200" i="44" s="1"/>
  <c r="N201" i="44" s="1"/>
  <c r="N202" i="44" s="1"/>
  <c r="I11" i="43"/>
  <c r="I12" i="43" s="1"/>
  <c r="I13" i="43" s="1"/>
  <c r="I14" i="43" s="1"/>
  <c r="O60" i="87" l="1"/>
  <c r="O61" i="87" s="1"/>
  <c r="O62" i="87" s="1"/>
  <c r="O63" i="87" s="1"/>
  <c r="O64" i="87" s="1"/>
  <c r="O65" i="87" s="1"/>
  <c r="O66" i="87" s="1"/>
  <c r="O67" i="87" s="1"/>
  <c r="O68" i="87" s="1"/>
  <c r="O69" i="87" s="1"/>
  <c r="O70" i="87" s="1"/>
  <c r="O71" i="87" s="1"/>
  <c r="O72" i="87" s="1"/>
  <c r="O73" i="87" s="1"/>
  <c r="O74" i="87" s="1"/>
  <c r="O75" i="87" s="1"/>
  <c r="O76" i="87" s="1"/>
  <c r="O77" i="87" s="1"/>
  <c r="O78" i="87" s="1"/>
  <c r="O79" i="87" s="1"/>
  <c r="O80" i="87" s="1"/>
  <c r="O81" i="87" s="1"/>
  <c r="O82" i="87" s="1"/>
  <c r="O60" i="89"/>
  <c r="O61" i="89" s="1"/>
  <c r="O62" i="89" s="1"/>
  <c r="O63" i="89" s="1"/>
  <c r="O64" i="89" s="1"/>
  <c r="O65" i="89" s="1"/>
  <c r="O66" i="89" s="1"/>
  <c r="O67" i="89" s="1"/>
  <c r="O68" i="89" s="1"/>
  <c r="O69" i="89" s="1"/>
  <c r="O70" i="89" s="1"/>
  <c r="O71" i="89" s="1"/>
  <c r="O108" i="89"/>
  <c r="O109" i="89" s="1"/>
  <c r="O110" i="89" s="1"/>
  <c r="O111" i="89" s="1"/>
  <c r="O112" i="89" s="1"/>
  <c r="O113" i="89" s="1"/>
  <c r="O114" i="89" s="1"/>
  <c r="O115" i="89" s="1"/>
  <c r="O116" i="89" s="1"/>
  <c r="O117" i="89" s="1"/>
  <c r="O118" i="89" s="1"/>
  <c r="O119" i="89" s="1"/>
  <c r="O120" i="89" s="1"/>
  <c r="O121" i="89" s="1"/>
  <c r="O122" i="89" s="1"/>
  <c r="O123" i="89" s="1"/>
  <c r="O124" i="89" s="1"/>
  <c r="O125" i="89" s="1"/>
  <c r="O126" i="89" s="1"/>
  <c r="O127" i="89" s="1"/>
  <c r="O128" i="89" s="1"/>
  <c r="O129" i="89" s="1"/>
  <c r="O130" i="89" s="1"/>
  <c r="O131" i="89" s="1"/>
  <c r="O132" i="89" s="1"/>
  <c r="O133" i="89" s="1"/>
  <c r="O134" i="89" s="1"/>
  <c r="O135" i="89" s="1"/>
  <c r="O136" i="89" s="1"/>
  <c r="O137" i="89" s="1"/>
  <c r="O138" i="89" s="1"/>
  <c r="O139" i="89" s="1"/>
  <c r="O140" i="89" s="1"/>
  <c r="O141" i="89" s="1"/>
  <c r="O142" i="89" s="1"/>
  <c r="O143" i="89" s="1"/>
  <c r="O144" i="89" s="1"/>
  <c r="O145" i="89" s="1"/>
  <c r="O146" i="89" s="1"/>
  <c r="O147" i="89" s="1"/>
  <c r="O148" i="89" s="1"/>
  <c r="O149" i="89" s="1"/>
  <c r="O150" i="89" s="1"/>
  <c r="O151" i="89" s="1"/>
  <c r="O152" i="89" s="1"/>
  <c r="O153" i="89" s="1"/>
  <c r="O154" i="89" s="1"/>
  <c r="O156" i="89"/>
  <c r="O157" i="89" s="1"/>
  <c r="O158" i="89" s="1"/>
  <c r="O159" i="89" s="1"/>
  <c r="O160" i="89" s="1"/>
  <c r="O161" i="89" s="1"/>
  <c r="O162" i="89" s="1"/>
  <c r="O163" i="89" s="1"/>
  <c r="O164" i="89" s="1"/>
  <c r="O165" i="89" s="1"/>
  <c r="O166" i="89" s="1"/>
  <c r="O167" i="89" s="1"/>
  <c r="O168" i="89" s="1"/>
  <c r="O169" i="89" s="1"/>
  <c r="O170" i="89" s="1"/>
  <c r="O171" i="89" s="1"/>
  <c r="O172" i="89" s="1"/>
  <c r="O173" i="89" s="1"/>
  <c r="O174" i="89" s="1"/>
  <c r="O175" i="89" s="1"/>
  <c r="O176" i="89" s="1"/>
  <c r="O177" i="89" s="1"/>
  <c r="O178" i="89" s="1"/>
  <c r="O179" i="89" s="1"/>
  <c r="O180" i="89" s="1"/>
  <c r="O181" i="89" s="1"/>
  <c r="O182" i="89" s="1"/>
  <c r="O183" i="89" s="1"/>
  <c r="O184" i="89" s="1"/>
  <c r="O185" i="89" s="1"/>
  <c r="O186" i="89" s="1"/>
  <c r="O187" i="89" s="1"/>
  <c r="O188" i="89" s="1"/>
  <c r="O189" i="89" s="1"/>
  <c r="O190" i="89" s="1"/>
  <c r="O191" i="89" s="1"/>
  <c r="O192" i="89" s="1"/>
  <c r="O193" i="89" s="1"/>
  <c r="O194" i="89" s="1"/>
  <c r="O195" i="89" s="1"/>
  <c r="O196" i="89" s="1"/>
  <c r="O197" i="89" s="1"/>
  <c r="O198" i="89" s="1"/>
  <c r="O199" i="89" s="1"/>
  <c r="O200" i="89" s="1"/>
  <c r="O201" i="89" s="1"/>
  <c r="O202" i="89" s="1"/>
  <c r="O167" i="87"/>
  <c r="O168" i="87" s="1"/>
  <c r="O169" i="87" s="1"/>
  <c r="O170" i="87" s="1"/>
  <c r="O171" i="87" s="1"/>
  <c r="O172" i="87" s="1"/>
  <c r="O173" i="87" s="1"/>
  <c r="O174" i="87" s="1"/>
  <c r="O175" i="87" s="1"/>
  <c r="O176" i="87" s="1"/>
  <c r="O177" i="87" s="1"/>
  <c r="O178" i="87" s="1"/>
  <c r="O119" i="87"/>
  <c r="O120" i="87" s="1"/>
  <c r="O121" i="87" s="1"/>
  <c r="O122" i="87" s="1"/>
  <c r="O123" i="87" s="1"/>
  <c r="O124" i="87" s="1"/>
  <c r="O125" i="87" s="1"/>
  <c r="O126" i="87" s="1"/>
  <c r="O127" i="87" s="1"/>
  <c r="O128" i="87" s="1"/>
  <c r="O129" i="87" s="1"/>
  <c r="O130" i="87" s="1"/>
  <c r="K84" i="53"/>
  <c r="C84" i="53" s="1"/>
  <c r="D85" i="53"/>
  <c r="K156" i="53"/>
  <c r="C156" i="53" s="1"/>
  <c r="D157" i="53"/>
  <c r="T491" i="61"/>
  <c r="U491" i="61" s="1"/>
  <c r="Q492" i="61"/>
  <c r="S492" i="61" s="1"/>
  <c r="R492" i="61"/>
  <c r="P493" i="61"/>
  <c r="E493" i="61"/>
  <c r="F493" i="61" s="1"/>
  <c r="D494" i="61"/>
  <c r="C494" i="61" s="1"/>
  <c r="H492" i="61"/>
  <c r="G492" i="61"/>
  <c r="I15" i="43"/>
  <c r="I16" i="43" s="1"/>
  <c r="I17" i="43" s="1"/>
  <c r="I18" i="43" s="1"/>
  <c r="I19" i="43" s="1"/>
  <c r="I20" i="43" s="1"/>
  <c r="I21" i="43" s="1"/>
  <c r="I22" i="43" s="1"/>
  <c r="I23" i="43" s="1"/>
  <c r="I24" i="43" s="1"/>
  <c r="I25" i="43" s="1"/>
  <c r="I26" i="43" s="1"/>
  <c r="I27" i="43" s="1"/>
  <c r="I28" i="43" s="1"/>
  <c r="I29" i="43" s="1"/>
  <c r="I30" i="43" s="1"/>
  <c r="I31" i="43" s="1"/>
  <c r="I32" i="43" s="1"/>
  <c r="I33" i="43" s="1"/>
  <c r="I34" i="43" s="1"/>
  <c r="J12" i="80"/>
  <c r="J13" i="80" s="1"/>
  <c r="J14" i="80" s="1"/>
  <c r="J15" i="80" s="1"/>
  <c r="J16" i="80" s="1"/>
  <c r="J17" i="80" s="1"/>
  <c r="K11" i="80"/>
  <c r="K12" i="80" s="1"/>
  <c r="K13" i="80" s="1"/>
  <c r="K14" i="80" s="1"/>
  <c r="K15" i="80" s="1"/>
  <c r="K16" i="80" s="1"/>
  <c r="K35" i="70"/>
  <c r="K36" i="70" s="1"/>
  <c r="K37" i="70" s="1"/>
  <c r="K38" i="70" s="1"/>
  <c r="K39" i="70" s="1"/>
  <c r="K40" i="70" s="1"/>
  <c r="K41" i="70" s="1"/>
  <c r="K42" i="70" s="1"/>
  <c r="K43" i="70" s="1"/>
  <c r="K44" i="70" s="1"/>
  <c r="K45" i="70" s="1"/>
  <c r="K46" i="70" s="1"/>
  <c r="K47" i="70" s="1"/>
  <c r="K48" i="70" s="1"/>
  <c r="K49" i="70" s="1"/>
  <c r="K50" i="70" s="1"/>
  <c r="K51" i="70" s="1"/>
  <c r="K52" i="70" s="1"/>
  <c r="K53" i="70" s="1"/>
  <c r="K54" i="70" s="1"/>
  <c r="K55" i="70" s="1"/>
  <c r="K56" i="70" s="1"/>
  <c r="K57" i="70" s="1"/>
  <c r="K58" i="70" s="1"/>
  <c r="I12" i="67"/>
  <c r="N11" i="67"/>
  <c r="P11" i="68"/>
  <c r="K12" i="68"/>
  <c r="K12" i="65"/>
  <c r="P11" i="65"/>
  <c r="K12" i="66"/>
  <c r="P11" i="66"/>
  <c r="P11" i="47"/>
  <c r="D13" i="52"/>
  <c r="K12" i="52"/>
  <c r="C12" i="52" s="1"/>
  <c r="D13" i="53"/>
  <c r="K12" i="53"/>
  <c r="C12" i="53" s="1"/>
  <c r="K13" i="47"/>
  <c r="P13" i="47" s="1"/>
  <c r="O72" i="89" l="1"/>
  <c r="O73" i="89" s="1"/>
  <c r="O74" i="89" s="1"/>
  <c r="O75" i="89" s="1"/>
  <c r="O76" i="89" s="1"/>
  <c r="O77" i="89" s="1"/>
  <c r="O78" i="89" s="1"/>
  <c r="O79" i="89" s="1"/>
  <c r="O80" i="89" s="1"/>
  <c r="O81" i="89" s="1"/>
  <c r="O82" i="89" s="1"/>
  <c r="O83" i="89" s="1"/>
  <c r="O179" i="87"/>
  <c r="O180" i="87" s="1"/>
  <c r="O181" i="87" s="1"/>
  <c r="O182" i="87" s="1"/>
  <c r="O183" i="87" s="1"/>
  <c r="O184" i="87" s="1"/>
  <c r="O185" i="87" s="1"/>
  <c r="O186" i="87" s="1"/>
  <c r="O187" i="87" s="1"/>
  <c r="O188" i="87" s="1"/>
  <c r="O189" i="87" s="1"/>
  <c r="O190" i="87" s="1"/>
  <c r="O131" i="87"/>
  <c r="O132" i="87" s="1"/>
  <c r="O133" i="87" s="1"/>
  <c r="O134" i="87" s="1"/>
  <c r="O135" i="87" s="1"/>
  <c r="O136" i="87" s="1"/>
  <c r="O137" i="87" s="1"/>
  <c r="O138" i="87" s="1"/>
  <c r="O139" i="87" s="1"/>
  <c r="O140" i="87" s="1"/>
  <c r="O141" i="87" s="1"/>
  <c r="O142" i="87" s="1"/>
  <c r="O83" i="87"/>
  <c r="O84" i="87" s="1"/>
  <c r="O85" i="87" s="1"/>
  <c r="O86" i="87" s="1"/>
  <c r="O87" i="87" s="1"/>
  <c r="O88" i="87" s="1"/>
  <c r="O89" i="87" s="1"/>
  <c r="O90" i="87" s="1"/>
  <c r="O91" i="87" s="1"/>
  <c r="O92" i="87" s="1"/>
  <c r="O93" i="87" s="1"/>
  <c r="O94" i="87" s="1"/>
  <c r="K157" i="53"/>
  <c r="C157" i="53" s="1"/>
  <c r="D158" i="53"/>
  <c r="D86" i="53"/>
  <c r="K85" i="53"/>
  <c r="C85" i="53" s="1"/>
  <c r="H493" i="61"/>
  <c r="G493" i="61"/>
  <c r="Q493" i="61"/>
  <c r="S493" i="61" s="1"/>
  <c r="R493" i="61"/>
  <c r="T492" i="61"/>
  <c r="U492" i="61" s="1"/>
  <c r="E494" i="61"/>
  <c r="F494" i="61" s="1"/>
  <c r="D495" i="61"/>
  <c r="C495" i="61" s="1"/>
  <c r="P494" i="61"/>
  <c r="J18" i="80"/>
  <c r="J19" i="80" s="1"/>
  <c r="J20" i="80" s="1"/>
  <c r="J21" i="80" s="1"/>
  <c r="J22" i="80" s="1"/>
  <c r="J23" i="80" s="1"/>
  <c r="K17" i="80"/>
  <c r="K18" i="80" s="1"/>
  <c r="K19" i="80" s="1"/>
  <c r="K20" i="80" s="1"/>
  <c r="K21" i="80" s="1"/>
  <c r="K22" i="80" s="1"/>
  <c r="K59" i="70"/>
  <c r="K60" i="70" s="1"/>
  <c r="K61" i="70" s="1"/>
  <c r="K62" i="70" s="1"/>
  <c r="K63" i="70" s="1"/>
  <c r="K64" i="70" s="1"/>
  <c r="K65" i="70" s="1"/>
  <c r="K66" i="70" s="1"/>
  <c r="K67" i="70" s="1"/>
  <c r="K68" i="70" s="1"/>
  <c r="K69" i="70" s="1"/>
  <c r="K70" i="70" s="1"/>
  <c r="K71" i="70" s="1"/>
  <c r="K72" i="70" s="1"/>
  <c r="K73" i="70" s="1"/>
  <c r="K74" i="70" s="1"/>
  <c r="K75" i="70" s="1"/>
  <c r="K76" i="70" s="1"/>
  <c r="K77" i="70" s="1"/>
  <c r="K78" i="70" s="1"/>
  <c r="K79" i="70" s="1"/>
  <c r="K80" i="70" s="1"/>
  <c r="K81" i="70" s="1"/>
  <c r="K82" i="70" s="1"/>
  <c r="K13" i="68"/>
  <c r="P12" i="68"/>
  <c r="K13" i="66"/>
  <c r="P12" i="66"/>
  <c r="K13" i="65"/>
  <c r="P12" i="65"/>
  <c r="I13" i="67"/>
  <c r="N12" i="67"/>
  <c r="D14" i="53"/>
  <c r="K13" i="53"/>
  <c r="C13" i="53" s="1"/>
  <c r="K13" i="52"/>
  <c r="C13" i="52" s="1"/>
  <c r="D14" i="52"/>
  <c r="K14" i="47"/>
  <c r="P14" i="47" s="1"/>
  <c r="C38" i="1"/>
  <c r="C37" i="1"/>
  <c r="D11" i="88" l="1"/>
  <c r="D31" i="97"/>
  <c r="D25" i="97"/>
  <c r="D30" i="97"/>
  <c r="D32" i="97"/>
  <c r="D29" i="97"/>
  <c r="D23" i="97"/>
  <c r="D19" i="98"/>
  <c r="D27" i="97"/>
  <c r="D34" i="97"/>
  <c r="D26" i="97"/>
  <c r="D33" i="97"/>
  <c r="D28" i="97"/>
  <c r="D24" i="97"/>
  <c r="C86" i="53"/>
  <c r="D59" i="88"/>
  <c r="E59" i="88" s="1"/>
  <c r="F59" i="88" s="1"/>
  <c r="D35" i="98"/>
  <c r="D50" i="97"/>
  <c r="D58" i="97"/>
  <c r="D51" i="97"/>
  <c r="D47" i="97"/>
  <c r="D53" i="97"/>
  <c r="D56" i="97"/>
  <c r="D54" i="97"/>
  <c r="D49" i="97"/>
  <c r="D57" i="97"/>
  <c r="D55" i="97"/>
  <c r="D48" i="97"/>
  <c r="D52" i="97"/>
  <c r="C14" i="52"/>
  <c r="D12" i="88"/>
  <c r="E11" i="88"/>
  <c r="F11" i="88" s="1"/>
  <c r="K11" i="88"/>
  <c r="D11" i="92"/>
  <c r="D11" i="91"/>
  <c r="D107" i="91"/>
  <c r="D107" i="92"/>
  <c r="D32" i="93"/>
  <c r="D31" i="93"/>
  <c r="D28" i="93"/>
  <c r="D24" i="93"/>
  <c r="D20" i="93"/>
  <c r="D16" i="93"/>
  <c r="D12" i="93"/>
  <c r="D33" i="93"/>
  <c r="D34" i="93"/>
  <c r="D29" i="93"/>
  <c r="D26" i="93"/>
  <c r="D22" i="93"/>
  <c r="D18" i="93"/>
  <c r="D14" i="93"/>
  <c r="D21" i="93"/>
  <c r="D13" i="93"/>
  <c r="D25" i="93"/>
  <c r="D17" i="93"/>
  <c r="D11" i="93"/>
  <c r="D30" i="93"/>
  <c r="D27" i="93"/>
  <c r="D19" i="93"/>
  <c r="D23" i="93"/>
  <c r="D15" i="93"/>
  <c r="D80" i="93"/>
  <c r="D76" i="93"/>
  <c r="D82" i="93"/>
  <c r="D78" i="93"/>
  <c r="D79" i="93"/>
  <c r="D70" i="93"/>
  <c r="D66" i="93"/>
  <c r="D62" i="93"/>
  <c r="D74" i="93"/>
  <c r="D72" i="93"/>
  <c r="D68" i="93"/>
  <c r="D64" i="93"/>
  <c r="D60" i="93"/>
  <c r="D71" i="93"/>
  <c r="D63" i="93"/>
  <c r="D59" i="93"/>
  <c r="D81" i="93"/>
  <c r="D73" i="93"/>
  <c r="D67" i="93"/>
  <c r="D75" i="93"/>
  <c r="D69" i="93"/>
  <c r="D61" i="93"/>
  <c r="D77" i="93"/>
  <c r="D65" i="93"/>
  <c r="D107" i="89"/>
  <c r="D107" i="87"/>
  <c r="D11" i="89"/>
  <c r="D11" i="87"/>
  <c r="O84" i="89"/>
  <c r="O85" i="89" s="1"/>
  <c r="O86" i="89" s="1"/>
  <c r="O87" i="89" s="1"/>
  <c r="O88" i="89" s="1"/>
  <c r="O89" i="89" s="1"/>
  <c r="O90" i="89" s="1"/>
  <c r="O91" i="89" s="1"/>
  <c r="O92" i="89" s="1"/>
  <c r="O93" i="89" s="1"/>
  <c r="O94" i="89" s="1"/>
  <c r="O95" i="89" s="1"/>
  <c r="O96" i="89" s="1"/>
  <c r="O97" i="89" s="1"/>
  <c r="O98" i="89" s="1"/>
  <c r="O99" i="89" s="1"/>
  <c r="O100" i="89" s="1"/>
  <c r="O101" i="89" s="1"/>
  <c r="O102" i="89" s="1"/>
  <c r="O103" i="89" s="1"/>
  <c r="O104" i="89" s="1"/>
  <c r="O105" i="89" s="1"/>
  <c r="O106" i="89" s="1"/>
  <c r="O143" i="87"/>
  <c r="O144" i="87" s="1"/>
  <c r="O145" i="87" s="1"/>
  <c r="O146" i="87" s="1"/>
  <c r="O147" i="87" s="1"/>
  <c r="O148" i="87" s="1"/>
  <c r="O149" i="87" s="1"/>
  <c r="O150" i="87" s="1"/>
  <c r="O151" i="87" s="1"/>
  <c r="O152" i="87" s="1"/>
  <c r="O153" i="87" s="1"/>
  <c r="O154" i="87" s="1"/>
  <c r="O95" i="87"/>
  <c r="O96" i="87" s="1"/>
  <c r="O97" i="87" s="1"/>
  <c r="O98" i="87" s="1"/>
  <c r="O99" i="87" s="1"/>
  <c r="O100" i="87" s="1"/>
  <c r="O101" i="87" s="1"/>
  <c r="O102" i="87" s="1"/>
  <c r="O103" i="87" s="1"/>
  <c r="O104" i="87" s="1"/>
  <c r="O105" i="87" s="1"/>
  <c r="O106" i="87" s="1"/>
  <c r="O191" i="87"/>
  <c r="O192" i="87" s="1"/>
  <c r="O193" i="87" s="1"/>
  <c r="O194" i="87" s="1"/>
  <c r="O195" i="87" s="1"/>
  <c r="O196" i="87" s="1"/>
  <c r="O197" i="87" s="1"/>
  <c r="O198" i="87" s="1"/>
  <c r="O199" i="87" s="1"/>
  <c r="O200" i="87" s="1"/>
  <c r="O201" i="87" s="1"/>
  <c r="O202" i="87" s="1"/>
  <c r="K86" i="53"/>
  <c r="D87" i="53"/>
  <c r="K158" i="53"/>
  <c r="C158" i="53" s="1"/>
  <c r="D159" i="53"/>
  <c r="D11" i="45"/>
  <c r="D35" i="45"/>
  <c r="D35" i="46"/>
  <c r="R494" i="61"/>
  <c r="Q494" i="61"/>
  <c r="S494" i="61" s="1"/>
  <c r="P495" i="61"/>
  <c r="E495" i="61"/>
  <c r="F495" i="61" s="1"/>
  <c r="D496" i="61"/>
  <c r="C496" i="61" s="1"/>
  <c r="T493" i="61"/>
  <c r="U493" i="61" s="1"/>
  <c r="H494" i="61"/>
  <c r="G494" i="61"/>
  <c r="D11" i="79"/>
  <c r="D11" i="80"/>
  <c r="D12" i="80" s="1"/>
  <c r="D13" i="80" s="1"/>
  <c r="D14" i="80" s="1"/>
  <c r="D15" i="80" s="1"/>
  <c r="D16" i="80" s="1"/>
  <c r="D17" i="80" s="1"/>
  <c r="D18" i="80" s="1"/>
  <c r="D19" i="80" s="1"/>
  <c r="D20" i="80" s="1"/>
  <c r="D21" i="80" s="1"/>
  <c r="D22" i="80" s="1"/>
  <c r="D23" i="80" s="1"/>
  <c r="D24" i="80" s="1"/>
  <c r="D25" i="80" s="1"/>
  <c r="D26" i="80" s="1"/>
  <c r="D27" i="80" s="1"/>
  <c r="D28" i="80" s="1"/>
  <c r="D29" i="80" s="1"/>
  <c r="D30" i="80" s="1"/>
  <c r="D31" i="80" s="1"/>
  <c r="D32" i="80" s="1"/>
  <c r="D33" i="80" s="1"/>
  <c r="D34" i="80" s="1"/>
  <c r="D35" i="80" s="1"/>
  <c r="D36" i="80" s="1"/>
  <c r="D37" i="80" s="1"/>
  <c r="D38" i="80" s="1"/>
  <c r="D39" i="80" s="1"/>
  <c r="D40" i="80" s="1"/>
  <c r="D23" i="79"/>
  <c r="D71" i="80"/>
  <c r="D72" i="80" s="1"/>
  <c r="D73" i="80" s="1"/>
  <c r="D74" i="80" s="1"/>
  <c r="D75" i="80" s="1"/>
  <c r="D76" i="80" s="1"/>
  <c r="D77" i="80" s="1"/>
  <c r="D78" i="80" s="1"/>
  <c r="D79" i="80" s="1"/>
  <c r="D80" i="80" s="1"/>
  <c r="D81" i="80" s="1"/>
  <c r="D82" i="80" s="1"/>
  <c r="D83" i="80" s="1"/>
  <c r="D84" i="80" s="1"/>
  <c r="D85" i="80" s="1"/>
  <c r="D86" i="80" s="1"/>
  <c r="D87" i="80" s="1"/>
  <c r="D88" i="80" s="1"/>
  <c r="D89" i="80" s="1"/>
  <c r="D90" i="80" s="1"/>
  <c r="D91" i="80" s="1"/>
  <c r="D92" i="80" s="1"/>
  <c r="D93" i="80" s="1"/>
  <c r="D94" i="80" s="1"/>
  <c r="D95" i="80" s="1"/>
  <c r="D96" i="80" s="1"/>
  <c r="D97" i="80" s="1"/>
  <c r="D98" i="80" s="1"/>
  <c r="D99" i="80" s="1"/>
  <c r="D100" i="80" s="1"/>
  <c r="J24" i="80"/>
  <c r="J25" i="80" s="1"/>
  <c r="J26" i="80" s="1"/>
  <c r="J27" i="80" s="1"/>
  <c r="J28" i="80" s="1"/>
  <c r="J29" i="80" s="1"/>
  <c r="K23" i="80"/>
  <c r="K24" i="80" s="1"/>
  <c r="K25" i="80" s="1"/>
  <c r="K26" i="80" s="1"/>
  <c r="K27" i="80" s="1"/>
  <c r="K28" i="80" s="1"/>
  <c r="I14" i="67"/>
  <c r="N13" i="67"/>
  <c r="P13" i="66"/>
  <c r="K14" i="66"/>
  <c r="D14" i="47"/>
  <c r="D18" i="47"/>
  <c r="D22" i="47"/>
  <c r="D26" i="47"/>
  <c r="D30" i="47"/>
  <c r="D34" i="47"/>
  <c r="D38" i="47"/>
  <c r="D42" i="47"/>
  <c r="D46" i="47"/>
  <c r="D50" i="47"/>
  <c r="D54" i="47"/>
  <c r="D58" i="47"/>
  <c r="D15" i="47"/>
  <c r="D19" i="47"/>
  <c r="D23" i="47"/>
  <c r="D27" i="47"/>
  <c r="D31" i="47"/>
  <c r="D35" i="47"/>
  <c r="D39" i="47"/>
  <c r="D43" i="47"/>
  <c r="D47" i="47"/>
  <c r="D51" i="47"/>
  <c r="D55" i="47"/>
  <c r="D16" i="47"/>
  <c r="D20" i="47"/>
  <c r="D24" i="47"/>
  <c r="D28" i="47"/>
  <c r="D32" i="47"/>
  <c r="D36" i="47"/>
  <c r="D40" i="47"/>
  <c r="D44" i="47"/>
  <c r="D48" i="47"/>
  <c r="D52" i="47"/>
  <c r="D56" i="47"/>
  <c r="D17" i="47"/>
  <c r="D33" i="47"/>
  <c r="D49" i="47"/>
  <c r="D13" i="47"/>
  <c r="D45" i="47"/>
  <c r="D21" i="47"/>
  <c r="D37" i="47"/>
  <c r="D53" i="47"/>
  <c r="D25" i="47"/>
  <c r="D41" i="47"/>
  <c r="D57" i="47"/>
  <c r="D29" i="47"/>
  <c r="E57" i="70"/>
  <c r="H57" i="70" s="1"/>
  <c r="E54" i="70"/>
  <c r="H54" i="70" s="1"/>
  <c r="E41" i="70"/>
  <c r="H41" i="70" s="1"/>
  <c r="E58" i="70"/>
  <c r="H58" i="70" s="1"/>
  <c r="E52" i="70"/>
  <c r="H52" i="70" s="1"/>
  <c r="E49" i="70"/>
  <c r="H49" i="70" s="1"/>
  <c r="E47" i="70"/>
  <c r="H47" i="70" s="1"/>
  <c r="E44" i="70"/>
  <c r="H44" i="70" s="1"/>
  <c r="E42" i="70"/>
  <c r="H42" i="70" s="1"/>
  <c r="E39" i="70"/>
  <c r="H39" i="70" s="1"/>
  <c r="E55" i="70"/>
  <c r="H55" i="70" s="1"/>
  <c r="E53" i="70"/>
  <c r="H53" i="70" s="1"/>
  <c r="E50" i="70"/>
  <c r="H50" i="70" s="1"/>
  <c r="E45" i="70"/>
  <c r="H45" i="70" s="1"/>
  <c r="E37" i="70"/>
  <c r="H37" i="70" s="1"/>
  <c r="E46" i="70"/>
  <c r="H46" i="70" s="1"/>
  <c r="E40" i="70"/>
  <c r="H40" i="70" s="1"/>
  <c r="E36" i="70"/>
  <c r="H36" i="70" s="1"/>
  <c r="E51" i="70"/>
  <c r="H51" i="70" s="1"/>
  <c r="E38" i="70"/>
  <c r="H38" i="70" s="1"/>
  <c r="E35" i="70"/>
  <c r="H35" i="70" s="1"/>
  <c r="E56" i="70"/>
  <c r="H56" i="70" s="1"/>
  <c r="E43" i="70"/>
  <c r="H43" i="70" s="1"/>
  <c r="D149" i="68"/>
  <c r="E149" i="68" s="1"/>
  <c r="H149" i="68" s="1"/>
  <c r="D145" i="68"/>
  <c r="E145" i="68" s="1"/>
  <c r="H145" i="68" s="1"/>
  <c r="D142" i="68"/>
  <c r="E142" i="68" s="1"/>
  <c r="H142" i="68" s="1"/>
  <c r="D138" i="68"/>
  <c r="E138" i="68" s="1"/>
  <c r="H138" i="68" s="1"/>
  <c r="D136" i="68"/>
  <c r="E136" i="68" s="1"/>
  <c r="H136" i="68" s="1"/>
  <c r="D130" i="68"/>
  <c r="E130" i="68" s="1"/>
  <c r="H130" i="68" s="1"/>
  <c r="D126" i="68"/>
  <c r="E126" i="68" s="1"/>
  <c r="H126" i="68" s="1"/>
  <c r="D122" i="68"/>
  <c r="E122" i="68" s="1"/>
  <c r="H122" i="68" s="1"/>
  <c r="D119" i="68"/>
  <c r="E119" i="68" s="1"/>
  <c r="H119" i="68" s="1"/>
  <c r="D116" i="68"/>
  <c r="E116" i="68" s="1"/>
  <c r="H116" i="68" s="1"/>
  <c r="D112" i="68"/>
  <c r="E112" i="68" s="1"/>
  <c r="H112" i="68" s="1"/>
  <c r="D108" i="68"/>
  <c r="E108" i="68" s="1"/>
  <c r="H108" i="68" s="1"/>
  <c r="D105" i="68"/>
  <c r="E105" i="68" s="1"/>
  <c r="H105" i="68" s="1"/>
  <c r="D101" i="68"/>
  <c r="E101" i="68" s="1"/>
  <c r="H101" i="68" s="1"/>
  <c r="D98" i="68"/>
  <c r="E98" i="68" s="1"/>
  <c r="H98" i="68" s="1"/>
  <c r="D95" i="68"/>
  <c r="E95" i="68" s="1"/>
  <c r="H95" i="68" s="1"/>
  <c r="D91" i="68"/>
  <c r="E91" i="68" s="1"/>
  <c r="H91" i="68" s="1"/>
  <c r="D87" i="68"/>
  <c r="E87" i="68" s="1"/>
  <c r="H87" i="68" s="1"/>
  <c r="E48" i="70"/>
  <c r="H48" i="70" s="1"/>
  <c r="D152" i="68"/>
  <c r="E152" i="68" s="1"/>
  <c r="H152" i="68" s="1"/>
  <c r="D148" i="68"/>
  <c r="E148" i="68" s="1"/>
  <c r="H148" i="68" s="1"/>
  <c r="D144" i="68"/>
  <c r="E144" i="68" s="1"/>
  <c r="H144" i="68" s="1"/>
  <c r="D141" i="68"/>
  <c r="E141" i="68" s="1"/>
  <c r="H141" i="68" s="1"/>
  <c r="D135" i="68"/>
  <c r="E135" i="68" s="1"/>
  <c r="H135" i="68" s="1"/>
  <c r="D132" i="68"/>
  <c r="E132" i="68" s="1"/>
  <c r="H132" i="68" s="1"/>
  <c r="D129" i="68"/>
  <c r="E129" i="68" s="1"/>
  <c r="H129" i="68" s="1"/>
  <c r="D125" i="68"/>
  <c r="E125" i="68" s="1"/>
  <c r="H125" i="68" s="1"/>
  <c r="D121" i="68"/>
  <c r="E121" i="68" s="1"/>
  <c r="H121" i="68" s="1"/>
  <c r="D118" i="68"/>
  <c r="E118" i="68" s="1"/>
  <c r="H118" i="68" s="1"/>
  <c r="D115" i="68"/>
  <c r="E115" i="68" s="1"/>
  <c r="H115" i="68" s="1"/>
  <c r="D111" i="68"/>
  <c r="E111" i="68" s="1"/>
  <c r="H111" i="68" s="1"/>
  <c r="D104" i="68"/>
  <c r="E104" i="68" s="1"/>
  <c r="H104" i="68" s="1"/>
  <c r="D97" i="68"/>
  <c r="E97" i="68" s="1"/>
  <c r="H97" i="68" s="1"/>
  <c r="D94" i="68"/>
  <c r="E94" i="68" s="1"/>
  <c r="H94" i="68" s="1"/>
  <c r="D90" i="68"/>
  <c r="E90" i="68" s="1"/>
  <c r="H90" i="68" s="1"/>
  <c r="D86" i="68"/>
  <c r="E86" i="68" s="1"/>
  <c r="H86" i="68" s="1"/>
  <c r="D83" i="68"/>
  <c r="E83" i="68" s="1"/>
  <c r="H83" i="68" s="1"/>
  <c r="D150" i="67"/>
  <c r="D146" i="67"/>
  <c r="D143" i="67"/>
  <c r="D139" i="67"/>
  <c r="D134" i="67"/>
  <c r="D131" i="67"/>
  <c r="D127" i="67"/>
  <c r="D123" i="67"/>
  <c r="D154" i="68"/>
  <c r="E154" i="68" s="1"/>
  <c r="H154" i="68" s="1"/>
  <c r="D151" i="68"/>
  <c r="E151" i="68" s="1"/>
  <c r="H151" i="68" s="1"/>
  <c r="D147" i="68"/>
  <c r="E147" i="68" s="1"/>
  <c r="H147" i="68" s="1"/>
  <c r="D140" i="68"/>
  <c r="E140" i="68" s="1"/>
  <c r="H140" i="68" s="1"/>
  <c r="D137" i="68"/>
  <c r="E137" i="68" s="1"/>
  <c r="H137" i="68" s="1"/>
  <c r="D134" i="68"/>
  <c r="E134" i="68" s="1"/>
  <c r="H134" i="68" s="1"/>
  <c r="D128" i="68"/>
  <c r="E128" i="68" s="1"/>
  <c r="H128" i="68" s="1"/>
  <c r="D124" i="68"/>
  <c r="E124" i="68" s="1"/>
  <c r="H124" i="68" s="1"/>
  <c r="D120" i="68"/>
  <c r="E120" i="68" s="1"/>
  <c r="H120" i="68" s="1"/>
  <c r="D117" i="68"/>
  <c r="E117" i="68" s="1"/>
  <c r="H117" i="68" s="1"/>
  <c r="D114" i="68"/>
  <c r="E114" i="68" s="1"/>
  <c r="H114" i="68" s="1"/>
  <c r="D110" i="68"/>
  <c r="E110" i="68" s="1"/>
  <c r="H110" i="68" s="1"/>
  <c r="D107" i="68"/>
  <c r="E107" i="68" s="1"/>
  <c r="H107" i="68" s="1"/>
  <c r="D103" i="68"/>
  <c r="E103" i="68" s="1"/>
  <c r="H103" i="68" s="1"/>
  <c r="D100" i="68"/>
  <c r="E100" i="68" s="1"/>
  <c r="H100" i="68" s="1"/>
  <c r="D96" i="68"/>
  <c r="E96" i="68" s="1"/>
  <c r="H96" i="68" s="1"/>
  <c r="D93" i="68"/>
  <c r="E93" i="68" s="1"/>
  <c r="H93" i="68" s="1"/>
  <c r="D89" i="68"/>
  <c r="E89" i="68" s="1"/>
  <c r="H89" i="68" s="1"/>
  <c r="D85" i="68"/>
  <c r="E85" i="68" s="1"/>
  <c r="H85" i="68" s="1"/>
  <c r="D149" i="67"/>
  <c r="D145" i="67"/>
  <c r="D142" i="67"/>
  <c r="D138" i="67"/>
  <c r="D133" i="67"/>
  <c r="D130" i="67"/>
  <c r="D126" i="67"/>
  <c r="D122" i="67"/>
  <c r="D153" i="68"/>
  <c r="E153" i="68" s="1"/>
  <c r="H153" i="68" s="1"/>
  <c r="D131" i="68"/>
  <c r="E131" i="68" s="1"/>
  <c r="H131" i="68" s="1"/>
  <c r="D106" i="68"/>
  <c r="E106" i="68" s="1"/>
  <c r="H106" i="68" s="1"/>
  <c r="D154" i="67"/>
  <c r="D152" i="67"/>
  <c r="D144" i="67"/>
  <c r="D136" i="67"/>
  <c r="D129" i="67"/>
  <c r="D121" i="67"/>
  <c r="D86" i="67"/>
  <c r="D90" i="67"/>
  <c r="D94" i="67"/>
  <c r="D98" i="67"/>
  <c r="D102" i="67"/>
  <c r="D106" i="67"/>
  <c r="D110" i="67"/>
  <c r="D114" i="67"/>
  <c r="D118" i="67"/>
  <c r="D105" i="66"/>
  <c r="E105" i="66" s="1"/>
  <c r="H105" i="66" s="1"/>
  <c r="D101" i="66"/>
  <c r="E101" i="66" s="1"/>
  <c r="H101" i="66" s="1"/>
  <c r="D97" i="66"/>
  <c r="E97" i="66" s="1"/>
  <c r="H97" i="66" s="1"/>
  <c r="D93" i="66"/>
  <c r="E93" i="66" s="1"/>
  <c r="H93" i="66" s="1"/>
  <c r="D89" i="66"/>
  <c r="E89" i="66" s="1"/>
  <c r="H89" i="66" s="1"/>
  <c r="D85" i="66"/>
  <c r="E85" i="66" s="1"/>
  <c r="H85" i="66" s="1"/>
  <c r="D81" i="66"/>
  <c r="E81" i="66" s="1"/>
  <c r="H81" i="66" s="1"/>
  <c r="D77" i="66"/>
  <c r="E77" i="66" s="1"/>
  <c r="H77" i="66" s="1"/>
  <c r="D73" i="66"/>
  <c r="E73" i="66" s="1"/>
  <c r="H73" i="66" s="1"/>
  <c r="D69" i="66"/>
  <c r="E69" i="66" s="1"/>
  <c r="H69" i="66" s="1"/>
  <c r="D65" i="66"/>
  <c r="E65" i="66" s="1"/>
  <c r="H65" i="66" s="1"/>
  <c r="D61" i="66"/>
  <c r="E61" i="66" s="1"/>
  <c r="H61" i="66" s="1"/>
  <c r="D143" i="68"/>
  <c r="E143" i="68" s="1"/>
  <c r="H143" i="68" s="1"/>
  <c r="D133" i="68"/>
  <c r="E133" i="68" s="1"/>
  <c r="H133" i="68" s="1"/>
  <c r="D127" i="68"/>
  <c r="E127" i="68" s="1"/>
  <c r="H127" i="68" s="1"/>
  <c r="D113" i="68"/>
  <c r="E113" i="68" s="1"/>
  <c r="H113" i="68" s="1"/>
  <c r="D102" i="68"/>
  <c r="E102" i="68" s="1"/>
  <c r="H102" i="68" s="1"/>
  <c r="D92" i="68"/>
  <c r="E92" i="68" s="1"/>
  <c r="H92" i="68" s="1"/>
  <c r="D153" i="67"/>
  <c r="D151" i="67"/>
  <c r="D137" i="67"/>
  <c r="D135" i="67"/>
  <c r="D128" i="67"/>
  <c r="D120" i="67"/>
  <c r="D87" i="67"/>
  <c r="D91" i="67"/>
  <c r="D95" i="67"/>
  <c r="D99" i="67"/>
  <c r="D103" i="67"/>
  <c r="D107" i="67"/>
  <c r="D111" i="67"/>
  <c r="D115" i="67"/>
  <c r="D84" i="67"/>
  <c r="D104" i="66"/>
  <c r="E104" i="66" s="1"/>
  <c r="H104" i="66" s="1"/>
  <c r="D100" i="66"/>
  <c r="E100" i="66" s="1"/>
  <c r="H100" i="66" s="1"/>
  <c r="D96" i="66"/>
  <c r="E96" i="66" s="1"/>
  <c r="H96" i="66" s="1"/>
  <c r="D92" i="66"/>
  <c r="E92" i="66" s="1"/>
  <c r="H92" i="66" s="1"/>
  <c r="D88" i="66"/>
  <c r="E88" i="66" s="1"/>
  <c r="H88" i="66" s="1"/>
  <c r="D84" i="66"/>
  <c r="E84" i="66" s="1"/>
  <c r="H84" i="66" s="1"/>
  <c r="D80" i="66"/>
  <c r="E80" i="66" s="1"/>
  <c r="H80" i="66" s="1"/>
  <c r="D76" i="66"/>
  <c r="E76" i="66" s="1"/>
  <c r="H76" i="66" s="1"/>
  <c r="D72" i="66"/>
  <c r="E72" i="66" s="1"/>
  <c r="H72" i="66" s="1"/>
  <c r="D68" i="66"/>
  <c r="E68" i="66" s="1"/>
  <c r="H68" i="66" s="1"/>
  <c r="D64" i="66"/>
  <c r="E64" i="66" s="1"/>
  <c r="H64" i="66" s="1"/>
  <c r="D60" i="66"/>
  <c r="E60" i="66" s="1"/>
  <c r="H60" i="66" s="1"/>
  <c r="D150" i="68"/>
  <c r="E150" i="68" s="1"/>
  <c r="H150" i="68" s="1"/>
  <c r="D139" i="68"/>
  <c r="E139" i="68" s="1"/>
  <c r="H139" i="68" s="1"/>
  <c r="D123" i="68"/>
  <c r="E123" i="68" s="1"/>
  <c r="H123" i="68" s="1"/>
  <c r="D109" i="68"/>
  <c r="E109" i="68" s="1"/>
  <c r="H109" i="68" s="1"/>
  <c r="D88" i="68"/>
  <c r="E88" i="68" s="1"/>
  <c r="H88" i="68" s="1"/>
  <c r="D148" i="67"/>
  <c r="D141" i="67"/>
  <c r="D132" i="67"/>
  <c r="D125" i="67"/>
  <c r="D119" i="67"/>
  <c r="D88" i="67"/>
  <c r="D92" i="67"/>
  <c r="D96" i="67"/>
  <c r="D100" i="67"/>
  <c r="D104" i="67"/>
  <c r="D108" i="67"/>
  <c r="D112" i="67"/>
  <c r="D116" i="67"/>
  <c r="D83" i="67"/>
  <c r="F83" i="67" s="1"/>
  <c r="F84" i="67" s="1"/>
  <c r="F85" i="67" s="1"/>
  <c r="F86" i="67" s="1"/>
  <c r="F87" i="67" s="1"/>
  <c r="F88" i="67" s="1"/>
  <c r="F89" i="67" s="1"/>
  <c r="F90" i="67" s="1"/>
  <c r="F91" i="67" s="1"/>
  <c r="F92" i="67" s="1"/>
  <c r="F93" i="67" s="1"/>
  <c r="F94" i="67" s="1"/>
  <c r="F95" i="67" s="1"/>
  <c r="F96" i="67" s="1"/>
  <c r="F97" i="67" s="1"/>
  <c r="F98" i="67" s="1"/>
  <c r="F99" i="67" s="1"/>
  <c r="F100" i="67" s="1"/>
  <c r="F101" i="67" s="1"/>
  <c r="F102" i="67" s="1"/>
  <c r="F103" i="67" s="1"/>
  <c r="F104" i="67" s="1"/>
  <c r="F105" i="67" s="1"/>
  <c r="F106" i="67" s="1"/>
  <c r="F107" i="67" s="1"/>
  <c r="F108" i="67" s="1"/>
  <c r="F109" i="67" s="1"/>
  <c r="F110" i="67" s="1"/>
  <c r="F111" i="67" s="1"/>
  <c r="F112" i="67" s="1"/>
  <c r="F113" i="67" s="1"/>
  <c r="F114" i="67" s="1"/>
  <c r="F115" i="67" s="1"/>
  <c r="F116" i="67" s="1"/>
  <c r="F117" i="67" s="1"/>
  <c r="F118" i="67" s="1"/>
  <c r="D103" i="66"/>
  <c r="E103" i="66" s="1"/>
  <c r="H103" i="66" s="1"/>
  <c r="D99" i="66"/>
  <c r="E99" i="66" s="1"/>
  <c r="H99" i="66" s="1"/>
  <c r="D95" i="66"/>
  <c r="E95" i="66" s="1"/>
  <c r="H95" i="66" s="1"/>
  <c r="D91" i="66"/>
  <c r="E91" i="66" s="1"/>
  <c r="H91" i="66" s="1"/>
  <c r="D87" i="66"/>
  <c r="E87" i="66" s="1"/>
  <c r="H87" i="66" s="1"/>
  <c r="D83" i="66"/>
  <c r="E83" i="66" s="1"/>
  <c r="H83" i="66" s="1"/>
  <c r="D79" i="66"/>
  <c r="E79" i="66" s="1"/>
  <c r="H79" i="66" s="1"/>
  <c r="D75" i="66"/>
  <c r="E75" i="66" s="1"/>
  <c r="H75" i="66" s="1"/>
  <c r="D71" i="66"/>
  <c r="E71" i="66" s="1"/>
  <c r="H71" i="66" s="1"/>
  <c r="D67" i="66"/>
  <c r="E67" i="66" s="1"/>
  <c r="H67" i="66" s="1"/>
  <c r="D63" i="66"/>
  <c r="E63" i="66" s="1"/>
  <c r="H63" i="66" s="1"/>
  <c r="D59" i="66"/>
  <c r="E59" i="66" s="1"/>
  <c r="H59" i="66" s="1"/>
  <c r="D140" i="67"/>
  <c r="D97" i="67"/>
  <c r="D113" i="67"/>
  <c r="D94" i="66"/>
  <c r="E94" i="66" s="1"/>
  <c r="H94" i="66" s="1"/>
  <c r="D78" i="66"/>
  <c r="E78" i="66" s="1"/>
  <c r="H78" i="66" s="1"/>
  <c r="D62" i="66"/>
  <c r="E62" i="66" s="1"/>
  <c r="H62" i="66" s="1"/>
  <c r="D110" i="47"/>
  <c r="D114" i="47"/>
  <c r="D118" i="47"/>
  <c r="D122" i="47"/>
  <c r="D126" i="47"/>
  <c r="D130" i="47"/>
  <c r="D134" i="47"/>
  <c r="D138" i="47"/>
  <c r="D142" i="47"/>
  <c r="D146" i="47"/>
  <c r="D150" i="47"/>
  <c r="D154" i="47"/>
  <c r="D99" i="68"/>
  <c r="E99" i="68" s="1"/>
  <c r="H99" i="68" s="1"/>
  <c r="D124" i="67"/>
  <c r="D85" i="67"/>
  <c r="D101" i="67"/>
  <c r="D117" i="67"/>
  <c r="D106" i="66"/>
  <c r="E106" i="66" s="1"/>
  <c r="H106" i="66" s="1"/>
  <c r="D90" i="66"/>
  <c r="E90" i="66" s="1"/>
  <c r="H90" i="66" s="1"/>
  <c r="D74" i="66"/>
  <c r="E74" i="66" s="1"/>
  <c r="H74" i="66" s="1"/>
  <c r="D107" i="47"/>
  <c r="D111" i="47"/>
  <c r="D115" i="47"/>
  <c r="D119" i="47"/>
  <c r="D123" i="47"/>
  <c r="D127" i="47"/>
  <c r="D131" i="47"/>
  <c r="D135" i="47"/>
  <c r="D139" i="47"/>
  <c r="D143" i="47"/>
  <c r="D147" i="47"/>
  <c r="D151" i="47"/>
  <c r="D147" i="67"/>
  <c r="D89" i="67"/>
  <c r="D105" i="67"/>
  <c r="D102" i="66"/>
  <c r="E102" i="66" s="1"/>
  <c r="H102" i="66" s="1"/>
  <c r="D86" i="66"/>
  <c r="E86" i="66" s="1"/>
  <c r="H86" i="66" s="1"/>
  <c r="D70" i="66"/>
  <c r="E70" i="66" s="1"/>
  <c r="H70" i="66" s="1"/>
  <c r="D108" i="47"/>
  <c r="D112" i="47"/>
  <c r="D116" i="47"/>
  <c r="D120" i="47"/>
  <c r="D124" i="47"/>
  <c r="D128" i="47"/>
  <c r="D132" i="47"/>
  <c r="D136" i="47"/>
  <c r="D140" i="47"/>
  <c r="D144" i="47"/>
  <c r="D148" i="47"/>
  <c r="D152" i="47"/>
  <c r="D84" i="68"/>
  <c r="E84" i="68" s="1"/>
  <c r="H84" i="68" s="1"/>
  <c r="D66" i="66"/>
  <c r="E66" i="66" s="1"/>
  <c r="H66" i="66" s="1"/>
  <c r="D113" i="47"/>
  <c r="D129" i="47"/>
  <c r="D145" i="47"/>
  <c r="D105" i="65"/>
  <c r="E105" i="65" s="1"/>
  <c r="H105" i="65" s="1"/>
  <c r="D90" i="65"/>
  <c r="E90" i="65" s="1"/>
  <c r="H90" i="65" s="1"/>
  <c r="D94" i="65"/>
  <c r="E94" i="65" s="1"/>
  <c r="H94" i="65" s="1"/>
  <c r="D98" i="65"/>
  <c r="E98" i="65" s="1"/>
  <c r="H98" i="65" s="1"/>
  <c r="D72" i="65"/>
  <c r="E72" i="65" s="1"/>
  <c r="H72" i="65" s="1"/>
  <c r="D76" i="65"/>
  <c r="E76" i="65" s="1"/>
  <c r="H76" i="65" s="1"/>
  <c r="D80" i="65"/>
  <c r="E80" i="65" s="1"/>
  <c r="H80" i="65" s="1"/>
  <c r="D84" i="65"/>
  <c r="E84" i="65" s="1"/>
  <c r="H84" i="65" s="1"/>
  <c r="D60" i="65"/>
  <c r="E60" i="65" s="1"/>
  <c r="H60" i="65" s="1"/>
  <c r="D64" i="65"/>
  <c r="E64" i="65" s="1"/>
  <c r="H64" i="65" s="1"/>
  <c r="D68" i="65"/>
  <c r="E68" i="65" s="1"/>
  <c r="H68" i="65" s="1"/>
  <c r="D59" i="65"/>
  <c r="E59" i="65" s="1"/>
  <c r="H59" i="65" s="1"/>
  <c r="D69" i="65"/>
  <c r="E69" i="65" s="1"/>
  <c r="H69" i="65" s="1"/>
  <c r="D141" i="47"/>
  <c r="D93" i="65"/>
  <c r="E93" i="65" s="1"/>
  <c r="H93" i="65" s="1"/>
  <c r="D75" i="65"/>
  <c r="E75" i="65" s="1"/>
  <c r="H75" i="65" s="1"/>
  <c r="D87" i="65"/>
  <c r="E87" i="65" s="1"/>
  <c r="H87" i="65" s="1"/>
  <c r="D146" i="68"/>
  <c r="E146" i="68" s="1"/>
  <c r="H146" i="68" s="1"/>
  <c r="D117" i="47"/>
  <c r="D133" i="47"/>
  <c r="D149" i="47"/>
  <c r="D102" i="65"/>
  <c r="E102" i="65" s="1"/>
  <c r="H102" i="65" s="1"/>
  <c r="D106" i="65"/>
  <c r="E106" i="65" s="1"/>
  <c r="H106" i="65" s="1"/>
  <c r="D91" i="65"/>
  <c r="E91" i="65" s="1"/>
  <c r="H91" i="65" s="1"/>
  <c r="D95" i="65"/>
  <c r="E95" i="65" s="1"/>
  <c r="H95" i="65" s="1"/>
  <c r="D99" i="65"/>
  <c r="E99" i="65" s="1"/>
  <c r="H99" i="65" s="1"/>
  <c r="D73" i="65"/>
  <c r="E73" i="65" s="1"/>
  <c r="H73" i="65" s="1"/>
  <c r="D77" i="65"/>
  <c r="E77" i="65" s="1"/>
  <c r="H77" i="65" s="1"/>
  <c r="D81" i="65"/>
  <c r="E81" i="65" s="1"/>
  <c r="H81" i="65" s="1"/>
  <c r="D85" i="65"/>
  <c r="E85" i="65" s="1"/>
  <c r="H85" i="65" s="1"/>
  <c r="D61" i="65"/>
  <c r="E61" i="65" s="1"/>
  <c r="H61" i="65" s="1"/>
  <c r="D65" i="65"/>
  <c r="E65" i="65" s="1"/>
  <c r="H65" i="65" s="1"/>
  <c r="D125" i="47"/>
  <c r="D89" i="65"/>
  <c r="E89" i="65" s="1"/>
  <c r="H89" i="65" s="1"/>
  <c r="D101" i="65"/>
  <c r="E101" i="65" s="1"/>
  <c r="H101" i="65" s="1"/>
  <c r="D83" i="65"/>
  <c r="E83" i="65" s="1"/>
  <c r="H83" i="65" s="1"/>
  <c r="D71" i="65"/>
  <c r="E71" i="65" s="1"/>
  <c r="H71" i="65" s="1"/>
  <c r="D93" i="67"/>
  <c r="D98" i="66"/>
  <c r="E98" i="66" s="1"/>
  <c r="H98" i="66" s="1"/>
  <c r="D121" i="47"/>
  <c r="D137" i="47"/>
  <c r="D153" i="47"/>
  <c r="D103" i="65"/>
  <c r="E103" i="65" s="1"/>
  <c r="H103" i="65" s="1"/>
  <c r="D88" i="65"/>
  <c r="E88" i="65" s="1"/>
  <c r="H88" i="65" s="1"/>
  <c r="D92" i="65"/>
  <c r="E92" i="65" s="1"/>
  <c r="H92" i="65" s="1"/>
  <c r="D96" i="65"/>
  <c r="E96" i="65" s="1"/>
  <c r="H96" i="65" s="1"/>
  <c r="D100" i="65"/>
  <c r="E100" i="65" s="1"/>
  <c r="H100" i="65" s="1"/>
  <c r="D74" i="65"/>
  <c r="E74" i="65" s="1"/>
  <c r="H74" i="65" s="1"/>
  <c r="D78" i="65"/>
  <c r="E78" i="65" s="1"/>
  <c r="H78" i="65" s="1"/>
  <c r="D82" i="65"/>
  <c r="E82" i="65" s="1"/>
  <c r="H82" i="65" s="1"/>
  <c r="D86" i="65"/>
  <c r="E86" i="65" s="1"/>
  <c r="H86" i="65" s="1"/>
  <c r="D62" i="65"/>
  <c r="E62" i="65" s="1"/>
  <c r="H62" i="65" s="1"/>
  <c r="D66" i="65"/>
  <c r="E66" i="65" s="1"/>
  <c r="H66" i="65" s="1"/>
  <c r="D70" i="65"/>
  <c r="E70" i="65" s="1"/>
  <c r="H70" i="65" s="1"/>
  <c r="D109" i="67"/>
  <c r="D82" i="66"/>
  <c r="E82" i="66" s="1"/>
  <c r="H82" i="66" s="1"/>
  <c r="D104" i="65"/>
  <c r="E104" i="65" s="1"/>
  <c r="H104" i="65" s="1"/>
  <c r="D97" i="65"/>
  <c r="E97" i="65" s="1"/>
  <c r="H97" i="65" s="1"/>
  <c r="D79" i="65"/>
  <c r="E79" i="65" s="1"/>
  <c r="H79" i="65" s="1"/>
  <c r="D67" i="65"/>
  <c r="E67" i="65" s="1"/>
  <c r="H67" i="65" s="1"/>
  <c r="D109" i="47"/>
  <c r="D63" i="65"/>
  <c r="E63" i="65" s="1"/>
  <c r="H63" i="65" s="1"/>
  <c r="K14" i="65"/>
  <c r="P13" i="65"/>
  <c r="K14" i="68"/>
  <c r="P13" i="68"/>
  <c r="D22" i="63"/>
  <c r="D20" i="63"/>
  <c r="D18" i="63"/>
  <c r="D16" i="63"/>
  <c r="D14" i="63"/>
  <c r="D12" i="63"/>
  <c r="D21" i="63"/>
  <c r="D19" i="63"/>
  <c r="D17" i="63"/>
  <c r="D15" i="63"/>
  <c r="D13" i="63"/>
  <c r="D11" i="63"/>
  <c r="D46" i="63"/>
  <c r="D44" i="63"/>
  <c r="D42" i="63"/>
  <c r="D40" i="63"/>
  <c r="D38" i="63"/>
  <c r="D36" i="63"/>
  <c r="D45" i="63"/>
  <c r="D43" i="63"/>
  <c r="D41" i="63"/>
  <c r="D39" i="63"/>
  <c r="D37" i="63"/>
  <c r="D35" i="63"/>
  <c r="K14" i="52"/>
  <c r="D15" i="52"/>
  <c r="D15" i="50"/>
  <c r="D19" i="50"/>
  <c r="D12" i="50"/>
  <c r="D21" i="44"/>
  <c r="D25" i="44"/>
  <c r="D29" i="44"/>
  <c r="D33" i="44"/>
  <c r="D37" i="44"/>
  <c r="D41" i="44"/>
  <c r="D45" i="44"/>
  <c r="D49" i="44"/>
  <c r="D53" i="44"/>
  <c r="D57" i="44"/>
  <c r="D15" i="44"/>
  <c r="D12" i="44"/>
  <c r="D22" i="50"/>
  <c r="D16" i="50"/>
  <c r="D20" i="50"/>
  <c r="D12" i="47"/>
  <c r="D22" i="44"/>
  <c r="D26" i="44"/>
  <c r="D30" i="44"/>
  <c r="D34" i="44"/>
  <c r="D38" i="44"/>
  <c r="D42" i="44"/>
  <c r="D46" i="44"/>
  <c r="D50" i="44"/>
  <c r="D54" i="44"/>
  <c r="D58" i="44"/>
  <c r="D16" i="44"/>
  <c r="D14" i="50"/>
  <c r="D13" i="50"/>
  <c r="D17" i="50"/>
  <c r="D21" i="50"/>
  <c r="D19" i="44"/>
  <c r="D23" i="44"/>
  <c r="D27" i="44"/>
  <c r="D31" i="44"/>
  <c r="D35" i="44"/>
  <c r="D39" i="44"/>
  <c r="D43" i="44"/>
  <c r="D47" i="44"/>
  <c r="D51" i="44"/>
  <c r="D55" i="44"/>
  <c r="D13" i="44"/>
  <c r="D17" i="44"/>
  <c r="D18" i="50"/>
  <c r="D28" i="44"/>
  <c r="D44" i="44"/>
  <c r="D14" i="44"/>
  <c r="D32" i="44"/>
  <c r="D48" i="44"/>
  <c r="D18" i="44"/>
  <c r="D20" i="44"/>
  <c r="D52" i="44"/>
  <c r="D24" i="44"/>
  <c r="D56" i="44"/>
  <c r="D36" i="44"/>
  <c r="D40" i="44"/>
  <c r="D46" i="51"/>
  <c r="D43" i="51"/>
  <c r="D40" i="51"/>
  <c r="D32" i="51"/>
  <c r="D31" i="51"/>
  <c r="D28" i="51"/>
  <c r="D27" i="51"/>
  <c r="D26" i="51"/>
  <c r="D24" i="51"/>
  <c r="D21" i="51"/>
  <c r="D16" i="51"/>
  <c r="D13" i="51"/>
  <c r="D41" i="51"/>
  <c r="D38" i="51"/>
  <c r="D30" i="51"/>
  <c r="D29" i="51"/>
  <c r="D23" i="51"/>
  <c r="D14" i="51"/>
  <c r="D12" i="51"/>
  <c r="D44" i="51"/>
  <c r="D39" i="51"/>
  <c r="D19" i="51"/>
  <c r="D11" i="51"/>
  <c r="D11" i="50"/>
  <c r="D45" i="51"/>
  <c r="D42" i="51"/>
  <c r="D34" i="51"/>
  <c r="D33" i="51"/>
  <c r="D25" i="51"/>
  <c r="D22" i="51"/>
  <c r="D20" i="51"/>
  <c r="D17" i="51"/>
  <c r="D15" i="51"/>
  <c r="D37" i="51"/>
  <c r="D18" i="51"/>
  <c r="D36" i="51"/>
  <c r="D35" i="51"/>
  <c r="D38" i="50"/>
  <c r="D42" i="50"/>
  <c r="D46" i="50"/>
  <c r="D108" i="44"/>
  <c r="D112" i="44"/>
  <c r="D116" i="44"/>
  <c r="D120" i="44"/>
  <c r="D124" i="44"/>
  <c r="D128" i="44"/>
  <c r="D132" i="44"/>
  <c r="D136" i="44"/>
  <c r="D140" i="44"/>
  <c r="D144" i="44"/>
  <c r="D148" i="44"/>
  <c r="D152" i="44"/>
  <c r="D37" i="50"/>
  <c r="D39" i="50"/>
  <c r="D43" i="50"/>
  <c r="D36" i="50"/>
  <c r="D109" i="44"/>
  <c r="D113" i="44"/>
  <c r="D117" i="44"/>
  <c r="D121" i="44"/>
  <c r="D125" i="44"/>
  <c r="D129" i="44"/>
  <c r="D133" i="44"/>
  <c r="D137" i="44"/>
  <c r="D141" i="44"/>
  <c r="D145" i="44"/>
  <c r="D149" i="44"/>
  <c r="D153" i="44"/>
  <c r="D45" i="50"/>
  <c r="D40" i="50"/>
  <c r="D44" i="50"/>
  <c r="D110" i="44"/>
  <c r="D114" i="44"/>
  <c r="D118" i="44"/>
  <c r="D122" i="44"/>
  <c r="D126" i="44"/>
  <c r="D130" i="44"/>
  <c r="D134" i="44"/>
  <c r="D138" i="44"/>
  <c r="D142" i="44"/>
  <c r="D146" i="44"/>
  <c r="D150" i="44"/>
  <c r="D154" i="44"/>
  <c r="D41" i="50"/>
  <c r="D111" i="44"/>
  <c r="D127" i="44"/>
  <c r="D143" i="44"/>
  <c r="D131" i="44"/>
  <c r="D147" i="44"/>
  <c r="D119" i="44"/>
  <c r="D135" i="44"/>
  <c r="D123" i="44"/>
  <c r="D115" i="44"/>
  <c r="D151" i="44"/>
  <c r="D139" i="44"/>
  <c r="D87" i="51"/>
  <c r="D91" i="51"/>
  <c r="D95" i="51"/>
  <c r="D99" i="51"/>
  <c r="D103" i="51"/>
  <c r="D107" i="51"/>
  <c r="D111" i="51"/>
  <c r="D115" i="51"/>
  <c r="D83" i="51"/>
  <c r="D84" i="51"/>
  <c r="D89" i="51"/>
  <c r="D94" i="51"/>
  <c r="D100" i="51"/>
  <c r="D105" i="51"/>
  <c r="D110" i="51"/>
  <c r="D116" i="51"/>
  <c r="D85" i="51"/>
  <c r="D92" i="51"/>
  <c r="D98" i="51"/>
  <c r="D106" i="51"/>
  <c r="D113" i="51"/>
  <c r="D86" i="51"/>
  <c r="D93" i="51"/>
  <c r="D101" i="51"/>
  <c r="D108" i="51"/>
  <c r="D114" i="51"/>
  <c r="D35" i="50"/>
  <c r="D88" i="51"/>
  <c r="D96" i="51"/>
  <c r="D102" i="51"/>
  <c r="D109" i="51"/>
  <c r="D117" i="51"/>
  <c r="D104" i="51"/>
  <c r="D112" i="51"/>
  <c r="D90" i="51"/>
  <c r="D118" i="51"/>
  <c r="D97" i="51"/>
  <c r="K14" i="53"/>
  <c r="C14" i="53" s="1"/>
  <c r="D15" i="53"/>
  <c r="K15" i="47"/>
  <c r="P15" i="47" s="1"/>
  <c r="D11" i="47"/>
  <c r="C11" i="47" s="1"/>
  <c r="D11" i="46"/>
  <c r="D15" i="43"/>
  <c r="F15" i="43" s="1"/>
  <c r="D12" i="43"/>
  <c r="D13" i="43"/>
  <c r="D17" i="43"/>
  <c r="D11" i="44"/>
  <c r="D14" i="43"/>
  <c r="D18" i="43"/>
  <c r="D16" i="43"/>
  <c r="D11" i="43"/>
  <c r="F11" i="43" s="1"/>
  <c r="Q15" i="42"/>
  <c r="D107" i="44"/>
  <c r="D28" i="43"/>
  <c r="D32" i="43"/>
  <c r="D29" i="43"/>
  <c r="D31" i="43"/>
  <c r="F31" i="43" s="1"/>
  <c r="D34" i="43"/>
  <c r="D30" i="43"/>
  <c r="D27" i="43"/>
  <c r="F27" i="43" s="1"/>
  <c r="D33" i="43"/>
  <c r="K59" i="88" l="1"/>
  <c r="D60" i="88"/>
  <c r="K39" i="50"/>
  <c r="C39" i="50" s="1"/>
  <c r="E42" i="44"/>
  <c r="E41" i="44"/>
  <c r="E109" i="47"/>
  <c r="C109" i="47"/>
  <c r="E135" i="47"/>
  <c r="C135" i="47"/>
  <c r="E122" i="47"/>
  <c r="C122" i="47"/>
  <c r="K53" i="97"/>
  <c r="C53" i="97" s="1"/>
  <c r="E53" i="97"/>
  <c r="F53" i="97" s="1"/>
  <c r="E23" i="97"/>
  <c r="F23" i="97" s="1"/>
  <c r="K23" i="97"/>
  <c r="C23" i="97" s="1"/>
  <c r="K45" i="50"/>
  <c r="C45" i="50" s="1"/>
  <c r="K37" i="50"/>
  <c r="C37" i="50" s="1"/>
  <c r="E24" i="44"/>
  <c r="E28" i="44"/>
  <c r="E39" i="44"/>
  <c r="K13" i="50"/>
  <c r="C13" i="50" s="1"/>
  <c r="E38" i="44"/>
  <c r="K22" i="50"/>
  <c r="C22" i="50" s="1"/>
  <c r="E37" i="44"/>
  <c r="E133" i="47"/>
  <c r="C133" i="47"/>
  <c r="E124" i="47"/>
  <c r="C124" i="47"/>
  <c r="E131" i="47"/>
  <c r="C131" i="47"/>
  <c r="E150" i="47"/>
  <c r="C150" i="47"/>
  <c r="E118" i="47"/>
  <c r="C118" i="47"/>
  <c r="E41" i="47"/>
  <c r="C41" i="47"/>
  <c r="E33" i="47"/>
  <c r="C33" i="47"/>
  <c r="E32" i="47"/>
  <c r="C32" i="47"/>
  <c r="E43" i="47"/>
  <c r="C43" i="47"/>
  <c r="E58" i="47"/>
  <c r="C58" i="47"/>
  <c r="E26" i="47"/>
  <c r="C26" i="47"/>
  <c r="C52" i="97"/>
  <c r="E52" i="97"/>
  <c r="F52" i="97" s="1"/>
  <c r="K52" i="97"/>
  <c r="K47" i="97"/>
  <c r="C47" i="97" s="1"/>
  <c r="E47" i="97"/>
  <c r="F47" i="97" s="1"/>
  <c r="K24" i="97"/>
  <c r="C24" i="97" s="1"/>
  <c r="E24" i="97"/>
  <c r="F24" i="97" s="1"/>
  <c r="E29" i="97"/>
  <c r="F29" i="97" s="1"/>
  <c r="K29" i="97"/>
  <c r="C29" i="97" s="1"/>
  <c r="K38" i="50"/>
  <c r="C38" i="50" s="1"/>
  <c r="E43" i="44"/>
  <c r="E154" i="47"/>
  <c r="C154" i="47"/>
  <c r="E107" i="44"/>
  <c r="K41" i="50"/>
  <c r="C41" i="50" s="1"/>
  <c r="E52" i="44"/>
  <c r="K18" i="50"/>
  <c r="C18" i="50"/>
  <c r="E35" i="44"/>
  <c r="K14" i="50"/>
  <c r="C14" i="50" s="1"/>
  <c r="E34" i="44"/>
  <c r="E12" i="44"/>
  <c r="E33" i="44"/>
  <c r="E117" i="47"/>
  <c r="C117" i="47"/>
  <c r="E152" i="47"/>
  <c r="C152" i="47"/>
  <c r="E120" i="47"/>
  <c r="C120" i="47"/>
  <c r="E127" i="47"/>
  <c r="C127" i="47"/>
  <c r="E146" i="47"/>
  <c r="C146" i="47"/>
  <c r="E114" i="47"/>
  <c r="C114" i="47"/>
  <c r="E25" i="47"/>
  <c r="C25" i="47"/>
  <c r="E17" i="47"/>
  <c r="C17" i="47"/>
  <c r="E28" i="47"/>
  <c r="C28" i="47"/>
  <c r="E39" i="47"/>
  <c r="C39" i="47"/>
  <c r="E54" i="47"/>
  <c r="C54" i="47"/>
  <c r="E22" i="47"/>
  <c r="C22" i="47"/>
  <c r="K48" i="97"/>
  <c r="C48" i="97" s="1"/>
  <c r="E48" i="97"/>
  <c r="F48" i="97" s="1"/>
  <c r="E51" i="97"/>
  <c r="F51" i="97" s="1"/>
  <c r="C51" i="97"/>
  <c r="K51" i="97"/>
  <c r="K28" i="97"/>
  <c r="C28" i="97" s="1"/>
  <c r="E28" i="97"/>
  <c r="F28" i="97" s="1"/>
  <c r="K32" i="97"/>
  <c r="C32" i="97" s="1"/>
  <c r="E32" i="97"/>
  <c r="F32" i="97" s="1"/>
  <c r="E56" i="44"/>
  <c r="E149" i="47"/>
  <c r="C149" i="47"/>
  <c r="E128" i="47"/>
  <c r="C128" i="47"/>
  <c r="E20" i="44"/>
  <c r="E17" i="44"/>
  <c r="E31" i="44"/>
  <c r="E16" i="44"/>
  <c r="E30" i="44"/>
  <c r="E15" i="44"/>
  <c r="E29" i="44"/>
  <c r="E153" i="47"/>
  <c r="C153" i="47"/>
  <c r="E148" i="47"/>
  <c r="C148" i="47"/>
  <c r="E116" i="47"/>
  <c r="C116" i="47"/>
  <c r="E123" i="47"/>
  <c r="C123" i="47"/>
  <c r="E142" i="47"/>
  <c r="C142" i="47"/>
  <c r="E110" i="47"/>
  <c r="C110" i="47"/>
  <c r="E53" i="47"/>
  <c r="C53" i="47"/>
  <c r="E56" i="47"/>
  <c r="C56" i="47"/>
  <c r="E24" i="47"/>
  <c r="C24" i="47"/>
  <c r="E35" i="47"/>
  <c r="C35" i="47"/>
  <c r="E50" i="47"/>
  <c r="C50" i="47"/>
  <c r="E18" i="47"/>
  <c r="C18" i="47"/>
  <c r="E55" i="97"/>
  <c r="F55" i="97" s="1"/>
  <c r="K55" i="97"/>
  <c r="C55" i="97" s="1"/>
  <c r="E58" i="97"/>
  <c r="F58" i="97" s="1"/>
  <c r="K58" i="97"/>
  <c r="C58" i="97" s="1"/>
  <c r="E33" i="97"/>
  <c r="F33" i="97" s="1"/>
  <c r="K33" i="97"/>
  <c r="C33" i="97" s="1"/>
  <c r="K30" i="97"/>
  <c r="C30" i="97" s="1"/>
  <c r="E30" i="97"/>
  <c r="F30" i="97" s="1"/>
  <c r="K40" i="50"/>
  <c r="C40" i="50" s="1"/>
  <c r="E44" i="44"/>
  <c r="E36" i="47"/>
  <c r="C36" i="47"/>
  <c r="F28" i="43"/>
  <c r="C27" i="43"/>
  <c r="F12" i="43"/>
  <c r="C11" i="43"/>
  <c r="E18" i="44"/>
  <c r="E13" i="44"/>
  <c r="E27" i="44"/>
  <c r="E58" i="44"/>
  <c r="E26" i="44"/>
  <c r="E57" i="44"/>
  <c r="E25" i="44"/>
  <c r="E137" i="47"/>
  <c r="C137" i="47"/>
  <c r="E125" i="47"/>
  <c r="C125" i="47"/>
  <c r="E144" i="47"/>
  <c r="C144" i="47"/>
  <c r="E112" i="47"/>
  <c r="C112" i="47"/>
  <c r="E151" i="47"/>
  <c r="C151" i="47"/>
  <c r="E119" i="47"/>
  <c r="C119" i="47"/>
  <c r="E138" i="47"/>
  <c r="C138" i="47"/>
  <c r="E37" i="47"/>
  <c r="C37" i="47"/>
  <c r="E52" i="47"/>
  <c r="C52" i="47"/>
  <c r="E20" i="47"/>
  <c r="C20" i="47"/>
  <c r="E31" i="47"/>
  <c r="C31" i="47"/>
  <c r="E46" i="47"/>
  <c r="C46" i="47"/>
  <c r="E14" i="47"/>
  <c r="C14" i="47"/>
  <c r="K57" i="97"/>
  <c r="C57" i="97" s="1"/>
  <c r="E57" i="97"/>
  <c r="F57" i="97" s="1"/>
  <c r="E50" i="97"/>
  <c r="F50" i="97" s="1"/>
  <c r="K50" i="97"/>
  <c r="C50" i="97" s="1"/>
  <c r="K26" i="97"/>
  <c r="C26" i="97" s="1"/>
  <c r="E26" i="97"/>
  <c r="F26" i="97" s="1"/>
  <c r="E25" i="97"/>
  <c r="F25" i="97" s="1"/>
  <c r="K25" i="97"/>
  <c r="C25" i="97" s="1"/>
  <c r="K15" i="50"/>
  <c r="C15" i="50" s="1"/>
  <c r="E57" i="47"/>
  <c r="C57" i="47"/>
  <c r="E47" i="47"/>
  <c r="C47" i="47"/>
  <c r="E108" i="44"/>
  <c r="E48" i="44"/>
  <c r="E55" i="44"/>
  <c r="E23" i="44"/>
  <c r="E54" i="44"/>
  <c r="E22" i="44"/>
  <c r="E53" i="44"/>
  <c r="E21" i="44"/>
  <c r="E121" i="47"/>
  <c r="C121" i="47"/>
  <c r="E145" i="47"/>
  <c r="C145" i="47"/>
  <c r="E140" i="47"/>
  <c r="C140" i="47"/>
  <c r="E108" i="47"/>
  <c r="C108" i="47"/>
  <c r="E147" i="47"/>
  <c r="C147" i="47"/>
  <c r="E115" i="47"/>
  <c r="C115" i="47"/>
  <c r="E134" i="47"/>
  <c r="C134" i="47"/>
  <c r="E21" i="47"/>
  <c r="C21" i="47"/>
  <c r="E48" i="47"/>
  <c r="C48" i="47"/>
  <c r="E16" i="47"/>
  <c r="C16" i="47"/>
  <c r="E27" i="47"/>
  <c r="C27" i="47"/>
  <c r="E42" i="47"/>
  <c r="C42" i="47"/>
  <c r="E49" i="97"/>
  <c r="F49" i="97" s="1"/>
  <c r="K49" i="97"/>
  <c r="C49" i="97" s="1"/>
  <c r="E35" i="98"/>
  <c r="G35" i="98" s="1"/>
  <c r="D36" i="98"/>
  <c r="K34" i="97"/>
  <c r="C34" i="97" s="1"/>
  <c r="E34" i="97"/>
  <c r="F34" i="97" s="1"/>
  <c r="E31" i="97"/>
  <c r="F31" i="97" s="1"/>
  <c r="K31" i="97"/>
  <c r="C31" i="97" s="1"/>
  <c r="K17" i="50"/>
  <c r="C17" i="50" s="1"/>
  <c r="E49" i="47"/>
  <c r="C49" i="47"/>
  <c r="E15" i="47"/>
  <c r="C15" i="47"/>
  <c r="E30" i="47"/>
  <c r="C30" i="47"/>
  <c r="F16" i="43"/>
  <c r="C15" i="43"/>
  <c r="K35" i="50"/>
  <c r="C35" i="50" s="1"/>
  <c r="K11" i="46"/>
  <c r="C11" i="46" s="1"/>
  <c r="K36" i="50"/>
  <c r="C36" i="50" s="1"/>
  <c r="K46" i="50"/>
  <c r="C46" i="50" s="1"/>
  <c r="K11" i="50"/>
  <c r="C11" i="50" s="1"/>
  <c r="E40" i="44"/>
  <c r="E32" i="44"/>
  <c r="E51" i="44"/>
  <c r="E19" i="44"/>
  <c r="E50" i="44"/>
  <c r="E12" i="47"/>
  <c r="C12" i="47"/>
  <c r="E49" i="44"/>
  <c r="K12" i="50"/>
  <c r="C12" i="50" s="1"/>
  <c r="E129" i="47"/>
  <c r="C129" i="47"/>
  <c r="E136" i="47"/>
  <c r="C136" i="47"/>
  <c r="E143" i="47"/>
  <c r="C143" i="47"/>
  <c r="E111" i="47"/>
  <c r="C111" i="47"/>
  <c r="E130" i="47"/>
  <c r="C130" i="47"/>
  <c r="E45" i="47"/>
  <c r="C45" i="47"/>
  <c r="E44" i="47"/>
  <c r="C44" i="47"/>
  <c r="E55" i="47"/>
  <c r="C55" i="47"/>
  <c r="E23" i="47"/>
  <c r="C23" i="47"/>
  <c r="E38" i="47"/>
  <c r="C38" i="47"/>
  <c r="K54" i="97"/>
  <c r="C54" i="97" s="1"/>
  <c r="E54" i="97"/>
  <c r="F54" i="97" s="1"/>
  <c r="C59" i="88"/>
  <c r="E27" i="97"/>
  <c r="F27" i="97" s="1"/>
  <c r="K27" i="97"/>
  <c r="C27" i="97" s="1"/>
  <c r="C11" i="88"/>
  <c r="K16" i="50"/>
  <c r="C16" i="50"/>
  <c r="F32" i="43"/>
  <c r="C31" i="43"/>
  <c r="K44" i="50"/>
  <c r="C44" i="50" s="1"/>
  <c r="K43" i="50"/>
  <c r="C43" i="50" s="1"/>
  <c r="K42" i="50"/>
  <c r="C42" i="50" s="1"/>
  <c r="E36" i="44"/>
  <c r="E14" i="44"/>
  <c r="E47" i="44"/>
  <c r="K21" i="50"/>
  <c r="C21" i="50" s="1"/>
  <c r="E46" i="44"/>
  <c r="K20" i="50"/>
  <c r="C20" i="50" s="1"/>
  <c r="E45" i="44"/>
  <c r="K19" i="50"/>
  <c r="C19" i="50" s="1"/>
  <c r="E141" i="47"/>
  <c r="C141" i="47"/>
  <c r="E113" i="47"/>
  <c r="C113" i="47"/>
  <c r="E132" i="47"/>
  <c r="C132" i="47"/>
  <c r="E139" i="47"/>
  <c r="C139" i="47"/>
  <c r="E107" i="47"/>
  <c r="C107" i="47"/>
  <c r="E126" i="47"/>
  <c r="C126" i="47"/>
  <c r="E29" i="47"/>
  <c r="C29" i="47"/>
  <c r="E13" i="47"/>
  <c r="C13" i="47"/>
  <c r="E40" i="47"/>
  <c r="C40" i="47"/>
  <c r="E51" i="47"/>
  <c r="C51" i="47"/>
  <c r="E19" i="47"/>
  <c r="C19" i="47"/>
  <c r="E34" i="47"/>
  <c r="C34" i="47"/>
  <c r="K35" i="46"/>
  <c r="C35" i="46"/>
  <c r="C12" i="88"/>
  <c r="E56" i="97"/>
  <c r="F56" i="97" s="1"/>
  <c r="K56" i="97"/>
  <c r="C56" i="97" s="1"/>
  <c r="E19" i="98"/>
  <c r="G19" i="98" s="1"/>
  <c r="D20" i="98"/>
  <c r="H59" i="88"/>
  <c r="G59" i="88"/>
  <c r="H11" i="88"/>
  <c r="G11" i="88"/>
  <c r="D61" i="88"/>
  <c r="K60" i="88"/>
  <c r="C60" i="88" s="1"/>
  <c r="E60" i="88"/>
  <c r="F60" i="88" s="1"/>
  <c r="E12" i="88"/>
  <c r="F12" i="88" s="1"/>
  <c r="K12" i="88"/>
  <c r="D13" i="88"/>
  <c r="E107" i="91"/>
  <c r="F107" i="91" s="1"/>
  <c r="K107" i="91"/>
  <c r="C107" i="91" s="1"/>
  <c r="E11" i="91"/>
  <c r="F11" i="91" s="1"/>
  <c r="K11" i="91"/>
  <c r="C11" i="91" s="1"/>
  <c r="K107" i="92"/>
  <c r="C107" i="92" s="1"/>
  <c r="E107" i="92"/>
  <c r="F107" i="92" s="1"/>
  <c r="E11" i="92"/>
  <c r="F11" i="92" s="1"/>
  <c r="K11" i="92"/>
  <c r="C11" i="92" s="1"/>
  <c r="K75" i="93"/>
  <c r="C75" i="93" s="1"/>
  <c r="E75" i="93"/>
  <c r="F75" i="93" s="1"/>
  <c r="E64" i="93"/>
  <c r="F64" i="93" s="1"/>
  <c r="K64" i="93"/>
  <c r="C64" i="93" s="1"/>
  <c r="K78" i="93"/>
  <c r="C78" i="93" s="1"/>
  <c r="E78" i="93"/>
  <c r="F78" i="93" s="1"/>
  <c r="K27" i="93"/>
  <c r="C27" i="93" s="1"/>
  <c r="E27" i="93"/>
  <c r="F27" i="93" s="1"/>
  <c r="E18" i="93"/>
  <c r="F18" i="93" s="1"/>
  <c r="K18" i="93"/>
  <c r="C18" i="93" s="1"/>
  <c r="E32" i="93"/>
  <c r="F32" i="93" s="1"/>
  <c r="K32" i="93"/>
  <c r="C32" i="93" s="1"/>
  <c r="E77" i="93"/>
  <c r="F77" i="93" s="1"/>
  <c r="K77" i="93"/>
  <c r="C77" i="93" s="1"/>
  <c r="E67" i="93"/>
  <c r="F67" i="93" s="1"/>
  <c r="K67" i="93"/>
  <c r="C67" i="93" s="1"/>
  <c r="E63" i="93"/>
  <c r="F63" i="93" s="1"/>
  <c r="K63" i="93"/>
  <c r="C63" i="93" s="1"/>
  <c r="E68" i="93"/>
  <c r="F68" i="93" s="1"/>
  <c r="K68" i="93"/>
  <c r="C68" i="93" s="1"/>
  <c r="K66" i="93"/>
  <c r="C66" i="93" s="1"/>
  <c r="E66" i="93"/>
  <c r="F66" i="93" s="1"/>
  <c r="K82" i="93"/>
  <c r="C82" i="93" s="1"/>
  <c r="E82" i="93"/>
  <c r="F82" i="93" s="1"/>
  <c r="K15" i="93"/>
  <c r="C15" i="93" s="1"/>
  <c r="E15" i="93"/>
  <c r="F15" i="93" s="1"/>
  <c r="K30" i="93"/>
  <c r="C30" i="93" s="1"/>
  <c r="E30" i="93"/>
  <c r="F30" i="93" s="1"/>
  <c r="E13" i="93"/>
  <c r="F13" i="93" s="1"/>
  <c r="K13" i="93"/>
  <c r="C13" i="93" s="1"/>
  <c r="E22" i="93"/>
  <c r="F22" i="93" s="1"/>
  <c r="K22" i="93"/>
  <c r="C22" i="93" s="1"/>
  <c r="E33" i="93"/>
  <c r="F33" i="93" s="1"/>
  <c r="K33" i="93"/>
  <c r="C33" i="93" s="1"/>
  <c r="K24" i="93"/>
  <c r="C24" i="93" s="1"/>
  <c r="E24" i="93"/>
  <c r="F24" i="93" s="1"/>
  <c r="K34" i="93"/>
  <c r="C34" i="93" s="1"/>
  <c r="E34" i="93"/>
  <c r="F34" i="93" s="1"/>
  <c r="K61" i="93"/>
  <c r="C61" i="93" s="1"/>
  <c r="E61" i="93"/>
  <c r="F61" i="93" s="1"/>
  <c r="E73" i="93"/>
  <c r="F73" i="93" s="1"/>
  <c r="K73" i="93"/>
  <c r="C73" i="93" s="1"/>
  <c r="E71" i="93"/>
  <c r="F71" i="93" s="1"/>
  <c r="K71" i="93"/>
  <c r="C71" i="93" s="1"/>
  <c r="E72" i="93"/>
  <c r="F72" i="93" s="1"/>
  <c r="K72" i="93"/>
  <c r="C72" i="93" s="1"/>
  <c r="K70" i="93"/>
  <c r="C70" i="93" s="1"/>
  <c r="E70" i="93"/>
  <c r="F70" i="93" s="1"/>
  <c r="K76" i="93"/>
  <c r="C76" i="93" s="1"/>
  <c r="E76" i="93"/>
  <c r="F76" i="93" s="1"/>
  <c r="K23" i="93"/>
  <c r="C23" i="93" s="1"/>
  <c r="E23" i="93"/>
  <c r="F23" i="93" s="1"/>
  <c r="K11" i="93"/>
  <c r="C11" i="93" s="1"/>
  <c r="E11" i="93"/>
  <c r="F11" i="93" s="1"/>
  <c r="E21" i="93"/>
  <c r="F21" i="93" s="1"/>
  <c r="K21" i="93"/>
  <c r="C21" i="93" s="1"/>
  <c r="E26" i="93"/>
  <c r="F26" i="93" s="1"/>
  <c r="K26" i="93"/>
  <c r="C26" i="93" s="1"/>
  <c r="K12" i="93"/>
  <c r="C12" i="93" s="1"/>
  <c r="E12" i="93"/>
  <c r="F12" i="93" s="1"/>
  <c r="K28" i="93"/>
  <c r="C28" i="93" s="1"/>
  <c r="E28" i="93"/>
  <c r="F28" i="93" s="1"/>
  <c r="K65" i="93"/>
  <c r="C65" i="93" s="1"/>
  <c r="E65" i="93"/>
  <c r="F65" i="93" s="1"/>
  <c r="E59" i="93"/>
  <c r="F59" i="93" s="1"/>
  <c r="K59" i="93"/>
  <c r="C59" i="93" s="1"/>
  <c r="K62" i="93"/>
  <c r="C62" i="93" s="1"/>
  <c r="E62" i="93"/>
  <c r="F62" i="93" s="1"/>
  <c r="E25" i="93"/>
  <c r="F25" i="93" s="1"/>
  <c r="K25" i="93"/>
  <c r="C25" i="93" s="1"/>
  <c r="K20" i="93"/>
  <c r="C20" i="93" s="1"/>
  <c r="E20" i="93"/>
  <c r="F20" i="93" s="1"/>
  <c r="K69" i="93"/>
  <c r="C69" i="93" s="1"/>
  <c r="E69" i="93"/>
  <c r="F69" i="93" s="1"/>
  <c r="E81" i="93"/>
  <c r="F81" i="93" s="1"/>
  <c r="K81" i="93"/>
  <c r="C81" i="93" s="1"/>
  <c r="E60" i="93"/>
  <c r="F60" i="93" s="1"/>
  <c r="K60" i="93"/>
  <c r="C60" i="93" s="1"/>
  <c r="E74" i="93"/>
  <c r="F74" i="93" s="1"/>
  <c r="K74" i="93"/>
  <c r="C74" i="93" s="1"/>
  <c r="K79" i="93"/>
  <c r="C79" i="93" s="1"/>
  <c r="E79" i="93"/>
  <c r="F79" i="93" s="1"/>
  <c r="E80" i="93"/>
  <c r="F80" i="93" s="1"/>
  <c r="K80" i="93"/>
  <c r="C80" i="93" s="1"/>
  <c r="K19" i="93"/>
  <c r="C19" i="93" s="1"/>
  <c r="E19" i="93"/>
  <c r="F19" i="93" s="1"/>
  <c r="E17" i="93"/>
  <c r="F17" i="93" s="1"/>
  <c r="K17" i="93"/>
  <c r="C17" i="93" s="1"/>
  <c r="E14" i="93"/>
  <c r="F14" i="93" s="1"/>
  <c r="K14" i="93"/>
  <c r="C14" i="93" s="1"/>
  <c r="E29" i="93"/>
  <c r="F29" i="93" s="1"/>
  <c r="K29" i="93"/>
  <c r="C29" i="93" s="1"/>
  <c r="K16" i="93"/>
  <c r="C16" i="93" s="1"/>
  <c r="E16" i="93"/>
  <c r="F16" i="93" s="1"/>
  <c r="K31" i="93"/>
  <c r="C31" i="93" s="1"/>
  <c r="E31" i="93"/>
  <c r="F31" i="93" s="1"/>
  <c r="E11" i="87"/>
  <c r="F11" i="87" s="1"/>
  <c r="K11" i="87"/>
  <c r="C11" i="87" s="1"/>
  <c r="E11" i="89"/>
  <c r="F11" i="89" s="1"/>
  <c r="K11" i="89"/>
  <c r="C11" i="89" s="1"/>
  <c r="K107" i="87"/>
  <c r="C107" i="87" s="1"/>
  <c r="E107" i="87"/>
  <c r="F107" i="87" s="1"/>
  <c r="E107" i="89"/>
  <c r="F107" i="89" s="1"/>
  <c r="K107" i="89"/>
  <c r="C107" i="89" s="1"/>
  <c r="K159" i="53"/>
  <c r="C159" i="53" s="1"/>
  <c r="D160" i="53"/>
  <c r="K87" i="53"/>
  <c r="C87" i="53" s="1"/>
  <c r="D88" i="53"/>
  <c r="D36" i="45"/>
  <c r="E35" i="45"/>
  <c r="F35" i="45" s="1"/>
  <c r="K35" i="45"/>
  <c r="C35" i="45" s="1"/>
  <c r="E11" i="45"/>
  <c r="F11" i="45" s="1"/>
  <c r="K11" i="45"/>
  <c r="C11" i="45" s="1"/>
  <c r="D12" i="45"/>
  <c r="D36" i="46"/>
  <c r="E35" i="46"/>
  <c r="F35" i="46" s="1"/>
  <c r="D12" i="46"/>
  <c r="T494" i="61"/>
  <c r="U494" i="61" s="1"/>
  <c r="H495" i="61"/>
  <c r="G495" i="61"/>
  <c r="R495" i="61"/>
  <c r="Q495" i="61"/>
  <c r="S495" i="61" s="1"/>
  <c r="E496" i="61"/>
  <c r="F496" i="61" s="1"/>
  <c r="P496" i="61"/>
  <c r="D497" i="61"/>
  <c r="C497" i="61" s="1"/>
  <c r="E44" i="50"/>
  <c r="F44" i="50" s="1"/>
  <c r="H44" i="50" s="1"/>
  <c r="E43" i="50"/>
  <c r="F43" i="50" s="1"/>
  <c r="G43" i="50" s="1"/>
  <c r="E46" i="50"/>
  <c r="F46" i="50" s="1"/>
  <c r="G46" i="50" s="1"/>
  <c r="E11" i="50"/>
  <c r="F11" i="50" s="1"/>
  <c r="H11" i="50" s="1"/>
  <c r="E40" i="50"/>
  <c r="F40" i="50" s="1"/>
  <c r="G40" i="50" s="1"/>
  <c r="E45" i="50"/>
  <c r="F45" i="50" s="1"/>
  <c r="G45" i="50" s="1"/>
  <c r="E39" i="50"/>
  <c r="F39" i="50" s="1"/>
  <c r="G39" i="50" s="1"/>
  <c r="E42" i="50"/>
  <c r="F42" i="50" s="1"/>
  <c r="G42" i="50" s="1"/>
  <c r="E21" i="50"/>
  <c r="F21" i="50" s="1"/>
  <c r="G21" i="50" s="1"/>
  <c r="E20" i="50"/>
  <c r="F20" i="50" s="1"/>
  <c r="H20" i="50" s="1"/>
  <c r="E19" i="50"/>
  <c r="F19" i="50" s="1"/>
  <c r="G19" i="50" s="1"/>
  <c r="E35" i="50"/>
  <c r="F35" i="50" s="1"/>
  <c r="G35" i="50" s="1"/>
  <c r="E41" i="50"/>
  <c r="F41" i="50" s="1"/>
  <c r="H41" i="50" s="1"/>
  <c r="E36" i="50"/>
  <c r="F36" i="50" s="1"/>
  <c r="H36" i="50" s="1"/>
  <c r="E37" i="50"/>
  <c r="F37" i="50" s="1"/>
  <c r="G37" i="50" s="1"/>
  <c r="E38" i="50"/>
  <c r="F38" i="50" s="1"/>
  <c r="H38" i="50" s="1"/>
  <c r="E17" i="50"/>
  <c r="F17" i="50" s="1"/>
  <c r="G17" i="50" s="1"/>
  <c r="E16" i="50"/>
  <c r="F16" i="50" s="1"/>
  <c r="G16" i="50" s="1"/>
  <c r="E22" i="50"/>
  <c r="F22" i="50" s="1"/>
  <c r="H22" i="50" s="1"/>
  <c r="E15" i="50"/>
  <c r="F15" i="50" s="1"/>
  <c r="G15" i="50" s="1"/>
  <c r="E18" i="50"/>
  <c r="F18" i="50" s="1"/>
  <c r="G18" i="50" s="1"/>
  <c r="E13" i="50"/>
  <c r="F13" i="50" s="1"/>
  <c r="G13" i="50" s="1"/>
  <c r="E14" i="50"/>
  <c r="F14" i="50" s="1"/>
  <c r="H14" i="50" s="1"/>
  <c r="E12" i="50"/>
  <c r="F12" i="50" s="1"/>
  <c r="H12" i="50" s="1"/>
  <c r="L23" i="79"/>
  <c r="E23" i="79"/>
  <c r="F23" i="79" s="1"/>
  <c r="D24" i="79"/>
  <c r="J30" i="80"/>
  <c r="J31" i="80" s="1"/>
  <c r="J32" i="80" s="1"/>
  <c r="J33" i="80" s="1"/>
  <c r="J34" i="80" s="1"/>
  <c r="J35" i="80" s="1"/>
  <c r="K29" i="80"/>
  <c r="K30" i="80" s="1"/>
  <c r="K31" i="80" s="1"/>
  <c r="K32" i="80" s="1"/>
  <c r="K33" i="80" s="1"/>
  <c r="K34" i="80" s="1"/>
  <c r="E11" i="79"/>
  <c r="F11" i="79" s="1"/>
  <c r="L11" i="79"/>
  <c r="D12" i="79"/>
  <c r="K15" i="66"/>
  <c r="P14" i="66"/>
  <c r="K15" i="65"/>
  <c r="P14" i="65"/>
  <c r="K15" i="68"/>
  <c r="P14" i="68"/>
  <c r="F119" i="67"/>
  <c r="F120" i="67" s="1"/>
  <c r="F121" i="67" s="1"/>
  <c r="F122" i="67" s="1"/>
  <c r="F123" i="67" s="1"/>
  <c r="F124" i="67" s="1"/>
  <c r="F125" i="67" s="1"/>
  <c r="F126" i="67" s="1"/>
  <c r="F127" i="67" s="1"/>
  <c r="F128" i="67" s="1"/>
  <c r="F129" i="67" s="1"/>
  <c r="F130" i="67" s="1"/>
  <c r="F131" i="67" s="1"/>
  <c r="F132" i="67" s="1"/>
  <c r="F133" i="67" s="1"/>
  <c r="F134" i="67" s="1"/>
  <c r="F135" i="67" s="1"/>
  <c r="F136" i="67" s="1"/>
  <c r="F137" i="67" s="1"/>
  <c r="F138" i="67" s="1"/>
  <c r="F139" i="67" s="1"/>
  <c r="F140" i="67" s="1"/>
  <c r="F141" i="67" s="1"/>
  <c r="F142" i="67" s="1"/>
  <c r="F143" i="67" s="1"/>
  <c r="F144" i="67" s="1"/>
  <c r="F145" i="67" s="1"/>
  <c r="F146" i="67" s="1"/>
  <c r="F147" i="67" s="1"/>
  <c r="F148" i="67" s="1"/>
  <c r="F149" i="67" s="1"/>
  <c r="F150" i="67" s="1"/>
  <c r="F151" i="67" s="1"/>
  <c r="F152" i="67" s="1"/>
  <c r="F153" i="67" s="1"/>
  <c r="F154" i="67" s="1"/>
  <c r="I15" i="67"/>
  <c r="N14" i="67"/>
  <c r="H119" i="44"/>
  <c r="E119" i="44"/>
  <c r="H127" i="44"/>
  <c r="E127" i="44"/>
  <c r="H137" i="44"/>
  <c r="E137" i="44"/>
  <c r="H121" i="44"/>
  <c r="E121" i="44"/>
  <c r="H152" i="44"/>
  <c r="E152" i="44"/>
  <c r="H115" i="44"/>
  <c r="E115" i="44"/>
  <c r="H147" i="44"/>
  <c r="E147" i="44"/>
  <c r="H111" i="44"/>
  <c r="E111" i="44"/>
  <c r="H142" i="44"/>
  <c r="E142" i="44"/>
  <c r="H126" i="44"/>
  <c r="E126" i="44"/>
  <c r="H110" i="44"/>
  <c r="E110" i="44"/>
  <c r="H149" i="44"/>
  <c r="E149" i="44"/>
  <c r="H133" i="44"/>
  <c r="E133" i="44"/>
  <c r="H117" i="44"/>
  <c r="E117" i="44"/>
  <c r="H148" i="44"/>
  <c r="E148" i="44"/>
  <c r="H132" i="44"/>
  <c r="E132" i="44"/>
  <c r="H116" i="44"/>
  <c r="E116" i="44"/>
  <c r="H130" i="44"/>
  <c r="E130" i="44"/>
  <c r="H120" i="44"/>
  <c r="E120" i="44"/>
  <c r="H123" i="44"/>
  <c r="E123" i="44"/>
  <c r="H131" i="44"/>
  <c r="E131" i="44"/>
  <c r="H154" i="44"/>
  <c r="E154" i="44"/>
  <c r="H138" i="44"/>
  <c r="E138" i="44"/>
  <c r="H122" i="44"/>
  <c r="E122" i="44"/>
  <c r="H145" i="44"/>
  <c r="E145" i="44"/>
  <c r="H129" i="44"/>
  <c r="E129" i="44"/>
  <c r="H113" i="44"/>
  <c r="E113" i="44"/>
  <c r="H144" i="44"/>
  <c r="E144" i="44"/>
  <c r="H128" i="44"/>
  <c r="E128" i="44"/>
  <c r="H112" i="44"/>
  <c r="E112" i="44"/>
  <c r="H151" i="44"/>
  <c r="E151" i="44"/>
  <c r="H146" i="44"/>
  <c r="E146" i="44"/>
  <c r="H114" i="44"/>
  <c r="E114" i="44"/>
  <c r="H153" i="44"/>
  <c r="E153" i="44"/>
  <c r="H136" i="44"/>
  <c r="E136" i="44"/>
  <c r="H139" i="44"/>
  <c r="E139" i="44"/>
  <c r="H135" i="44"/>
  <c r="E135" i="44"/>
  <c r="H143" i="44"/>
  <c r="E143" i="44"/>
  <c r="H150" i="44"/>
  <c r="E150" i="44"/>
  <c r="H134" i="44"/>
  <c r="E134" i="44"/>
  <c r="H118" i="44"/>
  <c r="E118" i="44"/>
  <c r="H141" i="44"/>
  <c r="E141" i="44"/>
  <c r="H125" i="44"/>
  <c r="E125" i="44"/>
  <c r="H109" i="44"/>
  <c r="E109" i="44"/>
  <c r="H140" i="44"/>
  <c r="E140" i="44"/>
  <c r="H124" i="44"/>
  <c r="E124" i="44"/>
  <c r="K37" i="63"/>
  <c r="C37" i="63" s="1"/>
  <c r="E37" i="63"/>
  <c r="F37" i="63" s="1"/>
  <c r="K21" i="63"/>
  <c r="C21" i="63" s="1"/>
  <c r="E21" i="63"/>
  <c r="F21" i="63" s="1"/>
  <c r="K35" i="63"/>
  <c r="C35" i="63" s="1"/>
  <c r="E35" i="63"/>
  <c r="F35" i="63" s="1"/>
  <c r="K43" i="63"/>
  <c r="C43" i="63" s="1"/>
  <c r="E43" i="63"/>
  <c r="F43" i="63" s="1"/>
  <c r="E40" i="63"/>
  <c r="F40" i="63" s="1"/>
  <c r="K40" i="63"/>
  <c r="C40" i="63" s="1"/>
  <c r="K11" i="63"/>
  <c r="C11" i="63" s="1"/>
  <c r="E11" i="63"/>
  <c r="F11" i="63" s="1"/>
  <c r="E19" i="63"/>
  <c r="F19" i="63" s="1"/>
  <c r="K19" i="63"/>
  <c r="C19" i="63" s="1"/>
  <c r="E16" i="63"/>
  <c r="F16" i="63" s="1"/>
  <c r="K16" i="63"/>
  <c r="C16" i="63" s="1"/>
  <c r="K18" i="63"/>
  <c r="C18" i="63" s="1"/>
  <c r="E18" i="63"/>
  <c r="F18" i="63" s="1"/>
  <c r="K39" i="63"/>
  <c r="C39" i="63" s="1"/>
  <c r="E39" i="63"/>
  <c r="F39" i="63" s="1"/>
  <c r="E36" i="63"/>
  <c r="F36" i="63" s="1"/>
  <c r="K36" i="63"/>
  <c r="C36" i="63" s="1"/>
  <c r="E44" i="63"/>
  <c r="F44" i="63" s="1"/>
  <c r="K44" i="63"/>
  <c r="C44" i="63" s="1"/>
  <c r="K15" i="63"/>
  <c r="C15" i="63" s="1"/>
  <c r="E15" i="63"/>
  <c r="F15" i="63" s="1"/>
  <c r="E12" i="63"/>
  <c r="F12" i="63" s="1"/>
  <c r="K12" i="63"/>
  <c r="C12" i="63" s="1"/>
  <c r="E20" i="63"/>
  <c r="F20" i="63" s="1"/>
  <c r="K20" i="63"/>
  <c r="C20" i="63" s="1"/>
  <c r="K45" i="63"/>
  <c r="C45" i="63" s="1"/>
  <c r="E45" i="63"/>
  <c r="F45" i="63" s="1"/>
  <c r="E42" i="63"/>
  <c r="F42" i="63" s="1"/>
  <c r="K42" i="63"/>
  <c r="C42" i="63" s="1"/>
  <c r="K13" i="63"/>
  <c r="C13" i="63" s="1"/>
  <c r="E13" i="63"/>
  <c r="F13" i="63" s="1"/>
  <c r="K41" i="63"/>
  <c r="C41" i="63" s="1"/>
  <c r="E41" i="63"/>
  <c r="F41" i="63" s="1"/>
  <c r="E38" i="63"/>
  <c r="F38" i="63" s="1"/>
  <c r="K38" i="63"/>
  <c r="C38" i="63" s="1"/>
  <c r="E46" i="63"/>
  <c r="F46" i="63" s="1"/>
  <c r="K46" i="63"/>
  <c r="C46" i="63" s="1"/>
  <c r="K17" i="63"/>
  <c r="C17" i="63" s="1"/>
  <c r="E17" i="63"/>
  <c r="F17" i="63" s="1"/>
  <c r="E14" i="63"/>
  <c r="F14" i="63" s="1"/>
  <c r="K14" i="63"/>
  <c r="C14" i="63" s="1"/>
  <c r="K22" i="63"/>
  <c r="C22" i="63" s="1"/>
  <c r="E22" i="63"/>
  <c r="F22" i="63" s="1"/>
  <c r="H107" i="44"/>
  <c r="I107" i="44"/>
  <c r="E90" i="51"/>
  <c r="F90" i="51" s="1"/>
  <c r="K90" i="51"/>
  <c r="E109" i="51"/>
  <c r="F109" i="51" s="1"/>
  <c r="K109" i="51"/>
  <c r="E93" i="51"/>
  <c r="F93" i="51" s="1"/>
  <c r="K93" i="51"/>
  <c r="K98" i="51"/>
  <c r="E98" i="51"/>
  <c r="F98" i="51" s="1"/>
  <c r="E110" i="51"/>
  <c r="F110" i="51" s="1"/>
  <c r="K110" i="51"/>
  <c r="E89" i="51"/>
  <c r="F89" i="51" s="1"/>
  <c r="K89" i="51"/>
  <c r="K111" i="51"/>
  <c r="E111" i="51"/>
  <c r="F111" i="51" s="1"/>
  <c r="E95" i="51"/>
  <c r="F95" i="51" s="1"/>
  <c r="K95" i="51"/>
  <c r="K35" i="51"/>
  <c r="E35" i="51"/>
  <c r="F35" i="51" s="1"/>
  <c r="E15" i="51"/>
  <c r="F15" i="51" s="1"/>
  <c r="K15" i="51"/>
  <c r="E25" i="51"/>
  <c r="F25" i="51" s="1"/>
  <c r="K25" i="51"/>
  <c r="K45" i="51"/>
  <c r="E45" i="51"/>
  <c r="F45" i="51" s="1"/>
  <c r="E39" i="51"/>
  <c r="F39" i="51" s="1"/>
  <c r="K39" i="51"/>
  <c r="E23" i="51"/>
  <c r="F23" i="51" s="1"/>
  <c r="K23" i="51"/>
  <c r="K41" i="51"/>
  <c r="E41" i="51"/>
  <c r="F41" i="51" s="1"/>
  <c r="E24" i="51"/>
  <c r="F24" i="51" s="1"/>
  <c r="K24" i="51"/>
  <c r="K31" i="51"/>
  <c r="E31" i="51"/>
  <c r="F31" i="51" s="1"/>
  <c r="K46" i="51"/>
  <c r="E46" i="51"/>
  <c r="F46" i="51" s="1"/>
  <c r="H11" i="44"/>
  <c r="K112" i="51"/>
  <c r="E112" i="51"/>
  <c r="F112" i="51" s="1"/>
  <c r="K102" i="51"/>
  <c r="E102" i="51"/>
  <c r="F102" i="51" s="1"/>
  <c r="K114" i="51"/>
  <c r="E114" i="51"/>
  <c r="F114" i="51" s="1"/>
  <c r="K86" i="51"/>
  <c r="E86" i="51"/>
  <c r="F86" i="51" s="1"/>
  <c r="K92" i="51"/>
  <c r="E92" i="51"/>
  <c r="F92" i="51" s="1"/>
  <c r="E105" i="51"/>
  <c r="F105" i="51" s="1"/>
  <c r="K105" i="51"/>
  <c r="E84" i="51"/>
  <c r="F84" i="51" s="1"/>
  <c r="K84" i="51"/>
  <c r="E107" i="51"/>
  <c r="F107" i="51" s="1"/>
  <c r="K107" i="51"/>
  <c r="E91" i="51"/>
  <c r="F91" i="51" s="1"/>
  <c r="K91" i="51"/>
  <c r="E36" i="51"/>
  <c r="F36" i="51" s="1"/>
  <c r="K36" i="51"/>
  <c r="K17" i="51"/>
  <c r="E17" i="51"/>
  <c r="F17" i="51" s="1"/>
  <c r="E33" i="51"/>
  <c r="F33" i="51" s="1"/>
  <c r="K33" i="51"/>
  <c r="E44" i="51"/>
  <c r="F44" i="51" s="1"/>
  <c r="K44" i="51"/>
  <c r="K29" i="51"/>
  <c r="E29" i="51"/>
  <c r="F29" i="51" s="1"/>
  <c r="K13" i="51"/>
  <c r="E13" i="51"/>
  <c r="F13" i="51" s="1"/>
  <c r="K26" i="51"/>
  <c r="E26" i="51"/>
  <c r="F26" i="51" s="1"/>
  <c r="E32" i="51"/>
  <c r="F32" i="51" s="1"/>
  <c r="K32" i="51"/>
  <c r="D16" i="53"/>
  <c r="K15" i="53"/>
  <c r="C15" i="53" s="1"/>
  <c r="E97" i="51"/>
  <c r="F97" i="51" s="1"/>
  <c r="K97" i="51"/>
  <c r="K104" i="51"/>
  <c r="E104" i="51"/>
  <c r="F104" i="51" s="1"/>
  <c r="K96" i="51"/>
  <c r="E96" i="51"/>
  <c r="F96" i="51" s="1"/>
  <c r="K108" i="51"/>
  <c r="E108" i="51"/>
  <c r="F108" i="51" s="1"/>
  <c r="K113" i="51"/>
  <c r="E113" i="51"/>
  <c r="F113" i="51" s="1"/>
  <c r="E85" i="51"/>
  <c r="F85" i="51" s="1"/>
  <c r="K85" i="51"/>
  <c r="K100" i="51"/>
  <c r="E100" i="51"/>
  <c r="F100" i="51" s="1"/>
  <c r="E83" i="51"/>
  <c r="F83" i="51" s="1"/>
  <c r="K83" i="51"/>
  <c r="E103" i="51"/>
  <c r="F103" i="51" s="1"/>
  <c r="K103" i="51"/>
  <c r="K87" i="51"/>
  <c r="E87" i="51"/>
  <c r="F87" i="51" s="1"/>
  <c r="K18" i="51"/>
  <c r="E18" i="51"/>
  <c r="F18" i="51" s="1"/>
  <c r="E20" i="51"/>
  <c r="F20" i="51" s="1"/>
  <c r="K20" i="51"/>
  <c r="K34" i="51"/>
  <c r="E34" i="51"/>
  <c r="F34" i="51" s="1"/>
  <c r="K11" i="51"/>
  <c r="E11" i="51"/>
  <c r="F11" i="51" s="1"/>
  <c r="E12" i="51"/>
  <c r="F12" i="51" s="1"/>
  <c r="K12" i="51"/>
  <c r="K30" i="51"/>
  <c r="E30" i="51"/>
  <c r="F30" i="51" s="1"/>
  <c r="E16" i="51"/>
  <c r="F16" i="51" s="1"/>
  <c r="K16" i="51"/>
  <c r="E27" i="51"/>
  <c r="F27" i="51" s="1"/>
  <c r="K27" i="51"/>
  <c r="E40" i="51"/>
  <c r="F40" i="51" s="1"/>
  <c r="K40" i="51"/>
  <c r="H12" i="44"/>
  <c r="K15" i="52"/>
  <c r="C15" i="52" s="1"/>
  <c r="D16" i="52"/>
  <c r="K118" i="51"/>
  <c r="E118" i="51"/>
  <c r="F118" i="51" s="1"/>
  <c r="E117" i="51"/>
  <c r="F117" i="51" s="1"/>
  <c r="K117" i="51"/>
  <c r="E88" i="51"/>
  <c r="F88" i="51" s="1"/>
  <c r="K88" i="51"/>
  <c r="E101" i="51"/>
  <c r="F101" i="51" s="1"/>
  <c r="K101" i="51"/>
  <c r="E106" i="51"/>
  <c r="F106" i="51" s="1"/>
  <c r="K106" i="51"/>
  <c r="E116" i="51"/>
  <c r="F116" i="51" s="1"/>
  <c r="K116" i="51"/>
  <c r="E94" i="51"/>
  <c r="F94" i="51" s="1"/>
  <c r="K94" i="51"/>
  <c r="E115" i="51"/>
  <c r="F115" i="51" s="1"/>
  <c r="K115" i="51"/>
  <c r="E99" i="51"/>
  <c r="F99" i="51" s="1"/>
  <c r="K99" i="51"/>
  <c r="H108" i="44"/>
  <c r="K37" i="51"/>
  <c r="E37" i="51"/>
  <c r="F37" i="51" s="1"/>
  <c r="K22" i="51"/>
  <c r="E22" i="51"/>
  <c r="F22" i="51" s="1"/>
  <c r="K42" i="51"/>
  <c r="E42" i="51"/>
  <c r="F42" i="51" s="1"/>
  <c r="E19" i="51"/>
  <c r="F19" i="51" s="1"/>
  <c r="K19" i="51"/>
  <c r="K14" i="51"/>
  <c r="E14" i="51"/>
  <c r="F14" i="51" s="1"/>
  <c r="K38" i="51"/>
  <c r="E38" i="51"/>
  <c r="F38" i="51" s="1"/>
  <c r="K21" i="51"/>
  <c r="E21" i="51"/>
  <c r="F21" i="51" s="1"/>
  <c r="E28" i="51"/>
  <c r="F28" i="51" s="1"/>
  <c r="K28" i="51"/>
  <c r="E43" i="51"/>
  <c r="F43" i="51" s="1"/>
  <c r="K43" i="51"/>
  <c r="E11" i="47"/>
  <c r="K16" i="47"/>
  <c r="K62" i="42"/>
  <c r="C62" i="42" s="1"/>
  <c r="E62" i="42"/>
  <c r="F62" i="42" s="1"/>
  <c r="E56" i="42"/>
  <c r="F56" i="42" s="1"/>
  <c r="K56" i="42"/>
  <c r="C56" i="42" s="1"/>
  <c r="E51" i="42"/>
  <c r="F51" i="42" s="1"/>
  <c r="K51" i="42"/>
  <c r="C51" i="42" s="1"/>
  <c r="K61" i="42"/>
  <c r="C61" i="42" s="1"/>
  <c r="E61" i="42"/>
  <c r="F61" i="42" s="1"/>
  <c r="I108" i="44"/>
  <c r="E18" i="42"/>
  <c r="F18" i="42" s="1"/>
  <c r="K18" i="42"/>
  <c r="C18" i="42" s="1"/>
  <c r="E16" i="42"/>
  <c r="F16" i="42" s="1"/>
  <c r="K16" i="42"/>
  <c r="C16" i="42" s="1"/>
  <c r="K25" i="42"/>
  <c r="C25" i="42" s="1"/>
  <c r="E25" i="42"/>
  <c r="F25" i="42" s="1"/>
  <c r="E50" i="42"/>
  <c r="F50" i="42" s="1"/>
  <c r="K50" i="42"/>
  <c r="C50" i="42" s="1"/>
  <c r="E52" i="42"/>
  <c r="F52" i="42" s="1"/>
  <c r="K52" i="42"/>
  <c r="C52" i="42" s="1"/>
  <c r="E54" i="42"/>
  <c r="F54" i="42" s="1"/>
  <c r="K54" i="42"/>
  <c r="C54" i="42" s="1"/>
  <c r="K57" i="42"/>
  <c r="C57" i="42" s="1"/>
  <c r="E57" i="42"/>
  <c r="F57" i="42" s="1"/>
  <c r="K19" i="42"/>
  <c r="C19" i="42" s="1"/>
  <c r="E19" i="42"/>
  <c r="F19" i="42" s="1"/>
  <c r="K28" i="42"/>
  <c r="C28" i="42" s="1"/>
  <c r="E28" i="42"/>
  <c r="F28" i="42" s="1"/>
  <c r="E23" i="42"/>
  <c r="F23" i="42" s="1"/>
  <c r="K23" i="42"/>
  <c r="C23" i="42" s="1"/>
  <c r="K26" i="42"/>
  <c r="C26" i="42" s="1"/>
  <c r="E26" i="42"/>
  <c r="F26" i="42" s="1"/>
  <c r="K22" i="42"/>
  <c r="C22" i="42" s="1"/>
  <c r="E22" i="42"/>
  <c r="F22" i="42" s="1"/>
  <c r="K21" i="42"/>
  <c r="C21" i="42" s="1"/>
  <c r="E21" i="42"/>
  <c r="F21" i="42" s="1"/>
  <c r="E63" i="42"/>
  <c r="F63" i="42" s="1"/>
  <c r="K63" i="42"/>
  <c r="C63" i="42" s="1"/>
  <c r="K64" i="42"/>
  <c r="C64" i="42" s="1"/>
  <c r="E64" i="42"/>
  <c r="F64" i="42" s="1"/>
  <c r="E48" i="42"/>
  <c r="F48" i="42" s="1"/>
  <c r="K48" i="42"/>
  <c r="C48" i="42" s="1"/>
  <c r="E58" i="42"/>
  <c r="F58" i="42" s="1"/>
  <c r="K58" i="42"/>
  <c r="C58" i="42" s="1"/>
  <c r="K53" i="42"/>
  <c r="C53" i="42" s="1"/>
  <c r="E53" i="42"/>
  <c r="F53" i="42" s="1"/>
  <c r="K24" i="42"/>
  <c r="C24" i="42" s="1"/>
  <c r="E24" i="42"/>
  <c r="F24" i="42" s="1"/>
  <c r="E27" i="42"/>
  <c r="F27" i="42" s="1"/>
  <c r="K27" i="42"/>
  <c r="C27" i="42" s="1"/>
  <c r="K15" i="42"/>
  <c r="C15" i="42" s="1"/>
  <c r="E15" i="42"/>
  <c r="F15" i="42" s="1"/>
  <c r="E14" i="42"/>
  <c r="F14" i="42" s="1"/>
  <c r="K14" i="42"/>
  <c r="C14" i="42" s="1"/>
  <c r="K17" i="42"/>
  <c r="C17" i="42" s="1"/>
  <c r="E17" i="42"/>
  <c r="F17" i="42" s="1"/>
  <c r="E11" i="46"/>
  <c r="F11" i="46" s="1"/>
  <c r="E55" i="42"/>
  <c r="F55" i="42" s="1"/>
  <c r="K55" i="42"/>
  <c r="C55" i="42" s="1"/>
  <c r="E60" i="42"/>
  <c r="F60" i="42" s="1"/>
  <c r="K60" i="42"/>
  <c r="C60" i="42" s="1"/>
  <c r="E59" i="42"/>
  <c r="F59" i="42" s="1"/>
  <c r="K59" i="42"/>
  <c r="C59" i="42" s="1"/>
  <c r="E47" i="42"/>
  <c r="F47" i="42" s="1"/>
  <c r="K47" i="42"/>
  <c r="C47" i="42" s="1"/>
  <c r="K49" i="42"/>
  <c r="C49" i="42" s="1"/>
  <c r="E49" i="42"/>
  <c r="F49" i="42" s="1"/>
  <c r="E11" i="42"/>
  <c r="F11" i="42" s="1"/>
  <c r="K11" i="42"/>
  <c r="C11" i="42" s="1"/>
  <c r="E20" i="42"/>
  <c r="F20" i="42" s="1"/>
  <c r="K20" i="42"/>
  <c r="C20" i="42" s="1"/>
  <c r="E12" i="42"/>
  <c r="F12" i="42" s="1"/>
  <c r="K12" i="42"/>
  <c r="C12" i="42" s="1"/>
  <c r="K13" i="42"/>
  <c r="C13" i="42" s="1"/>
  <c r="E13" i="42"/>
  <c r="F13" i="42" s="1"/>
  <c r="I12" i="44"/>
  <c r="E11" i="44"/>
  <c r="I11" i="44" s="1"/>
  <c r="G20" i="98" l="1"/>
  <c r="C19" i="98"/>
  <c r="G34" i="97"/>
  <c r="H34" i="97"/>
  <c r="G25" i="97"/>
  <c r="H25" i="97"/>
  <c r="G58" i="97"/>
  <c r="H58" i="97"/>
  <c r="G53" i="97"/>
  <c r="H53" i="97"/>
  <c r="G54" i="97"/>
  <c r="H54" i="97"/>
  <c r="G26" i="97"/>
  <c r="H26" i="97"/>
  <c r="G30" i="97"/>
  <c r="H30" i="97"/>
  <c r="G32" i="97"/>
  <c r="H32" i="97"/>
  <c r="G51" i="97"/>
  <c r="H51" i="97"/>
  <c r="K36" i="46"/>
  <c r="C36" i="46" s="1"/>
  <c r="H56" i="97"/>
  <c r="G56" i="97"/>
  <c r="F17" i="43"/>
  <c r="C16" i="43"/>
  <c r="H48" i="97"/>
  <c r="G48" i="97"/>
  <c r="H29" i="97"/>
  <c r="G29" i="97"/>
  <c r="G52" i="97"/>
  <c r="H52" i="97"/>
  <c r="D37" i="98"/>
  <c r="E36" i="98"/>
  <c r="H24" i="97"/>
  <c r="G24" i="97"/>
  <c r="G36" i="98"/>
  <c r="C35" i="98"/>
  <c r="H55" i="97"/>
  <c r="G55" i="97"/>
  <c r="H28" i="97"/>
  <c r="G28" i="97"/>
  <c r="F33" i="43"/>
  <c r="C32" i="43"/>
  <c r="H50" i="97"/>
  <c r="G50" i="97"/>
  <c r="F13" i="43"/>
  <c r="C12" i="43"/>
  <c r="G49" i="97"/>
  <c r="H49" i="97"/>
  <c r="G33" i="97"/>
  <c r="H33" i="97"/>
  <c r="G47" i="97"/>
  <c r="H47" i="97"/>
  <c r="E20" i="98"/>
  <c r="D21" i="98"/>
  <c r="G27" i="97"/>
  <c r="H27" i="97"/>
  <c r="H31" i="97"/>
  <c r="G31" i="97"/>
  <c r="G57" i="97"/>
  <c r="H57" i="97"/>
  <c r="F29" i="43"/>
  <c r="C28" i="43"/>
  <c r="G23" i="97"/>
  <c r="H23" i="97"/>
  <c r="H12" i="88"/>
  <c r="G12" i="88"/>
  <c r="G60" i="88"/>
  <c r="H60" i="88"/>
  <c r="E13" i="88"/>
  <c r="F13" i="88" s="1"/>
  <c r="D14" i="88"/>
  <c r="K13" i="88"/>
  <c r="C13" i="88" s="1"/>
  <c r="E61" i="88"/>
  <c r="F61" i="88" s="1"/>
  <c r="D62" i="88"/>
  <c r="K61" i="88"/>
  <c r="C61" i="88" s="1"/>
  <c r="H11" i="92"/>
  <c r="G11" i="92"/>
  <c r="H11" i="91"/>
  <c r="G11" i="91"/>
  <c r="G107" i="92"/>
  <c r="H107" i="92"/>
  <c r="G107" i="91"/>
  <c r="H107" i="91"/>
  <c r="H22" i="93"/>
  <c r="G22" i="93"/>
  <c r="H32" i="93"/>
  <c r="G32" i="93"/>
  <c r="H16" i="93"/>
  <c r="G16" i="93"/>
  <c r="G19" i="93"/>
  <c r="H19" i="93"/>
  <c r="G79" i="93"/>
  <c r="H79" i="93"/>
  <c r="G69" i="93"/>
  <c r="H69" i="93"/>
  <c r="G25" i="93"/>
  <c r="H25" i="93"/>
  <c r="H62" i="93"/>
  <c r="G62" i="93"/>
  <c r="G65" i="93"/>
  <c r="H65" i="93"/>
  <c r="H12" i="93"/>
  <c r="G12" i="93"/>
  <c r="G23" i="93"/>
  <c r="H23" i="93"/>
  <c r="H70" i="93"/>
  <c r="G70" i="93"/>
  <c r="G61" i="93"/>
  <c r="H61" i="93"/>
  <c r="H24" i="93"/>
  <c r="G24" i="93"/>
  <c r="H30" i="93"/>
  <c r="G30" i="93"/>
  <c r="H82" i="93"/>
  <c r="G82" i="93"/>
  <c r="G27" i="93"/>
  <c r="H27" i="93"/>
  <c r="H60" i="93"/>
  <c r="G60" i="93"/>
  <c r="H20" i="93"/>
  <c r="G20" i="93"/>
  <c r="G21" i="93"/>
  <c r="H21" i="93"/>
  <c r="G71" i="93"/>
  <c r="H71" i="93"/>
  <c r="H68" i="93"/>
  <c r="G68" i="93"/>
  <c r="G67" i="93"/>
  <c r="H67" i="93"/>
  <c r="H64" i="93"/>
  <c r="G64" i="93"/>
  <c r="G31" i="93"/>
  <c r="H31" i="93"/>
  <c r="H28" i="93"/>
  <c r="G28" i="93"/>
  <c r="G11" i="93"/>
  <c r="H11" i="93"/>
  <c r="H76" i="93"/>
  <c r="G76" i="93"/>
  <c r="G34" i="93"/>
  <c r="H34" i="93"/>
  <c r="G15" i="93"/>
  <c r="H15" i="93"/>
  <c r="H66" i="93"/>
  <c r="G66" i="93"/>
  <c r="H78" i="93"/>
  <c r="G78" i="93"/>
  <c r="G75" i="93"/>
  <c r="H75" i="93"/>
  <c r="H14" i="93"/>
  <c r="G14" i="93"/>
  <c r="G29" i="93"/>
  <c r="H29" i="93"/>
  <c r="G17" i="93"/>
  <c r="H17" i="93"/>
  <c r="H80" i="93"/>
  <c r="G80" i="93"/>
  <c r="G74" i="93"/>
  <c r="H74" i="93"/>
  <c r="G81" i="93"/>
  <c r="H81" i="93"/>
  <c r="G59" i="93"/>
  <c r="H59" i="93"/>
  <c r="H26" i="93"/>
  <c r="G26" i="93"/>
  <c r="H72" i="93"/>
  <c r="G72" i="93"/>
  <c r="H73" i="93"/>
  <c r="G73" i="93"/>
  <c r="H33" i="93"/>
  <c r="G33" i="93"/>
  <c r="G13" i="93"/>
  <c r="H13" i="93"/>
  <c r="G63" i="93"/>
  <c r="H63" i="93"/>
  <c r="G77" i="93"/>
  <c r="H77" i="93"/>
  <c r="H18" i="93"/>
  <c r="G18" i="93"/>
  <c r="H107" i="87"/>
  <c r="G107" i="87"/>
  <c r="H107" i="89"/>
  <c r="G107" i="89"/>
  <c r="H11" i="87"/>
  <c r="G11" i="87"/>
  <c r="H11" i="89"/>
  <c r="G11" i="89"/>
  <c r="T495" i="61"/>
  <c r="U495" i="61" s="1"/>
  <c r="K88" i="53"/>
  <c r="C88" i="53" s="1"/>
  <c r="D89" i="53"/>
  <c r="K160" i="53"/>
  <c r="C160" i="53" s="1"/>
  <c r="D161" i="53"/>
  <c r="E12" i="46"/>
  <c r="F12" i="46" s="1"/>
  <c r="H12" i="46" s="1"/>
  <c r="K12" i="46"/>
  <c r="C12" i="46" s="1"/>
  <c r="G35" i="46"/>
  <c r="H35" i="46"/>
  <c r="K12" i="45"/>
  <c r="C12" i="45" s="1"/>
  <c r="E12" i="45"/>
  <c r="F12" i="45" s="1"/>
  <c r="D13" i="45"/>
  <c r="H35" i="45"/>
  <c r="G35" i="45"/>
  <c r="H11" i="45"/>
  <c r="G11" i="45"/>
  <c r="K36" i="45"/>
  <c r="C36" i="45" s="1"/>
  <c r="D37" i="45"/>
  <c r="E36" i="45"/>
  <c r="F36" i="45" s="1"/>
  <c r="D37" i="46"/>
  <c r="E36" i="46"/>
  <c r="F36" i="46" s="1"/>
  <c r="D13" i="46"/>
  <c r="G11" i="50"/>
  <c r="P497" i="61"/>
  <c r="D498" i="61"/>
  <c r="C498" i="61" s="1"/>
  <c r="E497" i="61"/>
  <c r="F497" i="61" s="1"/>
  <c r="R496" i="61"/>
  <c r="Q496" i="61"/>
  <c r="S496" i="61" s="1"/>
  <c r="G496" i="61"/>
  <c r="H496" i="61"/>
  <c r="G22" i="50"/>
  <c r="H37" i="50"/>
  <c r="G36" i="50"/>
  <c r="G41" i="50"/>
  <c r="H19" i="50"/>
  <c r="H13" i="50"/>
  <c r="H18" i="50"/>
  <c r="H43" i="50"/>
  <c r="H42" i="50"/>
  <c r="H21" i="50"/>
  <c r="H46" i="50"/>
  <c r="G44" i="50"/>
  <c r="H39" i="50"/>
  <c r="G14" i="50"/>
  <c r="G20" i="50"/>
  <c r="H40" i="50"/>
  <c r="H15" i="50"/>
  <c r="H16" i="50"/>
  <c r="H17" i="50"/>
  <c r="G38" i="50"/>
  <c r="H35" i="50"/>
  <c r="H45" i="50"/>
  <c r="G12" i="50"/>
  <c r="D13" i="79"/>
  <c r="E12" i="79"/>
  <c r="F12" i="79" s="1"/>
  <c r="L12" i="79"/>
  <c r="J36" i="80"/>
  <c r="J37" i="80" s="1"/>
  <c r="J38" i="80" s="1"/>
  <c r="J39" i="80" s="1"/>
  <c r="J40" i="80" s="1"/>
  <c r="J41" i="80" s="1"/>
  <c r="K35" i="80"/>
  <c r="K36" i="80" s="1"/>
  <c r="K37" i="80" s="1"/>
  <c r="K38" i="80" s="1"/>
  <c r="K39" i="80" s="1"/>
  <c r="K40" i="80" s="1"/>
  <c r="E24" i="79"/>
  <c r="F24" i="79" s="1"/>
  <c r="L24" i="79"/>
  <c r="D25" i="79"/>
  <c r="H11" i="79"/>
  <c r="G11" i="79"/>
  <c r="H23" i="79"/>
  <c r="G23" i="79"/>
  <c r="P15" i="68"/>
  <c r="K16" i="68"/>
  <c r="P15" i="66"/>
  <c r="K16" i="66"/>
  <c r="I16" i="67"/>
  <c r="N15" i="67"/>
  <c r="K16" i="65"/>
  <c r="P15" i="65"/>
  <c r="J107" i="44"/>
  <c r="C107" i="44" s="1"/>
  <c r="J11" i="44"/>
  <c r="C11" i="44" s="1"/>
  <c r="H22" i="63"/>
  <c r="G22" i="63"/>
  <c r="G35" i="63"/>
  <c r="H35" i="63"/>
  <c r="H21" i="63"/>
  <c r="G21" i="63"/>
  <c r="H38" i="63"/>
  <c r="G38" i="63"/>
  <c r="H42" i="63"/>
  <c r="G42" i="63"/>
  <c r="G12" i="63"/>
  <c r="H12" i="63"/>
  <c r="H44" i="63"/>
  <c r="G44" i="63"/>
  <c r="H19" i="63"/>
  <c r="G19" i="63"/>
  <c r="H40" i="63"/>
  <c r="G40" i="63"/>
  <c r="H39" i="63"/>
  <c r="G39" i="63"/>
  <c r="G18" i="63"/>
  <c r="H18" i="63"/>
  <c r="G41" i="63"/>
  <c r="H41" i="63"/>
  <c r="G13" i="63"/>
  <c r="H13" i="63"/>
  <c r="G45" i="63"/>
  <c r="H45" i="63"/>
  <c r="H15" i="63"/>
  <c r="G15" i="63"/>
  <c r="H11" i="63"/>
  <c r="G11" i="63"/>
  <c r="H43" i="63"/>
  <c r="G43" i="63"/>
  <c r="G37" i="63"/>
  <c r="H37" i="63"/>
  <c r="G17" i="63"/>
  <c r="H17" i="63"/>
  <c r="H14" i="63"/>
  <c r="G14" i="63"/>
  <c r="H46" i="63"/>
  <c r="G46" i="63"/>
  <c r="G20" i="63"/>
  <c r="H20" i="63"/>
  <c r="G36" i="63"/>
  <c r="H36" i="63"/>
  <c r="H16" i="63"/>
  <c r="G16" i="63"/>
  <c r="H38" i="51"/>
  <c r="G38" i="51"/>
  <c r="G22" i="51"/>
  <c r="H22" i="51"/>
  <c r="K16" i="52"/>
  <c r="C16" i="52" s="1"/>
  <c r="D17" i="52"/>
  <c r="H34" i="51"/>
  <c r="G34" i="51"/>
  <c r="H18" i="51"/>
  <c r="G18" i="51"/>
  <c r="G100" i="51"/>
  <c r="H100" i="51"/>
  <c r="G113" i="51"/>
  <c r="H113" i="51"/>
  <c r="H96" i="51"/>
  <c r="G96" i="51"/>
  <c r="G13" i="51"/>
  <c r="H13" i="51"/>
  <c r="G17" i="51"/>
  <c r="H17" i="51"/>
  <c r="H92" i="51"/>
  <c r="G92" i="51"/>
  <c r="G114" i="51"/>
  <c r="H114" i="51"/>
  <c r="H112" i="51"/>
  <c r="G112" i="51"/>
  <c r="G46" i="51"/>
  <c r="H46" i="51"/>
  <c r="G45" i="51"/>
  <c r="H45" i="51"/>
  <c r="G98" i="51"/>
  <c r="H98" i="51"/>
  <c r="H28" i="51"/>
  <c r="G28" i="51"/>
  <c r="H19" i="51"/>
  <c r="G19" i="51"/>
  <c r="H115" i="51"/>
  <c r="G115" i="51"/>
  <c r="H116" i="51"/>
  <c r="G116" i="51"/>
  <c r="G101" i="51"/>
  <c r="H101" i="51"/>
  <c r="G117" i="51"/>
  <c r="H117" i="51"/>
  <c r="G40" i="51"/>
  <c r="H40" i="51"/>
  <c r="G16" i="51"/>
  <c r="H16" i="51"/>
  <c r="H12" i="51"/>
  <c r="G12" i="51"/>
  <c r="G103" i="51"/>
  <c r="H103" i="51"/>
  <c r="H97" i="51"/>
  <c r="G97" i="51"/>
  <c r="H32" i="51"/>
  <c r="G32" i="51"/>
  <c r="H44" i="51"/>
  <c r="G44" i="51"/>
  <c r="G91" i="51"/>
  <c r="H91" i="51"/>
  <c r="H84" i="51"/>
  <c r="G84" i="51"/>
  <c r="H24" i="51"/>
  <c r="G24" i="51"/>
  <c r="H23" i="51"/>
  <c r="G23" i="51"/>
  <c r="H15" i="51"/>
  <c r="G15" i="51"/>
  <c r="H95" i="51"/>
  <c r="G95" i="51"/>
  <c r="H89" i="51"/>
  <c r="G89" i="51"/>
  <c r="G109" i="51"/>
  <c r="H109" i="51"/>
  <c r="G21" i="51"/>
  <c r="H21" i="51"/>
  <c r="H14" i="51"/>
  <c r="G14" i="51"/>
  <c r="H42" i="51"/>
  <c r="G42" i="51"/>
  <c r="G37" i="51"/>
  <c r="H37" i="51"/>
  <c r="H118" i="51"/>
  <c r="G118" i="51"/>
  <c r="G30" i="51"/>
  <c r="H30" i="51"/>
  <c r="G11" i="51"/>
  <c r="H11" i="51"/>
  <c r="G87" i="51"/>
  <c r="H87" i="51"/>
  <c r="H108" i="51"/>
  <c r="G108" i="51"/>
  <c r="G104" i="51"/>
  <c r="H104" i="51"/>
  <c r="H26" i="51"/>
  <c r="G26" i="51"/>
  <c r="G29" i="51"/>
  <c r="H29" i="51"/>
  <c r="H86" i="51"/>
  <c r="G86" i="51"/>
  <c r="G102" i="51"/>
  <c r="H102" i="51"/>
  <c r="G31" i="51"/>
  <c r="H31" i="51"/>
  <c r="H41" i="51"/>
  <c r="G41" i="51"/>
  <c r="H35" i="51"/>
  <c r="G35" i="51"/>
  <c r="H111" i="51"/>
  <c r="G111" i="51"/>
  <c r="G43" i="51"/>
  <c r="H43" i="51"/>
  <c r="H99" i="51"/>
  <c r="G99" i="51"/>
  <c r="G94" i="51"/>
  <c r="H94" i="51"/>
  <c r="H106" i="51"/>
  <c r="G106" i="51"/>
  <c r="H88" i="51"/>
  <c r="G88" i="51"/>
  <c r="H27" i="51"/>
  <c r="G27" i="51"/>
  <c r="H20" i="51"/>
  <c r="G20" i="51"/>
  <c r="G83" i="51"/>
  <c r="H83" i="51"/>
  <c r="G85" i="51"/>
  <c r="H85" i="51"/>
  <c r="K16" i="53"/>
  <c r="C16" i="53" s="1"/>
  <c r="D17" i="53"/>
  <c r="G33" i="51"/>
  <c r="H33" i="51"/>
  <c r="H36" i="51"/>
  <c r="G36" i="51"/>
  <c r="H107" i="51"/>
  <c r="G107" i="51"/>
  <c r="G105" i="51"/>
  <c r="H105" i="51"/>
  <c r="H39" i="51"/>
  <c r="G39" i="51"/>
  <c r="G25" i="51"/>
  <c r="H25" i="51"/>
  <c r="G110" i="51"/>
  <c r="H110" i="51"/>
  <c r="G93" i="51"/>
  <c r="H93" i="51"/>
  <c r="H90" i="51"/>
  <c r="G90" i="51"/>
  <c r="P16" i="47"/>
  <c r="K17" i="47"/>
  <c r="P17" i="47" s="1"/>
  <c r="H12" i="42"/>
  <c r="G12" i="42"/>
  <c r="H11" i="42"/>
  <c r="G11" i="42"/>
  <c r="H59" i="42"/>
  <c r="G59" i="42"/>
  <c r="H55" i="42"/>
  <c r="G55" i="42"/>
  <c r="H48" i="42"/>
  <c r="G48" i="42"/>
  <c r="H63" i="42"/>
  <c r="G63" i="42"/>
  <c r="H23" i="42"/>
  <c r="G23" i="42"/>
  <c r="H52" i="42"/>
  <c r="G52" i="42"/>
  <c r="H25" i="42"/>
  <c r="G25" i="42"/>
  <c r="H61" i="42"/>
  <c r="G61" i="42"/>
  <c r="H13" i="42"/>
  <c r="G13" i="42"/>
  <c r="H64" i="42"/>
  <c r="G64" i="42"/>
  <c r="H21" i="42"/>
  <c r="G21" i="42"/>
  <c r="H26" i="42"/>
  <c r="G26" i="42"/>
  <c r="H28" i="42"/>
  <c r="G28" i="42"/>
  <c r="H18" i="42"/>
  <c r="G18" i="42"/>
  <c r="H56" i="42"/>
  <c r="G56" i="42"/>
  <c r="G20" i="42"/>
  <c r="H20" i="42"/>
  <c r="H47" i="42"/>
  <c r="G47" i="42"/>
  <c r="H60" i="42"/>
  <c r="G60" i="42"/>
  <c r="H11" i="46"/>
  <c r="G11" i="46"/>
  <c r="G14" i="42"/>
  <c r="H14" i="42"/>
  <c r="H27" i="42"/>
  <c r="G27" i="42"/>
  <c r="H58" i="42"/>
  <c r="G58" i="42"/>
  <c r="H54" i="42"/>
  <c r="G54" i="42"/>
  <c r="H50" i="42"/>
  <c r="G50" i="42"/>
  <c r="I109" i="44"/>
  <c r="J108" i="44"/>
  <c r="C108" i="44" s="1"/>
  <c r="H62" i="42"/>
  <c r="G62" i="42"/>
  <c r="J12" i="44"/>
  <c r="C12" i="44" s="1"/>
  <c r="H49" i="42"/>
  <c r="G49" i="42"/>
  <c r="H17" i="42"/>
  <c r="G17" i="42"/>
  <c r="G15" i="42"/>
  <c r="H15" i="42"/>
  <c r="G24" i="42"/>
  <c r="H24" i="42"/>
  <c r="G53" i="42"/>
  <c r="H53" i="42"/>
  <c r="G22" i="42"/>
  <c r="H22" i="42"/>
  <c r="H19" i="42"/>
  <c r="G19" i="42"/>
  <c r="H57" i="42"/>
  <c r="G57" i="42"/>
  <c r="H16" i="42"/>
  <c r="G16" i="42"/>
  <c r="H51" i="42"/>
  <c r="G51" i="42"/>
  <c r="F30" i="43" l="1"/>
  <c r="C30" i="43" s="1"/>
  <c r="C29" i="43"/>
  <c r="F14" i="43"/>
  <c r="C14" i="43" s="1"/>
  <c r="C13" i="43"/>
  <c r="D38" i="98"/>
  <c r="E37" i="98"/>
  <c r="F18" i="43"/>
  <c r="C18" i="43" s="1"/>
  <c r="C17" i="43"/>
  <c r="G37" i="98"/>
  <c r="C36" i="98"/>
  <c r="K13" i="46"/>
  <c r="C13" i="46" s="1"/>
  <c r="F34" i="43"/>
  <c r="C34" i="43" s="1"/>
  <c r="C33" i="43"/>
  <c r="G21" i="98"/>
  <c r="C20" i="98"/>
  <c r="C17" i="53"/>
  <c r="K37" i="46"/>
  <c r="C37" i="46" s="1"/>
  <c r="C13" i="45"/>
  <c r="C14" i="88"/>
  <c r="D22" i="98"/>
  <c r="E21" i="98"/>
  <c r="G61" i="88"/>
  <c r="H61" i="88"/>
  <c r="E14" i="88"/>
  <c r="F14" i="88" s="1"/>
  <c r="D15" i="88"/>
  <c r="K14" i="88"/>
  <c r="K62" i="88"/>
  <c r="C62" i="88" s="1"/>
  <c r="E62" i="88"/>
  <c r="F62" i="88" s="1"/>
  <c r="D63" i="88"/>
  <c r="G13" i="88"/>
  <c r="H13" i="88"/>
  <c r="G12" i="46"/>
  <c r="D162" i="53"/>
  <c r="K161" i="53"/>
  <c r="C161" i="53" s="1"/>
  <c r="D90" i="53"/>
  <c r="K89" i="53"/>
  <c r="C89" i="53" s="1"/>
  <c r="H36" i="45"/>
  <c r="G36" i="45"/>
  <c r="T496" i="61"/>
  <c r="U496" i="61" s="1"/>
  <c r="D38" i="46"/>
  <c r="E37" i="46"/>
  <c r="F37" i="46" s="1"/>
  <c r="E37" i="45"/>
  <c r="F37" i="45" s="1"/>
  <c r="K37" i="45"/>
  <c r="C37" i="45" s="1"/>
  <c r="D38" i="45"/>
  <c r="G12" i="45"/>
  <c r="H12" i="45"/>
  <c r="H36" i="46"/>
  <c r="G36" i="46"/>
  <c r="K13" i="45"/>
  <c r="E13" i="45"/>
  <c r="F13" i="45" s="1"/>
  <c r="D14" i="45"/>
  <c r="D14" i="46"/>
  <c r="E13" i="46"/>
  <c r="F13" i="46" s="1"/>
  <c r="E498" i="61"/>
  <c r="F498" i="61" s="1"/>
  <c r="D499" i="61"/>
  <c r="C499" i="61" s="1"/>
  <c r="P498" i="61"/>
  <c r="Q497" i="61"/>
  <c r="S497" i="61" s="1"/>
  <c r="R497" i="61"/>
  <c r="G497" i="61"/>
  <c r="H497" i="61"/>
  <c r="D26" i="79"/>
  <c r="L25" i="79"/>
  <c r="E25" i="79"/>
  <c r="F25" i="79" s="1"/>
  <c r="J42" i="80"/>
  <c r="J43" i="80" s="1"/>
  <c r="J44" i="80" s="1"/>
  <c r="J45" i="80" s="1"/>
  <c r="J46" i="80" s="1"/>
  <c r="J47" i="80" s="1"/>
  <c r="K41" i="80"/>
  <c r="K42" i="80" s="1"/>
  <c r="K43" i="80" s="1"/>
  <c r="K44" i="80" s="1"/>
  <c r="K45" i="80" s="1"/>
  <c r="K46" i="80" s="1"/>
  <c r="G24" i="79"/>
  <c r="H24" i="79"/>
  <c r="G12" i="79"/>
  <c r="H12" i="79"/>
  <c r="E13" i="79"/>
  <c r="F13" i="79" s="1"/>
  <c r="L13" i="79"/>
  <c r="D14" i="79"/>
  <c r="K17" i="66"/>
  <c r="P16" i="66"/>
  <c r="K17" i="65"/>
  <c r="P16" i="65"/>
  <c r="P16" i="68"/>
  <c r="K17" i="68"/>
  <c r="I17" i="67"/>
  <c r="N16" i="67"/>
  <c r="K17" i="53"/>
  <c r="D18" i="53"/>
  <c r="K17" i="52"/>
  <c r="C17" i="52" s="1"/>
  <c r="D18" i="52"/>
  <c r="I13" i="44"/>
  <c r="H13" i="44"/>
  <c r="K18" i="47"/>
  <c r="P18" i="47" s="1"/>
  <c r="I110" i="44"/>
  <c r="J109" i="44"/>
  <c r="C109" i="44" s="1"/>
  <c r="K14" i="46" l="1"/>
  <c r="C14" i="46" s="1"/>
  <c r="K38" i="46"/>
  <c r="C38" i="46" s="1"/>
  <c r="D39" i="98"/>
  <c r="E38" i="98"/>
  <c r="G38" i="98"/>
  <c r="C38" i="98" s="1"/>
  <c r="C37" i="98"/>
  <c r="D23" i="98"/>
  <c r="E22" i="98"/>
  <c r="G22" i="98"/>
  <c r="C22" i="98" s="1"/>
  <c r="C21" i="98"/>
  <c r="E63" i="88"/>
  <c r="F63" i="88" s="1"/>
  <c r="K63" i="88"/>
  <c r="C63" i="88" s="1"/>
  <c r="D64" i="88"/>
  <c r="E15" i="88"/>
  <c r="F15" i="88" s="1"/>
  <c r="D16" i="88"/>
  <c r="K15" i="88"/>
  <c r="C15" i="88" s="1"/>
  <c r="H62" i="88"/>
  <c r="G62" i="88"/>
  <c r="G14" i="88"/>
  <c r="H14" i="88"/>
  <c r="D91" i="53"/>
  <c r="K90" i="53"/>
  <c r="C90" i="53" s="1"/>
  <c r="D163" i="53"/>
  <c r="K162" i="53"/>
  <c r="C162" i="53" s="1"/>
  <c r="G13" i="45"/>
  <c r="H13" i="45"/>
  <c r="H37" i="45"/>
  <c r="G37" i="45"/>
  <c r="D39" i="46"/>
  <c r="E38" i="46"/>
  <c r="F38" i="46" s="1"/>
  <c r="K14" i="45"/>
  <c r="C14" i="45" s="1"/>
  <c r="D15" i="45"/>
  <c r="E14" i="45"/>
  <c r="F14" i="45" s="1"/>
  <c r="D39" i="45"/>
  <c r="K38" i="45"/>
  <c r="C38" i="45" s="1"/>
  <c r="E38" i="45"/>
  <c r="F38" i="45" s="1"/>
  <c r="G37" i="46"/>
  <c r="H37" i="46"/>
  <c r="H13" i="46"/>
  <c r="G13" i="46"/>
  <c r="D15" i="46"/>
  <c r="E14" i="46"/>
  <c r="F14" i="46" s="1"/>
  <c r="T497" i="61"/>
  <c r="U497" i="61" s="1"/>
  <c r="R498" i="61"/>
  <c r="Q498" i="61"/>
  <c r="S498" i="61" s="1"/>
  <c r="D500" i="61"/>
  <c r="C500" i="61" s="1"/>
  <c r="E499" i="61"/>
  <c r="F499" i="61" s="1"/>
  <c r="P499" i="61"/>
  <c r="H498" i="61"/>
  <c r="G498" i="61"/>
  <c r="E14" i="79"/>
  <c r="F14" i="79" s="1"/>
  <c r="L14" i="79"/>
  <c r="D15" i="79"/>
  <c r="J48" i="80"/>
  <c r="J49" i="80" s="1"/>
  <c r="J50" i="80" s="1"/>
  <c r="J51" i="80" s="1"/>
  <c r="J52" i="80" s="1"/>
  <c r="J53" i="80" s="1"/>
  <c r="K47" i="80"/>
  <c r="K48" i="80" s="1"/>
  <c r="K49" i="80" s="1"/>
  <c r="K50" i="80" s="1"/>
  <c r="K51" i="80" s="1"/>
  <c r="K52" i="80" s="1"/>
  <c r="H25" i="79"/>
  <c r="G25" i="79"/>
  <c r="H13" i="79"/>
  <c r="G13" i="79"/>
  <c r="E26" i="79"/>
  <c r="F26" i="79" s="1"/>
  <c r="D27" i="79"/>
  <c r="L26" i="79"/>
  <c r="I18" i="67"/>
  <c r="N17" i="67"/>
  <c r="K18" i="65"/>
  <c r="P17" i="65"/>
  <c r="P17" i="68"/>
  <c r="K18" i="68"/>
  <c r="K18" i="66"/>
  <c r="P17" i="66"/>
  <c r="J13" i="44"/>
  <c r="C13" i="44" s="1"/>
  <c r="K18" i="52"/>
  <c r="C18" i="52" s="1"/>
  <c r="D19" i="52"/>
  <c r="D19" i="53"/>
  <c r="K18" i="53"/>
  <c r="C18" i="53" s="1"/>
  <c r="I14" i="44"/>
  <c r="H14" i="44"/>
  <c r="K19" i="47"/>
  <c r="P19" i="47" s="1"/>
  <c r="I111" i="44"/>
  <c r="J110" i="44"/>
  <c r="C110" i="44" s="1"/>
  <c r="K39" i="46" l="1"/>
  <c r="C39" i="46" s="1"/>
  <c r="E23" i="98"/>
  <c r="G23" i="98" s="1"/>
  <c r="D24" i="98"/>
  <c r="K15" i="46"/>
  <c r="C15" i="46" s="1"/>
  <c r="E39" i="98"/>
  <c r="G39" i="98" s="1"/>
  <c r="D40" i="98"/>
  <c r="E64" i="88"/>
  <c r="F64" i="88" s="1"/>
  <c r="D65" i="88"/>
  <c r="K64" i="88"/>
  <c r="C64" i="88" s="1"/>
  <c r="G15" i="88"/>
  <c r="H15" i="88"/>
  <c r="E16" i="88"/>
  <c r="F16" i="88" s="1"/>
  <c r="K16" i="88"/>
  <c r="C16" i="88" s="1"/>
  <c r="D17" i="88"/>
  <c r="H63" i="88"/>
  <c r="G63" i="88"/>
  <c r="K163" i="53"/>
  <c r="C163" i="53" s="1"/>
  <c r="D164" i="53"/>
  <c r="K91" i="53"/>
  <c r="C91" i="53" s="1"/>
  <c r="D92" i="53"/>
  <c r="K39" i="45"/>
  <c r="C39" i="45" s="1"/>
  <c r="E39" i="45"/>
  <c r="F39" i="45" s="1"/>
  <c r="D40" i="45"/>
  <c r="H14" i="45"/>
  <c r="G14" i="45"/>
  <c r="H38" i="46"/>
  <c r="G38" i="46"/>
  <c r="H38" i="45"/>
  <c r="G38" i="45"/>
  <c r="K15" i="45"/>
  <c r="C15" i="45" s="1"/>
  <c r="D16" i="45"/>
  <c r="E15" i="45"/>
  <c r="F15" i="45" s="1"/>
  <c r="E39" i="46"/>
  <c r="F39" i="46" s="1"/>
  <c r="D40" i="46"/>
  <c r="D16" i="46"/>
  <c r="E15" i="46"/>
  <c r="F15" i="46" s="1"/>
  <c r="G14" i="46"/>
  <c r="H14" i="46"/>
  <c r="T498" i="61"/>
  <c r="U498" i="61" s="1"/>
  <c r="G499" i="61"/>
  <c r="H499" i="61"/>
  <c r="P500" i="61"/>
  <c r="E500" i="61"/>
  <c r="F500" i="61" s="1"/>
  <c r="D501" i="61"/>
  <c r="C501" i="61" s="1"/>
  <c r="Q499" i="61"/>
  <c r="S499" i="61" s="1"/>
  <c r="R499" i="61"/>
  <c r="J54" i="80"/>
  <c r="J55" i="80" s="1"/>
  <c r="J56" i="80" s="1"/>
  <c r="J57" i="80" s="1"/>
  <c r="J58" i="80" s="1"/>
  <c r="J59" i="80" s="1"/>
  <c r="K53" i="80"/>
  <c r="K54" i="80" s="1"/>
  <c r="K55" i="80" s="1"/>
  <c r="K56" i="80" s="1"/>
  <c r="K57" i="80" s="1"/>
  <c r="K58" i="80" s="1"/>
  <c r="D28" i="79"/>
  <c r="L27" i="79"/>
  <c r="E27" i="79"/>
  <c r="F27" i="79" s="1"/>
  <c r="D16" i="79"/>
  <c r="E15" i="79"/>
  <c r="F15" i="79" s="1"/>
  <c r="L15" i="79"/>
  <c r="H26" i="79"/>
  <c r="G26" i="79"/>
  <c r="G14" i="79"/>
  <c r="H14" i="79"/>
  <c r="K19" i="66"/>
  <c r="P18" i="66"/>
  <c r="K19" i="65"/>
  <c r="P18" i="65"/>
  <c r="P18" i="68"/>
  <c r="K19" i="68"/>
  <c r="I19" i="67"/>
  <c r="N18" i="67"/>
  <c r="K19" i="52"/>
  <c r="C19" i="52" s="1"/>
  <c r="D20" i="52"/>
  <c r="K19" i="53"/>
  <c r="C19" i="53" s="1"/>
  <c r="D20" i="53"/>
  <c r="I15" i="44"/>
  <c r="H15" i="44"/>
  <c r="K20" i="47"/>
  <c r="P20" i="47" s="1"/>
  <c r="J14" i="44"/>
  <c r="C14" i="44" s="1"/>
  <c r="I112" i="44"/>
  <c r="J111" i="44"/>
  <c r="C111" i="44" s="1"/>
  <c r="G40" i="98" l="1"/>
  <c r="C39" i="98"/>
  <c r="G24" i="98"/>
  <c r="C23" i="98"/>
  <c r="K16" i="46"/>
  <c r="C16" i="46" s="1"/>
  <c r="K40" i="46"/>
  <c r="C40" i="46" s="1"/>
  <c r="C164" i="53"/>
  <c r="D41" i="98"/>
  <c r="E40" i="98"/>
  <c r="E24" i="98"/>
  <c r="D25" i="98"/>
  <c r="E17" i="88"/>
  <c r="F17" i="88" s="1"/>
  <c r="D18" i="88"/>
  <c r="K17" i="88"/>
  <c r="C17" i="88" s="1"/>
  <c r="H16" i="88"/>
  <c r="G16" i="88"/>
  <c r="D66" i="88"/>
  <c r="K65" i="88"/>
  <c r="C65" i="88" s="1"/>
  <c r="E65" i="88"/>
  <c r="F65" i="88" s="1"/>
  <c r="G64" i="88"/>
  <c r="H64" i="88"/>
  <c r="K92" i="53"/>
  <c r="C92" i="53" s="1"/>
  <c r="D93" i="53"/>
  <c r="K164" i="53"/>
  <c r="D165" i="53"/>
  <c r="H15" i="45"/>
  <c r="G15" i="45"/>
  <c r="E40" i="46"/>
  <c r="F40" i="46" s="1"/>
  <c r="D41" i="46"/>
  <c r="K16" i="45"/>
  <c r="C16" i="45" s="1"/>
  <c r="D17" i="45"/>
  <c r="E16" i="45"/>
  <c r="F16" i="45" s="1"/>
  <c r="D41" i="45"/>
  <c r="K40" i="45"/>
  <c r="C40" i="45" s="1"/>
  <c r="E40" i="45"/>
  <c r="F40" i="45" s="1"/>
  <c r="G39" i="45"/>
  <c r="H39" i="45"/>
  <c r="G39" i="46"/>
  <c r="H39" i="46"/>
  <c r="H15" i="46"/>
  <c r="G15" i="46"/>
  <c r="D17" i="46"/>
  <c r="E16" i="46"/>
  <c r="F16" i="46" s="1"/>
  <c r="T499" i="61"/>
  <c r="U499" i="61" s="1"/>
  <c r="Q500" i="61"/>
  <c r="S500" i="61" s="1"/>
  <c r="R500" i="61"/>
  <c r="G500" i="61"/>
  <c r="H500" i="61"/>
  <c r="E501" i="61"/>
  <c r="F501" i="61" s="1"/>
  <c r="P501" i="61"/>
  <c r="D502" i="61"/>
  <c r="C502" i="61" s="1"/>
  <c r="G15" i="79"/>
  <c r="H15" i="79"/>
  <c r="L28" i="79"/>
  <c r="E28" i="79"/>
  <c r="F28" i="79" s="1"/>
  <c r="L16" i="79"/>
  <c r="E16" i="79"/>
  <c r="F16" i="79" s="1"/>
  <c r="H27" i="79"/>
  <c r="G27" i="79"/>
  <c r="J60" i="80"/>
  <c r="J61" i="80" s="1"/>
  <c r="J62" i="80" s="1"/>
  <c r="J63" i="80" s="1"/>
  <c r="J64" i="80" s="1"/>
  <c r="J65" i="80" s="1"/>
  <c r="K59" i="80"/>
  <c r="K60" i="80" s="1"/>
  <c r="K61" i="80" s="1"/>
  <c r="K62" i="80" s="1"/>
  <c r="K63" i="80" s="1"/>
  <c r="K64" i="80" s="1"/>
  <c r="I20" i="67"/>
  <c r="N19" i="67"/>
  <c r="K20" i="65"/>
  <c r="P19" i="65"/>
  <c r="P19" i="68"/>
  <c r="K20" i="68"/>
  <c r="K20" i="66"/>
  <c r="P19" i="66"/>
  <c r="J15" i="44"/>
  <c r="C15" i="44" s="1"/>
  <c r="D21" i="53"/>
  <c r="K20" i="53"/>
  <c r="C20" i="53" s="1"/>
  <c r="K20" i="52"/>
  <c r="C20" i="52" s="1"/>
  <c r="D21" i="52"/>
  <c r="I16" i="44"/>
  <c r="H16" i="44"/>
  <c r="K21" i="47"/>
  <c r="I113" i="44"/>
  <c r="J112" i="44"/>
  <c r="C112" i="44" s="1"/>
  <c r="K41" i="46" l="1"/>
  <c r="C41" i="46" s="1"/>
  <c r="E41" i="98"/>
  <c r="D42" i="98"/>
  <c r="E42" i="98" s="1"/>
  <c r="C93" i="53"/>
  <c r="G25" i="98"/>
  <c r="C24" i="98"/>
  <c r="K17" i="46"/>
  <c r="C17" i="46" s="1"/>
  <c r="D26" i="98"/>
  <c r="E26" i="98" s="1"/>
  <c r="E25" i="98"/>
  <c r="G41" i="98"/>
  <c r="C40" i="98"/>
  <c r="H65" i="88"/>
  <c r="G65" i="88"/>
  <c r="K66" i="88"/>
  <c r="C66" i="88" s="1"/>
  <c r="E66" i="88"/>
  <c r="F66" i="88" s="1"/>
  <c r="D67" i="88"/>
  <c r="D19" i="88"/>
  <c r="K18" i="88"/>
  <c r="C18" i="88" s="1"/>
  <c r="E18" i="88"/>
  <c r="F18" i="88" s="1"/>
  <c r="H17" i="88"/>
  <c r="G17" i="88"/>
  <c r="D166" i="53"/>
  <c r="K165" i="53"/>
  <c r="C165" i="53" s="1"/>
  <c r="D94" i="53"/>
  <c r="K93" i="53"/>
  <c r="G16" i="45"/>
  <c r="H16" i="45"/>
  <c r="H40" i="45"/>
  <c r="G40" i="45"/>
  <c r="D18" i="45"/>
  <c r="E17" i="45"/>
  <c r="F17" i="45" s="1"/>
  <c r="K17" i="45"/>
  <c r="C17" i="45" s="1"/>
  <c r="H40" i="46"/>
  <c r="G40" i="46"/>
  <c r="E41" i="45"/>
  <c r="F41" i="45" s="1"/>
  <c r="K41" i="45"/>
  <c r="C41" i="45" s="1"/>
  <c r="D42" i="45"/>
  <c r="E41" i="46"/>
  <c r="F41" i="46" s="1"/>
  <c r="D42" i="46"/>
  <c r="D18" i="46"/>
  <c r="E17" i="46"/>
  <c r="F17" i="46" s="1"/>
  <c r="G16" i="46"/>
  <c r="H16" i="46"/>
  <c r="E502" i="61"/>
  <c r="F502" i="61" s="1"/>
  <c r="P502" i="61"/>
  <c r="D503" i="61"/>
  <c r="C503" i="61" s="1"/>
  <c r="Q501" i="61"/>
  <c r="S501" i="61" s="1"/>
  <c r="R501" i="61"/>
  <c r="H501" i="61"/>
  <c r="G501" i="61"/>
  <c r="T500" i="61"/>
  <c r="U500" i="61" s="1"/>
  <c r="H28" i="79"/>
  <c r="G28" i="79"/>
  <c r="G16" i="79"/>
  <c r="H16" i="79"/>
  <c r="J66" i="80"/>
  <c r="J67" i="80" s="1"/>
  <c r="J68" i="80" s="1"/>
  <c r="J69" i="80" s="1"/>
  <c r="J70" i="80" s="1"/>
  <c r="J71" i="80" s="1"/>
  <c r="K65" i="80"/>
  <c r="K66" i="80" s="1"/>
  <c r="K67" i="80" s="1"/>
  <c r="K68" i="80" s="1"/>
  <c r="K69" i="80" s="1"/>
  <c r="K70" i="80" s="1"/>
  <c r="K21" i="66"/>
  <c r="P20" i="66"/>
  <c r="K21" i="65"/>
  <c r="P20" i="65"/>
  <c r="P20" i="68"/>
  <c r="K21" i="68"/>
  <c r="I21" i="67"/>
  <c r="N20" i="67"/>
  <c r="D22" i="53"/>
  <c r="K21" i="53"/>
  <c r="C21" i="53" s="1"/>
  <c r="K21" i="52"/>
  <c r="C21" i="52" s="1"/>
  <c r="D22" i="52"/>
  <c r="J16" i="44"/>
  <c r="C16" i="44" s="1"/>
  <c r="I17" i="44"/>
  <c r="H17" i="44"/>
  <c r="P21" i="47"/>
  <c r="K22" i="47"/>
  <c r="P22" i="47" s="1"/>
  <c r="I114" i="44"/>
  <c r="J113" i="44"/>
  <c r="C113" i="44" s="1"/>
  <c r="G26" i="98" l="1"/>
  <c r="C26" i="98" s="1"/>
  <c r="C25" i="98"/>
  <c r="K42" i="46"/>
  <c r="C42" i="46" s="1"/>
  <c r="G42" i="98"/>
  <c r="C42" i="98" s="1"/>
  <c r="C41" i="98"/>
  <c r="K18" i="46"/>
  <c r="C18" i="46" s="1"/>
  <c r="G18" i="88"/>
  <c r="H18" i="88"/>
  <c r="H66" i="88"/>
  <c r="G66" i="88"/>
  <c r="K19" i="88"/>
  <c r="C19" i="88" s="1"/>
  <c r="E19" i="88"/>
  <c r="F19" i="88" s="1"/>
  <c r="D20" i="88"/>
  <c r="K67" i="88"/>
  <c r="C67" i="88" s="1"/>
  <c r="D68" i="88"/>
  <c r="E67" i="88"/>
  <c r="F67" i="88" s="1"/>
  <c r="K94" i="53"/>
  <c r="C94" i="53" s="1"/>
  <c r="D95" i="53"/>
  <c r="D167" i="53"/>
  <c r="K166" i="53"/>
  <c r="C166" i="53" s="1"/>
  <c r="D43" i="45"/>
  <c r="K42" i="45"/>
  <c r="C42" i="45" s="1"/>
  <c r="E42" i="45"/>
  <c r="F42" i="45" s="1"/>
  <c r="D43" i="46"/>
  <c r="E42" i="46"/>
  <c r="F42" i="46" s="1"/>
  <c r="G41" i="45"/>
  <c r="H41" i="45"/>
  <c r="G17" i="45"/>
  <c r="H17" i="45"/>
  <c r="G41" i="46"/>
  <c r="H41" i="46"/>
  <c r="K18" i="45"/>
  <c r="C18" i="45" s="1"/>
  <c r="E18" i="45"/>
  <c r="F18" i="45" s="1"/>
  <c r="D19" i="45"/>
  <c r="H17" i="46"/>
  <c r="G17" i="46"/>
  <c r="D19" i="46"/>
  <c r="E18" i="46"/>
  <c r="F18" i="46" s="1"/>
  <c r="T501" i="61"/>
  <c r="U501" i="61" s="1"/>
  <c r="P503" i="61"/>
  <c r="D504" i="61"/>
  <c r="C504" i="61" s="1"/>
  <c r="E503" i="61"/>
  <c r="F503" i="61" s="1"/>
  <c r="R502" i="61"/>
  <c r="Q502" i="61"/>
  <c r="S502" i="61" s="1"/>
  <c r="G502" i="61"/>
  <c r="H502" i="61"/>
  <c r="K71" i="80"/>
  <c r="K72" i="80" s="1"/>
  <c r="K73" i="80" s="1"/>
  <c r="K74" i="80" s="1"/>
  <c r="K75" i="80" s="1"/>
  <c r="K76" i="80" s="1"/>
  <c r="J72" i="80"/>
  <c r="J73" i="80" s="1"/>
  <c r="J74" i="80" s="1"/>
  <c r="J75" i="80" s="1"/>
  <c r="J76" i="80" s="1"/>
  <c r="J77" i="80" s="1"/>
  <c r="I22" i="67"/>
  <c r="N21" i="67"/>
  <c r="K22" i="65"/>
  <c r="P21" i="65"/>
  <c r="P21" i="68"/>
  <c r="K22" i="68"/>
  <c r="K22" i="66"/>
  <c r="P21" i="66"/>
  <c r="J17" i="44"/>
  <c r="C17" i="44" s="1"/>
  <c r="D23" i="52"/>
  <c r="K22" i="52"/>
  <c r="C22" i="52" s="1"/>
  <c r="D23" i="53"/>
  <c r="K22" i="53"/>
  <c r="C22" i="53" s="1"/>
  <c r="I18" i="44"/>
  <c r="H18" i="44"/>
  <c r="K23" i="47"/>
  <c r="P23" i="47" s="1"/>
  <c r="I115" i="44"/>
  <c r="J114" i="44"/>
  <c r="C114" i="44" s="1"/>
  <c r="K19" i="46" l="1"/>
  <c r="C19" i="46" s="1"/>
  <c r="K43" i="46"/>
  <c r="C43" i="46" s="1"/>
  <c r="D21" i="88"/>
  <c r="E20" i="88"/>
  <c r="F20" i="88" s="1"/>
  <c r="K20" i="88"/>
  <c r="C20" i="88" s="1"/>
  <c r="H67" i="88"/>
  <c r="G67" i="88"/>
  <c r="G19" i="88"/>
  <c r="H19" i="88"/>
  <c r="E68" i="88"/>
  <c r="F68" i="88" s="1"/>
  <c r="D69" i="88"/>
  <c r="K68" i="88"/>
  <c r="C68" i="88" s="1"/>
  <c r="D168" i="53"/>
  <c r="K167" i="53"/>
  <c r="C167" i="53" s="1"/>
  <c r="K95" i="53"/>
  <c r="C95" i="53" s="1"/>
  <c r="D96" i="53"/>
  <c r="E43" i="46"/>
  <c r="F43" i="46" s="1"/>
  <c r="D44" i="46"/>
  <c r="K19" i="45"/>
  <c r="C19" i="45" s="1"/>
  <c r="D20" i="45"/>
  <c r="E19" i="45"/>
  <c r="F19" i="45" s="1"/>
  <c r="H42" i="45"/>
  <c r="G42" i="45"/>
  <c r="H18" i="45"/>
  <c r="G18" i="45"/>
  <c r="G42" i="46"/>
  <c r="H42" i="46"/>
  <c r="E43" i="45"/>
  <c r="F43" i="45" s="1"/>
  <c r="K43" i="45"/>
  <c r="C43" i="45" s="1"/>
  <c r="D44" i="45"/>
  <c r="D20" i="46"/>
  <c r="E19" i="46"/>
  <c r="F19" i="46" s="1"/>
  <c r="G18" i="46"/>
  <c r="H18" i="46"/>
  <c r="H503" i="61"/>
  <c r="G503" i="61"/>
  <c r="D505" i="61"/>
  <c r="C505" i="61" s="1"/>
  <c r="E504" i="61"/>
  <c r="F504" i="61" s="1"/>
  <c r="P504" i="61"/>
  <c r="T502" i="61"/>
  <c r="U502" i="61" s="1"/>
  <c r="Q503" i="61"/>
  <c r="S503" i="61" s="1"/>
  <c r="R503" i="61"/>
  <c r="K77" i="80"/>
  <c r="K78" i="80" s="1"/>
  <c r="K79" i="80" s="1"/>
  <c r="K80" i="80" s="1"/>
  <c r="K81" i="80" s="1"/>
  <c r="K82" i="80" s="1"/>
  <c r="J78" i="80"/>
  <c r="J79" i="80" s="1"/>
  <c r="J80" i="80" s="1"/>
  <c r="J81" i="80" s="1"/>
  <c r="J82" i="80" s="1"/>
  <c r="J83" i="80" s="1"/>
  <c r="K23" i="66"/>
  <c r="P22" i="66"/>
  <c r="K23" i="65"/>
  <c r="P22" i="65"/>
  <c r="P22" i="68"/>
  <c r="K23" i="68"/>
  <c r="I23" i="67"/>
  <c r="N22" i="67"/>
  <c r="K23" i="53"/>
  <c r="C23" i="53" s="1"/>
  <c r="D24" i="53"/>
  <c r="K23" i="52"/>
  <c r="C23" i="52" s="1"/>
  <c r="D24" i="52"/>
  <c r="I19" i="44"/>
  <c r="H19" i="44"/>
  <c r="K24" i="47"/>
  <c r="P24" i="47" s="1"/>
  <c r="J18" i="44"/>
  <c r="C18" i="44" s="1"/>
  <c r="I116" i="44"/>
  <c r="J115" i="44"/>
  <c r="C115" i="44" s="1"/>
  <c r="K44" i="46" l="1"/>
  <c r="C44" i="46" s="1"/>
  <c r="K20" i="46"/>
  <c r="C20" i="46" s="1"/>
  <c r="G68" i="88"/>
  <c r="H68" i="88"/>
  <c r="H20" i="88"/>
  <c r="G20" i="88"/>
  <c r="D70" i="88"/>
  <c r="K69" i="88"/>
  <c r="C69" i="88" s="1"/>
  <c r="E69" i="88"/>
  <c r="F69" i="88" s="1"/>
  <c r="E21" i="88"/>
  <c r="F21" i="88" s="1"/>
  <c r="D22" i="88"/>
  <c r="K21" i="88"/>
  <c r="C21" i="88" s="1"/>
  <c r="K96" i="53"/>
  <c r="C96" i="53" s="1"/>
  <c r="D97" i="53"/>
  <c r="D169" i="53"/>
  <c r="K168" i="53"/>
  <c r="C168" i="53" s="1"/>
  <c r="K44" i="45"/>
  <c r="C44" i="45" s="1"/>
  <c r="E44" i="45"/>
  <c r="F44" i="45" s="1"/>
  <c r="D45" i="45"/>
  <c r="H19" i="45"/>
  <c r="G19" i="45"/>
  <c r="D45" i="46"/>
  <c r="E44" i="46"/>
  <c r="F44" i="46" s="1"/>
  <c r="G43" i="45"/>
  <c r="H43" i="45"/>
  <c r="K20" i="45"/>
  <c r="C20" i="45" s="1"/>
  <c r="E20" i="45"/>
  <c r="F20" i="45" s="1"/>
  <c r="D21" i="45"/>
  <c r="H43" i="46"/>
  <c r="G43" i="46"/>
  <c r="G19" i="46"/>
  <c r="H19" i="46"/>
  <c r="D21" i="46"/>
  <c r="E20" i="46"/>
  <c r="F20" i="46" s="1"/>
  <c r="G504" i="61"/>
  <c r="H504" i="61"/>
  <c r="T503" i="61"/>
  <c r="U503" i="61" s="1"/>
  <c r="E505" i="61"/>
  <c r="F505" i="61" s="1"/>
  <c r="D506" i="61"/>
  <c r="C506" i="61" s="1"/>
  <c r="P505" i="61"/>
  <c r="R504" i="61"/>
  <c r="Q504" i="61"/>
  <c r="S504" i="61" s="1"/>
  <c r="K83" i="80"/>
  <c r="K84" i="80" s="1"/>
  <c r="K85" i="80" s="1"/>
  <c r="K86" i="80" s="1"/>
  <c r="K87" i="80" s="1"/>
  <c r="K88" i="80" s="1"/>
  <c r="J84" i="80"/>
  <c r="J85" i="80" s="1"/>
  <c r="J86" i="80" s="1"/>
  <c r="J87" i="80" s="1"/>
  <c r="J88" i="80" s="1"/>
  <c r="J89" i="80" s="1"/>
  <c r="I24" i="67"/>
  <c r="N23" i="67"/>
  <c r="K24" i="65"/>
  <c r="P23" i="65"/>
  <c r="P23" i="68"/>
  <c r="K24" i="68"/>
  <c r="K24" i="66"/>
  <c r="P23" i="66"/>
  <c r="J19" i="44"/>
  <c r="C19" i="44" s="1"/>
  <c r="D25" i="52"/>
  <c r="K24" i="52"/>
  <c r="C24" i="52" s="1"/>
  <c r="D25" i="53"/>
  <c r="K24" i="53"/>
  <c r="C24" i="53" s="1"/>
  <c r="I20" i="44"/>
  <c r="H20" i="44"/>
  <c r="K25" i="47"/>
  <c r="P25" i="47" s="1"/>
  <c r="I117" i="44"/>
  <c r="J116" i="44"/>
  <c r="C116" i="44" s="1"/>
  <c r="K45" i="46" l="1"/>
  <c r="C45" i="46" s="1"/>
  <c r="K21" i="46"/>
  <c r="C21" i="46" s="1"/>
  <c r="G21" i="88"/>
  <c r="H21" i="88"/>
  <c r="G69" i="88"/>
  <c r="H69" i="88"/>
  <c r="E22" i="88"/>
  <c r="F22" i="88" s="1"/>
  <c r="D23" i="88"/>
  <c r="K22" i="88"/>
  <c r="C22" i="88" s="1"/>
  <c r="D71" i="88"/>
  <c r="K70" i="88"/>
  <c r="C70" i="88" s="1"/>
  <c r="E70" i="88"/>
  <c r="F70" i="88" s="1"/>
  <c r="T504" i="61"/>
  <c r="U504" i="61" s="1"/>
  <c r="D170" i="53"/>
  <c r="K169" i="53"/>
  <c r="C169" i="53" s="1"/>
  <c r="K97" i="53"/>
  <c r="C97" i="53" s="1"/>
  <c r="D98" i="53"/>
  <c r="H44" i="46"/>
  <c r="G44" i="46"/>
  <c r="K45" i="45"/>
  <c r="C45" i="45" s="1"/>
  <c r="E45" i="45"/>
  <c r="F45" i="45" s="1"/>
  <c r="D46" i="45"/>
  <c r="H20" i="45"/>
  <c r="G20" i="45"/>
  <c r="D46" i="46"/>
  <c r="E45" i="46"/>
  <c r="F45" i="46" s="1"/>
  <c r="G44" i="45"/>
  <c r="H44" i="45"/>
  <c r="K21" i="45"/>
  <c r="C21" i="45" s="1"/>
  <c r="D22" i="45"/>
  <c r="E21" i="45"/>
  <c r="F21" i="45" s="1"/>
  <c r="D22" i="46"/>
  <c r="E21" i="46"/>
  <c r="F21" i="46" s="1"/>
  <c r="H20" i="46"/>
  <c r="G20" i="46"/>
  <c r="G505" i="61"/>
  <c r="H505" i="61"/>
  <c r="Q505" i="61"/>
  <c r="S505" i="61" s="1"/>
  <c r="R505" i="61"/>
  <c r="P506" i="61"/>
  <c r="E506" i="61"/>
  <c r="F506" i="61" s="1"/>
  <c r="D507" i="61"/>
  <c r="C507" i="61" s="1"/>
  <c r="K89" i="80"/>
  <c r="K90" i="80" s="1"/>
  <c r="K91" i="80" s="1"/>
  <c r="K92" i="80" s="1"/>
  <c r="K93" i="80" s="1"/>
  <c r="K94" i="80" s="1"/>
  <c r="J90" i="80"/>
  <c r="J91" i="80" s="1"/>
  <c r="J92" i="80" s="1"/>
  <c r="J93" i="80" s="1"/>
  <c r="J94" i="80" s="1"/>
  <c r="J95" i="80" s="1"/>
  <c r="K25" i="66"/>
  <c r="P24" i="66"/>
  <c r="K25" i="65"/>
  <c r="P24" i="65"/>
  <c r="P24" i="68"/>
  <c r="K25" i="68"/>
  <c r="I25" i="67"/>
  <c r="N24" i="67"/>
  <c r="K25" i="53"/>
  <c r="C25" i="53" s="1"/>
  <c r="D26" i="53"/>
  <c r="D26" i="52"/>
  <c r="K25" i="52"/>
  <c r="C25" i="52" s="1"/>
  <c r="J20" i="44"/>
  <c r="C20" i="44" s="1"/>
  <c r="I21" i="44"/>
  <c r="H21" i="44"/>
  <c r="K26" i="47"/>
  <c r="I118" i="44"/>
  <c r="J117" i="44"/>
  <c r="C117" i="44" s="1"/>
  <c r="E71" i="88" l="1"/>
  <c r="F71" i="88" s="1"/>
  <c r="K71" i="88"/>
  <c r="C71" i="88" s="1"/>
  <c r="D72" i="88"/>
  <c r="H70" i="88"/>
  <c r="G70" i="88"/>
  <c r="D24" i="88"/>
  <c r="K23" i="88"/>
  <c r="C23" i="88" s="1"/>
  <c r="E23" i="88"/>
  <c r="F23" i="88" s="1"/>
  <c r="G22" i="88"/>
  <c r="H22" i="88"/>
  <c r="D12" i="87"/>
  <c r="D108" i="87"/>
  <c r="D99" i="53"/>
  <c r="K98" i="53"/>
  <c r="C98" i="53" s="1"/>
  <c r="K170" i="53"/>
  <c r="C170" i="53" s="1"/>
  <c r="D171" i="53"/>
  <c r="K46" i="46"/>
  <c r="C46" i="46" s="1"/>
  <c r="K22" i="46"/>
  <c r="C22" i="46" s="1"/>
  <c r="E46" i="46"/>
  <c r="F46" i="46" s="1"/>
  <c r="H45" i="45"/>
  <c r="G45" i="45"/>
  <c r="G21" i="45"/>
  <c r="H21" i="45"/>
  <c r="K22" i="45"/>
  <c r="C22" i="45" s="1"/>
  <c r="E22" i="45"/>
  <c r="F22" i="45" s="1"/>
  <c r="G45" i="46"/>
  <c r="H45" i="46"/>
  <c r="K46" i="45"/>
  <c r="C46" i="45" s="1"/>
  <c r="E46" i="45"/>
  <c r="F46" i="45" s="1"/>
  <c r="H21" i="46"/>
  <c r="G21" i="46"/>
  <c r="E22" i="46"/>
  <c r="F22" i="46" s="1"/>
  <c r="D508" i="61"/>
  <c r="C508" i="61" s="1"/>
  <c r="P507" i="61"/>
  <c r="E507" i="61"/>
  <c r="F507" i="61" s="1"/>
  <c r="T505" i="61"/>
  <c r="U505" i="61" s="1"/>
  <c r="G506" i="61"/>
  <c r="H506" i="61"/>
  <c r="Q506" i="61"/>
  <c r="S506" i="61" s="1"/>
  <c r="R506" i="61"/>
  <c r="K95" i="80"/>
  <c r="K96" i="80" s="1"/>
  <c r="K97" i="80" s="1"/>
  <c r="K98" i="80" s="1"/>
  <c r="K99" i="80" s="1"/>
  <c r="K100" i="80" s="1"/>
  <c r="J96" i="80"/>
  <c r="J97" i="80" s="1"/>
  <c r="J98" i="80" s="1"/>
  <c r="J99" i="80" s="1"/>
  <c r="J100" i="80" s="1"/>
  <c r="J101" i="80" s="1"/>
  <c r="I26" i="67"/>
  <c r="N25" i="67"/>
  <c r="P25" i="65"/>
  <c r="K26" i="65"/>
  <c r="P25" i="68"/>
  <c r="K26" i="68"/>
  <c r="K26" i="66"/>
  <c r="P25" i="66"/>
  <c r="J21" i="44"/>
  <c r="C21" i="44" s="1"/>
  <c r="K26" i="53"/>
  <c r="C26" i="53" s="1"/>
  <c r="D27" i="53"/>
  <c r="K26" i="52"/>
  <c r="C26" i="52" s="1"/>
  <c r="D27" i="52"/>
  <c r="I22" i="44"/>
  <c r="H22" i="44"/>
  <c r="K27" i="47"/>
  <c r="P27" i="47" s="1"/>
  <c r="P26" i="47"/>
  <c r="I119" i="44"/>
  <c r="H23" i="88" l="1"/>
  <c r="G23" i="88"/>
  <c r="E72" i="88"/>
  <c r="F72" i="88" s="1"/>
  <c r="D73" i="88"/>
  <c r="K72" i="88"/>
  <c r="C72" i="88" s="1"/>
  <c r="E24" i="88"/>
  <c r="F24" i="88" s="1"/>
  <c r="K24" i="88"/>
  <c r="C24" i="88" s="1"/>
  <c r="D25" i="88"/>
  <c r="H71" i="88"/>
  <c r="G71" i="88"/>
  <c r="D12" i="91"/>
  <c r="D108" i="91"/>
  <c r="E12" i="87"/>
  <c r="F12" i="87" s="1"/>
  <c r="K12" i="87"/>
  <c r="C12" i="87" s="1"/>
  <c r="D13" i="87"/>
  <c r="E108" i="87"/>
  <c r="F108" i="87" s="1"/>
  <c r="D109" i="87"/>
  <c r="K108" i="87"/>
  <c r="C108" i="87" s="1"/>
  <c r="D172" i="53"/>
  <c r="K171" i="53"/>
  <c r="C171" i="53" s="1"/>
  <c r="K99" i="53"/>
  <c r="C99" i="53" s="1"/>
  <c r="D100" i="53"/>
  <c r="G46" i="45"/>
  <c r="H46" i="45"/>
  <c r="H22" i="45"/>
  <c r="G22" i="45"/>
  <c r="G46" i="46"/>
  <c r="H46" i="46"/>
  <c r="G22" i="46"/>
  <c r="H22" i="46"/>
  <c r="T506" i="61"/>
  <c r="U506" i="61" s="1"/>
  <c r="G507" i="61"/>
  <c r="H507" i="61"/>
  <c r="R507" i="61"/>
  <c r="Q507" i="61"/>
  <c r="S507" i="61" s="1"/>
  <c r="P508" i="61"/>
  <c r="D509" i="61"/>
  <c r="C509" i="61" s="1"/>
  <c r="E508" i="61"/>
  <c r="F508" i="61" s="1"/>
  <c r="K101" i="80"/>
  <c r="K102" i="80" s="1"/>
  <c r="K103" i="80" s="1"/>
  <c r="K104" i="80" s="1"/>
  <c r="K105" i="80" s="1"/>
  <c r="K106" i="80" s="1"/>
  <c r="J102" i="80"/>
  <c r="J103" i="80" s="1"/>
  <c r="J104" i="80" s="1"/>
  <c r="J105" i="80" s="1"/>
  <c r="J106" i="80" s="1"/>
  <c r="J107" i="80" s="1"/>
  <c r="K27" i="66"/>
  <c r="P26" i="66"/>
  <c r="K27" i="65"/>
  <c r="P26" i="65"/>
  <c r="P26" i="68"/>
  <c r="K27" i="68"/>
  <c r="I27" i="67"/>
  <c r="N26" i="67"/>
  <c r="J22" i="44"/>
  <c r="C22" i="44" s="1"/>
  <c r="K27" i="52"/>
  <c r="C27" i="52" s="1"/>
  <c r="D28" i="52"/>
  <c r="D28" i="53"/>
  <c r="K27" i="53"/>
  <c r="C27" i="53" s="1"/>
  <c r="I23" i="44"/>
  <c r="H23" i="44"/>
  <c r="J118" i="44"/>
  <c r="C118" i="44" s="1"/>
  <c r="K28" i="47"/>
  <c r="P28" i="47" s="1"/>
  <c r="I120" i="44"/>
  <c r="K28" i="52" l="1"/>
  <c r="C28" i="52" s="1"/>
  <c r="D26" i="88"/>
  <c r="K25" i="88"/>
  <c r="C25" i="88" s="1"/>
  <c r="E25" i="88"/>
  <c r="F25" i="88" s="1"/>
  <c r="D74" i="88"/>
  <c r="K73" i="88"/>
  <c r="C73" i="88" s="1"/>
  <c r="E73" i="88"/>
  <c r="F73" i="88" s="1"/>
  <c r="H24" i="88"/>
  <c r="G24" i="88"/>
  <c r="G72" i="88"/>
  <c r="H72" i="88"/>
  <c r="D109" i="91"/>
  <c r="K108" i="91"/>
  <c r="C108" i="91" s="1"/>
  <c r="E108" i="91"/>
  <c r="F108" i="91" s="1"/>
  <c r="D13" i="91"/>
  <c r="K12" i="91"/>
  <c r="C12" i="91" s="1"/>
  <c r="E12" i="91"/>
  <c r="F12" i="91" s="1"/>
  <c r="E109" i="87"/>
  <c r="F109" i="87" s="1"/>
  <c r="D110" i="87"/>
  <c r="K109" i="87"/>
  <c r="C109" i="87" s="1"/>
  <c r="E13" i="87"/>
  <c r="F13" i="87" s="1"/>
  <c r="D14" i="87"/>
  <c r="K13" i="87"/>
  <c r="C13" i="87" s="1"/>
  <c r="H108" i="87"/>
  <c r="G108" i="87"/>
  <c r="H12" i="87"/>
  <c r="G12" i="87"/>
  <c r="K100" i="53"/>
  <c r="C100" i="53" s="1"/>
  <c r="D101" i="53"/>
  <c r="T507" i="61"/>
  <c r="U507" i="61" s="1"/>
  <c r="K172" i="53"/>
  <c r="C172" i="53" s="1"/>
  <c r="D173" i="53"/>
  <c r="G508" i="61"/>
  <c r="H508" i="61"/>
  <c r="P509" i="61"/>
  <c r="D510" i="61"/>
  <c r="C510" i="61" s="1"/>
  <c r="E509" i="61"/>
  <c r="F509" i="61" s="1"/>
  <c r="Q508" i="61"/>
  <c r="S508" i="61" s="1"/>
  <c r="R508" i="61"/>
  <c r="K107" i="80"/>
  <c r="K108" i="80" s="1"/>
  <c r="K109" i="80" s="1"/>
  <c r="K110" i="80" s="1"/>
  <c r="K111" i="80" s="1"/>
  <c r="K112" i="80" s="1"/>
  <c r="J108" i="80"/>
  <c r="J109" i="80" s="1"/>
  <c r="J110" i="80" s="1"/>
  <c r="J111" i="80" s="1"/>
  <c r="J112" i="80" s="1"/>
  <c r="J113" i="80" s="1"/>
  <c r="I28" i="67"/>
  <c r="N27" i="67"/>
  <c r="P27" i="65"/>
  <c r="K28" i="65"/>
  <c r="P27" i="68"/>
  <c r="K28" i="68"/>
  <c r="P27" i="66"/>
  <c r="K28" i="66"/>
  <c r="J23" i="44"/>
  <c r="K28" i="53"/>
  <c r="C28" i="53" s="1"/>
  <c r="D29" i="53"/>
  <c r="I24" i="44"/>
  <c r="H24" i="44"/>
  <c r="K29" i="47"/>
  <c r="P29" i="47" s="1"/>
  <c r="I121" i="44"/>
  <c r="J119" i="44"/>
  <c r="C119" i="44" s="1"/>
  <c r="J24" i="44" l="1"/>
  <c r="C23" i="44"/>
  <c r="K74" i="88"/>
  <c r="C74" i="88" s="1"/>
  <c r="D75" i="88"/>
  <c r="E74" i="88"/>
  <c r="F74" i="88" s="1"/>
  <c r="G25" i="88"/>
  <c r="H25" i="88"/>
  <c r="G73" i="88"/>
  <c r="H73" i="88"/>
  <c r="E26" i="88"/>
  <c r="F26" i="88" s="1"/>
  <c r="K26" i="88"/>
  <c r="C26" i="88" s="1"/>
  <c r="D27" i="88"/>
  <c r="G12" i="91"/>
  <c r="H12" i="91"/>
  <c r="K13" i="91"/>
  <c r="C13" i="91" s="1"/>
  <c r="D14" i="91"/>
  <c r="E13" i="91"/>
  <c r="F13" i="91" s="1"/>
  <c r="G108" i="91"/>
  <c r="H108" i="91"/>
  <c r="K109" i="91"/>
  <c r="C109" i="91" s="1"/>
  <c r="D110" i="91"/>
  <c r="E109" i="91"/>
  <c r="F109" i="91" s="1"/>
  <c r="H13" i="87"/>
  <c r="G13" i="87"/>
  <c r="E110" i="87"/>
  <c r="F110" i="87" s="1"/>
  <c r="D111" i="87"/>
  <c r="K110" i="87"/>
  <c r="C110" i="87" s="1"/>
  <c r="E14" i="87"/>
  <c r="F14" i="87" s="1"/>
  <c r="D15" i="87"/>
  <c r="K14" i="87"/>
  <c r="C14" i="87" s="1"/>
  <c r="H109" i="87"/>
  <c r="G109" i="87"/>
  <c r="T508" i="61"/>
  <c r="U508" i="61" s="1"/>
  <c r="D102" i="53"/>
  <c r="K101" i="53"/>
  <c r="C101" i="53" s="1"/>
  <c r="D174" i="53"/>
  <c r="K173" i="53"/>
  <c r="C173" i="53" s="1"/>
  <c r="E510" i="61"/>
  <c r="F510" i="61" s="1"/>
  <c r="D511" i="61"/>
  <c r="C511" i="61" s="1"/>
  <c r="P510" i="61"/>
  <c r="R509" i="61"/>
  <c r="Q509" i="61"/>
  <c r="S509" i="61" s="1"/>
  <c r="G509" i="61"/>
  <c r="H509" i="61"/>
  <c r="J114" i="80"/>
  <c r="J115" i="80" s="1"/>
  <c r="J116" i="80" s="1"/>
  <c r="J117" i="80" s="1"/>
  <c r="J118" i="80" s="1"/>
  <c r="J119" i="80" s="1"/>
  <c r="K113" i="80"/>
  <c r="K114" i="80" s="1"/>
  <c r="K115" i="80" s="1"/>
  <c r="K116" i="80" s="1"/>
  <c r="K117" i="80" s="1"/>
  <c r="K118" i="80" s="1"/>
  <c r="P28" i="66"/>
  <c r="K29" i="66"/>
  <c r="K29" i="65"/>
  <c r="P28" i="65"/>
  <c r="P28" i="68"/>
  <c r="K29" i="68"/>
  <c r="I29" i="67"/>
  <c r="N28" i="67"/>
  <c r="D30" i="53"/>
  <c r="K29" i="53"/>
  <c r="C29" i="53" s="1"/>
  <c r="I25" i="44"/>
  <c r="H25" i="44"/>
  <c r="K30" i="47"/>
  <c r="P30" i="47" s="1"/>
  <c r="I122" i="44"/>
  <c r="J120" i="44"/>
  <c r="C120" i="44" s="1"/>
  <c r="J25" i="44" l="1"/>
  <c r="C24" i="44"/>
  <c r="C30" i="53"/>
  <c r="H26" i="88"/>
  <c r="G26" i="88"/>
  <c r="G74" i="88"/>
  <c r="H74" i="88"/>
  <c r="D28" i="88"/>
  <c r="K27" i="88"/>
  <c r="C27" i="88" s="1"/>
  <c r="E27" i="88"/>
  <c r="F27" i="88" s="1"/>
  <c r="E75" i="88"/>
  <c r="F75" i="88" s="1"/>
  <c r="K75" i="88"/>
  <c r="C75" i="88" s="1"/>
  <c r="D76" i="88"/>
  <c r="E14" i="91"/>
  <c r="F14" i="91" s="1"/>
  <c r="D15" i="91"/>
  <c r="K14" i="91"/>
  <c r="C14" i="91" s="1"/>
  <c r="H109" i="91"/>
  <c r="G109" i="91"/>
  <c r="E110" i="91"/>
  <c r="F110" i="91" s="1"/>
  <c r="D111" i="91"/>
  <c r="K110" i="91"/>
  <c r="C110" i="91" s="1"/>
  <c r="H13" i="91"/>
  <c r="G13" i="91"/>
  <c r="E111" i="87"/>
  <c r="F111" i="87" s="1"/>
  <c r="D112" i="87"/>
  <c r="K111" i="87"/>
  <c r="C111" i="87" s="1"/>
  <c r="E15" i="87"/>
  <c r="F15" i="87" s="1"/>
  <c r="K15" i="87"/>
  <c r="C15" i="87" s="1"/>
  <c r="D16" i="87"/>
  <c r="H110" i="87"/>
  <c r="G110" i="87"/>
  <c r="G14" i="87"/>
  <c r="H14" i="87"/>
  <c r="K174" i="53"/>
  <c r="C174" i="53" s="1"/>
  <c r="D175" i="53"/>
  <c r="K102" i="53"/>
  <c r="C102" i="53" s="1"/>
  <c r="D103" i="53"/>
  <c r="Q510" i="61"/>
  <c r="S510" i="61" s="1"/>
  <c r="R510" i="61"/>
  <c r="D512" i="61"/>
  <c r="C512" i="61" s="1"/>
  <c r="E511" i="61"/>
  <c r="F511" i="61" s="1"/>
  <c r="P511" i="61"/>
  <c r="T509" i="61"/>
  <c r="U509" i="61" s="1"/>
  <c r="H510" i="61"/>
  <c r="G510" i="61"/>
  <c r="K119" i="80"/>
  <c r="K120" i="80" s="1"/>
  <c r="K121" i="80" s="1"/>
  <c r="K122" i="80" s="1"/>
  <c r="K123" i="80" s="1"/>
  <c r="K124" i="80" s="1"/>
  <c r="J120" i="80"/>
  <c r="J121" i="80" s="1"/>
  <c r="J122" i="80" s="1"/>
  <c r="J123" i="80" s="1"/>
  <c r="J124" i="80" s="1"/>
  <c r="J125" i="80" s="1"/>
  <c r="I30" i="67"/>
  <c r="N29" i="67"/>
  <c r="K30" i="65"/>
  <c r="P29" i="65"/>
  <c r="P29" i="68"/>
  <c r="K30" i="68"/>
  <c r="K30" i="66"/>
  <c r="P29" i="66"/>
  <c r="D31" i="53"/>
  <c r="K30" i="53"/>
  <c r="I26" i="44"/>
  <c r="H26" i="44"/>
  <c r="K31" i="47"/>
  <c r="P31" i="47" s="1"/>
  <c r="J121" i="44"/>
  <c r="C121" i="44" s="1"/>
  <c r="I123" i="44"/>
  <c r="J26" i="44" l="1"/>
  <c r="C25" i="44"/>
  <c r="G75" i="88"/>
  <c r="H75" i="88"/>
  <c r="H27" i="88"/>
  <c r="G27" i="88"/>
  <c r="K76" i="88"/>
  <c r="C76" i="88" s="1"/>
  <c r="E76" i="88"/>
  <c r="F76" i="88" s="1"/>
  <c r="D77" i="88"/>
  <c r="E28" i="88"/>
  <c r="F28" i="88" s="1"/>
  <c r="D29" i="88"/>
  <c r="K28" i="88"/>
  <c r="C28" i="88" s="1"/>
  <c r="G110" i="91"/>
  <c r="H110" i="91"/>
  <c r="D16" i="91"/>
  <c r="K15" i="91"/>
  <c r="C15" i="91" s="1"/>
  <c r="E15" i="91"/>
  <c r="F15" i="91" s="1"/>
  <c r="D112" i="91"/>
  <c r="K111" i="91"/>
  <c r="C111" i="91" s="1"/>
  <c r="E111" i="91"/>
  <c r="F111" i="91" s="1"/>
  <c r="G14" i="91"/>
  <c r="H14" i="91"/>
  <c r="H15" i="87"/>
  <c r="G15" i="87"/>
  <c r="E16" i="87"/>
  <c r="F16" i="87" s="1"/>
  <c r="K16" i="87"/>
  <c r="C16" i="87" s="1"/>
  <c r="D17" i="87"/>
  <c r="E112" i="87"/>
  <c r="F112" i="87" s="1"/>
  <c r="D113" i="87"/>
  <c r="K112" i="87"/>
  <c r="C112" i="87" s="1"/>
  <c r="G111" i="87"/>
  <c r="H111" i="87"/>
  <c r="K103" i="53"/>
  <c r="C103" i="53" s="1"/>
  <c r="D104" i="53"/>
  <c r="K175" i="53"/>
  <c r="C175" i="53" s="1"/>
  <c r="D176" i="53"/>
  <c r="H511" i="61"/>
  <c r="G511" i="61"/>
  <c r="P512" i="61"/>
  <c r="E512" i="61"/>
  <c r="F512" i="61" s="1"/>
  <c r="D513" i="61"/>
  <c r="C513" i="61" s="1"/>
  <c r="R511" i="61"/>
  <c r="Q511" i="61"/>
  <c r="S511" i="61" s="1"/>
  <c r="T510" i="61"/>
  <c r="U510" i="61" s="1"/>
  <c r="K125" i="80"/>
  <c r="K126" i="80" s="1"/>
  <c r="K127" i="80" s="1"/>
  <c r="K128" i="80" s="1"/>
  <c r="K129" i="80" s="1"/>
  <c r="K130" i="80" s="1"/>
  <c r="J126" i="80"/>
  <c r="J127" i="80" s="1"/>
  <c r="J128" i="80" s="1"/>
  <c r="J129" i="80" s="1"/>
  <c r="J130" i="80" s="1"/>
  <c r="J131" i="80" s="1"/>
  <c r="P30" i="66"/>
  <c r="K31" i="66"/>
  <c r="K31" i="65"/>
  <c r="P30" i="65"/>
  <c r="P30" i="68"/>
  <c r="K31" i="68"/>
  <c r="I31" i="67"/>
  <c r="N30" i="67"/>
  <c r="K31" i="53"/>
  <c r="C31" i="53" s="1"/>
  <c r="D32" i="53"/>
  <c r="I27" i="44"/>
  <c r="H27" i="44"/>
  <c r="K32" i="47"/>
  <c r="P32" i="47" s="1"/>
  <c r="I124" i="44"/>
  <c r="J122" i="44"/>
  <c r="C122" i="44" s="1"/>
  <c r="J27" i="44" l="1"/>
  <c r="C26" i="44"/>
  <c r="H28" i="88"/>
  <c r="G28" i="88"/>
  <c r="E77" i="88"/>
  <c r="F77" i="88" s="1"/>
  <c r="D78" i="88"/>
  <c r="K77" i="88"/>
  <c r="C77" i="88" s="1"/>
  <c r="G76" i="88"/>
  <c r="H76" i="88"/>
  <c r="D30" i="88"/>
  <c r="K29" i="88"/>
  <c r="C29" i="88" s="1"/>
  <c r="E29" i="88"/>
  <c r="F29" i="88" s="1"/>
  <c r="H111" i="91"/>
  <c r="G111" i="91"/>
  <c r="D17" i="91"/>
  <c r="K16" i="91"/>
  <c r="C16" i="91" s="1"/>
  <c r="E16" i="91"/>
  <c r="F16" i="91" s="1"/>
  <c r="D113" i="91"/>
  <c r="K112" i="91"/>
  <c r="C112" i="91" s="1"/>
  <c r="E112" i="91"/>
  <c r="F112" i="91" s="1"/>
  <c r="H15" i="91"/>
  <c r="G15" i="91"/>
  <c r="E113" i="87"/>
  <c r="F113" i="87" s="1"/>
  <c r="D114" i="87"/>
  <c r="K113" i="87"/>
  <c r="C113" i="87" s="1"/>
  <c r="H16" i="87"/>
  <c r="G16" i="87"/>
  <c r="G112" i="87"/>
  <c r="H112" i="87"/>
  <c r="E17" i="87"/>
  <c r="F17" i="87" s="1"/>
  <c r="D18" i="87"/>
  <c r="K17" i="87"/>
  <c r="C17" i="87" s="1"/>
  <c r="K176" i="53"/>
  <c r="C176" i="53" s="1"/>
  <c r="D177" i="53"/>
  <c r="D105" i="53"/>
  <c r="K104" i="53"/>
  <c r="C104" i="53" s="1"/>
  <c r="G512" i="61"/>
  <c r="H512" i="61"/>
  <c r="T511" i="61"/>
  <c r="U511" i="61" s="1"/>
  <c r="Q512" i="61"/>
  <c r="S512" i="61" s="1"/>
  <c r="R512" i="61"/>
  <c r="E513" i="61"/>
  <c r="F513" i="61" s="1"/>
  <c r="D514" i="61"/>
  <c r="C514" i="61" s="1"/>
  <c r="P513" i="61"/>
  <c r="J132" i="80"/>
  <c r="J133" i="80" s="1"/>
  <c r="J134" i="80" s="1"/>
  <c r="J135" i="80" s="1"/>
  <c r="J136" i="80" s="1"/>
  <c r="J137" i="80" s="1"/>
  <c r="K131" i="80"/>
  <c r="K132" i="80" s="1"/>
  <c r="K133" i="80" s="1"/>
  <c r="K134" i="80" s="1"/>
  <c r="K135" i="80" s="1"/>
  <c r="K136" i="80" s="1"/>
  <c r="I32" i="67"/>
  <c r="N31" i="67"/>
  <c r="K32" i="65"/>
  <c r="P31" i="65"/>
  <c r="P31" i="68"/>
  <c r="K32" i="68"/>
  <c r="K32" i="66"/>
  <c r="P31" i="66"/>
  <c r="D33" i="53"/>
  <c r="K32" i="53"/>
  <c r="C32" i="53" s="1"/>
  <c r="I28" i="44"/>
  <c r="H28" i="44"/>
  <c r="K33" i="47"/>
  <c r="P33" i="47" s="1"/>
  <c r="I125" i="44"/>
  <c r="J123" i="44"/>
  <c r="C123" i="44" s="1"/>
  <c r="J28" i="44" l="1"/>
  <c r="C27" i="44"/>
  <c r="K30" i="88"/>
  <c r="C30" i="88" s="1"/>
  <c r="E30" i="88"/>
  <c r="F30" i="88" s="1"/>
  <c r="D31" i="88"/>
  <c r="D79" i="88"/>
  <c r="K78" i="88"/>
  <c r="C78" i="88" s="1"/>
  <c r="E78" i="88"/>
  <c r="F78" i="88" s="1"/>
  <c r="H29" i="88"/>
  <c r="G29" i="88"/>
  <c r="G77" i="88"/>
  <c r="H77" i="88"/>
  <c r="G112" i="91"/>
  <c r="H112" i="91"/>
  <c r="E113" i="91"/>
  <c r="F113" i="91" s="1"/>
  <c r="D114" i="91"/>
  <c r="K113" i="91"/>
  <c r="C113" i="91" s="1"/>
  <c r="E17" i="91"/>
  <c r="F17" i="91" s="1"/>
  <c r="K17" i="91"/>
  <c r="C17" i="91" s="1"/>
  <c r="D18" i="91"/>
  <c r="G16" i="91"/>
  <c r="H16" i="91"/>
  <c r="H17" i="87"/>
  <c r="G17" i="87"/>
  <c r="E114" i="87"/>
  <c r="F114" i="87" s="1"/>
  <c r="K114" i="87"/>
  <c r="C114" i="87" s="1"/>
  <c r="D115" i="87"/>
  <c r="E18" i="87"/>
  <c r="F18" i="87" s="1"/>
  <c r="D19" i="87"/>
  <c r="K18" i="87"/>
  <c r="C18" i="87" s="1"/>
  <c r="H113" i="87"/>
  <c r="G113" i="87"/>
  <c r="D106" i="53"/>
  <c r="K105" i="53"/>
  <c r="C105" i="53" s="1"/>
  <c r="K177" i="53"/>
  <c r="C177" i="53" s="1"/>
  <c r="D178" i="53"/>
  <c r="T512" i="61"/>
  <c r="U512" i="61" s="1"/>
  <c r="Q513" i="61"/>
  <c r="S513" i="61" s="1"/>
  <c r="R513" i="61"/>
  <c r="E514" i="61"/>
  <c r="F514" i="61" s="1"/>
  <c r="D515" i="61"/>
  <c r="C515" i="61" s="1"/>
  <c r="P514" i="61"/>
  <c r="H513" i="61"/>
  <c r="G513" i="61"/>
  <c r="K137" i="80"/>
  <c r="K138" i="80" s="1"/>
  <c r="K139" i="80" s="1"/>
  <c r="K140" i="80" s="1"/>
  <c r="K141" i="80" s="1"/>
  <c r="K142" i="80" s="1"/>
  <c r="J138" i="80"/>
  <c r="J139" i="80" s="1"/>
  <c r="J140" i="80" s="1"/>
  <c r="J141" i="80" s="1"/>
  <c r="J142" i="80" s="1"/>
  <c r="J143" i="80" s="1"/>
  <c r="K33" i="66"/>
  <c r="P32" i="66"/>
  <c r="K33" i="65"/>
  <c r="P32" i="65"/>
  <c r="P32" i="68"/>
  <c r="K33" i="68"/>
  <c r="I33" i="67"/>
  <c r="N32" i="67"/>
  <c r="K33" i="53"/>
  <c r="C33" i="53" s="1"/>
  <c r="D34" i="53"/>
  <c r="I29" i="44"/>
  <c r="H29" i="44"/>
  <c r="K34" i="47"/>
  <c r="P34" i="47" s="1"/>
  <c r="I126" i="44"/>
  <c r="J124" i="44"/>
  <c r="C124" i="44" s="1"/>
  <c r="J29" i="44" l="1"/>
  <c r="C28" i="44"/>
  <c r="E79" i="88"/>
  <c r="F79" i="88" s="1"/>
  <c r="D80" i="88"/>
  <c r="K79" i="88"/>
  <c r="C79" i="88" s="1"/>
  <c r="E31" i="88"/>
  <c r="F31" i="88" s="1"/>
  <c r="D32" i="88"/>
  <c r="K31" i="88"/>
  <c r="C31" i="88" s="1"/>
  <c r="H78" i="88"/>
  <c r="G78" i="88"/>
  <c r="H30" i="88"/>
  <c r="G30" i="88"/>
  <c r="E18" i="91"/>
  <c r="F18" i="91" s="1"/>
  <c r="K18" i="91"/>
  <c r="C18" i="91" s="1"/>
  <c r="D19" i="91"/>
  <c r="E114" i="91"/>
  <c r="F114" i="91" s="1"/>
  <c r="K114" i="91"/>
  <c r="C114" i="91" s="1"/>
  <c r="D115" i="91"/>
  <c r="H17" i="91"/>
  <c r="G17" i="91"/>
  <c r="H113" i="91"/>
  <c r="G113" i="91"/>
  <c r="E19" i="87"/>
  <c r="F19" i="87" s="1"/>
  <c r="K19" i="87"/>
  <c r="C19" i="87" s="1"/>
  <c r="D20" i="87"/>
  <c r="G18" i="87"/>
  <c r="H18" i="87"/>
  <c r="H114" i="87"/>
  <c r="G114" i="87"/>
  <c r="E115" i="87"/>
  <c r="F115" i="87" s="1"/>
  <c r="D116" i="87"/>
  <c r="K115" i="87"/>
  <c r="C115" i="87" s="1"/>
  <c r="D179" i="53"/>
  <c r="K178" i="53"/>
  <c r="C178" i="53" s="1"/>
  <c r="K106" i="53"/>
  <c r="C106" i="53" s="1"/>
  <c r="D107" i="53"/>
  <c r="E515" i="61"/>
  <c r="F515" i="61" s="1"/>
  <c r="D516" i="61"/>
  <c r="C516" i="61" s="1"/>
  <c r="P515" i="61"/>
  <c r="G514" i="61"/>
  <c r="H514" i="61"/>
  <c r="R514" i="61"/>
  <c r="Q514" i="61"/>
  <c r="S514" i="61" s="1"/>
  <c r="T513" i="61"/>
  <c r="U513" i="61" s="1"/>
  <c r="K143" i="80"/>
  <c r="K144" i="80" s="1"/>
  <c r="K145" i="80" s="1"/>
  <c r="K146" i="80" s="1"/>
  <c r="K147" i="80" s="1"/>
  <c r="K148" i="80" s="1"/>
  <c r="J144" i="80"/>
  <c r="J145" i="80" s="1"/>
  <c r="J146" i="80" s="1"/>
  <c r="J147" i="80" s="1"/>
  <c r="J148" i="80" s="1"/>
  <c r="J149" i="80" s="1"/>
  <c r="I34" i="67"/>
  <c r="N33" i="67"/>
  <c r="K34" i="65"/>
  <c r="P33" i="65"/>
  <c r="P33" i="68"/>
  <c r="K34" i="68"/>
  <c r="P33" i="66"/>
  <c r="K34" i="66"/>
  <c r="D35" i="53"/>
  <c r="K34" i="53"/>
  <c r="C34" i="53" s="1"/>
  <c r="I30" i="44"/>
  <c r="H30" i="44"/>
  <c r="K35" i="47"/>
  <c r="P35" i="47" s="1"/>
  <c r="J125" i="44"/>
  <c r="C125" i="44" s="1"/>
  <c r="I127" i="44"/>
  <c r="J30" i="44" l="1"/>
  <c r="C29" i="44"/>
  <c r="H31" i="88"/>
  <c r="G31" i="88"/>
  <c r="D81" i="88"/>
  <c r="K80" i="88"/>
  <c r="C80" i="88" s="1"/>
  <c r="E80" i="88"/>
  <c r="F80" i="88" s="1"/>
  <c r="E32" i="88"/>
  <c r="F32" i="88" s="1"/>
  <c r="K32" i="88"/>
  <c r="C32" i="88" s="1"/>
  <c r="D33" i="88"/>
  <c r="H79" i="88"/>
  <c r="G79" i="88"/>
  <c r="D116" i="91"/>
  <c r="E115" i="91"/>
  <c r="F115" i="91" s="1"/>
  <c r="K115" i="91"/>
  <c r="C115" i="91" s="1"/>
  <c r="H114" i="91"/>
  <c r="G114" i="91"/>
  <c r="E19" i="91"/>
  <c r="F19" i="91" s="1"/>
  <c r="D20" i="91"/>
  <c r="K19" i="91"/>
  <c r="C19" i="91" s="1"/>
  <c r="H18" i="91"/>
  <c r="G18" i="91"/>
  <c r="G115" i="87"/>
  <c r="H115" i="87"/>
  <c r="E20" i="87"/>
  <c r="F20" i="87" s="1"/>
  <c r="K20" i="87"/>
  <c r="C20" i="87" s="1"/>
  <c r="D21" i="87"/>
  <c r="E116" i="87"/>
  <c r="F116" i="87" s="1"/>
  <c r="D117" i="87"/>
  <c r="K116" i="87"/>
  <c r="C116" i="87" s="1"/>
  <c r="H19" i="87"/>
  <c r="G19" i="87"/>
  <c r="K107" i="53"/>
  <c r="C107" i="53" s="1"/>
  <c r="D108" i="53"/>
  <c r="D180" i="53"/>
  <c r="K179" i="53"/>
  <c r="C179" i="53" s="1"/>
  <c r="T514" i="61"/>
  <c r="U514" i="61" s="1"/>
  <c r="R515" i="61"/>
  <c r="Q515" i="61"/>
  <c r="S515" i="61" s="1"/>
  <c r="E516" i="61"/>
  <c r="F516" i="61" s="1"/>
  <c r="D517" i="61"/>
  <c r="C517" i="61" s="1"/>
  <c r="P516" i="61"/>
  <c r="H515" i="61"/>
  <c r="G515" i="61"/>
  <c r="K149" i="80"/>
  <c r="K150" i="80" s="1"/>
  <c r="K151" i="80" s="1"/>
  <c r="K152" i="80" s="1"/>
  <c r="K153" i="80" s="1"/>
  <c r="K154" i="80" s="1"/>
  <c r="J150" i="80"/>
  <c r="J151" i="80" s="1"/>
  <c r="J152" i="80" s="1"/>
  <c r="J153" i="80" s="1"/>
  <c r="J154" i="80" s="1"/>
  <c r="J155" i="80" s="1"/>
  <c r="K35" i="65"/>
  <c r="P34" i="65"/>
  <c r="P34" i="66"/>
  <c r="K35" i="66"/>
  <c r="P34" i="68"/>
  <c r="K35" i="68"/>
  <c r="I35" i="67"/>
  <c r="N34" i="67"/>
  <c r="D36" i="53"/>
  <c r="K35" i="53"/>
  <c r="C35" i="53" s="1"/>
  <c r="I31" i="44"/>
  <c r="H31" i="44"/>
  <c r="K36" i="47"/>
  <c r="P36" i="47" s="1"/>
  <c r="I128" i="44"/>
  <c r="J126" i="44"/>
  <c r="C126" i="44" s="1"/>
  <c r="C108" i="53" l="1"/>
  <c r="J31" i="44"/>
  <c r="C30" i="44"/>
  <c r="E33" i="88"/>
  <c r="F33" i="88" s="1"/>
  <c r="D34" i="88"/>
  <c r="K33" i="88"/>
  <c r="C33" i="88" s="1"/>
  <c r="K81" i="88"/>
  <c r="C81" i="88" s="1"/>
  <c r="E81" i="88"/>
  <c r="F81" i="88" s="1"/>
  <c r="D82" i="88"/>
  <c r="H32" i="88"/>
  <c r="G32" i="88"/>
  <c r="G80" i="88"/>
  <c r="H80" i="88"/>
  <c r="D21" i="91"/>
  <c r="K20" i="91"/>
  <c r="C20" i="91" s="1"/>
  <c r="E20" i="91"/>
  <c r="F20" i="91" s="1"/>
  <c r="G19" i="91"/>
  <c r="H19" i="91"/>
  <c r="G115" i="91"/>
  <c r="H115" i="91"/>
  <c r="D117" i="91"/>
  <c r="K116" i="91"/>
  <c r="C116" i="91" s="1"/>
  <c r="E116" i="91"/>
  <c r="F116" i="91" s="1"/>
  <c r="E117" i="87"/>
  <c r="F117" i="87" s="1"/>
  <c r="D118" i="87"/>
  <c r="K117" i="87"/>
  <c r="C117" i="87" s="1"/>
  <c r="H20" i="87"/>
  <c r="G20" i="87"/>
  <c r="H116" i="87"/>
  <c r="G116" i="87"/>
  <c r="E21" i="87"/>
  <c r="F21" i="87" s="1"/>
  <c r="D22" i="87"/>
  <c r="K21" i="87"/>
  <c r="C21" i="87" s="1"/>
  <c r="K180" i="53"/>
  <c r="C180" i="53" s="1"/>
  <c r="D181" i="53"/>
  <c r="K108" i="53"/>
  <c r="D109" i="53"/>
  <c r="T515" i="61"/>
  <c r="U515" i="61" s="1"/>
  <c r="G516" i="61"/>
  <c r="H516" i="61"/>
  <c r="Q516" i="61"/>
  <c r="S516" i="61" s="1"/>
  <c r="R516" i="61"/>
  <c r="P517" i="61"/>
  <c r="E517" i="61"/>
  <c r="F517" i="61" s="1"/>
  <c r="D518" i="61"/>
  <c r="C518" i="61" s="1"/>
  <c r="K155" i="80"/>
  <c r="K156" i="80" s="1"/>
  <c r="K157" i="80" s="1"/>
  <c r="K158" i="80" s="1"/>
  <c r="K159" i="80" s="1"/>
  <c r="K160" i="80" s="1"/>
  <c r="J156" i="80"/>
  <c r="J157" i="80" s="1"/>
  <c r="J158" i="80" s="1"/>
  <c r="J159" i="80" s="1"/>
  <c r="J160" i="80" s="1"/>
  <c r="K36" i="66"/>
  <c r="P35" i="66"/>
  <c r="I36" i="67"/>
  <c r="N35" i="67"/>
  <c r="P35" i="68"/>
  <c r="K36" i="68"/>
  <c r="K36" i="65"/>
  <c r="P35" i="65"/>
  <c r="K36" i="53"/>
  <c r="C36" i="53" s="1"/>
  <c r="D37" i="53"/>
  <c r="I32" i="44"/>
  <c r="H32" i="44"/>
  <c r="K37" i="47"/>
  <c r="P37" i="47" s="1"/>
  <c r="I129" i="44"/>
  <c r="J127" i="44"/>
  <c r="C127" i="44" s="1"/>
  <c r="J32" i="44" l="1"/>
  <c r="C31" i="44"/>
  <c r="K82" i="88"/>
  <c r="C82" i="88" s="1"/>
  <c r="E82" i="88"/>
  <c r="F82" i="88" s="1"/>
  <c r="K34" i="88"/>
  <c r="C34" i="88" s="1"/>
  <c r="E34" i="88"/>
  <c r="F34" i="88" s="1"/>
  <c r="G81" i="88"/>
  <c r="H81" i="88"/>
  <c r="G33" i="88"/>
  <c r="H33" i="88"/>
  <c r="G116" i="91"/>
  <c r="H116" i="91"/>
  <c r="D118" i="91"/>
  <c r="K117" i="91"/>
  <c r="C117" i="91" s="1"/>
  <c r="E117" i="91"/>
  <c r="F117" i="91" s="1"/>
  <c r="G20" i="91"/>
  <c r="H20" i="91"/>
  <c r="D22" i="91"/>
  <c r="K21" i="91"/>
  <c r="C21" i="91" s="1"/>
  <c r="E21" i="91"/>
  <c r="F21" i="91" s="1"/>
  <c r="H21" i="87"/>
  <c r="G21" i="87"/>
  <c r="E118" i="87"/>
  <c r="F118" i="87" s="1"/>
  <c r="K118" i="87"/>
  <c r="C118" i="87" s="1"/>
  <c r="D119" i="87"/>
  <c r="E22" i="87"/>
  <c r="F22" i="87" s="1"/>
  <c r="D23" i="87"/>
  <c r="K22" i="87"/>
  <c r="C22" i="87" s="1"/>
  <c r="H117" i="87"/>
  <c r="G117" i="87"/>
  <c r="D110" i="53"/>
  <c r="K109" i="53"/>
  <c r="C109" i="53" s="1"/>
  <c r="K181" i="53"/>
  <c r="C181" i="53" s="1"/>
  <c r="D182" i="53"/>
  <c r="E518" i="61"/>
  <c r="F518" i="61" s="1"/>
  <c r="P518" i="61"/>
  <c r="D519" i="61"/>
  <c r="C519" i="61" s="1"/>
  <c r="T516" i="61"/>
  <c r="U516" i="61" s="1"/>
  <c r="G517" i="61"/>
  <c r="H517" i="61"/>
  <c r="Q517" i="61"/>
  <c r="S517" i="61" s="1"/>
  <c r="R517" i="61"/>
  <c r="K37" i="65"/>
  <c r="P36" i="65"/>
  <c r="I37" i="67"/>
  <c r="N36" i="67"/>
  <c r="P36" i="68"/>
  <c r="K37" i="68"/>
  <c r="K37" i="66"/>
  <c r="P36" i="66"/>
  <c r="D38" i="53"/>
  <c r="K37" i="53"/>
  <c r="C37" i="53" s="1"/>
  <c r="I33" i="44"/>
  <c r="H33" i="44"/>
  <c r="K38" i="47"/>
  <c r="P38" i="47" s="1"/>
  <c r="I130" i="44"/>
  <c r="J128" i="44"/>
  <c r="C128" i="44" s="1"/>
  <c r="J33" i="44" l="1"/>
  <c r="C32" i="44"/>
  <c r="G34" i="88"/>
  <c r="H34" i="88"/>
  <c r="H82" i="88"/>
  <c r="G82" i="88"/>
  <c r="E22" i="91"/>
  <c r="F22" i="91" s="1"/>
  <c r="D23" i="91"/>
  <c r="K22" i="91"/>
  <c r="C22" i="91" s="1"/>
  <c r="H21" i="91"/>
  <c r="G21" i="91"/>
  <c r="E118" i="91"/>
  <c r="F118" i="91" s="1"/>
  <c r="K118" i="91"/>
  <c r="C118" i="91" s="1"/>
  <c r="D119" i="91"/>
  <c r="H117" i="91"/>
  <c r="G117" i="91"/>
  <c r="E23" i="87"/>
  <c r="F23" i="87" s="1"/>
  <c r="D24" i="87"/>
  <c r="K23" i="87"/>
  <c r="C23" i="87" s="1"/>
  <c r="H118" i="87"/>
  <c r="G118" i="87"/>
  <c r="G22" i="87"/>
  <c r="H22" i="87"/>
  <c r="E119" i="87"/>
  <c r="F119" i="87" s="1"/>
  <c r="K119" i="87"/>
  <c r="C119" i="87" s="1"/>
  <c r="D120" i="87"/>
  <c r="D183" i="53"/>
  <c r="K182" i="53"/>
  <c r="C182" i="53" s="1"/>
  <c r="K110" i="53"/>
  <c r="C110" i="53" s="1"/>
  <c r="D111" i="53"/>
  <c r="T517" i="61"/>
  <c r="U517" i="61" s="1"/>
  <c r="P519" i="61"/>
  <c r="D520" i="61"/>
  <c r="C520" i="61" s="1"/>
  <c r="E519" i="61"/>
  <c r="F519" i="61" s="1"/>
  <c r="Q518" i="61"/>
  <c r="S518" i="61" s="1"/>
  <c r="R518" i="61"/>
  <c r="H518" i="61"/>
  <c r="G518" i="61"/>
  <c r="K38" i="66"/>
  <c r="P37" i="66"/>
  <c r="I38" i="67"/>
  <c r="N37" i="67"/>
  <c r="P37" i="68"/>
  <c r="K38" i="68"/>
  <c r="K38" i="65"/>
  <c r="P37" i="65"/>
  <c r="D39" i="53"/>
  <c r="K38" i="53"/>
  <c r="C38" i="53" s="1"/>
  <c r="I34" i="44"/>
  <c r="H34" i="44"/>
  <c r="K39" i="47"/>
  <c r="P39" i="47" s="1"/>
  <c r="I131" i="44"/>
  <c r="J129" i="44"/>
  <c r="C129" i="44" s="1"/>
  <c r="J34" i="44" l="1"/>
  <c r="C34" i="44" s="1"/>
  <c r="C33" i="44"/>
  <c r="C183" i="53"/>
  <c r="G118" i="91"/>
  <c r="H118" i="91"/>
  <c r="D120" i="91"/>
  <c r="K119" i="91"/>
  <c r="C119" i="91" s="1"/>
  <c r="E119" i="91"/>
  <c r="F119" i="91" s="1"/>
  <c r="D24" i="91"/>
  <c r="K23" i="91"/>
  <c r="C23" i="91" s="1"/>
  <c r="E23" i="91"/>
  <c r="F23" i="91" s="1"/>
  <c r="G22" i="91"/>
  <c r="H22" i="91"/>
  <c r="G119" i="87"/>
  <c r="H119" i="87"/>
  <c r="E120" i="87"/>
  <c r="F120" i="87" s="1"/>
  <c r="D121" i="87"/>
  <c r="K120" i="87"/>
  <c r="C120" i="87" s="1"/>
  <c r="K24" i="87"/>
  <c r="C24" i="87" s="1"/>
  <c r="E24" i="87"/>
  <c r="F24" i="87" s="1"/>
  <c r="D25" i="87"/>
  <c r="H23" i="87"/>
  <c r="G23" i="87"/>
  <c r="D112" i="53"/>
  <c r="K111" i="53"/>
  <c r="C111" i="53" s="1"/>
  <c r="D184" i="53"/>
  <c r="K183" i="53"/>
  <c r="H519" i="61"/>
  <c r="G519" i="61"/>
  <c r="E520" i="61"/>
  <c r="F520" i="61" s="1"/>
  <c r="P520" i="61"/>
  <c r="Q519" i="61"/>
  <c r="S519" i="61" s="1"/>
  <c r="R519" i="61"/>
  <c r="T518" i="61"/>
  <c r="U518" i="61" s="1"/>
  <c r="K39" i="65"/>
  <c r="P38" i="65"/>
  <c r="I39" i="67"/>
  <c r="N38" i="67"/>
  <c r="P38" i="68"/>
  <c r="K39" i="68"/>
  <c r="K39" i="66"/>
  <c r="P38" i="66"/>
  <c r="K39" i="53"/>
  <c r="C39" i="53" s="1"/>
  <c r="D40" i="53"/>
  <c r="I35" i="44"/>
  <c r="H35" i="44"/>
  <c r="K40" i="47"/>
  <c r="P40" i="47" s="1"/>
  <c r="J130" i="44"/>
  <c r="C130" i="44" s="1"/>
  <c r="I132" i="44"/>
  <c r="H23" i="91" l="1"/>
  <c r="G23" i="91"/>
  <c r="D121" i="91"/>
  <c r="E120" i="91"/>
  <c r="F120" i="91" s="1"/>
  <c r="K120" i="91"/>
  <c r="C120" i="91" s="1"/>
  <c r="K24" i="91"/>
  <c r="C24" i="91" s="1"/>
  <c r="E24" i="91"/>
  <c r="F24" i="91" s="1"/>
  <c r="D25" i="91"/>
  <c r="H119" i="91"/>
  <c r="G119" i="91"/>
  <c r="K25" i="87"/>
  <c r="C25" i="87" s="1"/>
  <c r="E25" i="87"/>
  <c r="F25" i="87" s="1"/>
  <c r="D26" i="87"/>
  <c r="D122" i="87"/>
  <c r="K121" i="87"/>
  <c r="C121" i="87" s="1"/>
  <c r="E121" i="87"/>
  <c r="F121" i="87" s="1"/>
  <c r="G24" i="87"/>
  <c r="H24" i="87"/>
  <c r="H120" i="87"/>
  <c r="G120" i="87"/>
  <c r="K184" i="53"/>
  <c r="C184" i="53" s="1"/>
  <c r="D185" i="53"/>
  <c r="K112" i="53"/>
  <c r="C112" i="53" s="1"/>
  <c r="D113" i="53"/>
  <c r="Q520" i="61"/>
  <c r="S520" i="61" s="1"/>
  <c r="R520" i="61"/>
  <c r="H520" i="61"/>
  <c r="G520" i="61"/>
  <c r="T519" i="61"/>
  <c r="U519" i="61" s="1"/>
  <c r="J35" i="44"/>
  <c r="C35" i="44" s="1"/>
  <c r="K40" i="66"/>
  <c r="P39" i="66"/>
  <c r="I40" i="67"/>
  <c r="N39" i="67"/>
  <c r="P39" i="68"/>
  <c r="K40" i="68"/>
  <c r="K40" i="65"/>
  <c r="P39" i="65"/>
  <c r="A12" i="4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K40" i="53"/>
  <c r="C40" i="53" s="1"/>
  <c r="D41" i="53"/>
  <c r="I36" i="44"/>
  <c r="H36" i="44"/>
  <c r="J131" i="44"/>
  <c r="C131" i="44" s="1"/>
  <c r="K41" i="47"/>
  <c r="P41" i="47" s="1"/>
  <c r="I133" i="44"/>
  <c r="E25" i="91" l="1"/>
  <c r="F25" i="91" s="1"/>
  <c r="K25" i="91"/>
  <c r="C25" i="91" s="1"/>
  <c r="D26" i="91"/>
  <c r="H120" i="91"/>
  <c r="G120" i="91"/>
  <c r="H24" i="91"/>
  <c r="G24" i="91"/>
  <c r="E121" i="91"/>
  <c r="F121" i="91" s="1"/>
  <c r="D122" i="91"/>
  <c r="K121" i="91"/>
  <c r="C121" i="91" s="1"/>
  <c r="D123" i="87"/>
  <c r="K122" i="87"/>
  <c r="C122" i="87" s="1"/>
  <c r="E122" i="87"/>
  <c r="F122" i="87" s="1"/>
  <c r="K26" i="87"/>
  <c r="C26" i="87" s="1"/>
  <c r="E26" i="87"/>
  <c r="F26" i="87" s="1"/>
  <c r="D27" i="87"/>
  <c r="H121" i="87"/>
  <c r="G121" i="87"/>
  <c r="G25" i="87"/>
  <c r="H25" i="87"/>
  <c r="D114" i="53"/>
  <c r="K113" i="53"/>
  <c r="C113" i="53" s="1"/>
  <c r="K185" i="53"/>
  <c r="C185" i="53" s="1"/>
  <c r="D186" i="53"/>
  <c r="T520" i="61"/>
  <c r="U520" i="61" s="1"/>
  <c r="K41" i="65"/>
  <c r="P40" i="65"/>
  <c r="I41" i="67"/>
  <c r="N40" i="67"/>
  <c r="P40" i="68"/>
  <c r="K41" i="68"/>
  <c r="K41" i="66"/>
  <c r="P40" i="66"/>
  <c r="J36" i="44"/>
  <c r="C36" i="44" s="1"/>
  <c r="D42" i="53"/>
  <c r="K41" i="53"/>
  <c r="C41" i="53" s="1"/>
  <c r="I37" i="44"/>
  <c r="H37" i="44"/>
  <c r="K42" i="47"/>
  <c r="P42" i="47" s="1"/>
  <c r="I134" i="44"/>
  <c r="J133" i="44"/>
  <c r="C133" i="44" s="1"/>
  <c r="J132" i="44"/>
  <c r="C132" i="44" s="1"/>
  <c r="G121" i="91" l="1"/>
  <c r="H121" i="91"/>
  <c r="D27" i="91"/>
  <c r="K26" i="91"/>
  <c r="C26" i="91" s="1"/>
  <c r="E26" i="91"/>
  <c r="F26" i="91" s="1"/>
  <c r="D123" i="91"/>
  <c r="K122" i="91"/>
  <c r="C122" i="91" s="1"/>
  <c r="E122" i="91"/>
  <c r="F122" i="91" s="1"/>
  <c r="G25" i="91"/>
  <c r="H25" i="91"/>
  <c r="H122" i="87"/>
  <c r="G122" i="87"/>
  <c r="K27" i="87"/>
  <c r="C27" i="87" s="1"/>
  <c r="D28" i="87"/>
  <c r="E27" i="87"/>
  <c r="F27" i="87" s="1"/>
  <c r="G26" i="87"/>
  <c r="H26" i="87"/>
  <c r="K123" i="87"/>
  <c r="C123" i="87" s="1"/>
  <c r="D124" i="87"/>
  <c r="E123" i="87"/>
  <c r="F123" i="87" s="1"/>
  <c r="D187" i="53"/>
  <c r="K186" i="53"/>
  <c r="C186" i="53" s="1"/>
  <c r="K114" i="53"/>
  <c r="C114" i="53" s="1"/>
  <c r="D115" i="53"/>
  <c r="K42" i="66"/>
  <c r="P41" i="66"/>
  <c r="I42" i="67"/>
  <c r="N41" i="67"/>
  <c r="P41" i="68"/>
  <c r="K42" i="68"/>
  <c r="K42" i="65"/>
  <c r="P41" i="65"/>
  <c r="J37" i="44"/>
  <c r="C37" i="44" s="1"/>
  <c r="D43" i="53"/>
  <c r="K42" i="53"/>
  <c r="C42" i="53" s="1"/>
  <c r="I38" i="44"/>
  <c r="H38" i="44"/>
  <c r="K43" i="47"/>
  <c r="P43" i="47" s="1"/>
  <c r="I135" i="44"/>
  <c r="J134" i="44"/>
  <c r="C134" i="44" s="1"/>
  <c r="A11" i="42" l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A36" i="42" s="1"/>
  <c r="A37" i="42" s="1"/>
  <c r="A38" i="42" s="1"/>
  <c r="A39" i="42" s="1"/>
  <c r="A40" i="42" s="1"/>
  <c r="A41" i="42" s="1"/>
  <c r="A42" i="42" s="1"/>
  <c r="A43" i="42" s="1"/>
  <c r="A44" i="42" s="1"/>
  <c r="A45" i="42" s="1"/>
  <c r="A46" i="42" s="1"/>
  <c r="A47" i="42" s="1"/>
  <c r="A48" i="42" s="1"/>
  <c r="A49" i="42" s="1"/>
  <c r="A50" i="42" s="1"/>
  <c r="A51" i="42" s="1"/>
  <c r="A52" i="42" s="1"/>
  <c r="A53" i="42" s="1"/>
  <c r="A54" i="42" s="1"/>
  <c r="A55" i="42" s="1"/>
  <c r="A56" i="42" s="1"/>
  <c r="A57" i="42" s="1"/>
  <c r="A58" i="42" s="1"/>
  <c r="A59" i="42" s="1"/>
  <c r="A60" i="42" s="1"/>
  <c r="A61" i="42" s="1"/>
  <c r="A62" i="42" s="1"/>
  <c r="A63" i="42" s="1"/>
  <c r="A64" i="42" s="1"/>
  <c r="A65" i="42" s="1"/>
  <c r="A66" i="42" s="1"/>
  <c r="A67" i="42" s="1"/>
  <c r="A68" i="42" s="1"/>
  <c r="A69" i="42" s="1"/>
  <c r="A70" i="42" s="1"/>
  <c r="A71" i="42" s="1"/>
  <c r="A72" i="42" s="1"/>
  <c r="A73" i="42" s="1"/>
  <c r="A74" i="42" s="1"/>
  <c r="A75" i="42" s="1"/>
  <c r="A76" i="42" s="1"/>
  <c r="A77" i="42" s="1"/>
  <c r="A78" i="42" s="1"/>
  <c r="A79" i="42" s="1"/>
  <c r="A80" i="42" s="1"/>
  <c r="A81" i="42" s="1"/>
  <c r="A82" i="42" s="1"/>
  <c r="A83" i="42" s="1"/>
  <c r="A84" i="42" s="1"/>
  <c r="A85" i="42" s="1"/>
  <c r="A86" i="42" s="1"/>
  <c r="A87" i="42" s="1"/>
  <c r="A88" i="42" s="1"/>
  <c r="A89" i="42" s="1"/>
  <c r="A90" i="42" s="1"/>
  <c r="A91" i="42" s="1"/>
  <c r="A92" i="42" s="1"/>
  <c r="A93" i="42" s="1"/>
  <c r="A94" i="42" s="1"/>
  <c r="A95" i="42" s="1"/>
  <c r="A96" i="42" s="1"/>
  <c r="A97" i="42" s="1"/>
  <c r="A98" i="42" s="1"/>
  <c r="A99" i="42" s="1"/>
  <c r="A100" i="42" s="1"/>
  <c r="A101" i="42" s="1"/>
  <c r="A102" i="42" s="1"/>
  <c r="A103" i="42" s="1"/>
  <c r="A104" i="42" s="1"/>
  <c r="A105" i="42" s="1"/>
  <c r="A106" i="42" s="1"/>
  <c r="A107" i="42" s="1"/>
  <c r="A108" i="42" s="1"/>
  <c r="A109" i="42" s="1"/>
  <c r="A110" i="42" s="1"/>
  <c r="A111" i="42" s="1"/>
  <c r="A112" i="42" s="1"/>
  <c r="A113" i="42" s="1"/>
  <c r="A114" i="42" s="1"/>
  <c r="A115" i="42" s="1"/>
  <c r="A116" i="42" s="1"/>
  <c r="A117" i="42" s="1"/>
  <c r="A118" i="42" s="1"/>
  <c r="A119" i="42" s="1"/>
  <c r="A120" i="42" s="1"/>
  <c r="A121" i="42" s="1"/>
  <c r="A122" i="42" s="1"/>
  <c r="A123" i="42" s="1"/>
  <c r="A124" i="42" s="1"/>
  <c r="A125" i="42" s="1"/>
  <c r="A126" i="42" s="1"/>
  <c r="A127" i="42" s="1"/>
  <c r="A128" i="42" s="1"/>
  <c r="A129" i="42" s="1"/>
  <c r="A130" i="42" s="1"/>
  <c r="A131" i="42" s="1"/>
  <c r="A132" i="42" s="1"/>
  <c r="A133" i="42" s="1"/>
  <c r="A134" i="42" s="1"/>
  <c r="A135" i="42" s="1"/>
  <c r="A136" i="42" s="1"/>
  <c r="A137" i="42" s="1"/>
  <c r="A138" i="42" s="1"/>
  <c r="A139" i="42" s="1"/>
  <c r="A140" i="42" s="1"/>
  <c r="A141" i="42" s="1"/>
  <c r="A142" i="42" s="1"/>
  <c r="A143" i="42" s="1"/>
  <c r="A144" i="42" s="1"/>
  <c r="A145" i="42" s="1"/>
  <c r="A146" i="42" s="1"/>
  <c r="A147" i="42" s="1"/>
  <c r="A148" i="42" s="1"/>
  <c r="A149" i="42" s="1"/>
  <c r="A150" i="42" s="1"/>
  <c r="A151" i="42" s="1"/>
  <c r="A152" i="42" s="1"/>
  <c r="A153" i="42" s="1"/>
  <c r="A154" i="42" s="1"/>
  <c r="A155" i="42" s="1"/>
  <c r="A156" i="42" s="1"/>
  <c r="A157" i="42" s="1"/>
  <c r="A158" i="42" s="1"/>
  <c r="A159" i="42" s="1"/>
  <c r="A160" i="42" s="1"/>
  <c r="A161" i="42" s="1"/>
  <c r="A162" i="42" s="1"/>
  <c r="A163" i="42" s="1"/>
  <c r="A164" i="42" s="1"/>
  <c r="A165" i="42" s="1"/>
  <c r="A166" i="42" s="1"/>
  <c r="A167" i="42" s="1"/>
  <c r="A168" i="42" s="1"/>
  <c r="A169" i="42" s="1"/>
  <c r="A170" i="42" s="1"/>
  <c r="A171" i="42" s="1"/>
  <c r="A172" i="42" s="1"/>
  <c r="A173" i="42" s="1"/>
  <c r="A174" i="42" s="1"/>
  <c r="A175" i="42" s="1"/>
  <c r="A176" i="42" s="1"/>
  <c r="A177" i="42" s="1"/>
  <c r="A178" i="42" s="1"/>
  <c r="A179" i="42" s="1"/>
  <c r="A180" i="42" s="1"/>
  <c r="A181" i="42" s="1"/>
  <c r="A182" i="42" s="1"/>
  <c r="A183" i="42" s="1"/>
  <c r="A184" i="42" s="1"/>
  <c r="A185" i="42" s="1"/>
  <c r="A186" i="42" s="1"/>
  <c r="A187" i="42" s="1"/>
  <c r="A188" i="42" s="1"/>
  <c r="A189" i="42" s="1"/>
  <c r="A190" i="42" s="1"/>
  <c r="A191" i="42" s="1"/>
  <c r="A192" i="42" s="1"/>
  <c r="A193" i="42" s="1"/>
  <c r="A194" i="42" s="1"/>
  <c r="A195" i="42" s="1"/>
  <c r="A196" i="42" s="1"/>
  <c r="A197" i="42" s="1"/>
  <c r="A198" i="42" s="1"/>
  <c r="A199" i="42" s="1"/>
  <c r="A200" i="42" s="1"/>
  <c r="A201" i="42" s="1"/>
  <c r="A202" i="42" s="1"/>
  <c r="A203" i="42" s="1"/>
  <c r="A204" i="42" s="1"/>
  <c r="A205" i="42" s="1"/>
  <c r="A206" i="42" s="1"/>
  <c r="A207" i="42" s="1"/>
  <c r="A208" i="42" s="1"/>
  <c r="A209" i="42" s="1"/>
  <c r="A210" i="42" s="1"/>
  <c r="A211" i="42" s="1"/>
  <c r="A212" i="42" s="1"/>
  <c r="A213" i="42" s="1"/>
  <c r="A214" i="42" s="1"/>
  <c r="A215" i="42" s="1"/>
  <c r="A216" i="42" s="1"/>
  <c r="A217" i="42" s="1"/>
  <c r="A218" i="42" s="1"/>
  <c r="A219" i="42" s="1"/>
  <c r="A220" i="42" s="1"/>
  <c r="A221" i="42" s="1"/>
  <c r="A222" i="42" s="1"/>
  <c r="A223" i="42" s="1"/>
  <c r="A224" i="42" s="1"/>
  <c r="A225" i="42" s="1"/>
  <c r="A226" i="42" s="1"/>
  <c r="D28" i="91"/>
  <c r="K27" i="91"/>
  <c r="C27" i="91" s="1"/>
  <c r="E27" i="91"/>
  <c r="F27" i="91" s="1"/>
  <c r="D124" i="91"/>
  <c r="K123" i="91"/>
  <c r="C123" i="91" s="1"/>
  <c r="E123" i="91"/>
  <c r="F123" i="91" s="1"/>
  <c r="H122" i="91"/>
  <c r="G122" i="91"/>
  <c r="H26" i="91"/>
  <c r="G26" i="91"/>
  <c r="K28" i="87"/>
  <c r="C28" i="87" s="1"/>
  <c r="D29" i="87"/>
  <c r="E28" i="87"/>
  <c r="F28" i="87" s="1"/>
  <c r="H123" i="87"/>
  <c r="G123" i="87"/>
  <c r="E124" i="87"/>
  <c r="F124" i="87" s="1"/>
  <c r="K124" i="87"/>
  <c r="C124" i="87" s="1"/>
  <c r="D125" i="87"/>
  <c r="G27" i="87"/>
  <c r="H27" i="87"/>
  <c r="D116" i="53"/>
  <c r="K115" i="53"/>
  <c r="C115" i="53" s="1"/>
  <c r="K187" i="53"/>
  <c r="C187" i="53" s="1"/>
  <c r="D188" i="53"/>
  <c r="P42" i="65"/>
  <c r="K43" i="65"/>
  <c r="I43" i="67"/>
  <c r="N42" i="67"/>
  <c r="K43" i="68"/>
  <c r="P42" i="68"/>
  <c r="K43" i="66"/>
  <c r="P42" i="66"/>
  <c r="J38" i="44"/>
  <c r="C38" i="44" s="1"/>
  <c r="D44" i="53"/>
  <c r="K43" i="53"/>
  <c r="C43" i="53" s="1"/>
  <c r="I39" i="44"/>
  <c r="H39" i="44"/>
  <c r="K44" i="47"/>
  <c r="P44" i="47" s="1"/>
  <c r="I136" i="44"/>
  <c r="J135" i="44"/>
  <c r="C135" i="44" s="1"/>
  <c r="A11" i="77" l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A36" i="77" s="1"/>
  <c r="A37" i="77" s="1"/>
  <c r="A38" i="77" s="1"/>
  <c r="A39" i="77" s="1"/>
  <c r="A40" i="77" s="1"/>
  <c r="A41" i="77" s="1"/>
  <c r="A42" i="77" s="1"/>
  <c r="A43" i="77" s="1"/>
  <c r="A44" i="77" s="1"/>
  <c r="A45" i="77" s="1"/>
  <c r="A46" i="77" s="1"/>
  <c r="A47" i="77" s="1"/>
  <c r="A48" i="77" s="1"/>
  <c r="A49" i="77" s="1"/>
  <c r="A50" i="77" s="1"/>
  <c r="A51" i="77" s="1"/>
  <c r="A52" i="77" s="1"/>
  <c r="A53" i="77" s="1"/>
  <c r="A54" i="77" s="1"/>
  <c r="A55" i="77" s="1"/>
  <c r="A56" i="77" s="1"/>
  <c r="A57" i="77" s="1"/>
  <c r="A58" i="77" s="1"/>
  <c r="A59" i="77" s="1"/>
  <c r="A60" i="77" s="1"/>
  <c r="A61" i="77" s="1"/>
  <c r="A62" i="77" s="1"/>
  <c r="A63" i="77" s="1"/>
  <c r="A64" i="77" s="1"/>
  <c r="A65" i="77" s="1"/>
  <c r="A66" i="77" s="1"/>
  <c r="A67" i="77" s="1"/>
  <c r="A68" i="77" s="1"/>
  <c r="A69" i="77" s="1"/>
  <c r="A70" i="77" s="1"/>
  <c r="A71" i="77" s="1"/>
  <c r="A72" i="77" s="1"/>
  <c r="A73" i="77" s="1"/>
  <c r="A74" i="77" s="1"/>
  <c r="A75" i="77" s="1"/>
  <c r="A76" i="77" s="1"/>
  <c r="A77" i="77" s="1"/>
  <c r="A78" i="77" s="1"/>
  <c r="A79" i="77" s="1"/>
  <c r="A80" i="77" s="1"/>
  <c r="A81" i="77" s="1"/>
  <c r="A82" i="77" s="1"/>
  <c r="A83" i="77" s="1"/>
  <c r="A84" i="77" s="1"/>
  <c r="A85" i="77" s="1"/>
  <c r="A86" i="77" s="1"/>
  <c r="A87" i="77" s="1"/>
  <c r="A88" i="77" s="1"/>
  <c r="A89" i="77" s="1"/>
  <c r="A90" i="77" s="1"/>
  <c r="A91" i="77" s="1"/>
  <c r="A92" i="77" s="1"/>
  <c r="A93" i="77" s="1"/>
  <c r="A94" i="77" s="1"/>
  <c r="A95" i="77" s="1"/>
  <c r="A96" i="77" s="1"/>
  <c r="A97" i="77" s="1"/>
  <c r="A98" i="77" s="1"/>
  <c r="A99" i="77" s="1"/>
  <c r="A100" i="77" s="1"/>
  <c r="A101" i="77" s="1"/>
  <c r="A102" i="77" s="1"/>
  <c r="A103" i="77" s="1"/>
  <c r="A104" i="77" s="1"/>
  <c r="A105" i="77" s="1"/>
  <c r="A106" i="77" s="1"/>
  <c r="A107" i="77" s="1"/>
  <c r="A108" i="77" s="1"/>
  <c r="A109" i="77" s="1"/>
  <c r="A110" i="77" s="1"/>
  <c r="A111" i="77" s="1"/>
  <c r="A112" i="77" s="1"/>
  <c r="A113" i="77" s="1"/>
  <c r="A114" i="77" s="1"/>
  <c r="A115" i="77" s="1"/>
  <c r="A116" i="77" s="1"/>
  <c r="A117" i="77" s="1"/>
  <c r="A118" i="77" s="1"/>
  <c r="A119" i="77" s="1"/>
  <c r="A120" i="77" s="1"/>
  <c r="A121" i="77" s="1"/>
  <c r="A122" i="77" s="1"/>
  <c r="A123" i="77" s="1"/>
  <c r="A124" i="77" s="1"/>
  <c r="A125" i="77" s="1"/>
  <c r="A126" i="77" s="1"/>
  <c r="A127" i="77" s="1"/>
  <c r="A128" i="77" s="1"/>
  <c r="A129" i="77" s="1"/>
  <c r="A130" i="77" s="1"/>
  <c r="A131" i="77" s="1"/>
  <c r="A132" i="77" s="1"/>
  <c r="A133" i="77" s="1"/>
  <c r="A134" i="77" s="1"/>
  <c r="A135" i="77" s="1"/>
  <c r="A136" i="77" s="1"/>
  <c r="A137" i="77" s="1"/>
  <c r="A138" i="77" s="1"/>
  <c r="A139" i="77" s="1"/>
  <c r="A140" i="77" s="1"/>
  <c r="A141" i="77" s="1"/>
  <c r="A142" i="77" s="1"/>
  <c r="A143" i="77" s="1"/>
  <c r="A144" i="77" s="1"/>
  <c r="A145" i="77" s="1"/>
  <c r="A146" i="77" s="1"/>
  <c r="A147" i="77" s="1"/>
  <c r="A148" i="77" s="1"/>
  <c r="A149" i="77" s="1"/>
  <c r="A150" i="77" s="1"/>
  <c r="A151" i="77" s="1"/>
  <c r="A152" i="77" s="1"/>
  <c r="A153" i="77" s="1"/>
  <c r="A154" i="77" s="1"/>
  <c r="A155" i="77" s="1"/>
  <c r="A156" i="77" s="1"/>
  <c r="A157" i="77" s="1"/>
  <c r="A158" i="77" s="1"/>
  <c r="A159" i="77" s="1"/>
  <c r="A160" i="77" s="1"/>
  <c r="A161" i="77" s="1"/>
  <c r="A162" i="77" s="1"/>
  <c r="A163" i="77" s="1"/>
  <c r="A164" i="77" s="1"/>
  <c r="A165" i="77" s="1"/>
  <c r="A166" i="77" s="1"/>
  <c r="A167" i="77" s="1"/>
  <c r="A168" i="77" s="1"/>
  <c r="A169" i="77" s="1"/>
  <c r="A170" i="77" s="1"/>
  <c r="A171" i="77" s="1"/>
  <c r="A172" i="77" s="1"/>
  <c r="A173" i="77" s="1"/>
  <c r="A174" i="77" s="1"/>
  <c r="A175" i="77" s="1"/>
  <c r="A176" i="77" s="1"/>
  <c r="A177" i="77" s="1"/>
  <c r="A178" i="77" s="1"/>
  <c r="A179" i="77" s="1"/>
  <c r="A180" i="77" s="1"/>
  <c r="A181" i="77" s="1"/>
  <c r="A182" i="77" s="1"/>
  <c r="A183" i="77" s="1"/>
  <c r="A184" i="77" s="1"/>
  <c r="A185" i="77" s="1"/>
  <c r="A186" i="77" s="1"/>
  <c r="A187" i="77" s="1"/>
  <c r="A188" i="77" s="1"/>
  <c r="A189" i="77" s="1"/>
  <c r="A190" i="77" s="1"/>
  <c r="A191" i="77" s="1"/>
  <c r="A192" i="77" s="1"/>
  <c r="A193" i="77" s="1"/>
  <c r="A194" i="77" s="1"/>
  <c r="A195" i="77" s="1"/>
  <c r="A196" i="77" s="1"/>
  <c r="A197" i="77" s="1"/>
  <c r="A198" i="77" s="1"/>
  <c r="A199" i="77" s="1"/>
  <c r="A200" i="77" s="1"/>
  <c r="A201" i="77" s="1"/>
  <c r="A202" i="77" s="1"/>
  <c r="A203" i="77" s="1"/>
  <c r="A204" i="77" s="1"/>
  <c r="A205" i="77" s="1"/>
  <c r="A206" i="77" s="1"/>
  <c r="A207" i="77" s="1"/>
  <c r="A208" i="77" s="1"/>
  <c r="A209" i="77" s="1"/>
  <c r="A210" i="77" s="1"/>
  <c r="A211" i="77" s="1"/>
  <c r="A212" i="77" s="1"/>
  <c r="A213" i="77" s="1"/>
  <c r="A214" i="77" s="1"/>
  <c r="A215" i="77" s="1"/>
  <c r="A216" i="77" s="1"/>
  <c r="A217" i="77" s="1"/>
  <c r="A218" i="77" s="1"/>
  <c r="A219" i="77" s="1"/>
  <c r="A220" i="77" s="1"/>
  <c r="A221" i="77" s="1"/>
  <c r="A222" i="77" s="1"/>
  <c r="A223" i="77" s="1"/>
  <c r="A224" i="77" s="1"/>
  <c r="A225" i="77" s="1"/>
  <c r="A226" i="77" s="1"/>
  <c r="A227" i="77" s="1"/>
  <c r="A228" i="77" s="1"/>
  <c r="A229" i="77" s="1"/>
  <c r="A230" i="77" s="1"/>
  <c r="A231" i="77" s="1"/>
  <c r="A232" i="77" s="1"/>
  <c r="A233" i="77" s="1"/>
  <c r="A234" i="77" s="1"/>
  <c r="A235" i="77" s="1"/>
  <c r="A236" i="77" s="1"/>
  <c r="A237" i="77" s="1"/>
  <c r="A238" i="77" s="1"/>
  <c r="A239" i="77" s="1"/>
  <c r="A240" i="77" s="1"/>
  <c r="A241" i="77" s="1"/>
  <c r="A242" i="77" s="1"/>
  <c r="A243" i="77" s="1"/>
  <c r="A244" i="77" s="1"/>
  <c r="A245" i="77" s="1"/>
  <c r="A246" i="77" s="1"/>
  <c r="A247" i="77" s="1"/>
  <c r="A248" i="77" s="1"/>
  <c r="A249" i="77" s="1"/>
  <c r="A250" i="77" s="1"/>
  <c r="A251" i="77" s="1"/>
  <c r="A252" i="77" s="1"/>
  <c r="A253" i="77" s="1"/>
  <c r="A254" i="77" s="1"/>
  <c r="A255" i="77" s="1"/>
  <c r="A256" i="77" s="1"/>
  <c r="A257" i="77" s="1"/>
  <c r="A258" i="77" s="1"/>
  <c r="A259" i="77" s="1"/>
  <c r="A260" i="77" s="1"/>
  <c r="A261" i="77" s="1"/>
  <c r="A262" i="77" s="1"/>
  <c r="A263" i="77" s="1"/>
  <c r="A264" i="77" s="1"/>
  <c r="A265" i="77" s="1"/>
  <c r="A266" i="77" s="1"/>
  <c r="A267" i="77" s="1"/>
  <c r="A268" i="77" s="1"/>
  <c r="A269" i="77" s="1"/>
  <c r="A270" i="77" s="1"/>
  <c r="A271" i="77" s="1"/>
  <c r="A272" i="77" s="1"/>
  <c r="A273" i="77" s="1"/>
  <c r="A274" i="77" s="1"/>
  <c r="A275" i="77" s="1"/>
  <c r="A276" i="77" s="1"/>
  <c r="A277" i="77" s="1"/>
  <c r="A278" i="77" s="1"/>
  <c r="A279" i="77" s="1"/>
  <c r="A280" i="77" s="1"/>
  <c r="A281" i="77" s="1"/>
  <c r="A282" i="77" s="1"/>
  <c r="A283" i="77" s="1"/>
  <c r="A284" i="77" s="1"/>
  <c r="A285" i="77" s="1"/>
  <c r="A286" i="77" s="1"/>
  <c r="A287" i="77" s="1"/>
  <c r="A288" i="77" s="1"/>
  <c r="A289" i="77" s="1"/>
  <c r="A290" i="77" s="1"/>
  <c r="A291" i="77" s="1"/>
  <c r="A292" i="77" s="1"/>
  <c r="A293" i="77" s="1"/>
  <c r="A294" i="77" s="1"/>
  <c r="A295" i="77" s="1"/>
  <c r="A296" i="77" s="1"/>
  <c r="A297" i="77" s="1"/>
  <c r="A298" i="77" s="1"/>
  <c r="A11" i="70"/>
  <c r="A12" i="70" s="1"/>
  <c r="A13" i="70" s="1"/>
  <c r="A14" i="70" s="1"/>
  <c r="A15" i="70" s="1"/>
  <c r="A16" i="70" s="1"/>
  <c r="A17" i="70" s="1"/>
  <c r="A18" i="70" s="1"/>
  <c r="A19" i="70" s="1"/>
  <c r="A20" i="70" s="1"/>
  <c r="A21" i="70" s="1"/>
  <c r="A22" i="70" s="1"/>
  <c r="A23" i="70" s="1"/>
  <c r="A24" i="70" s="1"/>
  <c r="A25" i="70" s="1"/>
  <c r="A26" i="70" s="1"/>
  <c r="A27" i="70" s="1"/>
  <c r="A28" i="70" s="1"/>
  <c r="A29" i="70" s="1"/>
  <c r="A30" i="70" s="1"/>
  <c r="A31" i="70" s="1"/>
  <c r="A32" i="70" s="1"/>
  <c r="A33" i="70" s="1"/>
  <c r="A34" i="70" s="1"/>
  <c r="A35" i="70" s="1"/>
  <c r="A36" i="70" s="1"/>
  <c r="A37" i="70" s="1"/>
  <c r="A38" i="70" s="1"/>
  <c r="A39" i="70" s="1"/>
  <c r="A40" i="70" s="1"/>
  <c r="A41" i="70" s="1"/>
  <c r="A42" i="70" s="1"/>
  <c r="A43" i="70" s="1"/>
  <c r="A44" i="70" s="1"/>
  <c r="A45" i="70" s="1"/>
  <c r="A46" i="70" s="1"/>
  <c r="A47" i="70" s="1"/>
  <c r="A48" i="70" s="1"/>
  <c r="A49" i="70" s="1"/>
  <c r="A50" i="70" s="1"/>
  <c r="A51" i="70" s="1"/>
  <c r="A52" i="70" s="1"/>
  <c r="A53" i="70" s="1"/>
  <c r="A54" i="70" s="1"/>
  <c r="A55" i="70" s="1"/>
  <c r="A56" i="70" s="1"/>
  <c r="A57" i="70" s="1"/>
  <c r="A58" i="70" s="1"/>
  <c r="A59" i="70" s="1"/>
  <c r="A60" i="70" s="1"/>
  <c r="A61" i="70" s="1"/>
  <c r="A62" i="70" s="1"/>
  <c r="A63" i="70" s="1"/>
  <c r="A64" i="70" s="1"/>
  <c r="A65" i="70" s="1"/>
  <c r="A66" i="70" s="1"/>
  <c r="A67" i="70" s="1"/>
  <c r="A68" i="70" s="1"/>
  <c r="A69" i="70" s="1"/>
  <c r="A70" i="70" s="1"/>
  <c r="A71" i="70" s="1"/>
  <c r="A72" i="70" s="1"/>
  <c r="A73" i="70" s="1"/>
  <c r="A74" i="70" s="1"/>
  <c r="A75" i="70" s="1"/>
  <c r="A76" i="70" s="1"/>
  <c r="A77" i="70" s="1"/>
  <c r="A78" i="70" s="1"/>
  <c r="A79" i="70" s="1"/>
  <c r="A80" i="70" s="1"/>
  <c r="A81" i="70" s="1"/>
  <c r="A82" i="70" s="1"/>
  <c r="A11" i="68"/>
  <c r="A12" i="68" s="1"/>
  <c r="A13" i="68" s="1"/>
  <c r="A14" i="68" s="1"/>
  <c r="A15" i="68" s="1"/>
  <c r="A16" i="68" s="1"/>
  <c r="A17" i="68" s="1"/>
  <c r="A18" i="68" s="1"/>
  <c r="A19" i="68" s="1"/>
  <c r="A20" i="68" s="1"/>
  <c r="A21" i="68" s="1"/>
  <c r="A22" i="68" s="1"/>
  <c r="A23" i="68" s="1"/>
  <c r="A24" i="68" s="1"/>
  <c r="A25" i="68" s="1"/>
  <c r="A26" i="68" s="1"/>
  <c r="A27" i="68" s="1"/>
  <c r="A28" i="68" s="1"/>
  <c r="A29" i="68" s="1"/>
  <c r="A30" i="68" s="1"/>
  <c r="A31" i="68" s="1"/>
  <c r="A32" i="68" s="1"/>
  <c r="A33" i="68" s="1"/>
  <c r="A34" i="68" s="1"/>
  <c r="A35" i="68" s="1"/>
  <c r="A36" i="68" s="1"/>
  <c r="A37" i="68" s="1"/>
  <c r="A38" i="68" s="1"/>
  <c r="A39" i="68" s="1"/>
  <c r="A40" i="68" s="1"/>
  <c r="A41" i="68" s="1"/>
  <c r="A42" i="68" s="1"/>
  <c r="A43" i="68" s="1"/>
  <c r="A44" i="68" s="1"/>
  <c r="A45" i="68" s="1"/>
  <c r="A46" i="68" s="1"/>
  <c r="A47" i="68" s="1"/>
  <c r="A48" i="68" s="1"/>
  <c r="A49" i="68" s="1"/>
  <c r="A50" i="68" s="1"/>
  <c r="A51" i="68" s="1"/>
  <c r="A52" i="68" s="1"/>
  <c r="A53" i="68" s="1"/>
  <c r="A54" i="68" s="1"/>
  <c r="A55" i="68" s="1"/>
  <c r="A56" i="68" s="1"/>
  <c r="A57" i="68" s="1"/>
  <c r="A58" i="68" s="1"/>
  <c r="A59" i="68" s="1"/>
  <c r="A60" i="68" s="1"/>
  <c r="A61" i="68" s="1"/>
  <c r="A62" i="68" s="1"/>
  <c r="A63" i="68" s="1"/>
  <c r="A64" i="68" s="1"/>
  <c r="A65" i="68" s="1"/>
  <c r="A66" i="68" s="1"/>
  <c r="A67" i="68" s="1"/>
  <c r="A68" i="68" s="1"/>
  <c r="A69" i="68" s="1"/>
  <c r="A70" i="68" s="1"/>
  <c r="A71" i="68" s="1"/>
  <c r="A72" i="68" s="1"/>
  <c r="A73" i="68" s="1"/>
  <c r="A74" i="68" s="1"/>
  <c r="A75" i="68" s="1"/>
  <c r="A76" i="68" s="1"/>
  <c r="A77" i="68" s="1"/>
  <c r="A78" i="68" s="1"/>
  <c r="A79" i="68" s="1"/>
  <c r="A80" i="68" s="1"/>
  <c r="A81" i="68" s="1"/>
  <c r="A82" i="68" s="1"/>
  <c r="A83" i="68" s="1"/>
  <c r="A84" i="68" s="1"/>
  <c r="A85" i="68" s="1"/>
  <c r="A86" i="68" s="1"/>
  <c r="A87" i="68" s="1"/>
  <c r="A88" i="68" s="1"/>
  <c r="A89" i="68" s="1"/>
  <c r="A90" i="68" s="1"/>
  <c r="A91" i="68" s="1"/>
  <c r="A92" i="68" s="1"/>
  <c r="A93" i="68" s="1"/>
  <c r="A94" i="68" s="1"/>
  <c r="A95" i="68" s="1"/>
  <c r="A96" i="68" s="1"/>
  <c r="A97" i="68" s="1"/>
  <c r="A98" i="68" s="1"/>
  <c r="A99" i="68" s="1"/>
  <c r="A100" i="68" s="1"/>
  <c r="A101" i="68" s="1"/>
  <c r="A102" i="68" s="1"/>
  <c r="A103" i="68" s="1"/>
  <c r="A104" i="68" s="1"/>
  <c r="A105" i="68" s="1"/>
  <c r="A106" i="68" s="1"/>
  <c r="A107" i="68" s="1"/>
  <c r="A108" i="68" s="1"/>
  <c r="A109" i="68" s="1"/>
  <c r="A110" i="68" s="1"/>
  <c r="A111" i="68" s="1"/>
  <c r="A112" i="68" s="1"/>
  <c r="A113" i="68" s="1"/>
  <c r="A114" i="68" s="1"/>
  <c r="A115" i="68" s="1"/>
  <c r="A116" i="68" s="1"/>
  <c r="A117" i="68" s="1"/>
  <c r="A118" i="68" s="1"/>
  <c r="A119" i="68" s="1"/>
  <c r="A120" i="68" s="1"/>
  <c r="A121" i="68" s="1"/>
  <c r="A122" i="68" s="1"/>
  <c r="A123" i="68" s="1"/>
  <c r="A124" i="68" s="1"/>
  <c r="A125" i="68" s="1"/>
  <c r="A126" i="68" s="1"/>
  <c r="A127" i="68" s="1"/>
  <c r="A128" i="68" s="1"/>
  <c r="A129" i="68" s="1"/>
  <c r="A130" i="68" s="1"/>
  <c r="A131" i="68" s="1"/>
  <c r="A132" i="68" s="1"/>
  <c r="A133" i="68" s="1"/>
  <c r="A134" i="68" s="1"/>
  <c r="A135" i="68" s="1"/>
  <c r="A136" i="68" s="1"/>
  <c r="A137" i="68" s="1"/>
  <c r="A138" i="68" s="1"/>
  <c r="A139" i="68" s="1"/>
  <c r="A140" i="68" s="1"/>
  <c r="A141" i="68" s="1"/>
  <c r="A142" i="68" s="1"/>
  <c r="A143" i="68" s="1"/>
  <c r="A144" i="68" s="1"/>
  <c r="A145" i="68" s="1"/>
  <c r="A146" i="68" s="1"/>
  <c r="A147" i="68" s="1"/>
  <c r="A148" i="68" s="1"/>
  <c r="A149" i="68" s="1"/>
  <c r="A150" i="68" s="1"/>
  <c r="A151" i="68" s="1"/>
  <c r="A152" i="68" s="1"/>
  <c r="A153" i="68" s="1"/>
  <c r="A154" i="68" s="1"/>
  <c r="A155" i="68" s="1"/>
  <c r="A156" i="68" s="1"/>
  <c r="A157" i="68" s="1"/>
  <c r="A158" i="68" s="1"/>
  <c r="A159" i="68" s="1"/>
  <c r="A160" i="68" s="1"/>
  <c r="A161" i="68" s="1"/>
  <c r="A162" i="68" s="1"/>
  <c r="A163" i="68" s="1"/>
  <c r="A164" i="68" s="1"/>
  <c r="A165" i="68" s="1"/>
  <c r="A166" i="68" s="1"/>
  <c r="A167" i="68" s="1"/>
  <c r="A168" i="68" s="1"/>
  <c r="A169" i="68" s="1"/>
  <c r="A170" i="68" s="1"/>
  <c r="A171" i="68" s="1"/>
  <c r="A172" i="68" s="1"/>
  <c r="A173" i="68" s="1"/>
  <c r="A174" i="68" s="1"/>
  <c r="A175" i="68" s="1"/>
  <c r="A176" i="68" s="1"/>
  <c r="A177" i="68" s="1"/>
  <c r="A178" i="68" s="1"/>
  <c r="A179" i="68" s="1"/>
  <c r="A180" i="68" s="1"/>
  <c r="A181" i="68" s="1"/>
  <c r="A182" i="68" s="1"/>
  <c r="A183" i="68" s="1"/>
  <c r="A184" i="68" s="1"/>
  <c r="A185" i="68" s="1"/>
  <c r="A186" i="68" s="1"/>
  <c r="A187" i="68" s="1"/>
  <c r="A188" i="68" s="1"/>
  <c r="A189" i="68" s="1"/>
  <c r="A190" i="68" s="1"/>
  <c r="A191" i="68" s="1"/>
  <c r="A192" i="68" s="1"/>
  <c r="A193" i="68" s="1"/>
  <c r="A194" i="68" s="1"/>
  <c r="A195" i="68" s="1"/>
  <c r="A196" i="68" s="1"/>
  <c r="A197" i="68" s="1"/>
  <c r="A198" i="68" s="1"/>
  <c r="A199" i="68" s="1"/>
  <c r="A200" i="68" s="1"/>
  <c r="A201" i="68" s="1"/>
  <c r="A202" i="68" s="1"/>
  <c r="A203" i="68" s="1"/>
  <c r="A204" i="68" s="1"/>
  <c r="A205" i="68" s="1"/>
  <c r="A206" i="68" s="1"/>
  <c r="A207" i="68" s="1"/>
  <c r="A208" i="68" s="1"/>
  <c r="A209" i="68" s="1"/>
  <c r="A210" i="68" s="1"/>
  <c r="A211" i="68" s="1"/>
  <c r="A212" i="68" s="1"/>
  <c r="A213" i="68" s="1"/>
  <c r="A214" i="68" s="1"/>
  <c r="A215" i="68" s="1"/>
  <c r="A216" i="68" s="1"/>
  <c r="A217" i="68" s="1"/>
  <c r="A218" i="68" s="1"/>
  <c r="A219" i="68" s="1"/>
  <c r="A220" i="68" s="1"/>
  <c r="A221" i="68" s="1"/>
  <c r="A222" i="68" s="1"/>
  <c r="A223" i="68" s="1"/>
  <c r="A224" i="68" s="1"/>
  <c r="A225" i="68" s="1"/>
  <c r="A226" i="68" s="1"/>
  <c r="A227" i="68" s="1"/>
  <c r="A228" i="68" s="1"/>
  <c r="A229" i="68" s="1"/>
  <c r="A230" i="68" s="1"/>
  <c r="A231" i="68" s="1"/>
  <c r="A232" i="68" s="1"/>
  <c r="A233" i="68" s="1"/>
  <c r="A234" i="68" s="1"/>
  <c r="A235" i="68" s="1"/>
  <c r="A236" i="68" s="1"/>
  <c r="A237" i="68" s="1"/>
  <c r="A238" i="68" s="1"/>
  <c r="A239" i="68" s="1"/>
  <c r="A240" i="68" s="1"/>
  <c r="A241" i="68" s="1"/>
  <c r="A242" i="68" s="1"/>
  <c r="A243" i="68" s="1"/>
  <c r="A244" i="68" s="1"/>
  <c r="A245" i="68" s="1"/>
  <c r="A246" i="68" s="1"/>
  <c r="A247" i="68" s="1"/>
  <c r="A248" i="68" s="1"/>
  <c r="A249" i="68" s="1"/>
  <c r="A250" i="68" s="1"/>
  <c r="A251" i="68" s="1"/>
  <c r="A252" i="68" s="1"/>
  <c r="A253" i="68" s="1"/>
  <c r="A254" i="68" s="1"/>
  <c r="A255" i="68" s="1"/>
  <c r="A256" i="68" s="1"/>
  <c r="A257" i="68" s="1"/>
  <c r="A258" i="68" s="1"/>
  <c r="A259" i="68" s="1"/>
  <c r="A260" i="68" s="1"/>
  <c r="A261" i="68" s="1"/>
  <c r="A262" i="68" s="1"/>
  <c r="A263" i="68" s="1"/>
  <c r="A264" i="68" s="1"/>
  <c r="A265" i="68" s="1"/>
  <c r="A266" i="68" s="1"/>
  <c r="A267" i="68" s="1"/>
  <c r="A268" i="68" s="1"/>
  <c r="A269" i="68" s="1"/>
  <c r="A270" i="68" s="1"/>
  <c r="A271" i="68" s="1"/>
  <c r="A272" i="68" s="1"/>
  <c r="A273" i="68" s="1"/>
  <c r="A274" i="68" s="1"/>
  <c r="A275" i="68" s="1"/>
  <c r="A276" i="68" s="1"/>
  <c r="A277" i="68" s="1"/>
  <c r="A278" i="68" s="1"/>
  <c r="A279" i="68" s="1"/>
  <c r="A280" i="68" s="1"/>
  <c r="A281" i="68" s="1"/>
  <c r="A282" i="68" s="1"/>
  <c r="A283" i="68" s="1"/>
  <c r="A284" i="68" s="1"/>
  <c r="A285" i="68" s="1"/>
  <c r="A286" i="68" s="1"/>
  <c r="A287" i="68" s="1"/>
  <c r="A288" i="68" s="1"/>
  <c r="A289" i="68" s="1"/>
  <c r="A290" i="68" s="1"/>
  <c r="A291" i="68" s="1"/>
  <c r="A292" i="68" s="1"/>
  <c r="A293" i="68" s="1"/>
  <c r="A294" i="68" s="1"/>
  <c r="A295" i="68" s="1"/>
  <c r="A296" i="68" s="1"/>
  <c r="A297" i="68" s="1"/>
  <c r="A298" i="68" s="1"/>
  <c r="A11" i="78"/>
  <c r="A12" i="78" s="1"/>
  <c r="A13" i="78" s="1"/>
  <c r="A14" i="78" s="1"/>
  <c r="A15" i="78" s="1"/>
  <c r="A16" i="78" s="1"/>
  <c r="A17" i="78" s="1"/>
  <c r="A18" i="78" s="1"/>
  <c r="A19" i="78" s="1"/>
  <c r="A20" i="78" s="1"/>
  <c r="A21" i="78" s="1"/>
  <c r="A22" i="78" s="1"/>
  <c r="A23" i="78" s="1"/>
  <c r="A24" i="78" s="1"/>
  <c r="A25" i="78" s="1"/>
  <c r="A26" i="78" s="1"/>
  <c r="A27" i="78" s="1"/>
  <c r="A28" i="78" s="1"/>
  <c r="A29" i="78" s="1"/>
  <c r="A30" i="78" s="1"/>
  <c r="A31" i="78" s="1"/>
  <c r="A32" i="78" s="1"/>
  <c r="A33" i="78" s="1"/>
  <c r="A34" i="78" s="1"/>
  <c r="A35" i="78" s="1"/>
  <c r="A36" i="78" s="1"/>
  <c r="A37" i="78" s="1"/>
  <c r="A38" i="78" s="1"/>
  <c r="A39" i="78" s="1"/>
  <c r="A40" i="78" s="1"/>
  <c r="A41" i="78" s="1"/>
  <c r="A42" i="78" s="1"/>
  <c r="A43" i="78" s="1"/>
  <c r="A44" i="78" s="1"/>
  <c r="A45" i="78" s="1"/>
  <c r="A46" i="78" s="1"/>
  <c r="A47" i="78" s="1"/>
  <c r="A48" i="78" s="1"/>
  <c r="A49" i="78" s="1"/>
  <c r="A50" i="78" s="1"/>
  <c r="A51" i="78" s="1"/>
  <c r="A52" i="78" s="1"/>
  <c r="A53" i="78" s="1"/>
  <c r="A54" i="78" s="1"/>
  <c r="A55" i="78" s="1"/>
  <c r="A56" i="78" s="1"/>
  <c r="A57" i="78" s="1"/>
  <c r="A58" i="78" s="1"/>
  <c r="A59" i="78" s="1"/>
  <c r="A60" i="78" s="1"/>
  <c r="A61" i="78" s="1"/>
  <c r="A62" i="78" s="1"/>
  <c r="A63" i="78" s="1"/>
  <c r="A64" i="78" s="1"/>
  <c r="A65" i="78" s="1"/>
  <c r="A66" i="78" s="1"/>
  <c r="A67" i="78" s="1"/>
  <c r="A68" i="78" s="1"/>
  <c r="A69" i="78" s="1"/>
  <c r="A70" i="78" s="1"/>
  <c r="A71" i="78" s="1"/>
  <c r="A72" i="78" s="1"/>
  <c r="A73" i="78" s="1"/>
  <c r="A74" i="78" s="1"/>
  <c r="A75" i="78" s="1"/>
  <c r="A76" i="78" s="1"/>
  <c r="A77" i="78" s="1"/>
  <c r="A78" i="78" s="1"/>
  <c r="A79" i="78" s="1"/>
  <c r="A80" i="78" s="1"/>
  <c r="A81" i="78" s="1"/>
  <c r="A82" i="78" s="1"/>
  <c r="A83" i="78" s="1"/>
  <c r="A84" i="78" s="1"/>
  <c r="A85" i="78" s="1"/>
  <c r="A86" i="78" s="1"/>
  <c r="A87" i="78" s="1"/>
  <c r="A88" i="78" s="1"/>
  <c r="A89" i="78" s="1"/>
  <c r="A90" i="78" s="1"/>
  <c r="A91" i="78" s="1"/>
  <c r="A92" i="78" s="1"/>
  <c r="A93" i="78" s="1"/>
  <c r="A94" i="78" s="1"/>
  <c r="A95" i="78" s="1"/>
  <c r="A96" i="78" s="1"/>
  <c r="A97" i="78" s="1"/>
  <c r="A98" i="78" s="1"/>
  <c r="A99" i="78" s="1"/>
  <c r="A100" i="78" s="1"/>
  <c r="A101" i="78" s="1"/>
  <c r="A102" i="78" s="1"/>
  <c r="A103" i="78" s="1"/>
  <c r="A104" i="78" s="1"/>
  <c r="A105" i="78" s="1"/>
  <c r="A106" i="78" s="1"/>
  <c r="A107" i="78" s="1"/>
  <c r="A108" i="78" s="1"/>
  <c r="A109" i="78" s="1"/>
  <c r="A110" i="78" s="1"/>
  <c r="A111" i="78" s="1"/>
  <c r="A112" i="78" s="1"/>
  <c r="A113" i="78" s="1"/>
  <c r="A114" i="78" s="1"/>
  <c r="A115" i="78" s="1"/>
  <c r="A116" i="78" s="1"/>
  <c r="A117" i="78" s="1"/>
  <c r="A118" i="78" s="1"/>
  <c r="A119" i="78" s="1"/>
  <c r="A120" i="78" s="1"/>
  <c r="A121" i="78" s="1"/>
  <c r="A122" i="78" s="1"/>
  <c r="A123" i="78" s="1"/>
  <c r="A124" i="78" s="1"/>
  <c r="A125" i="78" s="1"/>
  <c r="A126" i="78" s="1"/>
  <c r="A127" i="78" s="1"/>
  <c r="A128" i="78" s="1"/>
  <c r="A129" i="78" s="1"/>
  <c r="A130" i="78" s="1"/>
  <c r="A131" i="78" s="1"/>
  <c r="A132" i="78" s="1"/>
  <c r="A133" i="78" s="1"/>
  <c r="A134" i="78" s="1"/>
  <c r="A135" i="78" s="1"/>
  <c r="A136" i="78" s="1"/>
  <c r="A137" i="78" s="1"/>
  <c r="A138" i="78" s="1"/>
  <c r="A139" i="78" s="1"/>
  <c r="A140" i="78" s="1"/>
  <c r="A141" i="78" s="1"/>
  <c r="A142" i="78" s="1"/>
  <c r="A143" i="78" s="1"/>
  <c r="A144" i="78" s="1"/>
  <c r="A145" i="78" s="1"/>
  <c r="A146" i="78" s="1"/>
  <c r="A147" i="78" s="1"/>
  <c r="A148" i="78" s="1"/>
  <c r="A149" i="78" s="1"/>
  <c r="A150" i="78" s="1"/>
  <c r="A151" i="78" s="1"/>
  <c r="A152" i="78" s="1"/>
  <c r="A153" i="78" s="1"/>
  <c r="A154" i="78" s="1"/>
  <c r="A155" i="78" s="1"/>
  <c r="A156" i="78" s="1"/>
  <c r="A157" i="78" s="1"/>
  <c r="A158" i="78" s="1"/>
  <c r="A159" i="78" s="1"/>
  <c r="A160" i="78" s="1"/>
  <c r="A161" i="78" s="1"/>
  <c r="A162" i="78" s="1"/>
  <c r="A163" i="78" s="1"/>
  <c r="A164" i="78" s="1"/>
  <c r="A165" i="78" s="1"/>
  <c r="A166" i="78" s="1"/>
  <c r="A167" i="78" s="1"/>
  <c r="A168" i="78" s="1"/>
  <c r="A169" i="78" s="1"/>
  <c r="A170" i="78" s="1"/>
  <c r="A171" i="78" s="1"/>
  <c r="A172" i="78" s="1"/>
  <c r="A173" i="78" s="1"/>
  <c r="A174" i="78" s="1"/>
  <c r="A175" i="78" s="1"/>
  <c r="A176" i="78" s="1"/>
  <c r="A177" i="78" s="1"/>
  <c r="A178" i="78" s="1"/>
  <c r="A179" i="78" s="1"/>
  <c r="A180" i="78" s="1"/>
  <c r="A181" i="78" s="1"/>
  <c r="A182" i="78" s="1"/>
  <c r="A183" i="78" s="1"/>
  <c r="A184" i="78" s="1"/>
  <c r="A185" i="78" s="1"/>
  <c r="A186" i="78" s="1"/>
  <c r="A187" i="78" s="1"/>
  <c r="A188" i="78" s="1"/>
  <c r="A189" i="78" s="1"/>
  <c r="A190" i="78" s="1"/>
  <c r="A191" i="78" s="1"/>
  <c r="A192" i="78" s="1"/>
  <c r="A193" i="78" s="1"/>
  <c r="A194" i="78" s="1"/>
  <c r="A195" i="78" s="1"/>
  <c r="A196" i="78" s="1"/>
  <c r="A197" i="78" s="1"/>
  <c r="A198" i="78" s="1"/>
  <c r="A199" i="78" s="1"/>
  <c r="A200" i="78" s="1"/>
  <c r="A201" i="78" s="1"/>
  <c r="A202" i="78" s="1"/>
  <c r="A203" i="78" s="1"/>
  <c r="A204" i="78" s="1"/>
  <c r="A205" i="78" s="1"/>
  <c r="A206" i="78" s="1"/>
  <c r="A207" i="78" s="1"/>
  <c r="A208" i="78" s="1"/>
  <c r="A209" i="78" s="1"/>
  <c r="A210" i="78" s="1"/>
  <c r="A211" i="78" s="1"/>
  <c r="A212" i="78" s="1"/>
  <c r="A213" i="78" s="1"/>
  <c r="A214" i="78" s="1"/>
  <c r="A215" i="78" s="1"/>
  <c r="A216" i="78" s="1"/>
  <c r="A217" i="78" s="1"/>
  <c r="A218" i="78" s="1"/>
  <c r="A219" i="78" s="1"/>
  <c r="A220" i="78" s="1"/>
  <c r="A221" i="78" s="1"/>
  <c r="A222" i="78" s="1"/>
  <c r="A223" i="78" s="1"/>
  <c r="A224" i="78" s="1"/>
  <c r="A225" i="78" s="1"/>
  <c r="A226" i="78" s="1"/>
  <c r="A227" i="78" s="1"/>
  <c r="A228" i="78" s="1"/>
  <c r="A229" i="78" s="1"/>
  <c r="A230" i="78" s="1"/>
  <c r="A231" i="78" s="1"/>
  <c r="A232" i="78" s="1"/>
  <c r="A233" i="78" s="1"/>
  <c r="A234" i="78" s="1"/>
  <c r="A235" i="78" s="1"/>
  <c r="A236" i="78" s="1"/>
  <c r="A237" i="78" s="1"/>
  <c r="A238" i="78" s="1"/>
  <c r="A239" i="78" s="1"/>
  <c r="A240" i="78" s="1"/>
  <c r="A241" i="78" s="1"/>
  <c r="A242" i="78" s="1"/>
  <c r="A243" i="78" s="1"/>
  <c r="A244" i="78" s="1"/>
  <c r="A245" i="78" s="1"/>
  <c r="A246" i="78" s="1"/>
  <c r="A247" i="78" s="1"/>
  <c r="A248" i="78" s="1"/>
  <c r="A249" i="78" s="1"/>
  <c r="A250" i="78" s="1"/>
  <c r="A251" i="78" s="1"/>
  <c r="A252" i="78" s="1"/>
  <c r="A253" i="78" s="1"/>
  <c r="A254" i="78" s="1"/>
  <c r="A255" i="78" s="1"/>
  <c r="A256" i="78" s="1"/>
  <c r="A257" i="78" s="1"/>
  <c r="A258" i="78" s="1"/>
  <c r="A259" i="78" s="1"/>
  <c r="A260" i="78" s="1"/>
  <c r="A261" i="78" s="1"/>
  <c r="A262" i="78" s="1"/>
  <c r="A263" i="78" s="1"/>
  <c r="A264" i="78" s="1"/>
  <c r="A265" i="78" s="1"/>
  <c r="A266" i="78" s="1"/>
  <c r="A267" i="78" s="1"/>
  <c r="A268" i="78" s="1"/>
  <c r="A269" i="78" s="1"/>
  <c r="A270" i="78" s="1"/>
  <c r="A271" i="78" s="1"/>
  <c r="A272" i="78" s="1"/>
  <c r="A273" i="78" s="1"/>
  <c r="A274" i="78" s="1"/>
  <c r="A275" i="78" s="1"/>
  <c r="A276" i="78" s="1"/>
  <c r="A277" i="78" s="1"/>
  <c r="A278" i="78" s="1"/>
  <c r="A279" i="78" s="1"/>
  <c r="A280" i="78" s="1"/>
  <c r="A281" i="78" s="1"/>
  <c r="A282" i="78" s="1"/>
  <c r="A283" i="78" s="1"/>
  <c r="A284" i="78" s="1"/>
  <c r="A285" i="78" s="1"/>
  <c r="A286" i="78" s="1"/>
  <c r="A287" i="78" s="1"/>
  <c r="A288" i="78" s="1"/>
  <c r="A289" i="78" s="1"/>
  <c r="A290" i="78" s="1"/>
  <c r="A291" i="78" s="1"/>
  <c r="A292" i="78" s="1"/>
  <c r="A293" i="78" s="1"/>
  <c r="A294" i="78" s="1"/>
  <c r="A295" i="78" s="1"/>
  <c r="A296" i="78" s="1"/>
  <c r="A297" i="78" s="1"/>
  <c r="A298" i="78" s="1"/>
  <c r="A299" i="78" s="1"/>
  <c r="A300" i="78" s="1"/>
  <c r="A301" i="78" s="1"/>
  <c r="A302" i="78" s="1"/>
  <c r="A303" i="78" s="1"/>
  <c r="A304" i="78" s="1"/>
  <c r="A305" i="78" s="1"/>
  <c r="A306" i="78" s="1"/>
  <c r="A307" i="78" s="1"/>
  <c r="A308" i="78" s="1"/>
  <c r="A309" i="78" s="1"/>
  <c r="A310" i="78" s="1"/>
  <c r="A311" i="78" s="1"/>
  <c r="A312" i="78" s="1"/>
  <c r="A313" i="78" s="1"/>
  <c r="A314" i="78" s="1"/>
  <c r="A315" i="78" s="1"/>
  <c r="A316" i="78" s="1"/>
  <c r="A317" i="78" s="1"/>
  <c r="A318" i="78" s="1"/>
  <c r="A319" i="78" s="1"/>
  <c r="A320" i="78" s="1"/>
  <c r="A321" i="78" s="1"/>
  <c r="A322" i="78" s="1"/>
  <c r="A323" i="78" s="1"/>
  <c r="A324" i="78" s="1"/>
  <c r="A325" i="78" s="1"/>
  <c r="A326" i="78" s="1"/>
  <c r="A327" i="78" s="1"/>
  <c r="A328" i="78" s="1"/>
  <c r="A329" i="78" s="1"/>
  <c r="A330" i="78" s="1"/>
  <c r="A331" i="78" s="1"/>
  <c r="A332" i="78" s="1"/>
  <c r="A333" i="78" s="1"/>
  <c r="A334" i="78" s="1"/>
  <c r="A335" i="78" s="1"/>
  <c r="A336" i="78" s="1"/>
  <c r="A337" i="78" s="1"/>
  <c r="A338" i="78" s="1"/>
  <c r="A339" i="78" s="1"/>
  <c r="A340" i="78" s="1"/>
  <c r="A341" i="78" s="1"/>
  <c r="A342" i="78" s="1"/>
  <c r="A343" i="78" s="1"/>
  <c r="A344" i="78" s="1"/>
  <c r="A345" i="78" s="1"/>
  <c r="A346" i="78" s="1"/>
  <c r="A347" i="78" s="1"/>
  <c r="A348" i="78" s="1"/>
  <c r="A349" i="78" s="1"/>
  <c r="A350" i="78" s="1"/>
  <c r="A351" i="78" s="1"/>
  <c r="A352" i="78" s="1"/>
  <c r="A353" i="78" s="1"/>
  <c r="A354" i="78" s="1"/>
  <c r="A355" i="78" s="1"/>
  <c r="A356" i="78" s="1"/>
  <c r="A357" i="78" s="1"/>
  <c r="A358" i="78" s="1"/>
  <c r="A359" i="78" s="1"/>
  <c r="A360" i="78" s="1"/>
  <c r="A361" i="78" s="1"/>
  <c r="A362" i="78" s="1"/>
  <c r="A363" i="78" s="1"/>
  <c r="A364" i="78" s="1"/>
  <c r="A365" i="78" s="1"/>
  <c r="A366" i="78" s="1"/>
  <c r="A367" i="78" s="1"/>
  <c r="A368" i="78" s="1"/>
  <c r="A369" i="78" s="1"/>
  <c r="A370" i="78" s="1"/>
  <c r="A371" i="78" s="1"/>
  <c r="A372" i="78" s="1"/>
  <c r="A373" i="78" s="1"/>
  <c r="A374" i="78" s="1"/>
  <c r="A375" i="78" s="1"/>
  <c r="A376" i="78" s="1"/>
  <c r="A377" i="78" s="1"/>
  <c r="A378" i="78" s="1"/>
  <c r="A379" i="78" s="1"/>
  <c r="A380" i="78" s="1"/>
  <c r="A381" i="78" s="1"/>
  <c r="A382" i="78" s="1"/>
  <c r="A383" i="78" s="1"/>
  <c r="A384" i="78" s="1"/>
  <c r="A385" i="78" s="1"/>
  <c r="A386" i="78" s="1"/>
  <c r="A387" i="78" s="1"/>
  <c r="A388" i="78" s="1"/>
  <c r="A389" i="78" s="1"/>
  <c r="A390" i="78" s="1"/>
  <c r="A391" i="78" s="1"/>
  <c r="A392" i="78" s="1"/>
  <c r="A393" i="78" s="1"/>
  <c r="A394" i="78" s="1"/>
  <c r="A395" i="78" s="1"/>
  <c r="A396" i="78" s="1"/>
  <c r="A397" i="78" s="1"/>
  <c r="A398" i="78" s="1"/>
  <c r="A399" i="78" s="1"/>
  <c r="A400" i="78" s="1"/>
  <c r="A401" i="78" s="1"/>
  <c r="A402" i="78" s="1"/>
  <c r="A403" i="78" s="1"/>
  <c r="A404" i="78" s="1"/>
  <c r="A405" i="78" s="1"/>
  <c r="A406" i="78" s="1"/>
  <c r="A407" i="78" s="1"/>
  <c r="A408" i="78" s="1"/>
  <c r="A409" i="78" s="1"/>
  <c r="A410" i="78" s="1"/>
  <c r="A411" i="78" s="1"/>
  <c r="A412" i="78" s="1"/>
  <c r="A413" i="78" s="1"/>
  <c r="A414" i="78" s="1"/>
  <c r="A415" i="78" s="1"/>
  <c r="A416" i="78" s="1"/>
  <c r="A417" i="78" s="1"/>
  <c r="A418" i="78" s="1"/>
  <c r="A419" i="78" s="1"/>
  <c r="A420" i="78" s="1"/>
  <c r="A421" i="78" s="1"/>
  <c r="A422" i="78" s="1"/>
  <c r="A423" i="78" s="1"/>
  <c r="A424" i="78" s="1"/>
  <c r="A425" i="78" s="1"/>
  <c r="A426" i="78" s="1"/>
  <c r="A427" i="78" s="1"/>
  <c r="A428" i="78" s="1"/>
  <c r="A429" i="78" s="1"/>
  <c r="A430" i="78" s="1"/>
  <c r="A431" i="78" s="1"/>
  <c r="A432" i="78" s="1"/>
  <c r="A433" i="78" s="1"/>
  <c r="A434" i="78" s="1"/>
  <c r="A435" i="78" s="1"/>
  <c r="A436" i="78" s="1"/>
  <c r="A437" i="78" s="1"/>
  <c r="A438" i="78" s="1"/>
  <c r="A439" i="78" s="1"/>
  <c r="A440" i="78" s="1"/>
  <c r="A441" i="78" s="1"/>
  <c r="A442" i="78" s="1"/>
  <c r="A11" i="69"/>
  <c r="A12" i="69" s="1"/>
  <c r="A13" i="69" s="1"/>
  <c r="A14" i="69" s="1"/>
  <c r="A15" i="69" s="1"/>
  <c r="A16" i="69" s="1"/>
  <c r="A17" i="69" s="1"/>
  <c r="A18" i="69" s="1"/>
  <c r="A19" i="69" s="1"/>
  <c r="A20" i="69" s="1"/>
  <c r="A21" i="69" s="1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1" i="67"/>
  <c r="A12" i="67" s="1"/>
  <c r="A13" i="67" s="1"/>
  <c r="A14" i="67" s="1"/>
  <c r="A15" i="67" s="1"/>
  <c r="A16" i="67" s="1"/>
  <c r="A17" i="67" s="1"/>
  <c r="A18" i="67" s="1"/>
  <c r="A19" i="67" s="1"/>
  <c r="A20" i="67" s="1"/>
  <c r="A21" i="67" s="1"/>
  <c r="A22" i="67" s="1"/>
  <c r="A23" i="67" s="1"/>
  <c r="A24" i="67" s="1"/>
  <c r="A25" i="67" s="1"/>
  <c r="A26" i="67" s="1"/>
  <c r="A27" i="67" s="1"/>
  <c r="A28" i="67" s="1"/>
  <c r="A29" i="67" s="1"/>
  <c r="A30" i="67" s="1"/>
  <c r="A31" i="67" s="1"/>
  <c r="A32" i="67" s="1"/>
  <c r="A33" i="67" s="1"/>
  <c r="A34" i="67" s="1"/>
  <c r="A35" i="67" s="1"/>
  <c r="A36" i="67" s="1"/>
  <c r="A37" i="67" s="1"/>
  <c r="A38" i="67" s="1"/>
  <c r="A39" i="67" s="1"/>
  <c r="A40" i="67" s="1"/>
  <c r="A41" i="67" s="1"/>
  <c r="A42" i="67" s="1"/>
  <c r="A43" i="67" s="1"/>
  <c r="A44" i="67" s="1"/>
  <c r="A45" i="67" s="1"/>
  <c r="A46" i="67" s="1"/>
  <c r="A47" i="67" s="1"/>
  <c r="A48" i="67" s="1"/>
  <c r="A49" i="67" s="1"/>
  <c r="A50" i="67" s="1"/>
  <c r="A51" i="67" s="1"/>
  <c r="A52" i="67" s="1"/>
  <c r="A53" i="67" s="1"/>
  <c r="A54" i="67" s="1"/>
  <c r="A55" i="67" s="1"/>
  <c r="A56" i="67" s="1"/>
  <c r="A57" i="67" s="1"/>
  <c r="A58" i="67" s="1"/>
  <c r="A59" i="67" s="1"/>
  <c r="A60" i="67" s="1"/>
  <c r="A61" i="67" s="1"/>
  <c r="A62" i="67" s="1"/>
  <c r="A63" i="67" s="1"/>
  <c r="A64" i="67" s="1"/>
  <c r="A65" i="67" s="1"/>
  <c r="A66" i="67" s="1"/>
  <c r="A67" i="67" s="1"/>
  <c r="A68" i="67" s="1"/>
  <c r="A69" i="67" s="1"/>
  <c r="A70" i="67" s="1"/>
  <c r="A71" i="67" s="1"/>
  <c r="A72" i="67" s="1"/>
  <c r="A73" i="67" s="1"/>
  <c r="A74" i="67" s="1"/>
  <c r="A75" i="67" s="1"/>
  <c r="A76" i="67" s="1"/>
  <c r="A77" i="67" s="1"/>
  <c r="A78" i="67" s="1"/>
  <c r="A79" i="67" s="1"/>
  <c r="A80" i="67" s="1"/>
  <c r="A81" i="67" s="1"/>
  <c r="A82" i="67" s="1"/>
  <c r="A83" i="67" s="1"/>
  <c r="A84" i="67" s="1"/>
  <c r="A85" i="67" s="1"/>
  <c r="A86" i="67" s="1"/>
  <c r="A87" i="67" s="1"/>
  <c r="A88" i="67" s="1"/>
  <c r="A89" i="67" s="1"/>
  <c r="A90" i="67" s="1"/>
  <c r="A91" i="67" s="1"/>
  <c r="A92" i="67" s="1"/>
  <c r="A93" i="67" s="1"/>
  <c r="A94" i="67" s="1"/>
  <c r="A95" i="67" s="1"/>
  <c r="A96" i="67" s="1"/>
  <c r="A97" i="67" s="1"/>
  <c r="A98" i="67" s="1"/>
  <c r="A99" i="67" s="1"/>
  <c r="A100" i="67" s="1"/>
  <c r="A101" i="67" s="1"/>
  <c r="A102" i="67" s="1"/>
  <c r="A103" i="67" s="1"/>
  <c r="A104" i="67" s="1"/>
  <c r="A105" i="67" s="1"/>
  <c r="A106" i="67" s="1"/>
  <c r="A107" i="67" s="1"/>
  <c r="A108" i="67" s="1"/>
  <c r="A109" i="67" s="1"/>
  <c r="A110" i="67" s="1"/>
  <c r="A111" i="67" s="1"/>
  <c r="A112" i="67" s="1"/>
  <c r="A113" i="67" s="1"/>
  <c r="A114" i="67" s="1"/>
  <c r="A115" i="67" s="1"/>
  <c r="A116" i="67" s="1"/>
  <c r="A117" i="67" s="1"/>
  <c r="A118" i="67" s="1"/>
  <c r="A119" i="67" s="1"/>
  <c r="A120" i="67" s="1"/>
  <c r="A121" i="67" s="1"/>
  <c r="A122" i="67" s="1"/>
  <c r="A123" i="67" s="1"/>
  <c r="A124" i="67" s="1"/>
  <c r="A125" i="67" s="1"/>
  <c r="A126" i="67" s="1"/>
  <c r="A127" i="67" s="1"/>
  <c r="A128" i="67" s="1"/>
  <c r="A129" i="67" s="1"/>
  <c r="A130" i="67" s="1"/>
  <c r="A131" i="67" s="1"/>
  <c r="A132" i="67" s="1"/>
  <c r="A133" i="67" s="1"/>
  <c r="A134" i="67" s="1"/>
  <c r="A135" i="67" s="1"/>
  <c r="A136" i="67" s="1"/>
  <c r="A137" i="67" s="1"/>
  <c r="A138" i="67" s="1"/>
  <c r="A139" i="67" s="1"/>
  <c r="A140" i="67" s="1"/>
  <c r="A141" i="67" s="1"/>
  <c r="A142" i="67" s="1"/>
  <c r="A143" i="67" s="1"/>
  <c r="A144" i="67" s="1"/>
  <c r="A145" i="67" s="1"/>
  <c r="A146" i="67" s="1"/>
  <c r="A147" i="67" s="1"/>
  <c r="A148" i="67" s="1"/>
  <c r="A149" i="67" s="1"/>
  <c r="A150" i="67" s="1"/>
  <c r="A151" i="67" s="1"/>
  <c r="A152" i="67" s="1"/>
  <c r="A153" i="67" s="1"/>
  <c r="A154" i="67" s="1"/>
  <c r="A155" i="67" s="1"/>
  <c r="A156" i="67" s="1"/>
  <c r="A157" i="67" s="1"/>
  <c r="A158" i="67" s="1"/>
  <c r="A159" i="67" s="1"/>
  <c r="A160" i="67" s="1"/>
  <c r="A161" i="67" s="1"/>
  <c r="A162" i="67" s="1"/>
  <c r="A163" i="67" s="1"/>
  <c r="A164" i="67" s="1"/>
  <c r="A165" i="67" s="1"/>
  <c r="A166" i="67" s="1"/>
  <c r="A167" i="67" s="1"/>
  <c r="A168" i="67" s="1"/>
  <c r="A169" i="67" s="1"/>
  <c r="A170" i="67" s="1"/>
  <c r="A171" i="67" s="1"/>
  <c r="A172" i="67" s="1"/>
  <c r="A173" i="67" s="1"/>
  <c r="A174" i="67" s="1"/>
  <c r="A175" i="67" s="1"/>
  <c r="A176" i="67" s="1"/>
  <c r="A177" i="67" s="1"/>
  <c r="A178" i="67" s="1"/>
  <c r="A179" i="67" s="1"/>
  <c r="A180" i="67" s="1"/>
  <c r="A181" i="67" s="1"/>
  <c r="A182" i="67" s="1"/>
  <c r="A183" i="67" s="1"/>
  <c r="A184" i="67" s="1"/>
  <c r="A185" i="67" s="1"/>
  <c r="A186" i="67" s="1"/>
  <c r="A187" i="67" s="1"/>
  <c r="A188" i="67" s="1"/>
  <c r="A189" i="67" s="1"/>
  <c r="A190" i="67" s="1"/>
  <c r="A191" i="67" s="1"/>
  <c r="A192" i="67" s="1"/>
  <c r="A193" i="67" s="1"/>
  <c r="A194" i="67" s="1"/>
  <c r="A195" i="67" s="1"/>
  <c r="A196" i="67" s="1"/>
  <c r="A197" i="67" s="1"/>
  <c r="A198" i="67" s="1"/>
  <c r="A199" i="67" s="1"/>
  <c r="A200" i="67" s="1"/>
  <c r="A201" i="67" s="1"/>
  <c r="A202" i="67" s="1"/>
  <c r="A203" i="67" s="1"/>
  <c r="A204" i="67" s="1"/>
  <c r="A205" i="67" s="1"/>
  <c r="A206" i="67" s="1"/>
  <c r="A207" i="67" s="1"/>
  <c r="A208" i="67" s="1"/>
  <c r="A209" i="67" s="1"/>
  <c r="A210" i="67" s="1"/>
  <c r="A211" i="67" s="1"/>
  <c r="A212" i="67" s="1"/>
  <c r="A213" i="67" s="1"/>
  <c r="A214" i="67" s="1"/>
  <c r="A215" i="67" s="1"/>
  <c r="A216" i="67" s="1"/>
  <c r="A217" i="67" s="1"/>
  <c r="A218" i="67" s="1"/>
  <c r="A219" i="67" s="1"/>
  <c r="A220" i="67" s="1"/>
  <c r="A221" i="67" s="1"/>
  <c r="A222" i="67" s="1"/>
  <c r="A223" i="67" s="1"/>
  <c r="A224" i="67" s="1"/>
  <c r="A225" i="67" s="1"/>
  <c r="A226" i="67" s="1"/>
  <c r="A227" i="67" s="1"/>
  <c r="A228" i="67" s="1"/>
  <c r="A229" i="67" s="1"/>
  <c r="A230" i="67" s="1"/>
  <c r="A231" i="67" s="1"/>
  <c r="A232" i="67" s="1"/>
  <c r="A233" i="67" s="1"/>
  <c r="A234" i="67" s="1"/>
  <c r="A235" i="67" s="1"/>
  <c r="A236" i="67" s="1"/>
  <c r="A237" i="67" s="1"/>
  <c r="A238" i="67" s="1"/>
  <c r="A239" i="67" s="1"/>
  <c r="A240" i="67" s="1"/>
  <c r="A241" i="67" s="1"/>
  <c r="A242" i="67" s="1"/>
  <c r="A243" i="67" s="1"/>
  <c r="A244" i="67" s="1"/>
  <c r="A245" i="67" s="1"/>
  <c r="A246" i="67" s="1"/>
  <c r="A247" i="67" s="1"/>
  <c r="A248" i="67" s="1"/>
  <c r="A249" i="67" s="1"/>
  <c r="A250" i="67" s="1"/>
  <c r="A251" i="67" s="1"/>
  <c r="A252" i="67" s="1"/>
  <c r="A253" i="67" s="1"/>
  <c r="A254" i="67" s="1"/>
  <c r="A255" i="67" s="1"/>
  <c r="A256" i="67" s="1"/>
  <c r="A257" i="67" s="1"/>
  <c r="A258" i="67" s="1"/>
  <c r="A259" i="67" s="1"/>
  <c r="A260" i="67" s="1"/>
  <c r="A261" i="67" s="1"/>
  <c r="A262" i="67" s="1"/>
  <c r="A263" i="67" s="1"/>
  <c r="A264" i="67" s="1"/>
  <c r="A265" i="67" s="1"/>
  <c r="A266" i="67" s="1"/>
  <c r="A267" i="67" s="1"/>
  <c r="A268" i="67" s="1"/>
  <c r="A269" i="67" s="1"/>
  <c r="A270" i="67" s="1"/>
  <c r="A271" i="67" s="1"/>
  <c r="A272" i="67" s="1"/>
  <c r="A273" i="67" s="1"/>
  <c r="A274" i="67" s="1"/>
  <c r="A275" i="67" s="1"/>
  <c r="A276" i="67" s="1"/>
  <c r="A277" i="67" s="1"/>
  <c r="A278" i="67" s="1"/>
  <c r="A279" i="67" s="1"/>
  <c r="A280" i="67" s="1"/>
  <c r="A281" i="67" s="1"/>
  <c r="A282" i="67" s="1"/>
  <c r="A283" i="67" s="1"/>
  <c r="A284" i="67" s="1"/>
  <c r="A285" i="67" s="1"/>
  <c r="A286" i="67" s="1"/>
  <c r="A287" i="67" s="1"/>
  <c r="A288" i="67" s="1"/>
  <c r="A289" i="67" s="1"/>
  <c r="A290" i="67" s="1"/>
  <c r="A291" i="67" s="1"/>
  <c r="A292" i="67" s="1"/>
  <c r="A293" i="67" s="1"/>
  <c r="A294" i="67" s="1"/>
  <c r="A295" i="67" s="1"/>
  <c r="A296" i="67" s="1"/>
  <c r="A297" i="67" s="1"/>
  <c r="A298" i="67" s="1"/>
  <c r="G27" i="91"/>
  <c r="H27" i="91"/>
  <c r="E124" i="91"/>
  <c r="F124" i="91" s="1"/>
  <c r="K124" i="91"/>
  <c r="C124" i="91" s="1"/>
  <c r="D125" i="91"/>
  <c r="G123" i="91"/>
  <c r="H123" i="91"/>
  <c r="E28" i="91"/>
  <c r="F28" i="91" s="1"/>
  <c r="D29" i="91"/>
  <c r="K28" i="91"/>
  <c r="C28" i="91" s="1"/>
  <c r="E125" i="87"/>
  <c r="F125" i="87" s="1"/>
  <c r="D126" i="87"/>
  <c r="K125" i="87"/>
  <c r="C125" i="87" s="1"/>
  <c r="G28" i="87"/>
  <c r="H28" i="87"/>
  <c r="H124" i="87"/>
  <c r="G124" i="87"/>
  <c r="K29" i="87"/>
  <c r="C29" i="87" s="1"/>
  <c r="D30" i="87"/>
  <c r="E29" i="87"/>
  <c r="F29" i="87" s="1"/>
  <c r="K188" i="53"/>
  <c r="C188" i="53" s="1"/>
  <c r="D189" i="53"/>
  <c r="K116" i="53"/>
  <c r="C116" i="53" s="1"/>
  <c r="D117" i="53"/>
  <c r="P43" i="66"/>
  <c r="K44" i="66"/>
  <c r="I44" i="67"/>
  <c r="N43" i="67"/>
  <c r="K44" i="65"/>
  <c r="P43" i="65"/>
  <c r="K44" i="68"/>
  <c r="P43" i="68"/>
  <c r="J39" i="44"/>
  <c r="C39" i="44" s="1"/>
  <c r="D45" i="53"/>
  <c r="K44" i="53"/>
  <c r="C44" i="53" s="1"/>
  <c r="I40" i="44"/>
  <c r="H40" i="44"/>
  <c r="K45" i="47"/>
  <c r="P45" i="47" s="1"/>
  <c r="I137" i="44"/>
  <c r="J136" i="44"/>
  <c r="C136" i="44" s="1"/>
  <c r="H28" i="91" l="1"/>
  <c r="G28" i="91"/>
  <c r="H124" i="91"/>
  <c r="G124" i="91"/>
  <c r="E29" i="91"/>
  <c r="F29" i="91" s="1"/>
  <c r="K29" i="91"/>
  <c r="C29" i="91" s="1"/>
  <c r="D30" i="91"/>
  <c r="E125" i="91"/>
  <c r="F125" i="91" s="1"/>
  <c r="K125" i="91"/>
  <c r="C125" i="91" s="1"/>
  <c r="D126" i="91"/>
  <c r="G29" i="87"/>
  <c r="H29" i="87"/>
  <c r="D127" i="87"/>
  <c r="K126" i="87"/>
  <c r="C126" i="87" s="1"/>
  <c r="E126" i="87"/>
  <c r="F126" i="87" s="1"/>
  <c r="K30" i="87"/>
  <c r="C30" i="87" s="1"/>
  <c r="D31" i="87"/>
  <c r="E30" i="87"/>
  <c r="F30" i="87" s="1"/>
  <c r="H125" i="87"/>
  <c r="G125" i="87"/>
  <c r="D118" i="53"/>
  <c r="K117" i="53"/>
  <c r="C117" i="53" s="1"/>
  <c r="K189" i="53"/>
  <c r="C189" i="53" s="1"/>
  <c r="D190" i="53"/>
  <c r="K45" i="68"/>
  <c r="P44" i="68"/>
  <c r="I45" i="67"/>
  <c r="N44" i="67"/>
  <c r="K45" i="66"/>
  <c r="P44" i="66"/>
  <c r="K45" i="65"/>
  <c r="P44" i="65"/>
  <c r="J40" i="44"/>
  <c r="C40" i="44" s="1"/>
  <c r="D46" i="53"/>
  <c r="K45" i="53"/>
  <c r="C45" i="53" s="1"/>
  <c r="I41" i="44"/>
  <c r="H41" i="44"/>
  <c r="K46" i="47"/>
  <c r="P46" i="47" s="1"/>
  <c r="I138" i="44"/>
  <c r="J137" i="44"/>
  <c r="C137" i="44" s="1"/>
  <c r="A11" i="43" l="1"/>
  <c r="E30" i="91"/>
  <c r="F30" i="91" s="1"/>
  <c r="D31" i="91"/>
  <c r="K30" i="91"/>
  <c r="C30" i="91" s="1"/>
  <c r="H125" i="91"/>
  <c r="G125" i="91"/>
  <c r="D127" i="91"/>
  <c r="K126" i="91"/>
  <c r="C126" i="91" s="1"/>
  <c r="E126" i="91"/>
  <c r="F126" i="91" s="1"/>
  <c r="G29" i="91"/>
  <c r="H29" i="91"/>
  <c r="G30" i="87"/>
  <c r="H30" i="87"/>
  <c r="K31" i="87"/>
  <c r="C31" i="87" s="1"/>
  <c r="D32" i="87"/>
  <c r="E31" i="87"/>
  <c r="F31" i="87" s="1"/>
  <c r="D128" i="87"/>
  <c r="E127" i="87"/>
  <c r="F127" i="87" s="1"/>
  <c r="K127" i="87"/>
  <c r="C127" i="87" s="1"/>
  <c r="H126" i="87"/>
  <c r="G126" i="87"/>
  <c r="D191" i="53"/>
  <c r="K190" i="53"/>
  <c r="C190" i="53" s="1"/>
  <c r="D119" i="53"/>
  <c r="K118" i="53"/>
  <c r="C118" i="53" s="1"/>
  <c r="K46" i="65"/>
  <c r="P45" i="65"/>
  <c r="I46" i="67"/>
  <c r="N45" i="67"/>
  <c r="P45" i="66"/>
  <c r="K46" i="66"/>
  <c r="K46" i="68"/>
  <c r="P45" i="68"/>
  <c r="D47" i="53"/>
  <c r="K46" i="53"/>
  <c r="C46" i="53" s="1"/>
  <c r="I42" i="44"/>
  <c r="H42" i="44"/>
  <c r="K47" i="47"/>
  <c r="P47" i="47" s="1"/>
  <c r="J41" i="44"/>
  <c r="C41" i="44" s="1"/>
  <c r="I139" i="44"/>
  <c r="J138" i="44"/>
  <c r="C138" i="44" s="1"/>
  <c r="G126" i="91" l="1"/>
  <c r="H126" i="91"/>
  <c r="D128" i="91"/>
  <c r="K127" i="91"/>
  <c r="C127" i="91" s="1"/>
  <c r="E127" i="91"/>
  <c r="F127" i="91" s="1"/>
  <c r="D32" i="91"/>
  <c r="K31" i="91"/>
  <c r="C31" i="91" s="1"/>
  <c r="E31" i="91"/>
  <c r="F31" i="91" s="1"/>
  <c r="G30" i="91"/>
  <c r="H30" i="91"/>
  <c r="K32" i="87"/>
  <c r="C32" i="87" s="1"/>
  <c r="D33" i="87"/>
  <c r="E32" i="87"/>
  <c r="F32" i="87" s="1"/>
  <c r="H127" i="87"/>
  <c r="G127" i="87"/>
  <c r="E128" i="87"/>
  <c r="F128" i="87" s="1"/>
  <c r="K128" i="87"/>
  <c r="C128" i="87" s="1"/>
  <c r="D129" i="87"/>
  <c r="G31" i="87"/>
  <c r="H31" i="87"/>
  <c r="K119" i="53"/>
  <c r="C119" i="53" s="1"/>
  <c r="D120" i="53"/>
  <c r="K191" i="53"/>
  <c r="C191" i="53" s="1"/>
  <c r="D192" i="53"/>
  <c r="K47" i="66"/>
  <c r="P46" i="66"/>
  <c r="K47" i="68"/>
  <c r="P46" i="68"/>
  <c r="N46" i="67"/>
  <c r="I47" i="67"/>
  <c r="K47" i="65"/>
  <c r="P46" i="65"/>
  <c r="J42" i="44"/>
  <c r="C42" i="44" s="1"/>
  <c r="D48" i="53"/>
  <c r="K47" i="53"/>
  <c r="C47" i="53" s="1"/>
  <c r="I43" i="44"/>
  <c r="H43" i="44"/>
  <c r="K48" i="47"/>
  <c r="P48" i="47" s="1"/>
  <c r="I140" i="44"/>
  <c r="J139" i="44"/>
  <c r="C139" i="44" s="1"/>
  <c r="G31" i="91" l="1"/>
  <c r="H31" i="91"/>
  <c r="E32" i="91"/>
  <c r="F32" i="91" s="1"/>
  <c r="D33" i="91"/>
  <c r="K32" i="91"/>
  <c r="C32" i="91" s="1"/>
  <c r="D129" i="91"/>
  <c r="K128" i="91"/>
  <c r="C128" i="91" s="1"/>
  <c r="E128" i="91"/>
  <c r="F128" i="91" s="1"/>
  <c r="G127" i="91"/>
  <c r="H127" i="91"/>
  <c r="D130" i="87"/>
  <c r="K129" i="87"/>
  <c r="C129" i="87" s="1"/>
  <c r="E129" i="87"/>
  <c r="F129" i="87" s="1"/>
  <c r="G32" i="87"/>
  <c r="H32" i="87"/>
  <c r="H128" i="87"/>
  <c r="G128" i="87"/>
  <c r="K33" i="87"/>
  <c r="C33" i="87" s="1"/>
  <c r="D34" i="87"/>
  <c r="E33" i="87"/>
  <c r="F33" i="87" s="1"/>
  <c r="K192" i="53"/>
  <c r="C192" i="53" s="1"/>
  <c r="D193" i="53"/>
  <c r="K120" i="53"/>
  <c r="C120" i="53" s="1"/>
  <c r="D121" i="53"/>
  <c r="K48" i="65"/>
  <c r="P47" i="65"/>
  <c r="P47" i="68"/>
  <c r="K48" i="68"/>
  <c r="I48" i="67"/>
  <c r="N47" i="67"/>
  <c r="K48" i="66"/>
  <c r="P47" i="66"/>
  <c r="J43" i="44"/>
  <c r="C43" i="44" s="1"/>
  <c r="D49" i="53"/>
  <c r="K48" i="53"/>
  <c r="C48" i="53" s="1"/>
  <c r="I44" i="44"/>
  <c r="H44" i="44"/>
  <c r="K49" i="47"/>
  <c r="P49" i="47" s="1"/>
  <c r="I141" i="44"/>
  <c r="J140" i="44"/>
  <c r="C140" i="44" s="1"/>
  <c r="H128" i="91" l="1"/>
  <c r="G128" i="91"/>
  <c r="E33" i="91"/>
  <c r="F33" i="91" s="1"/>
  <c r="K33" i="91"/>
  <c r="C33" i="91" s="1"/>
  <c r="D34" i="91"/>
  <c r="E129" i="91"/>
  <c r="F129" i="91" s="1"/>
  <c r="K129" i="91"/>
  <c r="C129" i="91" s="1"/>
  <c r="D130" i="91"/>
  <c r="H32" i="91"/>
  <c r="G32" i="91"/>
  <c r="H129" i="87"/>
  <c r="G129" i="87"/>
  <c r="G33" i="87"/>
  <c r="H33" i="87"/>
  <c r="K34" i="87"/>
  <c r="C34" i="87" s="1"/>
  <c r="D35" i="87"/>
  <c r="E34" i="87"/>
  <c r="F34" i="87" s="1"/>
  <c r="D131" i="87"/>
  <c r="K130" i="87"/>
  <c r="C130" i="87" s="1"/>
  <c r="E130" i="87"/>
  <c r="F130" i="87" s="1"/>
  <c r="D122" i="53"/>
  <c r="K121" i="53"/>
  <c r="C121" i="53" s="1"/>
  <c r="D194" i="53"/>
  <c r="K193" i="53"/>
  <c r="C193" i="53" s="1"/>
  <c r="N48" i="67"/>
  <c r="I49" i="67"/>
  <c r="P48" i="68"/>
  <c r="K49" i="68"/>
  <c r="P48" i="66"/>
  <c r="K49" i="66"/>
  <c r="K49" i="65"/>
  <c r="P48" i="65"/>
  <c r="J44" i="44"/>
  <c r="C44" i="44" s="1"/>
  <c r="D50" i="53"/>
  <c r="K49" i="53"/>
  <c r="C49" i="53" s="1"/>
  <c r="I45" i="44"/>
  <c r="H45" i="44"/>
  <c r="K50" i="47"/>
  <c r="P50" i="47" s="1"/>
  <c r="I142" i="44"/>
  <c r="J141" i="44"/>
  <c r="C141" i="44" s="1"/>
  <c r="K130" i="91" l="1"/>
  <c r="C130" i="91" s="1"/>
  <c r="E130" i="91"/>
  <c r="F130" i="91" s="1"/>
  <c r="D131" i="91"/>
  <c r="G33" i="91"/>
  <c r="H33" i="91"/>
  <c r="G129" i="91"/>
  <c r="H129" i="91"/>
  <c r="D35" i="91"/>
  <c r="K34" i="91"/>
  <c r="C34" i="91" s="1"/>
  <c r="E34" i="91"/>
  <c r="F34" i="91" s="1"/>
  <c r="D132" i="87"/>
  <c r="K131" i="87"/>
  <c r="C131" i="87" s="1"/>
  <c r="E131" i="87"/>
  <c r="F131" i="87" s="1"/>
  <c r="G34" i="87"/>
  <c r="H34" i="87"/>
  <c r="H130" i="87"/>
  <c r="G130" i="87"/>
  <c r="D36" i="87"/>
  <c r="K35" i="87"/>
  <c r="C35" i="87" s="1"/>
  <c r="E35" i="87"/>
  <c r="F35" i="87" s="1"/>
  <c r="D195" i="53"/>
  <c r="K194" i="53"/>
  <c r="C194" i="53" s="1"/>
  <c r="D123" i="53"/>
  <c r="K122" i="53"/>
  <c r="C122" i="53" s="1"/>
  <c r="K50" i="68"/>
  <c r="P49" i="68"/>
  <c r="P49" i="65"/>
  <c r="K50" i="65"/>
  <c r="K50" i="66"/>
  <c r="P49" i="66"/>
  <c r="I50" i="67"/>
  <c r="N49" i="67"/>
  <c r="J45" i="44"/>
  <c r="C45" i="44" s="1"/>
  <c r="D51" i="53"/>
  <c r="K50" i="53"/>
  <c r="C50" i="53" s="1"/>
  <c r="I46" i="44"/>
  <c r="H46" i="44"/>
  <c r="K51" i="47"/>
  <c r="P51" i="47" s="1"/>
  <c r="I143" i="44"/>
  <c r="K35" i="91" l="1"/>
  <c r="C35" i="91" s="1"/>
  <c r="D36" i="91"/>
  <c r="E35" i="91"/>
  <c r="F35" i="91" s="1"/>
  <c r="H130" i="91"/>
  <c r="G130" i="91"/>
  <c r="K131" i="91"/>
  <c r="C131" i="91" s="1"/>
  <c r="D132" i="91"/>
  <c r="E131" i="91"/>
  <c r="F131" i="91" s="1"/>
  <c r="H34" i="91"/>
  <c r="G34" i="91"/>
  <c r="D37" i="87"/>
  <c r="K36" i="87"/>
  <c r="C36" i="87" s="1"/>
  <c r="E36" i="87"/>
  <c r="F36" i="87" s="1"/>
  <c r="H131" i="87"/>
  <c r="G131" i="87"/>
  <c r="G35" i="87"/>
  <c r="H35" i="87"/>
  <c r="K132" i="87"/>
  <c r="C132" i="87" s="1"/>
  <c r="D133" i="87"/>
  <c r="E132" i="87"/>
  <c r="F132" i="87" s="1"/>
  <c r="K123" i="53"/>
  <c r="C123" i="53" s="1"/>
  <c r="D124" i="53"/>
  <c r="D196" i="53"/>
  <c r="K195" i="53"/>
  <c r="C195" i="53" s="1"/>
  <c r="K51" i="65"/>
  <c r="P50" i="65"/>
  <c r="I51" i="67"/>
  <c r="N50" i="67"/>
  <c r="K51" i="66"/>
  <c r="P50" i="66"/>
  <c r="K51" i="68"/>
  <c r="P50" i="68"/>
  <c r="J46" i="44"/>
  <c r="C46" i="44" s="1"/>
  <c r="D52" i="53"/>
  <c r="K51" i="53"/>
  <c r="C51" i="53" s="1"/>
  <c r="I47" i="44"/>
  <c r="H47" i="44"/>
  <c r="J142" i="44"/>
  <c r="C142" i="44" s="1"/>
  <c r="K52" i="47"/>
  <c r="P52" i="47" s="1"/>
  <c r="I144" i="44"/>
  <c r="C52" i="53" l="1"/>
  <c r="G131" i="91"/>
  <c r="H131" i="91"/>
  <c r="E132" i="91"/>
  <c r="F132" i="91" s="1"/>
  <c r="D133" i="91"/>
  <c r="K132" i="91"/>
  <c r="C132" i="91" s="1"/>
  <c r="G35" i="91"/>
  <c r="H35" i="91"/>
  <c r="E36" i="91"/>
  <c r="F36" i="91" s="1"/>
  <c r="K36" i="91"/>
  <c r="C36" i="91" s="1"/>
  <c r="D37" i="91"/>
  <c r="H36" i="87"/>
  <c r="G36" i="87"/>
  <c r="G132" i="87"/>
  <c r="H132" i="87"/>
  <c r="K133" i="87"/>
  <c r="C133" i="87" s="1"/>
  <c r="D134" i="87"/>
  <c r="E133" i="87"/>
  <c r="F133" i="87" s="1"/>
  <c r="D38" i="87"/>
  <c r="K37" i="87"/>
  <c r="C37" i="87" s="1"/>
  <c r="E37" i="87"/>
  <c r="F37" i="87" s="1"/>
  <c r="K196" i="53"/>
  <c r="C196" i="53" s="1"/>
  <c r="D197" i="53"/>
  <c r="D125" i="53"/>
  <c r="K124" i="53"/>
  <c r="C124" i="53" s="1"/>
  <c r="P51" i="68"/>
  <c r="K52" i="68"/>
  <c r="I52" i="67"/>
  <c r="N51" i="67"/>
  <c r="K52" i="66"/>
  <c r="P51" i="66"/>
  <c r="K52" i="65"/>
  <c r="P51" i="65"/>
  <c r="D53" i="53"/>
  <c r="K52" i="53"/>
  <c r="I48" i="44"/>
  <c r="H48" i="44"/>
  <c r="K53" i="47"/>
  <c r="P53" i="47" s="1"/>
  <c r="I145" i="44"/>
  <c r="J47" i="44"/>
  <c r="J143" i="44"/>
  <c r="J144" i="44" l="1"/>
  <c r="C143" i="44"/>
  <c r="J48" i="44"/>
  <c r="C47" i="44"/>
  <c r="H36" i="91"/>
  <c r="G36" i="91"/>
  <c r="D134" i="91"/>
  <c r="K133" i="91"/>
  <c r="C133" i="91" s="1"/>
  <c r="E133" i="91"/>
  <c r="F133" i="91" s="1"/>
  <c r="H132" i="91"/>
  <c r="G132" i="91"/>
  <c r="K37" i="91"/>
  <c r="C37" i="91" s="1"/>
  <c r="E37" i="91"/>
  <c r="F37" i="91" s="1"/>
  <c r="D38" i="91"/>
  <c r="D39" i="87"/>
  <c r="K38" i="87"/>
  <c r="C38" i="87" s="1"/>
  <c r="E38" i="87"/>
  <c r="F38" i="87" s="1"/>
  <c r="G133" i="87"/>
  <c r="H133" i="87"/>
  <c r="H37" i="87"/>
  <c r="G37" i="87"/>
  <c r="K134" i="87"/>
  <c r="C134" i="87" s="1"/>
  <c r="D135" i="87"/>
  <c r="E134" i="87"/>
  <c r="F134" i="87" s="1"/>
  <c r="K125" i="53"/>
  <c r="C125" i="53" s="1"/>
  <c r="D126" i="53"/>
  <c r="K197" i="53"/>
  <c r="C197" i="53" s="1"/>
  <c r="D198" i="53"/>
  <c r="K53" i="65"/>
  <c r="P52" i="65"/>
  <c r="N52" i="67"/>
  <c r="I53" i="67"/>
  <c r="K53" i="68"/>
  <c r="P52" i="68"/>
  <c r="P52" i="66"/>
  <c r="K53" i="66"/>
  <c r="D54" i="53"/>
  <c r="K53" i="53"/>
  <c r="C53" i="53" s="1"/>
  <c r="I49" i="44"/>
  <c r="H49" i="44"/>
  <c r="K54" i="47"/>
  <c r="P54" i="47" s="1"/>
  <c r="I146" i="44"/>
  <c r="J49" i="44" l="1"/>
  <c r="C48" i="44"/>
  <c r="J145" i="44"/>
  <c r="C144" i="44"/>
  <c r="D39" i="91"/>
  <c r="K38" i="91"/>
  <c r="C38" i="91" s="1"/>
  <c r="E38" i="91"/>
  <c r="F38" i="91" s="1"/>
  <c r="D135" i="91"/>
  <c r="K134" i="91"/>
  <c r="C134" i="91" s="1"/>
  <c r="E134" i="91"/>
  <c r="F134" i="91" s="1"/>
  <c r="G37" i="91"/>
  <c r="H37" i="91"/>
  <c r="G133" i="91"/>
  <c r="H133" i="91"/>
  <c r="H38" i="87"/>
  <c r="G38" i="87"/>
  <c r="G134" i="87"/>
  <c r="H134" i="87"/>
  <c r="D136" i="87"/>
  <c r="E135" i="87"/>
  <c r="F135" i="87" s="1"/>
  <c r="K135" i="87"/>
  <c r="C135" i="87" s="1"/>
  <c r="D40" i="87"/>
  <c r="K39" i="87"/>
  <c r="C39" i="87" s="1"/>
  <c r="E39" i="87"/>
  <c r="F39" i="87" s="1"/>
  <c r="K198" i="53"/>
  <c r="C198" i="53" s="1"/>
  <c r="D199" i="53"/>
  <c r="K126" i="53"/>
  <c r="C126" i="53" s="1"/>
  <c r="D127" i="53"/>
  <c r="K54" i="66"/>
  <c r="P53" i="66"/>
  <c r="N53" i="67"/>
  <c r="I54" i="67"/>
  <c r="P53" i="68"/>
  <c r="K54" i="68"/>
  <c r="P53" i="65"/>
  <c r="K54" i="65"/>
  <c r="K54" i="53"/>
  <c r="C54" i="53" s="1"/>
  <c r="D55" i="53"/>
  <c r="I50" i="44"/>
  <c r="H50" i="44"/>
  <c r="K55" i="47"/>
  <c r="P55" i="47" s="1"/>
  <c r="I147" i="44"/>
  <c r="J146" i="44" l="1"/>
  <c r="C145" i="44"/>
  <c r="J50" i="44"/>
  <c r="C49" i="44"/>
  <c r="C199" i="53"/>
  <c r="K135" i="91"/>
  <c r="C135" i="91" s="1"/>
  <c r="D136" i="91"/>
  <c r="E135" i="91"/>
  <c r="F135" i="91" s="1"/>
  <c r="G38" i="91"/>
  <c r="H38" i="91"/>
  <c r="G134" i="91"/>
  <c r="H134" i="91"/>
  <c r="D40" i="91"/>
  <c r="K39" i="91"/>
  <c r="C39" i="91" s="1"/>
  <c r="E39" i="91"/>
  <c r="F39" i="91" s="1"/>
  <c r="H39" i="87"/>
  <c r="G39" i="87"/>
  <c r="G135" i="87"/>
  <c r="H135" i="87"/>
  <c r="D41" i="87"/>
  <c r="K40" i="87"/>
  <c r="C40" i="87" s="1"/>
  <c r="E40" i="87"/>
  <c r="F40" i="87" s="1"/>
  <c r="E136" i="87"/>
  <c r="F136" i="87" s="1"/>
  <c r="D137" i="87"/>
  <c r="K136" i="87"/>
  <c r="C136" i="87" s="1"/>
  <c r="D128" i="53"/>
  <c r="K127" i="53"/>
  <c r="C127" i="53" s="1"/>
  <c r="D200" i="53"/>
  <c r="K199" i="53"/>
  <c r="K55" i="65"/>
  <c r="P54" i="65"/>
  <c r="N54" i="67"/>
  <c r="I55" i="67"/>
  <c r="P54" i="68"/>
  <c r="K55" i="68"/>
  <c r="K55" i="66"/>
  <c r="P54" i="66"/>
  <c r="K55" i="53"/>
  <c r="C55" i="53" s="1"/>
  <c r="D56" i="53"/>
  <c r="I51" i="44"/>
  <c r="H51" i="44"/>
  <c r="K56" i="47"/>
  <c r="P56" i="47" s="1"/>
  <c r="I148" i="44"/>
  <c r="J51" i="44" l="1"/>
  <c r="C50" i="44"/>
  <c r="J147" i="44"/>
  <c r="C146" i="44"/>
  <c r="H39" i="91"/>
  <c r="G39" i="91"/>
  <c r="E40" i="91"/>
  <c r="F40" i="91" s="1"/>
  <c r="D41" i="91"/>
  <c r="K40" i="91"/>
  <c r="C40" i="91" s="1"/>
  <c r="H135" i="91"/>
  <c r="G135" i="91"/>
  <c r="E136" i="91"/>
  <c r="F136" i="91" s="1"/>
  <c r="K136" i="91"/>
  <c r="C136" i="91" s="1"/>
  <c r="D137" i="91"/>
  <c r="G136" i="87"/>
  <c r="H136" i="87"/>
  <c r="H40" i="87"/>
  <c r="G40" i="87"/>
  <c r="E137" i="87"/>
  <c r="F137" i="87" s="1"/>
  <c r="D138" i="87"/>
  <c r="K137" i="87"/>
  <c r="C137" i="87" s="1"/>
  <c r="D42" i="87"/>
  <c r="K41" i="87"/>
  <c r="C41" i="87" s="1"/>
  <c r="E41" i="87"/>
  <c r="F41" i="87" s="1"/>
  <c r="K200" i="53"/>
  <c r="C200" i="53" s="1"/>
  <c r="D201" i="53"/>
  <c r="K128" i="53"/>
  <c r="C128" i="53" s="1"/>
  <c r="D129" i="53"/>
  <c r="K56" i="66"/>
  <c r="P55" i="66"/>
  <c r="P55" i="68"/>
  <c r="K56" i="68"/>
  <c r="N55" i="67"/>
  <c r="I56" i="67"/>
  <c r="K56" i="65"/>
  <c r="P55" i="65"/>
  <c r="K56" i="53"/>
  <c r="C56" i="53" s="1"/>
  <c r="D57" i="53"/>
  <c r="I52" i="44"/>
  <c r="H52" i="44"/>
  <c r="K57" i="47"/>
  <c r="P57" i="47" s="1"/>
  <c r="I149" i="44"/>
  <c r="J52" i="44" l="1"/>
  <c r="C51" i="44"/>
  <c r="J148" i="44"/>
  <c r="C147" i="44"/>
  <c r="G136" i="91"/>
  <c r="H136" i="91"/>
  <c r="K41" i="91"/>
  <c r="C41" i="91" s="1"/>
  <c r="E41" i="91"/>
  <c r="F41" i="91" s="1"/>
  <c r="D42" i="91"/>
  <c r="D138" i="91"/>
  <c r="K137" i="91"/>
  <c r="C137" i="91" s="1"/>
  <c r="E137" i="91"/>
  <c r="F137" i="91" s="1"/>
  <c r="H40" i="91"/>
  <c r="G40" i="91"/>
  <c r="D43" i="87"/>
  <c r="K42" i="87"/>
  <c r="C42" i="87" s="1"/>
  <c r="E42" i="87"/>
  <c r="F42" i="87" s="1"/>
  <c r="H41" i="87"/>
  <c r="G41" i="87"/>
  <c r="E138" i="87"/>
  <c r="F138" i="87" s="1"/>
  <c r="K138" i="87"/>
  <c r="C138" i="87" s="1"/>
  <c r="D139" i="87"/>
  <c r="H137" i="87"/>
  <c r="G137" i="87"/>
  <c r="D130" i="53"/>
  <c r="K129" i="53"/>
  <c r="C129" i="53" s="1"/>
  <c r="D202" i="53"/>
  <c r="K201" i="53"/>
  <c r="C201" i="53" s="1"/>
  <c r="P56" i="68"/>
  <c r="K57" i="68"/>
  <c r="K57" i="65"/>
  <c r="P56" i="65"/>
  <c r="N56" i="67"/>
  <c r="I57" i="67"/>
  <c r="P56" i="66"/>
  <c r="K57" i="66"/>
  <c r="D58" i="53"/>
  <c r="K57" i="53"/>
  <c r="C57" i="53" s="1"/>
  <c r="I53" i="44"/>
  <c r="H53" i="44"/>
  <c r="K58" i="47"/>
  <c r="P58" i="47" s="1"/>
  <c r="I150" i="44"/>
  <c r="J149" i="44" l="1"/>
  <c r="C148" i="44"/>
  <c r="J53" i="44"/>
  <c r="C52" i="44"/>
  <c r="D139" i="91"/>
  <c r="K138" i="91"/>
  <c r="C138" i="91" s="1"/>
  <c r="E138" i="91"/>
  <c r="F138" i="91" s="1"/>
  <c r="H137" i="91"/>
  <c r="G137" i="91"/>
  <c r="H41" i="91"/>
  <c r="G41" i="91"/>
  <c r="D43" i="91"/>
  <c r="K42" i="91"/>
  <c r="C42" i="91" s="1"/>
  <c r="E42" i="91"/>
  <c r="F42" i="91" s="1"/>
  <c r="E139" i="87"/>
  <c r="F139" i="87" s="1"/>
  <c r="D140" i="87"/>
  <c r="K139" i="87"/>
  <c r="C139" i="87" s="1"/>
  <c r="H42" i="87"/>
  <c r="G42" i="87"/>
  <c r="H138" i="87"/>
  <c r="G138" i="87"/>
  <c r="D44" i="87"/>
  <c r="K43" i="87"/>
  <c r="C43" i="87" s="1"/>
  <c r="E43" i="87"/>
  <c r="F43" i="87" s="1"/>
  <c r="D203" i="53"/>
  <c r="K202" i="53"/>
  <c r="C202" i="53" s="1"/>
  <c r="K130" i="53"/>
  <c r="C130" i="53" s="1"/>
  <c r="D131" i="53"/>
  <c r="K58" i="66"/>
  <c r="P57" i="66"/>
  <c r="K58" i="65"/>
  <c r="P57" i="65"/>
  <c r="N57" i="67"/>
  <c r="I58" i="67"/>
  <c r="P57" i="68"/>
  <c r="K58" i="68"/>
  <c r="K58" i="53"/>
  <c r="C58" i="53" s="1"/>
  <c r="D59" i="53"/>
  <c r="I54" i="44"/>
  <c r="H54" i="44"/>
  <c r="K59" i="47"/>
  <c r="P59" i="47" s="1"/>
  <c r="I151" i="44"/>
  <c r="J54" i="44" l="1"/>
  <c r="C53" i="44"/>
  <c r="J150" i="44"/>
  <c r="C149" i="44"/>
  <c r="C203" i="53"/>
  <c r="G42" i="91"/>
  <c r="H42" i="91"/>
  <c r="K43" i="91"/>
  <c r="C43" i="91" s="1"/>
  <c r="E43" i="91"/>
  <c r="F43" i="91" s="1"/>
  <c r="D44" i="91"/>
  <c r="G138" i="91"/>
  <c r="H138" i="91"/>
  <c r="E139" i="91"/>
  <c r="F139" i="91" s="1"/>
  <c r="K139" i="91"/>
  <c r="C139" i="91" s="1"/>
  <c r="D140" i="91"/>
  <c r="D45" i="87"/>
  <c r="K44" i="87"/>
  <c r="C44" i="87" s="1"/>
  <c r="E44" i="87"/>
  <c r="F44" i="87" s="1"/>
  <c r="H43" i="87"/>
  <c r="G43" i="87"/>
  <c r="E140" i="87"/>
  <c r="F140" i="87" s="1"/>
  <c r="D141" i="87"/>
  <c r="K140" i="87"/>
  <c r="C140" i="87" s="1"/>
  <c r="G139" i="87"/>
  <c r="H139" i="87"/>
  <c r="D132" i="53"/>
  <c r="K131" i="53"/>
  <c r="C131" i="53" s="1"/>
  <c r="K203" i="53"/>
  <c r="D204" i="53"/>
  <c r="P58" i="68"/>
  <c r="K59" i="68"/>
  <c r="P58" i="65"/>
  <c r="K59" i="65"/>
  <c r="N58" i="67"/>
  <c r="I59" i="67"/>
  <c r="P58" i="66"/>
  <c r="K59" i="66"/>
  <c r="K59" i="53"/>
  <c r="C59" i="53" s="1"/>
  <c r="D60" i="53"/>
  <c r="I55" i="44"/>
  <c r="H55" i="44"/>
  <c r="K60" i="47"/>
  <c r="P60" i="47" s="1"/>
  <c r="I152" i="44"/>
  <c r="J151" i="44" l="1"/>
  <c r="C150" i="44"/>
  <c r="C204" i="53"/>
  <c r="J55" i="44"/>
  <c r="C54" i="44"/>
  <c r="H139" i="91"/>
  <c r="G139" i="91"/>
  <c r="H43" i="91"/>
  <c r="G43" i="91"/>
  <c r="E140" i="91"/>
  <c r="F140" i="91" s="1"/>
  <c r="K140" i="91"/>
  <c r="C140" i="91" s="1"/>
  <c r="D141" i="91"/>
  <c r="E44" i="91"/>
  <c r="F44" i="91" s="1"/>
  <c r="D45" i="91"/>
  <c r="K44" i="91"/>
  <c r="C44" i="91" s="1"/>
  <c r="E141" i="87"/>
  <c r="F141" i="87" s="1"/>
  <c r="D142" i="87"/>
  <c r="K141" i="87"/>
  <c r="C141" i="87" s="1"/>
  <c r="H44" i="87"/>
  <c r="G44" i="87"/>
  <c r="G140" i="87"/>
  <c r="H140" i="87"/>
  <c r="D46" i="87"/>
  <c r="K45" i="87"/>
  <c r="C45" i="87" s="1"/>
  <c r="E45" i="87"/>
  <c r="F45" i="87" s="1"/>
  <c r="D205" i="53"/>
  <c r="K204" i="53"/>
  <c r="D133" i="53"/>
  <c r="K132" i="53"/>
  <c r="C132" i="53" s="1"/>
  <c r="K60" i="66"/>
  <c r="P59" i="66"/>
  <c r="P59" i="65"/>
  <c r="K60" i="65"/>
  <c r="N59" i="67"/>
  <c r="I60" i="67"/>
  <c r="P59" i="68"/>
  <c r="K60" i="68"/>
  <c r="K60" i="53"/>
  <c r="C60" i="53" s="1"/>
  <c r="D61" i="53"/>
  <c r="I56" i="44"/>
  <c r="H56" i="44"/>
  <c r="K61" i="47"/>
  <c r="P61" i="47" s="1"/>
  <c r="I153" i="44"/>
  <c r="J152" i="44" l="1"/>
  <c r="C151" i="44"/>
  <c r="J56" i="44"/>
  <c r="C55" i="44"/>
  <c r="H44" i="91"/>
  <c r="G44" i="91"/>
  <c r="E141" i="91"/>
  <c r="F141" i="91" s="1"/>
  <c r="K141" i="91"/>
  <c r="C141" i="91" s="1"/>
  <c r="D142" i="91"/>
  <c r="D46" i="91"/>
  <c r="E45" i="91"/>
  <c r="F45" i="91" s="1"/>
  <c r="K45" i="91"/>
  <c r="C45" i="91" s="1"/>
  <c r="H140" i="91"/>
  <c r="G140" i="91"/>
  <c r="D47" i="87"/>
  <c r="K46" i="87"/>
  <c r="C46" i="87" s="1"/>
  <c r="E46" i="87"/>
  <c r="F46" i="87" s="1"/>
  <c r="H45" i="87"/>
  <c r="G45" i="87"/>
  <c r="E142" i="87"/>
  <c r="F142" i="87" s="1"/>
  <c r="K142" i="87"/>
  <c r="C142" i="87" s="1"/>
  <c r="D143" i="87"/>
  <c r="H141" i="87"/>
  <c r="G141" i="87"/>
  <c r="K133" i="53"/>
  <c r="C133" i="53" s="1"/>
  <c r="D134" i="53"/>
  <c r="D206" i="53"/>
  <c r="K205" i="53"/>
  <c r="C205" i="53" s="1"/>
  <c r="P60" i="68"/>
  <c r="K61" i="68"/>
  <c r="K61" i="65"/>
  <c r="P60" i="65"/>
  <c r="N60" i="67"/>
  <c r="I61" i="67"/>
  <c r="P60" i="66"/>
  <c r="K61" i="66"/>
  <c r="K61" i="53"/>
  <c r="C61" i="53" s="1"/>
  <c r="D62" i="53"/>
  <c r="I57" i="44"/>
  <c r="H57" i="44"/>
  <c r="K62" i="47"/>
  <c r="P62" i="47" s="1"/>
  <c r="I154" i="44"/>
  <c r="J153" i="44" l="1"/>
  <c r="C152" i="44"/>
  <c r="J57" i="44"/>
  <c r="C56" i="44"/>
  <c r="G141" i="91"/>
  <c r="H141" i="91"/>
  <c r="D47" i="91"/>
  <c r="K46" i="91"/>
  <c r="C46" i="91" s="1"/>
  <c r="E46" i="91"/>
  <c r="F46" i="91" s="1"/>
  <c r="H45" i="91"/>
  <c r="G45" i="91"/>
  <c r="D143" i="91"/>
  <c r="K142" i="91"/>
  <c r="C142" i="91" s="1"/>
  <c r="E142" i="91"/>
  <c r="F142" i="91" s="1"/>
  <c r="H46" i="87"/>
  <c r="G46" i="87"/>
  <c r="H142" i="87"/>
  <c r="G142" i="87"/>
  <c r="E143" i="87"/>
  <c r="F143" i="87" s="1"/>
  <c r="K143" i="87"/>
  <c r="C143" i="87" s="1"/>
  <c r="D144" i="87"/>
  <c r="D48" i="87"/>
  <c r="K47" i="87"/>
  <c r="C47" i="87" s="1"/>
  <c r="E47" i="87"/>
  <c r="F47" i="87" s="1"/>
  <c r="K206" i="53"/>
  <c r="C206" i="53" s="1"/>
  <c r="D207" i="53"/>
  <c r="K134" i="53"/>
  <c r="C134" i="53" s="1"/>
  <c r="D135" i="53"/>
  <c r="K62" i="66"/>
  <c r="P61" i="66"/>
  <c r="K62" i="65"/>
  <c r="P61" i="65"/>
  <c r="N61" i="67"/>
  <c r="I62" i="67"/>
  <c r="P61" i="68"/>
  <c r="K62" i="68"/>
  <c r="D63" i="53"/>
  <c r="K62" i="53"/>
  <c r="C62" i="53" s="1"/>
  <c r="I58" i="44"/>
  <c r="H58" i="44"/>
  <c r="K63" i="47"/>
  <c r="P63" i="47" s="1"/>
  <c r="J58" i="44" l="1"/>
  <c r="C58" i="44" s="1"/>
  <c r="C57" i="44"/>
  <c r="J154" i="44"/>
  <c r="C154" i="44" s="1"/>
  <c r="C153" i="44"/>
  <c r="C63" i="53"/>
  <c r="C135" i="53"/>
  <c r="K47" i="91"/>
  <c r="C47" i="91" s="1"/>
  <c r="E47" i="91"/>
  <c r="F47" i="91" s="1"/>
  <c r="D48" i="91"/>
  <c r="K143" i="91"/>
  <c r="C143" i="91" s="1"/>
  <c r="D144" i="91"/>
  <c r="E143" i="91"/>
  <c r="F143" i="91" s="1"/>
  <c r="G142" i="91"/>
  <c r="H142" i="91"/>
  <c r="G46" i="91"/>
  <c r="H46" i="91"/>
  <c r="K144" i="87"/>
  <c r="C144" i="87" s="1"/>
  <c r="D145" i="87"/>
  <c r="E144" i="87"/>
  <c r="F144" i="87" s="1"/>
  <c r="H47" i="87"/>
  <c r="G47" i="87"/>
  <c r="E48" i="87"/>
  <c r="F48" i="87" s="1"/>
  <c r="D49" i="87"/>
  <c r="K48" i="87"/>
  <c r="C48" i="87" s="1"/>
  <c r="G143" i="87"/>
  <c r="H143" i="87"/>
  <c r="K135" i="53"/>
  <c r="D136" i="53"/>
  <c r="K207" i="53"/>
  <c r="C207" i="53" s="1"/>
  <c r="D208" i="53"/>
  <c r="P62" i="68"/>
  <c r="K63" i="68"/>
  <c r="K63" i="65"/>
  <c r="P62" i="65"/>
  <c r="I63" i="67"/>
  <c r="N62" i="67"/>
  <c r="P62" i="66"/>
  <c r="K63" i="66"/>
  <c r="D64" i="53"/>
  <c r="K63" i="53"/>
  <c r="I155" i="44"/>
  <c r="J155" i="44" s="1"/>
  <c r="C155" i="44" s="1"/>
  <c r="I59" i="44"/>
  <c r="J59" i="44" s="1"/>
  <c r="C59" i="44" s="1"/>
  <c r="K64" i="47"/>
  <c r="P64" i="47" s="1"/>
  <c r="D49" i="91" l="1"/>
  <c r="K48" i="91"/>
  <c r="C48" i="91" s="1"/>
  <c r="E48" i="91"/>
  <c r="F48" i="91" s="1"/>
  <c r="H143" i="91"/>
  <c r="G143" i="91"/>
  <c r="H47" i="91"/>
  <c r="G47" i="91"/>
  <c r="K144" i="91"/>
  <c r="C144" i="91" s="1"/>
  <c r="E144" i="91"/>
  <c r="F144" i="91" s="1"/>
  <c r="D145" i="91"/>
  <c r="E49" i="87"/>
  <c r="F49" i="87" s="1"/>
  <c r="D50" i="87"/>
  <c r="K49" i="87"/>
  <c r="C49" i="87" s="1"/>
  <c r="H144" i="87"/>
  <c r="G144" i="87"/>
  <c r="H48" i="87"/>
  <c r="G48" i="87"/>
  <c r="D146" i="87"/>
  <c r="E145" i="87"/>
  <c r="F145" i="87" s="1"/>
  <c r="K145" i="87"/>
  <c r="C145" i="87" s="1"/>
  <c r="K208" i="53"/>
  <c r="C208" i="53" s="1"/>
  <c r="D209" i="53"/>
  <c r="D137" i="53"/>
  <c r="K136" i="53"/>
  <c r="C136" i="53" s="1"/>
  <c r="K64" i="66"/>
  <c r="P63" i="66"/>
  <c r="K64" i="65"/>
  <c r="P63" i="65"/>
  <c r="P63" i="68"/>
  <c r="K64" i="68"/>
  <c r="N63" i="67"/>
  <c r="I64" i="67"/>
  <c r="K64" i="53"/>
  <c r="C64" i="53" s="1"/>
  <c r="D65" i="53"/>
  <c r="K65" i="47"/>
  <c r="P65" i="47" s="1"/>
  <c r="H48" i="91" l="1"/>
  <c r="G48" i="91"/>
  <c r="D146" i="91"/>
  <c r="K145" i="91"/>
  <c r="C145" i="91" s="1"/>
  <c r="E145" i="91"/>
  <c r="F145" i="91" s="1"/>
  <c r="H144" i="91"/>
  <c r="G144" i="91"/>
  <c r="D50" i="91"/>
  <c r="K49" i="91"/>
  <c r="C49" i="91" s="1"/>
  <c r="E49" i="91"/>
  <c r="F49" i="91" s="1"/>
  <c r="D147" i="87"/>
  <c r="E146" i="87"/>
  <c r="F146" i="87" s="1"/>
  <c r="K146" i="87"/>
  <c r="C146" i="87" s="1"/>
  <c r="E50" i="87"/>
  <c r="F50" i="87" s="1"/>
  <c r="D51" i="87"/>
  <c r="K50" i="87"/>
  <c r="C50" i="87" s="1"/>
  <c r="H145" i="87"/>
  <c r="G145" i="87"/>
  <c r="H49" i="87"/>
  <c r="G49" i="87"/>
  <c r="K137" i="53"/>
  <c r="C137" i="53" s="1"/>
  <c r="D138" i="53"/>
  <c r="D210" i="53"/>
  <c r="K209" i="53"/>
  <c r="C209" i="53" s="1"/>
  <c r="N64" i="67"/>
  <c r="I65" i="67"/>
  <c r="K65" i="65"/>
  <c r="P64" i="65"/>
  <c r="P64" i="68"/>
  <c r="K65" i="68"/>
  <c r="P64" i="66"/>
  <c r="K65" i="66"/>
  <c r="D66" i="53"/>
  <c r="K65" i="53"/>
  <c r="C65" i="53" s="1"/>
  <c r="K66" i="47"/>
  <c r="P66" i="47" s="1"/>
  <c r="E50" i="91" l="1"/>
  <c r="F50" i="91" s="1"/>
  <c r="D51" i="91"/>
  <c r="K50" i="91"/>
  <c r="C50" i="91" s="1"/>
  <c r="E146" i="91"/>
  <c r="F146" i="91" s="1"/>
  <c r="K146" i="91"/>
  <c r="C146" i="91" s="1"/>
  <c r="D147" i="91"/>
  <c r="G49" i="91"/>
  <c r="H49" i="91"/>
  <c r="G145" i="91"/>
  <c r="H145" i="91"/>
  <c r="H50" i="87"/>
  <c r="G50" i="87"/>
  <c r="H146" i="87"/>
  <c r="G146" i="87"/>
  <c r="E51" i="87"/>
  <c r="F51" i="87" s="1"/>
  <c r="D52" i="87"/>
  <c r="K51" i="87"/>
  <c r="C51" i="87" s="1"/>
  <c r="K147" i="87"/>
  <c r="C147" i="87" s="1"/>
  <c r="D148" i="87"/>
  <c r="E147" i="87"/>
  <c r="F147" i="87" s="1"/>
  <c r="K210" i="53"/>
  <c r="C210" i="53" s="1"/>
  <c r="D211" i="53"/>
  <c r="D139" i="53"/>
  <c r="K138" i="53"/>
  <c r="C138" i="53" s="1"/>
  <c r="P65" i="65"/>
  <c r="K66" i="65"/>
  <c r="P65" i="68"/>
  <c r="K66" i="68"/>
  <c r="N65" i="67"/>
  <c r="I66" i="67"/>
  <c r="K66" i="66"/>
  <c r="P65" i="66"/>
  <c r="K66" i="53"/>
  <c r="C66" i="53" s="1"/>
  <c r="D67" i="53"/>
  <c r="K67" i="47"/>
  <c r="P67" i="47" s="1"/>
  <c r="H146" i="91" l="1"/>
  <c r="G146" i="91"/>
  <c r="E147" i="91"/>
  <c r="F147" i="91" s="1"/>
  <c r="D148" i="91"/>
  <c r="K147" i="91"/>
  <c r="C147" i="91" s="1"/>
  <c r="E51" i="91"/>
  <c r="F51" i="91" s="1"/>
  <c r="K51" i="91"/>
  <c r="C51" i="91" s="1"/>
  <c r="D52" i="91"/>
  <c r="H50" i="91"/>
  <c r="G50" i="91"/>
  <c r="H147" i="87"/>
  <c r="G147" i="87"/>
  <c r="E52" i="87"/>
  <c r="F52" i="87" s="1"/>
  <c r="D53" i="87"/>
  <c r="K52" i="87"/>
  <c r="C52" i="87" s="1"/>
  <c r="K148" i="87"/>
  <c r="C148" i="87" s="1"/>
  <c r="E148" i="87"/>
  <c r="F148" i="87" s="1"/>
  <c r="D149" i="87"/>
  <c r="H51" i="87"/>
  <c r="G51" i="87"/>
  <c r="D140" i="53"/>
  <c r="K139" i="53"/>
  <c r="C139" i="53" s="1"/>
  <c r="K211" i="53"/>
  <c r="C211" i="53" s="1"/>
  <c r="D212" i="53"/>
  <c r="P66" i="66"/>
  <c r="K67" i="66"/>
  <c r="P66" i="68"/>
  <c r="K67" i="68"/>
  <c r="N66" i="67"/>
  <c r="I67" i="67"/>
  <c r="K67" i="65"/>
  <c r="P66" i="65"/>
  <c r="K67" i="53"/>
  <c r="C67" i="53" s="1"/>
  <c r="D68" i="53"/>
  <c r="K68" i="47"/>
  <c r="P68" i="47" s="1"/>
  <c r="C68" i="53" l="1"/>
  <c r="K52" i="91"/>
  <c r="C52" i="91" s="1"/>
  <c r="E52" i="91"/>
  <c r="F52" i="91" s="1"/>
  <c r="D53" i="91"/>
  <c r="D149" i="91"/>
  <c r="E148" i="91"/>
  <c r="F148" i="91" s="1"/>
  <c r="K148" i="91"/>
  <c r="C148" i="91" s="1"/>
  <c r="H147" i="91"/>
  <c r="G147" i="91"/>
  <c r="H51" i="91"/>
  <c r="G51" i="91"/>
  <c r="D150" i="87"/>
  <c r="E149" i="87"/>
  <c r="F149" i="87" s="1"/>
  <c r="K149" i="87"/>
  <c r="C149" i="87" s="1"/>
  <c r="E53" i="87"/>
  <c r="F53" i="87" s="1"/>
  <c r="D54" i="87"/>
  <c r="K53" i="87"/>
  <c r="C53" i="87" s="1"/>
  <c r="H148" i="87"/>
  <c r="G148" i="87"/>
  <c r="H52" i="87"/>
  <c r="G52" i="87"/>
  <c r="D213" i="53"/>
  <c r="K212" i="53"/>
  <c r="C212" i="53" s="1"/>
  <c r="K140" i="53"/>
  <c r="C140" i="53" s="1"/>
  <c r="D141" i="53"/>
  <c r="K68" i="65"/>
  <c r="P67" i="65"/>
  <c r="N67" i="67"/>
  <c r="I68" i="67"/>
  <c r="K68" i="66"/>
  <c r="P67" i="66"/>
  <c r="P67" i="68"/>
  <c r="K68" i="68"/>
  <c r="D69" i="53"/>
  <c r="K68" i="53"/>
  <c r="K69" i="47"/>
  <c r="P69" i="47" s="1"/>
  <c r="D150" i="91" l="1"/>
  <c r="K149" i="91"/>
  <c r="C149" i="91" s="1"/>
  <c r="E149" i="91"/>
  <c r="F149" i="91" s="1"/>
  <c r="D54" i="91"/>
  <c r="K53" i="91"/>
  <c r="C53" i="91" s="1"/>
  <c r="E53" i="91"/>
  <c r="F53" i="91" s="1"/>
  <c r="G52" i="91"/>
  <c r="H52" i="91"/>
  <c r="H148" i="91"/>
  <c r="G148" i="91"/>
  <c r="H53" i="87"/>
  <c r="G53" i="87"/>
  <c r="H149" i="87"/>
  <c r="G149" i="87"/>
  <c r="E54" i="87"/>
  <c r="F54" i="87" s="1"/>
  <c r="D55" i="87"/>
  <c r="K54" i="87"/>
  <c r="C54" i="87" s="1"/>
  <c r="D151" i="87"/>
  <c r="E150" i="87"/>
  <c r="F150" i="87" s="1"/>
  <c r="K150" i="87"/>
  <c r="C150" i="87" s="1"/>
  <c r="K141" i="53"/>
  <c r="C141" i="53" s="1"/>
  <c r="D142" i="53"/>
  <c r="D214" i="53"/>
  <c r="K213" i="53"/>
  <c r="C213" i="53" s="1"/>
  <c r="P68" i="68"/>
  <c r="K69" i="68"/>
  <c r="N68" i="67"/>
  <c r="I69" i="67"/>
  <c r="P68" i="66"/>
  <c r="K69" i="66"/>
  <c r="P68" i="65"/>
  <c r="K69" i="65"/>
  <c r="D70" i="53"/>
  <c r="K69" i="53"/>
  <c r="C69" i="53" s="1"/>
  <c r="K70" i="47"/>
  <c r="P70" i="47" s="1"/>
  <c r="D55" i="91" l="1"/>
  <c r="K54" i="91"/>
  <c r="C54" i="91" s="1"/>
  <c r="E54" i="91"/>
  <c r="F54" i="91" s="1"/>
  <c r="G149" i="91"/>
  <c r="H149" i="91"/>
  <c r="G53" i="91"/>
  <c r="H53" i="91"/>
  <c r="K150" i="91"/>
  <c r="C150" i="91" s="1"/>
  <c r="D151" i="91"/>
  <c r="E150" i="91"/>
  <c r="F150" i="91" s="1"/>
  <c r="K151" i="87"/>
  <c r="C151" i="87" s="1"/>
  <c r="D152" i="87"/>
  <c r="E151" i="87"/>
  <c r="F151" i="87" s="1"/>
  <c r="E55" i="87"/>
  <c r="F55" i="87" s="1"/>
  <c r="D56" i="87"/>
  <c r="K55" i="87"/>
  <c r="C55" i="87" s="1"/>
  <c r="H150" i="87"/>
  <c r="G150" i="87"/>
  <c r="H54" i="87"/>
  <c r="G54" i="87"/>
  <c r="D215" i="53"/>
  <c r="K214" i="53"/>
  <c r="C214" i="53" s="1"/>
  <c r="D143" i="53"/>
  <c r="K142" i="53"/>
  <c r="C142" i="53" s="1"/>
  <c r="K70" i="65"/>
  <c r="P69" i="65"/>
  <c r="K70" i="66"/>
  <c r="P69" i="66"/>
  <c r="P69" i="68"/>
  <c r="K70" i="68"/>
  <c r="N69" i="67"/>
  <c r="I70" i="67"/>
  <c r="D71" i="53"/>
  <c r="K70" i="53"/>
  <c r="C70" i="53" s="1"/>
  <c r="K71" i="47"/>
  <c r="P71" i="47" s="1"/>
  <c r="H54" i="91" l="1"/>
  <c r="G54" i="91"/>
  <c r="H150" i="91"/>
  <c r="G150" i="91"/>
  <c r="E151" i="91"/>
  <c r="F151" i="91" s="1"/>
  <c r="D152" i="91"/>
  <c r="K151" i="91"/>
  <c r="C151" i="91" s="1"/>
  <c r="E55" i="91"/>
  <c r="F55" i="91" s="1"/>
  <c r="D56" i="91"/>
  <c r="K55" i="91"/>
  <c r="C55" i="91" s="1"/>
  <c r="H55" i="87"/>
  <c r="G55" i="87"/>
  <c r="H151" i="87"/>
  <c r="G151" i="87"/>
  <c r="K152" i="87"/>
  <c r="C152" i="87" s="1"/>
  <c r="E152" i="87"/>
  <c r="F152" i="87" s="1"/>
  <c r="D153" i="87"/>
  <c r="E56" i="87"/>
  <c r="F56" i="87" s="1"/>
  <c r="D57" i="87"/>
  <c r="K56" i="87"/>
  <c r="C56" i="87" s="1"/>
  <c r="K143" i="53"/>
  <c r="C143" i="53" s="1"/>
  <c r="D144" i="53"/>
  <c r="K215" i="53"/>
  <c r="C215" i="53" s="1"/>
  <c r="D216" i="53"/>
  <c r="P70" i="66"/>
  <c r="K71" i="66"/>
  <c r="P70" i="68"/>
  <c r="K71" i="68"/>
  <c r="N70" i="67"/>
  <c r="I71" i="67"/>
  <c r="K71" i="65"/>
  <c r="P70" i="65"/>
  <c r="D72" i="53"/>
  <c r="K71" i="53"/>
  <c r="C71" i="53" s="1"/>
  <c r="K72" i="47"/>
  <c r="P72" i="47" s="1"/>
  <c r="H55" i="91" l="1"/>
  <c r="G55" i="91"/>
  <c r="D153" i="91"/>
  <c r="E152" i="91"/>
  <c r="F152" i="91" s="1"/>
  <c r="K152" i="91"/>
  <c r="C152" i="91" s="1"/>
  <c r="K56" i="91"/>
  <c r="C56" i="91" s="1"/>
  <c r="E56" i="91"/>
  <c r="F56" i="91" s="1"/>
  <c r="D57" i="91"/>
  <c r="G151" i="91"/>
  <c r="H151" i="91"/>
  <c r="H56" i="87"/>
  <c r="G56" i="87"/>
  <c r="D154" i="87"/>
  <c r="E153" i="87"/>
  <c r="F153" i="87" s="1"/>
  <c r="K153" i="87"/>
  <c r="C153" i="87" s="1"/>
  <c r="H152" i="87"/>
  <c r="G152" i="87"/>
  <c r="E57" i="87"/>
  <c r="F57" i="87" s="1"/>
  <c r="D58" i="87"/>
  <c r="K57" i="87"/>
  <c r="C57" i="87" s="1"/>
  <c r="D217" i="53"/>
  <c r="K216" i="53"/>
  <c r="C216" i="53" s="1"/>
  <c r="K144" i="53"/>
  <c r="C144" i="53" s="1"/>
  <c r="D145" i="53"/>
  <c r="P71" i="68"/>
  <c r="K72" i="68"/>
  <c r="K72" i="65"/>
  <c r="P71" i="65"/>
  <c r="N71" i="67"/>
  <c r="I72" i="67"/>
  <c r="K72" i="66"/>
  <c r="P71" i="66"/>
  <c r="D73" i="53"/>
  <c r="K72" i="53"/>
  <c r="C72" i="53" s="1"/>
  <c r="K73" i="47"/>
  <c r="P73" i="47" s="1"/>
  <c r="C217" i="53" l="1"/>
  <c r="H152" i="91"/>
  <c r="G152" i="91"/>
  <c r="D154" i="91"/>
  <c r="K153" i="91"/>
  <c r="C153" i="91" s="1"/>
  <c r="E153" i="91"/>
  <c r="F153" i="91" s="1"/>
  <c r="D58" i="91"/>
  <c r="K57" i="91"/>
  <c r="C57" i="91" s="1"/>
  <c r="E57" i="91"/>
  <c r="F57" i="91" s="1"/>
  <c r="H56" i="91"/>
  <c r="G56" i="91"/>
  <c r="H57" i="87"/>
  <c r="G57" i="87"/>
  <c r="H153" i="87"/>
  <c r="G153" i="87"/>
  <c r="E154" i="87"/>
  <c r="F154" i="87" s="1"/>
  <c r="K154" i="87"/>
  <c r="C154" i="87" s="1"/>
  <c r="E58" i="87"/>
  <c r="F58" i="87" s="1"/>
  <c r="K58" i="87"/>
  <c r="C58" i="87" s="1"/>
  <c r="K145" i="53"/>
  <c r="C145" i="53" s="1"/>
  <c r="D146" i="53"/>
  <c r="D218" i="53"/>
  <c r="K217" i="53"/>
  <c r="P72" i="66"/>
  <c r="K73" i="66"/>
  <c r="K73" i="65"/>
  <c r="P72" i="65"/>
  <c r="N72" i="67"/>
  <c r="I73" i="67"/>
  <c r="P72" i="68"/>
  <c r="K73" i="68"/>
  <c r="K73" i="53"/>
  <c r="C73" i="53" s="1"/>
  <c r="D74" i="53"/>
  <c r="K74" i="47"/>
  <c r="P74" i="47" s="1"/>
  <c r="E154" i="91" l="1"/>
  <c r="F154" i="91" s="1"/>
  <c r="K154" i="91"/>
  <c r="C154" i="91" s="1"/>
  <c r="K58" i="91"/>
  <c r="C58" i="91" s="1"/>
  <c r="E58" i="91"/>
  <c r="F58" i="91" s="1"/>
  <c r="G57" i="91"/>
  <c r="H57" i="91"/>
  <c r="G153" i="91"/>
  <c r="H153" i="91"/>
  <c r="D12" i="89"/>
  <c r="D108" i="89"/>
  <c r="H58" i="87"/>
  <c r="G58" i="87"/>
  <c r="H154" i="87"/>
  <c r="G154" i="87"/>
  <c r="K218" i="53"/>
  <c r="C218" i="53" s="1"/>
  <c r="D219" i="53"/>
  <c r="D147" i="53"/>
  <c r="K146" i="53"/>
  <c r="C146" i="53" s="1"/>
  <c r="P73" i="68"/>
  <c r="K74" i="68"/>
  <c r="K74" i="65"/>
  <c r="P73" i="65"/>
  <c r="N73" i="67"/>
  <c r="I74" i="67"/>
  <c r="K74" i="66"/>
  <c r="P73" i="66"/>
  <c r="K74" i="53"/>
  <c r="C74" i="53" s="1"/>
  <c r="D75" i="53"/>
  <c r="K75" i="47"/>
  <c r="P75" i="47" s="1"/>
  <c r="D12" i="92" l="1"/>
  <c r="D108" i="92"/>
  <c r="H58" i="91"/>
  <c r="G58" i="91"/>
  <c r="H154" i="91"/>
  <c r="G154" i="91"/>
  <c r="K108" i="89"/>
  <c r="C108" i="89" s="1"/>
  <c r="E108" i="89"/>
  <c r="F108" i="89" s="1"/>
  <c r="D109" i="89"/>
  <c r="D13" i="89"/>
  <c r="E12" i="89"/>
  <c r="F12" i="89" s="1"/>
  <c r="K12" i="89"/>
  <c r="C12" i="89" s="1"/>
  <c r="D148" i="53"/>
  <c r="K147" i="53"/>
  <c r="C147" i="53" s="1"/>
  <c r="K219" i="53"/>
  <c r="C219" i="53" s="1"/>
  <c r="D220" i="53"/>
  <c r="K75" i="65"/>
  <c r="P74" i="65"/>
  <c r="N74" i="67"/>
  <c r="I75" i="67"/>
  <c r="P74" i="68"/>
  <c r="K75" i="68"/>
  <c r="P74" i="66"/>
  <c r="K75" i="66"/>
  <c r="D76" i="53"/>
  <c r="K75" i="53"/>
  <c r="C75" i="53" s="1"/>
  <c r="K76" i="47"/>
  <c r="P76" i="47" s="1"/>
  <c r="C220" i="53" l="1"/>
  <c r="D109" i="92"/>
  <c r="K108" i="92"/>
  <c r="C108" i="92" s="1"/>
  <c r="E108" i="92"/>
  <c r="F108" i="92" s="1"/>
  <c r="E12" i="92"/>
  <c r="F12" i="92" s="1"/>
  <c r="D13" i="92"/>
  <c r="K12" i="92"/>
  <c r="C12" i="92" s="1"/>
  <c r="D14" i="89"/>
  <c r="E13" i="89"/>
  <c r="F13" i="89" s="1"/>
  <c r="K13" i="89"/>
  <c r="C13" i="89" s="1"/>
  <c r="H108" i="89"/>
  <c r="G108" i="89"/>
  <c r="K109" i="89"/>
  <c r="C109" i="89" s="1"/>
  <c r="E109" i="89"/>
  <c r="F109" i="89" s="1"/>
  <c r="D110" i="89"/>
  <c r="H12" i="89"/>
  <c r="G12" i="89"/>
  <c r="D221" i="53"/>
  <c r="K220" i="53"/>
  <c r="D149" i="53"/>
  <c r="K148" i="53"/>
  <c r="C148" i="53" s="1"/>
  <c r="K76" i="66"/>
  <c r="P75" i="66"/>
  <c r="N75" i="67"/>
  <c r="I76" i="67"/>
  <c r="P75" i="68"/>
  <c r="K76" i="68"/>
  <c r="K76" i="65"/>
  <c r="P75" i="65"/>
  <c r="D77" i="53"/>
  <c r="K76" i="53"/>
  <c r="C76" i="53" s="1"/>
  <c r="K77" i="47"/>
  <c r="P77" i="47" s="1"/>
  <c r="E13" i="92" l="1"/>
  <c r="F13" i="92" s="1"/>
  <c r="D14" i="92"/>
  <c r="K13" i="92"/>
  <c r="C13" i="92" s="1"/>
  <c r="D110" i="92"/>
  <c r="E109" i="92"/>
  <c r="F109" i="92" s="1"/>
  <c r="K109" i="92"/>
  <c r="C109" i="92" s="1"/>
  <c r="H12" i="92"/>
  <c r="G12" i="92"/>
  <c r="H108" i="92"/>
  <c r="G108" i="92"/>
  <c r="K110" i="89"/>
  <c r="C110" i="89" s="1"/>
  <c r="E110" i="89"/>
  <c r="F110" i="89" s="1"/>
  <c r="D111" i="89"/>
  <c r="H109" i="89"/>
  <c r="G109" i="89"/>
  <c r="H13" i="89"/>
  <c r="G13" i="89"/>
  <c r="D15" i="89"/>
  <c r="E14" i="89"/>
  <c r="F14" i="89" s="1"/>
  <c r="K14" i="89"/>
  <c r="C14" i="89" s="1"/>
  <c r="K149" i="53"/>
  <c r="C149" i="53" s="1"/>
  <c r="D150" i="53"/>
  <c r="K221" i="53"/>
  <c r="C221" i="53" s="1"/>
  <c r="D222" i="53"/>
  <c r="N76" i="67"/>
  <c r="I77" i="67"/>
  <c r="P76" i="68"/>
  <c r="K77" i="68"/>
  <c r="K77" i="65"/>
  <c r="P76" i="65"/>
  <c r="P76" i="66"/>
  <c r="K77" i="66"/>
  <c r="D78" i="53"/>
  <c r="K77" i="53"/>
  <c r="C77" i="53" s="1"/>
  <c r="K78" i="47"/>
  <c r="P78" i="47" s="1"/>
  <c r="D111" i="92" l="1"/>
  <c r="E110" i="92"/>
  <c r="F110" i="92" s="1"/>
  <c r="K110" i="92"/>
  <c r="C110" i="92" s="1"/>
  <c r="E14" i="92"/>
  <c r="F14" i="92" s="1"/>
  <c r="D15" i="92"/>
  <c r="K14" i="92"/>
  <c r="C14" i="92" s="1"/>
  <c r="H109" i="92"/>
  <c r="G109" i="92"/>
  <c r="H13" i="92"/>
  <c r="G13" i="92"/>
  <c r="D16" i="89"/>
  <c r="E15" i="89"/>
  <c r="F15" i="89" s="1"/>
  <c r="K15" i="89"/>
  <c r="C15" i="89" s="1"/>
  <c r="K111" i="89"/>
  <c r="C111" i="89" s="1"/>
  <c r="E111" i="89"/>
  <c r="F111" i="89" s="1"/>
  <c r="D112" i="89"/>
  <c r="H110" i="89"/>
  <c r="G110" i="89"/>
  <c r="H14" i="89"/>
  <c r="G14" i="89"/>
  <c r="K222" i="53"/>
  <c r="C222" i="53" s="1"/>
  <c r="D223" i="53"/>
  <c r="K150" i="53"/>
  <c r="C150" i="53" s="1"/>
  <c r="D151" i="53"/>
  <c r="K78" i="66"/>
  <c r="P77" i="66"/>
  <c r="P77" i="68"/>
  <c r="K78" i="68"/>
  <c r="I78" i="67"/>
  <c r="N77" i="67"/>
  <c r="K78" i="65"/>
  <c r="P77" i="65"/>
  <c r="D79" i="53"/>
  <c r="K78" i="53"/>
  <c r="C78" i="53" s="1"/>
  <c r="K79" i="47"/>
  <c r="P79" i="47" s="1"/>
  <c r="H110" i="92" l="1"/>
  <c r="G110" i="92"/>
  <c r="H14" i="92"/>
  <c r="G14" i="92"/>
  <c r="E15" i="92"/>
  <c r="F15" i="92" s="1"/>
  <c r="D16" i="92"/>
  <c r="K15" i="92"/>
  <c r="C15" i="92" s="1"/>
  <c r="D112" i="92"/>
  <c r="E111" i="92"/>
  <c r="F111" i="92" s="1"/>
  <c r="K111" i="92"/>
  <c r="C111" i="92" s="1"/>
  <c r="K112" i="89"/>
  <c r="C112" i="89" s="1"/>
  <c r="E112" i="89"/>
  <c r="F112" i="89" s="1"/>
  <c r="D113" i="89"/>
  <c r="H15" i="89"/>
  <c r="G15" i="89"/>
  <c r="H111" i="89"/>
  <c r="G111" i="89"/>
  <c r="D17" i="89"/>
  <c r="E16" i="89"/>
  <c r="F16" i="89" s="1"/>
  <c r="K16" i="89"/>
  <c r="C16" i="89" s="1"/>
  <c r="K151" i="53"/>
  <c r="C151" i="53" s="1"/>
  <c r="D152" i="53"/>
  <c r="K223" i="53"/>
  <c r="C223" i="53" s="1"/>
  <c r="D224" i="53"/>
  <c r="K79" i="65"/>
  <c r="P78" i="65"/>
  <c r="P78" i="68"/>
  <c r="K79" i="68"/>
  <c r="I79" i="67"/>
  <c r="N78" i="67"/>
  <c r="P78" i="66"/>
  <c r="K79" i="66"/>
  <c r="D80" i="53"/>
  <c r="K79" i="53"/>
  <c r="C79" i="53" s="1"/>
  <c r="K80" i="47"/>
  <c r="P80" i="47" s="1"/>
  <c r="D113" i="92" l="1"/>
  <c r="E112" i="92"/>
  <c r="F112" i="92" s="1"/>
  <c r="K112" i="92"/>
  <c r="C112" i="92" s="1"/>
  <c r="E16" i="92"/>
  <c r="F16" i="92" s="1"/>
  <c r="D17" i="92"/>
  <c r="K16" i="92"/>
  <c r="C16" i="92" s="1"/>
  <c r="H111" i="92"/>
  <c r="G111" i="92"/>
  <c r="H15" i="92"/>
  <c r="G15" i="92"/>
  <c r="D18" i="89"/>
  <c r="E17" i="89"/>
  <c r="F17" i="89" s="1"/>
  <c r="K17" i="89"/>
  <c r="C17" i="89" s="1"/>
  <c r="H112" i="89"/>
  <c r="G112" i="89"/>
  <c r="K113" i="89"/>
  <c r="C113" i="89" s="1"/>
  <c r="E113" i="89"/>
  <c r="F113" i="89" s="1"/>
  <c r="D114" i="89"/>
  <c r="H16" i="89"/>
  <c r="G16" i="89"/>
  <c r="K224" i="53"/>
  <c r="C224" i="53" s="1"/>
  <c r="D225" i="53"/>
  <c r="K152" i="53"/>
  <c r="C152" i="53" s="1"/>
  <c r="D153" i="53"/>
  <c r="K80" i="66"/>
  <c r="P79" i="66"/>
  <c r="P79" i="68"/>
  <c r="K80" i="68"/>
  <c r="I80" i="67"/>
  <c r="N79" i="67"/>
  <c r="K80" i="65"/>
  <c r="P79" i="65"/>
  <c r="D81" i="53"/>
  <c r="K80" i="53"/>
  <c r="C80" i="53" s="1"/>
  <c r="K81" i="47"/>
  <c r="P81" i="47" s="1"/>
  <c r="H16" i="92" l="1"/>
  <c r="G16" i="92"/>
  <c r="H112" i="92"/>
  <c r="G112" i="92"/>
  <c r="E17" i="92"/>
  <c r="F17" i="92" s="1"/>
  <c r="D18" i="92"/>
  <c r="K17" i="92"/>
  <c r="C17" i="92" s="1"/>
  <c r="D114" i="92"/>
  <c r="E113" i="92"/>
  <c r="F113" i="92" s="1"/>
  <c r="K113" i="92"/>
  <c r="C113" i="92" s="1"/>
  <c r="K114" i="89"/>
  <c r="C114" i="89" s="1"/>
  <c r="E114" i="89"/>
  <c r="F114" i="89" s="1"/>
  <c r="D115" i="89"/>
  <c r="H113" i="89"/>
  <c r="G113" i="89"/>
  <c r="H17" i="89"/>
  <c r="G17" i="89"/>
  <c r="D19" i="89"/>
  <c r="E18" i="89"/>
  <c r="F18" i="89" s="1"/>
  <c r="K18" i="89"/>
  <c r="C18" i="89" s="1"/>
  <c r="K153" i="53"/>
  <c r="C153" i="53" s="1"/>
  <c r="D154" i="53"/>
  <c r="K225" i="53"/>
  <c r="C225" i="53" s="1"/>
  <c r="D226" i="53"/>
  <c r="P80" i="68"/>
  <c r="K81" i="68"/>
  <c r="K81" i="65"/>
  <c r="P80" i="65"/>
  <c r="I81" i="67"/>
  <c r="N80" i="67"/>
  <c r="P80" i="66"/>
  <c r="K81" i="66"/>
  <c r="D82" i="53"/>
  <c r="K81" i="53"/>
  <c r="C81" i="53" s="1"/>
  <c r="K82" i="47"/>
  <c r="P82" i="47" s="1"/>
  <c r="K226" i="53" l="1"/>
  <c r="C226" i="53" s="1"/>
  <c r="K154" i="53"/>
  <c r="C154" i="53" s="1"/>
  <c r="K82" i="53"/>
  <c r="C82" i="53" s="1"/>
  <c r="D115" i="92"/>
  <c r="E114" i="92"/>
  <c r="F114" i="92" s="1"/>
  <c r="K114" i="92"/>
  <c r="C114" i="92" s="1"/>
  <c r="E18" i="92"/>
  <c r="F18" i="92" s="1"/>
  <c r="D19" i="92"/>
  <c r="K18" i="92"/>
  <c r="C18" i="92" s="1"/>
  <c r="H113" i="92"/>
  <c r="G113" i="92"/>
  <c r="H17" i="92"/>
  <c r="G17" i="92"/>
  <c r="D20" i="89"/>
  <c r="E19" i="89"/>
  <c r="F19" i="89" s="1"/>
  <c r="K19" i="89"/>
  <c r="C19" i="89" s="1"/>
  <c r="H114" i="89"/>
  <c r="G114" i="89"/>
  <c r="K115" i="89"/>
  <c r="C115" i="89" s="1"/>
  <c r="E115" i="89"/>
  <c r="F115" i="89" s="1"/>
  <c r="D116" i="89"/>
  <c r="H18" i="89"/>
  <c r="G18" i="89"/>
  <c r="K82" i="65"/>
  <c r="P81" i="65"/>
  <c r="P81" i="68"/>
  <c r="K82" i="68"/>
  <c r="P81" i="66"/>
  <c r="K82" i="66"/>
  <c r="I82" i="67"/>
  <c r="N81" i="67"/>
  <c r="K83" i="47"/>
  <c r="P83" i="47" s="1"/>
  <c r="H18" i="92" l="1"/>
  <c r="G18" i="92"/>
  <c r="H114" i="92"/>
  <c r="G114" i="92"/>
  <c r="E19" i="92"/>
  <c r="F19" i="92" s="1"/>
  <c r="D20" i="92"/>
  <c r="K19" i="92"/>
  <c r="C19" i="92" s="1"/>
  <c r="D116" i="92"/>
  <c r="E115" i="92"/>
  <c r="F115" i="92" s="1"/>
  <c r="K115" i="92"/>
  <c r="C115" i="92" s="1"/>
  <c r="K116" i="89"/>
  <c r="C116" i="89" s="1"/>
  <c r="E116" i="89"/>
  <c r="F116" i="89" s="1"/>
  <c r="D117" i="89"/>
  <c r="H115" i="89"/>
  <c r="G115" i="89"/>
  <c r="H19" i="89"/>
  <c r="G19" i="89"/>
  <c r="D21" i="89"/>
  <c r="E20" i="89"/>
  <c r="F20" i="89" s="1"/>
  <c r="K20" i="89"/>
  <c r="C20" i="89" s="1"/>
  <c r="N82" i="67"/>
  <c r="I83" i="67"/>
  <c r="P82" i="68"/>
  <c r="K83" i="68"/>
  <c r="K83" i="66"/>
  <c r="P82" i="66"/>
  <c r="K83" i="65"/>
  <c r="P82" i="65"/>
  <c r="K84" i="47"/>
  <c r="P84" i="47" s="1"/>
  <c r="E20" i="92" l="1"/>
  <c r="F20" i="92" s="1"/>
  <c r="D21" i="92"/>
  <c r="K20" i="92"/>
  <c r="C20" i="92" s="1"/>
  <c r="D117" i="92"/>
  <c r="E116" i="92"/>
  <c r="F116" i="92" s="1"/>
  <c r="K116" i="92"/>
  <c r="C116" i="92" s="1"/>
  <c r="H115" i="92"/>
  <c r="G115" i="92"/>
  <c r="H19" i="92"/>
  <c r="G19" i="92"/>
  <c r="D22" i="89"/>
  <c r="E21" i="89"/>
  <c r="F21" i="89" s="1"/>
  <c r="K21" i="89"/>
  <c r="C21" i="89" s="1"/>
  <c r="H116" i="89"/>
  <c r="G116" i="89"/>
  <c r="K117" i="89"/>
  <c r="C117" i="89" s="1"/>
  <c r="E117" i="89"/>
  <c r="F117" i="89" s="1"/>
  <c r="D118" i="89"/>
  <c r="H20" i="89"/>
  <c r="G20" i="89"/>
  <c r="P83" i="68"/>
  <c r="K84" i="68"/>
  <c r="I84" i="67"/>
  <c r="N83" i="67"/>
  <c r="K84" i="65"/>
  <c r="P83" i="65"/>
  <c r="K84" i="66"/>
  <c r="P83" i="66"/>
  <c r="K85" i="47"/>
  <c r="P85" i="47" s="1"/>
  <c r="D118" i="92" l="1"/>
  <c r="E117" i="92"/>
  <c r="F117" i="92" s="1"/>
  <c r="K117" i="92"/>
  <c r="C117" i="92" s="1"/>
  <c r="E21" i="92"/>
  <c r="F21" i="92" s="1"/>
  <c r="D22" i="92"/>
  <c r="K21" i="92"/>
  <c r="C21" i="92" s="1"/>
  <c r="H116" i="92"/>
  <c r="G116" i="92"/>
  <c r="H20" i="92"/>
  <c r="G20" i="92"/>
  <c r="K118" i="89"/>
  <c r="C118" i="89" s="1"/>
  <c r="E118" i="89"/>
  <c r="F118" i="89" s="1"/>
  <c r="D119" i="89"/>
  <c r="H21" i="89"/>
  <c r="G21" i="89"/>
  <c r="H117" i="89"/>
  <c r="G117" i="89"/>
  <c r="D23" i="89"/>
  <c r="E22" i="89"/>
  <c r="F22" i="89" s="1"/>
  <c r="K22" i="89"/>
  <c r="C22" i="89" s="1"/>
  <c r="N84" i="67"/>
  <c r="I85" i="67"/>
  <c r="P84" i="68"/>
  <c r="K85" i="68"/>
  <c r="P84" i="66"/>
  <c r="K85" i="66"/>
  <c r="K85" i="65"/>
  <c r="P84" i="65"/>
  <c r="K86" i="47"/>
  <c r="P86" i="47" s="1"/>
  <c r="H117" i="92" l="1"/>
  <c r="G117" i="92"/>
  <c r="H21" i="92"/>
  <c r="G21" i="92"/>
  <c r="E22" i="92"/>
  <c r="F22" i="92" s="1"/>
  <c r="D23" i="92"/>
  <c r="K22" i="92"/>
  <c r="C22" i="92" s="1"/>
  <c r="D119" i="92"/>
  <c r="E118" i="92"/>
  <c r="F118" i="92" s="1"/>
  <c r="K118" i="92"/>
  <c r="C118" i="92" s="1"/>
  <c r="H118" i="89"/>
  <c r="G118" i="89"/>
  <c r="D24" i="89"/>
  <c r="E23" i="89"/>
  <c r="F23" i="89" s="1"/>
  <c r="K23" i="89"/>
  <c r="C23" i="89" s="1"/>
  <c r="K119" i="89"/>
  <c r="C119" i="89" s="1"/>
  <c r="E119" i="89"/>
  <c r="F119" i="89" s="1"/>
  <c r="D120" i="89"/>
  <c r="H22" i="89"/>
  <c r="G22" i="89"/>
  <c r="P85" i="68"/>
  <c r="K86" i="68"/>
  <c r="K86" i="66"/>
  <c r="P85" i="66"/>
  <c r="I86" i="67"/>
  <c r="N85" i="67"/>
  <c r="P85" i="65"/>
  <c r="K86" i="65"/>
  <c r="K87" i="47"/>
  <c r="P87" i="47" s="1"/>
  <c r="E119" i="92" l="1"/>
  <c r="F119" i="92" s="1"/>
  <c r="D120" i="92"/>
  <c r="K119" i="92"/>
  <c r="C119" i="92" s="1"/>
  <c r="E23" i="92"/>
  <c r="F23" i="92" s="1"/>
  <c r="D24" i="92"/>
  <c r="K23" i="92"/>
  <c r="C23" i="92" s="1"/>
  <c r="H118" i="92"/>
  <c r="G118" i="92"/>
  <c r="H22" i="92"/>
  <c r="G22" i="92"/>
  <c r="K120" i="89"/>
  <c r="C120" i="89" s="1"/>
  <c r="D121" i="89"/>
  <c r="E120" i="89"/>
  <c r="F120" i="89" s="1"/>
  <c r="H23" i="89"/>
  <c r="G23" i="89"/>
  <c r="H119" i="89"/>
  <c r="G119" i="89"/>
  <c r="E24" i="89"/>
  <c r="F24" i="89" s="1"/>
  <c r="K24" i="89"/>
  <c r="C24" i="89" s="1"/>
  <c r="D25" i="89"/>
  <c r="P86" i="65"/>
  <c r="K87" i="65"/>
  <c r="P86" i="66"/>
  <c r="K87" i="66"/>
  <c r="K87" i="68"/>
  <c r="P86" i="68"/>
  <c r="I87" i="67"/>
  <c r="N86" i="67"/>
  <c r="K88" i="47"/>
  <c r="P88" i="47" s="1"/>
  <c r="H23" i="92" l="1"/>
  <c r="G23" i="92"/>
  <c r="K120" i="92"/>
  <c r="C120" i="92" s="1"/>
  <c r="E120" i="92"/>
  <c r="F120" i="92" s="1"/>
  <c r="D121" i="92"/>
  <c r="E24" i="92"/>
  <c r="F24" i="92" s="1"/>
  <c r="D25" i="92"/>
  <c r="K24" i="92"/>
  <c r="C24" i="92" s="1"/>
  <c r="H119" i="92"/>
  <c r="G119" i="92"/>
  <c r="G24" i="89"/>
  <c r="H24" i="89"/>
  <c r="K121" i="89"/>
  <c r="C121" i="89" s="1"/>
  <c r="D122" i="89"/>
  <c r="E121" i="89"/>
  <c r="F121" i="89" s="1"/>
  <c r="G120" i="89"/>
  <c r="H120" i="89"/>
  <c r="E25" i="89"/>
  <c r="F25" i="89" s="1"/>
  <c r="K25" i="89"/>
  <c r="C25" i="89" s="1"/>
  <c r="D26" i="89"/>
  <c r="K88" i="65"/>
  <c r="P87" i="65"/>
  <c r="P87" i="66"/>
  <c r="K88" i="66"/>
  <c r="I88" i="67"/>
  <c r="N87" i="67"/>
  <c r="P87" i="68"/>
  <c r="K88" i="68"/>
  <c r="K89" i="47"/>
  <c r="P89" i="47" s="1"/>
  <c r="E25" i="92" l="1"/>
  <c r="F25" i="92" s="1"/>
  <c r="D26" i="92"/>
  <c r="K25" i="92"/>
  <c r="C25" i="92" s="1"/>
  <c r="G120" i="92"/>
  <c r="H120" i="92"/>
  <c r="H24" i="92"/>
  <c r="G24" i="92"/>
  <c r="K121" i="92"/>
  <c r="C121" i="92" s="1"/>
  <c r="E121" i="92"/>
  <c r="F121" i="92" s="1"/>
  <c r="D122" i="92"/>
  <c r="G25" i="89"/>
  <c r="H25" i="89"/>
  <c r="K122" i="89"/>
  <c r="C122" i="89" s="1"/>
  <c r="D123" i="89"/>
  <c r="E122" i="89"/>
  <c r="F122" i="89" s="1"/>
  <c r="E26" i="89"/>
  <c r="F26" i="89" s="1"/>
  <c r="K26" i="89"/>
  <c r="C26" i="89" s="1"/>
  <c r="D27" i="89"/>
  <c r="G121" i="89"/>
  <c r="H121" i="89"/>
  <c r="K89" i="66"/>
  <c r="P88" i="66"/>
  <c r="P88" i="68"/>
  <c r="K89" i="68"/>
  <c r="I89" i="67"/>
  <c r="N88" i="67"/>
  <c r="K89" i="65"/>
  <c r="P88" i="65"/>
  <c r="K90" i="47"/>
  <c r="P90" i="47" s="1"/>
  <c r="K122" i="92" l="1"/>
  <c r="C122" i="92" s="1"/>
  <c r="E122" i="92"/>
  <c r="F122" i="92" s="1"/>
  <c r="D123" i="92"/>
  <c r="E26" i="92"/>
  <c r="F26" i="92" s="1"/>
  <c r="D27" i="92"/>
  <c r="K26" i="92"/>
  <c r="C26" i="92" s="1"/>
  <c r="G121" i="92"/>
  <c r="H121" i="92"/>
  <c r="H25" i="92"/>
  <c r="G25" i="92"/>
  <c r="G26" i="89"/>
  <c r="H26" i="89"/>
  <c r="E27" i="89"/>
  <c r="F27" i="89" s="1"/>
  <c r="K27" i="89"/>
  <c r="C27" i="89" s="1"/>
  <c r="D28" i="89"/>
  <c r="K123" i="89"/>
  <c r="C123" i="89" s="1"/>
  <c r="D124" i="89"/>
  <c r="E123" i="89"/>
  <c r="F123" i="89" s="1"/>
  <c r="G122" i="89"/>
  <c r="H122" i="89"/>
  <c r="P89" i="68"/>
  <c r="K90" i="68"/>
  <c r="K90" i="65"/>
  <c r="P89" i="65"/>
  <c r="I90" i="67"/>
  <c r="N89" i="67"/>
  <c r="P89" i="66"/>
  <c r="K90" i="66"/>
  <c r="K91" i="47"/>
  <c r="P91" i="47" s="1"/>
  <c r="H26" i="92" l="1"/>
  <c r="G26" i="92"/>
  <c r="K123" i="92"/>
  <c r="C123" i="92" s="1"/>
  <c r="E123" i="92"/>
  <c r="F123" i="92" s="1"/>
  <c r="D124" i="92"/>
  <c r="G122" i="92"/>
  <c r="H122" i="92"/>
  <c r="E27" i="92"/>
  <c r="F27" i="92" s="1"/>
  <c r="D28" i="92"/>
  <c r="K27" i="92"/>
  <c r="C27" i="92" s="1"/>
  <c r="G123" i="89"/>
  <c r="H123" i="89"/>
  <c r="K124" i="89"/>
  <c r="C124" i="89" s="1"/>
  <c r="D125" i="89"/>
  <c r="E124" i="89"/>
  <c r="F124" i="89" s="1"/>
  <c r="G27" i="89"/>
  <c r="H27" i="89"/>
  <c r="E28" i="89"/>
  <c r="F28" i="89" s="1"/>
  <c r="K28" i="89"/>
  <c r="C28" i="89" s="1"/>
  <c r="D29" i="89"/>
  <c r="P90" i="66"/>
  <c r="K91" i="66"/>
  <c r="K91" i="65"/>
  <c r="P90" i="65"/>
  <c r="P90" i="68"/>
  <c r="K91" i="68"/>
  <c r="I91" i="67"/>
  <c r="N90" i="67"/>
  <c r="K92" i="47"/>
  <c r="P92" i="47" s="1"/>
  <c r="H27" i="92" l="1"/>
  <c r="G27" i="92"/>
  <c r="G123" i="92"/>
  <c r="H123" i="92"/>
  <c r="E28" i="92"/>
  <c r="F28" i="92" s="1"/>
  <c r="D29" i="92"/>
  <c r="K28" i="92"/>
  <c r="C28" i="92" s="1"/>
  <c r="K124" i="92"/>
  <c r="C124" i="92" s="1"/>
  <c r="E124" i="92"/>
  <c r="F124" i="92" s="1"/>
  <c r="D125" i="92"/>
  <c r="E29" i="89"/>
  <c r="F29" i="89" s="1"/>
  <c r="K29" i="89"/>
  <c r="C29" i="89" s="1"/>
  <c r="D30" i="89"/>
  <c r="G28" i="89"/>
  <c r="H28" i="89"/>
  <c r="K125" i="89"/>
  <c r="C125" i="89" s="1"/>
  <c r="D126" i="89"/>
  <c r="E125" i="89"/>
  <c r="F125" i="89" s="1"/>
  <c r="G124" i="89"/>
  <c r="H124" i="89"/>
  <c r="K92" i="65"/>
  <c r="P91" i="65"/>
  <c r="P91" i="68"/>
  <c r="K92" i="68"/>
  <c r="P91" i="66"/>
  <c r="K92" i="66"/>
  <c r="I92" i="67"/>
  <c r="N91" i="67"/>
  <c r="K93" i="47"/>
  <c r="P93" i="47" s="1"/>
  <c r="K125" i="92" l="1"/>
  <c r="C125" i="92" s="1"/>
  <c r="E125" i="92"/>
  <c r="F125" i="92" s="1"/>
  <c r="D126" i="92"/>
  <c r="E29" i="92"/>
  <c r="F29" i="92" s="1"/>
  <c r="D30" i="92"/>
  <c r="K29" i="92"/>
  <c r="C29" i="92" s="1"/>
  <c r="G124" i="92"/>
  <c r="H124" i="92"/>
  <c r="H28" i="92"/>
  <c r="G28" i="92"/>
  <c r="G125" i="89"/>
  <c r="H125" i="89"/>
  <c r="K126" i="89"/>
  <c r="C126" i="89" s="1"/>
  <c r="D127" i="89"/>
  <c r="E126" i="89"/>
  <c r="F126" i="89" s="1"/>
  <c r="E30" i="89"/>
  <c r="F30" i="89" s="1"/>
  <c r="K30" i="89"/>
  <c r="C30" i="89" s="1"/>
  <c r="D31" i="89"/>
  <c r="G29" i="89"/>
  <c r="H29" i="89"/>
  <c r="P92" i="68"/>
  <c r="K93" i="68"/>
  <c r="K93" i="66"/>
  <c r="P92" i="66"/>
  <c r="I93" i="67"/>
  <c r="N92" i="67"/>
  <c r="K93" i="65"/>
  <c r="P92" i="65"/>
  <c r="K94" i="47"/>
  <c r="P94" i="47" s="1"/>
  <c r="H29" i="92" l="1"/>
  <c r="G29" i="92"/>
  <c r="G125" i="92"/>
  <c r="H125" i="92"/>
  <c r="K126" i="92"/>
  <c r="C126" i="92" s="1"/>
  <c r="E126" i="92"/>
  <c r="F126" i="92" s="1"/>
  <c r="D127" i="92"/>
  <c r="E30" i="92"/>
  <c r="F30" i="92" s="1"/>
  <c r="D31" i="92"/>
  <c r="K30" i="92"/>
  <c r="C30" i="92" s="1"/>
  <c r="G30" i="89"/>
  <c r="H30" i="89"/>
  <c r="E31" i="89"/>
  <c r="F31" i="89" s="1"/>
  <c r="K31" i="89"/>
  <c r="C31" i="89" s="1"/>
  <c r="D32" i="89"/>
  <c r="K127" i="89"/>
  <c r="C127" i="89" s="1"/>
  <c r="D128" i="89"/>
  <c r="E127" i="89"/>
  <c r="F127" i="89" s="1"/>
  <c r="G126" i="89"/>
  <c r="H126" i="89"/>
  <c r="P93" i="66"/>
  <c r="K94" i="66"/>
  <c r="P93" i="68"/>
  <c r="K94" i="68"/>
  <c r="K94" i="65"/>
  <c r="P93" i="65"/>
  <c r="I94" i="67"/>
  <c r="N93" i="67"/>
  <c r="K95" i="47"/>
  <c r="P95" i="47" s="1"/>
  <c r="H30" i="92" l="1"/>
  <c r="G30" i="92"/>
  <c r="K127" i="92"/>
  <c r="C127" i="92" s="1"/>
  <c r="E127" i="92"/>
  <c r="F127" i="92" s="1"/>
  <c r="D128" i="92"/>
  <c r="G126" i="92"/>
  <c r="H126" i="92"/>
  <c r="E31" i="92"/>
  <c r="F31" i="92" s="1"/>
  <c r="D32" i="92"/>
  <c r="K31" i="92"/>
  <c r="C31" i="92" s="1"/>
  <c r="G127" i="89"/>
  <c r="H127" i="89"/>
  <c r="K128" i="89"/>
  <c r="C128" i="89" s="1"/>
  <c r="D129" i="89"/>
  <c r="E128" i="89"/>
  <c r="F128" i="89" s="1"/>
  <c r="G31" i="89"/>
  <c r="H31" i="89"/>
  <c r="E32" i="89"/>
  <c r="F32" i="89" s="1"/>
  <c r="K32" i="89"/>
  <c r="C32" i="89" s="1"/>
  <c r="D33" i="89"/>
  <c r="P94" i="68"/>
  <c r="K95" i="68"/>
  <c r="P94" i="66"/>
  <c r="K95" i="66"/>
  <c r="I95" i="67"/>
  <c r="N94" i="67"/>
  <c r="K95" i="65"/>
  <c r="P94" i="65"/>
  <c r="K96" i="47"/>
  <c r="P96" i="47" s="1"/>
  <c r="H31" i="92" l="1"/>
  <c r="G31" i="92"/>
  <c r="G127" i="92"/>
  <c r="H127" i="92"/>
  <c r="E32" i="92"/>
  <c r="F32" i="92" s="1"/>
  <c r="D33" i="92"/>
  <c r="K32" i="92"/>
  <c r="C32" i="92" s="1"/>
  <c r="K128" i="92"/>
  <c r="C128" i="92" s="1"/>
  <c r="E128" i="92"/>
  <c r="F128" i="92" s="1"/>
  <c r="D129" i="92"/>
  <c r="G32" i="89"/>
  <c r="H32" i="89"/>
  <c r="K129" i="89"/>
  <c r="C129" i="89" s="1"/>
  <c r="D130" i="89"/>
  <c r="E129" i="89"/>
  <c r="F129" i="89" s="1"/>
  <c r="E33" i="89"/>
  <c r="F33" i="89" s="1"/>
  <c r="K33" i="89"/>
  <c r="C33" i="89" s="1"/>
  <c r="D34" i="89"/>
  <c r="G128" i="89"/>
  <c r="H128" i="89"/>
  <c r="P95" i="66"/>
  <c r="K96" i="66"/>
  <c r="P95" i="68"/>
  <c r="K96" i="68"/>
  <c r="K96" i="65"/>
  <c r="P95" i="65"/>
  <c r="I96" i="67"/>
  <c r="N95" i="67"/>
  <c r="K97" i="47"/>
  <c r="P97" i="47" s="1"/>
  <c r="K129" i="92" l="1"/>
  <c r="C129" i="92" s="1"/>
  <c r="E129" i="92"/>
  <c r="F129" i="92" s="1"/>
  <c r="D130" i="92"/>
  <c r="E33" i="92"/>
  <c r="F33" i="92" s="1"/>
  <c r="D34" i="92"/>
  <c r="K33" i="92"/>
  <c r="C33" i="92" s="1"/>
  <c r="G128" i="92"/>
  <c r="H128" i="92"/>
  <c r="H32" i="92"/>
  <c r="G32" i="92"/>
  <c r="E34" i="89"/>
  <c r="F34" i="89" s="1"/>
  <c r="K34" i="89"/>
  <c r="C34" i="89" s="1"/>
  <c r="D35" i="89"/>
  <c r="K130" i="89"/>
  <c r="C130" i="89" s="1"/>
  <c r="D131" i="89"/>
  <c r="E130" i="89"/>
  <c r="F130" i="89" s="1"/>
  <c r="G33" i="89"/>
  <c r="H33" i="89"/>
  <c r="G129" i="89"/>
  <c r="H129" i="89"/>
  <c r="P96" i="68"/>
  <c r="K97" i="68"/>
  <c r="P96" i="66"/>
  <c r="K97" i="66"/>
  <c r="I97" i="67"/>
  <c r="N96" i="67"/>
  <c r="K97" i="65"/>
  <c r="P96" i="65"/>
  <c r="K98" i="47"/>
  <c r="P98" i="47" s="1"/>
  <c r="H33" i="92" l="1"/>
  <c r="G33" i="92"/>
  <c r="G129" i="92"/>
  <c r="H129" i="92"/>
  <c r="K130" i="92"/>
  <c r="C130" i="92" s="1"/>
  <c r="E130" i="92"/>
  <c r="F130" i="92" s="1"/>
  <c r="D131" i="92"/>
  <c r="E34" i="92"/>
  <c r="F34" i="92" s="1"/>
  <c r="D35" i="92"/>
  <c r="K34" i="92"/>
  <c r="C34" i="92" s="1"/>
  <c r="E35" i="89"/>
  <c r="F35" i="89" s="1"/>
  <c r="D36" i="89"/>
  <c r="K35" i="89"/>
  <c r="C35" i="89" s="1"/>
  <c r="G130" i="89"/>
  <c r="H130" i="89"/>
  <c r="D132" i="89"/>
  <c r="K131" i="89"/>
  <c r="C131" i="89" s="1"/>
  <c r="E131" i="89"/>
  <c r="F131" i="89" s="1"/>
  <c r="G34" i="89"/>
  <c r="H34" i="89"/>
  <c r="P97" i="66"/>
  <c r="K98" i="66"/>
  <c r="P97" i="68"/>
  <c r="K98" i="68"/>
  <c r="K98" i="65"/>
  <c r="P97" i="65"/>
  <c r="N97" i="67"/>
  <c r="I98" i="67"/>
  <c r="K99" i="47"/>
  <c r="P99" i="47" s="1"/>
  <c r="G130" i="92" l="1"/>
  <c r="H130" i="92"/>
  <c r="H34" i="92"/>
  <c r="G34" i="92"/>
  <c r="D132" i="92"/>
  <c r="K131" i="92"/>
  <c r="C131" i="92" s="1"/>
  <c r="E131" i="92"/>
  <c r="F131" i="92" s="1"/>
  <c r="E35" i="92"/>
  <c r="F35" i="92" s="1"/>
  <c r="D36" i="92"/>
  <c r="K35" i="92"/>
  <c r="C35" i="92" s="1"/>
  <c r="G131" i="89"/>
  <c r="H131" i="89"/>
  <c r="D37" i="89"/>
  <c r="K36" i="89"/>
  <c r="C36" i="89" s="1"/>
  <c r="E36" i="89"/>
  <c r="F36" i="89" s="1"/>
  <c r="D133" i="89"/>
  <c r="E132" i="89"/>
  <c r="F132" i="89" s="1"/>
  <c r="K132" i="89"/>
  <c r="C132" i="89" s="1"/>
  <c r="G35" i="89"/>
  <c r="H35" i="89"/>
  <c r="N98" i="67"/>
  <c r="I99" i="67"/>
  <c r="P98" i="68"/>
  <c r="K99" i="68"/>
  <c r="P98" i="66"/>
  <c r="K99" i="66"/>
  <c r="K99" i="65"/>
  <c r="P98" i="65"/>
  <c r="K100" i="47"/>
  <c r="P100" i="47" s="1"/>
  <c r="H35" i="92" l="1"/>
  <c r="G35" i="92"/>
  <c r="G131" i="92"/>
  <c r="H131" i="92"/>
  <c r="K36" i="92"/>
  <c r="C36" i="92" s="1"/>
  <c r="E36" i="92"/>
  <c r="F36" i="92" s="1"/>
  <c r="D37" i="92"/>
  <c r="D133" i="92"/>
  <c r="K132" i="92"/>
  <c r="C132" i="92" s="1"/>
  <c r="E132" i="92"/>
  <c r="F132" i="92" s="1"/>
  <c r="D134" i="89"/>
  <c r="K133" i="89"/>
  <c r="C133" i="89" s="1"/>
  <c r="E133" i="89"/>
  <c r="F133" i="89" s="1"/>
  <c r="H132" i="89"/>
  <c r="G132" i="89"/>
  <c r="D38" i="89"/>
  <c r="E37" i="89"/>
  <c r="F37" i="89" s="1"/>
  <c r="K37" i="89"/>
  <c r="C37" i="89" s="1"/>
  <c r="H36" i="89"/>
  <c r="G36" i="89"/>
  <c r="P99" i="68"/>
  <c r="K100" i="68"/>
  <c r="P99" i="66"/>
  <c r="K100" i="66"/>
  <c r="N99" i="67"/>
  <c r="I100" i="67"/>
  <c r="P99" i="65"/>
  <c r="K100" i="65"/>
  <c r="K101" i="47"/>
  <c r="P101" i="47" s="1"/>
  <c r="G36" i="92" l="1"/>
  <c r="H36" i="92"/>
  <c r="D134" i="92"/>
  <c r="E133" i="92"/>
  <c r="F133" i="92" s="1"/>
  <c r="K133" i="92"/>
  <c r="C133" i="92" s="1"/>
  <c r="H132" i="92"/>
  <c r="G132" i="92"/>
  <c r="K37" i="92"/>
  <c r="C37" i="92" s="1"/>
  <c r="E37" i="92"/>
  <c r="F37" i="92" s="1"/>
  <c r="D38" i="92"/>
  <c r="H37" i="89"/>
  <c r="G37" i="89"/>
  <c r="H133" i="89"/>
  <c r="G133" i="89"/>
  <c r="D39" i="89"/>
  <c r="E38" i="89"/>
  <c r="F38" i="89" s="1"/>
  <c r="K38" i="89"/>
  <c r="C38" i="89" s="1"/>
  <c r="D135" i="89"/>
  <c r="K134" i="89"/>
  <c r="C134" i="89" s="1"/>
  <c r="E134" i="89"/>
  <c r="F134" i="89" s="1"/>
  <c r="P100" i="65"/>
  <c r="K101" i="65"/>
  <c r="P100" i="66"/>
  <c r="K101" i="66"/>
  <c r="N100" i="67"/>
  <c r="I101" i="67"/>
  <c r="P100" i="68"/>
  <c r="K101" i="68"/>
  <c r="K102" i="47"/>
  <c r="P102" i="47" s="1"/>
  <c r="K38" i="92" l="1"/>
  <c r="C38" i="92" s="1"/>
  <c r="E38" i="92"/>
  <c r="F38" i="92" s="1"/>
  <c r="D39" i="92"/>
  <c r="H133" i="92"/>
  <c r="G133" i="92"/>
  <c r="D135" i="92"/>
  <c r="E134" i="92"/>
  <c r="F134" i="92" s="1"/>
  <c r="K134" i="92"/>
  <c r="C134" i="92" s="1"/>
  <c r="G37" i="92"/>
  <c r="H37" i="92"/>
  <c r="H38" i="89"/>
  <c r="G38" i="89"/>
  <c r="D136" i="89"/>
  <c r="K135" i="89"/>
  <c r="C135" i="89" s="1"/>
  <c r="E135" i="89"/>
  <c r="F135" i="89" s="1"/>
  <c r="H134" i="89"/>
  <c r="G134" i="89"/>
  <c r="D40" i="89"/>
  <c r="E39" i="89"/>
  <c r="F39" i="89" s="1"/>
  <c r="K39" i="89"/>
  <c r="C39" i="89" s="1"/>
  <c r="P101" i="68"/>
  <c r="K102" i="68"/>
  <c r="K102" i="66"/>
  <c r="P101" i="66"/>
  <c r="N101" i="67"/>
  <c r="I102" i="67"/>
  <c r="P101" i="65"/>
  <c r="K102" i="65"/>
  <c r="K103" i="47"/>
  <c r="P103" i="47" s="1"/>
  <c r="G38" i="92" l="1"/>
  <c r="H38" i="92"/>
  <c r="H134" i="92"/>
  <c r="G134" i="92"/>
  <c r="K39" i="92"/>
  <c r="C39" i="92" s="1"/>
  <c r="E39" i="92"/>
  <c r="F39" i="92" s="1"/>
  <c r="D40" i="92"/>
  <c r="D136" i="92"/>
  <c r="E135" i="92"/>
  <c r="F135" i="92" s="1"/>
  <c r="K135" i="92"/>
  <c r="C135" i="92" s="1"/>
  <c r="D41" i="89"/>
  <c r="E40" i="89"/>
  <c r="F40" i="89" s="1"/>
  <c r="K40" i="89"/>
  <c r="C40" i="89" s="1"/>
  <c r="D137" i="89"/>
  <c r="K136" i="89"/>
  <c r="C136" i="89" s="1"/>
  <c r="E136" i="89"/>
  <c r="F136" i="89" s="1"/>
  <c r="H39" i="89"/>
  <c r="G39" i="89"/>
  <c r="H135" i="89"/>
  <c r="G135" i="89"/>
  <c r="K103" i="65"/>
  <c r="P102" i="65"/>
  <c r="P102" i="66"/>
  <c r="K103" i="66"/>
  <c r="I103" i="67"/>
  <c r="N102" i="67"/>
  <c r="P102" i="68"/>
  <c r="K103" i="68"/>
  <c r="K104" i="47"/>
  <c r="P104" i="47" s="1"/>
  <c r="G39" i="92" l="1"/>
  <c r="H39" i="92"/>
  <c r="D137" i="92"/>
  <c r="E136" i="92"/>
  <c r="F136" i="92" s="1"/>
  <c r="K136" i="92"/>
  <c r="C136" i="92" s="1"/>
  <c r="K40" i="92"/>
  <c r="C40" i="92" s="1"/>
  <c r="E40" i="92"/>
  <c r="F40" i="92" s="1"/>
  <c r="D41" i="92"/>
  <c r="H135" i="92"/>
  <c r="G135" i="92"/>
  <c r="H136" i="89"/>
  <c r="G136" i="89"/>
  <c r="D138" i="89"/>
  <c r="K137" i="89"/>
  <c r="C137" i="89" s="1"/>
  <c r="E137" i="89"/>
  <c r="F137" i="89" s="1"/>
  <c r="H40" i="89"/>
  <c r="G40" i="89"/>
  <c r="D42" i="89"/>
  <c r="E41" i="89"/>
  <c r="F41" i="89" s="1"/>
  <c r="K41" i="89"/>
  <c r="C41" i="89" s="1"/>
  <c r="P103" i="68"/>
  <c r="K104" i="68"/>
  <c r="P103" i="66"/>
  <c r="K104" i="66"/>
  <c r="N103" i="67"/>
  <c r="I104" i="67"/>
  <c r="P103" i="65"/>
  <c r="K104" i="65"/>
  <c r="K105" i="47"/>
  <c r="P105" i="47" s="1"/>
  <c r="K41" i="92" l="1"/>
  <c r="C41" i="92" s="1"/>
  <c r="E41" i="92"/>
  <c r="F41" i="92" s="1"/>
  <c r="D42" i="92"/>
  <c r="H136" i="92"/>
  <c r="G136" i="92"/>
  <c r="G40" i="92"/>
  <c r="H40" i="92"/>
  <c r="D138" i="92"/>
  <c r="E137" i="92"/>
  <c r="F137" i="92" s="1"/>
  <c r="K137" i="92"/>
  <c r="C137" i="92" s="1"/>
  <c r="D43" i="89"/>
  <c r="E42" i="89"/>
  <c r="F42" i="89" s="1"/>
  <c r="K42" i="89"/>
  <c r="C42" i="89" s="1"/>
  <c r="D139" i="89"/>
  <c r="K138" i="89"/>
  <c r="C138" i="89" s="1"/>
  <c r="E138" i="89"/>
  <c r="F138" i="89" s="1"/>
  <c r="H41" i="89"/>
  <c r="G41" i="89"/>
  <c r="H137" i="89"/>
  <c r="G137" i="89"/>
  <c r="P104" i="66"/>
  <c r="K105" i="66"/>
  <c r="N104" i="67"/>
  <c r="I105" i="67"/>
  <c r="P104" i="68"/>
  <c r="K105" i="68"/>
  <c r="P104" i="65"/>
  <c r="K105" i="65"/>
  <c r="K106" i="47"/>
  <c r="P106" i="47" s="1"/>
  <c r="D139" i="92" l="1"/>
  <c r="E138" i="92"/>
  <c r="F138" i="92" s="1"/>
  <c r="K138" i="92"/>
  <c r="C138" i="92" s="1"/>
  <c r="K42" i="92"/>
  <c r="C42" i="92" s="1"/>
  <c r="E42" i="92"/>
  <c r="F42" i="92" s="1"/>
  <c r="D43" i="92"/>
  <c r="G41" i="92"/>
  <c r="H41" i="92"/>
  <c r="H137" i="92"/>
  <c r="G137" i="92"/>
  <c r="H42" i="89"/>
  <c r="G42" i="89"/>
  <c r="D140" i="89"/>
  <c r="K139" i="89"/>
  <c r="C139" i="89" s="1"/>
  <c r="E139" i="89"/>
  <c r="F139" i="89" s="1"/>
  <c r="H138" i="89"/>
  <c r="G138" i="89"/>
  <c r="D44" i="89"/>
  <c r="E43" i="89"/>
  <c r="F43" i="89" s="1"/>
  <c r="K43" i="89"/>
  <c r="C43" i="89" s="1"/>
  <c r="P105" i="65"/>
  <c r="K106" i="65"/>
  <c r="I106" i="67"/>
  <c r="N105" i="67"/>
  <c r="P105" i="68"/>
  <c r="K106" i="68"/>
  <c r="P105" i="66"/>
  <c r="K106" i="66"/>
  <c r="K107" i="47"/>
  <c r="P107" i="47" s="1"/>
  <c r="H138" i="92" l="1"/>
  <c r="G138" i="92"/>
  <c r="K43" i="92"/>
  <c r="C43" i="92" s="1"/>
  <c r="E43" i="92"/>
  <c r="F43" i="92" s="1"/>
  <c r="D44" i="92"/>
  <c r="G42" i="92"/>
  <c r="H42" i="92"/>
  <c r="D140" i="92"/>
  <c r="E139" i="92"/>
  <c r="F139" i="92" s="1"/>
  <c r="K139" i="92"/>
  <c r="C139" i="92" s="1"/>
  <c r="D45" i="89"/>
  <c r="E44" i="89"/>
  <c r="F44" i="89" s="1"/>
  <c r="K44" i="89"/>
  <c r="C44" i="89" s="1"/>
  <c r="D141" i="89"/>
  <c r="K140" i="89"/>
  <c r="C140" i="89" s="1"/>
  <c r="E140" i="89"/>
  <c r="F140" i="89" s="1"/>
  <c r="H43" i="89"/>
  <c r="G43" i="89"/>
  <c r="H139" i="89"/>
  <c r="G139" i="89"/>
  <c r="I107" i="67"/>
  <c r="N106" i="67"/>
  <c r="P106" i="68"/>
  <c r="K107" i="68"/>
  <c r="P106" i="66"/>
  <c r="K107" i="66"/>
  <c r="K107" i="65"/>
  <c r="P106" i="65"/>
  <c r="K108" i="47"/>
  <c r="P108" i="47" s="1"/>
  <c r="D141" i="92" l="1"/>
  <c r="E140" i="92"/>
  <c r="F140" i="92" s="1"/>
  <c r="K140" i="92"/>
  <c r="C140" i="92" s="1"/>
  <c r="G43" i="92"/>
  <c r="H43" i="92"/>
  <c r="H139" i="92"/>
  <c r="G139" i="92"/>
  <c r="K44" i="92"/>
  <c r="C44" i="92" s="1"/>
  <c r="E44" i="92"/>
  <c r="F44" i="92" s="1"/>
  <c r="D45" i="92"/>
  <c r="H140" i="89"/>
  <c r="G140" i="89"/>
  <c r="H44" i="89"/>
  <c r="G44" i="89"/>
  <c r="D46" i="89"/>
  <c r="E45" i="89"/>
  <c r="F45" i="89" s="1"/>
  <c r="K45" i="89"/>
  <c r="C45" i="89" s="1"/>
  <c r="D142" i="89"/>
  <c r="K141" i="89"/>
  <c r="C141" i="89" s="1"/>
  <c r="E141" i="89"/>
  <c r="F141" i="89" s="1"/>
  <c r="P107" i="65"/>
  <c r="K108" i="65"/>
  <c r="K108" i="66"/>
  <c r="P107" i="66"/>
  <c r="P107" i="68"/>
  <c r="K108" i="68"/>
  <c r="I108" i="67"/>
  <c r="N107" i="67"/>
  <c r="K109" i="47"/>
  <c r="P109" i="47" s="1"/>
  <c r="H140" i="92" l="1"/>
  <c r="G140" i="92"/>
  <c r="K45" i="92"/>
  <c r="C45" i="92" s="1"/>
  <c r="E45" i="92"/>
  <c r="F45" i="92" s="1"/>
  <c r="D46" i="92"/>
  <c r="G44" i="92"/>
  <c r="H44" i="92"/>
  <c r="D142" i="92"/>
  <c r="E141" i="92"/>
  <c r="F141" i="92" s="1"/>
  <c r="K141" i="92"/>
  <c r="C141" i="92" s="1"/>
  <c r="D143" i="89"/>
  <c r="K142" i="89"/>
  <c r="C142" i="89" s="1"/>
  <c r="E142" i="89"/>
  <c r="F142" i="89" s="1"/>
  <c r="H141" i="89"/>
  <c r="G141" i="89"/>
  <c r="H45" i="89"/>
  <c r="G45" i="89"/>
  <c r="D47" i="89"/>
  <c r="E46" i="89"/>
  <c r="F46" i="89" s="1"/>
  <c r="K46" i="89"/>
  <c r="C46" i="89" s="1"/>
  <c r="P108" i="66"/>
  <c r="K109" i="66"/>
  <c r="P108" i="68"/>
  <c r="K109" i="68"/>
  <c r="I109" i="67"/>
  <c r="N108" i="67"/>
  <c r="P108" i="65"/>
  <c r="K109" i="65"/>
  <c r="K110" i="47"/>
  <c r="P110" i="47" s="1"/>
  <c r="D143" i="92" l="1"/>
  <c r="E142" i="92"/>
  <c r="F142" i="92" s="1"/>
  <c r="K142" i="92"/>
  <c r="C142" i="92" s="1"/>
  <c r="G45" i="92"/>
  <c r="H45" i="92"/>
  <c r="H141" i="92"/>
  <c r="G141" i="92"/>
  <c r="D47" i="92"/>
  <c r="K46" i="92"/>
  <c r="C46" i="92" s="1"/>
  <c r="E46" i="92"/>
  <c r="F46" i="92" s="1"/>
  <c r="D48" i="89"/>
  <c r="E47" i="89"/>
  <c r="F47" i="89" s="1"/>
  <c r="K47" i="89"/>
  <c r="C47" i="89" s="1"/>
  <c r="H142" i="89"/>
  <c r="G142" i="89"/>
  <c r="H46" i="89"/>
  <c r="G46" i="89"/>
  <c r="K143" i="89"/>
  <c r="C143" i="89" s="1"/>
  <c r="E143" i="89"/>
  <c r="F143" i="89" s="1"/>
  <c r="D144" i="89"/>
  <c r="K110" i="65"/>
  <c r="P109" i="65"/>
  <c r="P109" i="68"/>
  <c r="K110" i="68"/>
  <c r="P109" i="66"/>
  <c r="K110" i="66"/>
  <c r="N109" i="67"/>
  <c r="I110" i="67"/>
  <c r="K111" i="47"/>
  <c r="P111" i="47" s="1"/>
  <c r="D48" i="92" l="1"/>
  <c r="K47" i="92"/>
  <c r="C47" i="92" s="1"/>
  <c r="E47" i="92"/>
  <c r="F47" i="92" s="1"/>
  <c r="H46" i="92"/>
  <c r="G46" i="92"/>
  <c r="H142" i="92"/>
  <c r="G142" i="92"/>
  <c r="E143" i="92"/>
  <c r="F143" i="92" s="1"/>
  <c r="D144" i="92"/>
  <c r="K143" i="92"/>
  <c r="C143" i="92" s="1"/>
  <c r="H47" i="89"/>
  <c r="G47" i="89"/>
  <c r="E144" i="89"/>
  <c r="F144" i="89" s="1"/>
  <c r="D145" i="89"/>
  <c r="K144" i="89"/>
  <c r="C144" i="89" s="1"/>
  <c r="H143" i="89"/>
  <c r="G143" i="89"/>
  <c r="K48" i="89"/>
  <c r="C48" i="89" s="1"/>
  <c r="E48" i="89"/>
  <c r="F48" i="89" s="1"/>
  <c r="D49" i="89"/>
  <c r="P110" i="66"/>
  <c r="K111" i="66"/>
  <c r="I111" i="67"/>
  <c r="N110" i="67"/>
  <c r="P110" i="68"/>
  <c r="K111" i="68"/>
  <c r="P110" i="65"/>
  <c r="K111" i="65"/>
  <c r="K112" i="47"/>
  <c r="P112" i="47" s="1"/>
  <c r="H143" i="92" l="1"/>
  <c r="G143" i="92"/>
  <c r="H47" i="92"/>
  <c r="G47" i="92"/>
  <c r="E144" i="92"/>
  <c r="F144" i="92" s="1"/>
  <c r="K144" i="92"/>
  <c r="C144" i="92" s="1"/>
  <c r="D145" i="92"/>
  <c r="E48" i="92"/>
  <c r="F48" i="92" s="1"/>
  <c r="K48" i="92"/>
  <c r="C48" i="92" s="1"/>
  <c r="D49" i="92"/>
  <c r="E145" i="89"/>
  <c r="F145" i="89" s="1"/>
  <c r="D146" i="89"/>
  <c r="K145" i="89"/>
  <c r="C145" i="89" s="1"/>
  <c r="H144" i="89"/>
  <c r="G144" i="89"/>
  <c r="K49" i="89"/>
  <c r="C49" i="89" s="1"/>
  <c r="E49" i="89"/>
  <c r="F49" i="89" s="1"/>
  <c r="D50" i="89"/>
  <c r="G48" i="89"/>
  <c r="H48" i="89"/>
  <c r="I112" i="67"/>
  <c r="N111" i="67"/>
  <c r="P111" i="68"/>
  <c r="K112" i="68"/>
  <c r="P111" i="65"/>
  <c r="K112" i="65"/>
  <c r="P111" i="66"/>
  <c r="K112" i="66"/>
  <c r="K113" i="47"/>
  <c r="P113" i="47" s="1"/>
  <c r="G48" i="92" l="1"/>
  <c r="H48" i="92"/>
  <c r="E145" i="92"/>
  <c r="F145" i="92" s="1"/>
  <c r="K145" i="92"/>
  <c r="C145" i="92" s="1"/>
  <c r="D146" i="92"/>
  <c r="E49" i="92"/>
  <c r="F49" i="92" s="1"/>
  <c r="K49" i="92"/>
  <c r="C49" i="92" s="1"/>
  <c r="D50" i="92"/>
  <c r="G144" i="92"/>
  <c r="H144" i="92"/>
  <c r="K50" i="89"/>
  <c r="C50" i="89" s="1"/>
  <c r="E50" i="89"/>
  <c r="F50" i="89" s="1"/>
  <c r="D51" i="89"/>
  <c r="G49" i="89"/>
  <c r="H49" i="89"/>
  <c r="E146" i="89"/>
  <c r="F146" i="89" s="1"/>
  <c r="D147" i="89"/>
  <c r="K146" i="89"/>
  <c r="C146" i="89" s="1"/>
  <c r="G145" i="89"/>
  <c r="H145" i="89"/>
  <c r="P112" i="65"/>
  <c r="K113" i="65"/>
  <c r="P112" i="66"/>
  <c r="K113" i="66"/>
  <c r="P112" i="68"/>
  <c r="K113" i="68"/>
  <c r="I113" i="67"/>
  <c r="N112" i="67"/>
  <c r="K114" i="47"/>
  <c r="P114" i="47" s="1"/>
  <c r="E50" i="92" l="1"/>
  <c r="F50" i="92" s="1"/>
  <c r="K50" i="92"/>
  <c r="C50" i="92" s="1"/>
  <c r="D51" i="92"/>
  <c r="G49" i="92"/>
  <c r="H49" i="92"/>
  <c r="G145" i="92"/>
  <c r="H145" i="92"/>
  <c r="E146" i="92"/>
  <c r="F146" i="92" s="1"/>
  <c r="K146" i="92"/>
  <c r="C146" i="92" s="1"/>
  <c r="D147" i="92"/>
  <c r="E147" i="89"/>
  <c r="F147" i="89" s="1"/>
  <c r="D148" i="89"/>
  <c r="K147" i="89"/>
  <c r="C147" i="89" s="1"/>
  <c r="K51" i="89"/>
  <c r="C51" i="89" s="1"/>
  <c r="E51" i="89"/>
  <c r="F51" i="89" s="1"/>
  <c r="D52" i="89"/>
  <c r="H146" i="89"/>
  <c r="G146" i="89"/>
  <c r="G50" i="89"/>
  <c r="H50" i="89"/>
  <c r="K114" i="66"/>
  <c r="P113" i="66"/>
  <c r="N113" i="67"/>
  <c r="I114" i="67"/>
  <c r="P113" i="68"/>
  <c r="K114" i="68"/>
  <c r="K114" i="65"/>
  <c r="P113" i="65"/>
  <c r="K115" i="47"/>
  <c r="P115" i="47" s="1"/>
  <c r="E147" i="92" l="1"/>
  <c r="F147" i="92" s="1"/>
  <c r="K147" i="92"/>
  <c r="C147" i="92" s="1"/>
  <c r="D148" i="92"/>
  <c r="G146" i="92"/>
  <c r="H146" i="92"/>
  <c r="E51" i="92"/>
  <c r="F51" i="92" s="1"/>
  <c r="K51" i="92"/>
  <c r="C51" i="92" s="1"/>
  <c r="D52" i="92"/>
  <c r="G50" i="92"/>
  <c r="H50" i="92"/>
  <c r="K52" i="89"/>
  <c r="C52" i="89" s="1"/>
  <c r="E52" i="89"/>
  <c r="F52" i="89" s="1"/>
  <c r="D53" i="89"/>
  <c r="E148" i="89"/>
  <c r="F148" i="89" s="1"/>
  <c r="D149" i="89"/>
  <c r="K148" i="89"/>
  <c r="C148" i="89" s="1"/>
  <c r="G51" i="89"/>
  <c r="H51" i="89"/>
  <c r="G147" i="89"/>
  <c r="H147" i="89"/>
  <c r="I115" i="67"/>
  <c r="N114" i="67"/>
  <c r="K115" i="65"/>
  <c r="P114" i="65"/>
  <c r="P114" i="68"/>
  <c r="K115" i="68"/>
  <c r="P114" i="66"/>
  <c r="K115" i="66"/>
  <c r="K116" i="47"/>
  <c r="P116" i="47" s="1"/>
  <c r="E52" i="92" l="1"/>
  <c r="F52" i="92" s="1"/>
  <c r="K52" i="92"/>
  <c r="C52" i="92" s="1"/>
  <c r="D53" i="92"/>
  <c r="G51" i="92"/>
  <c r="H51" i="92"/>
  <c r="E148" i="92"/>
  <c r="F148" i="92" s="1"/>
  <c r="K148" i="92"/>
  <c r="C148" i="92" s="1"/>
  <c r="D149" i="92"/>
  <c r="G147" i="92"/>
  <c r="H147" i="92"/>
  <c r="H148" i="89"/>
  <c r="G148" i="89"/>
  <c r="K53" i="89"/>
  <c r="C53" i="89" s="1"/>
  <c r="E53" i="89"/>
  <c r="F53" i="89" s="1"/>
  <c r="D54" i="89"/>
  <c r="G52" i="89"/>
  <c r="H52" i="89"/>
  <c r="E149" i="89"/>
  <c r="F149" i="89" s="1"/>
  <c r="D150" i="89"/>
  <c r="K149" i="89"/>
  <c r="C149" i="89" s="1"/>
  <c r="K116" i="65"/>
  <c r="P115" i="65"/>
  <c r="K116" i="66"/>
  <c r="P115" i="66"/>
  <c r="P115" i="68"/>
  <c r="K116" i="68"/>
  <c r="N115" i="67"/>
  <c r="I116" i="67"/>
  <c r="K117" i="47"/>
  <c r="P117" i="47" s="1"/>
  <c r="E149" i="92" l="1"/>
  <c r="F149" i="92" s="1"/>
  <c r="K149" i="92"/>
  <c r="C149" i="92" s="1"/>
  <c r="D150" i="92"/>
  <c r="E53" i="92"/>
  <c r="F53" i="92" s="1"/>
  <c r="K53" i="92"/>
  <c r="C53" i="92" s="1"/>
  <c r="D54" i="92"/>
  <c r="G148" i="92"/>
  <c r="H148" i="92"/>
  <c r="G52" i="92"/>
  <c r="H52" i="92"/>
  <c r="G149" i="89"/>
  <c r="H149" i="89"/>
  <c r="G53" i="89"/>
  <c r="H53" i="89"/>
  <c r="E150" i="89"/>
  <c r="F150" i="89" s="1"/>
  <c r="D151" i="89"/>
  <c r="K150" i="89"/>
  <c r="C150" i="89" s="1"/>
  <c r="K54" i="89"/>
  <c r="C54" i="89" s="1"/>
  <c r="E54" i="89"/>
  <c r="F54" i="89" s="1"/>
  <c r="D55" i="89"/>
  <c r="N116" i="67"/>
  <c r="I117" i="67"/>
  <c r="K117" i="66"/>
  <c r="P116" i="66"/>
  <c r="P116" i="68"/>
  <c r="K117" i="68"/>
  <c r="K117" i="65"/>
  <c r="P116" i="65"/>
  <c r="K118" i="47"/>
  <c r="P118" i="47" s="1"/>
  <c r="G53" i="92" l="1"/>
  <c r="H53" i="92"/>
  <c r="E150" i="92"/>
  <c r="F150" i="92" s="1"/>
  <c r="K150" i="92"/>
  <c r="C150" i="92" s="1"/>
  <c r="D151" i="92"/>
  <c r="E54" i="92"/>
  <c r="F54" i="92" s="1"/>
  <c r="K54" i="92"/>
  <c r="C54" i="92" s="1"/>
  <c r="D55" i="92"/>
  <c r="G149" i="92"/>
  <c r="H149" i="92"/>
  <c r="K55" i="89"/>
  <c r="C55" i="89" s="1"/>
  <c r="E55" i="89"/>
  <c r="F55" i="89" s="1"/>
  <c r="D56" i="89"/>
  <c r="E151" i="89"/>
  <c r="F151" i="89" s="1"/>
  <c r="D152" i="89"/>
  <c r="K151" i="89"/>
  <c r="C151" i="89" s="1"/>
  <c r="G54" i="89"/>
  <c r="H54" i="89"/>
  <c r="H150" i="89"/>
  <c r="G150" i="89"/>
  <c r="P117" i="66"/>
  <c r="K118" i="66"/>
  <c r="P117" i="68"/>
  <c r="K118" i="68"/>
  <c r="N117" i="67"/>
  <c r="I118" i="67"/>
  <c r="K118" i="65"/>
  <c r="P117" i="65"/>
  <c r="K119" i="47"/>
  <c r="P119" i="47" s="1"/>
  <c r="G150" i="92" l="1"/>
  <c r="H150" i="92"/>
  <c r="E55" i="92"/>
  <c r="F55" i="92" s="1"/>
  <c r="K55" i="92"/>
  <c r="C55" i="92" s="1"/>
  <c r="D56" i="92"/>
  <c r="G54" i="92"/>
  <c r="H54" i="92"/>
  <c r="E151" i="92"/>
  <c r="F151" i="92" s="1"/>
  <c r="K151" i="92"/>
  <c r="C151" i="92" s="1"/>
  <c r="D152" i="92"/>
  <c r="G151" i="89"/>
  <c r="H151" i="89"/>
  <c r="K56" i="89"/>
  <c r="C56" i="89" s="1"/>
  <c r="E56" i="89"/>
  <c r="F56" i="89" s="1"/>
  <c r="D57" i="89"/>
  <c r="G55" i="89"/>
  <c r="H55" i="89"/>
  <c r="E152" i="89"/>
  <c r="F152" i="89" s="1"/>
  <c r="D153" i="89"/>
  <c r="K152" i="89"/>
  <c r="C152" i="89" s="1"/>
  <c r="P118" i="68"/>
  <c r="K119" i="68"/>
  <c r="N118" i="67"/>
  <c r="I119" i="67"/>
  <c r="P118" i="66"/>
  <c r="K119" i="66"/>
  <c r="K119" i="65"/>
  <c r="P118" i="65"/>
  <c r="K120" i="47"/>
  <c r="P120" i="47" s="1"/>
  <c r="E56" i="92" l="1"/>
  <c r="F56" i="92" s="1"/>
  <c r="K56" i="92"/>
  <c r="C56" i="92" s="1"/>
  <c r="D57" i="92"/>
  <c r="G151" i="92"/>
  <c r="H151" i="92"/>
  <c r="E152" i="92"/>
  <c r="F152" i="92" s="1"/>
  <c r="K152" i="92"/>
  <c r="C152" i="92" s="1"/>
  <c r="D153" i="92"/>
  <c r="G55" i="92"/>
  <c r="H55" i="92"/>
  <c r="H152" i="89"/>
  <c r="G152" i="89"/>
  <c r="G56" i="89"/>
  <c r="H56" i="89"/>
  <c r="E153" i="89"/>
  <c r="F153" i="89" s="1"/>
  <c r="D154" i="89"/>
  <c r="K153" i="89"/>
  <c r="C153" i="89" s="1"/>
  <c r="K57" i="89"/>
  <c r="C57" i="89" s="1"/>
  <c r="E57" i="89"/>
  <c r="F57" i="89" s="1"/>
  <c r="D58" i="89"/>
  <c r="I120" i="67"/>
  <c r="N119" i="67"/>
  <c r="K120" i="66"/>
  <c r="P119" i="66"/>
  <c r="P119" i="68"/>
  <c r="K120" i="68"/>
  <c r="K120" i="65"/>
  <c r="P119" i="65"/>
  <c r="K121" i="47"/>
  <c r="P121" i="47" s="1"/>
  <c r="G152" i="92" l="1"/>
  <c r="H152" i="92"/>
  <c r="E153" i="92"/>
  <c r="F153" i="92" s="1"/>
  <c r="K153" i="92"/>
  <c r="C153" i="92" s="1"/>
  <c r="D154" i="92"/>
  <c r="G56" i="92"/>
  <c r="H56" i="92"/>
  <c r="E57" i="92"/>
  <c r="F57" i="92" s="1"/>
  <c r="K57" i="92"/>
  <c r="C57" i="92" s="1"/>
  <c r="D58" i="92"/>
  <c r="E154" i="89"/>
  <c r="F154" i="89" s="1"/>
  <c r="K154" i="89"/>
  <c r="C154" i="89" s="1"/>
  <c r="K58" i="89"/>
  <c r="C58" i="89" s="1"/>
  <c r="E58" i="89"/>
  <c r="F58" i="89" s="1"/>
  <c r="G57" i="89"/>
  <c r="H57" i="89"/>
  <c r="G153" i="89"/>
  <c r="H153" i="89"/>
  <c r="P120" i="66"/>
  <c r="K121" i="66"/>
  <c r="P120" i="68"/>
  <c r="K121" i="68"/>
  <c r="K121" i="65"/>
  <c r="P120" i="65"/>
  <c r="I121" i="67"/>
  <c r="N120" i="67"/>
  <c r="K122" i="47"/>
  <c r="P122" i="47" s="1"/>
  <c r="E154" i="92" l="1"/>
  <c r="F154" i="92" s="1"/>
  <c r="K154" i="92"/>
  <c r="C154" i="92" s="1"/>
  <c r="G57" i="92"/>
  <c r="H57" i="92"/>
  <c r="E58" i="92"/>
  <c r="F58" i="92" s="1"/>
  <c r="K58" i="92"/>
  <c r="C58" i="92" s="1"/>
  <c r="G153" i="92"/>
  <c r="H153" i="92"/>
  <c r="G58" i="89"/>
  <c r="H58" i="89"/>
  <c r="H154" i="89"/>
  <c r="G154" i="89"/>
  <c r="P121" i="68"/>
  <c r="K122" i="68"/>
  <c r="P121" i="66"/>
  <c r="K122" i="66"/>
  <c r="I122" i="67"/>
  <c r="N121" i="67"/>
  <c r="K122" i="65"/>
  <c r="P121" i="65"/>
  <c r="K123" i="47"/>
  <c r="P123" i="47" s="1"/>
  <c r="G58" i="92" l="1"/>
  <c r="H58" i="92"/>
  <c r="G154" i="92"/>
  <c r="H154" i="92"/>
  <c r="P122" i="66"/>
  <c r="K123" i="66"/>
  <c r="P122" i="68"/>
  <c r="K123" i="68"/>
  <c r="K123" i="65"/>
  <c r="P122" i="65"/>
  <c r="I123" i="67"/>
  <c r="N122" i="67"/>
  <c r="K124" i="47"/>
  <c r="P124" i="47" s="1"/>
  <c r="P123" i="68" l="1"/>
  <c r="K124" i="68"/>
  <c r="I124" i="67"/>
  <c r="N123" i="67"/>
  <c r="P123" i="66"/>
  <c r="K124" i="66"/>
  <c r="K124" i="65"/>
  <c r="P123" i="65"/>
  <c r="K125" i="47"/>
  <c r="P125" i="47" s="1"/>
  <c r="N124" i="67" l="1"/>
  <c r="I125" i="67"/>
  <c r="P124" i="66"/>
  <c r="K125" i="66"/>
  <c r="P124" i="68"/>
  <c r="K125" i="68"/>
  <c r="K125" i="65"/>
  <c r="P124" i="65"/>
  <c r="K126" i="47"/>
  <c r="P126" i="47" s="1"/>
  <c r="P125" i="66" l="1"/>
  <c r="K126" i="66"/>
  <c r="P125" i="68"/>
  <c r="K126" i="68"/>
  <c r="N125" i="67"/>
  <c r="I126" i="67"/>
  <c r="K126" i="65"/>
  <c r="P125" i="65"/>
  <c r="K127" i="47"/>
  <c r="P127" i="47" s="1"/>
  <c r="P126" i="68" l="1"/>
  <c r="K127" i="68"/>
  <c r="N126" i="67"/>
  <c r="I127" i="67"/>
  <c r="K127" i="66"/>
  <c r="P126" i="66"/>
  <c r="K127" i="65"/>
  <c r="P126" i="65"/>
  <c r="K128" i="47"/>
  <c r="P128" i="47" s="1"/>
  <c r="N127" i="67" l="1"/>
  <c r="I128" i="67"/>
  <c r="P127" i="68"/>
  <c r="K128" i="68"/>
  <c r="K128" i="65"/>
  <c r="P127" i="65"/>
  <c r="P127" i="66"/>
  <c r="K128" i="66"/>
  <c r="K129" i="47"/>
  <c r="P129" i="47" s="1"/>
  <c r="P128" i="66" l="1"/>
  <c r="K129" i="66"/>
  <c r="P128" i="68"/>
  <c r="K129" i="68"/>
  <c r="N128" i="67"/>
  <c r="I129" i="67"/>
  <c r="K129" i="65"/>
  <c r="P128" i="65"/>
  <c r="K130" i="47"/>
  <c r="P130" i="47" s="1"/>
  <c r="P129" i="68" l="1"/>
  <c r="K130" i="68"/>
  <c r="N129" i="67"/>
  <c r="I130" i="67"/>
  <c r="K130" i="66"/>
  <c r="P129" i="66"/>
  <c r="K130" i="65"/>
  <c r="P129" i="65"/>
  <c r="K131" i="47"/>
  <c r="P131" i="47" s="1"/>
  <c r="N130" i="67" l="1"/>
  <c r="I131" i="67"/>
  <c r="P130" i="68"/>
  <c r="K131" i="68"/>
  <c r="K131" i="65"/>
  <c r="P130" i="65"/>
  <c r="P130" i="66"/>
  <c r="K131" i="66"/>
  <c r="K132" i="47"/>
  <c r="P132" i="47" s="1"/>
  <c r="K132" i="66" l="1"/>
  <c r="P131" i="66"/>
  <c r="P131" i="68"/>
  <c r="K132" i="68"/>
  <c r="I132" i="67"/>
  <c r="N131" i="67"/>
  <c r="K132" i="65"/>
  <c r="P131" i="65"/>
  <c r="K133" i="47"/>
  <c r="P133" i="47" s="1"/>
  <c r="P132" i="65" l="1"/>
  <c r="K133" i="65"/>
  <c r="P132" i="68"/>
  <c r="K133" i="68"/>
  <c r="I133" i="67"/>
  <c r="N132" i="67"/>
  <c r="P132" i="66"/>
  <c r="K133" i="66"/>
  <c r="K134" i="47"/>
  <c r="P134" i="47" s="1"/>
  <c r="P133" i="68" l="1"/>
  <c r="K134" i="68"/>
  <c r="K134" i="65"/>
  <c r="P133" i="65"/>
  <c r="P133" i="66"/>
  <c r="K134" i="66"/>
  <c r="I134" i="67"/>
  <c r="N133" i="67"/>
  <c r="K135" i="47"/>
  <c r="P135" i="47" s="1"/>
  <c r="K135" i="65" l="1"/>
  <c r="P134" i="65"/>
  <c r="N134" i="67"/>
  <c r="I135" i="67"/>
  <c r="P134" i="66"/>
  <c r="K135" i="66"/>
  <c r="P134" i="68"/>
  <c r="K135" i="68"/>
  <c r="K136" i="47"/>
  <c r="P136" i="47" s="1"/>
  <c r="N135" i="67" l="1"/>
  <c r="I136" i="67"/>
  <c r="K136" i="66"/>
  <c r="P135" i="66"/>
  <c r="P135" i="68"/>
  <c r="K136" i="68"/>
  <c r="K136" i="65"/>
  <c r="P135" i="65"/>
  <c r="K137" i="47"/>
  <c r="P137" i="47" s="1"/>
  <c r="P136" i="66" l="1"/>
  <c r="K137" i="66"/>
  <c r="P136" i="68"/>
  <c r="K137" i="68"/>
  <c r="N136" i="67"/>
  <c r="I137" i="67"/>
  <c r="K137" i="65"/>
  <c r="P136" i="65"/>
  <c r="K138" i="47"/>
  <c r="P138" i="47" s="1"/>
  <c r="K138" i="65" l="1"/>
  <c r="P137" i="65"/>
  <c r="N137" i="67"/>
  <c r="I138" i="67"/>
  <c r="P137" i="66"/>
  <c r="K138" i="66"/>
  <c r="P137" i="68"/>
  <c r="K138" i="68"/>
  <c r="K139" i="47"/>
  <c r="P139" i="47" s="1"/>
  <c r="P138" i="68" l="1"/>
  <c r="K139" i="68"/>
  <c r="N138" i="67"/>
  <c r="I139" i="67"/>
  <c r="P138" i="66"/>
  <c r="K139" i="66"/>
  <c r="K139" i="65"/>
  <c r="P138" i="65"/>
  <c r="K140" i="47"/>
  <c r="P140" i="47" s="1"/>
  <c r="K140" i="65" l="1"/>
  <c r="P139" i="65"/>
  <c r="N139" i="67"/>
  <c r="I140" i="67"/>
  <c r="K140" i="66"/>
  <c r="P139" i="66"/>
  <c r="P139" i="68"/>
  <c r="K140" i="68"/>
  <c r="K141" i="47"/>
  <c r="P141" i="47" s="1"/>
  <c r="P140" i="68" l="1"/>
  <c r="K141" i="68"/>
  <c r="N140" i="67"/>
  <c r="I141" i="67"/>
  <c r="K141" i="66"/>
  <c r="P140" i="66"/>
  <c r="P140" i="65"/>
  <c r="K141" i="65"/>
  <c r="K142" i="47"/>
  <c r="P142" i="47" s="1"/>
  <c r="N141" i="67" l="1"/>
  <c r="I142" i="67"/>
  <c r="P141" i="68"/>
  <c r="K142" i="68"/>
  <c r="P141" i="65"/>
  <c r="K142" i="65"/>
  <c r="K142" i="66"/>
  <c r="P141" i="66"/>
  <c r="K143" i="47"/>
  <c r="P143" i="47" s="1"/>
  <c r="P142" i="68" l="1"/>
  <c r="K143" i="68"/>
  <c r="K143" i="65"/>
  <c r="P142" i="65"/>
  <c r="N142" i="67"/>
  <c r="I143" i="67"/>
  <c r="P142" i="66"/>
  <c r="K143" i="66"/>
  <c r="K144" i="47"/>
  <c r="P144" i="47" s="1"/>
  <c r="K144" i="65" l="1"/>
  <c r="P143" i="65"/>
  <c r="P143" i="66"/>
  <c r="K144" i="66"/>
  <c r="N143" i="67"/>
  <c r="I144" i="67"/>
  <c r="P143" i="68"/>
  <c r="K144" i="68"/>
  <c r="K145" i="47"/>
  <c r="P145" i="47" s="1"/>
  <c r="K145" i="66" l="1"/>
  <c r="P144" i="66"/>
  <c r="P144" i="68"/>
  <c r="K145" i="68"/>
  <c r="N144" i="67"/>
  <c r="I145" i="67"/>
  <c r="K145" i="65"/>
  <c r="P144" i="65"/>
  <c r="K146" i="47"/>
  <c r="P146" i="47" s="1"/>
  <c r="P145" i="68" l="1"/>
  <c r="K146" i="68"/>
  <c r="K146" i="65"/>
  <c r="P145" i="65"/>
  <c r="N145" i="67"/>
  <c r="I146" i="67"/>
  <c r="P145" i="66"/>
  <c r="K146" i="66"/>
  <c r="K147" i="47"/>
  <c r="P147" i="47" s="1"/>
  <c r="P146" i="66" l="1"/>
  <c r="K147" i="66"/>
  <c r="K147" i="65"/>
  <c r="P146" i="65"/>
  <c r="N146" i="67"/>
  <c r="I147" i="67"/>
  <c r="P146" i="68"/>
  <c r="K147" i="68"/>
  <c r="K148" i="47"/>
  <c r="P148" i="47" s="1"/>
  <c r="K148" i="65" l="1"/>
  <c r="P147" i="65"/>
  <c r="P147" i="68"/>
  <c r="K148" i="68"/>
  <c r="N147" i="67"/>
  <c r="I148" i="67"/>
  <c r="K148" i="66"/>
  <c r="P147" i="66"/>
  <c r="K149" i="47"/>
  <c r="P149" i="47" s="1"/>
  <c r="P148" i="66" l="1"/>
  <c r="K149" i="66"/>
  <c r="N148" i="67"/>
  <c r="I149" i="67"/>
  <c r="P148" i="68"/>
  <c r="K149" i="68"/>
  <c r="K149" i="65"/>
  <c r="P148" i="65"/>
  <c r="K150" i="47"/>
  <c r="P150" i="47" s="1"/>
  <c r="K150" i="65" l="1"/>
  <c r="P149" i="65"/>
  <c r="I150" i="67"/>
  <c r="N149" i="67"/>
  <c r="P149" i="68"/>
  <c r="K150" i="68"/>
  <c r="P149" i="66"/>
  <c r="K150" i="66"/>
  <c r="K151" i="47"/>
  <c r="P151" i="47" s="1"/>
  <c r="I151" i="67" l="1"/>
  <c r="N150" i="67"/>
  <c r="K151" i="66"/>
  <c r="P150" i="66"/>
  <c r="P150" i="68"/>
  <c r="K151" i="68"/>
  <c r="K151" i="65"/>
  <c r="P150" i="65"/>
  <c r="K152" i="47"/>
  <c r="P152" i="47" s="1"/>
  <c r="K152" i="65" l="1"/>
  <c r="P151" i="65"/>
  <c r="P151" i="66"/>
  <c r="K152" i="66"/>
  <c r="P151" i="68"/>
  <c r="K152" i="68"/>
  <c r="I152" i="67"/>
  <c r="N151" i="67"/>
  <c r="K153" i="47"/>
  <c r="P153" i="47" s="1"/>
  <c r="K153" i="66" l="1"/>
  <c r="P152" i="66"/>
  <c r="N152" i="67"/>
  <c r="I153" i="67"/>
  <c r="P152" i="68"/>
  <c r="K153" i="68"/>
  <c r="K153" i="65"/>
  <c r="P152" i="65"/>
  <c r="K154" i="47"/>
  <c r="P154" i="47" s="1"/>
  <c r="N153" i="67" l="1"/>
  <c r="I154" i="67"/>
  <c r="P153" i="68"/>
  <c r="K154" i="68"/>
  <c r="K154" i="65"/>
  <c r="P153" i="65"/>
  <c r="K154" i="66"/>
  <c r="P153" i="66"/>
  <c r="K155" i="47"/>
  <c r="P155" i="47" s="1"/>
  <c r="N154" i="67" l="1"/>
  <c r="I155" i="67"/>
  <c r="K155" i="68"/>
  <c r="P154" i="68"/>
  <c r="K155" i="66"/>
  <c r="P154" i="66"/>
  <c r="K155" i="65"/>
  <c r="P154" i="65"/>
  <c r="K156" i="47"/>
  <c r="P156" i="47" s="1"/>
  <c r="P155" i="68" l="1"/>
  <c r="K156" i="68"/>
  <c r="N155" i="67"/>
  <c r="I156" i="67"/>
  <c r="K156" i="65"/>
  <c r="P155" i="65"/>
  <c r="K156" i="66"/>
  <c r="P155" i="66"/>
  <c r="K157" i="47"/>
  <c r="P157" i="47" s="1"/>
  <c r="P156" i="68" l="1"/>
  <c r="K157" i="68"/>
  <c r="I157" i="67"/>
  <c r="N156" i="67"/>
  <c r="P156" i="66"/>
  <c r="K157" i="66"/>
  <c r="K157" i="65"/>
  <c r="P156" i="65"/>
  <c r="K158" i="47"/>
  <c r="P158" i="47" s="1"/>
  <c r="I158" i="67" l="1"/>
  <c r="N157" i="67"/>
  <c r="P157" i="66"/>
  <c r="K158" i="66"/>
  <c r="K158" i="68"/>
  <c r="P157" i="68"/>
  <c r="P157" i="65"/>
  <c r="K158" i="65"/>
  <c r="K159" i="47"/>
  <c r="P159" i="47" s="1"/>
  <c r="P158" i="66" l="1"/>
  <c r="K159" i="66"/>
  <c r="P158" i="65"/>
  <c r="K159" i="65"/>
  <c r="P158" i="68"/>
  <c r="K159" i="68"/>
  <c r="I159" i="67"/>
  <c r="N158" i="67"/>
  <c r="K160" i="47"/>
  <c r="P160" i="47" s="1"/>
  <c r="K160" i="65" l="1"/>
  <c r="P159" i="65"/>
  <c r="P159" i="68"/>
  <c r="K160" i="68"/>
  <c r="P159" i="66"/>
  <c r="K160" i="66"/>
  <c r="I160" i="67"/>
  <c r="N159" i="67"/>
  <c r="K161" i="47"/>
  <c r="P161" i="47" s="1"/>
  <c r="I161" i="67" l="1"/>
  <c r="N160" i="67"/>
  <c r="K161" i="68"/>
  <c r="P160" i="68"/>
  <c r="P160" i="66"/>
  <c r="K161" i="66"/>
  <c r="K161" i="65"/>
  <c r="P160" i="65"/>
  <c r="K162" i="47"/>
  <c r="P162" i="47" s="1"/>
  <c r="K162" i="65" l="1"/>
  <c r="P161" i="65"/>
  <c r="P161" i="68"/>
  <c r="K162" i="68"/>
  <c r="P161" i="66"/>
  <c r="K162" i="66"/>
  <c r="I162" i="67"/>
  <c r="N161" i="67"/>
  <c r="K163" i="47"/>
  <c r="P163" i="47" s="1"/>
  <c r="K163" i="66" l="1"/>
  <c r="P162" i="66"/>
  <c r="P162" i="68"/>
  <c r="K163" i="68"/>
  <c r="I163" i="67"/>
  <c r="N162" i="67"/>
  <c r="P162" i="65"/>
  <c r="K163" i="65"/>
  <c r="K164" i="47"/>
  <c r="P164" i="47" s="1"/>
  <c r="P163" i="68" l="1"/>
  <c r="K164" i="68"/>
  <c r="K164" i="65"/>
  <c r="P163" i="65"/>
  <c r="N163" i="67"/>
  <c r="I164" i="67"/>
  <c r="P163" i="66"/>
  <c r="K164" i="66"/>
  <c r="K165" i="47"/>
  <c r="P165" i="47" s="1"/>
  <c r="K165" i="65" l="1"/>
  <c r="P164" i="65"/>
  <c r="N164" i="67"/>
  <c r="I165" i="67"/>
  <c r="K165" i="68"/>
  <c r="P164" i="68"/>
  <c r="P164" i="66"/>
  <c r="K165" i="66"/>
  <c r="K166" i="47"/>
  <c r="P166" i="47" s="1"/>
  <c r="P165" i="66" l="1"/>
  <c r="K166" i="66"/>
  <c r="N165" i="67"/>
  <c r="I166" i="67"/>
  <c r="P165" i="68"/>
  <c r="K166" i="68"/>
  <c r="K166" i="65"/>
  <c r="P165" i="65"/>
  <c r="K167" i="47"/>
  <c r="P167" i="47" s="1"/>
  <c r="P166" i="68" l="1"/>
  <c r="K167" i="68"/>
  <c r="K167" i="66"/>
  <c r="P166" i="66"/>
  <c r="I167" i="67"/>
  <c r="N166" i="67"/>
  <c r="P166" i="65"/>
  <c r="K167" i="65"/>
  <c r="K168" i="47"/>
  <c r="P168" i="47" s="1"/>
  <c r="P167" i="68" l="1"/>
  <c r="K168" i="68"/>
  <c r="K168" i="65"/>
  <c r="P167" i="65"/>
  <c r="K168" i="66"/>
  <c r="P167" i="66"/>
  <c r="I168" i="67"/>
  <c r="N167" i="67"/>
  <c r="K169" i="47"/>
  <c r="P169" i="47" s="1"/>
  <c r="I169" i="67" l="1"/>
  <c r="N168" i="67"/>
  <c r="K169" i="65"/>
  <c r="P168" i="65"/>
  <c r="P168" i="68"/>
  <c r="K169" i="68"/>
  <c r="P168" i="66"/>
  <c r="K169" i="66"/>
  <c r="K170" i="47"/>
  <c r="P170" i="47" s="1"/>
  <c r="K170" i="65" l="1"/>
  <c r="P169" i="65"/>
  <c r="K170" i="66"/>
  <c r="P169" i="66"/>
  <c r="P169" i="68"/>
  <c r="K170" i="68"/>
  <c r="I170" i="67"/>
  <c r="N169" i="67"/>
  <c r="K171" i="47"/>
  <c r="P171" i="47" s="1"/>
  <c r="P170" i="66" l="1"/>
  <c r="K171" i="66"/>
  <c r="K171" i="68"/>
  <c r="P170" i="68"/>
  <c r="N170" i="67"/>
  <c r="I171" i="67"/>
  <c r="P170" i="65"/>
  <c r="K171" i="65"/>
  <c r="K172" i="47"/>
  <c r="P172" i="47" s="1"/>
  <c r="P171" i="68" l="1"/>
  <c r="K172" i="68"/>
  <c r="N171" i="67"/>
  <c r="I172" i="67"/>
  <c r="K172" i="65"/>
  <c r="P171" i="65"/>
  <c r="P171" i="66"/>
  <c r="K172" i="66"/>
  <c r="K173" i="47"/>
  <c r="P173" i="47" s="1"/>
  <c r="I173" i="67" l="1"/>
  <c r="N172" i="67"/>
  <c r="P172" i="68"/>
  <c r="K173" i="68"/>
  <c r="K173" i="66"/>
  <c r="P172" i="66"/>
  <c r="K173" i="65"/>
  <c r="P172" i="65"/>
  <c r="K174" i="47"/>
  <c r="P174" i="47" s="1"/>
  <c r="P173" i="68" l="1"/>
  <c r="K174" i="68"/>
  <c r="K174" i="65"/>
  <c r="P173" i="65"/>
  <c r="K174" i="66"/>
  <c r="P173" i="66"/>
  <c r="N173" i="67"/>
  <c r="I174" i="67"/>
  <c r="K175" i="47"/>
  <c r="P175" i="47" s="1"/>
  <c r="I175" i="67" l="1"/>
  <c r="N174" i="67"/>
  <c r="K175" i="65"/>
  <c r="P174" i="65"/>
  <c r="P174" i="68"/>
  <c r="K175" i="68"/>
  <c r="K175" i="66"/>
  <c r="P174" i="66"/>
  <c r="K176" i="47"/>
  <c r="P176" i="47" s="1"/>
  <c r="P175" i="65" l="1"/>
  <c r="K176" i="65"/>
  <c r="K176" i="66"/>
  <c r="P175" i="66"/>
  <c r="P175" i="68"/>
  <c r="K176" i="68"/>
  <c r="I176" i="67"/>
  <c r="N175" i="67"/>
  <c r="K177" i="47"/>
  <c r="P177" i="47" s="1"/>
  <c r="N176" i="67" l="1"/>
  <c r="I177" i="67"/>
  <c r="K177" i="66"/>
  <c r="P176" i="66"/>
  <c r="P176" i="68"/>
  <c r="K177" i="68"/>
  <c r="P176" i="65"/>
  <c r="K177" i="65"/>
  <c r="K178" i="47"/>
  <c r="P178" i="47" s="1"/>
  <c r="K178" i="66" l="1"/>
  <c r="P177" i="66"/>
  <c r="P177" i="68"/>
  <c r="K178" i="68"/>
  <c r="P177" i="65"/>
  <c r="K178" i="65"/>
  <c r="N177" i="67"/>
  <c r="I178" i="67"/>
  <c r="K179" i="47"/>
  <c r="P179" i="47" s="1"/>
  <c r="N178" i="67" l="1"/>
  <c r="I179" i="67"/>
  <c r="P178" i="68"/>
  <c r="K179" i="68"/>
  <c r="K179" i="65"/>
  <c r="P178" i="65"/>
  <c r="K179" i="66"/>
  <c r="P178" i="66"/>
  <c r="K180" i="47"/>
  <c r="P180" i="47" s="1"/>
  <c r="P179" i="68" l="1"/>
  <c r="K180" i="68"/>
  <c r="N179" i="67"/>
  <c r="I180" i="67"/>
  <c r="K180" i="66"/>
  <c r="P179" i="66"/>
  <c r="P179" i="65"/>
  <c r="K180" i="65"/>
  <c r="K181" i="47"/>
  <c r="P181" i="47" s="1"/>
  <c r="K181" i="65" l="1"/>
  <c r="P180" i="65"/>
  <c r="P180" i="68"/>
  <c r="K181" i="68"/>
  <c r="N180" i="67"/>
  <c r="I181" i="67"/>
  <c r="P180" i="66"/>
  <c r="K181" i="66"/>
  <c r="K182" i="47"/>
  <c r="P182" i="47" s="1"/>
  <c r="N181" i="67" l="1"/>
  <c r="I182" i="67"/>
  <c r="K182" i="66"/>
  <c r="P181" i="66"/>
  <c r="P181" i="68"/>
  <c r="K182" i="68"/>
  <c r="P181" i="65"/>
  <c r="K182" i="65"/>
  <c r="K183" i="47"/>
  <c r="P183" i="47" s="1"/>
  <c r="K183" i="65" l="1"/>
  <c r="P182" i="65"/>
  <c r="K183" i="66"/>
  <c r="P182" i="66"/>
  <c r="P182" i="68"/>
  <c r="K183" i="68"/>
  <c r="N182" i="67"/>
  <c r="I183" i="67"/>
  <c r="K184" i="47"/>
  <c r="P184" i="47" s="1"/>
  <c r="K184" i="66" l="1"/>
  <c r="P183" i="66"/>
  <c r="P183" i="68"/>
  <c r="K184" i="68"/>
  <c r="N183" i="67"/>
  <c r="I184" i="67"/>
  <c r="P183" i="65"/>
  <c r="K184" i="65"/>
  <c r="K185" i="47"/>
  <c r="P185" i="47" s="1"/>
  <c r="P184" i="68" l="1"/>
  <c r="K185" i="68"/>
  <c r="N184" i="67"/>
  <c r="I185" i="67"/>
  <c r="K185" i="65"/>
  <c r="P184" i="65"/>
  <c r="P184" i="66"/>
  <c r="K185" i="66"/>
  <c r="K186" i="47"/>
  <c r="P186" i="47" s="1"/>
  <c r="P185" i="68" l="1"/>
  <c r="K186" i="68"/>
  <c r="K186" i="66"/>
  <c r="P185" i="66"/>
  <c r="N185" i="67"/>
  <c r="I186" i="67"/>
  <c r="K186" i="65"/>
  <c r="P185" i="65"/>
  <c r="K187" i="47"/>
  <c r="P187" i="47" s="1"/>
  <c r="K187" i="65" l="1"/>
  <c r="P186" i="65"/>
  <c r="K187" i="66"/>
  <c r="P186" i="66"/>
  <c r="N186" i="67"/>
  <c r="I187" i="67"/>
  <c r="P186" i="68"/>
  <c r="K187" i="68"/>
  <c r="K188" i="47"/>
  <c r="P188" i="47" s="1"/>
  <c r="P187" i="66" l="1"/>
  <c r="K188" i="66"/>
  <c r="N187" i="67"/>
  <c r="I188" i="67"/>
  <c r="P187" i="68"/>
  <c r="K188" i="68"/>
  <c r="K188" i="65"/>
  <c r="P187" i="65"/>
  <c r="K189" i="47"/>
  <c r="P189" i="47" s="1"/>
  <c r="N188" i="67" l="1"/>
  <c r="I189" i="67"/>
  <c r="P188" i="68"/>
  <c r="K189" i="68"/>
  <c r="P188" i="66"/>
  <c r="K189" i="66"/>
  <c r="P188" i="65"/>
  <c r="K189" i="65"/>
  <c r="K190" i="47"/>
  <c r="P190" i="47" s="1"/>
  <c r="K190" i="66" l="1"/>
  <c r="P189" i="66"/>
  <c r="P189" i="65"/>
  <c r="K190" i="65"/>
  <c r="P189" i="68"/>
  <c r="K190" i="68"/>
  <c r="N189" i="67"/>
  <c r="I190" i="67"/>
  <c r="K191" i="47"/>
  <c r="P191" i="47" s="1"/>
  <c r="N190" i="67" l="1"/>
  <c r="I191" i="67"/>
  <c r="P190" i="68"/>
  <c r="K191" i="68"/>
  <c r="K191" i="65"/>
  <c r="P190" i="65"/>
  <c r="K191" i="66"/>
  <c r="P190" i="66"/>
  <c r="K192" i="47"/>
  <c r="P192" i="47" s="1"/>
  <c r="I192" i="67" l="1"/>
  <c r="N191" i="67"/>
  <c r="P191" i="68"/>
  <c r="K192" i="68"/>
  <c r="P191" i="66"/>
  <c r="K192" i="66"/>
  <c r="K192" i="65"/>
  <c r="P191" i="65"/>
  <c r="K193" i="47"/>
  <c r="P193" i="47" s="1"/>
  <c r="P192" i="68" l="1"/>
  <c r="K193" i="68"/>
  <c r="P192" i="65"/>
  <c r="K193" i="65"/>
  <c r="P192" i="66"/>
  <c r="K193" i="66"/>
  <c r="I193" i="67"/>
  <c r="N192" i="67"/>
  <c r="K194" i="47"/>
  <c r="P194" i="47" s="1"/>
  <c r="N193" i="67" l="1"/>
  <c r="I194" i="67"/>
  <c r="K194" i="66"/>
  <c r="P193" i="66"/>
  <c r="P193" i="68"/>
  <c r="K194" i="68"/>
  <c r="P193" i="65"/>
  <c r="K194" i="65"/>
  <c r="K195" i="47"/>
  <c r="P195" i="47" s="1"/>
  <c r="K195" i="65" l="1"/>
  <c r="P194" i="65"/>
  <c r="K195" i="66"/>
  <c r="P194" i="66"/>
  <c r="P194" i="68"/>
  <c r="K195" i="68"/>
  <c r="N194" i="67"/>
  <c r="I195" i="67"/>
  <c r="K196" i="47"/>
  <c r="P196" i="47" s="1"/>
  <c r="P195" i="68" l="1"/>
  <c r="K196" i="68"/>
  <c r="I196" i="67"/>
  <c r="N195" i="67"/>
  <c r="P195" i="66"/>
  <c r="K196" i="66"/>
  <c r="K196" i="65"/>
  <c r="P195" i="65"/>
  <c r="K197" i="47"/>
  <c r="P197" i="47" s="1"/>
  <c r="N196" i="67" l="1"/>
  <c r="I197" i="67"/>
  <c r="K197" i="66"/>
  <c r="P196" i="66"/>
  <c r="P196" i="68"/>
  <c r="K197" i="68"/>
  <c r="P196" i="65"/>
  <c r="K197" i="65"/>
  <c r="K198" i="47"/>
  <c r="P198" i="47" s="1"/>
  <c r="K198" i="66" l="1"/>
  <c r="P197" i="66"/>
  <c r="P197" i="68"/>
  <c r="K198" i="68"/>
  <c r="P197" i="65"/>
  <c r="K198" i="65"/>
  <c r="I198" i="67"/>
  <c r="N197" i="67"/>
  <c r="K199" i="47"/>
  <c r="P199" i="47" s="1"/>
  <c r="I199" i="67" l="1"/>
  <c r="N198" i="67"/>
  <c r="P198" i="65"/>
  <c r="K199" i="65"/>
  <c r="P198" i="68"/>
  <c r="K199" i="68"/>
  <c r="P198" i="66"/>
  <c r="K199" i="66"/>
  <c r="K200" i="47"/>
  <c r="P200" i="47" s="1"/>
  <c r="P199" i="68" l="1"/>
  <c r="K200" i="68"/>
  <c r="K200" i="66"/>
  <c r="P199" i="66"/>
  <c r="P199" i="65"/>
  <c r="K200" i="65"/>
  <c r="I200" i="67"/>
  <c r="N199" i="67"/>
  <c r="K201" i="47"/>
  <c r="P201" i="47" s="1"/>
  <c r="P200" i="66" l="1"/>
  <c r="K201" i="66"/>
  <c r="I201" i="67"/>
  <c r="N200" i="67"/>
  <c r="K201" i="65"/>
  <c r="P200" i="65"/>
  <c r="P200" i="68"/>
  <c r="K201" i="68"/>
  <c r="K202" i="47"/>
  <c r="P202" i="47" s="1"/>
  <c r="N201" i="67" l="1"/>
  <c r="I202" i="67"/>
  <c r="P201" i="68"/>
  <c r="K202" i="68"/>
  <c r="P201" i="66"/>
  <c r="K202" i="66"/>
  <c r="P202" i="66" s="1"/>
  <c r="K202" i="65"/>
  <c r="P202" i="65" s="1"/>
  <c r="P201" i="65"/>
  <c r="P202" i="68" l="1"/>
  <c r="K203" i="68"/>
  <c r="I203" i="67"/>
  <c r="N202" i="67"/>
  <c r="N203" i="67" l="1"/>
  <c r="I204" i="67"/>
  <c r="P203" i="68"/>
  <c r="K204" i="68"/>
  <c r="P204" i="68" l="1"/>
  <c r="K205" i="68"/>
  <c r="I205" i="67"/>
  <c r="N204" i="67"/>
  <c r="I206" i="67" l="1"/>
  <c r="N205" i="67"/>
  <c r="P205" i="68"/>
  <c r="K206" i="68"/>
  <c r="P206" i="68" l="1"/>
  <c r="K207" i="68"/>
  <c r="I207" i="67"/>
  <c r="N206" i="67"/>
  <c r="I208" i="67" l="1"/>
  <c r="N207" i="67"/>
  <c r="P207" i="68"/>
  <c r="K208" i="68"/>
  <c r="P208" i="68" l="1"/>
  <c r="K209" i="68"/>
  <c r="I209" i="67"/>
  <c r="N208" i="67"/>
  <c r="I210" i="67" l="1"/>
  <c r="N209" i="67"/>
  <c r="P209" i="68"/>
  <c r="K210" i="68"/>
  <c r="P210" i="68" l="1"/>
  <c r="K211" i="68"/>
  <c r="I211" i="67"/>
  <c r="N210" i="67"/>
  <c r="I212" i="67" l="1"/>
  <c r="N211" i="67"/>
  <c r="P211" i="68"/>
  <c r="K212" i="68"/>
  <c r="P212" i="68" l="1"/>
  <c r="K213" i="68"/>
  <c r="I213" i="67"/>
  <c r="N212" i="67"/>
  <c r="I214" i="67" l="1"/>
  <c r="N213" i="67"/>
  <c r="P213" i="68"/>
  <c r="K214" i="68"/>
  <c r="P214" i="68" l="1"/>
  <c r="K215" i="68"/>
  <c r="I215" i="67"/>
  <c r="N214" i="67"/>
  <c r="I216" i="67" l="1"/>
  <c r="N215" i="67"/>
  <c r="P215" i="68"/>
  <c r="K216" i="68"/>
  <c r="P216" i="68" l="1"/>
  <c r="K217" i="68"/>
  <c r="I217" i="67"/>
  <c r="N216" i="67"/>
  <c r="I218" i="67" l="1"/>
  <c r="N217" i="67"/>
  <c r="P217" i="68"/>
  <c r="K218" i="68"/>
  <c r="P218" i="68" l="1"/>
  <c r="K219" i="68"/>
  <c r="I219" i="67"/>
  <c r="N218" i="67"/>
  <c r="I220" i="67" l="1"/>
  <c r="N219" i="67"/>
  <c r="P219" i="68"/>
  <c r="K220" i="68"/>
  <c r="P220" i="68" l="1"/>
  <c r="K221" i="68"/>
  <c r="I221" i="67"/>
  <c r="N220" i="67"/>
  <c r="I222" i="67" l="1"/>
  <c r="N221" i="67"/>
  <c r="P221" i="68"/>
  <c r="K222" i="68"/>
  <c r="P222" i="68" l="1"/>
  <c r="K223" i="68"/>
  <c r="N222" i="67"/>
  <c r="I223" i="67"/>
  <c r="N223" i="67" l="1"/>
  <c r="I224" i="67"/>
  <c r="P223" i="68"/>
  <c r="K224" i="68"/>
  <c r="P224" i="68" l="1"/>
  <c r="K225" i="68"/>
  <c r="I225" i="67"/>
  <c r="N224" i="67"/>
  <c r="I226" i="67" l="1"/>
  <c r="N225" i="67"/>
  <c r="P225" i="68"/>
  <c r="K226" i="68"/>
  <c r="P226" i="68" l="1"/>
  <c r="K227" i="68"/>
  <c r="N226" i="67"/>
  <c r="I227" i="67"/>
  <c r="I228" i="67" l="1"/>
  <c r="N227" i="67"/>
  <c r="P227" i="68"/>
  <c r="K228" i="68"/>
  <c r="P228" i="68" l="1"/>
  <c r="K229" i="68"/>
  <c r="I229" i="67"/>
  <c r="N228" i="67"/>
  <c r="I230" i="67" l="1"/>
  <c r="N229" i="67"/>
  <c r="P229" i="68"/>
  <c r="K230" i="68"/>
  <c r="P230" i="68" l="1"/>
  <c r="K231" i="68"/>
  <c r="I231" i="67"/>
  <c r="N230" i="67"/>
  <c r="I232" i="67" l="1"/>
  <c r="N231" i="67"/>
  <c r="P231" i="68"/>
  <c r="K232" i="68"/>
  <c r="P232" i="68" l="1"/>
  <c r="K233" i="68"/>
  <c r="N232" i="67"/>
  <c r="I233" i="67"/>
  <c r="N233" i="67" l="1"/>
  <c r="I234" i="67"/>
  <c r="P233" i="68"/>
  <c r="K234" i="68"/>
  <c r="N234" i="67" l="1"/>
  <c r="I235" i="67"/>
  <c r="P234" i="68"/>
  <c r="K235" i="68"/>
  <c r="P235" i="68" l="1"/>
  <c r="K236" i="68"/>
  <c r="N235" i="67"/>
  <c r="I236" i="67"/>
  <c r="N236" i="67" l="1"/>
  <c r="I237" i="67"/>
  <c r="P236" i="68"/>
  <c r="K237" i="68"/>
  <c r="P237" i="68" l="1"/>
  <c r="K238" i="68"/>
  <c r="N237" i="67"/>
  <c r="I238" i="67"/>
  <c r="N238" i="67" l="1"/>
  <c r="I239" i="67"/>
  <c r="P238" i="68"/>
  <c r="K239" i="68"/>
  <c r="P239" i="68" l="1"/>
  <c r="K240" i="68"/>
  <c r="N239" i="67"/>
  <c r="I240" i="67"/>
  <c r="N240" i="67" l="1"/>
  <c r="I241" i="67"/>
  <c r="P240" i="68"/>
  <c r="K241" i="68"/>
  <c r="P241" i="68" l="1"/>
  <c r="K242" i="68"/>
  <c r="N241" i="67"/>
  <c r="I242" i="67"/>
  <c r="I243" i="67" l="1"/>
  <c r="N242" i="67"/>
  <c r="P242" i="68"/>
  <c r="K243" i="68"/>
  <c r="P243" i="68" l="1"/>
  <c r="K244" i="68"/>
  <c r="N243" i="67"/>
  <c r="I244" i="67"/>
  <c r="N244" i="67" l="1"/>
  <c r="I245" i="67"/>
  <c r="P244" i="68"/>
  <c r="K245" i="68"/>
  <c r="I246" i="67" l="1"/>
  <c r="N245" i="67"/>
  <c r="P245" i="68"/>
  <c r="K246" i="68"/>
  <c r="P246" i="68" l="1"/>
  <c r="K247" i="68"/>
  <c r="N246" i="67"/>
  <c r="I247" i="67"/>
  <c r="P247" i="68" l="1"/>
  <c r="K248" i="68"/>
  <c r="N247" i="67"/>
  <c r="I248" i="67"/>
  <c r="N248" i="67" l="1"/>
  <c r="I249" i="67"/>
  <c r="P248" i="68"/>
  <c r="K249" i="68"/>
  <c r="P249" i="68" l="1"/>
  <c r="K250" i="68"/>
  <c r="N249" i="67"/>
  <c r="I250" i="67"/>
  <c r="C30" i="1"/>
  <c r="D11" i="86" s="1"/>
  <c r="C29" i="1"/>
  <c r="K11" i="86" l="1"/>
  <c r="C11" i="86" s="1"/>
  <c r="D12" i="86"/>
  <c r="E11" i="86"/>
  <c r="E12" i="86" s="1"/>
  <c r="E13" i="86" s="1"/>
  <c r="E14" i="86" s="1"/>
  <c r="E15" i="86" s="1"/>
  <c r="E16" i="86" s="1"/>
  <c r="P250" i="68"/>
  <c r="K251" i="68"/>
  <c r="N250" i="67"/>
  <c r="I251" i="67"/>
  <c r="C31" i="1"/>
  <c r="H194" i="47" s="1"/>
  <c r="D11" i="60"/>
  <c r="D11" i="54"/>
  <c r="D11" i="56"/>
  <c r="H45" i="47" l="1"/>
  <c r="H78" i="47"/>
  <c r="E17" i="86"/>
  <c r="E18" i="86" s="1"/>
  <c r="E19" i="86" s="1"/>
  <c r="E20" i="86" s="1"/>
  <c r="E21" i="86" s="1"/>
  <c r="E22" i="86" s="1"/>
  <c r="H105" i="47"/>
  <c r="H67" i="47"/>
  <c r="H64" i="47"/>
  <c r="H89" i="47"/>
  <c r="H35" i="47"/>
  <c r="H56" i="47"/>
  <c r="H109" i="47"/>
  <c r="H179" i="47"/>
  <c r="H101" i="47"/>
  <c r="H18" i="47"/>
  <c r="H47" i="47"/>
  <c r="H24" i="47"/>
  <c r="H68" i="47"/>
  <c r="H138" i="47"/>
  <c r="H82" i="47"/>
  <c r="H122" i="47"/>
  <c r="H197" i="47"/>
  <c r="H96" i="47"/>
  <c r="H146" i="47"/>
  <c r="H14" i="47"/>
  <c r="H30" i="47"/>
  <c r="H12" i="47"/>
  <c r="H29" i="47"/>
  <c r="H110" i="47"/>
  <c r="H52" i="47"/>
  <c r="H139" i="47"/>
  <c r="H76" i="47"/>
  <c r="H175" i="47"/>
  <c r="H149" i="47"/>
  <c r="H164" i="47"/>
  <c r="K12" i="86"/>
  <c r="C12" i="86" s="1"/>
  <c r="D13" i="86"/>
  <c r="H186" i="47"/>
  <c r="H25" i="47"/>
  <c r="H191" i="47"/>
  <c r="H94" i="47"/>
  <c r="H183" i="47"/>
  <c r="H104" i="47"/>
  <c r="H181" i="47"/>
  <c r="H155" i="47"/>
  <c r="H174" i="47"/>
  <c r="H192" i="47"/>
  <c r="H103" i="47"/>
  <c r="H121" i="47"/>
  <c r="H167" i="47"/>
  <c r="H117" i="47"/>
  <c r="H125" i="47"/>
  <c r="H86" i="47"/>
  <c r="H182" i="47"/>
  <c r="H93" i="47"/>
  <c r="H20" i="47"/>
  <c r="H144" i="47"/>
  <c r="H123" i="47"/>
  <c r="H91" i="47"/>
  <c r="H62" i="47"/>
  <c r="H170" i="47"/>
  <c r="H59" i="47"/>
  <c r="H84" i="47"/>
  <c r="H37" i="47"/>
  <c r="H120" i="47"/>
  <c r="H127" i="47"/>
  <c r="H115" i="47"/>
  <c r="H70" i="47"/>
  <c r="H166" i="47"/>
  <c r="H153" i="47"/>
  <c r="H198" i="47"/>
  <c r="H73" i="47"/>
  <c r="H38" i="47"/>
  <c r="H99" i="47"/>
  <c r="H119" i="47"/>
  <c r="H160" i="47"/>
  <c r="H188" i="47"/>
  <c r="H69" i="47"/>
  <c r="H23" i="47"/>
  <c r="H41" i="47"/>
  <c r="H135" i="47"/>
  <c r="H22" i="47"/>
  <c r="H176" i="47"/>
  <c r="H199" i="47"/>
  <c r="H137" i="47"/>
  <c r="H132" i="47"/>
  <c r="H150" i="47"/>
  <c r="H61" i="47"/>
  <c r="H106" i="47"/>
  <c r="H33" i="47"/>
  <c r="H34" i="47"/>
  <c r="H130" i="47"/>
  <c r="N251" i="67"/>
  <c r="I252" i="67"/>
  <c r="P251" i="68"/>
  <c r="K252" i="68"/>
  <c r="H184" i="47"/>
  <c r="H63" i="47"/>
  <c r="H193" i="47"/>
  <c r="H74" i="47"/>
  <c r="H98" i="47"/>
  <c r="H51" i="47"/>
  <c r="H13" i="47"/>
  <c r="H77" i="47"/>
  <c r="H80" i="47"/>
  <c r="H143" i="47"/>
  <c r="H177" i="47"/>
  <c r="H32" i="47"/>
  <c r="H190" i="47"/>
  <c r="H165" i="47"/>
  <c r="H58" i="47"/>
  <c r="H75" i="47"/>
  <c r="H126" i="47"/>
  <c r="H114" i="47"/>
  <c r="H19" i="47"/>
  <c r="H152" i="47"/>
  <c r="H161" i="47"/>
  <c r="H39" i="47"/>
  <c r="H172" i="47"/>
  <c r="H65" i="47"/>
  <c r="H162" i="47"/>
  <c r="H79" i="47"/>
  <c r="H21" i="47"/>
  <c r="H116" i="47"/>
  <c r="H145" i="47"/>
  <c r="H140" i="47"/>
  <c r="H71" i="47"/>
  <c r="H147" i="47"/>
  <c r="H85" i="47"/>
  <c r="H15" i="47"/>
  <c r="H163" i="47"/>
  <c r="H49" i="47"/>
  <c r="H28" i="47"/>
  <c r="H43" i="47"/>
  <c r="H90" i="47"/>
  <c r="H26" i="47"/>
  <c r="H128" i="47"/>
  <c r="H187" i="47"/>
  <c r="H83" i="47"/>
  <c r="H118" i="47"/>
  <c r="H159" i="47"/>
  <c r="H202" i="47"/>
  <c r="H42" i="47"/>
  <c r="H11" i="47"/>
  <c r="H50" i="47"/>
  <c r="H113" i="47"/>
  <c r="H44" i="47"/>
  <c r="H141" i="47"/>
  <c r="H185" i="47"/>
  <c r="H81" i="47"/>
  <c r="H171" i="47"/>
  <c r="H40" i="47"/>
  <c r="H57" i="47"/>
  <c r="H97" i="47"/>
  <c r="H48" i="47"/>
  <c r="H111" i="47"/>
  <c r="H31" i="47"/>
  <c r="H195" i="47"/>
  <c r="H107" i="47"/>
  <c r="H156" i="47"/>
  <c r="H66" i="47"/>
  <c r="H102" i="47"/>
  <c r="H148" i="47"/>
  <c r="H154" i="47"/>
  <c r="H134" i="47"/>
  <c r="H173" i="47"/>
  <c r="H189" i="47"/>
  <c r="H108" i="47"/>
  <c r="H129" i="47"/>
  <c r="H142" i="47"/>
  <c r="H112" i="47"/>
  <c r="H27" i="47"/>
  <c r="H92" i="47"/>
  <c r="H133" i="47"/>
  <c r="H131" i="47"/>
  <c r="H54" i="47"/>
  <c r="H16" i="47"/>
  <c r="H136" i="47"/>
  <c r="H88" i="47"/>
  <c r="H169" i="47"/>
  <c r="H72" i="47"/>
  <c r="H180" i="47"/>
  <c r="H100" i="47"/>
  <c r="H201" i="47"/>
  <c r="H124" i="47"/>
  <c r="H151" i="47"/>
  <c r="H87" i="47"/>
  <c r="H17" i="47"/>
  <c r="H196" i="47"/>
  <c r="H55" i="47"/>
  <c r="H53" i="47"/>
  <c r="H95" i="47"/>
  <c r="H46" i="47"/>
  <c r="H158" i="47"/>
  <c r="H200" i="47"/>
  <c r="H157" i="47"/>
  <c r="H36" i="47"/>
  <c r="H168" i="47"/>
  <c r="H60" i="47"/>
  <c r="H178" i="47"/>
  <c r="E11" i="56"/>
  <c r="E12" i="56" s="1"/>
  <c r="E13" i="56" s="1"/>
  <c r="E14" i="56" s="1"/>
  <c r="E15" i="56" s="1"/>
  <c r="E16" i="56" s="1"/>
  <c r="E17" i="56" s="1"/>
  <c r="E18" i="56" s="1"/>
  <c r="E19" i="56" s="1"/>
  <c r="E20" i="56" s="1"/>
  <c r="E21" i="56" s="1"/>
  <c r="E22" i="56" s="1"/>
  <c r="E23" i="56" s="1"/>
  <c r="E24" i="56" s="1"/>
  <c r="E25" i="56" s="1"/>
  <c r="E26" i="56" s="1"/>
  <c r="E27" i="56" s="1"/>
  <c r="E28" i="56" s="1"/>
  <c r="E29" i="56" s="1"/>
  <c r="E30" i="56" s="1"/>
  <c r="E31" i="56" s="1"/>
  <c r="E32" i="56" s="1"/>
  <c r="E33" i="56" s="1"/>
  <c r="E34" i="56" s="1"/>
  <c r="E35" i="56" s="1"/>
  <c r="E36" i="56" s="1"/>
  <c r="E37" i="56" s="1"/>
  <c r="E38" i="56" s="1"/>
  <c r="E39" i="56" s="1"/>
  <c r="E40" i="56" s="1"/>
  <c r="E41" i="56" s="1"/>
  <c r="E42" i="56" s="1"/>
  <c r="E43" i="56" s="1"/>
  <c r="E44" i="56" s="1"/>
  <c r="E45" i="56" s="1"/>
  <c r="E46" i="56" s="1"/>
  <c r="E47" i="56" s="1"/>
  <c r="E48" i="56" s="1"/>
  <c r="E49" i="56" s="1"/>
  <c r="E50" i="56" s="1"/>
  <c r="E51" i="56" s="1"/>
  <c r="E52" i="56" s="1"/>
  <c r="E53" i="56" s="1"/>
  <c r="E54" i="56" s="1"/>
  <c r="E55" i="56" s="1"/>
  <c r="E56" i="56" s="1"/>
  <c r="E57" i="56" s="1"/>
  <c r="E58" i="56" s="1"/>
  <c r="E59" i="56" s="1"/>
  <c r="E60" i="56" s="1"/>
  <c r="E61" i="56" s="1"/>
  <c r="E62" i="56" s="1"/>
  <c r="E63" i="56" s="1"/>
  <c r="E64" i="56" s="1"/>
  <c r="E65" i="56" s="1"/>
  <c r="E66" i="56" s="1"/>
  <c r="E67" i="56" s="1"/>
  <c r="E68" i="56" s="1"/>
  <c r="E69" i="56" s="1"/>
  <c r="E70" i="56" s="1"/>
  <c r="E71" i="56" s="1"/>
  <c r="E72" i="56" s="1"/>
  <c r="E73" i="56" s="1"/>
  <c r="E74" i="56" s="1"/>
  <c r="E75" i="56" s="1"/>
  <c r="E76" i="56" s="1"/>
  <c r="E77" i="56" s="1"/>
  <c r="E78" i="56" s="1"/>
  <c r="E79" i="56" s="1"/>
  <c r="E80" i="56" s="1"/>
  <c r="E81" i="56" s="1"/>
  <c r="E82" i="56" s="1"/>
  <c r="E83" i="56" s="1"/>
  <c r="E84" i="56" s="1"/>
  <c r="E85" i="56" s="1"/>
  <c r="E86" i="56" s="1"/>
  <c r="E87" i="56" s="1"/>
  <c r="E88" i="56" s="1"/>
  <c r="E89" i="56" s="1"/>
  <c r="E90" i="56" s="1"/>
  <c r="E91" i="56" s="1"/>
  <c r="E92" i="56" s="1"/>
  <c r="E93" i="56" s="1"/>
  <c r="E94" i="56" s="1"/>
  <c r="E95" i="56" s="1"/>
  <c r="E96" i="56" s="1"/>
  <c r="E97" i="56" s="1"/>
  <c r="E98" i="56" s="1"/>
  <c r="E99" i="56" s="1"/>
  <c r="E100" i="56" s="1"/>
  <c r="E101" i="56" s="1"/>
  <c r="E102" i="56" s="1"/>
  <c r="E103" i="56" s="1"/>
  <c r="E104" i="56" s="1"/>
  <c r="E105" i="56" s="1"/>
  <c r="E106" i="56" s="1"/>
  <c r="E107" i="56" s="1"/>
  <c r="E108" i="56" s="1"/>
  <c r="E109" i="56" s="1"/>
  <c r="E110" i="56" s="1"/>
  <c r="E111" i="56" s="1"/>
  <c r="E112" i="56" s="1"/>
  <c r="E113" i="56" s="1"/>
  <c r="E114" i="56" s="1"/>
  <c r="E115" i="56" s="1"/>
  <c r="E116" i="56" s="1"/>
  <c r="E117" i="56" s="1"/>
  <c r="E118" i="56" s="1"/>
  <c r="K11" i="56"/>
  <c r="C11" i="56" s="1"/>
  <c r="D12" i="56"/>
  <c r="E11" i="54"/>
  <c r="E12" i="54" s="1"/>
  <c r="E13" i="54" s="1"/>
  <c r="E14" i="54" s="1"/>
  <c r="E15" i="54" s="1"/>
  <c r="E16" i="54" s="1"/>
  <c r="E17" i="54" s="1"/>
  <c r="E18" i="54" s="1"/>
  <c r="E19" i="54" s="1"/>
  <c r="E20" i="54" s="1"/>
  <c r="E21" i="54" s="1"/>
  <c r="E22" i="54" s="1"/>
  <c r="E23" i="54" s="1"/>
  <c r="E24" i="54" s="1"/>
  <c r="E25" i="54" s="1"/>
  <c r="E26" i="54" s="1"/>
  <c r="E27" i="54" s="1"/>
  <c r="E28" i="54" s="1"/>
  <c r="E29" i="54" s="1"/>
  <c r="E30" i="54" s="1"/>
  <c r="E31" i="54" s="1"/>
  <c r="E32" i="54" s="1"/>
  <c r="E33" i="54" s="1"/>
  <c r="E34" i="54" s="1"/>
  <c r="D12" i="54"/>
  <c r="K11" i="54"/>
  <c r="C11" i="54" s="1"/>
  <c r="D12" i="60"/>
  <c r="K11" i="60"/>
  <c r="C11" i="60" s="1"/>
  <c r="E11" i="60"/>
  <c r="E12" i="60" s="1"/>
  <c r="E13" i="60" s="1"/>
  <c r="E14" i="60" s="1"/>
  <c r="E15" i="60" s="1"/>
  <c r="E16" i="60" s="1"/>
  <c r="E17" i="60" s="1"/>
  <c r="E18" i="60" s="1"/>
  <c r="E19" i="60" s="1"/>
  <c r="E20" i="60" s="1"/>
  <c r="E21" i="60" s="1"/>
  <c r="E22" i="60" s="1"/>
  <c r="E23" i="60" s="1"/>
  <c r="E24" i="60" s="1"/>
  <c r="E25" i="60" s="1"/>
  <c r="E26" i="60" s="1"/>
  <c r="E27" i="60" s="1"/>
  <c r="E28" i="60" s="1"/>
  <c r="E29" i="60" s="1"/>
  <c r="E30" i="60" s="1"/>
  <c r="E31" i="60" s="1"/>
  <c r="E32" i="60" s="1"/>
  <c r="E33" i="60" s="1"/>
  <c r="E34" i="60" s="1"/>
  <c r="E35" i="60" s="1"/>
  <c r="E36" i="60" s="1"/>
  <c r="E37" i="60" s="1"/>
  <c r="E38" i="60" s="1"/>
  <c r="E39" i="60" s="1"/>
  <c r="E40" i="60" s="1"/>
  <c r="E41" i="60" s="1"/>
  <c r="E42" i="60" s="1"/>
  <c r="E43" i="60" s="1"/>
  <c r="E44" i="60" s="1"/>
  <c r="E45" i="60" s="1"/>
  <c r="E46" i="60" s="1"/>
  <c r="E47" i="60" s="1"/>
  <c r="E48" i="60" s="1"/>
  <c r="E49" i="60" s="1"/>
  <c r="E50" i="60" s="1"/>
  <c r="E51" i="60" s="1"/>
  <c r="E52" i="60" s="1"/>
  <c r="E53" i="60" s="1"/>
  <c r="E54" i="60" s="1"/>
  <c r="E55" i="60" s="1"/>
  <c r="E56" i="60" s="1"/>
  <c r="E57" i="60" s="1"/>
  <c r="E58" i="60" s="1"/>
  <c r="E59" i="60" s="1"/>
  <c r="E60" i="60" s="1"/>
  <c r="E61" i="60" s="1"/>
  <c r="E62" i="60" s="1"/>
  <c r="E63" i="60" s="1"/>
  <c r="E64" i="60" s="1"/>
  <c r="E65" i="60" s="1"/>
  <c r="E66" i="60" s="1"/>
  <c r="E67" i="60" s="1"/>
  <c r="E68" i="60" s="1"/>
  <c r="E69" i="60" s="1"/>
  <c r="E70" i="60" s="1"/>
  <c r="E71" i="60" s="1"/>
  <c r="E72" i="60" s="1"/>
  <c r="E73" i="60" s="1"/>
  <c r="E74" i="60" s="1"/>
  <c r="E75" i="60" s="1"/>
  <c r="E76" i="60" s="1"/>
  <c r="E77" i="60" s="1"/>
  <c r="E78" i="60" s="1"/>
  <c r="E79" i="60" s="1"/>
  <c r="E80" i="60" s="1"/>
  <c r="E81" i="60" s="1"/>
  <c r="E82" i="60" s="1"/>
  <c r="A12" i="43"/>
  <c r="A13" i="43" s="1"/>
  <c r="A14" i="43" s="1"/>
  <c r="E23" i="86" l="1"/>
  <c r="E24" i="86" s="1"/>
  <c r="E25" i="86" s="1"/>
  <c r="E26" i="86" s="1"/>
  <c r="E27" i="86" s="1"/>
  <c r="E28" i="86" s="1"/>
  <c r="K13" i="86"/>
  <c r="C13" i="86" s="1"/>
  <c r="D14" i="86"/>
  <c r="A15" i="43"/>
  <c r="A16" i="43" s="1"/>
  <c r="A17" i="43" s="1"/>
  <c r="A18" i="43" s="1"/>
  <c r="A19" i="43" s="1"/>
  <c r="A20" i="43" s="1"/>
  <c r="A21" i="43" s="1"/>
  <c r="A22" i="43" s="1"/>
  <c r="A23" i="43" s="1"/>
  <c r="A24" i="43" s="1"/>
  <c r="A25" i="43" s="1"/>
  <c r="A26" i="43" s="1"/>
  <c r="A27" i="43" s="1"/>
  <c r="A28" i="43" s="1"/>
  <c r="A29" i="43" s="1"/>
  <c r="A30" i="43" s="1"/>
  <c r="A31" i="43" s="1"/>
  <c r="A32" i="43" s="1"/>
  <c r="A33" i="43" s="1"/>
  <c r="A34" i="43" s="1"/>
  <c r="A11" i="44" s="1"/>
  <c r="P252" i="68"/>
  <c r="K253" i="68"/>
  <c r="N252" i="67"/>
  <c r="I253" i="67"/>
  <c r="K12" i="60"/>
  <c r="C12" i="60" s="1"/>
  <c r="D13" i="60"/>
  <c r="K12" i="56"/>
  <c r="C12" i="56" s="1"/>
  <c r="D13" i="56"/>
  <c r="D13" i="54"/>
  <c r="K12" i="54"/>
  <c r="C12" i="54" s="1"/>
  <c r="K14" i="86" l="1"/>
  <c r="C14" i="86" s="1"/>
  <c r="D15" i="86"/>
  <c r="A12" i="44"/>
  <c r="A11" i="7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27" i="71" s="1"/>
  <c r="A28" i="71" s="1"/>
  <c r="A29" i="71" s="1"/>
  <c r="A30" i="71" s="1"/>
  <c r="A31" i="71" s="1"/>
  <c r="A32" i="71" s="1"/>
  <c r="A33" i="71" s="1"/>
  <c r="A34" i="71" s="1"/>
  <c r="A35" i="71" s="1"/>
  <c r="A36" i="71" s="1"/>
  <c r="A37" i="71" s="1"/>
  <c r="A38" i="71" s="1"/>
  <c r="A39" i="71" s="1"/>
  <c r="A40" i="71" s="1"/>
  <c r="A41" i="71" s="1"/>
  <c r="A42" i="71" s="1"/>
  <c r="A43" i="71" s="1"/>
  <c r="A44" i="71" s="1"/>
  <c r="A45" i="71" s="1"/>
  <c r="A46" i="71" s="1"/>
  <c r="A47" i="71" s="1"/>
  <c r="A48" i="71" s="1"/>
  <c r="A49" i="71" s="1"/>
  <c r="A50" i="71" s="1"/>
  <c r="A51" i="71" s="1"/>
  <c r="A52" i="71" s="1"/>
  <c r="A53" i="71" s="1"/>
  <c r="A54" i="71" s="1"/>
  <c r="A55" i="71" s="1"/>
  <c r="A56" i="71" s="1"/>
  <c r="A57" i="71" s="1"/>
  <c r="A58" i="71" s="1"/>
  <c r="N253" i="67"/>
  <c r="I254" i="67"/>
  <c r="P253" i="68"/>
  <c r="K254" i="68"/>
  <c r="D14" i="54"/>
  <c r="K13" i="54"/>
  <c r="C13" i="54" s="1"/>
  <c r="K13" i="56"/>
  <c r="C13" i="56" s="1"/>
  <c r="D14" i="56"/>
  <c r="D14" i="60"/>
  <c r="K13" i="60"/>
  <c r="C13" i="60" s="1"/>
  <c r="A13" i="44" l="1"/>
  <c r="A14" i="44" s="1"/>
  <c r="A15" i="44" s="1"/>
  <c r="A16" i="44" s="1"/>
  <c r="A17" i="44" s="1"/>
  <c r="A18" i="44" s="1"/>
  <c r="A19" i="44" s="1"/>
  <c r="A20" i="44" s="1"/>
  <c r="A21" i="44" s="1"/>
  <c r="A22" i="44" s="1"/>
  <c r="A23" i="44" s="1"/>
  <c r="A24" i="44" s="1"/>
  <c r="A25" i="44" s="1"/>
  <c r="A26" i="44" s="1"/>
  <c r="A27" i="44" s="1"/>
  <c r="A28" i="44" s="1"/>
  <c r="A29" i="44" s="1"/>
  <c r="A30" i="44" s="1"/>
  <c r="A31" i="44" s="1"/>
  <c r="A32" i="44" s="1"/>
  <c r="A33" i="44" s="1"/>
  <c r="A34" i="44" s="1"/>
  <c r="A35" i="44" s="1"/>
  <c r="A36" i="44" s="1"/>
  <c r="A37" i="44" s="1"/>
  <c r="A38" i="44" s="1"/>
  <c r="A39" i="44" s="1"/>
  <c r="A40" i="44" s="1"/>
  <c r="A41" i="44" s="1"/>
  <c r="A42" i="44" s="1"/>
  <c r="A43" i="44" s="1"/>
  <c r="A44" i="44" s="1"/>
  <c r="A45" i="44" s="1"/>
  <c r="A46" i="44" s="1"/>
  <c r="A47" i="44" s="1"/>
  <c r="A48" i="44" s="1"/>
  <c r="A49" i="44" s="1"/>
  <c r="A50" i="44" s="1"/>
  <c r="A51" i="44" s="1"/>
  <c r="A52" i="44" s="1"/>
  <c r="A53" i="44" s="1"/>
  <c r="A54" i="44" s="1"/>
  <c r="A55" i="44" s="1"/>
  <c r="A56" i="44" s="1"/>
  <c r="A57" i="44" s="1"/>
  <c r="A58" i="44" s="1"/>
  <c r="A59" i="44" s="1"/>
  <c r="A60" i="44" s="1"/>
  <c r="A61" i="44" s="1"/>
  <c r="A62" i="44" s="1"/>
  <c r="A63" i="44" s="1"/>
  <c r="A64" i="44" s="1"/>
  <c r="A65" i="44" s="1"/>
  <c r="A66" i="44" s="1"/>
  <c r="A67" i="44" s="1"/>
  <c r="A68" i="44" s="1"/>
  <c r="A69" i="44" s="1"/>
  <c r="A70" i="44" s="1"/>
  <c r="A71" i="44" s="1"/>
  <c r="A72" i="44" s="1"/>
  <c r="A73" i="44" s="1"/>
  <c r="A74" i="44" s="1"/>
  <c r="A75" i="44" s="1"/>
  <c r="A76" i="44" s="1"/>
  <c r="A77" i="44" s="1"/>
  <c r="A78" i="44" s="1"/>
  <c r="A79" i="44" s="1"/>
  <c r="A80" i="44" s="1"/>
  <c r="A81" i="44" s="1"/>
  <c r="A82" i="44" s="1"/>
  <c r="A83" i="44" s="1"/>
  <c r="A84" i="44" s="1"/>
  <c r="A85" i="44" s="1"/>
  <c r="A86" i="44" s="1"/>
  <c r="A87" i="44" s="1"/>
  <c r="A88" i="44" s="1"/>
  <c r="A89" i="44" s="1"/>
  <c r="A90" i="44" s="1"/>
  <c r="A91" i="44" s="1"/>
  <c r="A92" i="44" s="1"/>
  <c r="A93" i="44" s="1"/>
  <c r="A94" i="44" s="1"/>
  <c r="A95" i="44" s="1"/>
  <c r="A96" i="44" s="1"/>
  <c r="A97" i="44" s="1"/>
  <c r="A98" i="44" s="1"/>
  <c r="A99" i="44" s="1"/>
  <c r="A100" i="44" s="1"/>
  <c r="A101" i="44" s="1"/>
  <c r="A102" i="44" s="1"/>
  <c r="A103" i="44" s="1"/>
  <c r="A104" i="44" s="1"/>
  <c r="A105" i="44" s="1"/>
  <c r="A106" i="44" s="1"/>
  <c r="A107" i="44" s="1"/>
  <c r="A108" i="44" s="1"/>
  <c r="A109" i="44" s="1"/>
  <c r="A110" i="44" s="1"/>
  <c r="A111" i="44" s="1"/>
  <c r="A112" i="44" s="1"/>
  <c r="A113" i="44" s="1"/>
  <c r="A114" i="44" s="1"/>
  <c r="A115" i="44" s="1"/>
  <c r="A116" i="44" s="1"/>
  <c r="A117" i="44" s="1"/>
  <c r="A118" i="44" s="1"/>
  <c r="A119" i="44" s="1"/>
  <c r="A120" i="44" s="1"/>
  <c r="A121" i="44" s="1"/>
  <c r="A122" i="44" s="1"/>
  <c r="A123" i="44" s="1"/>
  <c r="A124" i="44" s="1"/>
  <c r="A125" i="44" s="1"/>
  <c r="A126" i="44" s="1"/>
  <c r="A127" i="44" s="1"/>
  <c r="A128" i="44" s="1"/>
  <c r="A129" i="44" s="1"/>
  <c r="A130" i="44" s="1"/>
  <c r="A131" i="44" s="1"/>
  <c r="A132" i="44" s="1"/>
  <c r="A133" i="44" s="1"/>
  <c r="A134" i="44" s="1"/>
  <c r="A135" i="44" s="1"/>
  <c r="A136" i="44" s="1"/>
  <c r="A137" i="44" s="1"/>
  <c r="A138" i="44" s="1"/>
  <c r="A139" i="44" s="1"/>
  <c r="A140" i="44" s="1"/>
  <c r="A141" i="44" s="1"/>
  <c r="A142" i="44" s="1"/>
  <c r="A143" i="44" s="1"/>
  <c r="A144" i="44" s="1"/>
  <c r="A145" i="44" s="1"/>
  <c r="A146" i="44" s="1"/>
  <c r="A147" i="44" s="1"/>
  <c r="A148" i="44" s="1"/>
  <c r="A149" i="44" s="1"/>
  <c r="A150" i="44" s="1"/>
  <c r="A151" i="44" s="1"/>
  <c r="A152" i="44" s="1"/>
  <c r="A153" i="44" s="1"/>
  <c r="A154" i="44" s="1"/>
  <c r="A155" i="44" s="1"/>
  <c r="A156" i="44" s="1"/>
  <c r="A157" i="44" s="1"/>
  <c r="A158" i="44" s="1"/>
  <c r="A159" i="44" s="1"/>
  <c r="A160" i="44" s="1"/>
  <c r="A161" i="44" s="1"/>
  <c r="A162" i="44" s="1"/>
  <c r="A163" i="44" s="1"/>
  <c r="A164" i="44" s="1"/>
  <c r="A165" i="44" s="1"/>
  <c r="A166" i="44" s="1"/>
  <c r="A167" i="44" s="1"/>
  <c r="A168" i="44" s="1"/>
  <c r="A169" i="44" s="1"/>
  <c r="A170" i="44" s="1"/>
  <c r="A171" i="44" s="1"/>
  <c r="A172" i="44" s="1"/>
  <c r="A173" i="44" s="1"/>
  <c r="A174" i="44" s="1"/>
  <c r="A175" i="44" s="1"/>
  <c r="A176" i="44" s="1"/>
  <c r="A177" i="44" s="1"/>
  <c r="A178" i="44" s="1"/>
  <c r="A179" i="44" s="1"/>
  <c r="A180" i="44" s="1"/>
  <c r="A181" i="44" s="1"/>
  <c r="A182" i="44" s="1"/>
  <c r="A183" i="44" s="1"/>
  <c r="A184" i="44" s="1"/>
  <c r="A185" i="44" s="1"/>
  <c r="A186" i="44" s="1"/>
  <c r="A187" i="44" s="1"/>
  <c r="A188" i="44" s="1"/>
  <c r="A189" i="44" s="1"/>
  <c r="A190" i="44" s="1"/>
  <c r="A191" i="44" s="1"/>
  <c r="A192" i="44" s="1"/>
  <c r="A193" i="44" s="1"/>
  <c r="A194" i="44" s="1"/>
  <c r="A195" i="44" s="1"/>
  <c r="A196" i="44" s="1"/>
  <c r="A197" i="44" s="1"/>
  <c r="A198" i="44" s="1"/>
  <c r="A199" i="44" s="1"/>
  <c r="A200" i="44" s="1"/>
  <c r="A201" i="44" s="1"/>
  <c r="A202" i="44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A36" i="45" s="1"/>
  <c r="A37" i="45" s="1"/>
  <c r="A38" i="45" s="1"/>
  <c r="A39" i="45" s="1"/>
  <c r="A40" i="45" s="1"/>
  <c r="A41" i="45" s="1"/>
  <c r="A42" i="45" s="1"/>
  <c r="A43" i="45" s="1"/>
  <c r="A44" i="45" s="1"/>
  <c r="A45" i="45" s="1"/>
  <c r="A46" i="45" s="1"/>
  <c r="A47" i="45" s="1"/>
  <c r="A48" i="45" s="1"/>
  <c r="A49" i="45" s="1"/>
  <c r="A50" i="45" s="1"/>
  <c r="A51" i="45" s="1"/>
  <c r="A52" i="45" s="1"/>
  <c r="A53" i="45" s="1"/>
  <c r="A54" i="45" s="1"/>
  <c r="A55" i="45" s="1"/>
  <c r="A56" i="45" s="1"/>
  <c r="A57" i="45" s="1"/>
  <c r="A58" i="45" s="1"/>
  <c r="A59" i="45" s="1"/>
  <c r="A60" i="45" s="1"/>
  <c r="A61" i="45" s="1"/>
  <c r="A62" i="45" s="1"/>
  <c r="A63" i="45" s="1"/>
  <c r="A64" i="45" s="1"/>
  <c r="A65" i="45" s="1"/>
  <c r="A66" i="45" s="1"/>
  <c r="A67" i="45" s="1"/>
  <c r="A68" i="45" s="1"/>
  <c r="A69" i="45" s="1"/>
  <c r="A70" i="45" s="1"/>
  <c r="A11" i="87" s="1"/>
  <c r="A12" i="87" s="1"/>
  <c r="D16" i="86"/>
  <c r="K15" i="86"/>
  <c r="C15" i="86" s="1"/>
  <c r="A11" i="72"/>
  <c r="A12" i="72" s="1"/>
  <c r="A13" i="72" s="1"/>
  <c r="A14" i="72" s="1"/>
  <c r="A15" i="72" s="1"/>
  <c r="A16" i="72" s="1"/>
  <c r="A17" i="72" s="1"/>
  <c r="A18" i="72" s="1"/>
  <c r="A19" i="72" s="1"/>
  <c r="A20" i="72" s="1"/>
  <c r="A21" i="72" s="1"/>
  <c r="A22" i="72" s="1"/>
  <c r="A23" i="72" s="1"/>
  <c r="A24" i="72" s="1"/>
  <c r="A25" i="72" s="1"/>
  <c r="A26" i="72" s="1"/>
  <c r="A27" i="72" s="1"/>
  <c r="A28" i="72" s="1"/>
  <c r="A29" i="72" s="1"/>
  <c r="A30" i="72" s="1"/>
  <c r="A31" i="72" s="1"/>
  <c r="A32" i="72" s="1"/>
  <c r="A33" i="72" s="1"/>
  <c r="A34" i="72" s="1"/>
  <c r="A35" i="72" s="1"/>
  <c r="A36" i="72" s="1"/>
  <c r="A37" i="72" s="1"/>
  <c r="A38" i="72" s="1"/>
  <c r="A39" i="72" s="1"/>
  <c r="A40" i="72" s="1"/>
  <c r="A41" i="72" s="1"/>
  <c r="A42" i="72" s="1"/>
  <c r="A43" i="72" s="1"/>
  <c r="A44" i="72" s="1"/>
  <c r="A45" i="72" s="1"/>
  <c r="A46" i="72" s="1"/>
  <c r="A11" i="65"/>
  <c r="A12" i="65" s="1"/>
  <c r="A13" i="65" s="1"/>
  <c r="A14" i="65" s="1"/>
  <c r="A15" i="65" s="1"/>
  <c r="A16" i="65" s="1"/>
  <c r="A17" i="65" s="1"/>
  <c r="A18" i="65" s="1"/>
  <c r="A19" i="65" s="1"/>
  <c r="A20" i="65" s="1"/>
  <c r="A21" i="65" s="1"/>
  <c r="A22" i="65" s="1"/>
  <c r="A23" i="65" s="1"/>
  <c r="A24" i="65" s="1"/>
  <c r="A25" i="65" s="1"/>
  <c r="A26" i="65" s="1"/>
  <c r="A27" i="65" s="1"/>
  <c r="A28" i="65" s="1"/>
  <c r="A29" i="65" s="1"/>
  <c r="A30" i="65" s="1"/>
  <c r="A31" i="65" s="1"/>
  <c r="A32" i="65" s="1"/>
  <c r="A33" i="65" s="1"/>
  <c r="A34" i="65" s="1"/>
  <c r="A35" i="65" s="1"/>
  <c r="A36" i="65" s="1"/>
  <c r="A37" i="65" s="1"/>
  <c r="A38" i="65" s="1"/>
  <c r="A39" i="65" s="1"/>
  <c r="A40" i="65" s="1"/>
  <c r="A41" i="65" s="1"/>
  <c r="A42" i="65" s="1"/>
  <c r="A43" i="65" s="1"/>
  <c r="A44" i="65" s="1"/>
  <c r="A45" i="65" s="1"/>
  <c r="A46" i="65" s="1"/>
  <c r="A47" i="65" s="1"/>
  <c r="A48" i="65" s="1"/>
  <c r="A49" i="65" s="1"/>
  <c r="A50" i="65" s="1"/>
  <c r="A51" i="65" s="1"/>
  <c r="A52" i="65" s="1"/>
  <c r="A53" i="65" s="1"/>
  <c r="A54" i="65" s="1"/>
  <c r="A55" i="65" s="1"/>
  <c r="A56" i="65" s="1"/>
  <c r="A57" i="65" s="1"/>
  <c r="A58" i="65" s="1"/>
  <c r="A59" i="65" s="1"/>
  <c r="A60" i="65" s="1"/>
  <c r="A61" i="65" s="1"/>
  <c r="A62" i="65" s="1"/>
  <c r="A63" i="65" s="1"/>
  <c r="A64" i="65" s="1"/>
  <c r="A65" i="65" s="1"/>
  <c r="A66" i="65" s="1"/>
  <c r="A67" i="65" s="1"/>
  <c r="A68" i="65" s="1"/>
  <c r="A69" i="65" s="1"/>
  <c r="A70" i="65" s="1"/>
  <c r="A71" i="65" s="1"/>
  <c r="A72" i="65" s="1"/>
  <c r="A73" i="65" s="1"/>
  <c r="A74" i="65" s="1"/>
  <c r="A75" i="65" s="1"/>
  <c r="A76" i="65" s="1"/>
  <c r="A77" i="65" s="1"/>
  <c r="A78" i="65" s="1"/>
  <c r="A79" i="65" s="1"/>
  <c r="A80" i="65" s="1"/>
  <c r="A81" i="65" s="1"/>
  <c r="A82" i="65" s="1"/>
  <c r="A83" i="65" s="1"/>
  <c r="A84" i="65" s="1"/>
  <c r="A85" i="65" s="1"/>
  <c r="A86" i="65" s="1"/>
  <c r="A87" i="65" s="1"/>
  <c r="A88" i="65" s="1"/>
  <c r="A89" i="65" s="1"/>
  <c r="A90" i="65" s="1"/>
  <c r="A91" i="65" s="1"/>
  <c r="A92" i="65" s="1"/>
  <c r="A93" i="65" s="1"/>
  <c r="A94" i="65" s="1"/>
  <c r="A95" i="65" s="1"/>
  <c r="A96" i="65" s="1"/>
  <c r="A97" i="65" s="1"/>
  <c r="A98" i="65" s="1"/>
  <c r="A99" i="65" s="1"/>
  <c r="A100" i="65" s="1"/>
  <c r="A101" i="65" s="1"/>
  <c r="A102" i="65" s="1"/>
  <c r="A103" i="65" s="1"/>
  <c r="A104" i="65" s="1"/>
  <c r="A105" i="65" s="1"/>
  <c r="A106" i="65" s="1"/>
  <c r="A107" i="65" s="1"/>
  <c r="A108" i="65" s="1"/>
  <c r="A109" i="65" s="1"/>
  <c r="A110" i="65" s="1"/>
  <c r="A111" i="65" s="1"/>
  <c r="A112" i="65" s="1"/>
  <c r="A113" i="65" s="1"/>
  <c r="A114" i="65" s="1"/>
  <c r="A115" i="65" s="1"/>
  <c r="A116" i="65" s="1"/>
  <c r="A117" i="65" s="1"/>
  <c r="A118" i="65" s="1"/>
  <c r="A119" i="65" s="1"/>
  <c r="A120" i="65" s="1"/>
  <c r="A121" i="65" s="1"/>
  <c r="A122" i="65" s="1"/>
  <c r="A123" i="65" s="1"/>
  <c r="A124" i="65" s="1"/>
  <c r="A125" i="65" s="1"/>
  <c r="A126" i="65" s="1"/>
  <c r="A127" i="65" s="1"/>
  <c r="A128" i="65" s="1"/>
  <c r="A129" i="65" s="1"/>
  <c r="A130" i="65" s="1"/>
  <c r="A131" i="65" s="1"/>
  <c r="A132" i="65" s="1"/>
  <c r="A133" i="65" s="1"/>
  <c r="A134" i="65" s="1"/>
  <c r="A135" i="65" s="1"/>
  <c r="A136" i="65" s="1"/>
  <c r="A137" i="65" s="1"/>
  <c r="A138" i="65" s="1"/>
  <c r="A139" i="65" s="1"/>
  <c r="A140" i="65" s="1"/>
  <c r="A141" i="65" s="1"/>
  <c r="A142" i="65" s="1"/>
  <c r="A143" i="65" s="1"/>
  <c r="A144" i="65" s="1"/>
  <c r="A145" i="65" s="1"/>
  <c r="A146" i="65" s="1"/>
  <c r="A147" i="65" s="1"/>
  <c r="A148" i="65" s="1"/>
  <c r="A149" i="65" s="1"/>
  <c r="A150" i="65" s="1"/>
  <c r="A151" i="65" s="1"/>
  <c r="A152" i="65" s="1"/>
  <c r="A153" i="65" s="1"/>
  <c r="A154" i="65" s="1"/>
  <c r="A155" i="65" s="1"/>
  <c r="A156" i="65" s="1"/>
  <c r="A157" i="65" s="1"/>
  <c r="A158" i="65" s="1"/>
  <c r="A159" i="65" s="1"/>
  <c r="A160" i="65" s="1"/>
  <c r="A161" i="65" s="1"/>
  <c r="A162" i="65" s="1"/>
  <c r="A163" i="65" s="1"/>
  <c r="A164" i="65" s="1"/>
  <c r="A165" i="65" s="1"/>
  <c r="A166" i="65" s="1"/>
  <c r="A167" i="65" s="1"/>
  <c r="A168" i="65" s="1"/>
  <c r="A169" i="65" s="1"/>
  <c r="A170" i="65" s="1"/>
  <c r="A171" i="65" s="1"/>
  <c r="A172" i="65" s="1"/>
  <c r="A173" i="65" s="1"/>
  <c r="A174" i="65" s="1"/>
  <c r="A175" i="65" s="1"/>
  <c r="A176" i="65" s="1"/>
  <c r="A177" i="65" s="1"/>
  <c r="A178" i="65" s="1"/>
  <c r="A179" i="65" s="1"/>
  <c r="A180" i="65" s="1"/>
  <c r="A181" i="65" s="1"/>
  <c r="A182" i="65" s="1"/>
  <c r="A183" i="65" s="1"/>
  <c r="A184" i="65" s="1"/>
  <c r="A185" i="65" s="1"/>
  <c r="A186" i="65" s="1"/>
  <c r="A187" i="65" s="1"/>
  <c r="A188" i="65" s="1"/>
  <c r="A189" i="65" s="1"/>
  <c r="A190" i="65" s="1"/>
  <c r="A191" i="65" s="1"/>
  <c r="A192" i="65" s="1"/>
  <c r="A193" i="65" s="1"/>
  <c r="A194" i="65" s="1"/>
  <c r="A195" i="65" s="1"/>
  <c r="A196" i="65" s="1"/>
  <c r="A197" i="65" s="1"/>
  <c r="A198" i="65" s="1"/>
  <c r="A199" i="65" s="1"/>
  <c r="A200" i="65" s="1"/>
  <c r="A201" i="65" s="1"/>
  <c r="A202" i="65" s="1"/>
  <c r="P254" i="68"/>
  <c r="K255" i="68"/>
  <c r="N254" i="67"/>
  <c r="I255" i="67"/>
  <c r="K14" i="56"/>
  <c r="C14" i="56" s="1"/>
  <c r="D15" i="56"/>
  <c r="D15" i="60"/>
  <c r="K14" i="60"/>
  <c r="C14" i="60" s="1"/>
  <c r="D15" i="54"/>
  <c r="K14" i="54"/>
  <c r="C14" i="54" s="1"/>
  <c r="A13" i="87" l="1"/>
  <c r="A14" i="87" s="1"/>
  <c r="A15" i="87" s="1"/>
  <c r="A16" i="87" s="1"/>
  <c r="A17" i="87" s="1"/>
  <c r="A18" i="87" s="1"/>
  <c r="A19" i="87" s="1"/>
  <c r="A20" i="87" s="1"/>
  <c r="A21" i="87" s="1"/>
  <c r="A22" i="87" s="1"/>
  <c r="A23" i="87" s="1"/>
  <c r="A24" i="87" s="1"/>
  <c r="A25" i="87" s="1"/>
  <c r="A26" i="87" s="1"/>
  <c r="A27" i="87" s="1"/>
  <c r="A28" i="87" s="1"/>
  <c r="A29" i="87" s="1"/>
  <c r="A30" i="87" s="1"/>
  <c r="A31" i="87" s="1"/>
  <c r="A32" i="87" s="1"/>
  <c r="A33" i="87" s="1"/>
  <c r="A34" i="87" s="1"/>
  <c r="A35" i="87" s="1"/>
  <c r="A36" i="87" s="1"/>
  <c r="A37" i="87" s="1"/>
  <c r="A38" i="87" s="1"/>
  <c r="A39" i="87" s="1"/>
  <c r="A40" i="87" s="1"/>
  <c r="A41" i="87" s="1"/>
  <c r="A42" i="87" s="1"/>
  <c r="A43" i="87" s="1"/>
  <c r="A44" i="87" s="1"/>
  <c r="A45" i="87" s="1"/>
  <c r="A46" i="87" s="1"/>
  <c r="A47" i="87" s="1"/>
  <c r="A48" i="87" s="1"/>
  <c r="A49" i="87" s="1"/>
  <c r="A50" i="87" s="1"/>
  <c r="A51" i="87" s="1"/>
  <c r="A52" i="87" s="1"/>
  <c r="A53" i="87" s="1"/>
  <c r="A54" i="87" s="1"/>
  <c r="A55" i="87" s="1"/>
  <c r="A56" i="87" s="1"/>
  <c r="A57" i="87" s="1"/>
  <c r="A58" i="87" s="1"/>
  <c r="A59" i="87" s="1"/>
  <c r="A60" i="87" s="1"/>
  <c r="A61" i="87" s="1"/>
  <c r="A62" i="87" s="1"/>
  <c r="A63" i="87" s="1"/>
  <c r="A64" i="87" s="1"/>
  <c r="A65" i="87" s="1"/>
  <c r="A66" i="87" s="1"/>
  <c r="A67" i="87" s="1"/>
  <c r="A68" i="87" s="1"/>
  <c r="A69" i="87" s="1"/>
  <c r="A70" i="87" s="1"/>
  <c r="A71" i="87" s="1"/>
  <c r="A72" i="87" s="1"/>
  <c r="A73" i="87" s="1"/>
  <c r="A74" i="87" s="1"/>
  <c r="A75" i="87" s="1"/>
  <c r="A76" i="87" s="1"/>
  <c r="A77" i="87" s="1"/>
  <c r="A78" i="87" s="1"/>
  <c r="A79" i="87" s="1"/>
  <c r="A80" i="87" s="1"/>
  <c r="A81" i="87" s="1"/>
  <c r="A82" i="87" s="1"/>
  <c r="A83" i="87" s="1"/>
  <c r="A84" i="87" s="1"/>
  <c r="A85" i="87" s="1"/>
  <c r="A86" i="87" s="1"/>
  <c r="A87" i="87" s="1"/>
  <c r="A88" i="87" s="1"/>
  <c r="A89" i="87" s="1"/>
  <c r="A90" i="87" s="1"/>
  <c r="A91" i="87" s="1"/>
  <c r="A92" i="87" s="1"/>
  <c r="A93" i="87" s="1"/>
  <c r="A94" i="87" s="1"/>
  <c r="A95" i="87" s="1"/>
  <c r="A96" i="87" s="1"/>
  <c r="A97" i="87" s="1"/>
  <c r="A98" i="87" s="1"/>
  <c r="A99" i="87" s="1"/>
  <c r="A100" i="87" s="1"/>
  <c r="A101" i="87" s="1"/>
  <c r="A102" i="87" s="1"/>
  <c r="A103" i="87" s="1"/>
  <c r="A104" i="87" s="1"/>
  <c r="A105" i="87" s="1"/>
  <c r="A106" i="87" s="1"/>
  <c r="A107" i="87" s="1"/>
  <c r="A108" i="87" s="1"/>
  <c r="A109" i="87" s="1"/>
  <c r="A110" i="87" s="1"/>
  <c r="A111" i="87" s="1"/>
  <c r="A112" i="87" s="1"/>
  <c r="A113" i="87" s="1"/>
  <c r="A114" i="87" s="1"/>
  <c r="A115" i="87" s="1"/>
  <c r="A116" i="87" s="1"/>
  <c r="A117" i="87" s="1"/>
  <c r="A118" i="87" s="1"/>
  <c r="A119" i="87" s="1"/>
  <c r="A120" i="87" s="1"/>
  <c r="A121" i="87" s="1"/>
  <c r="A122" i="87" s="1"/>
  <c r="A123" i="87" s="1"/>
  <c r="A124" i="87" s="1"/>
  <c r="A125" i="87" s="1"/>
  <c r="A126" i="87" s="1"/>
  <c r="A127" i="87" s="1"/>
  <c r="A128" i="87" s="1"/>
  <c r="A129" i="87" s="1"/>
  <c r="A130" i="87" s="1"/>
  <c r="A131" i="87" s="1"/>
  <c r="A132" i="87" s="1"/>
  <c r="A133" i="87" s="1"/>
  <c r="A134" i="87" s="1"/>
  <c r="A135" i="87" s="1"/>
  <c r="A136" i="87" s="1"/>
  <c r="A137" i="87" s="1"/>
  <c r="A138" i="87" s="1"/>
  <c r="A139" i="87" s="1"/>
  <c r="A140" i="87" s="1"/>
  <c r="A141" i="87" s="1"/>
  <c r="A142" i="87" s="1"/>
  <c r="A143" i="87" s="1"/>
  <c r="A144" i="87" s="1"/>
  <c r="A145" i="87" s="1"/>
  <c r="A146" i="87" s="1"/>
  <c r="A147" i="87" s="1"/>
  <c r="A148" i="87" s="1"/>
  <c r="A149" i="87" s="1"/>
  <c r="A150" i="87" s="1"/>
  <c r="A151" i="87" s="1"/>
  <c r="A152" i="87" s="1"/>
  <c r="A153" i="87" s="1"/>
  <c r="A154" i="87" s="1"/>
  <c r="A155" i="87" s="1"/>
  <c r="A156" i="87" s="1"/>
  <c r="A157" i="87" s="1"/>
  <c r="A158" i="87" s="1"/>
  <c r="A159" i="87" s="1"/>
  <c r="A160" i="87" s="1"/>
  <c r="A161" i="87" s="1"/>
  <c r="A162" i="87" s="1"/>
  <c r="A163" i="87" s="1"/>
  <c r="A164" i="87" s="1"/>
  <c r="A165" i="87" s="1"/>
  <c r="A166" i="87" s="1"/>
  <c r="A167" i="87" s="1"/>
  <c r="A168" i="87" s="1"/>
  <c r="A169" i="87" s="1"/>
  <c r="A170" i="87" s="1"/>
  <c r="A171" i="87" s="1"/>
  <c r="A172" i="87" s="1"/>
  <c r="A173" i="87" s="1"/>
  <c r="A174" i="87" s="1"/>
  <c r="A175" i="87" s="1"/>
  <c r="A176" i="87" s="1"/>
  <c r="A177" i="87" s="1"/>
  <c r="A178" i="87" s="1"/>
  <c r="A179" i="87" s="1"/>
  <c r="A180" i="87" s="1"/>
  <c r="A181" i="87" s="1"/>
  <c r="A182" i="87" s="1"/>
  <c r="A183" i="87" s="1"/>
  <c r="A184" i="87" s="1"/>
  <c r="A185" i="87" s="1"/>
  <c r="A186" i="87" s="1"/>
  <c r="A187" i="87" s="1"/>
  <c r="A188" i="87" s="1"/>
  <c r="A189" i="87" s="1"/>
  <c r="A190" i="87" s="1"/>
  <c r="A191" i="87" s="1"/>
  <c r="A192" i="87" s="1"/>
  <c r="A193" i="87" s="1"/>
  <c r="A194" i="87" s="1"/>
  <c r="A195" i="87" s="1"/>
  <c r="A196" i="87" s="1"/>
  <c r="A197" i="87" s="1"/>
  <c r="A198" i="87" s="1"/>
  <c r="A199" i="87" s="1"/>
  <c r="A200" i="87" s="1"/>
  <c r="A201" i="87" s="1"/>
  <c r="A202" i="87" s="1"/>
  <c r="A203" i="87" s="1"/>
  <c r="A204" i="87" s="1"/>
  <c r="A205" i="87" s="1"/>
  <c r="A206" i="87" s="1"/>
  <c r="A207" i="87" s="1"/>
  <c r="A208" i="87" s="1"/>
  <c r="A209" i="87" s="1"/>
  <c r="A210" i="87" s="1"/>
  <c r="A211" i="87" s="1"/>
  <c r="A212" i="87" s="1"/>
  <c r="A213" i="87" s="1"/>
  <c r="A214" i="87" s="1"/>
  <c r="A215" i="87" s="1"/>
  <c r="A216" i="87" s="1"/>
  <c r="A217" i="87" s="1"/>
  <c r="A218" i="87" s="1"/>
  <c r="A219" i="87" s="1"/>
  <c r="A220" i="87" s="1"/>
  <c r="A221" i="87" s="1"/>
  <c r="A222" i="87" s="1"/>
  <c r="A223" i="87" s="1"/>
  <c r="A224" i="87" s="1"/>
  <c r="A225" i="87" s="1"/>
  <c r="A226" i="87" s="1"/>
  <c r="A227" i="87" s="1"/>
  <c r="A228" i="87" s="1"/>
  <c r="A229" i="87" s="1"/>
  <c r="A230" i="87" s="1"/>
  <c r="A231" i="87" s="1"/>
  <c r="A232" i="87" s="1"/>
  <c r="A233" i="87" s="1"/>
  <c r="A234" i="87" s="1"/>
  <c r="A235" i="87" s="1"/>
  <c r="A236" i="87" s="1"/>
  <c r="A237" i="87" s="1"/>
  <c r="A238" i="87" s="1"/>
  <c r="A239" i="87" s="1"/>
  <c r="A240" i="87" s="1"/>
  <c r="A241" i="87" s="1"/>
  <c r="A242" i="87" s="1"/>
  <c r="A243" i="87" s="1"/>
  <c r="A244" i="87" s="1"/>
  <c r="A245" i="87" s="1"/>
  <c r="A246" i="87" s="1"/>
  <c r="A247" i="87" s="1"/>
  <c r="A248" i="87" s="1"/>
  <c r="A249" i="87" s="1"/>
  <c r="A250" i="87" s="1"/>
  <c r="A11" i="89" s="1"/>
  <c r="A12" i="89" s="1"/>
  <c r="A13" i="89" s="1"/>
  <c r="A14" i="89" s="1"/>
  <c r="A15" i="89" s="1"/>
  <c r="A16" i="89" s="1"/>
  <c r="A17" i="89" s="1"/>
  <c r="A18" i="89" s="1"/>
  <c r="A19" i="89" s="1"/>
  <c r="A20" i="89" s="1"/>
  <c r="A21" i="89" s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A42" i="89" s="1"/>
  <c r="A43" i="89" s="1"/>
  <c r="A44" i="89" s="1"/>
  <c r="A45" i="89" s="1"/>
  <c r="A46" i="89" s="1"/>
  <c r="A47" i="89" s="1"/>
  <c r="A48" i="89" s="1"/>
  <c r="A49" i="89" s="1"/>
  <c r="A50" i="89" s="1"/>
  <c r="A51" i="89" s="1"/>
  <c r="A52" i="89" s="1"/>
  <c r="A53" i="89" s="1"/>
  <c r="A54" i="89" s="1"/>
  <c r="A55" i="89" s="1"/>
  <c r="A56" i="89" s="1"/>
  <c r="A57" i="89" s="1"/>
  <c r="A58" i="89" s="1"/>
  <c r="A59" i="89" s="1"/>
  <c r="A60" i="89" s="1"/>
  <c r="A61" i="89" s="1"/>
  <c r="A62" i="89" s="1"/>
  <c r="A63" i="89" s="1"/>
  <c r="A64" i="89" s="1"/>
  <c r="A65" i="89" s="1"/>
  <c r="A66" i="89" s="1"/>
  <c r="A67" i="89" s="1"/>
  <c r="A68" i="89" s="1"/>
  <c r="A69" i="89" s="1"/>
  <c r="A70" i="89" s="1"/>
  <c r="A71" i="89" s="1"/>
  <c r="A72" i="89" s="1"/>
  <c r="A73" i="89" s="1"/>
  <c r="A74" i="89" s="1"/>
  <c r="A75" i="89" s="1"/>
  <c r="A76" i="89" s="1"/>
  <c r="A77" i="89" s="1"/>
  <c r="A78" i="89" s="1"/>
  <c r="A79" i="89" s="1"/>
  <c r="A80" i="89" s="1"/>
  <c r="A81" i="89" s="1"/>
  <c r="A82" i="89" s="1"/>
  <c r="A83" i="89" s="1"/>
  <c r="A84" i="89" s="1"/>
  <c r="A85" i="89" s="1"/>
  <c r="A86" i="89" s="1"/>
  <c r="A87" i="89" s="1"/>
  <c r="A88" i="89" s="1"/>
  <c r="A89" i="89" s="1"/>
  <c r="A90" i="89" s="1"/>
  <c r="A91" i="89" s="1"/>
  <c r="A92" i="89" s="1"/>
  <c r="A93" i="89" s="1"/>
  <c r="A94" i="89" s="1"/>
  <c r="A95" i="89" s="1"/>
  <c r="A96" i="89" s="1"/>
  <c r="A97" i="89" s="1"/>
  <c r="A98" i="89" s="1"/>
  <c r="A99" i="89" s="1"/>
  <c r="A100" i="89" s="1"/>
  <c r="A101" i="89" s="1"/>
  <c r="A102" i="89" s="1"/>
  <c r="A103" i="89" s="1"/>
  <c r="A104" i="89" s="1"/>
  <c r="A105" i="89" s="1"/>
  <c r="A106" i="89" s="1"/>
  <c r="A107" i="89" s="1"/>
  <c r="A108" i="89" s="1"/>
  <c r="A109" i="89" s="1"/>
  <c r="A110" i="89" s="1"/>
  <c r="A111" i="89" s="1"/>
  <c r="A112" i="89" s="1"/>
  <c r="A113" i="89" s="1"/>
  <c r="A114" i="89" s="1"/>
  <c r="A115" i="89" s="1"/>
  <c r="A116" i="89" s="1"/>
  <c r="A117" i="89" s="1"/>
  <c r="A118" i="89" s="1"/>
  <c r="A119" i="89" s="1"/>
  <c r="A120" i="89" s="1"/>
  <c r="A121" i="89" s="1"/>
  <c r="A122" i="89" s="1"/>
  <c r="A123" i="89" s="1"/>
  <c r="A124" i="89" s="1"/>
  <c r="A125" i="89" s="1"/>
  <c r="A126" i="89" s="1"/>
  <c r="A127" i="89" s="1"/>
  <c r="A128" i="89" s="1"/>
  <c r="A129" i="89" s="1"/>
  <c r="A130" i="89" s="1"/>
  <c r="A131" i="89" s="1"/>
  <c r="A132" i="89" s="1"/>
  <c r="A133" i="89" s="1"/>
  <c r="A134" i="89" s="1"/>
  <c r="A135" i="89" s="1"/>
  <c r="A136" i="89" s="1"/>
  <c r="A137" i="89" s="1"/>
  <c r="A138" i="89" s="1"/>
  <c r="A139" i="89" s="1"/>
  <c r="A140" i="89" s="1"/>
  <c r="A141" i="89" s="1"/>
  <c r="A142" i="89" s="1"/>
  <c r="A143" i="89" s="1"/>
  <c r="A144" i="89" s="1"/>
  <c r="A145" i="89" s="1"/>
  <c r="A146" i="89" s="1"/>
  <c r="A147" i="89" s="1"/>
  <c r="A148" i="89" s="1"/>
  <c r="A149" i="89" s="1"/>
  <c r="A150" i="89" s="1"/>
  <c r="A151" i="89" s="1"/>
  <c r="A152" i="89" s="1"/>
  <c r="A153" i="89" s="1"/>
  <c r="A154" i="89" s="1"/>
  <c r="A155" i="89" s="1"/>
  <c r="A156" i="89" s="1"/>
  <c r="A157" i="89" s="1"/>
  <c r="A158" i="89" s="1"/>
  <c r="A159" i="89" s="1"/>
  <c r="A160" i="89" s="1"/>
  <c r="A161" i="89" s="1"/>
  <c r="A162" i="89" s="1"/>
  <c r="A163" i="89" s="1"/>
  <c r="A164" i="89" s="1"/>
  <c r="A165" i="89" s="1"/>
  <c r="A166" i="89" s="1"/>
  <c r="A167" i="89" s="1"/>
  <c r="A168" i="89" s="1"/>
  <c r="A169" i="89" s="1"/>
  <c r="A170" i="89" s="1"/>
  <c r="A171" i="89" s="1"/>
  <c r="A172" i="89" s="1"/>
  <c r="A173" i="89" s="1"/>
  <c r="A174" i="89" s="1"/>
  <c r="A175" i="89" s="1"/>
  <c r="A176" i="89" s="1"/>
  <c r="A177" i="89" s="1"/>
  <c r="A178" i="89" s="1"/>
  <c r="A179" i="89" s="1"/>
  <c r="A180" i="89" s="1"/>
  <c r="A181" i="89" s="1"/>
  <c r="A182" i="89" s="1"/>
  <c r="A183" i="89" s="1"/>
  <c r="A184" i="89" s="1"/>
  <c r="A185" i="89" s="1"/>
  <c r="A186" i="89" s="1"/>
  <c r="A187" i="89" s="1"/>
  <c r="A188" i="89" s="1"/>
  <c r="A189" i="89" s="1"/>
  <c r="A190" i="89" s="1"/>
  <c r="A191" i="89" s="1"/>
  <c r="A192" i="89" s="1"/>
  <c r="A193" i="89" s="1"/>
  <c r="A194" i="89" s="1"/>
  <c r="A195" i="89" s="1"/>
  <c r="A196" i="89" s="1"/>
  <c r="A197" i="89" s="1"/>
  <c r="A198" i="89" s="1"/>
  <c r="A199" i="89" s="1"/>
  <c r="A200" i="89" s="1"/>
  <c r="A201" i="89" s="1"/>
  <c r="A202" i="89" s="1"/>
  <c r="A203" i="89" s="1"/>
  <c r="A204" i="89" s="1"/>
  <c r="A205" i="89" s="1"/>
  <c r="A206" i="89" s="1"/>
  <c r="A207" i="89" s="1"/>
  <c r="A208" i="89" s="1"/>
  <c r="A209" i="89" s="1"/>
  <c r="A210" i="89" s="1"/>
  <c r="A211" i="89" s="1"/>
  <c r="A212" i="89" s="1"/>
  <c r="A213" i="89" s="1"/>
  <c r="A214" i="89" s="1"/>
  <c r="A215" i="89" s="1"/>
  <c r="A216" i="89" s="1"/>
  <c r="A217" i="89" s="1"/>
  <c r="A218" i="89" s="1"/>
  <c r="A219" i="89" s="1"/>
  <c r="A220" i="89" s="1"/>
  <c r="A221" i="89" s="1"/>
  <c r="A222" i="89" s="1"/>
  <c r="A223" i="89" s="1"/>
  <c r="A224" i="89" s="1"/>
  <c r="A225" i="89" s="1"/>
  <c r="A226" i="89" s="1"/>
  <c r="A227" i="89" s="1"/>
  <c r="A228" i="89" s="1"/>
  <c r="A229" i="89" s="1"/>
  <c r="A230" i="89" s="1"/>
  <c r="A231" i="89" s="1"/>
  <c r="A232" i="89" s="1"/>
  <c r="A233" i="89" s="1"/>
  <c r="A234" i="89" s="1"/>
  <c r="A235" i="89" s="1"/>
  <c r="A236" i="89" s="1"/>
  <c r="A237" i="89" s="1"/>
  <c r="A238" i="89" s="1"/>
  <c r="A239" i="89" s="1"/>
  <c r="A240" i="89" s="1"/>
  <c r="A241" i="89" s="1"/>
  <c r="A242" i="89" s="1"/>
  <c r="A243" i="89" s="1"/>
  <c r="A244" i="89" s="1"/>
  <c r="A245" i="89" s="1"/>
  <c r="A246" i="89" s="1"/>
  <c r="A247" i="89" s="1"/>
  <c r="A248" i="89" s="1"/>
  <c r="A249" i="89" s="1"/>
  <c r="A250" i="89" s="1"/>
  <c r="A11" i="88" s="1"/>
  <c r="A12" i="88" s="1"/>
  <c r="D17" i="86"/>
  <c r="C16" i="86"/>
  <c r="K16" i="86"/>
  <c r="P255" i="68"/>
  <c r="K256" i="68"/>
  <c r="N255" i="67"/>
  <c r="I256" i="67"/>
  <c r="D16" i="60"/>
  <c r="K15" i="60"/>
  <c r="C15" i="60" s="1"/>
  <c r="K15" i="56"/>
  <c r="C15" i="56" s="1"/>
  <c r="D16" i="56"/>
  <c r="D16" i="54"/>
  <c r="K15" i="54"/>
  <c r="C15" i="54" s="1"/>
  <c r="A13" i="88" l="1"/>
  <c r="A14" i="88" s="1"/>
  <c r="A15" i="88" s="1"/>
  <c r="A16" i="88" s="1"/>
  <c r="A17" i="88" s="1"/>
  <c r="A18" i="88" s="1"/>
  <c r="A19" i="88" s="1"/>
  <c r="A20" i="88" s="1"/>
  <c r="A21" i="88" s="1"/>
  <c r="A22" i="88" s="1"/>
  <c r="A23" i="88" s="1"/>
  <c r="A24" i="88" s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42" i="88" s="1"/>
  <c r="A43" i="88" s="1"/>
  <c r="A44" i="88" s="1"/>
  <c r="A45" i="88" s="1"/>
  <c r="A46" i="88" s="1"/>
  <c r="A47" i="88" s="1"/>
  <c r="A48" i="88" s="1"/>
  <c r="A49" i="88" s="1"/>
  <c r="A50" i="88" s="1"/>
  <c r="A51" i="88" s="1"/>
  <c r="A52" i="88" s="1"/>
  <c r="A53" i="88" s="1"/>
  <c r="A54" i="88" s="1"/>
  <c r="A55" i="88" s="1"/>
  <c r="A56" i="88" s="1"/>
  <c r="A57" i="88" s="1"/>
  <c r="A58" i="88" s="1"/>
  <c r="A59" i="88" s="1"/>
  <c r="A60" i="88" s="1"/>
  <c r="A61" i="88" s="1"/>
  <c r="A62" i="88" s="1"/>
  <c r="A63" i="88" s="1"/>
  <c r="A64" i="88" s="1"/>
  <c r="A65" i="88" s="1"/>
  <c r="A66" i="88" s="1"/>
  <c r="A67" i="88" s="1"/>
  <c r="A68" i="88" s="1"/>
  <c r="A69" i="88" s="1"/>
  <c r="A70" i="88" s="1"/>
  <c r="A71" i="88" s="1"/>
  <c r="A72" i="88" s="1"/>
  <c r="A73" i="88" s="1"/>
  <c r="A74" i="88" s="1"/>
  <c r="A75" i="88" s="1"/>
  <c r="A76" i="88" s="1"/>
  <c r="A77" i="88" s="1"/>
  <c r="A78" i="88" s="1"/>
  <c r="A79" i="88" s="1"/>
  <c r="A80" i="88" s="1"/>
  <c r="A81" i="88" s="1"/>
  <c r="A82" i="88" s="1"/>
  <c r="A83" i="88" s="1"/>
  <c r="A84" i="88" s="1"/>
  <c r="A85" i="88" s="1"/>
  <c r="A86" i="88" s="1"/>
  <c r="A87" i="88" s="1"/>
  <c r="A88" i="88" s="1"/>
  <c r="A89" i="88" s="1"/>
  <c r="A90" i="88" s="1"/>
  <c r="A91" i="88" s="1"/>
  <c r="A92" i="88" s="1"/>
  <c r="A93" i="88" s="1"/>
  <c r="A94" i="88" s="1"/>
  <c r="A95" i="88" s="1"/>
  <c r="A96" i="88" s="1"/>
  <c r="A97" i="88" s="1"/>
  <c r="A98" i="88" s="1"/>
  <c r="A99" i="88" s="1"/>
  <c r="A100" i="88" s="1"/>
  <c r="A101" i="88" s="1"/>
  <c r="A102" i="88" s="1"/>
  <c r="A103" i="88" s="1"/>
  <c r="A104" i="88" s="1"/>
  <c r="A105" i="88" s="1"/>
  <c r="A106" i="88" s="1"/>
  <c r="A107" i="88" s="1"/>
  <c r="A108" i="88" s="1"/>
  <c r="A109" i="88" s="1"/>
  <c r="A110" i="88" s="1"/>
  <c r="A111" i="88" s="1"/>
  <c r="A112" i="88" s="1"/>
  <c r="A113" i="88" s="1"/>
  <c r="A114" i="88" s="1"/>
  <c r="A115" i="88" s="1"/>
  <c r="A116" i="88" s="1"/>
  <c r="A117" i="88" s="1"/>
  <c r="A118" i="88" s="1"/>
  <c r="A119" i="88" s="1"/>
  <c r="A120" i="88" s="1"/>
  <c r="A121" i="88" s="1"/>
  <c r="A122" i="88" s="1"/>
  <c r="A123" i="88" s="1"/>
  <c r="A124" i="88" s="1"/>
  <c r="A125" i="88" s="1"/>
  <c r="A126" i="88" s="1"/>
  <c r="A127" i="88" s="1"/>
  <c r="A128" i="88" s="1"/>
  <c r="A129" i="88" s="1"/>
  <c r="A130" i="88" s="1"/>
  <c r="A11" i="46" s="1"/>
  <c r="N256" i="67"/>
  <c r="I257" i="67"/>
  <c r="P256" i="68"/>
  <c r="K257" i="68"/>
  <c r="D17" i="56"/>
  <c r="K16" i="56"/>
  <c r="C16" i="56" s="1"/>
  <c r="K16" i="54"/>
  <c r="C16" i="54" s="1"/>
  <c r="D17" i="54"/>
  <c r="D17" i="60"/>
  <c r="K16" i="60"/>
  <c r="C16" i="60" s="1"/>
  <c r="P257" i="68" l="1"/>
  <c r="K258" i="68"/>
  <c r="I258" i="67"/>
  <c r="N257" i="67"/>
  <c r="K17" i="54"/>
  <c r="C17" i="54" s="1"/>
  <c r="D18" i="54"/>
  <c r="D18" i="60"/>
  <c r="K17" i="60"/>
  <c r="C17" i="60" s="1"/>
  <c r="D18" i="56"/>
  <c r="K17" i="56"/>
  <c r="C17" i="56" s="1"/>
  <c r="I259" i="67" l="1"/>
  <c r="N258" i="67"/>
  <c r="P258" i="68"/>
  <c r="K259" i="68"/>
  <c r="K18" i="60"/>
  <c r="C18" i="60" s="1"/>
  <c r="D19" i="60"/>
  <c r="K18" i="54"/>
  <c r="C18" i="54" s="1"/>
  <c r="D19" i="54"/>
  <c r="K18" i="56"/>
  <c r="C18" i="56" s="1"/>
  <c r="D19" i="56"/>
  <c r="A12" i="46" l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A36" i="46" s="1"/>
  <c r="A37" i="46" s="1"/>
  <c r="A38" i="46" s="1"/>
  <c r="A39" i="46" s="1"/>
  <c r="A40" i="46" s="1"/>
  <c r="A41" i="46" s="1"/>
  <c r="A42" i="46" s="1"/>
  <c r="A43" i="46" s="1"/>
  <c r="A44" i="46" s="1"/>
  <c r="A45" i="46" s="1"/>
  <c r="A46" i="46" s="1"/>
  <c r="A47" i="46" s="1"/>
  <c r="A48" i="46" s="1"/>
  <c r="A49" i="46" s="1"/>
  <c r="A50" i="46" s="1"/>
  <c r="A51" i="46" s="1"/>
  <c r="A52" i="46" s="1"/>
  <c r="A53" i="46" s="1"/>
  <c r="A54" i="46" s="1"/>
  <c r="A55" i="46" s="1"/>
  <c r="A56" i="46" s="1"/>
  <c r="A57" i="46" s="1"/>
  <c r="A58" i="46" s="1"/>
  <c r="A59" i="46" s="1"/>
  <c r="A60" i="46" s="1"/>
  <c r="A61" i="46" s="1"/>
  <c r="A62" i="46" s="1"/>
  <c r="A63" i="46" s="1"/>
  <c r="A64" i="46" s="1"/>
  <c r="A65" i="46" s="1"/>
  <c r="A66" i="46" s="1"/>
  <c r="A67" i="46" s="1"/>
  <c r="A68" i="46" s="1"/>
  <c r="A69" i="46" s="1"/>
  <c r="A70" i="46" s="1"/>
  <c r="P259" i="68"/>
  <c r="K260" i="68"/>
  <c r="I260" i="67"/>
  <c r="N259" i="67"/>
  <c r="K19" i="54"/>
  <c r="C19" i="54" s="1"/>
  <c r="D20" i="54"/>
  <c r="D20" i="56"/>
  <c r="K19" i="56"/>
  <c r="C19" i="56" s="1"/>
  <c r="D20" i="60"/>
  <c r="K19" i="60"/>
  <c r="C19" i="60" s="1"/>
  <c r="A11" i="91" l="1"/>
  <c r="A12" i="91" s="1"/>
  <c r="A13" i="91" s="1"/>
  <c r="A14" i="91" s="1"/>
  <c r="A15" i="91" s="1"/>
  <c r="A16" i="91" s="1"/>
  <c r="A17" i="91" s="1"/>
  <c r="A18" i="91" s="1"/>
  <c r="A19" i="91" s="1"/>
  <c r="A20" i="91" s="1"/>
  <c r="A21" i="91" s="1"/>
  <c r="A22" i="91" s="1"/>
  <c r="A23" i="91" s="1"/>
  <c r="A24" i="91" s="1"/>
  <c r="A25" i="91" s="1"/>
  <c r="A26" i="91" s="1"/>
  <c r="A27" i="91" s="1"/>
  <c r="A28" i="91" s="1"/>
  <c r="A29" i="91" s="1"/>
  <c r="A30" i="91" s="1"/>
  <c r="A31" i="91" s="1"/>
  <c r="A32" i="91" s="1"/>
  <c r="A33" i="91" s="1"/>
  <c r="A34" i="91" s="1"/>
  <c r="A35" i="91" s="1"/>
  <c r="A36" i="91" s="1"/>
  <c r="A37" i="91" s="1"/>
  <c r="A38" i="91" s="1"/>
  <c r="A39" i="91" s="1"/>
  <c r="A40" i="91" s="1"/>
  <c r="A41" i="91" s="1"/>
  <c r="A42" i="91" s="1"/>
  <c r="A43" i="91" s="1"/>
  <c r="A44" i="91" s="1"/>
  <c r="A45" i="91" s="1"/>
  <c r="A46" i="91" s="1"/>
  <c r="A47" i="91" s="1"/>
  <c r="A48" i="91" s="1"/>
  <c r="A49" i="91" s="1"/>
  <c r="A50" i="91" s="1"/>
  <c r="A51" i="91" s="1"/>
  <c r="A52" i="91" s="1"/>
  <c r="A53" i="91" s="1"/>
  <c r="A54" i="91" s="1"/>
  <c r="A55" i="91" s="1"/>
  <c r="A56" i="91" s="1"/>
  <c r="A57" i="91" s="1"/>
  <c r="A58" i="91" s="1"/>
  <c r="A59" i="91" s="1"/>
  <c r="A60" i="91" s="1"/>
  <c r="A61" i="91" s="1"/>
  <c r="A62" i="91" s="1"/>
  <c r="A63" i="91" s="1"/>
  <c r="A64" i="91" s="1"/>
  <c r="A65" i="91" s="1"/>
  <c r="A66" i="91" s="1"/>
  <c r="A67" i="91" s="1"/>
  <c r="A68" i="91" s="1"/>
  <c r="A69" i="91" s="1"/>
  <c r="A70" i="91" s="1"/>
  <c r="A71" i="91" s="1"/>
  <c r="A72" i="91" s="1"/>
  <c r="A73" i="91" s="1"/>
  <c r="A74" i="91" s="1"/>
  <c r="A75" i="91" s="1"/>
  <c r="A76" i="91" s="1"/>
  <c r="A77" i="91" s="1"/>
  <c r="A78" i="91" s="1"/>
  <c r="A79" i="91" s="1"/>
  <c r="A80" i="91" s="1"/>
  <c r="A81" i="91" s="1"/>
  <c r="A82" i="91" s="1"/>
  <c r="A83" i="91" s="1"/>
  <c r="A84" i="91" s="1"/>
  <c r="A85" i="91" s="1"/>
  <c r="A86" i="91" s="1"/>
  <c r="A87" i="91" s="1"/>
  <c r="A88" i="91" s="1"/>
  <c r="A89" i="91" s="1"/>
  <c r="A90" i="91" s="1"/>
  <c r="A91" i="91" s="1"/>
  <c r="A92" i="91" s="1"/>
  <c r="A93" i="91" s="1"/>
  <c r="A94" i="91" s="1"/>
  <c r="A95" i="91" s="1"/>
  <c r="A96" i="91" s="1"/>
  <c r="A97" i="91" s="1"/>
  <c r="A98" i="91" s="1"/>
  <c r="A99" i="91" s="1"/>
  <c r="A100" i="91" s="1"/>
  <c r="A101" i="91" s="1"/>
  <c r="A102" i="91" s="1"/>
  <c r="A103" i="91" s="1"/>
  <c r="A104" i="91" s="1"/>
  <c r="A105" i="91" s="1"/>
  <c r="A106" i="91" s="1"/>
  <c r="A107" i="91" s="1"/>
  <c r="A108" i="91" s="1"/>
  <c r="A109" i="91" s="1"/>
  <c r="A110" i="91" s="1"/>
  <c r="A111" i="91" s="1"/>
  <c r="A112" i="91" s="1"/>
  <c r="A113" i="91" s="1"/>
  <c r="A114" i="91" s="1"/>
  <c r="A115" i="91" s="1"/>
  <c r="A116" i="91" s="1"/>
  <c r="A117" i="91" s="1"/>
  <c r="A118" i="91" s="1"/>
  <c r="A119" i="91" s="1"/>
  <c r="A120" i="91" s="1"/>
  <c r="A121" i="91" s="1"/>
  <c r="A122" i="91" s="1"/>
  <c r="A123" i="91" s="1"/>
  <c r="A124" i="91" s="1"/>
  <c r="A125" i="91" s="1"/>
  <c r="A126" i="91" s="1"/>
  <c r="A127" i="91" s="1"/>
  <c r="A128" i="91" s="1"/>
  <c r="A129" i="91" s="1"/>
  <c r="A130" i="91" s="1"/>
  <c r="A131" i="91" s="1"/>
  <c r="A132" i="91" s="1"/>
  <c r="A133" i="91" s="1"/>
  <c r="A134" i="91" s="1"/>
  <c r="A135" i="91" s="1"/>
  <c r="A136" i="91" s="1"/>
  <c r="A137" i="91" s="1"/>
  <c r="A138" i="91" s="1"/>
  <c r="A139" i="91" s="1"/>
  <c r="A140" i="91" s="1"/>
  <c r="A141" i="91" s="1"/>
  <c r="A142" i="91" s="1"/>
  <c r="A143" i="91" s="1"/>
  <c r="A144" i="91" s="1"/>
  <c r="A145" i="91" s="1"/>
  <c r="A146" i="91" s="1"/>
  <c r="A147" i="91" s="1"/>
  <c r="A148" i="91" s="1"/>
  <c r="A149" i="91" s="1"/>
  <c r="A150" i="91" s="1"/>
  <c r="A151" i="91" s="1"/>
  <c r="A152" i="91" s="1"/>
  <c r="A153" i="91" s="1"/>
  <c r="A154" i="91" s="1"/>
  <c r="A155" i="91" s="1"/>
  <c r="A156" i="91" s="1"/>
  <c r="A157" i="91" s="1"/>
  <c r="A158" i="91" s="1"/>
  <c r="A159" i="91" s="1"/>
  <c r="A160" i="91" s="1"/>
  <c r="A161" i="91" s="1"/>
  <c r="A162" i="91" s="1"/>
  <c r="A163" i="91" s="1"/>
  <c r="A164" i="91" s="1"/>
  <c r="A165" i="91" s="1"/>
  <c r="A166" i="91" s="1"/>
  <c r="A167" i="91" s="1"/>
  <c r="A168" i="91" s="1"/>
  <c r="A169" i="91" s="1"/>
  <c r="A170" i="91" s="1"/>
  <c r="A171" i="91" s="1"/>
  <c r="A172" i="91" s="1"/>
  <c r="A173" i="91" s="1"/>
  <c r="A174" i="91" s="1"/>
  <c r="A175" i="91" s="1"/>
  <c r="A176" i="91" s="1"/>
  <c r="A177" i="91" s="1"/>
  <c r="A178" i="91" s="1"/>
  <c r="A179" i="91" s="1"/>
  <c r="A180" i="91" s="1"/>
  <c r="A181" i="91" s="1"/>
  <c r="A182" i="91" s="1"/>
  <c r="A183" i="91" s="1"/>
  <c r="A184" i="91" s="1"/>
  <c r="A185" i="91" s="1"/>
  <c r="A186" i="91" s="1"/>
  <c r="A187" i="91" s="1"/>
  <c r="A188" i="91" s="1"/>
  <c r="A189" i="91" s="1"/>
  <c r="A190" i="91" s="1"/>
  <c r="A191" i="91" s="1"/>
  <c r="A192" i="91" s="1"/>
  <c r="A193" i="91" s="1"/>
  <c r="A194" i="91" s="1"/>
  <c r="A195" i="91" s="1"/>
  <c r="A196" i="91" s="1"/>
  <c r="A197" i="91" s="1"/>
  <c r="A198" i="91" s="1"/>
  <c r="A199" i="91" s="1"/>
  <c r="A200" i="91" s="1"/>
  <c r="A201" i="91" s="1"/>
  <c r="A202" i="91" s="1"/>
  <c r="A203" i="91" s="1"/>
  <c r="A204" i="91" s="1"/>
  <c r="A205" i="91" s="1"/>
  <c r="A206" i="91" s="1"/>
  <c r="A207" i="91" s="1"/>
  <c r="A208" i="91" s="1"/>
  <c r="A209" i="91" s="1"/>
  <c r="A210" i="91" s="1"/>
  <c r="A211" i="91" s="1"/>
  <c r="A212" i="91" s="1"/>
  <c r="A213" i="91" s="1"/>
  <c r="A214" i="91" s="1"/>
  <c r="A215" i="91" s="1"/>
  <c r="A216" i="91" s="1"/>
  <c r="A217" i="91" s="1"/>
  <c r="A218" i="91" s="1"/>
  <c r="A219" i="91" s="1"/>
  <c r="A220" i="91" s="1"/>
  <c r="A221" i="91" s="1"/>
  <c r="A222" i="91" s="1"/>
  <c r="A223" i="91" s="1"/>
  <c r="A224" i="91" s="1"/>
  <c r="A225" i="91" s="1"/>
  <c r="A226" i="91" s="1"/>
  <c r="A227" i="91" s="1"/>
  <c r="A228" i="91" s="1"/>
  <c r="A229" i="91" s="1"/>
  <c r="A230" i="91" s="1"/>
  <c r="A231" i="91" s="1"/>
  <c r="A232" i="91" s="1"/>
  <c r="A233" i="91" s="1"/>
  <c r="A234" i="91" s="1"/>
  <c r="A235" i="91" s="1"/>
  <c r="A236" i="91" s="1"/>
  <c r="A237" i="91" s="1"/>
  <c r="A238" i="91" s="1"/>
  <c r="A239" i="91" s="1"/>
  <c r="A240" i="91" s="1"/>
  <c r="A241" i="91" s="1"/>
  <c r="A242" i="91" s="1"/>
  <c r="A243" i="91" s="1"/>
  <c r="A244" i="91" s="1"/>
  <c r="A245" i="91" s="1"/>
  <c r="A246" i="91" s="1"/>
  <c r="A247" i="91" s="1"/>
  <c r="A248" i="91" s="1"/>
  <c r="A249" i="91" s="1"/>
  <c r="A250" i="91" s="1"/>
  <c r="I261" i="67"/>
  <c r="N260" i="67"/>
  <c r="P260" i="68"/>
  <c r="K261" i="68"/>
  <c r="D21" i="56"/>
  <c r="K20" i="56"/>
  <c r="C20" i="56" s="1"/>
  <c r="D21" i="54"/>
  <c r="K20" i="54"/>
  <c r="C20" i="54" s="1"/>
  <c r="K20" i="60"/>
  <c r="C20" i="60" s="1"/>
  <c r="D21" i="60"/>
  <c r="A11" i="92" l="1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A59" i="92" s="1"/>
  <c r="A60" i="92" s="1"/>
  <c r="A61" i="92" s="1"/>
  <c r="A62" i="92" s="1"/>
  <c r="A63" i="92" s="1"/>
  <c r="A64" i="92" s="1"/>
  <c r="A65" i="92" s="1"/>
  <c r="A66" i="92" s="1"/>
  <c r="A67" i="92" s="1"/>
  <c r="A68" i="92" s="1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A116" i="92" s="1"/>
  <c r="A117" i="92" s="1"/>
  <c r="A118" i="92" s="1"/>
  <c r="A119" i="92" s="1"/>
  <c r="A120" i="92" s="1"/>
  <c r="A121" i="92" s="1"/>
  <c r="A122" i="92" s="1"/>
  <c r="A123" i="92" s="1"/>
  <c r="A124" i="92" s="1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173" i="92" s="1"/>
  <c r="A174" i="92" s="1"/>
  <c r="A175" i="92" s="1"/>
  <c r="A176" i="92" s="1"/>
  <c r="A177" i="92" s="1"/>
  <c r="A178" i="92" s="1"/>
  <c r="A179" i="92" s="1"/>
  <c r="A180" i="92" s="1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231" i="92" s="1"/>
  <c r="A232" i="92" s="1"/>
  <c r="A233" i="92" s="1"/>
  <c r="A234" i="92" s="1"/>
  <c r="A235" i="92" s="1"/>
  <c r="A236" i="92" s="1"/>
  <c r="A237" i="92" s="1"/>
  <c r="A238" i="92" s="1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P261" i="68"/>
  <c r="K262" i="68"/>
  <c r="I262" i="67"/>
  <c r="N261" i="67"/>
  <c r="D22" i="54"/>
  <c r="K21" i="54"/>
  <c r="C21" i="54" s="1"/>
  <c r="K21" i="60"/>
  <c r="C21" i="60" s="1"/>
  <c r="D22" i="60"/>
  <c r="D22" i="56"/>
  <c r="K21" i="56"/>
  <c r="C21" i="56" s="1"/>
  <c r="A11" i="93" l="1"/>
  <c r="A12" i="93" s="1"/>
  <c r="A13" i="93" s="1"/>
  <c r="A14" i="93" s="1"/>
  <c r="A15" i="93" s="1"/>
  <c r="A16" i="93" s="1"/>
  <c r="A17" i="93" s="1"/>
  <c r="A18" i="93" s="1"/>
  <c r="A19" i="93" s="1"/>
  <c r="A20" i="93" s="1"/>
  <c r="A21" i="93" s="1"/>
  <c r="A22" i="93" s="1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A43" i="93" s="1"/>
  <c r="A44" i="93" s="1"/>
  <c r="A45" i="93" s="1"/>
  <c r="A46" i="93" s="1"/>
  <c r="A47" i="93" s="1"/>
  <c r="A48" i="93" s="1"/>
  <c r="A49" i="93" s="1"/>
  <c r="A50" i="93" s="1"/>
  <c r="A51" i="93" s="1"/>
  <c r="A52" i="93" s="1"/>
  <c r="A53" i="93" s="1"/>
  <c r="A54" i="93" s="1"/>
  <c r="A55" i="93" s="1"/>
  <c r="A56" i="93" s="1"/>
  <c r="A57" i="93" s="1"/>
  <c r="A58" i="93" s="1"/>
  <c r="A59" i="93" s="1"/>
  <c r="A60" i="93" s="1"/>
  <c r="A61" i="93" s="1"/>
  <c r="A62" i="93" s="1"/>
  <c r="A63" i="93" s="1"/>
  <c r="A64" i="93" s="1"/>
  <c r="A65" i="93" s="1"/>
  <c r="A66" i="93" s="1"/>
  <c r="A67" i="93" s="1"/>
  <c r="A68" i="93" s="1"/>
  <c r="A69" i="93" s="1"/>
  <c r="A70" i="93" s="1"/>
  <c r="A71" i="93" s="1"/>
  <c r="A72" i="93" s="1"/>
  <c r="A73" i="93" s="1"/>
  <c r="A74" i="93" s="1"/>
  <c r="A75" i="93" s="1"/>
  <c r="A76" i="93" s="1"/>
  <c r="A77" i="93" s="1"/>
  <c r="A78" i="93" s="1"/>
  <c r="A79" i="93" s="1"/>
  <c r="A80" i="93" s="1"/>
  <c r="A81" i="93" s="1"/>
  <c r="A82" i="93" s="1"/>
  <c r="A83" i="93" s="1"/>
  <c r="A84" i="93" s="1"/>
  <c r="A85" i="93" s="1"/>
  <c r="A86" i="93" s="1"/>
  <c r="A87" i="93" s="1"/>
  <c r="A88" i="93" s="1"/>
  <c r="A89" i="93" s="1"/>
  <c r="A90" i="93" s="1"/>
  <c r="A91" i="93" s="1"/>
  <c r="A92" i="93" s="1"/>
  <c r="A93" i="93" s="1"/>
  <c r="A94" i="93" s="1"/>
  <c r="A95" i="93" s="1"/>
  <c r="A96" i="93" s="1"/>
  <c r="A97" i="93" s="1"/>
  <c r="A98" i="93" s="1"/>
  <c r="A99" i="93" s="1"/>
  <c r="A100" i="93" s="1"/>
  <c r="A101" i="93" s="1"/>
  <c r="A102" i="93" s="1"/>
  <c r="A103" i="93" s="1"/>
  <c r="A104" i="93" s="1"/>
  <c r="A105" i="93" s="1"/>
  <c r="A106" i="93" s="1"/>
  <c r="I263" i="67"/>
  <c r="N262" i="67"/>
  <c r="P262" i="68"/>
  <c r="K263" i="68"/>
  <c r="K22" i="60"/>
  <c r="C22" i="60" s="1"/>
  <c r="D23" i="60"/>
  <c r="K22" i="56"/>
  <c r="C22" i="56" s="1"/>
  <c r="D23" i="56"/>
  <c r="D23" i="54"/>
  <c r="K22" i="54"/>
  <c r="C22" i="54" s="1"/>
  <c r="A107" i="93" l="1"/>
  <c r="A108" i="93" s="1"/>
  <c r="A109" i="93" s="1"/>
  <c r="A110" i="93" s="1"/>
  <c r="A111" i="93" s="1"/>
  <c r="A112" i="93" s="1"/>
  <c r="A113" i="93" s="1"/>
  <c r="A114" i="93" s="1"/>
  <c r="A115" i="93" s="1"/>
  <c r="A116" i="93" s="1"/>
  <c r="A117" i="93" s="1"/>
  <c r="A118" i="93" s="1"/>
  <c r="A119" i="93" s="1"/>
  <c r="A120" i="93" s="1"/>
  <c r="A121" i="93" s="1"/>
  <c r="A122" i="93" s="1"/>
  <c r="A123" i="93" s="1"/>
  <c r="A124" i="93" s="1"/>
  <c r="A125" i="93" s="1"/>
  <c r="A126" i="93" s="1"/>
  <c r="A127" i="93" s="1"/>
  <c r="A128" i="93" s="1"/>
  <c r="A129" i="93" s="1"/>
  <c r="A130" i="93" s="1"/>
  <c r="A11" i="47" s="1"/>
  <c r="P263" i="68"/>
  <c r="K264" i="68"/>
  <c r="I264" i="67"/>
  <c r="N263" i="67"/>
  <c r="K23" i="56"/>
  <c r="C23" i="56" s="1"/>
  <c r="D24" i="56"/>
  <c r="K23" i="60"/>
  <c r="C23" i="60" s="1"/>
  <c r="D24" i="60"/>
  <c r="D24" i="54"/>
  <c r="K23" i="54"/>
  <c r="C23" i="54" s="1"/>
  <c r="I265" i="67" l="1"/>
  <c r="N264" i="67"/>
  <c r="P264" i="68"/>
  <c r="K265" i="68"/>
  <c r="K24" i="60"/>
  <c r="C24" i="60" s="1"/>
  <c r="D25" i="60"/>
  <c r="K24" i="56"/>
  <c r="C24" i="56" s="1"/>
  <c r="D25" i="56"/>
  <c r="D25" i="54"/>
  <c r="K24" i="54"/>
  <c r="C24" i="54" s="1"/>
  <c r="P265" i="68" l="1"/>
  <c r="K266" i="68"/>
  <c r="I266" i="67"/>
  <c r="N265" i="67"/>
  <c r="K25" i="56"/>
  <c r="C25" i="56" s="1"/>
  <c r="D26" i="56"/>
  <c r="K25" i="60"/>
  <c r="C25" i="60" s="1"/>
  <c r="D26" i="60"/>
  <c r="D26" i="54"/>
  <c r="K25" i="54"/>
  <c r="C25" i="54" s="1"/>
  <c r="I267" i="67" l="1"/>
  <c r="N266" i="67"/>
  <c r="P266" i="68"/>
  <c r="K267" i="68"/>
  <c r="K26" i="60"/>
  <c r="C26" i="60" s="1"/>
  <c r="D27" i="60"/>
  <c r="D27" i="56"/>
  <c r="K26" i="56"/>
  <c r="C26" i="56" s="1"/>
  <c r="D27" i="54"/>
  <c r="K26" i="54"/>
  <c r="C26" i="54" s="1"/>
  <c r="P267" i="68" l="1"/>
  <c r="K268" i="68"/>
  <c r="I268" i="67"/>
  <c r="N267" i="67"/>
  <c r="D28" i="56"/>
  <c r="K27" i="56"/>
  <c r="C27" i="56" s="1"/>
  <c r="K27" i="60"/>
  <c r="C27" i="60" s="1"/>
  <c r="D28" i="60"/>
  <c r="K27" i="54"/>
  <c r="C27" i="54" s="1"/>
  <c r="D28" i="54"/>
  <c r="A12" i="47" l="1"/>
  <c r="A13" i="47" s="1"/>
  <c r="A14" i="47" s="1"/>
  <c r="A15" i="47" s="1"/>
  <c r="A16" i="47" s="1"/>
  <c r="A17" i="47" s="1"/>
  <c r="A18" i="47" s="1"/>
  <c r="A19" i="47" s="1"/>
  <c r="A20" i="47" s="1"/>
  <c r="A21" i="47" s="1"/>
  <c r="A22" i="47" s="1"/>
  <c r="A23" i="47" s="1"/>
  <c r="A24" i="47" s="1"/>
  <c r="A25" i="47" s="1"/>
  <c r="A26" i="47" s="1"/>
  <c r="A27" i="47" s="1"/>
  <c r="A28" i="47" s="1"/>
  <c r="A29" i="47" s="1"/>
  <c r="A30" i="47" s="1"/>
  <c r="A31" i="47" s="1"/>
  <c r="A32" i="47" s="1"/>
  <c r="A33" i="47" s="1"/>
  <c r="A34" i="47" s="1"/>
  <c r="A35" i="47" s="1"/>
  <c r="A36" i="47" s="1"/>
  <c r="A37" i="47" s="1"/>
  <c r="A38" i="47" s="1"/>
  <c r="A39" i="47" s="1"/>
  <c r="A40" i="47" s="1"/>
  <c r="A41" i="47" s="1"/>
  <c r="A42" i="47" s="1"/>
  <c r="A43" i="47" s="1"/>
  <c r="A44" i="47" s="1"/>
  <c r="A45" i="47" s="1"/>
  <c r="A46" i="47" s="1"/>
  <c r="A47" i="47" s="1"/>
  <c r="A48" i="47" s="1"/>
  <c r="A49" i="47" s="1"/>
  <c r="A50" i="47" s="1"/>
  <c r="A51" i="47" s="1"/>
  <c r="A52" i="47" s="1"/>
  <c r="A53" i="47" s="1"/>
  <c r="A54" i="47" s="1"/>
  <c r="A55" i="47" s="1"/>
  <c r="A56" i="47" s="1"/>
  <c r="A57" i="47" s="1"/>
  <c r="A58" i="47" s="1"/>
  <c r="A59" i="47" s="1"/>
  <c r="A60" i="47" s="1"/>
  <c r="A61" i="47" s="1"/>
  <c r="A62" i="47" s="1"/>
  <c r="A63" i="47" s="1"/>
  <c r="A64" i="47" s="1"/>
  <c r="A65" i="47" s="1"/>
  <c r="A66" i="47" s="1"/>
  <c r="A67" i="47" s="1"/>
  <c r="A68" i="47" s="1"/>
  <c r="A69" i="47" s="1"/>
  <c r="A70" i="47" s="1"/>
  <c r="A71" i="47" s="1"/>
  <c r="A72" i="47" s="1"/>
  <c r="A73" i="47" s="1"/>
  <c r="A74" i="47" s="1"/>
  <c r="A75" i="47" s="1"/>
  <c r="A76" i="47" s="1"/>
  <c r="A77" i="47" s="1"/>
  <c r="A78" i="47" s="1"/>
  <c r="A79" i="47" s="1"/>
  <c r="A80" i="47" s="1"/>
  <c r="A81" i="47" s="1"/>
  <c r="A82" i="47" s="1"/>
  <c r="A83" i="47" s="1"/>
  <c r="A84" i="47" s="1"/>
  <c r="A85" i="47" s="1"/>
  <c r="A86" i="47" s="1"/>
  <c r="A87" i="47" s="1"/>
  <c r="A88" i="47" s="1"/>
  <c r="A89" i="47" s="1"/>
  <c r="A90" i="47" s="1"/>
  <c r="A91" i="47" s="1"/>
  <c r="A92" i="47" s="1"/>
  <c r="A93" i="47" s="1"/>
  <c r="A94" i="47" s="1"/>
  <c r="A95" i="47" s="1"/>
  <c r="A96" i="47" s="1"/>
  <c r="A97" i="47" s="1"/>
  <c r="A98" i="47" s="1"/>
  <c r="A99" i="47" s="1"/>
  <c r="A100" i="47" s="1"/>
  <c r="A101" i="47" s="1"/>
  <c r="A102" i="47" s="1"/>
  <c r="A103" i="47" s="1"/>
  <c r="A104" i="47" s="1"/>
  <c r="A105" i="47" s="1"/>
  <c r="A106" i="47" s="1"/>
  <c r="A107" i="47" s="1"/>
  <c r="A108" i="47" s="1"/>
  <c r="A109" i="47" s="1"/>
  <c r="A110" i="47" s="1"/>
  <c r="A111" i="47" s="1"/>
  <c r="A112" i="47" s="1"/>
  <c r="A113" i="47" s="1"/>
  <c r="A114" i="47" s="1"/>
  <c r="A115" i="47" s="1"/>
  <c r="A116" i="47" s="1"/>
  <c r="A117" i="47" s="1"/>
  <c r="A118" i="47" s="1"/>
  <c r="A119" i="47" s="1"/>
  <c r="A120" i="47" s="1"/>
  <c r="A121" i="47" s="1"/>
  <c r="A122" i="47" s="1"/>
  <c r="A123" i="47" s="1"/>
  <c r="A124" i="47" s="1"/>
  <c r="A125" i="47" s="1"/>
  <c r="A126" i="47" s="1"/>
  <c r="A127" i="47" s="1"/>
  <c r="A128" i="47" s="1"/>
  <c r="A129" i="47" s="1"/>
  <c r="A130" i="47" s="1"/>
  <c r="A131" i="47" s="1"/>
  <c r="A132" i="47" s="1"/>
  <c r="A133" i="47" s="1"/>
  <c r="A134" i="47" s="1"/>
  <c r="A135" i="47" s="1"/>
  <c r="A136" i="47" s="1"/>
  <c r="A137" i="47" s="1"/>
  <c r="A138" i="47" s="1"/>
  <c r="A139" i="47" s="1"/>
  <c r="A140" i="47" s="1"/>
  <c r="A141" i="47" s="1"/>
  <c r="A142" i="47" s="1"/>
  <c r="A143" i="47" s="1"/>
  <c r="A144" i="47" s="1"/>
  <c r="A145" i="47" s="1"/>
  <c r="A146" i="47" s="1"/>
  <c r="A147" i="47" s="1"/>
  <c r="A148" i="47" s="1"/>
  <c r="A149" i="47" s="1"/>
  <c r="A150" i="47" s="1"/>
  <c r="A151" i="47" s="1"/>
  <c r="A152" i="47" s="1"/>
  <c r="A153" i="47" s="1"/>
  <c r="A154" i="47" s="1"/>
  <c r="A155" i="47" s="1"/>
  <c r="A156" i="47" s="1"/>
  <c r="A157" i="47" s="1"/>
  <c r="A158" i="47" s="1"/>
  <c r="A159" i="47" s="1"/>
  <c r="A160" i="47" s="1"/>
  <c r="A161" i="47" s="1"/>
  <c r="A162" i="47" s="1"/>
  <c r="A163" i="47" s="1"/>
  <c r="A164" i="47" s="1"/>
  <c r="A165" i="47" s="1"/>
  <c r="A166" i="47" s="1"/>
  <c r="A167" i="47" s="1"/>
  <c r="A168" i="47" s="1"/>
  <c r="A169" i="47" s="1"/>
  <c r="A170" i="47" s="1"/>
  <c r="A171" i="47" s="1"/>
  <c r="A172" i="47" s="1"/>
  <c r="A173" i="47" s="1"/>
  <c r="A174" i="47" s="1"/>
  <c r="A175" i="47" s="1"/>
  <c r="A176" i="47" s="1"/>
  <c r="A177" i="47" s="1"/>
  <c r="A178" i="47" s="1"/>
  <c r="A179" i="47" s="1"/>
  <c r="A180" i="47" s="1"/>
  <c r="A181" i="47" s="1"/>
  <c r="A182" i="47" s="1"/>
  <c r="A183" i="47" s="1"/>
  <c r="A184" i="47" s="1"/>
  <c r="A185" i="47" s="1"/>
  <c r="A186" i="47" s="1"/>
  <c r="A187" i="47" s="1"/>
  <c r="A188" i="47" s="1"/>
  <c r="A189" i="47" s="1"/>
  <c r="A190" i="47" s="1"/>
  <c r="A191" i="47" s="1"/>
  <c r="A192" i="47" s="1"/>
  <c r="A193" i="47" s="1"/>
  <c r="A194" i="47" s="1"/>
  <c r="A195" i="47" s="1"/>
  <c r="A196" i="47" s="1"/>
  <c r="A197" i="47" s="1"/>
  <c r="A198" i="47" s="1"/>
  <c r="A199" i="47" s="1"/>
  <c r="A200" i="47" s="1"/>
  <c r="A201" i="47" s="1"/>
  <c r="A202" i="47" s="1"/>
  <c r="N268" i="67"/>
  <c r="I269" i="67"/>
  <c r="P268" i="68"/>
  <c r="K269" i="68"/>
  <c r="D29" i="60"/>
  <c r="K28" i="60"/>
  <c r="C28" i="60" s="1"/>
  <c r="K28" i="54"/>
  <c r="C28" i="54" s="1"/>
  <c r="D29" i="54"/>
  <c r="K28" i="56"/>
  <c r="C28" i="56" s="1"/>
  <c r="D29" i="56"/>
  <c r="A11" i="48" l="1"/>
  <c r="A12" i="48" s="1"/>
  <c r="P269" i="68"/>
  <c r="K270" i="68"/>
  <c r="I270" i="67"/>
  <c r="N269" i="67"/>
  <c r="K29" i="54"/>
  <c r="C29" i="54" s="1"/>
  <c r="D30" i="54"/>
  <c r="K29" i="56"/>
  <c r="C29" i="56" s="1"/>
  <c r="D30" i="56"/>
  <c r="K29" i="60"/>
  <c r="C29" i="60" s="1"/>
  <c r="D30" i="60"/>
  <c r="A13" i="48" l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A43" i="48" s="1"/>
  <c r="A44" i="48" s="1"/>
  <c r="A45" i="48" s="1"/>
  <c r="A46" i="48" s="1"/>
  <c r="A47" i="48" s="1"/>
  <c r="A48" i="48" s="1"/>
  <c r="A49" i="48" s="1"/>
  <c r="A50" i="48" s="1"/>
  <c r="A51" i="48" s="1"/>
  <c r="A52" i="48" s="1"/>
  <c r="A53" i="48" s="1"/>
  <c r="A54" i="48" s="1"/>
  <c r="A55" i="48" s="1"/>
  <c r="A56" i="48" s="1"/>
  <c r="A57" i="48" s="1"/>
  <c r="A58" i="48" s="1"/>
  <c r="A59" i="48" s="1"/>
  <c r="A60" i="48" s="1"/>
  <c r="A61" i="48" s="1"/>
  <c r="A62" i="48" s="1"/>
  <c r="A63" i="48" s="1"/>
  <c r="A64" i="48" s="1"/>
  <c r="A65" i="48" s="1"/>
  <c r="A66" i="48" s="1"/>
  <c r="A67" i="48" s="1"/>
  <c r="A68" i="48" s="1"/>
  <c r="A69" i="48" s="1"/>
  <c r="A70" i="48" s="1"/>
  <c r="A71" i="48" s="1"/>
  <c r="A72" i="48" s="1"/>
  <c r="A73" i="48" s="1"/>
  <c r="A74" i="48" s="1"/>
  <c r="A75" i="48" s="1"/>
  <c r="A76" i="48" s="1"/>
  <c r="A77" i="48" s="1"/>
  <c r="A78" i="48" s="1"/>
  <c r="A79" i="48" s="1"/>
  <c r="A80" i="48" s="1"/>
  <c r="A81" i="48" s="1"/>
  <c r="A82" i="48" s="1"/>
  <c r="A83" i="48" s="1"/>
  <c r="A84" i="48" s="1"/>
  <c r="A85" i="48" s="1"/>
  <c r="A86" i="48" s="1"/>
  <c r="A87" i="48" s="1"/>
  <c r="A88" i="48" s="1"/>
  <c r="A89" i="48" s="1"/>
  <c r="A90" i="48" s="1"/>
  <c r="A91" i="48" s="1"/>
  <c r="A92" i="48" s="1"/>
  <c r="A93" i="48" s="1"/>
  <c r="A94" i="48" s="1"/>
  <c r="A95" i="48" s="1"/>
  <c r="A96" i="48" s="1"/>
  <c r="A97" i="48" s="1"/>
  <c r="A98" i="48" s="1"/>
  <c r="A99" i="48" s="1"/>
  <c r="A100" i="48" s="1"/>
  <c r="A101" i="48" s="1"/>
  <c r="A102" i="48" s="1"/>
  <c r="A103" i="48" s="1"/>
  <c r="A104" i="48" s="1"/>
  <c r="A105" i="48" s="1"/>
  <c r="A106" i="48" s="1"/>
  <c r="A107" i="48" s="1"/>
  <c r="A108" i="48" s="1"/>
  <c r="A109" i="48" s="1"/>
  <c r="A110" i="48" s="1"/>
  <c r="A111" i="48" s="1"/>
  <c r="A112" i="48" s="1"/>
  <c r="A113" i="48" s="1"/>
  <c r="A114" i="48" s="1"/>
  <c r="A115" i="48" s="1"/>
  <c r="A116" i="48" s="1"/>
  <c r="A117" i="48" s="1"/>
  <c r="A118" i="48" s="1"/>
  <c r="A119" i="48" s="1"/>
  <c r="A120" i="48" s="1"/>
  <c r="A121" i="48" s="1"/>
  <c r="A122" i="48" s="1"/>
  <c r="A123" i="48" s="1"/>
  <c r="A124" i="48" s="1"/>
  <c r="A125" i="48" s="1"/>
  <c r="A126" i="48" s="1"/>
  <c r="A127" i="48" s="1"/>
  <c r="A128" i="48" s="1"/>
  <c r="A129" i="48" s="1"/>
  <c r="A130" i="48" s="1"/>
  <c r="A131" i="48" s="1"/>
  <c r="A132" i="48" s="1"/>
  <c r="A133" i="48" s="1"/>
  <c r="A134" i="48" s="1"/>
  <c r="A135" i="48" s="1"/>
  <c r="A136" i="48" s="1"/>
  <c r="A137" i="48" s="1"/>
  <c r="A138" i="48" s="1"/>
  <c r="A139" i="48" s="1"/>
  <c r="A140" i="48" s="1"/>
  <c r="A141" i="48" s="1"/>
  <c r="A142" i="48" s="1"/>
  <c r="A143" i="48" s="1"/>
  <c r="A144" i="48" s="1"/>
  <c r="A145" i="48" s="1"/>
  <c r="A146" i="48" s="1"/>
  <c r="A147" i="48" s="1"/>
  <c r="A148" i="48" s="1"/>
  <c r="A149" i="48" s="1"/>
  <c r="A150" i="48" s="1"/>
  <c r="A151" i="48" s="1"/>
  <c r="A152" i="48" s="1"/>
  <c r="A153" i="48" s="1"/>
  <c r="A154" i="48" s="1"/>
  <c r="A11" i="94" s="1"/>
  <c r="A12" i="94" s="1"/>
  <c r="C30" i="56"/>
  <c r="I271" i="67"/>
  <c r="N270" i="67"/>
  <c r="P270" i="68"/>
  <c r="K271" i="68"/>
  <c r="K30" i="56"/>
  <c r="D31" i="56"/>
  <c r="K30" i="60"/>
  <c r="C30" i="60" s="1"/>
  <c r="D31" i="60"/>
  <c r="K30" i="54"/>
  <c r="C30" i="54" s="1"/>
  <c r="D31" i="54"/>
  <c r="A13" i="94" l="1"/>
  <c r="A14" i="94" s="1"/>
  <c r="A15" i="94" s="1"/>
  <c r="A16" i="94" s="1"/>
  <c r="A17" i="94" s="1"/>
  <c r="A18" i="94" s="1"/>
  <c r="A19" i="94" s="1"/>
  <c r="A20" i="94" s="1"/>
  <c r="A21" i="94" s="1"/>
  <c r="A22" i="94" s="1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A48" i="94" s="1"/>
  <c r="A49" i="94" s="1"/>
  <c r="A50" i="94" s="1"/>
  <c r="A51" i="94" s="1"/>
  <c r="A52" i="94" s="1"/>
  <c r="A53" i="94" s="1"/>
  <c r="A54" i="94" s="1"/>
  <c r="A55" i="94" s="1"/>
  <c r="A56" i="94" s="1"/>
  <c r="A57" i="94" s="1"/>
  <c r="A58" i="94" s="1"/>
  <c r="A59" i="94" s="1"/>
  <c r="A60" i="94" s="1"/>
  <c r="A61" i="94" s="1"/>
  <c r="A62" i="94" s="1"/>
  <c r="A63" i="94" s="1"/>
  <c r="A64" i="94" s="1"/>
  <c r="A65" i="94" s="1"/>
  <c r="A66" i="94" s="1"/>
  <c r="A67" i="94" s="1"/>
  <c r="A68" i="94" s="1"/>
  <c r="A69" i="94" s="1"/>
  <c r="A70" i="94" s="1"/>
  <c r="A71" i="94" s="1"/>
  <c r="A72" i="94" s="1"/>
  <c r="A73" i="94" s="1"/>
  <c r="A74" i="94" s="1"/>
  <c r="A75" i="94" s="1"/>
  <c r="A76" i="94" s="1"/>
  <c r="A77" i="94" s="1"/>
  <c r="A78" i="94" s="1"/>
  <c r="A79" i="94" s="1"/>
  <c r="A80" i="94" s="1"/>
  <c r="A81" i="94" s="1"/>
  <c r="A82" i="94" s="1"/>
  <c r="A83" i="94" s="1"/>
  <c r="A84" i="94" s="1"/>
  <c r="A85" i="94" s="1"/>
  <c r="A86" i="94" s="1"/>
  <c r="A87" i="94" s="1"/>
  <c r="A88" i="94" s="1"/>
  <c r="A89" i="94" s="1"/>
  <c r="A90" i="94" s="1"/>
  <c r="A91" i="94" s="1"/>
  <c r="A92" i="94" s="1"/>
  <c r="A93" i="94" s="1"/>
  <c r="A94" i="94" s="1"/>
  <c r="A95" i="94" s="1"/>
  <c r="A96" i="94" s="1"/>
  <c r="A97" i="94" s="1"/>
  <c r="A98" i="94" s="1"/>
  <c r="A99" i="94" s="1"/>
  <c r="A100" i="94" s="1"/>
  <c r="A101" i="94" s="1"/>
  <c r="A102" i="94" s="1"/>
  <c r="A103" i="94" s="1"/>
  <c r="A104" i="94" s="1"/>
  <c r="A105" i="94" s="1"/>
  <c r="A106" i="94" s="1"/>
  <c r="A107" i="94" s="1"/>
  <c r="A108" i="94" s="1"/>
  <c r="A109" i="94" s="1"/>
  <c r="A110" i="94" s="1"/>
  <c r="A111" i="94" s="1"/>
  <c r="A112" i="94" s="1"/>
  <c r="A113" i="94" s="1"/>
  <c r="A114" i="94" s="1"/>
  <c r="A115" i="94" s="1"/>
  <c r="A116" i="94" s="1"/>
  <c r="A117" i="94" s="1"/>
  <c r="A118" i="94" s="1"/>
  <c r="A119" i="94" s="1"/>
  <c r="A120" i="94" s="1"/>
  <c r="A121" i="94" s="1"/>
  <c r="A122" i="94" s="1"/>
  <c r="A123" i="94" s="1"/>
  <c r="A124" i="94" s="1"/>
  <c r="A125" i="94" s="1"/>
  <c r="A126" i="94" s="1"/>
  <c r="A127" i="94" s="1"/>
  <c r="A128" i="94" s="1"/>
  <c r="A129" i="94" s="1"/>
  <c r="A130" i="94" s="1"/>
  <c r="A131" i="94" s="1"/>
  <c r="A132" i="94" s="1"/>
  <c r="A133" i="94" s="1"/>
  <c r="A134" i="94" s="1"/>
  <c r="A135" i="94" s="1"/>
  <c r="A136" i="94" s="1"/>
  <c r="A137" i="94" s="1"/>
  <c r="A138" i="94" s="1"/>
  <c r="A139" i="94" s="1"/>
  <c r="A140" i="94" s="1"/>
  <c r="A141" i="94" s="1"/>
  <c r="A142" i="94" s="1"/>
  <c r="A143" i="94" s="1"/>
  <c r="A144" i="94" s="1"/>
  <c r="A145" i="94" s="1"/>
  <c r="A146" i="94" s="1"/>
  <c r="A147" i="94" s="1"/>
  <c r="A148" i="94" s="1"/>
  <c r="A149" i="94" s="1"/>
  <c r="A150" i="94" s="1"/>
  <c r="A151" i="94" s="1"/>
  <c r="A152" i="94" s="1"/>
  <c r="A153" i="94" s="1"/>
  <c r="A154" i="94" s="1"/>
  <c r="A11" i="95" s="1"/>
  <c r="A12" i="95" s="1"/>
  <c r="A11" i="5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A43" i="51" s="1"/>
  <c r="A44" i="51" s="1"/>
  <c r="A45" i="51" s="1"/>
  <c r="A46" i="51" s="1"/>
  <c r="A47" i="51" s="1"/>
  <c r="A48" i="51" s="1"/>
  <c r="A49" i="51" s="1"/>
  <c r="A50" i="51" s="1"/>
  <c r="A51" i="51" s="1"/>
  <c r="A52" i="51" s="1"/>
  <c r="A53" i="51" s="1"/>
  <c r="A54" i="51" s="1"/>
  <c r="A55" i="51" s="1"/>
  <c r="A56" i="51" s="1"/>
  <c r="A57" i="51" s="1"/>
  <c r="A58" i="51" s="1"/>
  <c r="A59" i="51" s="1"/>
  <c r="A60" i="51" s="1"/>
  <c r="A61" i="51" s="1"/>
  <c r="A62" i="51" s="1"/>
  <c r="A63" i="51" s="1"/>
  <c r="A64" i="51" s="1"/>
  <c r="A65" i="51" s="1"/>
  <c r="A66" i="51" s="1"/>
  <c r="A67" i="51" s="1"/>
  <c r="A68" i="51" s="1"/>
  <c r="A69" i="51" s="1"/>
  <c r="A70" i="51" s="1"/>
  <c r="A71" i="51" s="1"/>
  <c r="A72" i="51" s="1"/>
  <c r="A73" i="51" s="1"/>
  <c r="A74" i="51" s="1"/>
  <c r="A75" i="51" s="1"/>
  <c r="A76" i="51" s="1"/>
  <c r="A77" i="51" s="1"/>
  <c r="A78" i="51" s="1"/>
  <c r="A79" i="51" s="1"/>
  <c r="A80" i="51" s="1"/>
  <c r="A81" i="51" s="1"/>
  <c r="A82" i="51" s="1"/>
  <c r="A83" i="51" s="1"/>
  <c r="A84" i="51" s="1"/>
  <c r="A85" i="51" s="1"/>
  <c r="A86" i="51" s="1"/>
  <c r="A87" i="51" s="1"/>
  <c r="A88" i="51" s="1"/>
  <c r="A89" i="51" s="1"/>
  <c r="A90" i="51" s="1"/>
  <c r="A91" i="51" s="1"/>
  <c r="A92" i="51" s="1"/>
  <c r="A93" i="51" s="1"/>
  <c r="A94" i="51" s="1"/>
  <c r="A95" i="51" s="1"/>
  <c r="A96" i="51" s="1"/>
  <c r="A97" i="51" s="1"/>
  <c r="A98" i="51" s="1"/>
  <c r="A99" i="51" s="1"/>
  <c r="A100" i="51" s="1"/>
  <c r="A101" i="51" s="1"/>
  <c r="A102" i="51" s="1"/>
  <c r="A103" i="51" s="1"/>
  <c r="A104" i="51" s="1"/>
  <c r="A105" i="51" s="1"/>
  <c r="A106" i="51" s="1"/>
  <c r="A107" i="51" s="1"/>
  <c r="A108" i="51" s="1"/>
  <c r="A109" i="51" s="1"/>
  <c r="A110" i="51" s="1"/>
  <c r="A111" i="51" s="1"/>
  <c r="A112" i="51" s="1"/>
  <c r="A113" i="51" s="1"/>
  <c r="A114" i="51" s="1"/>
  <c r="A115" i="51" s="1"/>
  <c r="A116" i="51" s="1"/>
  <c r="A117" i="51" s="1"/>
  <c r="A118" i="51" s="1"/>
  <c r="A119" i="51" s="1"/>
  <c r="A120" i="51" s="1"/>
  <c r="A121" i="51" s="1"/>
  <c r="A122" i="51" s="1"/>
  <c r="A123" i="51" s="1"/>
  <c r="A124" i="51" s="1"/>
  <c r="A125" i="51" s="1"/>
  <c r="A126" i="51" s="1"/>
  <c r="A127" i="51" s="1"/>
  <c r="A128" i="51" s="1"/>
  <c r="A129" i="51" s="1"/>
  <c r="A130" i="51" s="1"/>
  <c r="A131" i="51" s="1"/>
  <c r="A132" i="51" s="1"/>
  <c r="A133" i="51" s="1"/>
  <c r="A134" i="51" s="1"/>
  <c r="A135" i="51" s="1"/>
  <c r="A136" i="51" s="1"/>
  <c r="A137" i="51" s="1"/>
  <c r="A138" i="51" s="1"/>
  <c r="A139" i="51" s="1"/>
  <c r="A140" i="51" s="1"/>
  <c r="A141" i="51" s="1"/>
  <c r="A142" i="51" s="1"/>
  <c r="A143" i="51" s="1"/>
  <c r="A144" i="51" s="1"/>
  <c r="A145" i="51" s="1"/>
  <c r="A146" i="51" s="1"/>
  <c r="A147" i="51" s="1"/>
  <c r="A148" i="51" s="1"/>
  <c r="A149" i="51" s="1"/>
  <c r="A150" i="51" s="1"/>
  <c r="A151" i="51" s="1"/>
  <c r="A152" i="51" s="1"/>
  <c r="A153" i="51" s="1"/>
  <c r="A154" i="51" s="1"/>
  <c r="A155" i="51" s="1"/>
  <c r="A156" i="51" s="1"/>
  <c r="A157" i="51" s="1"/>
  <c r="A158" i="51" s="1"/>
  <c r="A159" i="51" s="1"/>
  <c r="A160" i="51" s="1"/>
  <c r="A161" i="51" s="1"/>
  <c r="A162" i="51" s="1"/>
  <c r="A163" i="51" s="1"/>
  <c r="A164" i="51" s="1"/>
  <c r="A165" i="51" s="1"/>
  <c r="A166" i="51" s="1"/>
  <c r="A167" i="51" s="1"/>
  <c r="A168" i="51" s="1"/>
  <c r="A169" i="51" s="1"/>
  <c r="A170" i="51" s="1"/>
  <c r="A171" i="51" s="1"/>
  <c r="A172" i="51" s="1"/>
  <c r="A173" i="51" s="1"/>
  <c r="A174" i="51" s="1"/>
  <c r="A175" i="51" s="1"/>
  <c r="A176" i="51" s="1"/>
  <c r="A177" i="51" s="1"/>
  <c r="A178" i="51" s="1"/>
  <c r="A179" i="51" s="1"/>
  <c r="A180" i="51" s="1"/>
  <c r="A181" i="51" s="1"/>
  <c r="A182" i="51" s="1"/>
  <c r="A183" i="51" s="1"/>
  <c r="A184" i="51" s="1"/>
  <c r="A185" i="51" s="1"/>
  <c r="A186" i="51" s="1"/>
  <c r="A187" i="51" s="1"/>
  <c r="A188" i="51" s="1"/>
  <c r="A189" i="51" s="1"/>
  <c r="A190" i="51" s="1"/>
  <c r="P271" i="68"/>
  <c r="K272" i="68"/>
  <c r="N271" i="67"/>
  <c r="I272" i="67"/>
  <c r="K31" i="60"/>
  <c r="C31" i="60" s="1"/>
  <c r="D32" i="60"/>
  <c r="D32" i="54"/>
  <c r="K31" i="54"/>
  <c r="C31" i="54" s="1"/>
  <c r="K31" i="56"/>
  <c r="C31" i="56" s="1"/>
  <c r="D32" i="56"/>
  <c r="A13" i="95" l="1"/>
  <c r="A14" i="95" s="1"/>
  <c r="A15" i="95" s="1"/>
  <c r="A16" i="95" s="1"/>
  <c r="A17" i="95" s="1"/>
  <c r="A18" i="95" s="1"/>
  <c r="A19" i="95" s="1"/>
  <c r="A20" i="95" s="1"/>
  <c r="A21" i="95" s="1"/>
  <c r="A22" i="95" s="1"/>
  <c r="A23" i="95" s="1"/>
  <c r="A24" i="95" s="1"/>
  <c r="A25" i="95" s="1"/>
  <c r="A26" i="95" s="1"/>
  <c r="A27" i="95" s="1"/>
  <c r="A28" i="95" s="1"/>
  <c r="A29" i="95" s="1"/>
  <c r="A30" i="95" s="1"/>
  <c r="A31" i="95" s="1"/>
  <c r="A32" i="95" s="1"/>
  <c r="A33" i="95" s="1"/>
  <c r="A34" i="95" s="1"/>
  <c r="A35" i="95" s="1"/>
  <c r="A36" i="95" s="1"/>
  <c r="A37" i="95" s="1"/>
  <c r="A38" i="95" s="1"/>
  <c r="A39" i="95" s="1"/>
  <c r="A40" i="95" s="1"/>
  <c r="A41" i="95" s="1"/>
  <c r="A42" i="95" s="1"/>
  <c r="A43" i="95" s="1"/>
  <c r="A44" i="95" s="1"/>
  <c r="A45" i="95" s="1"/>
  <c r="A46" i="95" s="1"/>
  <c r="A47" i="95" s="1"/>
  <c r="A48" i="95" s="1"/>
  <c r="A49" i="95" s="1"/>
  <c r="A50" i="95" s="1"/>
  <c r="A51" i="95" s="1"/>
  <c r="A52" i="95" s="1"/>
  <c r="A53" i="95" s="1"/>
  <c r="A54" i="95" s="1"/>
  <c r="A55" i="95" s="1"/>
  <c r="A56" i="95" s="1"/>
  <c r="A57" i="95" s="1"/>
  <c r="A58" i="95" s="1"/>
  <c r="A59" i="95" s="1"/>
  <c r="A60" i="95" s="1"/>
  <c r="A61" i="95" s="1"/>
  <c r="A62" i="95" s="1"/>
  <c r="A63" i="95" s="1"/>
  <c r="A64" i="95" s="1"/>
  <c r="A65" i="95" s="1"/>
  <c r="A66" i="95" s="1"/>
  <c r="A67" i="95" s="1"/>
  <c r="A68" i="95" s="1"/>
  <c r="A69" i="95" s="1"/>
  <c r="A70" i="95" s="1"/>
  <c r="A71" i="95" s="1"/>
  <c r="A72" i="95" s="1"/>
  <c r="A73" i="95" s="1"/>
  <c r="A74" i="95" s="1"/>
  <c r="A75" i="95" s="1"/>
  <c r="A76" i="95" s="1"/>
  <c r="A77" i="95" s="1"/>
  <c r="A78" i="95" s="1"/>
  <c r="A79" i="95" s="1"/>
  <c r="A80" i="95" s="1"/>
  <c r="A81" i="95" s="1"/>
  <c r="A82" i="95" s="1"/>
  <c r="A83" i="95" s="1"/>
  <c r="A84" i="95" s="1"/>
  <c r="A85" i="95" s="1"/>
  <c r="A86" i="95" s="1"/>
  <c r="A87" i="95" s="1"/>
  <c r="A88" i="95" s="1"/>
  <c r="A89" i="95" s="1"/>
  <c r="A90" i="95" s="1"/>
  <c r="A91" i="95" s="1"/>
  <c r="A92" i="95" s="1"/>
  <c r="A93" i="95" s="1"/>
  <c r="A94" i="95" s="1"/>
  <c r="A95" i="95" s="1"/>
  <c r="A96" i="95" s="1"/>
  <c r="A97" i="95" s="1"/>
  <c r="A98" i="95" s="1"/>
  <c r="A99" i="95" s="1"/>
  <c r="A100" i="95" s="1"/>
  <c r="A101" i="95" s="1"/>
  <c r="A102" i="95" s="1"/>
  <c r="A103" i="95" s="1"/>
  <c r="A104" i="95" s="1"/>
  <c r="A105" i="95" s="1"/>
  <c r="A106" i="95" s="1"/>
  <c r="A107" i="95" s="1"/>
  <c r="A108" i="95" s="1"/>
  <c r="A109" i="95" s="1"/>
  <c r="A110" i="95" s="1"/>
  <c r="A111" i="95" s="1"/>
  <c r="A112" i="95" s="1"/>
  <c r="A113" i="95" s="1"/>
  <c r="A114" i="95" s="1"/>
  <c r="A115" i="95" s="1"/>
  <c r="A116" i="95" s="1"/>
  <c r="A117" i="95" s="1"/>
  <c r="A118" i="95" s="1"/>
  <c r="A119" i="95" s="1"/>
  <c r="A120" i="95" s="1"/>
  <c r="A121" i="95" s="1"/>
  <c r="A122" i="95" s="1"/>
  <c r="A123" i="95" s="1"/>
  <c r="A124" i="95" s="1"/>
  <c r="A125" i="95" s="1"/>
  <c r="A126" i="95" s="1"/>
  <c r="A127" i="95" s="1"/>
  <c r="A128" i="95" s="1"/>
  <c r="A129" i="95" s="1"/>
  <c r="A130" i="95" s="1"/>
  <c r="A131" i="95" s="1"/>
  <c r="A132" i="95" s="1"/>
  <c r="A133" i="95" s="1"/>
  <c r="A134" i="95" s="1"/>
  <c r="A135" i="95" s="1"/>
  <c r="A136" i="95" s="1"/>
  <c r="A137" i="95" s="1"/>
  <c r="A138" i="95" s="1"/>
  <c r="A139" i="95" s="1"/>
  <c r="A140" i="95" s="1"/>
  <c r="A141" i="95" s="1"/>
  <c r="A142" i="95" s="1"/>
  <c r="A143" i="95" s="1"/>
  <c r="A144" i="95" s="1"/>
  <c r="A145" i="95" s="1"/>
  <c r="A146" i="95" s="1"/>
  <c r="A147" i="95" s="1"/>
  <c r="A148" i="95" s="1"/>
  <c r="A149" i="95" s="1"/>
  <c r="A150" i="95" s="1"/>
  <c r="A151" i="95" s="1"/>
  <c r="A152" i="95" s="1"/>
  <c r="A153" i="95" s="1"/>
  <c r="A154" i="95" s="1"/>
  <c r="A155" i="95" s="1"/>
  <c r="A156" i="95" s="1"/>
  <c r="A157" i="95" s="1"/>
  <c r="A158" i="95" s="1"/>
  <c r="A159" i="95" s="1"/>
  <c r="A160" i="95" s="1"/>
  <c r="A161" i="95" s="1"/>
  <c r="A162" i="95" s="1"/>
  <c r="A163" i="95" s="1"/>
  <c r="A164" i="95" s="1"/>
  <c r="A165" i="95" s="1"/>
  <c r="A166" i="95" s="1"/>
  <c r="A167" i="95" s="1"/>
  <c r="A168" i="95" s="1"/>
  <c r="A169" i="95" s="1"/>
  <c r="A170" i="95" s="1"/>
  <c r="A171" i="95" s="1"/>
  <c r="A172" i="95" s="1"/>
  <c r="A173" i="95" s="1"/>
  <c r="A174" i="95" s="1"/>
  <c r="A175" i="95" s="1"/>
  <c r="A176" i="95" s="1"/>
  <c r="A177" i="95" s="1"/>
  <c r="A178" i="95" s="1"/>
  <c r="A179" i="95" s="1"/>
  <c r="A180" i="95" s="1"/>
  <c r="A181" i="95" s="1"/>
  <c r="A182" i="95" s="1"/>
  <c r="A183" i="95" s="1"/>
  <c r="A184" i="95" s="1"/>
  <c r="A185" i="95" s="1"/>
  <c r="A186" i="95" s="1"/>
  <c r="A187" i="95" s="1"/>
  <c r="A188" i="95" s="1"/>
  <c r="A189" i="95" s="1"/>
  <c r="A190" i="95" s="1"/>
  <c r="A191" i="95" s="1"/>
  <c r="A192" i="95" s="1"/>
  <c r="A193" i="95" s="1"/>
  <c r="A194" i="95" s="1"/>
  <c r="A195" i="95" s="1"/>
  <c r="A196" i="95" s="1"/>
  <c r="A197" i="95" s="1"/>
  <c r="A198" i="95" s="1"/>
  <c r="A199" i="95" s="1"/>
  <c r="A200" i="95" s="1"/>
  <c r="A201" i="95" s="1"/>
  <c r="A202" i="95" s="1"/>
  <c r="A203" i="95" s="1"/>
  <c r="A204" i="95" s="1"/>
  <c r="A205" i="95" s="1"/>
  <c r="A206" i="95" s="1"/>
  <c r="A207" i="95" s="1"/>
  <c r="A208" i="95" s="1"/>
  <c r="A209" i="95" s="1"/>
  <c r="A210" i="95" s="1"/>
  <c r="A211" i="95" s="1"/>
  <c r="A212" i="95" s="1"/>
  <c r="A213" i="95" s="1"/>
  <c r="A214" i="95" s="1"/>
  <c r="A215" i="95" s="1"/>
  <c r="A216" i="95" s="1"/>
  <c r="A217" i="95" s="1"/>
  <c r="A218" i="95" s="1"/>
  <c r="A219" i="95" s="1"/>
  <c r="A220" i="95" s="1"/>
  <c r="A221" i="95" s="1"/>
  <c r="A222" i="95" s="1"/>
  <c r="A223" i="95" s="1"/>
  <c r="A224" i="95" s="1"/>
  <c r="A225" i="95" s="1"/>
  <c r="A226" i="95" s="1"/>
  <c r="A227" i="95" s="1"/>
  <c r="A228" i="95" s="1"/>
  <c r="A229" i="95" s="1"/>
  <c r="A230" i="95" s="1"/>
  <c r="A231" i="95" s="1"/>
  <c r="A232" i="95" s="1"/>
  <c r="A233" i="95" s="1"/>
  <c r="A234" i="95" s="1"/>
  <c r="A235" i="95" s="1"/>
  <c r="A236" i="95" s="1"/>
  <c r="A237" i="95" s="1"/>
  <c r="A238" i="95" s="1"/>
  <c r="A239" i="95" s="1"/>
  <c r="A240" i="95" s="1"/>
  <c r="A241" i="95" s="1"/>
  <c r="A242" i="95" s="1"/>
  <c r="A243" i="95" s="1"/>
  <c r="A244" i="95" s="1"/>
  <c r="A245" i="95" s="1"/>
  <c r="A246" i="95" s="1"/>
  <c r="A247" i="95" s="1"/>
  <c r="A248" i="95" s="1"/>
  <c r="A249" i="95" s="1"/>
  <c r="A250" i="95" s="1"/>
  <c r="A251" i="95" s="1"/>
  <c r="A252" i="95" s="1"/>
  <c r="A253" i="95" s="1"/>
  <c r="A254" i="95" s="1"/>
  <c r="A255" i="95" s="1"/>
  <c r="A256" i="95" s="1"/>
  <c r="A257" i="95" s="1"/>
  <c r="A258" i="95" s="1"/>
  <c r="A259" i="95" s="1"/>
  <c r="A260" i="95" s="1"/>
  <c r="A261" i="95" s="1"/>
  <c r="A262" i="95" s="1"/>
  <c r="A263" i="95" s="1"/>
  <c r="A264" i="95" s="1"/>
  <c r="A265" i="95" s="1"/>
  <c r="A266" i="95" s="1"/>
  <c r="A267" i="95" s="1"/>
  <c r="A268" i="95" s="1"/>
  <c r="A269" i="95" s="1"/>
  <c r="A270" i="95" s="1"/>
  <c r="A271" i="95" s="1"/>
  <c r="A272" i="95" s="1"/>
  <c r="A273" i="95" s="1"/>
  <c r="A274" i="95" s="1"/>
  <c r="A275" i="95" s="1"/>
  <c r="A276" i="95" s="1"/>
  <c r="A277" i="95" s="1"/>
  <c r="A278" i="95" s="1"/>
  <c r="A279" i="95" s="1"/>
  <c r="A280" i="95" s="1"/>
  <c r="A281" i="95" s="1"/>
  <c r="A282" i="95" s="1"/>
  <c r="A283" i="95" s="1"/>
  <c r="A284" i="95" s="1"/>
  <c r="A285" i="95" s="1"/>
  <c r="A286" i="95" s="1"/>
  <c r="A287" i="95" s="1"/>
  <c r="A288" i="95" s="1"/>
  <c r="A289" i="95" s="1"/>
  <c r="A290" i="95" s="1"/>
  <c r="A291" i="95" s="1"/>
  <c r="A292" i="95" s="1"/>
  <c r="A293" i="95" s="1"/>
  <c r="A294" i="95" s="1"/>
  <c r="A295" i="95" s="1"/>
  <c r="A296" i="95" s="1"/>
  <c r="A297" i="95" s="1"/>
  <c r="A298" i="95" s="1"/>
  <c r="A11" i="96" s="1"/>
  <c r="A12" i="96" s="1"/>
  <c r="A13" i="96" s="1"/>
  <c r="A14" i="96" s="1"/>
  <c r="A15" i="96" s="1"/>
  <c r="A16" i="96" s="1"/>
  <c r="A17" i="96" s="1"/>
  <c r="A18" i="96" s="1"/>
  <c r="A19" i="96" s="1"/>
  <c r="A20" i="96" s="1"/>
  <c r="A21" i="96" s="1"/>
  <c r="A22" i="96" s="1"/>
  <c r="A23" i="96" s="1"/>
  <c r="A24" i="96" s="1"/>
  <c r="A25" i="96" s="1"/>
  <c r="A26" i="96" s="1"/>
  <c r="A27" i="96" s="1"/>
  <c r="A28" i="96" s="1"/>
  <c r="A29" i="96" s="1"/>
  <c r="A30" i="96" s="1"/>
  <c r="A31" i="96" s="1"/>
  <c r="A32" i="96" s="1"/>
  <c r="A33" i="96" s="1"/>
  <c r="A34" i="96" s="1"/>
  <c r="A35" i="96" s="1"/>
  <c r="A36" i="96" s="1"/>
  <c r="A37" i="96" s="1"/>
  <c r="A38" i="96" s="1"/>
  <c r="A39" i="96" s="1"/>
  <c r="A40" i="96" s="1"/>
  <c r="A41" i="96" s="1"/>
  <c r="A42" i="96" s="1"/>
  <c r="A43" i="96" s="1"/>
  <c r="A44" i="96" s="1"/>
  <c r="A45" i="96" s="1"/>
  <c r="A46" i="96" s="1"/>
  <c r="A47" i="96" s="1"/>
  <c r="A48" i="96" s="1"/>
  <c r="A49" i="96" s="1"/>
  <c r="A50" i="96" s="1"/>
  <c r="A51" i="96" s="1"/>
  <c r="A52" i="96" s="1"/>
  <c r="A53" i="96" s="1"/>
  <c r="A54" i="96" s="1"/>
  <c r="A55" i="96" s="1"/>
  <c r="A56" i="96" s="1"/>
  <c r="A57" i="96" s="1"/>
  <c r="A58" i="96" s="1"/>
  <c r="A59" i="96" s="1"/>
  <c r="A60" i="96" s="1"/>
  <c r="A61" i="96" s="1"/>
  <c r="A62" i="96" s="1"/>
  <c r="A63" i="96" s="1"/>
  <c r="A64" i="96" s="1"/>
  <c r="A65" i="96" s="1"/>
  <c r="A66" i="96" s="1"/>
  <c r="A67" i="96" s="1"/>
  <c r="A68" i="96" s="1"/>
  <c r="A69" i="96" s="1"/>
  <c r="A70" i="96" s="1"/>
  <c r="A71" i="96" s="1"/>
  <c r="A72" i="96" s="1"/>
  <c r="A73" i="96" s="1"/>
  <c r="A74" i="96" s="1"/>
  <c r="A75" i="96" s="1"/>
  <c r="A76" i="96" s="1"/>
  <c r="A77" i="96" s="1"/>
  <c r="A78" i="96" s="1"/>
  <c r="A79" i="96" s="1"/>
  <c r="A80" i="96" s="1"/>
  <c r="A81" i="96" s="1"/>
  <c r="A82" i="96" s="1"/>
  <c r="A83" i="96" s="1"/>
  <c r="A84" i="96" s="1"/>
  <c r="A85" i="96" s="1"/>
  <c r="A86" i="96" s="1"/>
  <c r="A87" i="96" s="1"/>
  <c r="A88" i="96" s="1"/>
  <c r="A89" i="96" s="1"/>
  <c r="A90" i="96" s="1"/>
  <c r="A91" i="96" s="1"/>
  <c r="A92" i="96" s="1"/>
  <c r="A93" i="96" s="1"/>
  <c r="A94" i="96" s="1"/>
  <c r="A95" i="96" s="1"/>
  <c r="A96" i="96" s="1"/>
  <c r="A97" i="96" s="1"/>
  <c r="A98" i="96" s="1"/>
  <c r="A99" i="96" s="1"/>
  <c r="A100" i="96" s="1"/>
  <c r="A101" i="96" s="1"/>
  <c r="A102" i="96" s="1"/>
  <c r="A103" i="96" s="1"/>
  <c r="A104" i="96" s="1"/>
  <c r="A105" i="96" s="1"/>
  <c r="A106" i="96" s="1"/>
  <c r="A107" i="96" s="1"/>
  <c r="A108" i="96" s="1"/>
  <c r="A109" i="96" s="1"/>
  <c r="A110" i="96" s="1"/>
  <c r="A111" i="96" s="1"/>
  <c r="A112" i="96" s="1"/>
  <c r="A113" i="96" s="1"/>
  <c r="A114" i="96" s="1"/>
  <c r="A115" i="96" s="1"/>
  <c r="A116" i="96" s="1"/>
  <c r="A117" i="96" s="1"/>
  <c r="A118" i="96" s="1"/>
  <c r="A119" i="96" s="1"/>
  <c r="A120" i="96" s="1"/>
  <c r="A121" i="96" s="1"/>
  <c r="A122" i="96" s="1"/>
  <c r="A123" i="96" s="1"/>
  <c r="A124" i="96" s="1"/>
  <c r="A125" i="96" s="1"/>
  <c r="A126" i="96" s="1"/>
  <c r="A127" i="96" s="1"/>
  <c r="A128" i="96" s="1"/>
  <c r="A129" i="96" s="1"/>
  <c r="A130" i="96" s="1"/>
  <c r="A131" i="96" s="1"/>
  <c r="A132" i="96" s="1"/>
  <c r="A133" i="96" s="1"/>
  <c r="A134" i="96" s="1"/>
  <c r="A135" i="96" s="1"/>
  <c r="A136" i="96" s="1"/>
  <c r="A137" i="96" s="1"/>
  <c r="A138" i="96" s="1"/>
  <c r="A139" i="96" s="1"/>
  <c r="A140" i="96" s="1"/>
  <c r="A141" i="96" s="1"/>
  <c r="A142" i="96" s="1"/>
  <c r="A143" i="96" s="1"/>
  <c r="A144" i="96" s="1"/>
  <c r="A145" i="96" s="1"/>
  <c r="A146" i="96" s="1"/>
  <c r="A147" i="96" s="1"/>
  <c r="A148" i="96" s="1"/>
  <c r="A149" i="96" s="1"/>
  <c r="A150" i="96" s="1"/>
  <c r="A151" i="96" s="1"/>
  <c r="A152" i="96" s="1"/>
  <c r="A153" i="96" s="1"/>
  <c r="A154" i="96" s="1"/>
  <c r="A11" i="82" s="1"/>
  <c r="N272" i="67"/>
  <c r="I273" i="67"/>
  <c r="P272" i="68"/>
  <c r="K273" i="68"/>
  <c r="D33" i="54"/>
  <c r="K32" i="54"/>
  <c r="C32" i="54" s="1"/>
  <c r="D33" i="56"/>
  <c r="K32" i="56"/>
  <c r="C32" i="56" s="1"/>
  <c r="K32" i="60"/>
  <c r="C32" i="60" s="1"/>
  <c r="D33" i="60"/>
  <c r="A12" i="82" l="1"/>
  <c r="A13" i="82" s="1"/>
  <c r="A14" i="82" s="1"/>
  <c r="A15" i="82" s="1"/>
  <c r="A16" i="82" s="1"/>
  <c r="A17" i="82" s="1"/>
  <c r="A18" i="82" s="1"/>
  <c r="A19" i="82" s="1"/>
  <c r="A20" i="82" s="1"/>
  <c r="A21" i="82" s="1"/>
  <c r="A22" i="82" s="1"/>
  <c r="A23" i="82" s="1"/>
  <c r="A24" i="82" s="1"/>
  <c r="A25" i="82" s="1"/>
  <c r="A26" i="82" s="1"/>
  <c r="A27" i="82" s="1"/>
  <c r="A28" i="82" s="1"/>
  <c r="A29" i="82" s="1"/>
  <c r="A30" i="82" s="1"/>
  <c r="A31" i="82" s="1"/>
  <c r="A32" i="82" s="1"/>
  <c r="A33" i="82" s="1"/>
  <c r="A34" i="82" s="1"/>
  <c r="A35" i="82" s="1"/>
  <c r="A36" i="82" s="1"/>
  <c r="A37" i="82" s="1"/>
  <c r="A38" i="82" s="1"/>
  <c r="A39" i="82" s="1"/>
  <c r="A40" i="82" s="1"/>
  <c r="A41" i="82" s="1"/>
  <c r="A42" i="82" s="1"/>
  <c r="A43" i="82" s="1"/>
  <c r="A44" i="82" s="1"/>
  <c r="A45" i="82" s="1"/>
  <c r="A46" i="82" s="1"/>
  <c r="P273" i="68"/>
  <c r="K274" i="68"/>
  <c r="N273" i="67"/>
  <c r="I274" i="67"/>
  <c r="D34" i="60"/>
  <c r="K33" i="60"/>
  <c r="C33" i="60" s="1"/>
  <c r="K33" i="56"/>
  <c r="C33" i="56" s="1"/>
  <c r="D34" i="56"/>
  <c r="D34" i="54"/>
  <c r="K33" i="54"/>
  <c r="C33" i="54" s="1"/>
  <c r="A11" i="62" l="1"/>
  <c r="A12" i="62" s="1"/>
  <c r="N274" i="67"/>
  <c r="I275" i="67"/>
  <c r="P274" i="68"/>
  <c r="K275" i="68"/>
  <c r="K34" i="60"/>
  <c r="C34" i="60" s="1"/>
  <c r="D35" i="60"/>
  <c r="K34" i="56"/>
  <c r="C34" i="56" s="1"/>
  <c r="D35" i="56"/>
  <c r="K34" i="54"/>
  <c r="C34" i="54" s="1"/>
  <c r="A13" i="62" l="1"/>
  <c r="A14" i="62" s="1"/>
  <c r="A15" i="62" s="1"/>
  <c r="A16" i="62" s="1"/>
  <c r="A17" i="62" s="1"/>
  <c r="A18" i="62" s="1"/>
  <c r="A19" i="62" s="1"/>
  <c r="A11" i="97" s="1"/>
  <c r="A12" i="97" s="1"/>
  <c r="P275" i="68"/>
  <c r="K276" i="68"/>
  <c r="N275" i="67"/>
  <c r="I276" i="67"/>
  <c r="D36" i="60"/>
  <c r="K35" i="60"/>
  <c r="C35" i="60" s="1"/>
  <c r="K35" i="56"/>
  <c r="C35" i="56" s="1"/>
  <c r="D36" i="56"/>
  <c r="A13" i="97" l="1"/>
  <c r="A14" i="97" s="1"/>
  <c r="A15" i="97" s="1"/>
  <c r="A16" i="97" s="1"/>
  <c r="A17" i="97" s="1"/>
  <c r="A18" i="97" s="1"/>
  <c r="A19" i="97" s="1"/>
  <c r="A20" i="97" s="1"/>
  <c r="A21" i="97" s="1"/>
  <c r="A22" i="97" s="1"/>
  <c r="A23" i="97" s="1"/>
  <c r="A24" i="97" s="1"/>
  <c r="A25" i="97" s="1"/>
  <c r="A26" i="97" s="1"/>
  <c r="A27" i="97" s="1"/>
  <c r="A28" i="97" s="1"/>
  <c r="A29" i="97" s="1"/>
  <c r="A30" i="97" s="1"/>
  <c r="A31" i="97" s="1"/>
  <c r="A32" i="97" s="1"/>
  <c r="A33" i="97" s="1"/>
  <c r="A34" i="97" s="1"/>
  <c r="A35" i="97" s="1"/>
  <c r="A36" i="97" s="1"/>
  <c r="A37" i="97" s="1"/>
  <c r="A38" i="97" s="1"/>
  <c r="A39" i="97" s="1"/>
  <c r="A40" i="97" s="1"/>
  <c r="A41" i="97" s="1"/>
  <c r="A42" i="97" s="1"/>
  <c r="A43" i="97" s="1"/>
  <c r="A44" i="97" s="1"/>
  <c r="A45" i="97" s="1"/>
  <c r="A46" i="97" s="1"/>
  <c r="A47" i="97" s="1"/>
  <c r="A48" i="97" s="1"/>
  <c r="A49" i="97" s="1"/>
  <c r="A50" i="97" s="1"/>
  <c r="A51" i="97" s="1"/>
  <c r="A52" i="97" s="1"/>
  <c r="A53" i="97" s="1"/>
  <c r="A54" i="97" s="1"/>
  <c r="A55" i="97" s="1"/>
  <c r="A56" i="97" s="1"/>
  <c r="A57" i="97" s="1"/>
  <c r="A58" i="97" s="1"/>
  <c r="A59" i="97" s="1"/>
  <c r="A60" i="97" s="1"/>
  <c r="A61" i="97" s="1"/>
  <c r="A62" i="97" s="1"/>
  <c r="A63" i="97" s="1"/>
  <c r="A64" i="97" s="1"/>
  <c r="A65" i="97" s="1"/>
  <c r="A66" i="97" s="1"/>
  <c r="A67" i="97" s="1"/>
  <c r="A68" i="97" s="1"/>
  <c r="A69" i="97" s="1"/>
  <c r="A70" i="97" s="1"/>
  <c r="A11" i="98" s="1"/>
  <c r="A12" i="98" s="1"/>
  <c r="A13" i="98" s="1"/>
  <c r="A14" i="98" s="1"/>
  <c r="A15" i="98" s="1"/>
  <c r="A16" i="98" s="1"/>
  <c r="A17" i="98" s="1"/>
  <c r="A18" i="98" s="1"/>
  <c r="A19" i="98" s="1"/>
  <c r="A20" i="98" s="1"/>
  <c r="A21" i="98" s="1"/>
  <c r="A22" i="98" s="1"/>
  <c r="A23" i="98" s="1"/>
  <c r="A24" i="98" s="1"/>
  <c r="A25" i="98" s="1"/>
  <c r="A26" i="98" s="1"/>
  <c r="A27" i="98" s="1"/>
  <c r="A28" i="98" s="1"/>
  <c r="A29" i="98" s="1"/>
  <c r="A30" i="98" s="1"/>
  <c r="A31" i="98" s="1"/>
  <c r="A32" i="98" s="1"/>
  <c r="A33" i="98" s="1"/>
  <c r="A34" i="98" s="1"/>
  <c r="A35" i="98" s="1"/>
  <c r="A36" i="98" s="1"/>
  <c r="A37" i="98" s="1"/>
  <c r="A38" i="98" s="1"/>
  <c r="A39" i="98" s="1"/>
  <c r="A40" i="98" s="1"/>
  <c r="A41" i="98" s="1"/>
  <c r="A42" i="98" s="1"/>
  <c r="A43" i="98" s="1"/>
  <c r="A44" i="98" s="1"/>
  <c r="A45" i="98" s="1"/>
  <c r="A46" i="98" s="1"/>
  <c r="A47" i="98" s="1"/>
  <c r="A48" i="98" s="1"/>
  <c r="A49" i="98" s="1"/>
  <c r="A50" i="98" s="1"/>
  <c r="A11" i="49" s="1"/>
  <c r="A12" i="49" s="1"/>
  <c r="N276" i="67"/>
  <c r="I277" i="67"/>
  <c r="P276" i="68"/>
  <c r="K277" i="68"/>
  <c r="D37" i="60"/>
  <c r="K36" i="60"/>
  <c r="C36" i="60" s="1"/>
  <c r="K36" i="56"/>
  <c r="C36" i="56" s="1"/>
  <c r="D37" i="56"/>
  <c r="A13" i="49" l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A36" i="49" s="1"/>
  <c r="A37" i="49" s="1"/>
  <c r="P277" i="68"/>
  <c r="K278" i="68"/>
  <c r="N277" i="67"/>
  <c r="I278" i="67"/>
  <c r="D38" i="60"/>
  <c r="K37" i="60"/>
  <c r="C37" i="60" s="1"/>
  <c r="D38" i="56"/>
  <c r="K37" i="56"/>
  <c r="C37" i="56" s="1"/>
  <c r="A38" i="49" l="1"/>
  <c r="A39" i="49" s="1"/>
  <c r="A40" i="49" s="1"/>
  <c r="A41" i="49" s="1"/>
  <c r="A42" i="49" s="1"/>
  <c r="A43" i="49" s="1"/>
  <c r="A44" i="49" s="1"/>
  <c r="A45" i="49" s="1"/>
  <c r="A46" i="49" s="1"/>
  <c r="A11" i="50" s="1"/>
  <c r="A12" i="50" s="1"/>
  <c r="A11" i="66"/>
  <c r="A12" i="66" s="1"/>
  <c r="A13" i="66" s="1"/>
  <c r="A14" i="66" s="1"/>
  <c r="A15" i="66" s="1"/>
  <c r="A16" i="66" s="1"/>
  <c r="A17" i="66" s="1"/>
  <c r="A18" i="66" s="1"/>
  <c r="A19" i="66" s="1"/>
  <c r="A20" i="66" s="1"/>
  <c r="A21" i="66" s="1"/>
  <c r="A22" i="66" s="1"/>
  <c r="A23" i="66" s="1"/>
  <c r="A24" i="66" s="1"/>
  <c r="A25" i="66" s="1"/>
  <c r="A26" i="66" s="1"/>
  <c r="A27" i="66" s="1"/>
  <c r="A28" i="66" s="1"/>
  <c r="A29" i="66" s="1"/>
  <c r="A30" i="66" s="1"/>
  <c r="A31" i="66" s="1"/>
  <c r="A32" i="66" s="1"/>
  <c r="A33" i="66" s="1"/>
  <c r="A34" i="66" s="1"/>
  <c r="A35" i="66" s="1"/>
  <c r="A36" i="66" s="1"/>
  <c r="A37" i="66" s="1"/>
  <c r="A38" i="66" s="1"/>
  <c r="A39" i="66" s="1"/>
  <c r="A40" i="66" s="1"/>
  <c r="A41" i="66" s="1"/>
  <c r="A42" i="66" s="1"/>
  <c r="A43" i="66" s="1"/>
  <c r="A44" i="66" s="1"/>
  <c r="A45" i="66" s="1"/>
  <c r="A46" i="66" s="1"/>
  <c r="A47" i="66" s="1"/>
  <c r="A48" i="66" s="1"/>
  <c r="A49" i="66" s="1"/>
  <c r="A50" i="66" s="1"/>
  <c r="A51" i="66" s="1"/>
  <c r="A52" i="66" s="1"/>
  <c r="A53" i="66" s="1"/>
  <c r="A54" i="66" s="1"/>
  <c r="A55" i="66" s="1"/>
  <c r="A56" i="66" s="1"/>
  <c r="A57" i="66" s="1"/>
  <c r="A58" i="66" s="1"/>
  <c r="A59" i="66" s="1"/>
  <c r="A60" i="66" s="1"/>
  <c r="A61" i="66" s="1"/>
  <c r="A62" i="66" s="1"/>
  <c r="A63" i="66" s="1"/>
  <c r="A64" i="66" s="1"/>
  <c r="A65" i="66" s="1"/>
  <c r="A66" i="66" s="1"/>
  <c r="A67" i="66" s="1"/>
  <c r="A68" i="66" s="1"/>
  <c r="A69" i="66" s="1"/>
  <c r="A70" i="66" s="1"/>
  <c r="A71" i="66" s="1"/>
  <c r="A72" i="66" s="1"/>
  <c r="A73" i="66" s="1"/>
  <c r="A74" i="66" s="1"/>
  <c r="A75" i="66" s="1"/>
  <c r="A76" i="66" s="1"/>
  <c r="A77" i="66" s="1"/>
  <c r="A78" i="66" s="1"/>
  <c r="A79" i="66" s="1"/>
  <c r="A80" i="66" s="1"/>
  <c r="A81" i="66" s="1"/>
  <c r="A82" i="66" s="1"/>
  <c r="A83" i="66" s="1"/>
  <c r="A84" i="66" s="1"/>
  <c r="A85" i="66" s="1"/>
  <c r="A86" i="66" s="1"/>
  <c r="A87" i="66" s="1"/>
  <c r="A88" i="66" s="1"/>
  <c r="A89" i="66" s="1"/>
  <c r="A90" i="66" s="1"/>
  <c r="A91" i="66" s="1"/>
  <c r="A92" i="66" s="1"/>
  <c r="A93" i="66" s="1"/>
  <c r="A94" i="66" s="1"/>
  <c r="A95" i="66" s="1"/>
  <c r="A96" i="66" s="1"/>
  <c r="A97" i="66" s="1"/>
  <c r="A98" i="66" s="1"/>
  <c r="A99" i="66" s="1"/>
  <c r="A100" i="66" s="1"/>
  <c r="A101" i="66" s="1"/>
  <c r="A102" i="66" s="1"/>
  <c r="A103" i="66" s="1"/>
  <c r="A104" i="66" s="1"/>
  <c r="A105" i="66" s="1"/>
  <c r="A106" i="66" s="1"/>
  <c r="A107" i="66" s="1"/>
  <c r="A108" i="66" s="1"/>
  <c r="A109" i="66" s="1"/>
  <c r="A110" i="66" s="1"/>
  <c r="A111" i="66" s="1"/>
  <c r="A112" i="66" s="1"/>
  <c r="A113" i="66" s="1"/>
  <c r="A114" i="66" s="1"/>
  <c r="A115" i="66" s="1"/>
  <c r="A116" i="66" s="1"/>
  <c r="A117" i="66" s="1"/>
  <c r="A118" i="66" s="1"/>
  <c r="A119" i="66" s="1"/>
  <c r="A120" i="66" s="1"/>
  <c r="A121" i="66" s="1"/>
  <c r="A122" i="66" s="1"/>
  <c r="A123" i="66" s="1"/>
  <c r="A124" i="66" s="1"/>
  <c r="A125" i="66" s="1"/>
  <c r="A126" i="66" s="1"/>
  <c r="A127" i="66" s="1"/>
  <c r="A128" i="66" s="1"/>
  <c r="A129" i="66" s="1"/>
  <c r="A130" i="66" s="1"/>
  <c r="A131" i="66" s="1"/>
  <c r="A132" i="66" s="1"/>
  <c r="A133" i="66" s="1"/>
  <c r="A134" i="66" s="1"/>
  <c r="A135" i="66" s="1"/>
  <c r="A136" i="66" s="1"/>
  <c r="A137" i="66" s="1"/>
  <c r="A138" i="66" s="1"/>
  <c r="A139" i="66" s="1"/>
  <c r="A140" i="66" s="1"/>
  <c r="A141" i="66" s="1"/>
  <c r="A142" i="66" s="1"/>
  <c r="A143" i="66" s="1"/>
  <c r="A144" i="66" s="1"/>
  <c r="A145" i="66" s="1"/>
  <c r="A146" i="66" s="1"/>
  <c r="A147" i="66" s="1"/>
  <c r="A148" i="66" s="1"/>
  <c r="A149" i="66" s="1"/>
  <c r="A150" i="66" s="1"/>
  <c r="A151" i="66" s="1"/>
  <c r="A152" i="66" s="1"/>
  <c r="A153" i="66" s="1"/>
  <c r="A154" i="66" s="1"/>
  <c r="A155" i="66" s="1"/>
  <c r="A156" i="66" s="1"/>
  <c r="A157" i="66" s="1"/>
  <c r="A158" i="66" s="1"/>
  <c r="A159" i="66" s="1"/>
  <c r="A160" i="66" s="1"/>
  <c r="A161" i="66" s="1"/>
  <c r="A162" i="66" s="1"/>
  <c r="A163" i="66" s="1"/>
  <c r="A164" i="66" s="1"/>
  <c r="A165" i="66" s="1"/>
  <c r="A166" i="66" s="1"/>
  <c r="A167" i="66" s="1"/>
  <c r="A168" i="66" s="1"/>
  <c r="A169" i="66" s="1"/>
  <c r="A170" i="66" s="1"/>
  <c r="A171" i="66" s="1"/>
  <c r="A172" i="66" s="1"/>
  <c r="A173" i="66" s="1"/>
  <c r="A174" i="66" s="1"/>
  <c r="A175" i="66" s="1"/>
  <c r="A176" i="66" s="1"/>
  <c r="A177" i="66" s="1"/>
  <c r="A178" i="66" s="1"/>
  <c r="A179" i="66" s="1"/>
  <c r="A180" i="66" s="1"/>
  <c r="A181" i="66" s="1"/>
  <c r="A182" i="66" s="1"/>
  <c r="A183" i="66" s="1"/>
  <c r="A184" i="66" s="1"/>
  <c r="A185" i="66" s="1"/>
  <c r="A186" i="66" s="1"/>
  <c r="A187" i="66" s="1"/>
  <c r="A188" i="66" s="1"/>
  <c r="A189" i="66" s="1"/>
  <c r="A190" i="66" s="1"/>
  <c r="A191" i="66" s="1"/>
  <c r="A192" i="66" s="1"/>
  <c r="A193" i="66" s="1"/>
  <c r="A194" i="66" s="1"/>
  <c r="A195" i="66" s="1"/>
  <c r="A196" i="66" s="1"/>
  <c r="A197" i="66" s="1"/>
  <c r="A198" i="66" s="1"/>
  <c r="A199" i="66" s="1"/>
  <c r="A200" i="66" s="1"/>
  <c r="A201" i="66" s="1"/>
  <c r="A202" i="66" s="1"/>
  <c r="N278" i="67"/>
  <c r="I279" i="67"/>
  <c r="P278" i="68"/>
  <c r="K279" i="68"/>
  <c r="D39" i="60"/>
  <c r="K38" i="60"/>
  <c r="C38" i="60" s="1"/>
  <c r="D39" i="56"/>
  <c r="K38" i="56"/>
  <c r="C38" i="56" s="1"/>
  <c r="A13" i="50" l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A43" i="50" s="1"/>
  <c r="A44" i="50" s="1"/>
  <c r="A45" i="50" s="1"/>
  <c r="A46" i="50" s="1"/>
  <c r="A47" i="50" s="1"/>
  <c r="A48" i="50" s="1"/>
  <c r="A49" i="50" s="1"/>
  <c r="A50" i="50" s="1"/>
  <c r="A51" i="50" s="1"/>
  <c r="A52" i="50" s="1"/>
  <c r="A53" i="50" s="1"/>
  <c r="A54" i="50" s="1"/>
  <c r="A55" i="50" s="1"/>
  <c r="A56" i="50" s="1"/>
  <c r="A57" i="50" s="1"/>
  <c r="A58" i="50" s="1"/>
  <c r="A11" i="63" s="1"/>
  <c r="A12" i="63" s="1"/>
  <c r="P279" i="68"/>
  <c r="K280" i="68"/>
  <c r="N279" i="67"/>
  <c r="I280" i="67"/>
  <c r="D40" i="60"/>
  <c r="K39" i="60"/>
  <c r="C39" i="60" s="1"/>
  <c r="K39" i="56"/>
  <c r="C39" i="56" s="1"/>
  <c r="D40" i="56"/>
  <c r="A13" i="63" l="1"/>
  <c r="A14" i="63" s="1"/>
  <c r="A15" i="63" s="1"/>
  <c r="A16" i="63" s="1"/>
  <c r="A17" i="63" s="1"/>
  <c r="A18" i="63" s="1"/>
  <c r="A19" i="63" s="1"/>
  <c r="A20" i="63" s="1"/>
  <c r="A21" i="63" s="1"/>
  <c r="A22" i="63" s="1"/>
  <c r="A23" i="63" s="1"/>
  <c r="A24" i="63" s="1"/>
  <c r="A25" i="63" s="1"/>
  <c r="A26" i="63" s="1"/>
  <c r="A27" i="63" s="1"/>
  <c r="A28" i="63" s="1"/>
  <c r="A29" i="63" s="1"/>
  <c r="A30" i="63" s="1"/>
  <c r="A31" i="63" s="1"/>
  <c r="A32" i="63" s="1"/>
  <c r="A33" i="63" s="1"/>
  <c r="A34" i="63" s="1"/>
  <c r="A35" i="63" s="1"/>
  <c r="A36" i="63" s="1"/>
  <c r="A37" i="63" s="1"/>
  <c r="A38" i="63" s="1"/>
  <c r="A39" i="63" s="1"/>
  <c r="A40" i="63" s="1"/>
  <c r="A41" i="63" s="1"/>
  <c r="A42" i="63" s="1"/>
  <c r="A43" i="63" s="1"/>
  <c r="A44" i="63" s="1"/>
  <c r="A45" i="63" s="1"/>
  <c r="A46" i="63" s="1"/>
  <c r="A47" i="63" s="1"/>
  <c r="A48" i="63" s="1"/>
  <c r="A49" i="63" s="1"/>
  <c r="A50" i="63" s="1"/>
  <c r="A51" i="63" s="1"/>
  <c r="A52" i="63" s="1"/>
  <c r="A53" i="63" s="1"/>
  <c r="A54" i="63" s="1"/>
  <c r="A55" i="63" s="1"/>
  <c r="A56" i="63" s="1"/>
  <c r="A57" i="63" s="1"/>
  <c r="A58" i="63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N280" i="67"/>
  <c r="I281" i="67"/>
  <c r="P280" i="68"/>
  <c r="K281" i="68"/>
  <c r="D41" i="60"/>
  <c r="K40" i="60"/>
  <c r="C40" i="60" s="1"/>
  <c r="K40" i="56"/>
  <c r="C40" i="56" s="1"/>
  <c r="D41" i="56"/>
  <c r="A11" i="53" l="1"/>
  <c r="A12" i="53" s="1"/>
  <c r="A11" i="74"/>
  <c r="A12" i="74" s="1"/>
  <c r="A13" i="74" s="1"/>
  <c r="A14" i="74" s="1"/>
  <c r="A15" i="74" s="1"/>
  <c r="A16" i="74" s="1"/>
  <c r="A17" i="74" s="1"/>
  <c r="A18" i="74" s="1"/>
  <c r="A19" i="74" s="1"/>
  <c r="A20" i="74" s="1"/>
  <c r="A21" i="74" s="1"/>
  <c r="A22" i="74" s="1"/>
  <c r="A23" i="74" s="1"/>
  <c r="A24" i="74" s="1"/>
  <c r="A25" i="74" s="1"/>
  <c r="A26" i="74" s="1"/>
  <c r="A27" i="74" s="1"/>
  <c r="A28" i="74" s="1"/>
  <c r="A29" i="74" s="1"/>
  <c r="A30" i="74" s="1"/>
  <c r="A31" i="74" s="1"/>
  <c r="A32" i="74" s="1"/>
  <c r="A33" i="74" s="1"/>
  <c r="A34" i="74" s="1"/>
  <c r="A35" i="74" s="1"/>
  <c r="A36" i="74" s="1"/>
  <c r="A37" i="74" s="1"/>
  <c r="A38" i="74" s="1"/>
  <c r="A39" i="74" s="1"/>
  <c r="A40" i="74" s="1"/>
  <c r="A41" i="74" s="1"/>
  <c r="A42" i="74" s="1"/>
  <c r="A43" i="74" s="1"/>
  <c r="A44" i="74" s="1"/>
  <c r="A45" i="74" s="1"/>
  <c r="A46" i="74" s="1"/>
  <c r="A47" i="74" s="1"/>
  <c r="A48" i="74" s="1"/>
  <c r="A49" i="74" s="1"/>
  <c r="A50" i="74" s="1"/>
  <c r="A51" i="74" s="1"/>
  <c r="A52" i="74" s="1"/>
  <c r="A53" i="74" s="1"/>
  <c r="A54" i="74" s="1"/>
  <c r="A55" i="74" s="1"/>
  <c r="A56" i="74" s="1"/>
  <c r="A57" i="74" s="1"/>
  <c r="A58" i="74" s="1"/>
  <c r="A59" i="74" s="1"/>
  <c r="A60" i="74" s="1"/>
  <c r="A61" i="74" s="1"/>
  <c r="A62" i="74" s="1"/>
  <c r="A63" i="74" s="1"/>
  <c r="A64" i="74" s="1"/>
  <c r="A65" i="74" s="1"/>
  <c r="A66" i="74" s="1"/>
  <c r="A67" i="74" s="1"/>
  <c r="A68" i="74" s="1"/>
  <c r="A69" i="74" s="1"/>
  <c r="A70" i="74" s="1"/>
  <c r="A71" i="74" s="1"/>
  <c r="A72" i="74" s="1"/>
  <c r="A73" i="74" s="1"/>
  <c r="A74" i="74" s="1"/>
  <c r="A75" i="74" s="1"/>
  <c r="A76" i="74" s="1"/>
  <c r="A77" i="74" s="1"/>
  <c r="A78" i="74" s="1"/>
  <c r="A79" i="74" s="1"/>
  <c r="A80" i="74" s="1"/>
  <c r="A81" i="74" s="1"/>
  <c r="A82" i="74" s="1"/>
  <c r="P281" i="68"/>
  <c r="K282" i="68"/>
  <c r="N281" i="67"/>
  <c r="I282" i="67"/>
  <c r="D42" i="60"/>
  <c r="K41" i="60"/>
  <c r="C41" i="60" s="1"/>
  <c r="D42" i="56"/>
  <c r="K41" i="56"/>
  <c r="C41" i="56" s="1"/>
  <c r="A13" i="53" l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A36" i="53" s="1"/>
  <c r="A37" i="53" s="1"/>
  <c r="A38" i="53" s="1"/>
  <c r="A39" i="53" s="1"/>
  <c r="A40" i="53" s="1"/>
  <c r="A41" i="53" s="1"/>
  <c r="A42" i="53" s="1"/>
  <c r="A43" i="53" s="1"/>
  <c r="A44" i="53" s="1"/>
  <c r="A45" i="53" s="1"/>
  <c r="A46" i="53" s="1"/>
  <c r="A47" i="53" s="1"/>
  <c r="A48" i="53" s="1"/>
  <c r="A49" i="53" s="1"/>
  <c r="A50" i="53" s="1"/>
  <c r="A51" i="53" s="1"/>
  <c r="A52" i="53" s="1"/>
  <c r="A53" i="53" s="1"/>
  <c r="A54" i="53" s="1"/>
  <c r="A55" i="53" s="1"/>
  <c r="A56" i="53" s="1"/>
  <c r="A57" i="53" s="1"/>
  <c r="A58" i="53" s="1"/>
  <c r="A59" i="53" s="1"/>
  <c r="A60" i="53" s="1"/>
  <c r="A61" i="53" s="1"/>
  <c r="A62" i="53" s="1"/>
  <c r="A63" i="53" s="1"/>
  <c r="A64" i="53" s="1"/>
  <c r="A65" i="53" s="1"/>
  <c r="A66" i="53" s="1"/>
  <c r="A67" i="53" s="1"/>
  <c r="A68" i="53" s="1"/>
  <c r="A69" i="53" s="1"/>
  <c r="A70" i="53" s="1"/>
  <c r="A71" i="53" s="1"/>
  <c r="A72" i="53" s="1"/>
  <c r="A73" i="53" s="1"/>
  <c r="A74" i="53" s="1"/>
  <c r="A75" i="53" s="1"/>
  <c r="A76" i="53" s="1"/>
  <c r="A77" i="53" s="1"/>
  <c r="A78" i="53" s="1"/>
  <c r="A79" i="53" s="1"/>
  <c r="A80" i="53" s="1"/>
  <c r="A81" i="53" s="1"/>
  <c r="A82" i="53" s="1"/>
  <c r="N282" i="67"/>
  <c r="I283" i="67"/>
  <c r="P282" i="68"/>
  <c r="K283" i="68"/>
  <c r="D43" i="60"/>
  <c r="K42" i="60"/>
  <c r="C42" i="60" s="1"/>
  <c r="K42" i="56"/>
  <c r="C42" i="56" s="1"/>
  <c r="D43" i="56"/>
  <c r="A83" i="53" l="1"/>
  <c r="A84" i="53" s="1"/>
  <c r="A85" i="53" s="1"/>
  <c r="A86" i="53" s="1"/>
  <c r="A87" i="53" s="1"/>
  <c r="A88" i="53" s="1"/>
  <c r="A89" i="53" s="1"/>
  <c r="A90" i="53" s="1"/>
  <c r="A91" i="53" s="1"/>
  <c r="A92" i="53" s="1"/>
  <c r="A93" i="53" s="1"/>
  <c r="A94" i="53" s="1"/>
  <c r="A95" i="53" s="1"/>
  <c r="A96" i="53" s="1"/>
  <c r="A97" i="53" s="1"/>
  <c r="A98" i="53" s="1"/>
  <c r="A99" i="53" s="1"/>
  <c r="A100" i="53" s="1"/>
  <c r="A101" i="53" s="1"/>
  <c r="A102" i="53" s="1"/>
  <c r="A103" i="53" s="1"/>
  <c r="A104" i="53" s="1"/>
  <c r="A105" i="53" s="1"/>
  <c r="A106" i="53" s="1"/>
  <c r="A107" i="53" s="1"/>
  <c r="A108" i="53" s="1"/>
  <c r="A109" i="53" s="1"/>
  <c r="A110" i="53" s="1"/>
  <c r="A111" i="53" s="1"/>
  <c r="A112" i="53" s="1"/>
  <c r="A113" i="53" s="1"/>
  <c r="A114" i="53" s="1"/>
  <c r="A115" i="53" s="1"/>
  <c r="A116" i="53" s="1"/>
  <c r="A117" i="53" s="1"/>
  <c r="A118" i="53" s="1"/>
  <c r="A119" i="53" s="1"/>
  <c r="A120" i="53" s="1"/>
  <c r="A121" i="53" s="1"/>
  <c r="A122" i="53" s="1"/>
  <c r="A123" i="53" s="1"/>
  <c r="A124" i="53" s="1"/>
  <c r="A125" i="53" s="1"/>
  <c r="A126" i="53" s="1"/>
  <c r="A127" i="53" s="1"/>
  <c r="A128" i="53" s="1"/>
  <c r="A129" i="53" s="1"/>
  <c r="A130" i="53" s="1"/>
  <c r="A131" i="53" s="1"/>
  <c r="A132" i="53" s="1"/>
  <c r="A133" i="53" s="1"/>
  <c r="A134" i="53" s="1"/>
  <c r="A135" i="53" s="1"/>
  <c r="A136" i="53" s="1"/>
  <c r="A137" i="53" s="1"/>
  <c r="A138" i="53" s="1"/>
  <c r="A139" i="53" s="1"/>
  <c r="A140" i="53" s="1"/>
  <c r="A141" i="53" s="1"/>
  <c r="A142" i="53" s="1"/>
  <c r="A143" i="53" s="1"/>
  <c r="A144" i="53" s="1"/>
  <c r="A145" i="53" s="1"/>
  <c r="A146" i="53" s="1"/>
  <c r="A147" i="53" s="1"/>
  <c r="A148" i="53" s="1"/>
  <c r="A149" i="53" s="1"/>
  <c r="A150" i="53" s="1"/>
  <c r="A151" i="53" s="1"/>
  <c r="A152" i="53" s="1"/>
  <c r="A153" i="53" s="1"/>
  <c r="A154" i="53" s="1"/>
  <c r="A155" i="53" s="1"/>
  <c r="A156" i="53" s="1"/>
  <c r="A157" i="53" s="1"/>
  <c r="A158" i="53" s="1"/>
  <c r="A159" i="53" s="1"/>
  <c r="A160" i="53" s="1"/>
  <c r="A161" i="53" s="1"/>
  <c r="A162" i="53" s="1"/>
  <c r="A163" i="53" s="1"/>
  <c r="A164" i="53" s="1"/>
  <c r="A165" i="53" s="1"/>
  <c r="A166" i="53" s="1"/>
  <c r="A167" i="53" s="1"/>
  <c r="A168" i="53" s="1"/>
  <c r="A169" i="53" s="1"/>
  <c r="A170" i="53" s="1"/>
  <c r="A171" i="53" s="1"/>
  <c r="A172" i="53" s="1"/>
  <c r="A173" i="53" s="1"/>
  <c r="A174" i="53" s="1"/>
  <c r="A175" i="53" s="1"/>
  <c r="A176" i="53" s="1"/>
  <c r="A177" i="53" s="1"/>
  <c r="A178" i="53" s="1"/>
  <c r="A179" i="53" s="1"/>
  <c r="A180" i="53" s="1"/>
  <c r="A181" i="53" s="1"/>
  <c r="A182" i="53" s="1"/>
  <c r="A183" i="53" s="1"/>
  <c r="A184" i="53" s="1"/>
  <c r="A185" i="53" s="1"/>
  <c r="A186" i="53" s="1"/>
  <c r="A187" i="53" s="1"/>
  <c r="A188" i="53" s="1"/>
  <c r="A189" i="53" s="1"/>
  <c r="A190" i="53" s="1"/>
  <c r="A191" i="53" s="1"/>
  <c r="A192" i="53" s="1"/>
  <c r="A193" i="53" s="1"/>
  <c r="A194" i="53" s="1"/>
  <c r="A195" i="53" s="1"/>
  <c r="A196" i="53" s="1"/>
  <c r="A197" i="53" s="1"/>
  <c r="A198" i="53" s="1"/>
  <c r="A199" i="53" s="1"/>
  <c r="A200" i="53" s="1"/>
  <c r="A201" i="53" s="1"/>
  <c r="A202" i="53" s="1"/>
  <c r="A203" i="53" s="1"/>
  <c r="A204" i="53" s="1"/>
  <c r="A205" i="53" s="1"/>
  <c r="A206" i="53" s="1"/>
  <c r="A207" i="53" s="1"/>
  <c r="A208" i="53" s="1"/>
  <c r="A209" i="53" s="1"/>
  <c r="A210" i="53" s="1"/>
  <c r="A211" i="53" s="1"/>
  <c r="A212" i="53" s="1"/>
  <c r="A213" i="53" s="1"/>
  <c r="A214" i="53" s="1"/>
  <c r="A215" i="53" s="1"/>
  <c r="A216" i="53" s="1"/>
  <c r="A217" i="53" s="1"/>
  <c r="A218" i="53" s="1"/>
  <c r="A219" i="53" s="1"/>
  <c r="A220" i="53" s="1"/>
  <c r="A221" i="53" s="1"/>
  <c r="A222" i="53" s="1"/>
  <c r="A223" i="53" s="1"/>
  <c r="A224" i="53" s="1"/>
  <c r="A225" i="53" s="1"/>
  <c r="A226" i="53" s="1"/>
  <c r="A11" i="54" s="1"/>
  <c r="A12" i="54" s="1"/>
  <c r="A11" i="75"/>
  <c r="A12" i="75" s="1"/>
  <c r="A13" i="75" s="1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A26" i="75" s="1"/>
  <c r="A27" i="75" s="1"/>
  <c r="A28" i="75" s="1"/>
  <c r="A11" i="73"/>
  <c r="A12" i="73" s="1"/>
  <c r="A13" i="73" s="1"/>
  <c r="A14" i="73" s="1"/>
  <c r="A15" i="73" s="1"/>
  <c r="A16" i="73" s="1"/>
  <c r="A17" i="73" s="1"/>
  <c r="A18" i="73" s="1"/>
  <c r="A19" i="73" s="1"/>
  <c r="A20" i="73" s="1"/>
  <c r="A21" i="73" s="1"/>
  <c r="A22" i="73" s="1"/>
  <c r="A23" i="73" s="1"/>
  <c r="A24" i="73" s="1"/>
  <c r="A25" i="73" s="1"/>
  <c r="A26" i="73" s="1"/>
  <c r="A27" i="73" s="1"/>
  <c r="A28" i="73" s="1"/>
  <c r="A29" i="73" s="1"/>
  <c r="A30" i="73" s="1"/>
  <c r="A31" i="73" s="1"/>
  <c r="A32" i="73" s="1"/>
  <c r="A33" i="73" s="1"/>
  <c r="A34" i="73" s="1"/>
  <c r="A35" i="73" s="1"/>
  <c r="A36" i="73" s="1"/>
  <c r="A37" i="73" s="1"/>
  <c r="A38" i="73" s="1"/>
  <c r="A39" i="73" s="1"/>
  <c r="A40" i="73" s="1"/>
  <c r="P283" i="68"/>
  <c r="K284" i="68"/>
  <c r="N283" i="67"/>
  <c r="I284" i="67"/>
  <c r="D44" i="60"/>
  <c r="K43" i="60"/>
  <c r="C43" i="60" s="1"/>
  <c r="D44" i="56"/>
  <c r="K43" i="56"/>
  <c r="C43" i="56" s="1"/>
  <c r="A13" i="54" l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N284" i="67"/>
  <c r="I285" i="67"/>
  <c r="P284" i="68"/>
  <c r="K285" i="68"/>
  <c r="D45" i="60"/>
  <c r="K44" i="60"/>
  <c r="C44" i="60" s="1"/>
  <c r="K44" i="56"/>
  <c r="C44" i="56" s="1"/>
  <c r="D45" i="56"/>
  <c r="A11" i="55" l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A46" i="76" s="1"/>
  <c r="A47" i="76" s="1"/>
  <c r="A48" i="76" s="1"/>
  <c r="A49" i="76" s="1"/>
  <c r="A50" i="76" s="1"/>
  <c r="A51" i="76" s="1"/>
  <c r="A52" i="76" s="1"/>
  <c r="A53" i="76" s="1"/>
  <c r="A54" i="76" s="1"/>
  <c r="A55" i="76" s="1"/>
  <c r="A56" i="76" s="1"/>
  <c r="A57" i="76" s="1"/>
  <c r="A58" i="76" s="1"/>
  <c r="A59" i="76" s="1"/>
  <c r="A60" i="76" s="1"/>
  <c r="A61" i="76" s="1"/>
  <c r="A62" i="76" s="1"/>
  <c r="A63" i="76" s="1"/>
  <c r="A64" i="76" s="1"/>
  <c r="A65" i="76" s="1"/>
  <c r="A66" i="76" s="1"/>
  <c r="A67" i="76" s="1"/>
  <c r="A68" i="76" s="1"/>
  <c r="A69" i="76" s="1"/>
  <c r="A70" i="76" s="1"/>
  <c r="A71" i="76" s="1"/>
  <c r="A72" i="76" s="1"/>
  <c r="A73" i="76" s="1"/>
  <c r="A74" i="76" s="1"/>
  <c r="A75" i="76" s="1"/>
  <c r="A76" i="76" s="1"/>
  <c r="A77" i="76" s="1"/>
  <c r="A78" i="76" s="1"/>
  <c r="A79" i="76" s="1"/>
  <c r="A80" i="76" s="1"/>
  <c r="A81" i="76" s="1"/>
  <c r="A82" i="76" s="1"/>
  <c r="A83" i="76" s="1"/>
  <c r="A84" i="76" s="1"/>
  <c r="A85" i="76" s="1"/>
  <c r="A86" i="76" s="1"/>
  <c r="A87" i="76" s="1"/>
  <c r="A88" i="76" s="1"/>
  <c r="A89" i="76" s="1"/>
  <c r="A90" i="76" s="1"/>
  <c r="A91" i="76" s="1"/>
  <c r="A92" i="76" s="1"/>
  <c r="A93" i="76" s="1"/>
  <c r="A94" i="76" s="1"/>
  <c r="A95" i="76" s="1"/>
  <c r="A96" i="76" s="1"/>
  <c r="A97" i="76" s="1"/>
  <c r="A98" i="76" s="1"/>
  <c r="A99" i="76" s="1"/>
  <c r="A100" i="76" s="1"/>
  <c r="A101" i="76" s="1"/>
  <c r="A102" i="76" s="1"/>
  <c r="A103" i="76" s="1"/>
  <c r="A104" i="76" s="1"/>
  <c r="A105" i="76" s="1"/>
  <c r="A106" i="76" s="1"/>
  <c r="A107" i="76" s="1"/>
  <c r="A108" i="76" s="1"/>
  <c r="A109" i="76" s="1"/>
  <c r="A110" i="76" s="1"/>
  <c r="A111" i="76" s="1"/>
  <c r="A112" i="76" s="1"/>
  <c r="A113" i="76" s="1"/>
  <c r="A114" i="76" s="1"/>
  <c r="A115" i="76" s="1"/>
  <c r="A116" i="76" s="1"/>
  <c r="A117" i="76" s="1"/>
  <c r="A118" i="76" s="1"/>
  <c r="N285" i="67"/>
  <c r="I286" i="67"/>
  <c r="P285" i="68"/>
  <c r="K286" i="68"/>
  <c r="D46" i="60"/>
  <c r="K45" i="60"/>
  <c r="C45" i="60" s="1"/>
  <c r="K45" i="56"/>
  <c r="C45" i="56" s="1"/>
  <c r="D46" i="56"/>
  <c r="A11" i="56" l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A36" i="56" s="1"/>
  <c r="A37" i="56" s="1"/>
  <c r="A38" i="56" s="1"/>
  <c r="A39" i="56" s="1"/>
  <c r="A40" i="56" s="1"/>
  <c r="A41" i="56" s="1"/>
  <c r="A42" i="56" s="1"/>
  <c r="A43" i="56" s="1"/>
  <c r="A44" i="56" s="1"/>
  <c r="A45" i="56" s="1"/>
  <c r="A46" i="56" s="1"/>
  <c r="A47" i="56" s="1"/>
  <c r="A48" i="56" s="1"/>
  <c r="A49" i="56" s="1"/>
  <c r="A50" i="56" s="1"/>
  <c r="A51" i="56" s="1"/>
  <c r="A52" i="56" s="1"/>
  <c r="A53" i="56" s="1"/>
  <c r="A54" i="56" s="1"/>
  <c r="A55" i="56" s="1"/>
  <c r="A56" i="56" s="1"/>
  <c r="A57" i="56" s="1"/>
  <c r="A58" i="56" s="1"/>
  <c r="A59" i="56" s="1"/>
  <c r="A60" i="56" s="1"/>
  <c r="A61" i="56" s="1"/>
  <c r="A62" i="56" s="1"/>
  <c r="A63" i="56" s="1"/>
  <c r="A64" i="56" s="1"/>
  <c r="A65" i="56" s="1"/>
  <c r="A66" i="56" s="1"/>
  <c r="A67" i="56" s="1"/>
  <c r="A68" i="56" s="1"/>
  <c r="A69" i="56" s="1"/>
  <c r="A70" i="56" s="1"/>
  <c r="A71" i="56" s="1"/>
  <c r="A72" i="56" s="1"/>
  <c r="A73" i="56" s="1"/>
  <c r="A74" i="56" s="1"/>
  <c r="A75" i="56" s="1"/>
  <c r="A76" i="56" s="1"/>
  <c r="A77" i="56" s="1"/>
  <c r="A78" i="56" s="1"/>
  <c r="A79" i="56" s="1"/>
  <c r="A80" i="56" s="1"/>
  <c r="A81" i="56" s="1"/>
  <c r="A82" i="56" s="1"/>
  <c r="A83" i="56" s="1"/>
  <c r="A84" i="56" s="1"/>
  <c r="A85" i="56" s="1"/>
  <c r="A86" i="56" s="1"/>
  <c r="A87" i="56" s="1"/>
  <c r="A88" i="56" s="1"/>
  <c r="A89" i="56" s="1"/>
  <c r="A90" i="56" s="1"/>
  <c r="A91" i="56" s="1"/>
  <c r="A92" i="56" s="1"/>
  <c r="A93" i="56" s="1"/>
  <c r="A94" i="56" s="1"/>
  <c r="A95" i="56" s="1"/>
  <c r="A96" i="56" s="1"/>
  <c r="A97" i="56" s="1"/>
  <c r="A98" i="56" s="1"/>
  <c r="A99" i="56" s="1"/>
  <c r="A100" i="56" s="1"/>
  <c r="A101" i="56" s="1"/>
  <c r="A102" i="56" s="1"/>
  <c r="A103" i="56" s="1"/>
  <c r="A104" i="56" s="1"/>
  <c r="A105" i="56" s="1"/>
  <c r="A106" i="56" s="1"/>
  <c r="A107" i="56" s="1"/>
  <c r="A108" i="56" s="1"/>
  <c r="A109" i="56" s="1"/>
  <c r="A110" i="56" s="1"/>
  <c r="A111" i="56" s="1"/>
  <c r="A112" i="56" s="1"/>
  <c r="A113" i="56" s="1"/>
  <c r="A114" i="56" s="1"/>
  <c r="A115" i="56" s="1"/>
  <c r="A116" i="56" s="1"/>
  <c r="A117" i="56" s="1"/>
  <c r="A118" i="56" s="1"/>
  <c r="A11" i="86" s="1"/>
  <c r="A12" i="86" s="1"/>
  <c r="D47" i="56"/>
  <c r="D18" i="86"/>
  <c r="K17" i="86"/>
  <c r="C17" i="86" s="1"/>
  <c r="P286" i="68"/>
  <c r="K287" i="68"/>
  <c r="N286" i="67"/>
  <c r="I287" i="67"/>
  <c r="K46" i="60"/>
  <c r="C46" i="60" s="1"/>
  <c r="D47" i="60"/>
  <c r="D48" i="56"/>
  <c r="K46" i="56"/>
  <c r="C46" i="56" s="1"/>
  <c r="K48" i="56" l="1"/>
  <c r="C48" i="56" s="1"/>
  <c r="K47" i="56"/>
  <c r="C47" i="56" s="1"/>
  <c r="A13" i="86"/>
  <c r="A14" i="86" s="1"/>
  <c r="A15" i="86" s="1"/>
  <c r="A16" i="86" s="1"/>
  <c r="A17" i="86" s="1"/>
  <c r="A18" i="86" s="1"/>
  <c r="A19" i="86" s="1"/>
  <c r="A20" i="86" s="1"/>
  <c r="A21" i="86" s="1"/>
  <c r="A22" i="86" s="1"/>
  <c r="A23" i="86" s="1"/>
  <c r="A24" i="86" s="1"/>
  <c r="A25" i="86" s="1"/>
  <c r="A26" i="86" s="1"/>
  <c r="A27" i="86" s="1"/>
  <c r="A28" i="86" s="1"/>
  <c r="A11" i="57" s="1"/>
  <c r="A12" i="57" s="1"/>
  <c r="K18" i="86"/>
  <c r="C18" i="86" s="1"/>
  <c r="D19" i="86"/>
  <c r="I288" i="67"/>
  <c r="N287" i="67"/>
  <c r="P287" i="68"/>
  <c r="K288" i="68"/>
  <c r="K47" i="60"/>
  <c r="C47" i="60" s="1"/>
  <c r="D48" i="60"/>
  <c r="D49" i="56"/>
  <c r="K49" i="56" l="1"/>
  <c r="C49" i="56" s="1"/>
  <c r="A13" i="57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36" i="57" s="1"/>
  <c r="A37" i="57" s="1"/>
  <c r="A38" i="57" s="1"/>
  <c r="A39" i="57" s="1"/>
  <c r="A40" i="57" s="1"/>
  <c r="A41" i="57" s="1"/>
  <c r="A42" i="57" s="1"/>
  <c r="A43" i="57" s="1"/>
  <c r="A44" i="57" s="1"/>
  <c r="A45" i="57" s="1"/>
  <c r="A46" i="57" s="1"/>
  <c r="A47" i="57" s="1"/>
  <c r="A48" i="57" s="1"/>
  <c r="A49" i="57" s="1"/>
  <c r="A50" i="57" s="1"/>
  <c r="A51" i="57" s="1"/>
  <c r="A52" i="57" s="1"/>
  <c r="A53" i="57" s="1"/>
  <c r="A54" i="57" s="1"/>
  <c r="A55" i="57" s="1"/>
  <c r="A56" i="57" s="1"/>
  <c r="A57" i="57" s="1"/>
  <c r="A58" i="57" s="1"/>
  <c r="A59" i="57" s="1"/>
  <c r="A60" i="57" s="1"/>
  <c r="A61" i="57" s="1"/>
  <c r="A62" i="57" s="1"/>
  <c r="A63" i="57" s="1"/>
  <c r="A64" i="57" s="1"/>
  <c r="A65" i="57" s="1"/>
  <c r="A66" i="57" s="1"/>
  <c r="A67" i="57" s="1"/>
  <c r="A68" i="57" s="1"/>
  <c r="A69" i="57" s="1"/>
  <c r="A70" i="57" s="1"/>
  <c r="A71" i="57" s="1"/>
  <c r="A72" i="57" s="1"/>
  <c r="A73" i="57" s="1"/>
  <c r="A74" i="57" s="1"/>
  <c r="A75" i="57" s="1"/>
  <c r="A76" i="57" s="1"/>
  <c r="A77" i="57" s="1"/>
  <c r="A78" i="57" s="1"/>
  <c r="A79" i="57" s="1"/>
  <c r="A80" i="57" s="1"/>
  <c r="A81" i="57" s="1"/>
  <c r="A82" i="57" s="1"/>
  <c r="A83" i="57" s="1"/>
  <c r="A84" i="57" s="1"/>
  <c r="A85" i="57" s="1"/>
  <c r="A86" i="57" s="1"/>
  <c r="A87" i="57" s="1"/>
  <c r="A88" i="57" s="1"/>
  <c r="A89" i="57" s="1"/>
  <c r="A90" i="57" s="1"/>
  <c r="A91" i="57" s="1"/>
  <c r="A92" i="57" s="1"/>
  <c r="A93" i="57" s="1"/>
  <c r="A94" i="57" s="1"/>
  <c r="A95" i="57" s="1"/>
  <c r="A96" i="57" s="1"/>
  <c r="A97" i="57" s="1"/>
  <c r="A98" i="57" s="1"/>
  <c r="A99" i="57" s="1"/>
  <c r="A100" i="57" s="1"/>
  <c r="A101" i="57" s="1"/>
  <c r="A102" i="57" s="1"/>
  <c r="A103" i="57" s="1"/>
  <c r="A104" i="57" s="1"/>
  <c r="A105" i="57" s="1"/>
  <c r="A106" i="57" s="1"/>
  <c r="A107" i="57" s="1"/>
  <c r="A108" i="57" s="1"/>
  <c r="A109" i="57" s="1"/>
  <c r="A110" i="57" s="1"/>
  <c r="A111" i="57" s="1"/>
  <c r="A112" i="57" s="1"/>
  <c r="A113" i="57" s="1"/>
  <c r="A114" i="57" s="1"/>
  <c r="A115" i="57" s="1"/>
  <c r="A116" i="57" s="1"/>
  <c r="A117" i="57" s="1"/>
  <c r="A118" i="57" s="1"/>
  <c r="A119" i="57" s="1"/>
  <c r="A120" i="57" s="1"/>
  <c r="A121" i="57" s="1"/>
  <c r="A122" i="57" s="1"/>
  <c r="A123" i="57" s="1"/>
  <c r="A124" i="57" s="1"/>
  <c r="A125" i="57" s="1"/>
  <c r="A126" i="57" s="1"/>
  <c r="A127" i="57" s="1"/>
  <c r="A128" i="57" s="1"/>
  <c r="A129" i="57" s="1"/>
  <c r="A130" i="57" s="1"/>
  <c r="A131" i="57" s="1"/>
  <c r="A132" i="57" s="1"/>
  <c r="A133" i="57" s="1"/>
  <c r="A134" i="57" s="1"/>
  <c r="A135" i="57" s="1"/>
  <c r="A136" i="57" s="1"/>
  <c r="A137" i="57" s="1"/>
  <c r="A138" i="57" s="1"/>
  <c r="A139" i="57" s="1"/>
  <c r="A140" i="57" s="1"/>
  <c r="A141" i="57" s="1"/>
  <c r="A142" i="57" s="1"/>
  <c r="A143" i="57" s="1"/>
  <c r="A144" i="57" s="1"/>
  <c r="A145" i="57" s="1"/>
  <c r="A146" i="57" s="1"/>
  <c r="A147" i="57" s="1"/>
  <c r="A148" i="57" s="1"/>
  <c r="A149" i="57" s="1"/>
  <c r="A150" i="57" s="1"/>
  <c r="A151" i="57" s="1"/>
  <c r="A152" i="57" s="1"/>
  <c r="A153" i="57" s="1"/>
  <c r="A154" i="57" s="1"/>
  <c r="A155" i="57" s="1"/>
  <c r="A156" i="57" s="1"/>
  <c r="A157" i="57" s="1"/>
  <c r="A158" i="57" s="1"/>
  <c r="A159" i="57" s="1"/>
  <c r="A160" i="57" s="1"/>
  <c r="A161" i="57" s="1"/>
  <c r="A162" i="57" s="1"/>
  <c r="A163" i="57" s="1"/>
  <c r="A164" i="57" s="1"/>
  <c r="A165" i="57" s="1"/>
  <c r="A166" i="57" s="1"/>
  <c r="A167" i="57" s="1"/>
  <c r="A168" i="57" s="1"/>
  <c r="A169" i="57" s="1"/>
  <c r="A170" i="57" s="1"/>
  <c r="A171" i="57" s="1"/>
  <c r="A172" i="57" s="1"/>
  <c r="A173" i="57" s="1"/>
  <c r="A174" i="57" s="1"/>
  <c r="A175" i="57" s="1"/>
  <c r="A176" i="57" s="1"/>
  <c r="A177" i="57" s="1"/>
  <c r="A178" i="57" s="1"/>
  <c r="A179" i="57" s="1"/>
  <c r="A180" i="57" s="1"/>
  <c r="A181" i="57" s="1"/>
  <c r="A182" i="57" s="1"/>
  <c r="A183" i="57" s="1"/>
  <c r="A184" i="57" s="1"/>
  <c r="A185" i="57" s="1"/>
  <c r="A186" i="57" s="1"/>
  <c r="A187" i="57" s="1"/>
  <c r="A188" i="57" s="1"/>
  <c r="A189" i="57" s="1"/>
  <c r="A190" i="57" s="1"/>
  <c r="A191" i="57" s="1"/>
  <c r="A192" i="57" s="1"/>
  <c r="A193" i="57" s="1"/>
  <c r="A194" i="57" s="1"/>
  <c r="A195" i="57" s="1"/>
  <c r="A196" i="57" s="1"/>
  <c r="A197" i="57" s="1"/>
  <c r="A198" i="57" s="1"/>
  <c r="A199" i="57" s="1"/>
  <c r="A200" i="57" s="1"/>
  <c r="A201" i="57" s="1"/>
  <c r="A202" i="57" s="1"/>
  <c r="A203" i="57" s="1"/>
  <c r="A204" i="57" s="1"/>
  <c r="A205" i="57" s="1"/>
  <c r="A206" i="57" s="1"/>
  <c r="A207" i="57" s="1"/>
  <c r="A208" i="57" s="1"/>
  <c r="A209" i="57" s="1"/>
  <c r="A210" i="57" s="1"/>
  <c r="A211" i="57" s="1"/>
  <c r="A212" i="57" s="1"/>
  <c r="A213" i="57" s="1"/>
  <c r="A214" i="57" s="1"/>
  <c r="A215" i="57" s="1"/>
  <c r="A216" i="57" s="1"/>
  <c r="A217" i="57" s="1"/>
  <c r="A218" i="57" s="1"/>
  <c r="A219" i="57" s="1"/>
  <c r="A220" i="57" s="1"/>
  <c r="A221" i="57" s="1"/>
  <c r="A222" i="57" s="1"/>
  <c r="A223" i="57" s="1"/>
  <c r="A224" i="57" s="1"/>
  <c r="A225" i="57" s="1"/>
  <c r="A226" i="57" s="1"/>
  <c r="A227" i="57" s="1"/>
  <c r="A228" i="57" s="1"/>
  <c r="A229" i="57" s="1"/>
  <c r="A230" i="57" s="1"/>
  <c r="A231" i="57" s="1"/>
  <c r="A232" i="57" s="1"/>
  <c r="A233" i="57" s="1"/>
  <c r="A234" i="57" s="1"/>
  <c r="A235" i="57" s="1"/>
  <c r="A236" i="57" s="1"/>
  <c r="A237" i="57" s="1"/>
  <c r="A238" i="57" s="1"/>
  <c r="A239" i="57" s="1"/>
  <c r="A240" i="57" s="1"/>
  <c r="A241" i="57" s="1"/>
  <c r="A242" i="57" s="1"/>
  <c r="A243" i="57" s="1"/>
  <c r="A244" i="57" s="1"/>
  <c r="A245" i="57" s="1"/>
  <c r="A246" i="57" s="1"/>
  <c r="A247" i="57" s="1"/>
  <c r="A248" i="57" s="1"/>
  <c r="A249" i="57" s="1"/>
  <c r="A250" i="57" s="1"/>
  <c r="A251" i="57" s="1"/>
  <c r="A252" i="57" s="1"/>
  <c r="A253" i="57" s="1"/>
  <c r="A254" i="57" s="1"/>
  <c r="A255" i="57" s="1"/>
  <c r="A256" i="57" s="1"/>
  <c r="A257" i="57" s="1"/>
  <c r="A258" i="57" s="1"/>
  <c r="A259" i="57" s="1"/>
  <c r="A260" i="57" s="1"/>
  <c r="A261" i="57" s="1"/>
  <c r="A262" i="57" s="1"/>
  <c r="A263" i="57" s="1"/>
  <c r="A264" i="57" s="1"/>
  <c r="A265" i="57" s="1"/>
  <c r="A266" i="57" s="1"/>
  <c r="A267" i="57" s="1"/>
  <c r="A268" i="57" s="1"/>
  <c r="A269" i="57" s="1"/>
  <c r="A270" i="57" s="1"/>
  <c r="A271" i="57" s="1"/>
  <c r="A272" i="57" s="1"/>
  <c r="A273" i="57" s="1"/>
  <c r="A274" i="57" s="1"/>
  <c r="A275" i="57" s="1"/>
  <c r="A276" i="57" s="1"/>
  <c r="A277" i="57" s="1"/>
  <c r="A278" i="57" s="1"/>
  <c r="A279" i="57" s="1"/>
  <c r="A280" i="57" s="1"/>
  <c r="A281" i="57" s="1"/>
  <c r="A282" i="57" s="1"/>
  <c r="A283" i="57" s="1"/>
  <c r="A284" i="57" s="1"/>
  <c r="A285" i="57" s="1"/>
  <c r="A286" i="57" s="1"/>
  <c r="A287" i="57" s="1"/>
  <c r="A288" i="57" s="1"/>
  <c r="A289" i="57" s="1"/>
  <c r="A290" i="57" s="1"/>
  <c r="A291" i="57" s="1"/>
  <c r="A292" i="57" s="1"/>
  <c r="A293" i="57" s="1"/>
  <c r="A294" i="57" s="1"/>
  <c r="A295" i="57" s="1"/>
  <c r="A296" i="57" s="1"/>
  <c r="A297" i="57" s="1"/>
  <c r="A298" i="57" s="1"/>
  <c r="A11" i="59" s="1"/>
  <c r="A12" i="59" s="1"/>
  <c r="D20" i="86"/>
  <c r="K19" i="86"/>
  <c r="C19" i="86" s="1"/>
  <c r="P288" i="68"/>
  <c r="K289" i="68"/>
  <c r="N288" i="67"/>
  <c r="I289" i="67"/>
  <c r="D49" i="60"/>
  <c r="K48" i="60"/>
  <c r="C48" i="60" s="1"/>
  <c r="D50" i="56"/>
  <c r="K50" i="56" l="1"/>
  <c r="C50" i="56" s="1"/>
  <c r="A13" i="59"/>
  <c r="A14" i="59" s="1"/>
  <c r="A15" i="59" s="1"/>
  <c r="A16" i="59" s="1"/>
  <c r="A17" i="59" s="1"/>
  <c r="A18" i="59" s="1"/>
  <c r="A19" i="59" s="1"/>
  <c r="A20" i="59" s="1"/>
  <c r="A21" i="59" s="1"/>
  <c r="A22" i="59" s="1"/>
  <c r="A23" i="59" s="1"/>
  <c r="A24" i="59" s="1"/>
  <c r="A25" i="59" s="1"/>
  <c r="A26" i="59" s="1"/>
  <c r="A27" i="59" s="1"/>
  <c r="A28" i="59" s="1"/>
  <c r="A29" i="59" s="1"/>
  <c r="A30" i="59" s="1"/>
  <c r="A31" i="59" s="1"/>
  <c r="A32" i="59" s="1"/>
  <c r="A33" i="59" s="1"/>
  <c r="A34" i="59" s="1"/>
  <c r="A35" i="59" s="1"/>
  <c r="A36" i="59" s="1"/>
  <c r="A37" i="59" s="1"/>
  <c r="A38" i="59" s="1"/>
  <c r="A39" i="59" s="1"/>
  <c r="A40" i="59" s="1"/>
  <c r="A41" i="59" s="1"/>
  <c r="A42" i="59" s="1"/>
  <c r="A43" i="59" s="1"/>
  <c r="A44" i="59" s="1"/>
  <c r="A45" i="59" s="1"/>
  <c r="A46" i="59" s="1"/>
  <c r="A47" i="59" s="1"/>
  <c r="A48" i="59" s="1"/>
  <c r="A49" i="59" s="1"/>
  <c r="A50" i="59" s="1"/>
  <c r="A51" i="59" s="1"/>
  <c r="A52" i="59" s="1"/>
  <c r="A53" i="59" s="1"/>
  <c r="A54" i="59" s="1"/>
  <c r="A55" i="59" s="1"/>
  <c r="A56" i="59" s="1"/>
  <c r="A57" i="59" s="1"/>
  <c r="A58" i="59" s="1"/>
  <c r="A59" i="59" s="1"/>
  <c r="A60" i="59" s="1"/>
  <c r="A61" i="59" s="1"/>
  <c r="A62" i="59" s="1"/>
  <c r="A63" i="59" s="1"/>
  <c r="A64" i="59" s="1"/>
  <c r="A65" i="59" s="1"/>
  <c r="A66" i="59" s="1"/>
  <c r="A67" i="59" s="1"/>
  <c r="A68" i="59" s="1"/>
  <c r="A69" i="59" s="1"/>
  <c r="A70" i="59" s="1"/>
  <c r="A71" i="59" s="1"/>
  <c r="A72" i="59" s="1"/>
  <c r="A73" i="59" s="1"/>
  <c r="A74" i="59" s="1"/>
  <c r="A75" i="59" s="1"/>
  <c r="A76" i="59" s="1"/>
  <c r="A77" i="59" s="1"/>
  <c r="A78" i="59" s="1"/>
  <c r="A79" i="59" s="1"/>
  <c r="A80" i="59" s="1"/>
  <c r="A81" i="59" s="1"/>
  <c r="A82" i="59" s="1"/>
  <c r="A83" i="59" s="1"/>
  <c r="A84" i="59" s="1"/>
  <c r="A85" i="59" s="1"/>
  <c r="A86" i="59" s="1"/>
  <c r="A87" i="59" s="1"/>
  <c r="A88" i="59" s="1"/>
  <c r="A89" i="59" s="1"/>
  <c r="A90" i="59" s="1"/>
  <c r="A91" i="59" s="1"/>
  <c r="A92" i="59" s="1"/>
  <c r="A93" i="59" s="1"/>
  <c r="A94" i="59" s="1"/>
  <c r="A95" i="59" s="1"/>
  <c r="A96" i="59" s="1"/>
  <c r="A97" i="59" s="1"/>
  <c r="A98" i="59" s="1"/>
  <c r="A99" i="59" s="1"/>
  <c r="A100" i="59" s="1"/>
  <c r="A101" i="59" s="1"/>
  <c r="A102" i="59" s="1"/>
  <c r="A103" i="59" s="1"/>
  <c r="A104" i="59" s="1"/>
  <c r="A105" i="59" s="1"/>
  <c r="A106" i="59" s="1"/>
  <c r="A107" i="59" s="1"/>
  <c r="A108" i="59" s="1"/>
  <c r="A109" i="59" s="1"/>
  <c r="A110" i="59" s="1"/>
  <c r="A111" i="59" s="1"/>
  <c r="A112" i="59" s="1"/>
  <c r="A113" i="59" s="1"/>
  <c r="A114" i="59" s="1"/>
  <c r="A115" i="59" s="1"/>
  <c r="A116" i="59" s="1"/>
  <c r="A117" i="59" s="1"/>
  <c r="A118" i="59" s="1"/>
  <c r="A119" i="59" s="1"/>
  <c r="A120" i="59" s="1"/>
  <c r="A121" i="59" s="1"/>
  <c r="A122" i="59" s="1"/>
  <c r="A123" i="59" s="1"/>
  <c r="A124" i="59" s="1"/>
  <c r="A125" i="59" s="1"/>
  <c r="A126" i="59" s="1"/>
  <c r="A127" i="59" s="1"/>
  <c r="A128" i="59" s="1"/>
  <c r="A129" i="59" s="1"/>
  <c r="A130" i="59" s="1"/>
  <c r="A131" i="59" s="1"/>
  <c r="A132" i="59" s="1"/>
  <c r="A133" i="59" s="1"/>
  <c r="A134" i="59" s="1"/>
  <c r="A135" i="59" s="1"/>
  <c r="A136" i="59" s="1"/>
  <c r="A137" i="59" s="1"/>
  <c r="A138" i="59" s="1"/>
  <c r="A139" i="59" s="1"/>
  <c r="A140" i="59" s="1"/>
  <c r="A141" i="59" s="1"/>
  <c r="A142" i="59" s="1"/>
  <c r="A143" i="59" s="1"/>
  <c r="A144" i="59" s="1"/>
  <c r="A145" i="59" s="1"/>
  <c r="A146" i="59" s="1"/>
  <c r="A147" i="59" s="1"/>
  <c r="A148" i="59" s="1"/>
  <c r="A149" i="59" s="1"/>
  <c r="A150" i="59" s="1"/>
  <c r="A151" i="59" s="1"/>
  <c r="A152" i="59" s="1"/>
  <c r="A153" i="59" s="1"/>
  <c r="A154" i="59" s="1"/>
  <c r="A155" i="59" s="1"/>
  <c r="A156" i="59" s="1"/>
  <c r="A157" i="59" s="1"/>
  <c r="A158" i="59" s="1"/>
  <c r="A159" i="59" s="1"/>
  <c r="A160" i="59" s="1"/>
  <c r="A161" i="59" s="1"/>
  <c r="A162" i="59" s="1"/>
  <c r="A163" i="59" s="1"/>
  <c r="A164" i="59" s="1"/>
  <c r="A165" i="59" s="1"/>
  <c r="A166" i="59" s="1"/>
  <c r="A167" i="59" s="1"/>
  <c r="A168" i="59" s="1"/>
  <c r="A169" i="59" s="1"/>
  <c r="A170" i="59" s="1"/>
  <c r="A171" i="59" s="1"/>
  <c r="A172" i="59" s="1"/>
  <c r="A173" i="59" s="1"/>
  <c r="A174" i="59" s="1"/>
  <c r="A175" i="59" s="1"/>
  <c r="A176" i="59" s="1"/>
  <c r="A177" i="59" s="1"/>
  <c r="A178" i="59" s="1"/>
  <c r="A179" i="59" s="1"/>
  <c r="A180" i="59" s="1"/>
  <c r="A181" i="59" s="1"/>
  <c r="A182" i="59" s="1"/>
  <c r="A183" i="59" s="1"/>
  <c r="A184" i="59" s="1"/>
  <c r="A185" i="59" s="1"/>
  <c r="A186" i="59" s="1"/>
  <c r="A187" i="59" s="1"/>
  <c r="A188" i="59" s="1"/>
  <c r="A189" i="59" s="1"/>
  <c r="A190" i="59" s="1"/>
  <c r="A191" i="59" s="1"/>
  <c r="A192" i="59" s="1"/>
  <c r="A193" i="59" s="1"/>
  <c r="A194" i="59" s="1"/>
  <c r="A195" i="59" s="1"/>
  <c r="A196" i="59" s="1"/>
  <c r="A197" i="59" s="1"/>
  <c r="A198" i="59" s="1"/>
  <c r="A199" i="59" s="1"/>
  <c r="A200" i="59" s="1"/>
  <c r="A201" i="59" s="1"/>
  <c r="A202" i="59" s="1"/>
  <c r="A203" i="59" s="1"/>
  <c r="A204" i="59" s="1"/>
  <c r="A205" i="59" s="1"/>
  <c r="A206" i="59" s="1"/>
  <c r="A207" i="59" s="1"/>
  <c r="A208" i="59" s="1"/>
  <c r="A209" i="59" s="1"/>
  <c r="A210" i="59" s="1"/>
  <c r="A211" i="59" s="1"/>
  <c r="A212" i="59" s="1"/>
  <c r="A213" i="59" s="1"/>
  <c r="A214" i="59" s="1"/>
  <c r="A215" i="59" s="1"/>
  <c r="A216" i="59" s="1"/>
  <c r="A217" i="59" s="1"/>
  <c r="A218" i="59" s="1"/>
  <c r="A219" i="59" s="1"/>
  <c r="A220" i="59" s="1"/>
  <c r="A221" i="59" s="1"/>
  <c r="A222" i="59" s="1"/>
  <c r="A223" i="59" s="1"/>
  <c r="A224" i="59" s="1"/>
  <c r="A225" i="59" s="1"/>
  <c r="A226" i="59" s="1"/>
  <c r="A227" i="59" s="1"/>
  <c r="A228" i="59" s="1"/>
  <c r="A229" i="59" s="1"/>
  <c r="A230" i="59" s="1"/>
  <c r="A231" i="59" s="1"/>
  <c r="A232" i="59" s="1"/>
  <c r="A233" i="59" s="1"/>
  <c r="A234" i="59" s="1"/>
  <c r="A235" i="59" s="1"/>
  <c r="A236" i="59" s="1"/>
  <c r="A237" i="59" s="1"/>
  <c r="A238" i="59" s="1"/>
  <c r="A239" i="59" s="1"/>
  <c r="A240" i="59" s="1"/>
  <c r="A241" i="59" s="1"/>
  <c r="A242" i="59" s="1"/>
  <c r="A243" i="59" s="1"/>
  <c r="A244" i="59" s="1"/>
  <c r="A245" i="59" s="1"/>
  <c r="A246" i="59" s="1"/>
  <c r="A247" i="59" s="1"/>
  <c r="A248" i="59" s="1"/>
  <c r="A249" i="59" s="1"/>
  <c r="A250" i="59" s="1"/>
  <c r="A251" i="59" s="1"/>
  <c r="A252" i="59" s="1"/>
  <c r="A253" i="59" s="1"/>
  <c r="A254" i="59" s="1"/>
  <c r="A255" i="59" s="1"/>
  <c r="A256" i="59" s="1"/>
  <c r="A257" i="59" s="1"/>
  <c r="A258" i="59" s="1"/>
  <c r="A259" i="59" s="1"/>
  <c r="A260" i="59" s="1"/>
  <c r="A261" i="59" s="1"/>
  <c r="A262" i="59" s="1"/>
  <c r="A263" i="59" s="1"/>
  <c r="A264" i="59" s="1"/>
  <c r="A265" i="59" s="1"/>
  <c r="A266" i="59" s="1"/>
  <c r="A267" i="59" s="1"/>
  <c r="A268" i="59" s="1"/>
  <c r="A269" i="59" s="1"/>
  <c r="A270" i="59" s="1"/>
  <c r="A271" i="59" s="1"/>
  <c r="A272" i="59" s="1"/>
  <c r="A273" i="59" s="1"/>
  <c r="A274" i="59" s="1"/>
  <c r="A275" i="59" s="1"/>
  <c r="A276" i="59" s="1"/>
  <c r="A277" i="59" s="1"/>
  <c r="A278" i="59" s="1"/>
  <c r="A279" i="59" s="1"/>
  <c r="A280" i="59" s="1"/>
  <c r="A281" i="59" s="1"/>
  <c r="A282" i="59" s="1"/>
  <c r="A283" i="59" s="1"/>
  <c r="A284" i="59" s="1"/>
  <c r="A285" i="59" s="1"/>
  <c r="A286" i="59" s="1"/>
  <c r="A287" i="59" s="1"/>
  <c r="A288" i="59" s="1"/>
  <c r="A289" i="59" s="1"/>
  <c r="A290" i="59" s="1"/>
  <c r="A291" i="59" s="1"/>
  <c r="A292" i="59" s="1"/>
  <c r="A293" i="59" s="1"/>
  <c r="A294" i="59" s="1"/>
  <c r="A295" i="59" s="1"/>
  <c r="A296" i="59" s="1"/>
  <c r="A297" i="59" s="1"/>
  <c r="A298" i="59" s="1"/>
  <c r="A299" i="59" s="1"/>
  <c r="A300" i="59" s="1"/>
  <c r="A301" i="59" s="1"/>
  <c r="A302" i="59" s="1"/>
  <c r="A303" i="59" s="1"/>
  <c r="A304" i="59" s="1"/>
  <c r="A305" i="59" s="1"/>
  <c r="A306" i="59" s="1"/>
  <c r="A307" i="59" s="1"/>
  <c r="A308" i="59" s="1"/>
  <c r="A309" i="59" s="1"/>
  <c r="A310" i="59" s="1"/>
  <c r="A311" i="59" s="1"/>
  <c r="A312" i="59" s="1"/>
  <c r="A313" i="59" s="1"/>
  <c r="A314" i="59" s="1"/>
  <c r="A315" i="59" s="1"/>
  <c r="A316" i="59" s="1"/>
  <c r="A317" i="59" s="1"/>
  <c r="A318" i="59" s="1"/>
  <c r="A319" i="59" s="1"/>
  <c r="A320" i="59" s="1"/>
  <c r="A321" i="59" s="1"/>
  <c r="A322" i="59" s="1"/>
  <c r="A323" i="59" s="1"/>
  <c r="A324" i="59" s="1"/>
  <c r="A325" i="59" s="1"/>
  <c r="A326" i="59" s="1"/>
  <c r="A327" i="59" s="1"/>
  <c r="A328" i="59" s="1"/>
  <c r="A329" i="59" s="1"/>
  <c r="A330" i="59" s="1"/>
  <c r="A331" i="59" s="1"/>
  <c r="A332" i="59" s="1"/>
  <c r="A333" i="59" s="1"/>
  <c r="A334" i="59" s="1"/>
  <c r="A11" i="60" s="1"/>
  <c r="A12" i="60" s="1"/>
  <c r="A13" i="60" s="1"/>
  <c r="A14" i="60" s="1"/>
  <c r="A15" i="60" s="1"/>
  <c r="A16" i="60" s="1"/>
  <c r="A17" i="60" s="1"/>
  <c r="A18" i="60" s="1"/>
  <c r="A19" i="60" s="1"/>
  <c r="A20" i="60" s="1"/>
  <c r="A21" i="60" s="1"/>
  <c r="A22" i="60" s="1"/>
  <c r="A23" i="60" s="1"/>
  <c r="A24" i="60" s="1"/>
  <c r="A25" i="60" s="1"/>
  <c r="A26" i="60" s="1"/>
  <c r="A27" i="60" s="1"/>
  <c r="A28" i="60" s="1"/>
  <c r="A29" i="60" s="1"/>
  <c r="A30" i="60" s="1"/>
  <c r="A31" i="60" s="1"/>
  <c r="A32" i="60" s="1"/>
  <c r="A33" i="60" s="1"/>
  <c r="A34" i="60" s="1"/>
  <c r="A35" i="60" s="1"/>
  <c r="A36" i="60" s="1"/>
  <c r="A37" i="60" s="1"/>
  <c r="A38" i="60" s="1"/>
  <c r="A39" i="60" s="1"/>
  <c r="A40" i="60" s="1"/>
  <c r="A41" i="60" s="1"/>
  <c r="A42" i="60" s="1"/>
  <c r="A43" i="60" s="1"/>
  <c r="A44" i="60" s="1"/>
  <c r="A45" i="60" s="1"/>
  <c r="A46" i="60" s="1"/>
  <c r="A47" i="60" s="1"/>
  <c r="A48" i="60" s="1"/>
  <c r="A49" i="60" s="1"/>
  <c r="A50" i="60" s="1"/>
  <c r="A51" i="60" s="1"/>
  <c r="A52" i="60" s="1"/>
  <c r="A11" i="58"/>
  <c r="A12" i="58" s="1"/>
  <c r="A13" i="58" s="1"/>
  <c r="A14" i="58" s="1"/>
  <c r="A15" i="58" s="1"/>
  <c r="A16" i="58" s="1"/>
  <c r="A17" i="58" s="1"/>
  <c r="A18" i="58" s="1"/>
  <c r="A19" i="58" s="1"/>
  <c r="A20" i="58" s="1"/>
  <c r="A21" i="58" s="1"/>
  <c r="A22" i="58" s="1"/>
  <c r="A23" i="58" s="1"/>
  <c r="A24" i="58" s="1"/>
  <c r="A25" i="58" s="1"/>
  <c r="A26" i="58" s="1"/>
  <c r="A27" i="58" s="1"/>
  <c r="A28" i="58" s="1"/>
  <c r="A29" i="58" s="1"/>
  <c r="A30" i="58" s="1"/>
  <c r="A31" i="58" s="1"/>
  <c r="A32" i="58" s="1"/>
  <c r="A33" i="58" s="1"/>
  <c r="A34" i="58" s="1"/>
  <c r="K20" i="86"/>
  <c r="C20" i="86" s="1"/>
  <c r="D21" i="86"/>
  <c r="P289" i="68"/>
  <c r="K290" i="68"/>
  <c r="N289" i="67"/>
  <c r="I290" i="67"/>
  <c r="D50" i="60"/>
  <c r="K49" i="60"/>
  <c r="C49" i="60" s="1"/>
  <c r="D51" i="56"/>
  <c r="K51" i="56" l="1"/>
  <c r="C51" i="56" s="1"/>
  <c r="D22" i="86"/>
  <c r="K21" i="86"/>
  <c r="C21" i="86" s="1"/>
  <c r="P290" i="68"/>
  <c r="K291" i="68"/>
  <c r="N290" i="67"/>
  <c r="I291" i="67"/>
  <c r="D51" i="60"/>
  <c r="K50" i="60"/>
  <c r="C50" i="60" s="1"/>
  <c r="D52" i="56"/>
  <c r="K52" i="56" l="1"/>
  <c r="C52" i="56" s="1"/>
  <c r="D23" i="86"/>
  <c r="K22" i="86"/>
  <c r="C22" i="86" s="1"/>
  <c r="P291" i="68"/>
  <c r="K292" i="68"/>
  <c r="N291" i="67"/>
  <c r="I292" i="67"/>
  <c r="D52" i="60"/>
  <c r="K51" i="60"/>
  <c r="C51" i="60" s="1"/>
  <c r="D53" i="56"/>
  <c r="K53" i="56" l="1"/>
  <c r="C53" i="56"/>
  <c r="P292" i="68"/>
  <c r="K293" i="68"/>
  <c r="N292" i="67"/>
  <c r="I293" i="67"/>
  <c r="D53" i="60"/>
  <c r="K52" i="60"/>
  <c r="C52" i="60" s="1"/>
  <c r="D54" i="56"/>
  <c r="K54" i="56" l="1"/>
  <c r="C54" i="56" s="1"/>
  <c r="N293" i="67"/>
  <c r="I294" i="67"/>
  <c r="P293" i="68"/>
  <c r="K294" i="68"/>
  <c r="D54" i="60"/>
  <c r="K53" i="60"/>
  <c r="C53" i="60" s="1"/>
  <c r="D55" i="56"/>
  <c r="K55" i="56" l="1"/>
  <c r="C55" i="56" s="1"/>
  <c r="P294" i="68"/>
  <c r="K295" i="68"/>
  <c r="I295" i="67"/>
  <c r="N294" i="67"/>
  <c r="D55" i="60"/>
  <c r="K54" i="60"/>
  <c r="C54" i="60" s="1"/>
  <c r="D56" i="56"/>
  <c r="K56" i="56" l="1"/>
  <c r="C56" i="56"/>
  <c r="N295" i="67"/>
  <c r="I296" i="67"/>
  <c r="P295" i="68"/>
  <c r="K296" i="68"/>
  <c r="K55" i="60"/>
  <c r="C55" i="60" s="1"/>
  <c r="D56" i="60"/>
  <c r="D57" i="56"/>
  <c r="K57" i="56" l="1"/>
  <c r="C57" i="56" s="1"/>
  <c r="C56" i="60"/>
  <c r="P296" i="68"/>
  <c r="K297" i="68"/>
  <c r="N296" i="67"/>
  <c r="I297" i="67"/>
  <c r="D57" i="60"/>
  <c r="K56" i="60"/>
  <c r="D58" i="56"/>
  <c r="K58" i="56" l="1"/>
  <c r="C58" i="56"/>
  <c r="P297" i="68"/>
  <c r="K298" i="68"/>
  <c r="P298" i="68" s="1"/>
  <c r="N297" i="67"/>
  <c r="I298" i="67"/>
  <c r="N298" i="67" s="1"/>
  <c r="D58" i="60"/>
  <c r="K57" i="60"/>
  <c r="C57" i="60" s="1"/>
  <c r="D59" i="56"/>
  <c r="K59" i="56" l="1"/>
  <c r="C59" i="56" s="1"/>
  <c r="K58" i="60"/>
  <c r="C58" i="60" s="1"/>
  <c r="D59" i="60"/>
  <c r="D60" i="56"/>
  <c r="K60" i="56" l="1"/>
  <c r="C60" i="56" s="1"/>
  <c r="D60" i="60"/>
  <c r="K59" i="60"/>
  <c r="C59" i="60" s="1"/>
  <c r="D61" i="56"/>
  <c r="K61" i="56" l="1"/>
  <c r="C61" i="56" s="1"/>
  <c r="K60" i="60"/>
  <c r="C60" i="60" s="1"/>
  <c r="D61" i="60"/>
  <c r="D62" i="56"/>
  <c r="K62" i="56" l="1"/>
  <c r="C62" i="56" s="1"/>
  <c r="K61" i="60"/>
  <c r="C61" i="60" s="1"/>
  <c r="D62" i="60"/>
  <c r="D63" i="56"/>
  <c r="K63" i="56" l="1"/>
  <c r="C63" i="56" s="1"/>
  <c r="K62" i="60"/>
  <c r="C62" i="60" s="1"/>
  <c r="D63" i="60"/>
  <c r="D64" i="56"/>
  <c r="K64" i="56" l="1"/>
  <c r="C64" i="56"/>
  <c r="D64" i="60"/>
  <c r="K63" i="60"/>
  <c r="C63" i="60" s="1"/>
  <c r="D65" i="56"/>
  <c r="K65" i="56" l="1"/>
  <c r="C65" i="56" s="1"/>
  <c r="K64" i="60"/>
  <c r="C64" i="60" s="1"/>
  <c r="D65" i="60"/>
  <c r="D66" i="56"/>
  <c r="K66" i="56" l="1"/>
  <c r="C66" i="56"/>
  <c r="C65" i="60"/>
  <c r="K65" i="60"/>
  <c r="D66" i="60"/>
  <c r="D67" i="56"/>
  <c r="K67" i="56" l="1"/>
  <c r="C67" i="56" s="1"/>
  <c r="D67" i="60"/>
  <c r="K66" i="60"/>
  <c r="C66" i="60" s="1"/>
  <c r="D68" i="56"/>
  <c r="K68" i="56" l="1"/>
  <c r="C68" i="56" s="1"/>
  <c r="D68" i="60"/>
  <c r="K67" i="60"/>
  <c r="C67" i="60" s="1"/>
  <c r="D69" i="56"/>
  <c r="K69" i="56" l="1"/>
  <c r="C69" i="56" s="1"/>
  <c r="K68" i="60"/>
  <c r="C68" i="60" s="1"/>
  <c r="D69" i="60"/>
  <c r="D70" i="56"/>
  <c r="K70" i="56" l="1"/>
  <c r="C70" i="56" s="1"/>
  <c r="D70" i="60"/>
  <c r="K69" i="60"/>
  <c r="C69" i="60" s="1"/>
  <c r="D71" i="56"/>
  <c r="K71" i="56" l="1"/>
  <c r="C71" i="56" s="1"/>
  <c r="D71" i="60"/>
  <c r="K70" i="60"/>
  <c r="C70" i="60" s="1"/>
  <c r="D72" i="56"/>
  <c r="K72" i="56" l="1"/>
  <c r="C72" i="56" s="1"/>
  <c r="D72" i="60"/>
  <c r="K71" i="60"/>
  <c r="C71" i="60" s="1"/>
  <c r="D73" i="56"/>
  <c r="K73" i="56" l="1"/>
  <c r="C73" i="56" s="1"/>
  <c r="K72" i="60"/>
  <c r="C72" i="60" s="1"/>
  <c r="D73" i="60"/>
  <c r="D74" i="56"/>
  <c r="K74" i="56" l="1"/>
  <c r="C74" i="56" s="1"/>
  <c r="K73" i="60"/>
  <c r="C73" i="60" s="1"/>
  <c r="D74" i="60"/>
  <c r="D75" i="56"/>
  <c r="K75" i="56" l="1"/>
  <c r="C75" i="56" s="1"/>
  <c r="D75" i="60"/>
  <c r="K74" i="60"/>
  <c r="C74" i="60" s="1"/>
  <c r="D76" i="56"/>
  <c r="K76" i="56" l="1"/>
  <c r="C76" i="56" s="1"/>
  <c r="K75" i="60"/>
  <c r="C75" i="60" s="1"/>
  <c r="D76" i="60"/>
  <c r="D77" i="56"/>
  <c r="K77" i="56" l="1"/>
  <c r="C77" i="56" s="1"/>
  <c r="D77" i="60"/>
  <c r="K76" i="60"/>
  <c r="C76" i="60" s="1"/>
  <c r="D78" i="56"/>
  <c r="K78" i="56" l="1"/>
  <c r="C78" i="56"/>
  <c r="C77" i="60"/>
  <c r="K77" i="60"/>
  <c r="D78" i="60"/>
  <c r="D79" i="56"/>
  <c r="K79" i="56" l="1"/>
  <c r="C79" i="56" s="1"/>
  <c r="D79" i="60"/>
  <c r="K78" i="60"/>
  <c r="C78" i="60" s="1"/>
  <c r="D80" i="56"/>
  <c r="K80" i="56" l="1"/>
  <c r="C80" i="56" s="1"/>
  <c r="D80" i="60"/>
  <c r="K79" i="60"/>
  <c r="C79" i="60" s="1"/>
  <c r="D81" i="56"/>
  <c r="K81" i="56" l="1"/>
  <c r="C81" i="56" s="1"/>
  <c r="K80" i="60"/>
  <c r="C80" i="60" s="1"/>
  <c r="D81" i="60"/>
  <c r="D82" i="56"/>
  <c r="K82" i="56" l="1"/>
  <c r="C82" i="56" s="1"/>
  <c r="D83" i="56"/>
  <c r="D82" i="60"/>
  <c r="K81" i="60"/>
  <c r="C81" i="60" s="1"/>
  <c r="K82" i="60" l="1"/>
  <c r="C82" i="60" s="1"/>
  <c r="K83" i="56"/>
  <c r="C83" i="56" s="1"/>
  <c r="D24" i="86"/>
  <c r="K23" i="86"/>
  <c r="C23" i="86" s="1"/>
  <c r="D84" i="56"/>
  <c r="K84" i="56" l="1"/>
  <c r="C84" i="56" s="1"/>
  <c r="K24" i="86"/>
  <c r="C24" i="86" s="1"/>
  <c r="D25" i="86"/>
  <c r="D85" i="56"/>
  <c r="K85" i="56" l="1"/>
  <c r="C85" i="56" s="1"/>
  <c r="D26" i="86"/>
  <c r="K25" i="86"/>
  <c r="C25" i="86" s="1"/>
  <c r="D86" i="56"/>
  <c r="K86" i="56" l="1"/>
  <c r="C86" i="56" s="1"/>
  <c r="K26" i="86"/>
  <c r="C26" i="86" s="1"/>
  <c r="D27" i="86"/>
  <c r="D87" i="56"/>
  <c r="K87" i="56" l="1"/>
  <c r="C87" i="56" s="1"/>
  <c r="D28" i="86"/>
  <c r="K27" i="86"/>
  <c r="C27" i="86" s="1"/>
  <c r="D88" i="56"/>
  <c r="K88" i="56" l="1"/>
  <c r="C88" i="56" s="1"/>
  <c r="K28" i="86"/>
  <c r="C28" i="86" s="1"/>
  <c r="D89" i="56"/>
  <c r="K89" i="56" l="1"/>
  <c r="C89" i="56" s="1"/>
  <c r="D90" i="56"/>
  <c r="K90" i="56" l="1"/>
  <c r="C90" i="56" s="1"/>
  <c r="D91" i="56"/>
  <c r="K91" i="56" l="1"/>
  <c r="C91" i="56" s="1"/>
  <c r="D92" i="56"/>
  <c r="K92" i="56" l="1"/>
  <c r="C92" i="56" s="1"/>
  <c r="D93" i="56"/>
  <c r="K93" i="56" l="1"/>
  <c r="C93" i="56" s="1"/>
  <c r="D94" i="56"/>
  <c r="K94" i="56" l="1"/>
  <c r="C94" i="56" s="1"/>
  <c r="D95" i="56"/>
  <c r="K95" i="56" l="1"/>
  <c r="C95" i="56" s="1"/>
  <c r="D96" i="56"/>
  <c r="K96" i="56" l="1"/>
  <c r="C96" i="56" s="1"/>
  <c r="D97" i="56"/>
  <c r="K97" i="56" l="1"/>
  <c r="C97" i="56" s="1"/>
  <c r="D98" i="56"/>
  <c r="K98" i="56" l="1"/>
  <c r="C98" i="56" s="1"/>
  <c r="D99" i="56"/>
  <c r="K99" i="56" l="1"/>
  <c r="C99" i="56" s="1"/>
  <c r="D100" i="56"/>
  <c r="K100" i="56" l="1"/>
  <c r="C100" i="56" s="1"/>
  <c r="D101" i="56"/>
  <c r="K101" i="56" l="1"/>
  <c r="C101" i="56" s="1"/>
  <c r="D102" i="56"/>
  <c r="K102" i="56" l="1"/>
  <c r="C102" i="56" s="1"/>
  <c r="D103" i="56"/>
  <c r="K103" i="56" l="1"/>
  <c r="C103" i="56" s="1"/>
  <c r="D104" i="56"/>
  <c r="K104" i="56" l="1"/>
  <c r="C104" i="56" s="1"/>
  <c r="D105" i="56"/>
  <c r="K105" i="56" l="1"/>
  <c r="C105" i="56" s="1"/>
  <c r="D106" i="56"/>
  <c r="K106" i="56" l="1"/>
  <c r="C106" i="56" s="1"/>
  <c r="D107" i="56"/>
  <c r="K107" i="56" l="1"/>
  <c r="C107" i="56" s="1"/>
  <c r="D108" i="56"/>
  <c r="K108" i="56" l="1"/>
  <c r="C108" i="56" s="1"/>
  <c r="D109" i="56"/>
  <c r="K109" i="56" l="1"/>
  <c r="C109" i="56" s="1"/>
  <c r="D110" i="56"/>
  <c r="K110" i="56" l="1"/>
  <c r="C110" i="56" s="1"/>
  <c r="D111" i="56"/>
  <c r="K111" i="56" l="1"/>
  <c r="C111" i="56" s="1"/>
  <c r="D112" i="56"/>
  <c r="K112" i="56" l="1"/>
  <c r="C112" i="56" s="1"/>
  <c r="D113" i="56"/>
  <c r="K113" i="56" l="1"/>
  <c r="C113" i="56" s="1"/>
  <c r="D114" i="56"/>
  <c r="K114" i="56" l="1"/>
  <c r="C114" i="56" s="1"/>
  <c r="D115" i="56"/>
  <c r="K115" i="56" l="1"/>
  <c r="C115" i="56" s="1"/>
  <c r="D116" i="56"/>
  <c r="K116" i="56" l="1"/>
  <c r="C116" i="56" s="1"/>
  <c r="D117" i="56"/>
  <c r="K117" i="56" l="1"/>
  <c r="C117" i="56" s="1"/>
  <c r="D118" i="56"/>
  <c r="A53" i="60"/>
  <c r="A54" i="60" s="1"/>
  <c r="A55" i="60" s="1"/>
  <c r="A56" i="60" s="1"/>
  <c r="A57" i="60" s="1"/>
  <c r="A58" i="60" s="1"/>
  <c r="A59" i="60" s="1"/>
  <c r="A60" i="60" s="1"/>
  <c r="A61" i="60" s="1"/>
  <c r="A62" i="60" s="1"/>
  <c r="A63" i="60" s="1"/>
  <c r="A64" i="60" s="1"/>
  <c r="A65" i="60" s="1"/>
  <c r="A66" i="60" s="1"/>
  <c r="A67" i="60" s="1"/>
  <c r="A68" i="60" s="1"/>
  <c r="A69" i="60" s="1"/>
  <c r="A70" i="60" s="1"/>
  <c r="A71" i="60" s="1"/>
  <c r="A72" i="60" s="1"/>
  <c r="A73" i="60" s="1"/>
  <c r="A74" i="60" s="1"/>
  <c r="A75" i="60" s="1"/>
  <c r="A76" i="60" s="1"/>
  <c r="A77" i="60" s="1"/>
  <c r="A78" i="60" s="1"/>
  <c r="A79" i="60" s="1"/>
  <c r="A80" i="60" s="1"/>
  <c r="A81" i="60" s="1"/>
  <c r="A82" i="60" s="1"/>
  <c r="K118" i="56" l="1"/>
  <c r="C118" i="56" s="1"/>
</calcChain>
</file>

<file path=xl/sharedStrings.xml><?xml version="1.0" encoding="utf-8"?>
<sst xmlns="http://schemas.openxmlformats.org/spreadsheetml/2006/main" count="7460" uniqueCount="3987">
  <si>
    <t>Run Name</t>
  </si>
  <si>
    <t>Flow</t>
    <phoneticPr fontId="1" type="noConversion"/>
  </si>
  <si>
    <t>Yaw</t>
  </si>
  <si>
    <t>Wind name</t>
    <phoneticPr fontId="2" type="noConversion"/>
  </si>
  <si>
    <t>m/s</t>
  </si>
  <si>
    <t>%</t>
  </si>
  <si>
    <t>°</t>
  </si>
  <si>
    <t>s</t>
  </si>
  <si>
    <t>Cycle</t>
    <phoneticPr fontId="1" type="noConversion"/>
  </si>
  <si>
    <t>Full</t>
    <phoneticPr fontId="1" type="noConversion"/>
  </si>
  <si>
    <t>shear</t>
    <phoneticPr fontId="1" type="noConversion"/>
  </si>
  <si>
    <t>b</t>
  </si>
  <si>
    <t>Half</t>
    <phoneticPr fontId="1" type="noConversion"/>
  </si>
  <si>
    <t>Azimuth</t>
    <phoneticPr fontId="1" type="noConversion"/>
  </si>
  <si>
    <t>m</t>
  </si>
  <si>
    <t>v_gust</t>
    <phoneticPr fontId="1" type="noConversion"/>
  </si>
  <si>
    <t>IEC</t>
    <phoneticPr fontId="1" type="noConversion"/>
  </si>
  <si>
    <t>s</t>
    <phoneticPr fontId="1" type="noConversion"/>
  </si>
  <si>
    <t>v_tip1</t>
    <phoneticPr fontId="1" type="noConversion"/>
  </si>
  <si>
    <t>v_tip2</t>
    <phoneticPr fontId="1" type="noConversion"/>
  </si>
  <si>
    <t>Horizontal</t>
  </si>
  <si>
    <t>T</t>
    <phoneticPr fontId="1" type="noConversion"/>
  </si>
  <si>
    <t>B1_stuck</t>
    <phoneticPr fontId="1" type="noConversion"/>
  </si>
  <si>
    <t>Project:</t>
    <phoneticPr fontId="2" type="noConversion"/>
  </si>
  <si>
    <t>Date:</t>
    <phoneticPr fontId="2" type="noConversion"/>
  </si>
  <si>
    <t>Basic information</t>
    <phoneticPr fontId="2" type="noConversion"/>
  </si>
  <si>
    <t>Rotor diameter</t>
    <phoneticPr fontId="2" type="noConversion"/>
  </si>
  <si>
    <t>Reference wind speed</t>
    <phoneticPr fontId="2" type="noConversion"/>
  </si>
  <si>
    <t>Annual mean wind speed at hub height</t>
    <phoneticPr fontId="2" type="noConversion"/>
  </si>
  <si>
    <t>Hub height</t>
    <phoneticPr fontId="2" type="noConversion"/>
  </si>
  <si>
    <t>Design life</t>
    <phoneticPr fontId="2" type="noConversion"/>
  </si>
  <si>
    <t>Extreme mean wind speed. At hub height recurrence 50 years</t>
    <phoneticPr fontId="2" type="noConversion"/>
  </si>
  <si>
    <t>Extreme wind speed. At hub height recurrence 50 years</t>
    <phoneticPr fontId="2" type="noConversion"/>
  </si>
  <si>
    <t>Extreme mean wind speed. At hub height recurrence 1 years</t>
    <phoneticPr fontId="2" type="noConversion"/>
  </si>
  <si>
    <t>Extreme wind speed. At hub height recurrence 1 years</t>
    <phoneticPr fontId="2" type="noConversion"/>
  </si>
  <si>
    <t>Cut-in wind speed</t>
    <phoneticPr fontId="2" type="noConversion"/>
  </si>
  <si>
    <t>Rated wind speed</t>
    <phoneticPr fontId="2" type="noConversion"/>
  </si>
  <si>
    <t>Charactristic large wind speed</t>
    <phoneticPr fontId="2" type="noConversion"/>
  </si>
  <si>
    <t>Cut-out wind speed</t>
    <phoneticPr fontId="2" type="noConversion"/>
  </si>
  <si>
    <t>Mediator Wind Speed ​​(10 min) for maintenance and assembly</t>
    <phoneticPr fontId="2" type="noConversion"/>
  </si>
  <si>
    <t>Alpha Normal</t>
    <phoneticPr fontId="2" type="noConversion"/>
  </si>
  <si>
    <t>Flow inclination</t>
    <phoneticPr fontId="2" type="noConversion"/>
  </si>
  <si>
    <t>Flow inclination</t>
  </si>
  <si>
    <t>Yaw misalignment</t>
    <phoneticPr fontId="2" type="noConversion"/>
  </si>
  <si>
    <t>Yaw max</t>
    <phoneticPr fontId="2" type="noConversion"/>
  </si>
  <si>
    <t>Yaw null</t>
    <phoneticPr fontId="2" type="noConversion"/>
  </si>
  <si>
    <t>Yaw min</t>
    <phoneticPr fontId="2" type="noConversion"/>
  </si>
  <si>
    <t>Limit Rotor Rotational speeds</t>
    <phoneticPr fontId="2" type="noConversion"/>
  </si>
  <si>
    <t>Gearbox ratio</t>
    <phoneticPr fontId="2" type="noConversion"/>
  </si>
  <si>
    <t>Limit Generator Rotational speeds</t>
    <phoneticPr fontId="2" type="noConversion"/>
  </si>
  <si>
    <t>Activation Generator speed</t>
    <phoneticPr fontId="2" type="noConversion"/>
  </si>
  <si>
    <t>D_rotor</t>
    <phoneticPr fontId="2" type="noConversion"/>
  </si>
  <si>
    <t>Characterisitc turbulence intensity at average wind speed. 15 m / s</t>
    <phoneticPr fontId="2" type="noConversion"/>
  </si>
  <si>
    <t>T_life</t>
    <phoneticPr fontId="2" type="noConversion"/>
  </si>
  <si>
    <t>V_ave</t>
    <phoneticPr fontId="2" type="noConversion"/>
  </si>
  <si>
    <t>V_ref</t>
    <phoneticPr fontId="2" type="noConversion"/>
  </si>
  <si>
    <t>V_50</t>
    <phoneticPr fontId="2" type="noConversion"/>
  </si>
  <si>
    <t>V_e50</t>
    <phoneticPr fontId="2" type="noConversion"/>
  </si>
  <si>
    <t>V_1</t>
    <phoneticPr fontId="2" type="noConversion"/>
  </si>
  <si>
    <t>V_e1</t>
    <phoneticPr fontId="2" type="noConversion"/>
  </si>
  <si>
    <t>V_in</t>
    <phoneticPr fontId="2" type="noConversion"/>
  </si>
  <si>
    <t>V_r</t>
    <phoneticPr fontId="2" type="noConversion"/>
  </si>
  <si>
    <t>V_c</t>
    <phoneticPr fontId="2" type="noConversion"/>
  </si>
  <si>
    <t>V_out</t>
    <phoneticPr fontId="2" type="noConversion"/>
  </si>
  <si>
    <t>V_m</t>
    <phoneticPr fontId="2" type="noConversion"/>
  </si>
  <si>
    <t>V_step</t>
    <phoneticPr fontId="2" type="noConversion"/>
  </si>
  <si>
    <t>Alpha_N</t>
    <phoneticPr fontId="2" type="noConversion"/>
  </si>
  <si>
    <t>Alpha_E</t>
    <phoneticPr fontId="2" type="noConversion"/>
  </si>
  <si>
    <t>Flow</t>
    <phoneticPr fontId="2" type="noConversion"/>
  </si>
  <si>
    <t>Yaw_max</t>
    <phoneticPr fontId="2" type="noConversion"/>
  </si>
  <si>
    <t>Yaw_null</t>
    <phoneticPr fontId="2" type="noConversion"/>
  </si>
  <si>
    <t>Yaw_min</t>
    <phoneticPr fontId="2" type="noConversion"/>
  </si>
  <si>
    <t>N1</t>
    <phoneticPr fontId="2" type="noConversion"/>
  </si>
  <si>
    <t>N4</t>
    <phoneticPr fontId="2" type="noConversion"/>
  </si>
  <si>
    <t>NA</t>
    <phoneticPr fontId="2" type="noConversion"/>
  </si>
  <si>
    <t>Ratio</t>
    <phoneticPr fontId="2" type="noConversion"/>
  </si>
  <si>
    <t>-</t>
    <phoneticPr fontId="1" type="noConversion"/>
  </si>
  <si>
    <t>v-</t>
    <phoneticPr fontId="1" type="noConversion"/>
  </si>
  <si>
    <t>v+</t>
    <phoneticPr fontId="1" type="noConversion"/>
  </si>
  <si>
    <t>p-</t>
    <phoneticPr fontId="1" type="noConversion"/>
  </si>
  <si>
    <t>p+</t>
    <phoneticPr fontId="1" type="noConversion"/>
  </si>
  <si>
    <t>p_delt</t>
    <phoneticPr fontId="1" type="noConversion"/>
  </si>
  <si>
    <t>Hour/Year</t>
    <phoneticPr fontId="1" type="noConversion"/>
  </si>
  <si>
    <t>m/s</t>
    <phoneticPr fontId="1" type="noConversion"/>
  </si>
  <si>
    <t>hours</t>
    <phoneticPr fontId="1" type="noConversion"/>
  </si>
  <si>
    <t>Times/year</t>
    <phoneticPr fontId="1" type="noConversion"/>
  </si>
  <si>
    <t>p_nor</t>
    <phoneticPr fontId="1" type="noConversion"/>
  </si>
  <si>
    <t>B</t>
    <phoneticPr fontId="1" type="noConversion"/>
  </si>
  <si>
    <t>wind condition</t>
    <phoneticPr fontId="1" type="noConversion"/>
  </si>
  <si>
    <t>operating condition</t>
    <phoneticPr fontId="1" type="noConversion"/>
  </si>
  <si>
    <t>Power</t>
    <phoneticPr fontId="1" type="noConversion"/>
  </si>
  <si>
    <t>type of analysis</t>
    <phoneticPr fontId="1" type="noConversion"/>
  </si>
  <si>
    <t>Fatigue/Ultimate</t>
    <phoneticPr fontId="1" type="noConversion"/>
  </si>
  <si>
    <t>fator</t>
    <phoneticPr fontId="1" type="noConversion"/>
  </si>
  <si>
    <t>*/N</t>
    <phoneticPr fontId="1" type="noConversion"/>
  </si>
  <si>
    <t>NTM (Vin&lt;Vhub&lt;Vout)</t>
    <phoneticPr fontId="1" type="noConversion"/>
  </si>
  <si>
    <t>Case</t>
    <phoneticPr fontId="1" type="noConversion"/>
  </si>
  <si>
    <t>Counter</t>
    <phoneticPr fontId="1" type="noConversion"/>
  </si>
  <si>
    <t>DLC13</t>
    <phoneticPr fontId="1" type="noConversion"/>
  </si>
  <si>
    <t>Ultimate</t>
    <phoneticPr fontId="1" type="noConversion"/>
  </si>
  <si>
    <t>N</t>
    <phoneticPr fontId="1" type="noConversion"/>
  </si>
  <si>
    <t>DLC14</t>
    <phoneticPr fontId="1" type="noConversion"/>
  </si>
  <si>
    <t>NWP (Vin&lt;Vhub&lt;Vout)</t>
    <phoneticPr fontId="1" type="noConversion"/>
  </si>
  <si>
    <t>DLC15</t>
    <phoneticPr fontId="1" type="noConversion"/>
  </si>
  <si>
    <t xml:space="preserve">Power </t>
    <phoneticPr fontId="1" type="noConversion"/>
  </si>
  <si>
    <t>EWS (Vin&lt;Vhub&lt;Vout)</t>
    <phoneticPr fontId="1" type="noConversion"/>
  </si>
  <si>
    <t>A</t>
    <phoneticPr fontId="1" type="noConversion"/>
  </si>
  <si>
    <t>DLC41</t>
    <phoneticPr fontId="1" type="noConversion"/>
  </si>
  <si>
    <t>Normal shut-down</t>
    <phoneticPr fontId="1" type="noConversion"/>
  </si>
  <si>
    <t>DLC42</t>
    <phoneticPr fontId="1" type="noConversion"/>
  </si>
  <si>
    <t>DLC51</t>
    <phoneticPr fontId="1" type="noConversion"/>
  </si>
  <si>
    <t>Emergency shut-down</t>
    <phoneticPr fontId="1" type="noConversion"/>
  </si>
  <si>
    <t>EWM Recurrence period 50 years</t>
    <phoneticPr fontId="1" type="noConversion"/>
  </si>
  <si>
    <t>idling</t>
    <phoneticPr fontId="1" type="noConversion"/>
  </si>
  <si>
    <t>DLC61</t>
    <phoneticPr fontId="1" type="noConversion"/>
  </si>
  <si>
    <t>DLC63</t>
    <phoneticPr fontId="1" type="noConversion"/>
  </si>
  <si>
    <t>EWM Recurrence period 1 year</t>
    <phoneticPr fontId="1" type="noConversion"/>
  </si>
  <si>
    <t>DLC64</t>
    <phoneticPr fontId="1" type="noConversion"/>
  </si>
  <si>
    <t>idling + fault condition (Blade Stuck)</t>
    <phoneticPr fontId="1" type="noConversion"/>
  </si>
  <si>
    <t>Ti_x</t>
    <phoneticPr fontId="1" type="noConversion"/>
  </si>
  <si>
    <t>Ti_y</t>
    <phoneticPr fontId="1" type="noConversion"/>
  </si>
  <si>
    <t>Ti_z</t>
    <phoneticPr fontId="1" type="noConversion"/>
  </si>
  <si>
    <t>Vertical</t>
    <phoneticPr fontId="1" type="noConversion"/>
  </si>
  <si>
    <t>Vertical</t>
    <phoneticPr fontId="2" type="noConversion"/>
  </si>
  <si>
    <t>Horizontal</t>
    <phoneticPr fontId="1" type="noConversion"/>
  </si>
  <si>
    <t>H</t>
    <phoneticPr fontId="1" type="noConversion"/>
  </si>
  <si>
    <t>DLC81a</t>
    <phoneticPr fontId="1" type="noConversion"/>
  </si>
  <si>
    <t>Yaw system maintenance - yaw system locked</t>
    <phoneticPr fontId="1" type="noConversion"/>
  </si>
  <si>
    <t>DLC81b</t>
    <phoneticPr fontId="1" type="noConversion"/>
  </si>
  <si>
    <t>DLC82a</t>
    <phoneticPr fontId="1" type="noConversion"/>
  </si>
  <si>
    <t>EWM Extreme wind model (steady) (Vhub=Ve1)</t>
    <phoneticPr fontId="1" type="noConversion"/>
  </si>
  <si>
    <t>DLC82b</t>
    <phoneticPr fontId="1" type="noConversion"/>
  </si>
  <si>
    <t>DLC82c</t>
    <phoneticPr fontId="1" type="noConversion"/>
  </si>
  <si>
    <t>b</t>
    <phoneticPr fontId="1" type="noConversion"/>
  </si>
  <si>
    <t>DLC62</t>
    <phoneticPr fontId="1" type="noConversion"/>
  </si>
  <si>
    <t>remark:</t>
    <phoneticPr fontId="1" type="noConversion"/>
  </si>
  <si>
    <t>2) y is set as "a", which is used as a placeholder</t>
    <phoneticPr fontId="1" type="noConversion"/>
  </si>
  <si>
    <r>
      <t>V</t>
    </r>
    <r>
      <rPr>
        <vertAlign val="subscript"/>
        <sz val="10"/>
        <rFont val="Times New Roman"/>
        <family val="1"/>
      </rPr>
      <t>Hub</t>
    </r>
    <phoneticPr fontId="2" type="noConversion"/>
  </si>
  <si>
    <r>
      <t>t</t>
    </r>
    <r>
      <rPr>
        <vertAlign val="subscript"/>
        <sz val="10"/>
        <rFont val="Times New Roman"/>
        <family val="1"/>
      </rPr>
      <t>out</t>
    </r>
    <phoneticPr fontId="2" type="noConversion"/>
  </si>
  <si>
    <r>
      <t>t</t>
    </r>
    <r>
      <rPr>
        <vertAlign val="subscript"/>
        <sz val="10"/>
        <rFont val="Times New Roman"/>
        <family val="1"/>
      </rPr>
      <t>Sim</t>
    </r>
  </si>
  <si>
    <t>Yaw</t>
    <phoneticPr fontId="1" type="noConversion"/>
  </si>
  <si>
    <t>Shear</t>
    <phoneticPr fontId="1" type="noConversion"/>
  </si>
  <si>
    <r>
      <t>σ</t>
    </r>
    <r>
      <rPr>
        <sz val="9"/>
        <color theme="1"/>
        <rFont val="宋体"/>
        <family val="3"/>
        <charset val="134"/>
      </rPr>
      <t>1</t>
    </r>
    <phoneticPr fontId="1" type="noConversion"/>
  </si>
  <si>
    <r>
      <t>V</t>
    </r>
    <r>
      <rPr>
        <sz val="8"/>
        <color theme="1"/>
        <rFont val="Times New Roman"/>
        <family val="1"/>
      </rPr>
      <t>_delt</t>
    </r>
    <phoneticPr fontId="1" type="noConversion"/>
  </si>
  <si>
    <t>In_flow</t>
    <phoneticPr fontId="1" type="noConversion"/>
  </si>
  <si>
    <t>1) x indicates diffirent characteristic wind speeds from cut-in to cut-out</t>
    <phoneticPr fontId="1" type="noConversion"/>
  </si>
  <si>
    <r>
      <t>D</t>
    </r>
    <r>
      <rPr>
        <sz val="8"/>
        <color theme="1"/>
        <rFont val="Times New Roman"/>
        <family val="1"/>
      </rPr>
      <t>_delt</t>
    </r>
    <phoneticPr fontId="1" type="noConversion"/>
  </si>
  <si>
    <t>trig_wind</t>
    <phoneticPr fontId="1" type="noConversion"/>
  </si>
  <si>
    <t>2) y indicates different wind direction amplitude</t>
    <phoneticPr fontId="1" type="noConversion"/>
  </si>
  <si>
    <t>3) zz indicates yaw error and rotor azimuth</t>
    <phoneticPr fontId="1" type="noConversion"/>
  </si>
  <si>
    <t>Shear</t>
    <phoneticPr fontId="2" type="noConversion"/>
  </si>
  <si>
    <t>trig_loss</t>
    <phoneticPr fontId="1" type="noConversion"/>
  </si>
  <si>
    <r>
      <rPr>
        <sz val="10"/>
        <rFont val="宋体"/>
        <family val="3"/>
        <charset val="134"/>
      </rPr>
      <t>Λ</t>
    </r>
    <r>
      <rPr>
        <sz val="8"/>
        <rFont val="Times New Roman"/>
        <family val="1"/>
      </rPr>
      <t>1</t>
    </r>
    <phoneticPr fontId="1" type="noConversion"/>
  </si>
  <si>
    <t>3) zz indicates rotor azimuth and trigger time of grid loss</t>
    <phoneticPr fontId="1" type="noConversion"/>
  </si>
  <si>
    <t xml:space="preserve">   "01"-"04" indicates different trigger time with rotor azimuth as 0 degreed</t>
    <phoneticPr fontId="1" type="noConversion"/>
  </si>
  <si>
    <t xml:space="preserve">   "05"-"08" indicates different trigger time with rotor azimuth as 30 degreed</t>
    <phoneticPr fontId="1" type="noConversion"/>
  </si>
  <si>
    <t xml:space="preserve">   "09"-"12" indicates different trigger time with rotor azimuth as 60 degreed</t>
    <phoneticPr fontId="1" type="noConversion"/>
  </si>
  <si>
    <t xml:space="preserve">   "13"-"16" indicates different trigger time with rotor azimuth as 90 degreed</t>
    <phoneticPr fontId="1" type="noConversion"/>
  </si>
  <si>
    <t>Type</t>
    <phoneticPr fontId="1" type="noConversion"/>
  </si>
  <si>
    <t>2) y indicates different EWS amplitude and type</t>
    <phoneticPr fontId="1" type="noConversion"/>
  </si>
  <si>
    <t>trig_fault</t>
    <phoneticPr fontId="1" type="noConversion"/>
  </si>
  <si>
    <t>trig_stop</t>
    <phoneticPr fontId="1" type="noConversion"/>
  </si>
  <si>
    <t>1) x indicates cut-in speed, rated speed and cut-out speed</t>
    <phoneticPr fontId="1" type="noConversion"/>
  </si>
  <si>
    <t>3) zz indicates rotor azimuth and trigger time of normal stop</t>
    <phoneticPr fontId="1" type="noConversion"/>
  </si>
  <si>
    <t>51-xy-zz</t>
    <phoneticPr fontId="1" type="noConversion"/>
  </si>
  <si>
    <t>3) zz indicates different turbulence seed</t>
    <phoneticPr fontId="1" type="noConversion"/>
  </si>
  <si>
    <t>3) zz indicates different yaw error and turbulence seed</t>
    <phoneticPr fontId="1" type="noConversion"/>
  </si>
  <si>
    <t>81b-xy-zz</t>
    <phoneticPr fontId="1" type="noConversion"/>
  </si>
  <si>
    <t>on</t>
    <phoneticPr fontId="1" type="noConversion"/>
  </si>
  <si>
    <t>Lock</t>
    <phoneticPr fontId="1" type="noConversion"/>
  </si>
  <si>
    <t>Charactristic wind speed below rated</t>
    <phoneticPr fontId="2" type="noConversion"/>
  </si>
  <si>
    <t xml:space="preserve">Charactristic wind speed above rated </t>
    <phoneticPr fontId="2" type="noConversion"/>
  </si>
  <si>
    <t>V_r-</t>
    <phoneticPr fontId="2" type="noConversion"/>
  </si>
  <si>
    <t>V_r+</t>
    <phoneticPr fontId="2" type="noConversion"/>
  </si>
  <si>
    <t>Increment of wind speed for the load cases DLC1.1a</t>
    <phoneticPr fontId="2" type="noConversion"/>
  </si>
  <si>
    <t>Cut-out generator speed</t>
    <phoneticPr fontId="2" type="noConversion"/>
  </si>
  <si>
    <t>Minimum operating generator rotational speed</t>
    <phoneticPr fontId="2" type="noConversion"/>
  </si>
  <si>
    <t>Cut-out rotor rotational speed</t>
    <phoneticPr fontId="2" type="noConversion"/>
  </si>
  <si>
    <t>Activation rotor speed</t>
    <phoneticPr fontId="2" type="noConversion"/>
  </si>
  <si>
    <t>Minimum operating rotor rotational speed</t>
    <phoneticPr fontId="2" type="noConversion"/>
  </si>
  <si>
    <t>Rated rotor rotational speed</t>
    <phoneticPr fontId="2" type="noConversion"/>
  </si>
  <si>
    <t>N2</t>
    <phoneticPr fontId="2" type="noConversion"/>
  </si>
  <si>
    <t>Rated generator rotational speed</t>
    <phoneticPr fontId="2" type="noConversion"/>
  </si>
  <si>
    <t>Multiplier of lateral turbulence deviation</t>
    <phoneticPr fontId="2" type="noConversion"/>
  </si>
  <si>
    <t>Multiplier of vertial turbulence deviation</t>
    <phoneticPr fontId="2" type="noConversion"/>
  </si>
  <si>
    <t>Trigger time of transient wind or even</t>
    <phoneticPr fontId="2" type="noConversion"/>
  </si>
  <si>
    <t>Longitudinal turbulence scale parameter</t>
    <phoneticPr fontId="2" type="noConversion"/>
  </si>
  <si>
    <t xml:space="preserve">EOG, sustainable time of 1 year recurrence </t>
    <phoneticPr fontId="2" type="noConversion"/>
  </si>
  <si>
    <t>ECD, gust magnitude</t>
    <phoneticPr fontId="2" type="noConversion"/>
  </si>
  <si>
    <t>ECD, rise time</t>
    <phoneticPr fontId="2" type="noConversion"/>
  </si>
  <si>
    <t xml:space="preserve">EWS, beta coefficient </t>
    <phoneticPr fontId="2" type="noConversion"/>
  </si>
  <si>
    <t>EWS, sustainable time</t>
    <phoneticPr fontId="2" type="noConversion"/>
  </si>
  <si>
    <t>ECD, Vcg</t>
    <phoneticPr fontId="2" type="noConversion"/>
  </si>
  <si>
    <t>ECD, T</t>
    <phoneticPr fontId="2" type="noConversion"/>
  </si>
  <si>
    <t>EOG, T1</t>
    <phoneticPr fontId="2" type="noConversion"/>
  </si>
  <si>
    <t>EWS, b</t>
    <phoneticPr fontId="2" type="noConversion"/>
  </si>
  <si>
    <t>EWS, T</t>
    <phoneticPr fontId="2" type="noConversion"/>
  </si>
  <si>
    <t>Multiplier,Ty</t>
    <phoneticPr fontId="2" type="noConversion"/>
  </si>
  <si>
    <t>Multiplier,Tz</t>
    <phoneticPr fontId="2" type="noConversion"/>
  </si>
  <si>
    <t>Btorque_r</t>
    <phoneticPr fontId="1" type="noConversion"/>
  </si>
  <si>
    <t>c</t>
    <phoneticPr fontId="1" type="noConversion"/>
  </si>
  <si>
    <t>d</t>
    <phoneticPr fontId="1" type="noConversion"/>
  </si>
  <si>
    <t>Turbulence case simulation time</t>
    <phoneticPr fontId="2" type="noConversion"/>
  </si>
  <si>
    <t xml:space="preserve">Transient case simulation time </t>
    <phoneticPr fontId="2" type="noConversion"/>
  </si>
  <si>
    <t>T_s1</t>
    <phoneticPr fontId="2" type="noConversion"/>
  </si>
  <si>
    <t>T_s2</t>
    <phoneticPr fontId="2" type="noConversion"/>
  </si>
  <si>
    <t>Time to start writing output</t>
    <phoneticPr fontId="2" type="noConversion"/>
  </si>
  <si>
    <t>T_out</t>
    <phoneticPr fontId="2" type="noConversion"/>
  </si>
  <si>
    <t>Λ1</t>
    <phoneticPr fontId="2" type="noConversion"/>
  </si>
  <si>
    <t>Btorque, Min</t>
    <phoneticPr fontId="2" type="noConversion"/>
  </si>
  <si>
    <t>Btorque, Max</t>
    <phoneticPr fontId="2" type="noConversion"/>
  </si>
  <si>
    <t>DLC63, Yerror_1</t>
    <phoneticPr fontId="2" type="noConversion"/>
  </si>
  <si>
    <t>DLC63, Yerror_2</t>
    <phoneticPr fontId="2" type="noConversion"/>
  </si>
  <si>
    <t>DLC63, Yerror_3</t>
    <phoneticPr fontId="2" type="noConversion"/>
  </si>
  <si>
    <t>DLC63, Yerror_4</t>
    <phoneticPr fontId="2" type="noConversion"/>
  </si>
  <si>
    <t>DLC63, Yerror_5</t>
    <phoneticPr fontId="2" type="noConversion"/>
  </si>
  <si>
    <t>Default Parameters</t>
    <phoneticPr fontId="2" type="noConversion"/>
  </si>
  <si>
    <t>Version:</t>
    <phoneticPr fontId="2" type="noConversion"/>
  </si>
  <si>
    <t>Engineer:</t>
    <phoneticPr fontId="2" type="noConversion"/>
  </si>
  <si>
    <t>Standard:</t>
    <phoneticPr fontId="2" type="noConversion"/>
  </si>
  <si>
    <r>
      <rPr>
        <sz val="11"/>
        <color rgb="FFFF0000"/>
        <rFont val="宋体"/>
        <family val="3"/>
        <charset val="134"/>
      </rPr>
      <t>√</t>
    </r>
    <phoneticPr fontId="2" type="noConversion"/>
  </si>
  <si>
    <r>
      <t>H</t>
    </r>
    <r>
      <rPr>
        <i/>
        <sz val="8"/>
        <color theme="1"/>
        <rFont val="Times New Roman"/>
        <family val="1"/>
      </rPr>
      <t>hub</t>
    </r>
    <phoneticPr fontId="2" type="noConversion"/>
  </si>
  <si>
    <t>Extreme Wind Speed</t>
    <phoneticPr fontId="2" type="noConversion"/>
  </si>
  <si>
    <t>Operational Wind Speed</t>
    <phoneticPr fontId="2" type="noConversion"/>
  </si>
  <si>
    <t>Wind profile exponent</t>
    <phoneticPr fontId="2" type="noConversion"/>
  </si>
  <si>
    <t>Control system ranaway rate</t>
    <phoneticPr fontId="2" type="noConversion"/>
  </si>
  <si>
    <t>Yaw system ranaway rate</t>
    <phoneticPr fontId="2" type="noConversion"/>
  </si>
  <si>
    <t>Yaw_runaway</t>
    <phoneticPr fontId="2" type="noConversion"/>
  </si>
  <si>
    <t>Version</t>
    <phoneticPr fontId="2" type="noConversion"/>
  </si>
  <si>
    <t>Engineer</t>
    <phoneticPr fontId="2" type="noConversion"/>
  </si>
  <si>
    <t>Data</t>
    <phoneticPr fontId="2" type="noConversion"/>
  </si>
  <si>
    <t>Type:</t>
    <phoneticPr fontId="2" type="noConversion"/>
  </si>
  <si>
    <t>Note</t>
    <phoneticPr fontId="2" type="noConversion"/>
  </si>
  <si>
    <t>Wind speed probability distribution</t>
    <phoneticPr fontId="2" type="noConversion"/>
  </si>
  <si>
    <t>Weibull distribution factor, A</t>
    <phoneticPr fontId="2" type="noConversion"/>
  </si>
  <si>
    <t>Weibull_A</t>
    <phoneticPr fontId="2" type="noConversion"/>
  </si>
  <si>
    <t>Weibull_K</t>
    <phoneticPr fontId="2" type="noConversion"/>
  </si>
  <si>
    <t>√</t>
  </si>
  <si>
    <t>DLC31</t>
    <phoneticPr fontId="1" type="noConversion"/>
  </si>
  <si>
    <t>Start-up</t>
    <phoneticPr fontId="1" type="noConversion"/>
  </si>
  <si>
    <t>DLC32</t>
    <phoneticPr fontId="1" type="noConversion"/>
  </si>
  <si>
    <t>1) Start-up cases are almost impossible to lead a signifacant load in ultimate loads statistics.</t>
    <phoneticPr fontId="1" type="noConversion"/>
  </si>
  <si>
    <t>3) So, it is reasonable to omit DLC3x simulation unless special requirement.</t>
    <phoneticPr fontId="1" type="noConversion"/>
  </si>
  <si>
    <t>Mechine left behind with uncompleted yaw system maintence - rotor idling, yaw system lock</t>
    <phoneticPr fontId="1" type="noConversion"/>
  </si>
  <si>
    <t>1) This case is coverd by DLC62.</t>
    <phoneticPr fontId="1" type="noConversion"/>
  </si>
  <si>
    <t>Mechine left behind with uncompleted pitch system maintence - rotor idling, yaw system operational</t>
    <phoneticPr fontId="1" type="noConversion"/>
  </si>
  <si>
    <t>1) This case is insteaded by DLC71.</t>
    <phoneticPr fontId="1" type="noConversion"/>
  </si>
  <si>
    <t>Ratio of rated mechanical brake torque</t>
    <phoneticPr fontId="2" type="noConversion"/>
  </si>
  <si>
    <t>Alpha Extreme</t>
    <phoneticPr fontId="2" type="noConversion"/>
  </si>
  <si>
    <t>Rayleigh (or Weibull) probability distribution</t>
    <phoneticPr fontId="1" type="noConversion"/>
  </si>
  <si>
    <t>Rainflow</t>
    <phoneticPr fontId="1" type="noConversion"/>
  </si>
  <si>
    <t>type</t>
    <phoneticPr fontId="1" type="noConversion"/>
  </si>
  <si>
    <r>
      <t>I</t>
    </r>
    <r>
      <rPr>
        <i/>
        <sz val="6"/>
        <color theme="1"/>
        <rFont val="Times New Roman"/>
        <family val="1"/>
      </rPr>
      <t>ref</t>
    </r>
    <phoneticPr fontId="2" type="noConversion"/>
  </si>
  <si>
    <t>DLC12</t>
    <phoneticPr fontId="1" type="noConversion"/>
  </si>
  <si>
    <t>Extreme turbulence factor for DLC13</t>
    <phoneticPr fontId="2" type="noConversion"/>
  </si>
  <si>
    <t>c</t>
    <phoneticPr fontId="2" type="noConversion"/>
  </si>
  <si>
    <t>Runaway_rate</t>
    <phoneticPr fontId="1" type="noConversion"/>
  </si>
  <si>
    <t>deg/s</t>
    <phoneticPr fontId="1" type="noConversion"/>
  </si>
  <si>
    <t>Pitch_runaway_feather</t>
    <phoneticPr fontId="2" type="noConversion"/>
  </si>
  <si>
    <t>Pitch_runaway_fine</t>
    <phoneticPr fontId="2" type="noConversion"/>
  </si>
  <si>
    <t>DLC23</t>
    <phoneticPr fontId="1" type="noConversion"/>
  </si>
  <si>
    <t>Trig_time</t>
    <phoneticPr fontId="2" type="noConversion"/>
  </si>
  <si>
    <t>51_aa+01</t>
    <phoneticPr fontId="1" type="noConversion"/>
  </si>
  <si>
    <t>51_aa+02</t>
    <phoneticPr fontId="1" type="noConversion"/>
  </si>
  <si>
    <t>51_aa+03</t>
    <phoneticPr fontId="1" type="noConversion"/>
  </si>
  <si>
    <t>51_aa+04</t>
  </si>
  <si>
    <t>51_aa+05</t>
  </si>
  <si>
    <t>51_aa+06</t>
  </si>
  <si>
    <t>51_aa+07</t>
  </si>
  <si>
    <t>51_aa+08</t>
  </si>
  <si>
    <t>51_aa+09</t>
  </si>
  <si>
    <t>51_aa+10</t>
  </si>
  <si>
    <t>51_aa+11</t>
  </si>
  <si>
    <t>51_aa+12</t>
  </si>
  <si>
    <t>51_ab+01</t>
    <phoneticPr fontId="1" type="noConversion"/>
  </si>
  <si>
    <t>51_ab+02</t>
    <phoneticPr fontId="1" type="noConversion"/>
  </si>
  <si>
    <t>51_ab+03</t>
  </si>
  <si>
    <t>51_ab+04</t>
  </si>
  <si>
    <t>51_ab+05</t>
  </si>
  <si>
    <t>51_ab+06</t>
  </si>
  <si>
    <t>51_ab+07</t>
  </si>
  <si>
    <t>51_ab+08</t>
  </si>
  <si>
    <t>51_ab+09</t>
  </si>
  <si>
    <t>51_ab+10</t>
  </si>
  <si>
    <t>51_ab+11</t>
  </si>
  <si>
    <t>51_ab+12</t>
  </si>
  <si>
    <t>51_ac+01</t>
  </si>
  <si>
    <t>51_ac+02</t>
  </si>
  <si>
    <t>51_ac+03</t>
  </si>
  <si>
    <t>51_ac+04</t>
  </si>
  <si>
    <t>51_ac+05</t>
  </si>
  <si>
    <t>51_ac+06</t>
  </si>
  <si>
    <t>51_ac+07</t>
  </si>
  <si>
    <t>51_ac+08</t>
  </si>
  <si>
    <t>51_ac+09</t>
  </si>
  <si>
    <t>51_ac+10</t>
  </si>
  <si>
    <t>51_ac+11</t>
  </si>
  <si>
    <t>51_ac+12</t>
  </si>
  <si>
    <t>51_ba+01</t>
    <phoneticPr fontId="1" type="noConversion"/>
  </si>
  <si>
    <t>51_ba+02</t>
  </si>
  <si>
    <t>51_ba+03</t>
  </si>
  <si>
    <t>51_ba+04</t>
  </si>
  <si>
    <t>51_ba+05</t>
  </si>
  <si>
    <t>51_ba+06</t>
  </si>
  <si>
    <t>51_ba+07</t>
  </si>
  <si>
    <t>51_ba+08</t>
  </si>
  <si>
    <t>51_ba+09</t>
  </si>
  <si>
    <t>51_ba+10</t>
  </si>
  <si>
    <t>51_ba+11</t>
  </si>
  <si>
    <t>51_ba+12</t>
  </si>
  <si>
    <t>51_bb+01</t>
  </si>
  <si>
    <t>51_bb+02</t>
  </si>
  <si>
    <t>51_bb+03</t>
  </si>
  <si>
    <t>51_bb+04</t>
  </si>
  <si>
    <t>51_bb+05</t>
  </si>
  <si>
    <t>51_bb+06</t>
  </si>
  <si>
    <t>51_bb+07</t>
  </si>
  <si>
    <t>51_bb+08</t>
  </si>
  <si>
    <t>51_bb+09</t>
  </si>
  <si>
    <t>51_bb+10</t>
  </si>
  <si>
    <t>51_bb+11</t>
  </si>
  <si>
    <t>51_bb+12</t>
  </si>
  <si>
    <t>51_bc+01</t>
  </si>
  <si>
    <t>51_bc+02</t>
  </si>
  <si>
    <t>51_bc+03</t>
  </si>
  <si>
    <t>51_bc+04</t>
  </si>
  <si>
    <t>51_bc+05</t>
  </si>
  <si>
    <t>51_bc+06</t>
  </si>
  <si>
    <t>51_bc+07</t>
  </si>
  <si>
    <t>51_bc+08</t>
  </si>
  <si>
    <t>51_bc+09</t>
  </si>
  <si>
    <t>51_bc+10</t>
  </si>
  <si>
    <t>51_bc+11</t>
  </si>
  <si>
    <t>51_bc+12</t>
  </si>
  <si>
    <t>51_ca+01</t>
  </si>
  <si>
    <t>51_ca+02</t>
  </si>
  <si>
    <t>51_ca+03</t>
  </si>
  <si>
    <t>51_ca+04</t>
  </si>
  <si>
    <t>51_ca+05</t>
  </si>
  <si>
    <t>51_ca+06</t>
  </si>
  <si>
    <t>51_ca+07</t>
  </si>
  <si>
    <t>51_ca+08</t>
  </si>
  <si>
    <t>51_ca+09</t>
  </si>
  <si>
    <t>51_ca+10</t>
  </si>
  <si>
    <t>51_ca+11</t>
  </si>
  <si>
    <t>51_ca+12</t>
  </si>
  <si>
    <t>51_cb+01</t>
  </si>
  <si>
    <t>51_cb+02</t>
  </si>
  <si>
    <t>51_cb+03</t>
  </si>
  <si>
    <t>51_cb+04</t>
  </si>
  <si>
    <t>51_cb+05</t>
  </si>
  <si>
    <t>51_cb+06</t>
  </si>
  <si>
    <t>51_cb+07</t>
  </si>
  <si>
    <t>51_cb+08</t>
  </si>
  <si>
    <t>51_cb+09</t>
  </si>
  <si>
    <t>51_cb+10</t>
  </si>
  <si>
    <t>51_cb+11</t>
  </si>
  <si>
    <t>51_cb+12</t>
  </si>
  <si>
    <t>51_cc+01</t>
  </si>
  <si>
    <t>51_cc+02</t>
  </si>
  <si>
    <t>51_cc+03</t>
  </si>
  <si>
    <t>51_cc+04</t>
  </si>
  <si>
    <t>51_cc+05</t>
  </si>
  <si>
    <t>51_cc+06</t>
  </si>
  <si>
    <t>51_cc+07</t>
  </si>
  <si>
    <t>51_cc+08</t>
  </si>
  <si>
    <t>51_cc+09</t>
  </si>
  <si>
    <t>51_cc+10</t>
  </si>
  <si>
    <t>51_cc+11</t>
  </si>
  <si>
    <t>51_cc+12</t>
  </si>
  <si>
    <t>51_da+01</t>
  </si>
  <si>
    <t>51_da+02</t>
  </si>
  <si>
    <t>51_da+03</t>
  </si>
  <si>
    <t>51_da+04</t>
  </si>
  <si>
    <t>51_da+05</t>
  </si>
  <si>
    <t>51_da+06</t>
  </si>
  <si>
    <t>51_da+07</t>
  </si>
  <si>
    <t>51_da+08</t>
  </si>
  <si>
    <t>51_da+09</t>
  </si>
  <si>
    <t>51_da+10</t>
  </si>
  <si>
    <t>51_da+11</t>
  </si>
  <si>
    <t>51_da+12</t>
  </si>
  <si>
    <t>51_db+01</t>
  </si>
  <si>
    <t>51_db+02</t>
  </si>
  <si>
    <t>51_db+03</t>
  </si>
  <si>
    <t>51_db+04</t>
  </si>
  <si>
    <t>51_db+05</t>
  </si>
  <si>
    <t>51_db+06</t>
  </si>
  <si>
    <t>51_db+07</t>
  </si>
  <si>
    <t>51_db+08</t>
  </si>
  <si>
    <t>51_db+09</t>
  </si>
  <si>
    <t>51_db+10</t>
  </si>
  <si>
    <t>51_db+11</t>
  </si>
  <si>
    <t>51_db+12</t>
  </si>
  <si>
    <t>51_dc+01</t>
  </si>
  <si>
    <t>51_dc+02</t>
  </si>
  <si>
    <t>51_dc+03</t>
  </si>
  <si>
    <t>51_dc+04</t>
  </si>
  <si>
    <t>51_dc+05</t>
  </si>
  <si>
    <t>51_dc+06</t>
  </si>
  <si>
    <t>51_dc+07</t>
  </si>
  <si>
    <t>51_dc+08</t>
  </si>
  <si>
    <t>51_dc+09</t>
  </si>
  <si>
    <t>51_dc+10</t>
  </si>
  <si>
    <t>51_dc+11</t>
  </si>
  <si>
    <t>51_dc+12</t>
  </si>
  <si>
    <t>51_ea+01</t>
  </si>
  <si>
    <t>51_ea+02</t>
  </si>
  <si>
    <t>51_ea+03</t>
  </si>
  <si>
    <t>51_ea+04</t>
  </si>
  <si>
    <t>51_ea+05</t>
  </si>
  <si>
    <t>51_ea+06</t>
  </si>
  <si>
    <t>51_ea+07</t>
  </si>
  <si>
    <t>51_ea+08</t>
  </si>
  <si>
    <t>51_ea+09</t>
  </si>
  <si>
    <t>51_ea+10</t>
  </si>
  <si>
    <t>51_ea+11</t>
  </si>
  <si>
    <t>51_ea+12</t>
  </si>
  <si>
    <t>51_eb+01</t>
  </si>
  <si>
    <t>51_eb+02</t>
  </si>
  <si>
    <t>51_eb+03</t>
  </si>
  <si>
    <t>51_eb+04</t>
  </si>
  <si>
    <t>51_eb+05</t>
  </si>
  <si>
    <t>51_eb+06</t>
  </si>
  <si>
    <t>51_eb+07</t>
  </si>
  <si>
    <t>51_eb+08</t>
  </si>
  <si>
    <t>51_eb+09</t>
  </si>
  <si>
    <t>51_eb+10</t>
  </si>
  <si>
    <t>51_eb+11</t>
  </si>
  <si>
    <t>51_eb+12</t>
  </si>
  <si>
    <t>51_ec+01</t>
  </si>
  <si>
    <t>51_ec+02</t>
  </si>
  <si>
    <t>51_ec+03</t>
  </si>
  <si>
    <t>51_ec+04</t>
  </si>
  <si>
    <t>51_ec+05</t>
  </si>
  <si>
    <t>51_ec+06</t>
  </si>
  <si>
    <t>51_ec+07</t>
  </si>
  <si>
    <t>51_ec+08</t>
  </si>
  <si>
    <t>51_ec+09</t>
  </si>
  <si>
    <t>51_ec+10</t>
  </si>
  <si>
    <t>51_ec+11</t>
  </si>
  <si>
    <t>51_ec+12</t>
  </si>
  <si>
    <t>81b_aa#01</t>
  </si>
  <si>
    <t>81b_aa#02</t>
  </si>
  <si>
    <t>81b_aa#03</t>
  </si>
  <si>
    <t>81b_aa#04</t>
  </si>
  <si>
    <t>81b_aa#05</t>
  </si>
  <si>
    <t>81b_aa#06</t>
  </si>
  <si>
    <t>81b_ab#01</t>
  </si>
  <si>
    <t>81b_ab#02</t>
  </si>
  <si>
    <t>81b_ab#03</t>
  </si>
  <si>
    <t>81b_ab#04</t>
  </si>
  <si>
    <t>81b_ab#05</t>
  </si>
  <si>
    <t>81b_ab#06</t>
  </si>
  <si>
    <t>81b_ac#01</t>
  </si>
  <si>
    <t>81b_ac#02</t>
  </si>
  <si>
    <t>81b_ac#03</t>
  </si>
  <si>
    <t>81b_ac#04</t>
  </si>
  <si>
    <t>81b_ac#05</t>
  </si>
  <si>
    <t>81b_ac#06</t>
  </si>
  <si>
    <t>81b_ad#01</t>
  </si>
  <si>
    <t>81b_ad#02</t>
  </si>
  <si>
    <t>81b_ad#03</t>
  </si>
  <si>
    <t>81b_ad#04</t>
  </si>
  <si>
    <t>81b_ad#05</t>
  </si>
  <si>
    <t>81b_ad#06</t>
  </si>
  <si>
    <t>DLC81c</t>
    <phoneticPr fontId="1" type="noConversion"/>
  </si>
  <si>
    <t>DLC11</t>
    <phoneticPr fontId="1" type="noConversion"/>
  </si>
  <si>
    <t>8-7</t>
  </si>
  <si>
    <t>8-8</t>
  </si>
  <si>
    <t>8-9</t>
  </si>
  <si>
    <t>8-10</t>
  </si>
  <si>
    <t>8-11</t>
  </si>
  <si>
    <t>8-12</t>
  </si>
  <si>
    <t>8-13</t>
  </si>
  <si>
    <t>8-14</t>
  </si>
  <si>
    <t>8-15</t>
  </si>
  <si>
    <t>8-16</t>
  </si>
  <si>
    <t>8-17</t>
  </si>
  <si>
    <t>8-18</t>
  </si>
  <si>
    <t>8-19</t>
  </si>
  <si>
    <t>8-20</t>
  </si>
  <si>
    <t>8-21</t>
  </si>
  <si>
    <t>8-22</t>
  </si>
  <si>
    <t>8-23</t>
  </si>
  <si>
    <t>8-24</t>
  </si>
  <si>
    <t>8-25</t>
  </si>
  <si>
    <t>8-26</t>
  </si>
  <si>
    <t>8-27</t>
  </si>
  <si>
    <t>8-28</t>
  </si>
  <si>
    <t>8-29</t>
  </si>
  <si>
    <t>8-30</t>
  </si>
  <si>
    <t>8-31</t>
  </si>
  <si>
    <t>8-32</t>
  </si>
  <si>
    <t>8-33</t>
  </si>
  <si>
    <t>8-34</t>
  </si>
  <si>
    <t>8-35</t>
  </si>
  <si>
    <t>8-36</t>
  </si>
  <si>
    <t>8-37</t>
  </si>
  <si>
    <t>8-38</t>
  </si>
  <si>
    <t>8-39</t>
  </si>
  <si>
    <t>8-40</t>
  </si>
  <si>
    <t>8-41</t>
  </si>
  <si>
    <t>8-42</t>
  </si>
  <si>
    <t>8-43</t>
  </si>
  <si>
    <t>8-44</t>
  </si>
  <si>
    <t>8-45</t>
  </si>
  <si>
    <t>8-46</t>
  </si>
  <si>
    <t>8-47</t>
  </si>
  <si>
    <t>8-48</t>
  </si>
  <si>
    <t>8-49</t>
  </si>
  <si>
    <t>8-50</t>
  </si>
  <si>
    <t>8-51</t>
  </si>
  <si>
    <t>8-52</t>
  </si>
  <si>
    <t>8-53</t>
  </si>
  <si>
    <t>8-54</t>
  </si>
  <si>
    <t>8-55</t>
  </si>
  <si>
    <t>8-56</t>
  </si>
  <si>
    <t>8-57</t>
  </si>
  <si>
    <t>8-58</t>
  </si>
  <si>
    <t>8-59</t>
  </si>
  <si>
    <t>8-60</t>
  </si>
  <si>
    <t>10-32</t>
  </si>
  <si>
    <t>10-33</t>
  </si>
  <si>
    <t>10-34</t>
  </si>
  <si>
    <t>10-35</t>
  </si>
  <si>
    <t>10-36</t>
  </si>
  <si>
    <t>10-37</t>
  </si>
  <si>
    <t>10-38</t>
  </si>
  <si>
    <t>10-39</t>
  </si>
  <si>
    <t>10-40</t>
  </si>
  <si>
    <t>10-41</t>
  </si>
  <si>
    <t>10-42</t>
  </si>
  <si>
    <t>10-43</t>
  </si>
  <si>
    <t>10-44</t>
  </si>
  <si>
    <t>10-45</t>
  </si>
  <si>
    <t>10-46</t>
  </si>
  <si>
    <t>10-47</t>
  </si>
  <si>
    <t>10-48</t>
  </si>
  <si>
    <t>10-49</t>
  </si>
  <si>
    <t>10-50</t>
  </si>
  <si>
    <t>10-51</t>
  </si>
  <si>
    <t>10-52</t>
  </si>
  <si>
    <t>10-53</t>
  </si>
  <si>
    <t>10-54</t>
  </si>
  <si>
    <t>10-55</t>
  </si>
  <si>
    <t>10-56</t>
  </si>
  <si>
    <t>10-57</t>
  </si>
  <si>
    <t>10-58</t>
  </si>
  <si>
    <t>10-59</t>
  </si>
  <si>
    <t>10-60</t>
  </si>
  <si>
    <t>10-7</t>
  </si>
  <si>
    <t>10-8</t>
  </si>
  <si>
    <t>10-9</t>
  </si>
  <si>
    <t>10-10</t>
  </si>
  <si>
    <t>8-6</t>
  </si>
  <si>
    <t>8-5</t>
  </si>
  <si>
    <t>8-4</t>
  </si>
  <si>
    <t>8-3</t>
  </si>
  <si>
    <t>10-6</t>
  </si>
  <si>
    <t>10-5</t>
  </si>
  <si>
    <t>10-4</t>
  </si>
  <si>
    <t>10-3</t>
  </si>
  <si>
    <t>10-11</t>
  </si>
  <si>
    <t>10-12</t>
  </si>
  <si>
    <t>10-13</t>
  </si>
  <si>
    <t>10-14</t>
  </si>
  <si>
    <t>10-15</t>
  </si>
  <si>
    <t>10-16</t>
  </si>
  <si>
    <t>10-17</t>
  </si>
  <si>
    <t>10-18</t>
  </si>
  <si>
    <t>10-19</t>
  </si>
  <si>
    <t>10-20</t>
  </si>
  <si>
    <t>10-21</t>
  </si>
  <si>
    <t>10-22</t>
  </si>
  <si>
    <t>10-23</t>
  </si>
  <si>
    <t>10-24</t>
  </si>
  <si>
    <t>10-25</t>
  </si>
  <si>
    <t>10-26</t>
  </si>
  <si>
    <t>10-27</t>
  </si>
  <si>
    <t>10-28</t>
  </si>
  <si>
    <t>10-29</t>
  </si>
  <si>
    <t>10-30</t>
  </si>
  <si>
    <t>10-31</t>
  </si>
  <si>
    <t>10-1</t>
    <phoneticPr fontId="1" type="noConversion"/>
  </si>
  <si>
    <t>10-2</t>
    <phoneticPr fontId="1" type="noConversion"/>
  </si>
  <si>
    <t>8-1</t>
    <phoneticPr fontId="1" type="noConversion"/>
  </si>
  <si>
    <t>8-2</t>
    <phoneticPr fontId="1" type="noConversion"/>
  </si>
  <si>
    <t>12-32</t>
  </si>
  <si>
    <t>12-33</t>
  </si>
  <si>
    <t>12-34</t>
  </si>
  <si>
    <t>12-35</t>
  </si>
  <si>
    <t>12-36</t>
  </si>
  <si>
    <t>12-37</t>
  </si>
  <si>
    <t>12-38</t>
  </si>
  <si>
    <t>12-39</t>
  </si>
  <si>
    <t>12-40</t>
  </si>
  <si>
    <t>12-41</t>
  </si>
  <si>
    <t>12-42</t>
  </si>
  <si>
    <t>12-43</t>
  </si>
  <si>
    <t>12-44</t>
  </si>
  <si>
    <t>12-45</t>
  </si>
  <si>
    <t>12-46</t>
  </si>
  <si>
    <t>12-47</t>
  </si>
  <si>
    <t>12-48</t>
  </si>
  <si>
    <t>12-49</t>
  </si>
  <si>
    <t>12-50</t>
  </si>
  <si>
    <t>12-51</t>
  </si>
  <si>
    <t>12-52</t>
  </si>
  <si>
    <t>12-53</t>
  </si>
  <si>
    <t>12-54</t>
  </si>
  <si>
    <t>12-55</t>
  </si>
  <si>
    <t>12-56</t>
  </si>
  <si>
    <t>12-57</t>
  </si>
  <si>
    <t>12-58</t>
  </si>
  <si>
    <t>12-59</t>
  </si>
  <si>
    <t>12-60</t>
  </si>
  <si>
    <t>12-1</t>
    <phoneticPr fontId="1" type="noConversion"/>
  </si>
  <si>
    <t>12-2</t>
    <phoneticPr fontId="1" type="noConversion"/>
  </si>
  <si>
    <t>12-3</t>
  </si>
  <si>
    <t>12-4</t>
  </si>
  <si>
    <t>12-5</t>
  </si>
  <si>
    <t>12-6</t>
  </si>
  <si>
    <t>12-7</t>
  </si>
  <si>
    <t>12-8</t>
  </si>
  <si>
    <t>12-9</t>
  </si>
  <si>
    <t>12-10</t>
  </si>
  <si>
    <t>12-11</t>
  </si>
  <si>
    <t>12-12</t>
  </si>
  <si>
    <t>12-13</t>
  </si>
  <si>
    <t>12-14</t>
  </si>
  <si>
    <t>12-15</t>
  </si>
  <si>
    <t>12-16</t>
  </si>
  <si>
    <t>12-17</t>
  </si>
  <si>
    <t>12-18</t>
  </si>
  <si>
    <t>12-19</t>
  </si>
  <si>
    <t>12-20</t>
  </si>
  <si>
    <t>12-21</t>
  </si>
  <si>
    <t>12-22</t>
  </si>
  <si>
    <t>12-23</t>
  </si>
  <si>
    <t>12-24</t>
  </si>
  <si>
    <t>12-25</t>
  </si>
  <si>
    <t>12-26</t>
  </si>
  <si>
    <t>12-27</t>
  </si>
  <si>
    <t>12-28</t>
  </si>
  <si>
    <t>12-29</t>
  </si>
  <si>
    <t>12-30</t>
  </si>
  <si>
    <t>12-31</t>
  </si>
  <si>
    <t>14-1</t>
    <phoneticPr fontId="1" type="noConversion"/>
  </si>
  <si>
    <t>14-2</t>
    <phoneticPr fontId="1" type="noConversion"/>
  </si>
  <si>
    <t>14-3</t>
  </si>
  <si>
    <t>14-4</t>
  </si>
  <si>
    <t>14-5</t>
  </si>
  <si>
    <t>14-6</t>
  </si>
  <si>
    <t>14-7</t>
  </si>
  <si>
    <t>14-8</t>
  </si>
  <si>
    <t>14-9</t>
  </si>
  <si>
    <t>14-10</t>
  </si>
  <si>
    <t>14-11</t>
  </si>
  <si>
    <t>14-12</t>
  </si>
  <si>
    <t>14-13</t>
  </si>
  <si>
    <t>14-14</t>
  </si>
  <si>
    <t>14-15</t>
  </si>
  <si>
    <t>14-16</t>
  </si>
  <si>
    <t>14-17</t>
  </si>
  <si>
    <t>14-18</t>
  </si>
  <si>
    <t>14-19</t>
  </si>
  <si>
    <t>14-20</t>
  </si>
  <si>
    <t>14-21</t>
  </si>
  <si>
    <t>14-22</t>
  </si>
  <si>
    <t>14-23</t>
  </si>
  <si>
    <t>14-24</t>
  </si>
  <si>
    <t>14-25</t>
  </si>
  <si>
    <t>14-26</t>
  </si>
  <si>
    <t>14-27</t>
  </si>
  <si>
    <t>14-28</t>
  </si>
  <si>
    <t>14-29</t>
  </si>
  <si>
    <t>14-30</t>
  </si>
  <si>
    <t>14-31</t>
  </si>
  <si>
    <t>14-32</t>
  </si>
  <si>
    <t>14-33</t>
  </si>
  <si>
    <t>14-34</t>
  </si>
  <si>
    <t>14-35</t>
  </si>
  <si>
    <t>14-36</t>
  </si>
  <si>
    <t>14-37</t>
  </si>
  <si>
    <t>14-38</t>
  </si>
  <si>
    <t>14-39</t>
  </si>
  <si>
    <t>14-40</t>
  </si>
  <si>
    <t>14-41</t>
  </si>
  <si>
    <t>14-42</t>
  </si>
  <si>
    <t>14-43</t>
  </si>
  <si>
    <t>14-44</t>
  </si>
  <si>
    <t>14-45</t>
  </si>
  <si>
    <t>14-46</t>
  </si>
  <si>
    <t>14-47</t>
  </si>
  <si>
    <t>14-48</t>
  </si>
  <si>
    <t>14-49</t>
  </si>
  <si>
    <t>14-50</t>
  </si>
  <si>
    <t>14-51</t>
  </si>
  <si>
    <t>14-52</t>
  </si>
  <si>
    <t>14-53</t>
  </si>
  <si>
    <t>14-54</t>
  </si>
  <si>
    <t>14-55</t>
  </si>
  <si>
    <t>14-56</t>
  </si>
  <si>
    <t>14-57</t>
  </si>
  <si>
    <t>14-58</t>
  </si>
  <si>
    <t>14-59</t>
  </si>
  <si>
    <t>14-60</t>
  </si>
  <si>
    <t>16-1</t>
    <phoneticPr fontId="1" type="noConversion"/>
  </si>
  <si>
    <t>16-2</t>
    <phoneticPr fontId="1" type="noConversion"/>
  </si>
  <si>
    <t>16-3</t>
  </si>
  <si>
    <t>16-4</t>
  </si>
  <si>
    <t>16-5</t>
  </si>
  <si>
    <t>16-6</t>
  </si>
  <si>
    <t>16-7</t>
  </si>
  <si>
    <t>16-8</t>
  </si>
  <si>
    <t>16-9</t>
  </si>
  <si>
    <t>16-10</t>
  </si>
  <si>
    <t>16-11</t>
  </si>
  <si>
    <t>16-12</t>
  </si>
  <si>
    <t>16-13</t>
  </si>
  <si>
    <t>16-14</t>
  </si>
  <si>
    <t>16-15</t>
  </si>
  <si>
    <t>16-16</t>
  </si>
  <si>
    <t>16-17</t>
  </si>
  <si>
    <t>16-18</t>
  </si>
  <si>
    <t>16-19</t>
  </si>
  <si>
    <t>16-20</t>
  </si>
  <si>
    <t>16-21</t>
  </si>
  <si>
    <t>16-22</t>
  </si>
  <si>
    <t>16-23</t>
  </si>
  <si>
    <t>16-24</t>
  </si>
  <si>
    <t>16-25</t>
  </si>
  <si>
    <t>16-26</t>
  </si>
  <si>
    <t>16-27</t>
  </si>
  <si>
    <t>16-28</t>
  </si>
  <si>
    <t>16-29</t>
  </si>
  <si>
    <t>16-30</t>
  </si>
  <si>
    <t>16-31</t>
  </si>
  <si>
    <t>16-32</t>
  </si>
  <si>
    <t>16-33</t>
  </si>
  <si>
    <t>16-34</t>
  </si>
  <si>
    <t>16-35</t>
  </si>
  <si>
    <t>16-36</t>
  </si>
  <si>
    <t>16-37</t>
  </si>
  <si>
    <t>16-38</t>
  </si>
  <si>
    <t>16-39</t>
  </si>
  <si>
    <t>16-40</t>
  </si>
  <si>
    <t>16-41</t>
  </si>
  <si>
    <t>16-42</t>
  </si>
  <si>
    <t>16-43</t>
  </si>
  <si>
    <t>16-44</t>
  </si>
  <si>
    <t>16-45</t>
  </si>
  <si>
    <t>16-46</t>
  </si>
  <si>
    <t>16-47</t>
  </si>
  <si>
    <t>16-48</t>
  </si>
  <si>
    <t>16-49</t>
  </si>
  <si>
    <t>16-50</t>
  </si>
  <si>
    <t>16-51</t>
  </si>
  <si>
    <t>16-52</t>
  </si>
  <si>
    <t>16-53</t>
  </si>
  <si>
    <t>16-54</t>
  </si>
  <si>
    <t>16-55</t>
  </si>
  <si>
    <t>16-56</t>
  </si>
  <si>
    <t>16-57</t>
  </si>
  <si>
    <t>16-58</t>
  </si>
  <si>
    <t>16-59</t>
  </si>
  <si>
    <t>16-60</t>
  </si>
  <si>
    <t>18-1</t>
    <phoneticPr fontId="1" type="noConversion"/>
  </si>
  <si>
    <t>18-2</t>
    <phoneticPr fontId="1" type="noConversion"/>
  </si>
  <si>
    <t>18-3</t>
  </si>
  <si>
    <t>18-4</t>
  </si>
  <si>
    <t>18-5</t>
  </si>
  <si>
    <t>18-6</t>
  </si>
  <si>
    <t>18-7</t>
  </si>
  <si>
    <t>18-8</t>
  </si>
  <si>
    <t>18-9</t>
  </si>
  <si>
    <t>18-10</t>
  </si>
  <si>
    <t>18-11</t>
  </si>
  <si>
    <t>18-12</t>
  </si>
  <si>
    <t>18-13</t>
  </si>
  <si>
    <t>18-14</t>
  </si>
  <si>
    <t>18-15</t>
  </si>
  <si>
    <t>18-16</t>
  </si>
  <si>
    <t>18-17</t>
  </si>
  <si>
    <t>18-18</t>
  </si>
  <si>
    <t>18-19</t>
  </si>
  <si>
    <t>18-20</t>
  </si>
  <si>
    <t>18-21</t>
  </si>
  <si>
    <t>18-22</t>
  </si>
  <si>
    <t>18-23</t>
  </si>
  <si>
    <t>18-24</t>
  </si>
  <si>
    <t>18-25</t>
  </si>
  <si>
    <t>18-26</t>
  </si>
  <si>
    <t>18-27</t>
  </si>
  <si>
    <t>18-28</t>
  </si>
  <si>
    <t>18-29</t>
  </si>
  <si>
    <t>18-30</t>
  </si>
  <si>
    <t>18-31</t>
  </si>
  <si>
    <t>18-32</t>
  </si>
  <si>
    <t>18-33</t>
  </si>
  <si>
    <t>18-34</t>
  </si>
  <si>
    <t>18-35</t>
  </si>
  <si>
    <t>18-36</t>
  </si>
  <si>
    <t>18-37</t>
  </si>
  <si>
    <t>18-38</t>
  </si>
  <si>
    <t>18-39</t>
  </si>
  <si>
    <t>18-40</t>
  </si>
  <si>
    <t>18-41</t>
  </si>
  <si>
    <t>18-42</t>
  </si>
  <si>
    <t>18-43</t>
  </si>
  <si>
    <t>18-44</t>
  </si>
  <si>
    <t>18-45</t>
  </si>
  <si>
    <t>18-46</t>
  </si>
  <si>
    <t>18-47</t>
  </si>
  <si>
    <t>18-48</t>
  </si>
  <si>
    <t>18-49</t>
  </si>
  <si>
    <t>18-50</t>
  </si>
  <si>
    <t>18-51</t>
  </si>
  <si>
    <t>18-52</t>
  </si>
  <si>
    <t>18-53</t>
  </si>
  <si>
    <t>18-54</t>
  </si>
  <si>
    <t>18-55</t>
  </si>
  <si>
    <t>18-56</t>
  </si>
  <si>
    <t>18-57</t>
  </si>
  <si>
    <t>18-58</t>
  </si>
  <si>
    <t>18-59</t>
  </si>
  <si>
    <t>18-60</t>
  </si>
  <si>
    <t>20-1</t>
    <phoneticPr fontId="1" type="noConversion"/>
  </si>
  <si>
    <t>20-2</t>
    <phoneticPr fontId="1" type="noConversion"/>
  </si>
  <si>
    <t>20-3</t>
  </si>
  <si>
    <t>20-4</t>
  </si>
  <si>
    <t>20-5</t>
  </si>
  <si>
    <t>20-6</t>
  </si>
  <si>
    <t>20-7</t>
  </si>
  <si>
    <t>20-8</t>
  </si>
  <si>
    <t>20-9</t>
  </si>
  <si>
    <t>20-10</t>
  </si>
  <si>
    <t>20-11</t>
  </si>
  <si>
    <t>20-12</t>
  </si>
  <si>
    <t>20-13</t>
  </si>
  <si>
    <t>20-14</t>
  </si>
  <si>
    <t>20-15</t>
  </si>
  <si>
    <t>20-16</t>
  </si>
  <si>
    <t>20-17</t>
  </si>
  <si>
    <t>20-18</t>
  </si>
  <si>
    <t>20-19</t>
  </si>
  <si>
    <t>20-20</t>
  </si>
  <si>
    <t>20-21</t>
  </si>
  <si>
    <t>20-22</t>
  </si>
  <si>
    <t>20-23</t>
  </si>
  <si>
    <t>20-24</t>
  </si>
  <si>
    <t>20-25</t>
  </si>
  <si>
    <t>20-26</t>
  </si>
  <si>
    <t>20-27</t>
  </si>
  <si>
    <t>20-28</t>
  </si>
  <si>
    <t>20-29</t>
  </si>
  <si>
    <t>20-30</t>
  </si>
  <si>
    <t>20-31</t>
  </si>
  <si>
    <t>20-32</t>
  </si>
  <si>
    <t>20-33</t>
  </si>
  <si>
    <t>20-34</t>
  </si>
  <si>
    <t>20-35</t>
  </si>
  <si>
    <t>20-36</t>
  </si>
  <si>
    <t>20-37</t>
  </si>
  <si>
    <t>20-38</t>
  </si>
  <si>
    <t>20-39</t>
  </si>
  <si>
    <t>20-40</t>
  </si>
  <si>
    <t>20-41</t>
  </si>
  <si>
    <t>20-42</t>
  </si>
  <si>
    <t>20-43</t>
  </si>
  <si>
    <t>20-44</t>
  </si>
  <si>
    <t>20-45</t>
  </si>
  <si>
    <t>20-46</t>
  </si>
  <si>
    <t>20-47</t>
  </si>
  <si>
    <t>20-48</t>
  </si>
  <si>
    <t>20-49</t>
  </si>
  <si>
    <t>20-50</t>
  </si>
  <si>
    <t>20-51</t>
  </si>
  <si>
    <t>20-52</t>
  </si>
  <si>
    <t>20-53</t>
  </si>
  <si>
    <t>20-54</t>
  </si>
  <si>
    <t>20-55</t>
  </si>
  <si>
    <t>20-56</t>
  </si>
  <si>
    <t>20-57</t>
  </si>
  <si>
    <t>20-58</t>
  </si>
  <si>
    <t>20-59</t>
  </si>
  <si>
    <t>20-60</t>
  </si>
  <si>
    <t>p_sample</t>
    <phoneticPr fontId="1" type="noConversion"/>
  </si>
  <si>
    <t>Power, Extrapolation</t>
    <phoneticPr fontId="1" type="noConversion"/>
  </si>
  <si>
    <t>Fatigue</t>
    <phoneticPr fontId="1" type="noConversion"/>
  </si>
  <si>
    <t>*</t>
    <phoneticPr fontId="1" type="noConversion"/>
  </si>
  <si>
    <t>ETM (Vin&lt;Vhub&lt;Vout)</t>
    <phoneticPr fontId="1" type="noConversion"/>
  </si>
  <si>
    <t>Power + grid loss</t>
    <phoneticPr fontId="1" type="noConversion"/>
  </si>
  <si>
    <t>2) y indicates different brake torque (Min. &amp; Rated &amp; Max.)</t>
    <phoneticPr fontId="1" type="noConversion"/>
  </si>
  <si>
    <t>EWM Recurrence period 1 years</t>
    <phoneticPr fontId="1" type="noConversion"/>
  </si>
  <si>
    <t>NTM (Vhub&lt;Vin, Vhub&lt;0.7*Vref)</t>
    <phoneticPr fontId="1" type="noConversion"/>
  </si>
  <si>
    <t>Azimuth</t>
    <phoneticPr fontId="1" type="noConversion"/>
  </si>
  <si>
    <t>2) y indicates different rotor azimuth angle</t>
    <phoneticPr fontId="1" type="noConversion"/>
  </si>
  <si>
    <t>Mechine left behind with uncompleted drive train maintence - rotor locked, yaw system operational</t>
    <phoneticPr fontId="1" type="noConversion"/>
  </si>
  <si>
    <t>Weibull distribution factor, K</t>
    <phoneticPr fontId="2" type="noConversion"/>
  </si>
  <si>
    <t>DLC33</t>
    <phoneticPr fontId="1" type="noConversion"/>
  </si>
  <si>
    <t>EOG (Vr-2&lt;Vhub&lt;Vout)</t>
    <phoneticPr fontId="1" type="noConversion"/>
  </si>
  <si>
    <t>EDC (Vr-2&lt;Vhub&lt;Vout)</t>
    <phoneticPr fontId="1" type="noConversion"/>
  </si>
  <si>
    <t>2) Regarding to the fatigue contribution, start-up can be seem as an inverse process of normal stop.</t>
    <phoneticPr fontId="1" type="noConversion"/>
  </si>
  <si>
    <t>Rotor and yaw locked</t>
    <phoneticPr fontId="1" type="noConversion"/>
  </si>
  <si>
    <t>NTM Maintenance wind speed plus 5m/s</t>
  </si>
  <si>
    <t>Rotor positioning for pitch system maintenance/pitch system maintenance - rotor locked, yaw system locked</t>
    <phoneticPr fontId="1" type="noConversion"/>
  </si>
  <si>
    <t>Drive system maintenance - rotor locked, yaw system locked</t>
    <phoneticPr fontId="1" type="noConversion"/>
  </si>
  <si>
    <t>1) x is set as "a", which is used as a placeholder</t>
    <phoneticPr fontId="1" type="noConversion"/>
  </si>
  <si>
    <t>ECD (Vhub=Vr-2,Vr,Vr+2)</t>
    <phoneticPr fontId="1" type="noConversion"/>
  </si>
  <si>
    <t>2) y indicates different angle of blade1 stuck</t>
    <phoneticPr fontId="1" type="noConversion"/>
  </si>
  <si>
    <t>Brake/Lock</t>
    <phoneticPr fontId="1" type="noConversion"/>
  </si>
  <si>
    <t>Hours per year</t>
    <phoneticPr fontId="2" type="noConversion"/>
  </si>
  <si>
    <t>H_year</t>
    <phoneticPr fontId="2" type="noConversion"/>
  </si>
  <si>
    <t>2) y indicates different yaw misaligned</t>
    <phoneticPr fontId="1" type="noConversion"/>
  </si>
  <si>
    <t xml:space="preserve">   "01"-"04" indicates the minimum yaw misaligned with different rotor azimuth</t>
    <phoneticPr fontId="1" type="noConversion"/>
  </si>
  <si>
    <t xml:space="preserve">   "05"-"08" indicates the null yaw misaligned with different rotor azimuth</t>
    <phoneticPr fontId="1" type="noConversion"/>
  </si>
  <si>
    <t xml:space="preserve">   "09"-"12" indicates the maximum yaw misaligned with different rotor azimuth</t>
    <phoneticPr fontId="1" type="noConversion"/>
  </si>
  <si>
    <t xml:space="preserve">   "01"-"04" indicates different rotor azimuth with minimum yaw misaligned</t>
    <phoneticPr fontId="1" type="noConversion"/>
  </si>
  <si>
    <t xml:space="preserve">   "05"-"08" indicates different rotor azimuth with null yaw misaligned</t>
    <phoneticPr fontId="1" type="noConversion"/>
  </si>
  <si>
    <t xml:space="preserve">   "09"-"12" indicates different rotor azimuth with maximum yaw misaligned</t>
    <phoneticPr fontId="1" type="noConversion"/>
  </si>
  <si>
    <r>
      <t>EOG1 (Vhub=Vr</t>
    </r>
    <r>
      <rPr>
        <b/>
        <sz val="11"/>
        <rFont val="宋体"/>
        <family val="3"/>
        <charset val="134"/>
      </rPr>
      <t>±</t>
    </r>
    <r>
      <rPr>
        <b/>
        <i/>
        <sz val="11"/>
        <rFont val="Times New Roman"/>
        <family val="1"/>
      </rPr>
      <t>2,Vc,Vout)</t>
    </r>
    <phoneticPr fontId="1" type="noConversion"/>
  </si>
  <si>
    <t>3) zz indicates different yaw misaligned</t>
    <phoneticPr fontId="1" type="noConversion"/>
  </si>
  <si>
    <t>NTM (Vhub=Vr-2,Vr+2,Vout)</t>
    <phoneticPr fontId="1" type="noConversion"/>
  </si>
  <si>
    <t>3)zz indicates different turbulence seed and yaw misaligned</t>
    <phoneticPr fontId="1" type="noConversion"/>
  </si>
  <si>
    <t>1) x indicates different yaw misaligned</t>
    <phoneticPr fontId="1" type="noConversion"/>
  </si>
  <si>
    <t>NTM Maintenance wind speed plus 5m/s</t>
    <phoneticPr fontId="1" type="noConversion"/>
  </si>
  <si>
    <t>NTM Maintenance wind speed plus 5m/s</t>
    <phoneticPr fontId="1" type="noConversion"/>
  </si>
  <si>
    <t>1) This case is coverd by DLC81a and DLC81c.</t>
    <phoneticPr fontId="1" type="noConversion"/>
  </si>
  <si>
    <t>Rotor lock</t>
    <phoneticPr fontId="1" type="noConversion"/>
  </si>
  <si>
    <t>2-phase short circuit</t>
    <phoneticPr fontId="2" type="noConversion"/>
  </si>
  <si>
    <t>3-phase short circuit</t>
    <phoneticPr fontId="2" type="noConversion"/>
  </si>
  <si>
    <t>Fault_para</t>
    <phoneticPr fontId="1" type="noConversion"/>
  </si>
  <si>
    <t>DLC81c, Yerror_1</t>
    <phoneticPr fontId="2" type="noConversion"/>
  </si>
  <si>
    <t>DLC81c, Yerror_2</t>
    <phoneticPr fontId="2" type="noConversion"/>
  </si>
  <si>
    <t>DLC81c, Yerror_3</t>
    <phoneticPr fontId="2" type="noConversion"/>
  </si>
  <si>
    <t>Rotor azimuth for DLC81c</t>
    <phoneticPr fontId="2" type="noConversion"/>
  </si>
  <si>
    <t>DLC81c, Razimuth_1</t>
    <phoneticPr fontId="2" type="noConversion"/>
  </si>
  <si>
    <t>DLC81c, Razimuth_2</t>
    <phoneticPr fontId="2" type="noConversion"/>
  </si>
  <si>
    <t>DLC81c, Razimuth_3</t>
    <phoneticPr fontId="2" type="noConversion"/>
  </si>
  <si>
    <t>trig_start</t>
    <phoneticPr fontId="1" type="noConversion"/>
  </si>
  <si>
    <t>Slipping clutch</t>
    <phoneticPr fontId="2" type="noConversion"/>
  </si>
  <si>
    <t>Static friction</t>
    <phoneticPr fontId="2" type="noConversion"/>
  </si>
  <si>
    <t>Additional stiction</t>
    <phoneticPr fontId="2" type="noConversion"/>
  </si>
  <si>
    <t>Clutch_sf</t>
    <phoneticPr fontId="2" type="noConversion"/>
  </si>
  <si>
    <t>Clutch_as</t>
    <phoneticPr fontId="2" type="noConversion"/>
  </si>
  <si>
    <t xml:space="preserve">Short circuit </t>
    <phoneticPr fontId="2" type="noConversion"/>
  </si>
  <si>
    <t>Simulation output time step</t>
    <phoneticPr fontId="2" type="noConversion"/>
  </si>
  <si>
    <t>Length of output buffer</t>
    <phoneticPr fontId="2" type="noConversion"/>
  </si>
  <si>
    <t>Time step limit Min.</t>
    <phoneticPr fontId="2" type="noConversion"/>
  </si>
  <si>
    <t>Time step limit Max.</t>
    <phoneticPr fontId="2" type="noConversion"/>
  </si>
  <si>
    <t>Time to start writing out</t>
    <phoneticPr fontId="2" type="noConversion"/>
  </si>
  <si>
    <t>Simulation end time</t>
    <phoneticPr fontId="2" type="noConversion"/>
  </si>
  <si>
    <t>Time for short circuit</t>
    <phoneticPr fontId="2" type="noConversion"/>
  </si>
  <si>
    <t>ts_sc</t>
    <phoneticPr fontId="2" type="noConversion"/>
  </si>
  <si>
    <t>buffer_sc</t>
    <phoneticPr fontId="2" type="noConversion"/>
  </si>
  <si>
    <t>t_min_sc</t>
    <phoneticPr fontId="2" type="noConversion"/>
  </si>
  <si>
    <t>t_max_sc</t>
    <phoneticPr fontId="2" type="noConversion"/>
  </si>
  <si>
    <t>t_out_sc</t>
    <phoneticPr fontId="2" type="noConversion"/>
  </si>
  <si>
    <t>t_sim_sc</t>
    <phoneticPr fontId="2" type="noConversion"/>
  </si>
  <si>
    <t>t_sc</t>
    <phoneticPr fontId="2" type="noConversion"/>
  </si>
  <si>
    <t>clutch_sf</t>
    <phoneticPr fontId="1" type="noConversion"/>
  </si>
  <si>
    <t>clutch_as</t>
    <phoneticPr fontId="1" type="noConversion"/>
  </si>
  <si>
    <t>ts_sc</t>
    <phoneticPr fontId="1" type="noConversion"/>
  </si>
  <si>
    <t>buffer_sc</t>
    <phoneticPr fontId="1" type="noConversion"/>
  </si>
  <si>
    <t>t_min_sc</t>
    <phoneticPr fontId="1" type="noConversion"/>
  </si>
  <si>
    <t>t_max_sc</t>
    <phoneticPr fontId="1" type="noConversion"/>
  </si>
  <si>
    <t>t_out_sc</t>
    <phoneticPr fontId="1" type="noConversion"/>
  </si>
  <si>
    <t>t_sim_sc</t>
    <phoneticPr fontId="1" type="noConversion"/>
  </si>
  <si>
    <t>t_sc</t>
    <phoneticPr fontId="1" type="noConversion"/>
  </si>
  <si>
    <t>Short circuit information</t>
    <phoneticPr fontId="1" type="noConversion"/>
  </si>
  <si>
    <t>Start up</t>
    <phoneticPr fontId="2" type="noConversion"/>
  </si>
  <si>
    <t>Initial rotor speed</t>
    <phoneticPr fontId="2" type="noConversion"/>
  </si>
  <si>
    <t>Initial pitch angle</t>
    <phoneticPr fontId="2" type="noConversion"/>
  </si>
  <si>
    <t>start_rpm</t>
    <phoneticPr fontId="2" type="noConversion"/>
  </si>
  <si>
    <t>start_pitch</t>
    <phoneticPr fontId="2" type="noConversion"/>
  </si>
  <si>
    <t>Start up information</t>
    <phoneticPr fontId="1" type="noConversion"/>
  </si>
  <si>
    <t>Start_rmp</t>
    <phoneticPr fontId="1" type="noConversion"/>
  </si>
  <si>
    <t>Start_pitch</t>
    <phoneticPr fontId="1" type="noConversion"/>
  </si>
  <si>
    <t>4-2</t>
    <phoneticPr fontId="1" type="noConversion"/>
  </si>
  <si>
    <t>4-3</t>
    <phoneticPr fontId="1" type="noConversion"/>
  </si>
  <si>
    <t>4-4</t>
    <phoneticPr fontId="1" type="noConversion"/>
  </si>
  <si>
    <t>4-5</t>
  </si>
  <si>
    <t>4-6</t>
  </si>
  <si>
    <t>4-7</t>
  </si>
  <si>
    <t>4-8</t>
  </si>
  <si>
    <t>4-9</t>
  </si>
  <si>
    <t>4-10</t>
  </si>
  <si>
    <t>4-11</t>
  </si>
  <si>
    <t>4-12</t>
  </si>
  <si>
    <t>4-13</t>
  </si>
  <si>
    <t>4-14</t>
  </si>
  <si>
    <t>4-15</t>
  </si>
  <si>
    <t>6-2</t>
    <phoneticPr fontId="1" type="noConversion"/>
  </si>
  <si>
    <t>6-3</t>
    <phoneticPr fontId="1" type="noConversion"/>
  </si>
  <si>
    <t>6-4</t>
  </si>
  <si>
    <t>6-5</t>
  </si>
  <si>
    <t>6-6</t>
  </si>
  <si>
    <t>6-7</t>
  </si>
  <si>
    <t>6-8</t>
  </si>
  <si>
    <t>6-9</t>
  </si>
  <si>
    <t>6-10</t>
  </si>
  <si>
    <t>6-11</t>
  </si>
  <si>
    <t>6-12</t>
  </si>
  <si>
    <t>6-13</t>
  </si>
  <si>
    <t>6-14</t>
  </si>
  <si>
    <t>6-15</t>
  </si>
  <si>
    <t>DLC91</t>
    <phoneticPr fontId="1" type="noConversion"/>
  </si>
  <si>
    <t>Hours of high yaw operating per year</t>
    <phoneticPr fontId="2" type="noConversion"/>
  </si>
  <si>
    <t>Hour of operating with two blade iced per year</t>
    <phoneticPr fontId="2" type="noConversion"/>
  </si>
  <si>
    <t>H_hy</t>
    <phoneticPr fontId="2" type="noConversion"/>
  </si>
  <si>
    <t>Occurrence of N4 overspeed per year</t>
    <phoneticPr fontId="2" type="noConversion"/>
  </si>
  <si>
    <t>Occurrence of Gridloss per year</t>
    <phoneticPr fontId="2" type="noConversion"/>
  </si>
  <si>
    <t xml:space="preserve">Occurrence of startup in cutin speed per year </t>
    <phoneticPr fontId="2" type="noConversion"/>
  </si>
  <si>
    <t xml:space="preserve">Occurrence of startup in rated speed per year </t>
    <phoneticPr fontId="2" type="noConversion"/>
  </si>
  <si>
    <t xml:space="preserve">Occurrence of startup in cutout speed per year </t>
    <phoneticPr fontId="2" type="noConversion"/>
  </si>
  <si>
    <t xml:space="preserve">Occurrence of normal shutdown in cutin speed per year </t>
    <phoneticPr fontId="2" type="noConversion"/>
  </si>
  <si>
    <t xml:space="preserve">Occurrence of normal shutdown in rated speed per year </t>
    <phoneticPr fontId="2" type="noConversion"/>
  </si>
  <si>
    <t xml:space="preserve">Occurrence of normal shutdown in cutout speed per year </t>
    <phoneticPr fontId="2" type="noConversion"/>
  </si>
  <si>
    <t>T_G</t>
    <phoneticPr fontId="2" type="noConversion"/>
  </si>
  <si>
    <t>T_startup1</t>
    <phoneticPr fontId="2" type="noConversion"/>
  </si>
  <si>
    <t>T_startup2</t>
    <phoneticPr fontId="2" type="noConversion"/>
  </si>
  <si>
    <t>T_startup3</t>
    <phoneticPr fontId="2" type="noConversion"/>
  </si>
  <si>
    <t>T_nshut1</t>
  </si>
  <si>
    <t>T_nshut2</t>
  </si>
  <si>
    <t>T_nshut3</t>
  </si>
  <si>
    <t>Occurrence for transient fatigue case</t>
    <phoneticPr fontId="2" type="noConversion"/>
  </si>
  <si>
    <t>T_N4</t>
    <phoneticPr fontId="2" type="noConversion"/>
  </si>
  <si>
    <t>91-xy-zz</t>
    <phoneticPr fontId="1" type="noConversion"/>
  </si>
  <si>
    <t>H_ice</t>
    <phoneticPr fontId="2" type="noConversion"/>
  </si>
  <si>
    <t>Normal operation with 2 blade with ice (ice density 350kg/m^3)</t>
    <phoneticPr fontId="1" type="noConversion"/>
  </si>
  <si>
    <t>DLCT1</t>
    <phoneticPr fontId="1" type="noConversion"/>
  </si>
  <si>
    <t>EOGT1 (Vhub=Vr,Vr+2,Vc,Vout)</t>
    <phoneticPr fontId="1" type="noConversion"/>
  </si>
  <si>
    <t>T1-xy-zz</t>
    <phoneticPr fontId="1" type="noConversion"/>
  </si>
  <si>
    <t>1) x indicates diffirent characteristic wind speeds from rated to cut-out</t>
    <phoneticPr fontId="1" type="noConversion"/>
  </si>
  <si>
    <t>T1_aa-01</t>
  </si>
  <si>
    <t>T1_aa-02</t>
  </si>
  <si>
    <t>T1_aa-03</t>
  </si>
  <si>
    <t>T1_aa-04</t>
  </si>
  <si>
    <t>T1_aa-05</t>
  </si>
  <si>
    <t>T1_aa-06</t>
  </si>
  <si>
    <t>T1_aa-07</t>
  </si>
  <si>
    <t>T1_aa-08</t>
  </si>
  <si>
    <t>T1_aa-09</t>
  </si>
  <si>
    <t>T1_aa-10</t>
  </si>
  <si>
    <t>T1_aa-11</t>
  </si>
  <si>
    <t>T1_aa-12</t>
  </si>
  <si>
    <t>T1_aa-13</t>
  </si>
  <si>
    <t>T1_aa-14</t>
  </si>
  <si>
    <t>T1_aa-15</t>
  </si>
  <si>
    <t>T1_aa-16</t>
  </si>
  <si>
    <t>T1_ab-01</t>
  </si>
  <si>
    <t>T1_ab-02</t>
  </si>
  <si>
    <t>T1_ab-03</t>
  </si>
  <si>
    <t>T1_ab-04</t>
  </si>
  <si>
    <t>T1_ab-05</t>
  </si>
  <si>
    <t>T1_ab-06</t>
  </si>
  <si>
    <t>T1_ab-07</t>
  </si>
  <si>
    <t>T1_ab-08</t>
  </si>
  <si>
    <t>T1_ab-09</t>
  </si>
  <si>
    <t>T1_ab-10</t>
  </si>
  <si>
    <t>T1_ab-11</t>
  </si>
  <si>
    <t>T1_ab-12</t>
  </si>
  <si>
    <t>T1_ab-13</t>
  </si>
  <si>
    <t>T1_ab-14</t>
  </si>
  <si>
    <t>T1_ab-15</t>
  </si>
  <si>
    <t>T1_ab-16</t>
  </si>
  <si>
    <t>T1_ac-01</t>
  </si>
  <si>
    <t>T1_ac-02</t>
  </si>
  <si>
    <t>T1_ac-03</t>
  </si>
  <si>
    <t>T1_ac-04</t>
  </si>
  <si>
    <t>T1_ac-05</t>
  </si>
  <si>
    <t>T1_ac-06</t>
  </si>
  <si>
    <t>T1_ac-07</t>
  </si>
  <si>
    <t>T1_ac-08</t>
  </si>
  <si>
    <t>T1_ac-09</t>
  </si>
  <si>
    <t>T1_ac-10</t>
  </si>
  <si>
    <t>T1_ac-11</t>
  </si>
  <si>
    <t>T1_ac-12</t>
  </si>
  <si>
    <t>T1_ac-13</t>
  </si>
  <si>
    <t>T1_ac-14</t>
  </si>
  <si>
    <t>T1_ac-15</t>
  </si>
  <si>
    <t>T1_ac-16</t>
  </si>
  <si>
    <t>T1_ba-01</t>
  </si>
  <si>
    <t>T1_ba-02</t>
  </si>
  <si>
    <t>T1_ba-03</t>
  </si>
  <si>
    <t>T1_ba-04</t>
  </si>
  <si>
    <t>T1_ba-05</t>
  </si>
  <si>
    <t>T1_ba-06</t>
  </si>
  <si>
    <t>T1_ba-07</t>
  </si>
  <si>
    <t>T1_ba-08</t>
  </si>
  <si>
    <t>T1_ba-09</t>
  </si>
  <si>
    <t>T1_ba-10</t>
  </si>
  <si>
    <t>T1_ba-11</t>
  </si>
  <si>
    <t>T1_ba-12</t>
  </si>
  <si>
    <t>T1_ba-13</t>
  </si>
  <si>
    <t>T1_ba-14</t>
  </si>
  <si>
    <t>T1_ba-15</t>
  </si>
  <si>
    <t>T1_ba-16</t>
  </si>
  <si>
    <t>T1_bb-01</t>
  </si>
  <si>
    <t>T1_bb-02</t>
  </si>
  <si>
    <t>T1_bb-03</t>
  </si>
  <si>
    <t>T1_bb-04</t>
  </si>
  <si>
    <t>T1_bb-05</t>
  </si>
  <si>
    <t>T1_bb-06</t>
  </si>
  <si>
    <t>T1_bb-07</t>
  </si>
  <si>
    <t>T1_bb-08</t>
  </si>
  <si>
    <t>T1_bb-09</t>
  </si>
  <si>
    <t>T1_bb-10</t>
  </si>
  <si>
    <t>T1_bb-11</t>
  </si>
  <si>
    <t>T1_bb-12</t>
  </si>
  <si>
    <t>T1_bb-13</t>
  </si>
  <si>
    <t>T1_bb-14</t>
  </si>
  <si>
    <t>T1_bb-15</t>
  </si>
  <si>
    <t>T1_bb-16</t>
  </si>
  <si>
    <t>T1_bc-01</t>
  </si>
  <si>
    <t>T1_bc-02</t>
  </si>
  <si>
    <t>T1_bc-03</t>
  </si>
  <si>
    <t>T1_bc-04</t>
  </si>
  <si>
    <t>T1_bc-05</t>
  </si>
  <si>
    <t>T1_bc-06</t>
  </si>
  <si>
    <t>T1_bc-07</t>
  </si>
  <si>
    <t>T1_bc-08</t>
  </si>
  <si>
    <t>T1_bc-09</t>
  </si>
  <si>
    <t>T1_bc-10</t>
  </si>
  <si>
    <t>T1_bc-11</t>
  </si>
  <si>
    <t>T1_bc-12</t>
  </si>
  <si>
    <t>T1_bc-13</t>
  </si>
  <si>
    <t>T1_bc-14</t>
  </si>
  <si>
    <t>T1_bc-15</t>
  </si>
  <si>
    <t>T1_bc-16</t>
  </si>
  <si>
    <t>T1_ca-01</t>
  </si>
  <si>
    <t>T1_ca-02</t>
  </si>
  <si>
    <t>T1_ca-03</t>
  </si>
  <si>
    <t>T1_ca-04</t>
  </si>
  <si>
    <t>T1_ca-05</t>
  </si>
  <si>
    <t>T1_ca-06</t>
  </si>
  <si>
    <t>T1_ca-07</t>
  </si>
  <si>
    <t>T1_ca-08</t>
  </si>
  <si>
    <t>T1_ca-09</t>
  </si>
  <si>
    <t>T1_ca-10</t>
  </si>
  <si>
    <t>T1_ca-11</t>
  </si>
  <si>
    <t>T1_ca-12</t>
  </si>
  <si>
    <t>T1_ca-13</t>
  </si>
  <si>
    <t>T1_ca-14</t>
  </si>
  <si>
    <t>T1_ca-15</t>
  </si>
  <si>
    <t>T1_ca-16</t>
  </si>
  <si>
    <t>T1_cb-01</t>
  </si>
  <si>
    <t>T1_cb-02</t>
  </si>
  <si>
    <t>T1_cb-03</t>
  </si>
  <si>
    <t>T1_cb-04</t>
  </si>
  <si>
    <t>T1_cb-05</t>
  </si>
  <si>
    <t>T1_cb-06</t>
  </si>
  <si>
    <t>T1_cb-07</t>
  </si>
  <si>
    <t>T1_cb-08</t>
  </si>
  <si>
    <t>T1_cb-09</t>
  </si>
  <si>
    <t>T1_cb-10</t>
  </si>
  <si>
    <t>T1_cb-11</t>
  </si>
  <si>
    <t>T1_cb-12</t>
  </si>
  <si>
    <t>T1_cb-13</t>
  </si>
  <si>
    <t>T1_cb-14</t>
  </si>
  <si>
    <t>T1_cb-15</t>
  </si>
  <si>
    <t>T1_cb-16</t>
  </si>
  <si>
    <t>T1_cc-01</t>
  </si>
  <si>
    <t>T1_cc-02</t>
  </si>
  <si>
    <t>T1_cc-03</t>
  </si>
  <si>
    <t>T1_cc-04</t>
  </si>
  <si>
    <t>T1_cc-05</t>
  </si>
  <si>
    <t>T1_cc-06</t>
  </si>
  <si>
    <t>T1_cc-07</t>
  </si>
  <si>
    <t>T1_cc-08</t>
  </si>
  <si>
    <t>T1_cc-09</t>
  </si>
  <si>
    <t>T1_cc-10</t>
  </si>
  <si>
    <t>T1_cc-11</t>
  </si>
  <si>
    <t>T1_cc-12</t>
  </si>
  <si>
    <t>T1_cc-13</t>
  </si>
  <si>
    <t>T1_cc-14</t>
  </si>
  <si>
    <t>T1_cc-15</t>
  </si>
  <si>
    <t>T1_cc-16</t>
  </si>
  <si>
    <t>T1_da-01</t>
  </si>
  <si>
    <t>T1_da-02</t>
  </si>
  <si>
    <t>T1_da-03</t>
  </si>
  <si>
    <t>T1_da-04</t>
  </si>
  <si>
    <t>T1_da-05</t>
  </si>
  <si>
    <t>T1_da-06</t>
  </si>
  <si>
    <t>T1_da-07</t>
  </si>
  <si>
    <t>T1_da-08</t>
  </si>
  <si>
    <t>T1_da-09</t>
  </si>
  <si>
    <t>T1_da-10</t>
  </si>
  <si>
    <t>T1_da-11</t>
  </si>
  <si>
    <t>T1_da-12</t>
  </si>
  <si>
    <t>T1_da-13</t>
  </si>
  <si>
    <t>T1_da-14</t>
  </si>
  <si>
    <t>T1_da-15</t>
  </si>
  <si>
    <t>T1_da-16</t>
  </si>
  <si>
    <t>T1_db-01</t>
  </si>
  <si>
    <t>T1_db-02</t>
  </si>
  <si>
    <t>T1_db-03</t>
  </si>
  <si>
    <t>T1_db-04</t>
  </si>
  <si>
    <t>T1_db-05</t>
  </si>
  <si>
    <t>T1_db-06</t>
  </si>
  <si>
    <t>T1_db-07</t>
  </si>
  <si>
    <t>T1_db-08</t>
  </si>
  <si>
    <t>T1_db-09</t>
  </si>
  <si>
    <t>T1_db-10</t>
  </si>
  <si>
    <t>T1_db-11</t>
  </si>
  <si>
    <t>T1_db-12</t>
  </si>
  <si>
    <t>T1_db-13</t>
  </si>
  <si>
    <t>T1_db-14</t>
  </si>
  <si>
    <t>T1_db-15</t>
  </si>
  <si>
    <t>T1_db-16</t>
  </si>
  <si>
    <t>T1_dc-01</t>
  </si>
  <si>
    <t>T1_dc-02</t>
  </si>
  <si>
    <t>T1_dc-03</t>
  </si>
  <si>
    <t>T1_dc-04</t>
  </si>
  <si>
    <t>T1_dc-05</t>
  </si>
  <si>
    <t>T1_dc-06</t>
  </si>
  <si>
    <t>T1_dc-07</t>
  </si>
  <si>
    <t>T1_dc-08</t>
  </si>
  <si>
    <t>T1_dc-09</t>
  </si>
  <si>
    <t>T1_dc-10</t>
  </si>
  <si>
    <t>T1_dc-11</t>
  </si>
  <si>
    <t>T1_dc-12</t>
  </si>
  <si>
    <t>T1_dc-13</t>
  </si>
  <si>
    <t>T1_dc-14</t>
  </si>
  <si>
    <t>T1_dc-15</t>
  </si>
  <si>
    <t>T1_dc-16</t>
  </si>
  <si>
    <t>DLCT2</t>
    <phoneticPr fontId="1" type="noConversion"/>
  </si>
  <si>
    <t>T2-xy-zz</t>
    <phoneticPr fontId="1" type="noConversion"/>
  </si>
  <si>
    <t>T2_aa-01</t>
  </si>
  <si>
    <t>T2_aa-02</t>
  </si>
  <si>
    <t>T2_aa-03</t>
  </si>
  <si>
    <t>T2_aa-04</t>
  </si>
  <si>
    <t>T2_aa-05</t>
  </si>
  <si>
    <t>T2_aa-06</t>
  </si>
  <si>
    <t>T2_aa-07</t>
  </si>
  <si>
    <t>T2_aa-08</t>
  </si>
  <si>
    <t>T2_aa-09</t>
  </si>
  <si>
    <t>T2_aa-10</t>
  </si>
  <si>
    <t>T2_aa-11</t>
  </si>
  <si>
    <t>T2_aa-12</t>
  </si>
  <si>
    <t>T2_aa-13</t>
  </si>
  <si>
    <t>T2_aa-14</t>
  </si>
  <si>
    <t>T2_aa-15</t>
  </si>
  <si>
    <t>T2_aa-16</t>
  </si>
  <si>
    <t>T2_ab-01</t>
  </si>
  <si>
    <t>T2_ab-02</t>
  </si>
  <si>
    <t>T2_ab-03</t>
  </si>
  <si>
    <t>T2_ab-04</t>
  </si>
  <si>
    <t>T2_ab-05</t>
  </si>
  <si>
    <t>T2_ab-06</t>
  </si>
  <si>
    <t>T2_ab-07</t>
  </si>
  <si>
    <t>T2_ab-08</t>
  </si>
  <si>
    <t>T2_ab-09</t>
  </si>
  <si>
    <t>T2_ab-10</t>
  </si>
  <si>
    <t>T2_ab-11</t>
  </si>
  <si>
    <t>T2_ab-12</t>
  </si>
  <si>
    <t>T2_ab-13</t>
  </si>
  <si>
    <t>T2_ab-14</t>
  </si>
  <si>
    <t>T2_ab-15</t>
  </si>
  <si>
    <t>T2_ab-16</t>
  </si>
  <si>
    <t>T2_ac-01</t>
  </si>
  <si>
    <t>T2_ac-02</t>
  </si>
  <si>
    <t>T2_ac-03</t>
  </si>
  <si>
    <t>T2_ac-04</t>
  </si>
  <si>
    <t>T2_ac-05</t>
  </si>
  <si>
    <t>T2_ac-06</t>
  </si>
  <si>
    <t>T2_ac-07</t>
  </si>
  <si>
    <t>T2_ac-08</t>
  </si>
  <si>
    <t>T2_ac-09</t>
  </si>
  <si>
    <t>T2_ac-10</t>
  </si>
  <si>
    <t>T2_ac-11</t>
  </si>
  <si>
    <t>T2_ac-12</t>
  </si>
  <si>
    <t>T2_ac-13</t>
  </si>
  <si>
    <t>T2_ac-14</t>
  </si>
  <si>
    <t>T2_ac-15</t>
  </si>
  <si>
    <t>T2_ac-16</t>
  </si>
  <si>
    <t>T2_ba-01</t>
  </si>
  <si>
    <t>T2_ba-02</t>
  </si>
  <si>
    <t>T2_ba-03</t>
  </si>
  <si>
    <t>T2_ba-04</t>
  </si>
  <si>
    <t>T2_ba-05</t>
  </si>
  <si>
    <t>T2_ba-06</t>
  </si>
  <si>
    <t>T2_ba-07</t>
  </si>
  <si>
    <t>T2_ba-08</t>
  </si>
  <si>
    <t>T2_ba-09</t>
  </si>
  <si>
    <t>T2_ba-10</t>
  </si>
  <si>
    <t>T2_ba-11</t>
  </si>
  <si>
    <t>T2_ba-12</t>
  </si>
  <si>
    <t>T2_ba-13</t>
  </si>
  <si>
    <t>T2_ba-14</t>
  </si>
  <si>
    <t>T2_ba-15</t>
  </si>
  <si>
    <t>T2_ba-16</t>
  </si>
  <si>
    <t>T2_bb-01</t>
  </si>
  <si>
    <t>T2_bb-02</t>
  </si>
  <si>
    <t>T2_bb-03</t>
  </si>
  <si>
    <t>T2_bb-04</t>
  </si>
  <si>
    <t>T2_bb-05</t>
  </si>
  <si>
    <t>T2_bb-06</t>
  </si>
  <si>
    <t>T2_bb-07</t>
  </si>
  <si>
    <t>T2_bb-08</t>
  </si>
  <si>
    <t>T2_bb-09</t>
  </si>
  <si>
    <t>T2_bb-10</t>
  </si>
  <si>
    <t>T2_bb-11</t>
  </si>
  <si>
    <t>T2_bb-12</t>
  </si>
  <si>
    <t>T2_bb-13</t>
  </si>
  <si>
    <t>T2_bb-14</t>
  </si>
  <si>
    <t>T2_bb-15</t>
  </si>
  <si>
    <t>T2_bb-16</t>
  </si>
  <si>
    <t>T2_bc-01</t>
  </si>
  <si>
    <t>T2_bc-02</t>
  </si>
  <si>
    <t>T2_bc-03</t>
  </si>
  <si>
    <t>T2_bc-04</t>
  </si>
  <si>
    <t>T2_bc-05</t>
  </si>
  <si>
    <t>T2_bc-06</t>
  </si>
  <si>
    <t>T2_bc-07</t>
  </si>
  <si>
    <t>T2_bc-08</t>
  </si>
  <si>
    <t>T2_bc-09</t>
  </si>
  <si>
    <t>T2_bc-10</t>
  </si>
  <si>
    <t>T2_bc-11</t>
  </si>
  <si>
    <t>T2_bc-12</t>
  </si>
  <si>
    <t>T2_bc-13</t>
  </si>
  <si>
    <t>T2_bc-14</t>
  </si>
  <si>
    <t>T2_bc-15</t>
  </si>
  <si>
    <t>T2_bc-16</t>
  </si>
  <si>
    <t>T2_ca-01</t>
  </si>
  <si>
    <t>T2_ca-02</t>
  </si>
  <si>
    <t>T2_ca-03</t>
  </si>
  <si>
    <t>T2_ca-04</t>
  </si>
  <si>
    <t>T2_ca-05</t>
  </si>
  <si>
    <t>T2_ca-06</t>
  </si>
  <si>
    <t>T2_ca-07</t>
  </si>
  <si>
    <t>T2_ca-08</t>
  </si>
  <si>
    <t>T2_ca-09</t>
  </si>
  <si>
    <t>T2_ca-10</t>
  </si>
  <si>
    <t>T2_ca-11</t>
  </si>
  <si>
    <t>T2_ca-12</t>
  </si>
  <si>
    <t>T2_ca-13</t>
  </si>
  <si>
    <t>T2_ca-14</t>
  </si>
  <si>
    <t>T2_ca-15</t>
  </si>
  <si>
    <t>T2_ca-16</t>
  </si>
  <si>
    <t>T2_cb-01</t>
  </si>
  <si>
    <t>T2_cb-02</t>
  </si>
  <si>
    <t>T2_cb-03</t>
  </si>
  <si>
    <t>T2_cb-04</t>
  </si>
  <si>
    <t>T2_cb-05</t>
  </si>
  <si>
    <t>T2_cb-06</t>
  </si>
  <si>
    <t>T2_cb-07</t>
  </si>
  <si>
    <t>T2_cb-08</t>
  </si>
  <si>
    <t>T2_cb-09</t>
  </si>
  <si>
    <t>T2_cb-10</t>
  </si>
  <si>
    <t>T2_cb-11</t>
  </si>
  <si>
    <t>T2_cb-12</t>
  </si>
  <si>
    <t>T2_cb-13</t>
  </si>
  <si>
    <t>T2_cb-14</t>
  </si>
  <si>
    <t>T2_cb-15</t>
  </si>
  <si>
    <t>T2_cb-16</t>
  </si>
  <si>
    <t>T2_cc-01</t>
  </si>
  <si>
    <t>T2_cc-02</t>
  </si>
  <si>
    <t>T2_cc-03</t>
  </si>
  <si>
    <t>T2_cc-04</t>
  </si>
  <si>
    <t>T2_cc-05</t>
  </si>
  <si>
    <t>T2_cc-06</t>
  </si>
  <si>
    <t>T2_cc-07</t>
  </si>
  <si>
    <t>T2_cc-08</t>
  </si>
  <si>
    <t>T2_cc-09</t>
  </si>
  <si>
    <t>T2_cc-10</t>
  </si>
  <si>
    <t>T2_cc-11</t>
  </si>
  <si>
    <t>T2_cc-12</t>
  </si>
  <si>
    <t>T2_cc-13</t>
  </si>
  <si>
    <t>T2_cc-14</t>
  </si>
  <si>
    <t>T2_cc-15</t>
  </si>
  <si>
    <t>T2_cc-16</t>
  </si>
  <si>
    <t>T2_da-01</t>
  </si>
  <si>
    <t>T2_da-02</t>
  </si>
  <si>
    <t>T2_da-03</t>
  </si>
  <si>
    <t>T2_da-04</t>
  </si>
  <si>
    <t>T2_da-05</t>
  </si>
  <si>
    <t>T2_da-06</t>
  </si>
  <si>
    <t>T2_da-07</t>
  </si>
  <si>
    <t>T2_da-08</t>
  </si>
  <si>
    <t>T2_da-09</t>
  </si>
  <si>
    <t>T2_da-10</t>
  </si>
  <si>
    <t>T2_da-11</t>
  </si>
  <si>
    <t>T2_da-12</t>
  </si>
  <si>
    <t>T2_da-13</t>
  </si>
  <si>
    <t>T2_da-14</t>
  </si>
  <si>
    <t>T2_da-15</t>
  </si>
  <si>
    <t>T2_da-16</t>
  </si>
  <si>
    <t>T2_db-01</t>
  </si>
  <si>
    <t>T2_db-02</t>
  </si>
  <si>
    <t>T2_db-03</t>
  </si>
  <si>
    <t>T2_db-04</t>
  </si>
  <si>
    <t>T2_db-05</t>
  </si>
  <si>
    <t>T2_db-06</t>
  </si>
  <si>
    <t>T2_db-07</t>
  </si>
  <si>
    <t>T2_db-08</t>
  </si>
  <si>
    <t>T2_db-09</t>
  </si>
  <si>
    <t>T2_db-10</t>
  </si>
  <si>
    <t>T2_db-11</t>
  </si>
  <si>
    <t>T2_db-12</t>
  </si>
  <si>
    <t>T2_db-13</t>
  </si>
  <si>
    <t>T2_db-14</t>
  </si>
  <si>
    <t>T2_db-15</t>
  </si>
  <si>
    <t>T2_db-16</t>
  </si>
  <si>
    <t>T2_dc-01</t>
  </si>
  <si>
    <t>T2_dc-02</t>
  </si>
  <si>
    <t>T2_dc-03</t>
  </si>
  <si>
    <t>T2_dc-04</t>
  </si>
  <si>
    <t>T2_dc-05</t>
  </si>
  <si>
    <t>T2_dc-06</t>
  </si>
  <si>
    <t>T2_dc-07</t>
  </si>
  <si>
    <t>T2_dc-08</t>
  </si>
  <si>
    <t>T2_dc-09</t>
  </si>
  <si>
    <t>T2_dc-10</t>
  </si>
  <si>
    <t>T2_dc-11</t>
  </si>
  <si>
    <t>T2_dc-12</t>
  </si>
  <si>
    <t>T2_dc-13</t>
  </si>
  <si>
    <t>T2_dc-14</t>
  </si>
  <si>
    <t>T2_dc-15</t>
  </si>
  <si>
    <t>T2_dc-16</t>
  </si>
  <si>
    <t>DLCT3</t>
    <phoneticPr fontId="1" type="noConversion"/>
  </si>
  <si>
    <t>T3_aa-01</t>
  </si>
  <si>
    <t>T3_aa-02</t>
  </si>
  <si>
    <t>T3_aa-03</t>
  </si>
  <si>
    <t>T3_aa-04</t>
  </si>
  <si>
    <t>T3_aa-05</t>
  </si>
  <si>
    <t>T3_aa-06</t>
  </si>
  <si>
    <t>T3_aa-07</t>
  </si>
  <si>
    <t>T3_aa-08</t>
  </si>
  <si>
    <t>T3_aa-09</t>
  </si>
  <si>
    <t>T3_aa-10</t>
  </si>
  <si>
    <t>T3_aa-11</t>
  </si>
  <si>
    <t>T3_aa-12</t>
  </si>
  <si>
    <t>T3_ab-01</t>
  </si>
  <si>
    <t>T3_ab-02</t>
  </si>
  <si>
    <t>T3_ab-03</t>
  </si>
  <si>
    <t>T3_ab-04</t>
  </si>
  <si>
    <t>T3_ab-05</t>
  </si>
  <si>
    <t>T3_ab-06</t>
  </si>
  <si>
    <t>T3_ab-07</t>
  </si>
  <si>
    <t>T3_ab-08</t>
  </si>
  <si>
    <t>T3_ab-09</t>
  </si>
  <si>
    <t>T3_ab-10</t>
  </si>
  <si>
    <t>T3_ab-11</t>
  </si>
  <si>
    <t>T3_ab-12</t>
  </si>
  <si>
    <t>T3_ac-01</t>
  </si>
  <si>
    <t>T3_ac-02</t>
  </si>
  <si>
    <t>T3_ac-03</t>
  </si>
  <si>
    <t>T3_ac-04</t>
  </si>
  <si>
    <t>T3_ac-05</t>
  </si>
  <si>
    <t>T3_ac-06</t>
  </si>
  <si>
    <t>T3_ac-07</t>
  </si>
  <si>
    <t>T3_ac-08</t>
  </si>
  <si>
    <t>T3_ac-09</t>
  </si>
  <si>
    <t>T3_ac-10</t>
  </si>
  <si>
    <t>T3_ac-11</t>
  </si>
  <si>
    <t>T3_ac-12</t>
  </si>
  <si>
    <t>T3_ad-01</t>
  </si>
  <si>
    <t>T3_ad-02</t>
  </si>
  <si>
    <t>T3_ad-03</t>
  </si>
  <si>
    <t>T3_ad-04</t>
  </si>
  <si>
    <t>T3_ad-05</t>
  </si>
  <si>
    <t>T3_ad-06</t>
  </si>
  <si>
    <t>T3_ad-07</t>
  </si>
  <si>
    <t>T3_ad-08</t>
  </si>
  <si>
    <t>T3_ad-09</t>
  </si>
  <si>
    <t>T3_ad-10</t>
  </si>
  <si>
    <t>T3_ad-11</t>
  </si>
  <si>
    <t>T3_ad-12</t>
  </si>
  <si>
    <t>T3_ae-01</t>
  </si>
  <si>
    <t>T3_ae-02</t>
  </si>
  <si>
    <t>T3_ae-03</t>
  </si>
  <si>
    <t>T3_ae-04</t>
  </si>
  <si>
    <t>T3_ae-05</t>
  </si>
  <si>
    <t>T3_ae-06</t>
  </si>
  <si>
    <t>T3_ae-07</t>
  </si>
  <si>
    <t>T3_ae-08</t>
  </si>
  <si>
    <t>T3_ae-09</t>
  </si>
  <si>
    <t>T3_ae-10</t>
  </si>
  <si>
    <t>T3_ae-11</t>
  </si>
  <si>
    <t>T3_ae-12</t>
  </si>
  <si>
    <t>T3_af-01</t>
  </si>
  <si>
    <t>T3_af-02</t>
  </si>
  <si>
    <t>T3_af-03</t>
  </si>
  <si>
    <t>T3_af-04</t>
  </si>
  <si>
    <t>T3_af-05</t>
  </si>
  <si>
    <t>T3_af-06</t>
  </si>
  <si>
    <t>T3_af-07</t>
  </si>
  <si>
    <t>T3_af-08</t>
  </si>
  <si>
    <t>T3_af-09</t>
  </si>
  <si>
    <t>T3_af-10</t>
  </si>
  <si>
    <t>T3_af-11</t>
  </si>
  <si>
    <t>T3_af-12</t>
  </si>
  <si>
    <t>T3_ba-01</t>
  </si>
  <si>
    <t>T3_ba-02</t>
  </si>
  <si>
    <t>T3_ba-03</t>
  </si>
  <si>
    <t>T3_ba-04</t>
  </si>
  <si>
    <t>T3_ba-05</t>
  </si>
  <si>
    <t>T3_ba-06</t>
  </si>
  <si>
    <t>T3_ba-07</t>
  </si>
  <si>
    <t>T3_ba-08</t>
  </si>
  <si>
    <t>T3_ba-09</t>
  </si>
  <si>
    <t>T3_ba-10</t>
  </si>
  <si>
    <t>T3_ba-11</t>
  </si>
  <si>
    <t>T3_ba-12</t>
  </si>
  <si>
    <t>T3_bb-01</t>
  </si>
  <si>
    <t>T3_bb-02</t>
  </si>
  <si>
    <t>T3_bb-03</t>
  </si>
  <si>
    <t>T3_bb-04</t>
  </si>
  <si>
    <t>T3_bb-05</t>
  </si>
  <si>
    <t>T3_bb-06</t>
  </si>
  <si>
    <t>T3_bb-07</t>
  </si>
  <si>
    <t>T3_bb-08</t>
  </si>
  <si>
    <t>T3_bb-09</t>
  </si>
  <si>
    <t>T3_bb-10</t>
  </si>
  <si>
    <t>T3_bb-11</t>
  </si>
  <si>
    <t>T3_bb-12</t>
  </si>
  <si>
    <t>T3_bc-01</t>
  </si>
  <si>
    <t>T3_bc-02</t>
  </si>
  <si>
    <t>T3_bc-03</t>
  </si>
  <si>
    <t>T3_bc-04</t>
  </si>
  <si>
    <t>T3_bc-05</t>
  </si>
  <si>
    <t>T3_bc-06</t>
  </si>
  <si>
    <t>T3_bc-07</t>
  </si>
  <si>
    <t>T3_bc-08</t>
  </si>
  <si>
    <t>T3_bc-09</t>
  </si>
  <si>
    <t>T3_bc-10</t>
  </si>
  <si>
    <t>T3_bc-11</t>
  </si>
  <si>
    <t>T3_bc-12</t>
  </si>
  <si>
    <t>T3_bd-01</t>
  </si>
  <si>
    <t>T3_bd-02</t>
  </si>
  <si>
    <t>T3_bd-03</t>
  </si>
  <si>
    <t>T3_bd-04</t>
  </si>
  <si>
    <t>T3_bd-05</t>
  </si>
  <si>
    <t>T3_bd-06</t>
  </si>
  <si>
    <t>T3_bd-07</t>
  </si>
  <si>
    <t>T3_bd-08</t>
  </si>
  <si>
    <t>T3_bd-09</t>
  </si>
  <si>
    <t>T3_bd-10</t>
  </si>
  <si>
    <t>T3_bd-11</t>
  </si>
  <si>
    <t>T3_bd-12</t>
  </si>
  <si>
    <t>T3_be-01</t>
  </si>
  <si>
    <t>T3_be-02</t>
  </si>
  <si>
    <t>T3_be-03</t>
  </si>
  <si>
    <t>T3_be-04</t>
  </si>
  <si>
    <t>T3_be-05</t>
  </si>
  <si>
    <t>T3_be-06</t>
  </si>
  <si>
    <t>T3_be-07</t>
  </si>
  <si>
    <t>T3_be-08</t>
  </si>
  <si>
    <t>T3_be-09</t>
  </si>
  <si>
    <t>T3_be-10</t>
  </si>
  <si>
    <t>T3_be-11</t>
  </si>
  <si>
    <t>T3_be-12</t>
  </si>
  <si>
    <t>T3_bf-01</t>
  </si>
  <si>
    <t>T3_bf-02</t>
  </si>
  <si>
    <t>T3_bf-03</t>
  </si>
  <si>
    <t>T3_bf-04</t>
  </si>
  <si>
    <t>T3_bf-05</t>
  </si>
  <si>
    <t>T3_bf-06</t>
  </si>
  <si>
    <t>T3_bf-07</t>
  </si>
  <si>
    <t>T3_bf-08</t>
  </si>
  <si>
    <t>T3_bf-09</t>
  </si>
  <si>
    <t>T3_bf-10</t>
  </si>
  <si>
    <t>T3_bf-11</t>
  </si>
  <si>
    <t>T3_bf-12</t>
  </si>
  <si>
    <t>T3_ca-01</t>
  </si>
  <si>
    <t>T3_ca-02</t>
  </si>
  <si>
    <t>T3_ca-03</t>
  </si>
  <si>
    <t>T3_ca-04</t>
  </si>
  <si>
    <t>T3_ca-05</t>
  </si>
  <si>
    <t>T3_ca-06</t>
  </si>
  <si>
    <t>T3_ca-07</t>
  </si>
  <si>
    <t>T3_ca-08</t>
  </si>
  <si>
    <t>T3_ca-09</t>
  </si>
  <si>
    <t>T3_ca-10</t>
  </si>
  <si>
    <t>T3_ca-11</t>
  </si>
  <si>
    <t>T3_ca-12</t>
  </si>
  <si>
    <t>T3_cb-01</t>
  </si>
  <si>
    <t>T3_cb-02</t>
  </si>
  <si>
    <t>T3_cb-03</t>
  </si>
  <si>
    <t>T3_cb-04</t>
  </si>
  <si>
    <t>T3_cb-05</t>
  </si>
  <si>
    <t>T3_cb-06</t>
  </si>
  <si>
    <t>T3_cb-07</t>
  </si>
  <si>
    <t>T3_cb-08</t>
  </si>
  <si>
    <t>T3_cb-09</t>
  </si>
  <si>
    <t>T3_cb-10</t>
  </si>
  <si>
    <t>T3_cb-11</t>
  </si>
  <si>
    <t>T3_cb-12</t>
  </si>
  <si>
    <t>T3_cc-01</t>
  </si>
  <si>
    <t>T3_cc-02</t>
  </si>
  <si>
    <t>T3_cc-03</t>
  </si>
  <si>
    <t>T3_cc-04</t>
  </si>
  <si>
    <t>T3_cc-05</t>
  </si>
  <si>
    <t>T3_cc-06</t>
  </si>
  <si>
    <t>T3_cc-07</t>
  </si>
  <si>
    <t>T3_cc-08</t>
  </si>
  <si>
    <t>T3_cc-09</t>
  </si>
  <si>
    <t>T3_cc-10</t>
  </si>
  <si>
    <t>T3_cc-11</t>
  </si>
  <si>
    <t>T3_cc-12</t>
  </si>
  <si>
    <t>T3_cd-01</t>
  </si>
  <si>
    <t>T3_cd-02</t>
  </si>
  <si>
    <t>T3_cd-03</t>
  </si>
  <si>
    <t>T3_cd-04</t>
  </si>
  <si>
    <t>T3_cd-05</t>
  </si>
  <si>
    <t>T3_cd-06</t>
  </si>
  <si>
    <t>T3_cd-07</t>
  </si>
  <si>
    <t>T3_cd-08</t>
  </si>
  <si>
    <t>T3_cd-09</t>
  </si>
  <si>
    <t>T3_cd-10</t>
  </si>
  <si>
    <t>T3_cd-11</t>
  </si>
  <si>
    <t>T3_cd-12</t>
  </si>
  <si>
    <t>T3_ce-01</t>
  </si>
  <si>
    <t>T3_ce-02</t>
  </si>
  <si>
    <t>T3_ce-03</t>
  </si>
  <si>
    <t>T3_ce-04</t>
  </si>
  <si>
    <t>T3_ce-05</t>
  </si>
  <si>
    <t>T3_ce-06</t>
  </si>
  <si>
    <t>T3_ce-07</t>
  </si>
  <si>
    <t>T3_ce-08</t>
  </si>
  <si>
    <t>T3_ce-09</t>
  </si>
  <si>
    <t>T3_ce-10</t>
  </si>
  <si>
    <t>T3_ce-11</t>
  </si>
  <si>
    <t>T3_ce-12</t>
  </si>
  <si>
    <t>T3_cf-01</t>
  </si>
  <si>
    <t>T3_cf-02</t>
  </si>
  <si>
    <t>T3_cf-03</t>
  </si>
  <si>
    <t>T3_cf-04</t>
  </si>
  <si>
    <t>T3_cf-05</t>
  </si>
  <si>
    <t>T3_cf-06</t>
  </si>
  <si>
    <t>T3_cf-07</t>
  </si>
  <si>
    <t>T3_cf-08</t>
  </si>
  <si>
    <t>T3_cf-09</t>
  </si>
  <si>
    <t>T3_cf-10</t>
  </si>
  <si>
    <t>T3_cf-11</t>
  </si>
  <si>
    <t>T3_cf-12</t>
  </si>
  <si>
    <t>T3_da-01</t>
  </si>
  <si>
    <t>T3_da-02</t>
  </si>
  <si>
    <t>T3_da-03</t>
  </si>
  <si>
    <t>T3_da-04</t>
  </si>
  <si>
    <t>T3_da-05</t>
  </si>
  <si>
    <t>T3_da-06</t>
  </si>
  <si>
    <t>T3_da-07</t>
  </si>
  <si>
    <t>T3_da-08</t>
  </si>
  <si>
    <t>T3_da-09</t>
  </si>
  <si>
    <t>T3_da-10</t>
  </si>
  <si>
    <t>T3_da-11</t>
  </si>
  <si>
    <t>T3_da-12</t>
  </si>
  <si>
    <t>T3_db-01</t>
  </si>
  <si>
    <t>T3_db-02</t>
  </si>
  <si>
    <t>T3_db-03</t>
  </si>
  <si>
    <t>T3_db-04</t>
  </si>
  <si>
    <t>T3_db-05</t>
  </si>
  <si>
    <t>T3_db-06</t>
  </si>
  <si>
    <t>T3_db-07</t>
  </si>
  <si>
    <t>T3_db-08</t>
  </si>
  <si>
    <t>T3_db-09</t>
  </si>
  <si>
    <t>T3_db-10</t>
  </si>
  <si>
    <t>T3_db-11</t>
  </si>
  <si>
    <t>T3_db-12</t>
  </si>
  <si>
    <t>T3_dc-01</t>
  </si>
  <si>
    <t>T3_dc-02</t>
  </si>
  <si>
    <t>T3_dc-03</t>
  </si>
  <si>
    <t>T3_dc-04</t>
  </si>
  <si>
    <t>T3_dc-05</t>
  </si>
  <si>
    <t>T3_dc-06</t>
  </si>
  <si>
    <t>T3_dc-07</t>
  </si>
  <si>
    <t>T3_dc-08</t>
  </si>
  <si>
    <t>T3_dc-09</t>
  </si>
  <si>
    <t>T3_dc-10</t>
  </si>
  <si>
    <t>T3_dc-11</t>
  </si>
  <si>
    <t>T3_dc-12</t>
  </si>
  <si>
    <t>T3_dd-01</t>
  </si>
  <si>
    <t>T3_dd-02</t>
  </si>
  <si>
    <t>T3_dd-03</t>
  </si>
  <si>
    <t>T3_dd-04</t>
  </si>
  <si>
    <t>T3_dd-05</t>
  </si>
  <si>
    <t>T3_dd-06</t>
  </si>
  <si>
    <t>T3_dd-07</t>
  </si>
  <si>
    <t>T3_dd-08</t>
  </si>
  <si>
    <t>T3_dd-09</t>
  </si>
  <si>
    <t>T3_dd-10</t>
  </si>
  <si>
    <t>T3_dd-11</t>
  </si>
  <si>
    <t>T3_dd-12</t>
  </si>
  <si>
    <t>T3_de-01</t>
  </si>
  <si>
    <t>T3_de-02</t>
  </si>
  <si>
    <t>T3_de-03</t>
  </si>
  <si>
    <t>T3_de-04</t>
  </si>
  <si>
    <t>T3_de-05</t>
  </si>
  <si>
    <t>T3_de-06</t>
  </si>
  <si>
    <t>T3_de-07</t>
  </si>
  <si>
    <t>T3_de-08</t>
  </si>
  <si>
    <t>T3_de-09</t>
  </si>
  <si>
    <t>T3_de-10</t>
  </si>
  <si>
    <t>T3_de-11</t>
  </si>
  <si>
    <t>T3_de-12</t>
  </si>
  <si>
    <t>T3_df-01</t>
  </si>
  <si>
    <t>T3_df-02</t>
  </si>
  <si>
    <t>T3_df-03</t>
  </si>
  <si>
    <t>T3_df-04</t>
  </si>
  <si>
    <t>T3_df-05</t>
  </si>
  <si>
    <t>T3_df-06</t>
  </si>
  <si>
    <t>T3_df-07</t>
  </si>
  <si>
    <t>T3_df-08</t>
  </si>
  <si>
    <t>T3_df-09</t>
  </si>
  <si>
    <t>T3_df-10</t>
  </si>
  <si>
    <t>T3_df-11</t>
  </si>
  <si>
    <t>T3_df-12</t>
  </si>
  <si>
    <t>2) y indicates different wind direction amplitude and yaw error</t>
    <phoneticPr fontId="1" type="noConversion"/>
  </si>
  <si>
    <t>3) zz indicates rotor azimuth and trig time</t>
    <phoneticPr fontId="1" type="noConversion"/>
  </si>
  <si>
    <t>T3-xy-zz</t>
    <phoneticPr fontId="1" type="noConversion"/>
  </si>
  <si>
    <t>ECD (Vhub=Vr,Vr+2,Vc,Vout)</t>
    <phoneticPr fontId="1" type="noConversion"/>
  </si>
  <si>
    <t>DLCT4</t>
    <phoneticPr fontId="1" type="noConversion"/>
  </si>
  <si>
    <t>T4-xy-zz</t>
    <phoneticPr fontId="1" type="noConversion"/>
  </si>
  <si>
    <t>EDCT (Vhub=Vr,Vr+2,Vc,Vout)</t>
    <phoneticPr fontId="1" type="noConversion"/>
  </si>
  <si>
    <t>deg</t>
    <phoneticPr fontId="1" type="noConversion"/>
  </si>
  <si>
    <t>deg</t>
    <phoneticPr fontId="1" type="noConversion"/>
  </si>
  <si>
    <t>DLCT5</t>
    <phoneticPr fontId="1" type="noConversion"/>
  </si>
  <si>
    <t>ECD (Vhub=Vout,Vout+2)</t>
    <phoneticPr fontId="1" type="noConversion"/>
  </si>
  <si>
    <t>Idling</t>
    <phoneticPr fontId="1" type="noConversion"/>
  </si>
  <si>
    <t>T5-xy-zz</t>
    <phoneticPr fontId="1" type="noConversion"/>
  </si>
  <si>
    <t>1) x indicates Vout, Vout+2</t>
    <phoneticPr fontId="1" type="noConversion"/>
  </si>
  <si>
    <t>T5_aa-01</t>
  </si>
  <si>
    <t>T5_aa-02</t>
  </si>
  <si>
    <t>T5_aa-03</t>
  </si>
  <si>
    <t>T5_aa-04</t>
  </si>
  <si>
    <t>T5_aa-05</t>
  </si>
  <si>
    <t>T5_aa-06</t>
  </si>
  <si>
    <t>T5_aa-07</t>
  </si>
  <si>
    <t>T5_aa-08</t>
  </si>
  <si>
    <t>T5_aa-09</t>
  </si>
  <si>
    <t>T5_aa-10</t>
  </si>
  <si>
    <t>T5_aa-11</t>
  </si>
  <si>
    <t>T5_aa-12</t>
  </si>
  <si>
    <t>T5_ab-01</t>
  </si>
  <si>
    <t>T5_ab-02</t>
  </si>
  <si>
    <t>T5_ab-03</t>
  </si>
  <si>
    <t>T5_ab-04</t>
  </si>
  <si>
    <t>T5_ab-05</t>
  </si>
  <si>
    <t>T5_ab-06</t>
  </si>
  <si>
    <t>T5_ab-07</t>
  </si>
  <si>
    <t>T5_ab-08</t>
  </si>
  <si>
    <t>T5_ab-09</t>
  </si>
  <si>
    <t>T5_ab-10</t>
  </si>
  <si>
    <t>T5_ab-11</t>
  </si>
  <si>
    <t>T5_ab-12</t>
  </si>
  <si>
    <t>T5_ac-01</t>
  </si>
  <si>
    <t>T5_ac-02</t>
  </si>
  <si>
    <t>T5_ac-03</t>
  </si>
  <si>
    <t>T5_ac-04</t>
  </si>
  <si>
    <t>T5_ac-05</t>
  </si>
  <si>
    <t>T5_ac-06</t>
  </si>
  <si>
    <t>T5_ac-07</t>
  </si>
  <si>
    <t>T5_ac-08</t>
  </si>
  <si>
    <t>T5_ac-09</t>
  </si>
  <si>
    <t>T5_ac-10</t>
  </si>
  <si>
    <t>T5_ac-11</t>
  </si>
  <si>
    <t>T5_ac-12</t>
  </si>
  <si>
    <t>T5_ad-01</t>
  </si>
  <si>
    <t>T5_ad-02</t>
  </si>
  <si>
    <t>T5_ad-03</t>
  </si>
  <si>
    <t>T5_ad-04</t>
  </si>
  <si>
    <t>T5_ad-05</t>
  </si>
  <si>
    <t>T5_ad-06</t>
  </si>
  <si>
    <t>T5_ad-07</t>
  </si>
  <si>
    <t>T5_ad-08</t>
  </si>
  <si>
    <t>T5_ad-09</t>
  </si>
  <si>
    <t>T5_ad-10</t>
  </si>
  <si>
    <t>T5_ad-11</t>
  </si>
  <si>
    <t>T5_ad-12</t>
  </si>
  <si>
    <t>T5_ae-01</t>
  </si>
  <si>
    <t>T5_ae-02</t>
  </si>
  <si>
    <t>T5_ae-03</t>
  </si>
  <si>
    <t>T5_ae-04</t>
  </si>
  <si>
    <t>T5_ae-05</t>
  </si>
  <si>
    <t>T5_ae-06</t>
  </si>
  <si>
    <t>T5_ae-07</t>
  </si>
  <si>
    <t>T5_ae-08</t>
  </si>
  <si>
    <t>T5_ae-09</t>
  </si>
  <si>
    <t>T5_ae-10</t>
  </si>
  <si>
    <t>T5_ae-11</t>
  </si>
  <si>
    <t>T5_ae-12</t>
  </si>
  <si>
    <t>T5_af-01</t>
  </si>
  <si>
    <t>T5_af-02</t>
  </si>
  <si>
    <t>T5_af-03</t>
  </si>
  <si>
    <t>T5_af-04</t>
  </si>
  <si>
    <t>T5_af-05</t>
  </si>
  <si>
    <t>T5_af-06</t>
  </si>
  <si>
    <t>T5_af-07</t>
  </si>
  <si>
    <t>T5_af-08</t>
  </si>
  <si>
    <t>T5_af-09</t>
  </si>
  <si>
    <t>T5_af-10</t>
  </si>
  <si>
    <t>T5_af-11</t>
  </si>
  <si>
    <t>T5_af-12</t>
  </si>
  <si>
    <t>T5_ba-01</t>
  </si>
  <si>
    <t>T5_ba-02</t>
  </si>
  <si>
    <t>T5_ba-03</t>
  </si>
  <si>
    <t>T5_ba-04</t>
  </si>
  <si>
    <t>T5_ba-05</t>
  </si>
  <si>
    <t>T5_ba-06</t>
  </si>
  <si>
    <t>T5_ba-07</t>
  </si>
  <si>
    <t>T5_ba-08</t>
  </si>
  <si>
    <t>T5_ba-09</t>
  </si>
  <si>
    <t>T5_ba-10</t>
  </si>
  <si>
    <t>T5_ba-11</t>
  </si>
  <si>
    <t>T5_ba-12</t>
  </si>
  <si>
    <t>T5_bb-01</t>
  </si>
  <si>
    <t>T5_bb-02</t>
  </si>
  <si>
    <t>T5_bb-03</t>
  </si>
  <si>
    <t>T5_bb-04</t>
  </si>
  <si>
    <t>T5_bb-05</t>
  </si>
  <si>
    <t>T5_bb-06</t>
  </si>
  <si>
    <t>T5_bb-07</t>
  </si>
  <si>
    <t>T5_bb-08</t>
  </si>
  <si>
    <t>T5_bb-09</t>
  </si>
  <si>
    <t>T5_bb-10</t>
  </si>
  <si>
    <t>T5_bb-11</t>
  </si>
  <si>
    <t>T5_bb-12</t>
  </si>
  <si>
    <t>T5_bc-01</t>
  </si>
  <si>
    <t>T5_bc-02</t>
  </si>
  <si>
    <t>T5_bc-03</t>
  </si>
  <si>
    <t>T5_bc-04</t>
  </si>
  <si>
    <t>T5_bc-05</t>
  </si>
  <si>
    <t>T5_bc-06</t>
  </si>
  <si>
    <t>T5_bc-07</t>
  </si>
  <si>
    <t>T5_bc-08</t>
  </si>
  <si>
    <t>T5_bc-09</t>
  </si>
  <si>
    <t>T5_bc-10</t>
  </si>
  <si>
    <t>T5_bc-11</t>
  </si>
  <si>
    <t>T5_bc-12</t>
  </si>
  <si>
    <t>T5_bd-01</t>
  </si>
  <si>
    <t>T5_bd-02</t>
  </si>
  <si>
    <t>T5_bd-03</t>
  </si>
  <si>
    <t>T5_bd-04</t>
  </si>
  <si>
    <t>T5_bd-05</t>
  </si>
  <si>
    <t>T5_bd-06</t>
  </si>
  <si>
    <t>T5_bd-07</t>
  </si>
  <si>
    <t>T5_bd-08</t>
  </si>
  <si>
    <t>T5_bd-09</t>
  </si>
  <si>
    <t>T5_bd-10</t>
  </si>
  <si>
    <t>T5_bd-11</t>
  </si>
  <si>
    <t>T5_bd-12</t>
  </si>
  <si>
    <t>T5_be-01</t>
  </si>
  <si>
    <t>T5_be-02</t>
  </si>
  <si>
    <t>T5_be-03</t>
  </si>
  <si>
    <t>T5_be-04</t>
  </si>
  <si>
    <t>T5_be-05</t>
  </si>
  <si>
    <t>T5_be-06</t>
  </si>
  <si>
    <t>T5_be-07</t>
  </si>
  <si>
    <t>T5_be-08</t>
  </si>
  <si>
    <t>T5_be-09</t>
  </si>
  <si>
    <t>T5_be-10</t>
  </si>
  <si>
    <t>T5_be-11</t>
  </si>
  <si>
    <t>T5_be-12</t>
  </si>
  <si>
    <t>T5_bf-01</t>
  </si>
  <si>
    <t>T5_bf-02</t>
  </si>
  <si>
    <t>T5_bf-03</t>
  </si>
  <si>
    <t>T5_bf-04</t>
  </si>
  <si>
    <t>T5_bf-05</t>
  </si>
  <si>
    <t>T5_bf-06</t>
  </si>
  <si>
    <t>T5_bf-07</t>
  </si>
  <si>
    <t>T5_bf-08</t>
  </si>
  <si>
    <t>T5_bf-09</t>
  </si>
  <si>
    <t>T5_bf-10</t>
  </si>
  <si>
    <t>T5_bf-11</t>
  </si>
  <si>
    <t>T5_bf-12</t>
  </si>
  <si>
    <t>DLCT6</t>
    <phoneticPr fontId="1" type="noConversion"/>
  </si>
  <si>
    <t>T4_aa-01</t>
  </si>
  <si>
    <t>T4_aa-02</t>
  </si>
  <si>
    <t>T4_aa-03</t>
  </si>
  <si>
    <t>T4_aa-04</t>
  </si>
  <si>
    <t>T4_aa-05</t>
  </si>
  <si>
    <t>T4_aa-06</t>
  </si>
  <si>
    <t>T4_aa-07</t>
  </si>
  <si>
    <t>T4_aa-08</t>
  </si>
  <si>
    <t>T4_aa-09</t>
  </si>
  <si>
    <t>T4_aa-10</t>
  </si>
  <si>
    <t>T4_aa-11</t>
  </si>
  <si>
    <t>T4_aa-12</t>
  </si>
  <si>
    <t>T4_ab-01</t>
  </si>
  <si>
    <t>T4_ab-02</t>
  </si>
  <si>
    <t>T4_ab-03</t>
  </si>
  <si>
    <t>T4_ab-04</t>
  </si>
  <si>
    <t>T4_ab-05</t>
  </si>
  <si>
    <t>T4_ab-06</t>
  </si>
  <si>
    <t>T4_ab-07</t>
  </si>
  <si>
    <t>T4_ab-08</t>
  </si>
  <si>
    <t>T4_ab-09</t>
  </si>
  <si>
    <t>T4_ab-10</t>
  </si>
  <si>
    <t>T4_ab-11</t>
  </si>
  <si>
    <t>T4_ab-12</t>
  </si>
  <si>
    <t>T4_ac-01</t>
  </si>
  <si>
    <t>T4_ac-02</t>
  </si>
  <si>
    <t>T4_ac-03</t>
  </si>
  <si>
    <t>T4_ac-04</t>
  </si>
  <si>
    <t>T4_ac-05</t>
  </si>
  <si>
    <t>T4_ac-06</t>
  </si>
  <si>
    <t>T4_ac-07</t>
  </si>
  <si>
    <t>T4_ac-08</t>
  </si>
  <si>
    <t>T4_ac-09</t>
  </si>
  <si>
    <t>T4_ac-10</t>
  </si>
  <si>
    <t>T4_ac-11</t>
  </si>
  <si>
    <t>T4_ac-12</t>
  </si>
  <si>
    <t>T4_ad-01</t>
  </si>
  <si>
    <t>T4_ad-02</t>
  </si>
  <si>
    <t>T4_ad-03</t>
  </si>
  <si>
    <t>T4_ad-04</t>
  </si>
  <si>
    <t>T4_ad-05</t>
  </si>
  <si>
    <t>T4_ad-06</t>
  </si>
  <si>
    <t>T4_ad-07</t>
  </si>
  <si>
    <t>T4_ad-08</t>
  </si>
  <si>
    <t>T4_ad-09</t>
  </si>
  <si>
    <t>T4_ad-10</t>
  </si>
  <si>
    <t>T4_ad-11</t>
  </si>
  <si>
    <t>T4_ad-12</t>
  </si>
  <si>
    <t>T4_ae-01</t>
  </si>
  <si>
    <t>T4_ae-02</t>
  </si>
  <si>
    <t>T4_ae-03</t>
  </si>
  <si>
    <t>T4_ae-04</t>
  </si>
  <si>
    <t>T4_ae-05</t>
  </si>
  <si>
    <t>T4_ae-06</t>
  </si>
  <si>
    <t>T4_ae-07</t>
  </si>
  <si>
    <t>T4_ae-08</t>
  </si>
  <si>
    <t>T4_ae-09</t>
  </si>
  <si>
    <t>T4_ae-10</t>
  </si>
  <si>
    <t>T4_ae-11</t>
  </si>
  <si>
    <t>T4_ae-12</t>
  </si>
  <si>
    <t>T4_af-01</t>
  </si>
  <si>
    <t>T4_af-02</t>
  </si>
  <si>
    <t>T4_af-03</t>
  </si>
  <si>
    <t>T4_af-04</t>
  </si>
  <si>
    <t>T4_af-05</t>
  </si>
  <si>
    <t>T4_af-06</t>
  </si>
  <si>
    <t>T4_af-07</t>
  </si>
  <si>
    <t>T4_af-08</t>
  </si>
  <si>
    <t>T4_af-09</t>
  </si>
  <si>
    <t>T4_af-10</t>
  </si>
  <si>
    <t>T4_af-11</t>
  </si>
  <si>
    <t>T4_af-12</t>
  </si>
  <si>
    <t>T4_ba-01</t>
  </si>
  <si>
    <t>T4_ba-02</t>
  </si>
  <si>
    <t>T4_ba-03</t>
  </si>
  <si>
    <t>T4_ba-04</t>
  </si>
  <si>
    <t>T4_ba-05</t>
  </si>
  <si>
    <t>T4_ba-06</t>
  </si>
  <si>
    <t>T4_ba-07</t>
  </si>
  <si>
    <t>T4_ba-08</t>
  </si>
  <si>
    <t>T4_ba-09</t>
  </si>
  <si>
    <t>T4_ba-10</t>
  </si>
  <si>
    <t>T4_ba-11</t>
  </si>
  <si>
    <t>T4_ba-12</t>
  </si>
  <si>
    <t>T4_bb-01</t>
  </si>
  <si>
    <t>T4_bb-02</t>
  </si>
  <si>
    <t>T4_bb-03</t>
  </si>
  <si>
    <t>T4_bb-04</t>
  </si>
  <si>
    <t>T4_bb-05</t>
  </si>
  <si>
    <t>T4_bb-06</t>
  </si>
  <si>
    <t>T4_bb-07</t>
  </si>
  <si>
    <t>T4_bb-08</t>
  </si>
  <si>
    <t>T4_bb-09</t>
  </si>
  <si>
    <t>T4_bb-10</t>
  </si>
  <si>
    <t>T4_bb-11</t>
  </si>
  <si>
    <t>T4_bb-12</t>
  </si>
  <si>
    <t>T4_bc-01</t>
  </si>
  <si>
    <t>T4_bc-02</t>
  </si>
  <si>
    <t>T4_bc-03</t>
  </si>
  <si>
    <t>T4_bc-04</t>
  </si>
  <si>
    <t>T4_bc-05</t>
  </si>
  <si>
    <t>T4_bc-06</t>
  </si>
  <si>
    <t>T4_bc-07</t>
  </si>
  <si>
    <t>T4_bc-08</t>
  </si>
  <si>
    <t>T4_bc-09</t>
  </si>
  <si>
    <t>T4_bc-10</t>
  </si>
  <si>
    <t>T4_bc-11</t>
  </si>
  <si>
    <t>T4_bc-12</t>
  </si>
  <si>
    <t>T4_bd-01</t>
  </si>
  <si>
    <t>T4_bd-02</t>
  </si>
  <si>
    <t>T4_bd-03</t>
  </si>
  <si>
    <t>T4_bd-04</t>
  </si>
  <si>
    <t>T4_bd-05</t>
  </si>
  <si>
    <t>T4_bd-06</t>
  </si>
  <si>
    <t>T4_bd-07</t>
  </si>
  <si>
    <t>T4_bd-08</t>
  </si>
  <si>
    <t>T4_bd-09</t>
  </si>
  <si>
    <t>T4_bd-10</t>
  </si>
  <si>
    <t>T4_bd-11</t>
  </si>
  <si>
    <t>T4_bd-12</t>
  </si>
  <si>
    <t>T4_be-01</t>
  </si>
  <si>
    <t>T4_be-02</t>
  </si>
  <si>
    <t>T4_be-03</t>
  </si>
  <si>
    <t>T4_be-04</t>
  </si>
  <si>
    <t>T4_be-05</t>
  </si>
  <si>
    <t>T4_be-06</t>
  </si>
  <si>
    <t>T4_be-07</t>
  </si>
  <si>
    <t>T4_be-08</t>
  </si>
  <si>
    <t>T4_be-09</t>
  </si>
  <si>
    <t>T4_be-10</t>
  </si>
  <si>
    <t>T4_be-11</t>
  </si>
  <si>
    <t>T4_be-12</t>
  </si>
  <si>
    <t>T4_bf-01</t>
  </si>
  <si>
    <t>T4_bf-02</t>
  </si>
  <si>
    <t>T4_bf-03</t>
  </si>
  <si>
    <t>T4_bf-04</t>
  </si>
  <si>
    <t>T4_bf-05</t>
  </si>
  <si>
    <t>T4_bf-06</t>
  </si>
  <si>
    <t>T4_bf-07</t>
  </si>
  <si>
    <t>T4_bf-08</t>
  </si>
  <si>
    <t>T4_bf-09</t>
  </si>
  <si>
    <t>T4_bf-10</t>
  </si>
  <si>
    <t>T4_bf-11</t>
  </si>
  <si>
    <t>T4_bf-12</t>
  </si>
  <si>
    <t>T4_ca-01</t>
  </si>
  <si>
    <t>T4_ca-02</t>
  </si>
  <si>
    <t>T4_ca-03</t>
  </si>
  <si>
    <t>T4_ca-04</t>
  </si>
  <si>
    <t>T4_ca-05</t>
  </si>
  <si>
    <t>T4_ca-06</t>
  </si>
  <si>
    <t>T4_ca-07</t>
  </si>
  <si>
    <t>T4_ca-08</t>
  </si>
  <si>
    <t>T4_ca-09</t>
  </si>
  <si>
    <t>T4_ca-10</t>
  </si>
  <si>
    <t>T4_ca-11</t>
  </si>
  <si>
    <t>T4_ca-12</t>
  </si>
  <si>
    <t>T4_cb-01</t>
  </si>
  <si>
    <t>T4_cb-02</t>
  </si>
  <si>
    <t>T4_cb-03</t>
  </si>
  <si>
    <t>T4_cb-04</t>
  </si>
  <si>
    <t>T4_cb-05</t>
  </si>
  <si>
    <t>T4_cb-06</t>
  </si>
  <si>
    <t>T4_cb-07</t>
  </si>
  <si>
    <t>T4_cb-08</t>
  </si>
  <si>
    <t>T4_cb-09</t>
  </si>
  <si>
    <t>T4_cb-10</t>
  </si>
  <si>
    <t>T4_cb-11</t>
  </si>
  <si>
    <t>T4_cb-12</t>
  </si>
  <si>
    <t>T4_cc-01</t>
  </si>
  <si>
    <t>T4_cc-02</t>
  </si>
  <si>
    <t>T4_cc-03</t>
  </si>
  <si>
    <t>T4_cc-04</t>
  </si>
  <si>
    <t>T4_cc-05</t>
  </si>
  <si>
    <t>T4_cc-06</t>
  </si>
  <si>
    <t>T4_cc-07</t>
  </si>
  <si>
    <t>T4_cc-08</t>
  </si>
  <si>
    <t>T4_cc-09</t>
  </si>
  <si>
    <t>T4_cc-10</t>
  </si>
  <si>
    <t>T4_cc-11</t>
  </si>
  <si>
    <t>T4_cc-12</t>
  </si>
  <si>
    <t>T4_cd-01</t>
  </si>
  <si>
    <t>T4_cd-02</t>
  </si>
  <si>
    <t>T4_cd-03</t>
  </si>
  <si>
    <t>T4_cd-04</t>
  </si>
  <si>
    <t>T4_cd-05</t>
  </si>
  <si>
    <t>T4_cd-06</t>
  </si>
  <si>
    <t>T4_cd-07</t>
  </si>
  <si>
    <t>T4_cd-08</t>
  </si>
  <si>
    <t>T4_cd-09</t>
  </si>
  <si>
    <t>T4_cd-10</t>
  </si>
  <si>
    <t>T4_cd-11</t>
  </si>
  <si>
    <t>T4_cd-12</t>
  </si>
  <si>
    <t>T4_ce-01</t>
  </si>
  <si>
    <t>T4_ce-02</t>
  </si>
  <si>
    <t>T4_ce-03</t>
  </si>
  <si>
    <t>T4_ce-04</t>
  </si>
  <si>
    <t>T4_ce-05</t>
  </si>
  <si>
    <t>T4_ce-06</t>
  </si>
  <si>
    <t>T4_ce-07</t>
  </si>
  <si>
    <t>T4_ce-08</t>
  </si>
  <si>
    <t>T4_ce-09</t>
  </si>
  <si>
    <t>T4_ce-10</t>
  </si>
  <si>
    <t>T4_ce-11</t>
  </si>
  <si>
    <t>T4_ce-12</t>
  </si>
  <si>
    <t>T4_cf-01</t>
  </si>
  <si>
    <t>T4_cf-02</t>
  </si>
  <si>
    <t>T4_cf-03</t>
  </si>
  <si>
    <t>T4_cf-04</t>
  </si>
  <si>
    <t>T4_cf-05</t>
  </si>
  <si>
    <t>T4_cf-06</t>
  </si>
  <si>
    <t>T4_cf-07</t>
  </si>
  <si>
    <t>T4_cf-08</t>
  </si>
  <si>
    <t>T4_cf-09</t>
  </si>
  <si>
    <t>T4_cf-10</t>
  </si>
  <si>
    <t>T4_cf-11</t>
  </si>
  <si>
    <t>T4_cf-12</t>
  </si>
  <si>
    <t>T4_da-01</t>
  </si>
  <si>
    <t>T4_da-02</t>
  </si>
  <si>
    <t>T4_da-03</t>
  </si>
  <si>
    <t>T4_da-04</t>
  </si>
  <si>
    <t>T4_da-05</t>
  </si>
  <si>
    <t>T4_da-06</t>
  </si>
  <si>
    <t>T4_da-07</t>
  </si>
  <si>
    <t>T4_da-08</t>
  </si>
  <si>
    <t>T4_da-09</t>
  </si>
  <si>
    <t>T4_da-10</t>
  </si>
  <si>
    <t>T4_da-11</t>
  </si>
  <si>
    <t>T4_da-12</t>
  </si>
  <si>
    <t>T4_db-01</t>
  </si>
  <si>
    <t>T4_db-02</t>
  </si>
  <si>
    <t>T4_db-03</t>
  </si>
  <si>
    <t>T4_db-04</t>
  </si>
  <si>
    <t>T4_db-05</t>
  </si>
  <si>
    <t>T4_db-06</t>
  </si>
  <si>
    <t>T4_db-07</t>
  </si>
  <si>
    <t>T4_db-08</t>
  </si>
  <si>
    <t>T4_db-09</t>
  </si>
  <si>
    <t>T4_db-10</t>
  </si>
  <si>
    <t>T4_db-11</t>
  </si>
  <si>
    <t>T4_db-12</t>
  </si>
  <si>
    <t>T4_dc-01</t>
  </si>
  <si>
    <t>T4_dc-02</t>
  </si>
  <si>
    <t>T4_dc-03</t>
  </si>
  <si>
    <t>T4_dc-04</t>
  </si>
  <si>
    <t>T4_dc-05</t>
  </si>
  <si>
    <t>T4_dc-06</t>
  </si>
  <si>
    <t>T4_dc-07</t>
  </si>
  <si>
    <t>T4_dc-08</t>
  </si>
  <si>
    <t>T4_dc-09</t>
  </si>
  <si>
    <t>T4_dc-10</t>
  </si>
  <si>
    <t>T4_dc-11</t>
  </si>
  <si>
    <t>T4_dc-12</t>
  </si>
  <si>
    <t>T4_dd-01</t>
  </si>
  <si>
    <t>T4_dd-02</t>
  </si>
  <si>
    <t>T4_dd-03</t>
  </si>
  <si>
    <t>T4_dd-04</t>
  </si>
  <si>
    <t>T4_dd-05</t>
  </si>
  <si>
    <t>T4_dd-06</t>
  </si>
  <si>
    <t>T4_dd-07</t>
  </si>
  <si>
    <t>T4_dd-08</t>
  </si>
  <si>
    <t>T4_dd-09</t>
  </si>
  <si>
    <t>T4_dd-10</t>
  </si>
  <si>
    <t>T4_dd-11</t>
  </si>
  <si>
    <t>T4_dd-12</t>
  </si>
  <si>
    <t>T4_de-01</t>
  </si>
  <si>
    <t>T4_de-02</t>
  </si>
  <si>
    <t>T4_de-03</t>
  </si>
  <si>
    <t>T4_de-04</t>
  </si>
  <si>
    <t>T4_de-05</t>
  </si>
  <si>
    <t>T4_de-06</t>
  </si>
  <si>
    <t>T4_de-07</t>
  </si>
  <si>
    <t>T4_de-08</t>
  </si>
  <si>
    <t>T4_de-09</t>
  </si>
  <si>
    <t>T4_de-10</t>
  </si>
  <si>
    <t>T4_de-11</t>
  </si>
  <si>
    <t>T4_de-12</t>
  </si>
  <si>
    <t>T4_df-01</t>
  </si>
  <si>
    <t>T4_df-02</t>
  </si>
  <si>
    <t>T4_df-03</t>
  </si>
  <si>
    <t>T4_df-04</t>
  </si>
  <si>
    <t>T4_df-05</t>
  </si>
  <si>
    <t>T4_df-06</t>
  </si>
  <si>
    <t>T4_df-07</t>
  </si>
  <si>
    <t>T4_df-08</t>
  </si>
  <si>
    <t>T4_df-09</t>
  </si>
  <si>
    <t>T4_df-10</t>
  </si>
  <si>
    <t>T4_df-11</t>
  </si>
  <si>
    <t>T4_df-12</t>
  </si>
  <si>
    <t>T6-xy-zz</t>
    <phoneticPr fontId="1" type="noConversion"/>
  </si>
  <si>
    <t>EDCT (Vhub=Vout, 0.6*VTref, 0.7*VTref)</t>
    <phoneticPr fontId="1" type="noConversion"/>
  </si>
  <si>
    <t>Reference typhoon speed</t>
    <phoneticPr fontId="2" type="noConversion"/>
  </si>
  <si>
    <t>V_Tref</t>
    <phoneticPr fontId="2" type="noConversion"/>
  </si>
  <si>
    <t>EDC_T, rise time</t>
    <phoneticPr fontId="2" type="noConversion"/>
  </si>
  <si>
    <t>EDC_T, T</t>
    <phoneticPr fontId="2" type="noConversion"/>
  </si>
  <si>
    <t>T6_aa-01</t>
  </si>
  <si>
    <t>T6_aa-02</t>
  </si>
  <si>
    <t>T6_aa-03</t>
  </si>
  <si>
    <t>T6_aa-04</t>
  </si>
  <si>
    <t>T6_aa-05</t>
  </si>
  <si>
    <t>T6_aa-06</t>
  </si>
  <si>
    <t>T6_aa-07</t>
  </si>
  <si>
    <t>T6_aa-08</t>
  </si>
  <si>
    <t>T6_aa-09</t>
  </si>
  <si>
    <t>T6_aa-10</t>
  </si>
  <si>
    <t>T6_aa-11</t>
  </si>
  <si>
    <t>T6_aa-12</t>
  </si>
  <si>
    <t>T6_ab-01</t>
  </si>
  <si>
    <t>T6_ab-02</t>
  </si>
  <si>
    <t>T6_ab-03</t>
  </si>
  <si>
    <t>T6_ab-04</t>
  </si>
  <si>
    <t>T6_ab-05</t>
  </si>
  <si>
    <t>T6_ab-06</t>
  </si>
  <si>
    <t>T6_ab-07</t>
  </si>
  <si>
    <t>T6_ab-08</t>
  </si>
  <si>
    <t>T6_ab-09</t>
  </si>
  <si>
    <t>T6_ab-10</t>
  </si>
  <si>
    <t>T6_ab-11</t>
  </si>
  <si>
    <t>T6_ab-12</t>
  </si>
  <si>
    <t>T6_ba-01</t>
  </si>
  <si>
    <t>T6_ba-02</t>
  </si>
  <si>
    <t>T6_ba-03</t>
  </si>
  <si>
    <t>T6_ba-04</t>
  </si>
  <si>
    <t>T6_ba-05</t>
  </si>
  <si>
    <t>T6_ba-06</t>
  </si>
  <si>
    <t>T6_ba-07</t>
  </si>
  <si>
    <t>T6_ba-08</t>
  </si>
  <si>
    <t>T6_ba-09</t>
  </si>
  <si>
    <t>T6_ba-10</t>
  </si>
  <si>
    <t>T6_ba-11</t>
  </si>
  <si>
    <t>T6_ba-12</t>
  </si>
  <si>
    <t>T6_bb-01</t>
  </si>
  <si>
    <t>T6_bb-02</t>
  </si>
  <si>
    <t>T6_bb-03</t>
  </si>
  <si>
    <t>T6_bb-04</t>
  </si>
  <si>
    <t>T6_bb-05</t>
  </si>
  <si>
    <t>T6_bb-06</t>
  </si>
  <si>
    <t>T6_bb-07</t>
  </si>
  <si>
    <t>T6_bb-08</t>
  </si>
  <si>
    <t>T6_bb-09</t>
  </si>
  <si>
    <t>T6_bb-10</t>
  </si>
  <si>
    <t>T6_bb-11</t>
  </si>
  <si>
    <t>T6_bb-12</t>
  </si>
  <si>
    <t>T6_ca-01</t>
  </si>
  <si>
    <t>T6_ca-02</t>
  </si>
  <si>
    <t>T6_ca-03</t>
  </si>
  <si>
    <t>T6_ca-04</t>
  </si>
  <si>
    <t>T6_ca-05</t>
  </si>
  <si>
    <t>T6_ca-06</t>
  </si>
  <si>
    <t>T6_ca-07</t>
  </si>
  <si>
    <t>T6_ca-08</t>
  </si>
  <si>
    <t>T6_ca-09</t>
  </si>
  <si>
    <t>T6_ca-10</t>
  </si>
  <si>
    <t>T6_ca-11</t>
  </si>
  <si>
    <t>T6_ca-12</t>
  </si>
  <si>
    <t>T6_cb-01</t>
  </si>
  <si>
    <t>T6_cb-02</t>
  </si>
  <si>
    <t>T6_cb-03</t>
  </si>
  <si>
    <t>T6_cb-04</t>
  </si>
  <si>
    <t>T6_cb-05</t>
  </si>
  <si>
    <t>T6_cb-06</t>
  </si>
  <si>
    <t>T6_cb-07</t>
  </si>
  <si>
    <t>T6_cb-08</t>
  </si>
  <si>
    <t>T6_cb-09</t>
  </si>
  <si>
    <t>T6_cb-10</t>
  </si>
  <si>
    <t>T6_cb-11</t>
  </si>
  <si>
    <t>T6_cb-12</t>
  </si>
  <si>
    <t>1) x indicates diffirent characteristic wind speeds from cut-out to 0.7*V_tref</t>
    <phoneticPr fontId="1" type="noConversion"/>
  </si>
  <si>
    <t xml:space="preserve">2) y indicates different wind direction amplitude </t>
    <phoneticPr fontId="1" type="noConversion"/>
  </si>
  <si>
    <t>3) zz indicates rotor azimuth and yaw error</t>
    <phoneticPr fontId="1" type="noConversion"/>
  </si>
  <si>
    <t>DLCT7</t>
    <phoneticPr fontId="1" type="noConversion"/>
  </si>
  <si>
    <t>EWS (V_Tref)</t>
    <phoneticPr fontId="1" type="noConversion"/>
  </si>
  <si>
    <t>T7-xy-zz</t>
    <phoneticPr fontId="1" type="noConversion"/>
  </si>
  <si>
    <t>DLCT8</t>
    <phoneticPr fontId="1" type="noConversion"/>
  </si>
  <si>
    <t>EOGT50 (Vhub=Vout, 0.6*VTref, 0.7*VTref)</t>
    <phoneticPr fontId="1" type="noConversion"/>
  </si>
  <si>
    <t>T8_aa-01</t>
  </si>
  <si>
    <t>T8_aa-02</t>
  </si>
  <si>
    <t>T8_aa-03</t>
  </si>
  <si>
    <t>T8_aa-04</t>
  </si>
  <si>
    <t>T8_ab-01</t>
  </si>
  <si>
    <t>T8_ab-02</t>
  </si>
  <si>
    <t>T8_ab-03</t>
  </si>
  <si>
    <t>T8_ab-04</t>
  </si>
  <si>
    <t>T8_ac-01</t>
  </si>
  <si>
    <t>T8_ac-02</t>
  </si>
  <si>
    <t>T8_ac-03</t>
  </si>
  <si>
    <t>T8_ac-04</t>
  </si>
  <si>
    <t>T8_ba-01</t>
  </si>
  <si>
    <t>T8_ba-02</t>
  </si>
  <si>
    <t>T8_ba-03</t>
  </si>
  <si>
    <t>T8_ba-04</t>
  </si>
  <si>
    <t>T8_bb-01</t>
  </si>
  <si>
    <t>T8_bb-02</t>
  </si>
  <si>
    <t>T8_bb-03</t>
  </si>
  <si>
    <t>T8_bb-04</t>
  </si>
  <si>
    <t>T8_bc-01</t>
  </si>
  <si>
    <t>T8_bc-02</t>
  </si>
  <si>
    <t>T8_bc-03</t>
  </si>
  <si>
    <t>T8_bc-04</t>
  </si>
  <si>
    <t>T8_ca-01</t>
  </si>
  <si>
    <t>T8_ca-02</t>
  </si>
  <si>
    <t>T8_ca-03</t>
  </si>
  <si>
    <t>T8_ca-04</t>
  </si>
  <si>
    <t>T8_cb-01</t>
  </si>
  <si>
    <t>T8_cb-02</t>
  </si>
  <si>
    <t>T8_cb-03</t>
  </si>
  <si>
    <t>T8_cb-04</t>
  </si>
  <si>
    <t>T8_cc-01</t>
  </si>
  <si>
    <t>T8_cc-02</t>
  </si>
  <si>
    <t>T8_cc-03</t>
  </si>
  <si>
    <t>T8_cc-04</t>
  </si>
  <si>
    <t xml:space="preserve">   "01"-"04" indicates different rotor azimuth </t>
    <phoneticPr fontId="1" type="noConversion"/>
  </si>
  <si>
    <t>Typhoon speed. At hub height recurrence 1 years</t>
    <phoneticPr fontId="2" type="noConversion"/>
  </si>
  <si>
    <t>V_T1</t>
    <phoneticPr fontId="2" type="noConversion"/>
  </si>
  <si>
    <t>DLCT9</t>
    <phoneticPr fontId="1" type="noConversion"/>
  </si>
  <si>
    <t>TTM Recurrence period 1 years</t>
    <phoneticPr fontId="1" type="noConversion"/>
  </si>
  <si>
    <t>T9-xy-zz</t>
    <phoneticPr fontId="1" type="noConversion"/>
  </si>
  <si>
    <t>Terrain condition for typhoon turbulence model</t>
    <phoneticPr fontId="2" type="noConversion"/>
  </si>
  <si>
    <t>0-flat  /  1-complex</t>
    <phoneticPr fontId="2" type="noConversion"/>
  </si>
  <si>
    <t>1) x is set as "a", which indicates V_T1</t>
    <phoneticPr fontId="1" type="noConversion"/>
  </si>
  <si>
    <t>DLCT10</t>
    <phoneticPr fontId="1" type="noConversion"/>
  </si>
  <si>
    <t>T9_aa#01</t>
  </si>
  <si>
    <t>T9_aa#02</t>
  </si>
  <si>
    <t>T9_aa#03</t>
  </si>
  <si>
    <t>T9_aa#04</t>
  </si>
  <si>
    <t>T9_aa#05</t>
  </si>
  <si>
    <t>T9_aa#06</t>
  </si>
  <si>
    <t>T9_ab#01</t>
  </si>
  <si>
    <t>T9_ab#02</t>
  </si>
  <si>
    <t>T9_ab#03</t>
  </si>
  <si>
    <t>T9_ab#04</t>
  </si>
  <si>
    <t>T9_ab#05</t>
  </si>
  <si>
    <t>T9_ab#06</t>
  </si>
  <si>
    <t>T9_ac#01</t>
  </si>
  <si>
    <t>T9_ac#02</t>
  </si>
  <si>
    <t>T9_ac#03</t>
  </si>
  <si>
    <t>T9_ac#04</t>
  </si>
  <si>
    <t>T9_ac#05</t>
  </si>
  <si>
    <t>T9_ac#06</t>
  </si>
  <si>
    <t>T9_ad#01</t>
  </si>
  <si>
    <t>T9_ad#02</t>
  </si>
  <si>
    <t>T9_ad#03</t>
  </si>
  <si>
    <t>T9_ad#04</t>
  </si>
  <si>
    <t>T9_ad#05</t>
  </si>
  <si>
    <t>T9_ad#06</t>
  </si>
  <si>
    <t>T9_ae#01</t>
  </si>
  <si>
    <t>T9_ae#02</t>
  </si>
  <si>
    <t>T9_ae#03</t>
  </si>
  <si>
    <t>T9_ae#04</t>
  </si>
  <si>
    <t>T9_ae#05</t>
  </si>
  <si>
    <t>T9_ae#06</t>
  </si>
  <si>
    <t>T10_aa#01</t>
  </si>
  <si>
    <t>T10_aa#02</t>
  </si>
  <si>
    <t>T10_aa#03</t>
  </si>
  <si>
    <t>T10_aa#04</t>
  </si>
  <si>
    <t>T10_aa#05</t>
  </si>
  <si>
    <t>T10_aa#06</t>
  </si>
  <si>
    <t>T10_ab#01</t>
  </si>
  <si>
    <t>T10_ab#02</t>
  </si>
  <si>
    <t>T10_ab#03</t>
  </si>
  <si>
    <t>T10_ab#04</t>
  </si>
  <si>
    <t>T10_ab#05</t>
  </si>
  <si>
    <t>T10_ab#06</t>
  </si>
  <si>
    <t>T10_ac#01</t>
  </si>
  <si>
    <t>T10_ac#02</t>
  </si>
  <si>
    <t>T10_ac#03</t>
  </si>
  <si>
    <t>T10_ac#04</t>
  </si>
  <si>
    <t>T10_ac#05</t>
  </si>
  <si>
    <t>T10_ac#06</t>
  </si>
  <si>
    <t>T10_ad#01</t>
  </si>
  <si>
    <t>T10_ad#02</t>
  </si>
  <si>
    <t>T10_ad#03</t>
  </si>
  <si>
    <t>T10_ad#04</t>
  </si>
  <si>
    <t>T10_ad#05</t>
  </si>
  <si>
    <t>T10_ad#06</t>
  </si>
  <si>
    <t>T10_ae#01</t>
  </si>
  <si>
    <t>T10_ae#02</t>
  </si>
  <si>
    <t>T10_ae#03</t>
  </si>
  <si>
    <t>T10_ae#04</t>
  </si>
  <si>
    <t>T10_ae#05</t>
  </si>
  <si>
    <t>T10_ae#06</t>
  </si>
  <si>
    <t>T10_af#01</t>
  </si>
  <si>
    <t>T10_af#02</t>
  </si>
  <si>
    <t>T10_af#03</t>
  </si>
  <si>
    <t>T10_af#04</t>
  </si>
  <si>
    <t>T10_af#05</t>
  </si>
  <si>
    <t>T10_af#06</t>
  </si>
  <si>
    <t>T10_ag#01</t>
  </si>
  <si>
    <t>T10_ag#02</t>
  </si>
  <si>
    <t>T10_ag#03</t>
  </si>
  <si>
    <t>T10_ag#04</t>
  </si>
  <si>
    <t>T10_ag#05</t>
  </si>
  <si>
    <t>T10_ag#06</t>
  </si>
  <si>
    <t>T10_ah#01</t>
  </si>
  <si>
    <t>T10_ah#02</t>
  </si>
  <si>
    <t>T10_ah#03</t>
  </si>
  <si>
    <t>T10_ah#04</t>
  </si>
  <si>
    <t>T10_ah#05</t>
  </si>
  <si>
    <t>T10_ah#06</t>
  </si>
  <si>
    <t>T10_ai#01</t>
  </si>
  <si>
    <t>T10_ai#02</t>
  </si>
  <si>
    <t>T10_ai#03</t>
  </si>
  <si>
    <t>T10_ai#04</t>
  </si>
  <si>
    <t>T10_ai#05</t>
  </si>
  <si>
    <t>T10_ai#06</t>
  </si>
  <si>
    <t>T10_aj#01</t>
  </si>
  <si>
    <t>T10_aj#02</t>
  </si>
  <si>
    <t>T10_aj#03</t>
  </si>
  <si>
    <t>T10_aj#04</t>
  </si>
  <si>
    <t>T10_aj#05</t>
  </si>
  <si>
    <t>T10_aj#06</t>
  </si>
  <si>
    <t>T10_ak#01</t>
  </si>
  <si>
    <t>T10_ak#02</t>
  </si>
  <si>
    <t>T10_ak#03</t>
  </si>
  <si>
    <t>T10_ak#04</t>
  </si>
  <si>
    <t>T10_ak#05</t>
  </si>
  <si>
    <t>T10_ak#06</t>
  </si>
  <si>
    <t>T10_al#01</t>
  </si>
  <si>
    <t>T10_al#02</t>
  </si>
  <si>
    <t>T10_al#03</t>
  </si>
  <si>
    <t>T10_al#04</t>
  </si>
  <si>
    <t>T10_al#05</t>
  </si>
  <si>
    <t>T10_al#06</t>
  </si>
  <si>
    <t>EWMT Recurrence period 50 years</t>
    <phoneticPr fontId="1" type="noConversion"/>
  </si>
  <si>
    <t>T10-xy-zz</t>
    <phoneticPr fontId="1" type="noConversion"/>
  </si>
  <si>
    <t>1) x is set as "a", which indicates V_tref</t>
    <phoneticPr fontId="1" type="noConversion"/>
  </si>
  <si>
    <t>DLCT11</t>
    <phoneticPr fontId="1" type="noConversion"/>
  </si>
  <si>
    <t>T11-xy-zz</t>
    <phoneticPr fontId="1" type="noConversion"/>
  </si>
  <si>
    <t>EWMT Recurrence period 1 year</t>
    <phoneticPr fontId="1" type="noConversion"/>
  </si>
  <si>
    <t>DLCT12</t>
    <phoneticPr fontId="1" type="noConversion"/>
  </si>
  <si>
    <t>T12-xy-zz</t>
    <phoneticPr fontId="1" type="noConversion"/>
  </si>
  <si>
    <t>T12_aa#01</t>
  </si>
  <si>
    <t>T12_aa#02</t>
  </si>
  <si>
    <t>T12_aa#03</t>
  </si>
  <si>
    <t>T12_aa#04</t>
  </si>
  <si>
    <t>T12_aa#05</t>
  </si>
  <si>
    <t>T12_aa#06</t>
  </si>
  <si>
    <t>T12_ab#01</t>
  </si>
  <si>
    <t>T12_ab#02</t>
  </si>
  <si>
    <t>T12_ab#03</t>
  </si>
  <si>
    <t>T12_ab#04</t>
  </si>
  <si>
    <t>T12_ab#05</t>
  </si>
  <si>
    <t>T12_ab#06</t>
  </si>
  <si>
    <t>T12_ac#01</t>
  </si>
  <si>
    <t>T12_ac#02</t>
  </si>
  <si>
    <t>T12_ac#03</t>
  </si>
  <si>
    <t>T12_ac#04</t>
  </si>
  <si>
    <t>T12_ac#05</t>
  </si>
  <si>
    <t>T12_ac#06</t>
  </si>
  <si>
    <t>T12_ad#01</t>
  </si>
  <si>
    <t>T12_ad#02</t>
  </si>
  <si>
    <t>T12_ad#03</t>
  </si>
  <si>
    <t>T12_ad#04</t>
  </si>
  <si>
    <t>T12_ad#05</t>
  </si>
  <si>
    <t>T12_ad#06</t>
  </si>
  <si>
    <t>T12_ae#01</t>
  </si>
  <si>
    <t>T12_ae#02</t>
  </si>
  <si>
    <t>T12_ae#03</t>
  </si>
  <si>
    <t>T12_ae#04</t>
  </si>
  <si>
    <t>T12_ae#05</t>
  </si>
  <si>
    <t>T12_ae#06</t>
  </si>
  <si>
    <t>T12_af#01</t>
  </si>
  <si>
    <t>T12_af#02</t>
  </si>
  <si>
    <t>T12_af#03</t>
  </si>
  <si>
    <t>T12_af#04</t>
  </si>
  <si>
    <t>T12_af#05</t>
  </si>
  <si>
    <t>T12_af#06</t>
  </si>
  <si>
    <t>T12_ba#01</t>
  </si>
  <si>
    <t>T12_ba#02</t>
  </si>
  <si>
    <t>T12_ba#03</t>
  </si>
  <si>
    <t>T12_ba#04</t>
  </si>
  <si>
    <t>T12_ba#05</t>
  </si>
  <si>
    <t>T12_ba#06</t>
  </si>
  <si>
    <t>T12_bb#01</t>
  </si>
  <si>
    <t>T12_bb#02</t>
  </si>
  <si>
    <t>T12_bb#03</t>
  </si>
  <si>
    <t>T12_bb#04</t>
  </si>
  <si>
    <t>T12_bb#05</t>
  </si>
  <si>
    <t>T12_bb#06</t>
  </si>
  <si>
    <t>T12_bc#01</t>
  </si>
  <si>
    <t>T12_bc#02</t>
  </si>
  <si>
    <t>T12_bc#03</t>
  </si>
  <si>
    <t>T12_bc#04</t>
  </si>
  <si>
    <t>T12_bc#05</t>
  </si>
  <si>
    <t>T12_bc#06</t>
  </si>
  <si>
    <t>T12_bd#01</t>
  </si>
  <si>
    <t>T12_bd#02</t>
  </si>
  <si>
    <t>T12_bd#03</t>
  </si>
  <si>
    <t>T12_bd#04</t>
  </si>
  <si>
    <t>T12_bd#05</t>
  </si>
  <si>
    <t>T12_bd#06</t>
  </si>
  <si>
    <t>T12_be#01</t>
  </si>
  <si>
    <t>T12_be#02</t>
  </si>
  <si>
    <t>T12_be#03</t>
  </si>
  <si>
    <t>T12_be#04</t>
  </si>
  <si>
    <t>T12_be#05</t>
  </si>
  <si>
    <t>T12_be#06</t>
  </si>
  <si>
    <t>T12_bf#01</t>
  </si>
  <si>
    <t>T12_bf#02</t>
  </si>
  <si>
    <t>T12_bf#03</t>
  </si>
  <si>
    <t>T12_bf#04</t>
  </si>
  <si>
    <t>T12_bf#05</t>
  </si>
  <si>
    <t>T12_bf#06</t>
  </si>
  <si>
    <t>T12_ca#01</t>
  </si>
  <si>
    <t>T12_ca#02</t>
  </si>
  <si>
    <t>T12_ca#03</t>
  </si>
  <si>
    <t>T12_ca#04</t>
  </si>
  <si>
    <t>T12_ca#05</t>
  </si>
  <si>
    <t>T12_ca#06</t>
  </si>
  <si>
    <t>T12_cb#01</t>
  </si>
  <si>
    <t>T12_cb#02</t>
  </si>
  <si>
    <t>T12_cb#03</t>
  </si>
  <si>
    <t>T12_cb#04</t>
  </si>
  <si>
    <t>T12_cb#05</t>
  </si>
  <si>
    <t>T12_cb#06</t>
  </si>
  <si>
    <t>T12_cc#01</t>
  </si>
  <si>
    <t>T12_cc#02</t>
  </si>
  <si>
    <t>T12_cc#03</t>
  </si>
  <si>
    <t>T12_cc#04</t>
  </si>
  <si>
    <t>T12_cc#05</t>
  </si>
  <si>
    <t>T12_cc#06</t>
  </si>
  <si>
    <t>T12_cd#01</t>
  </si>
  <si>
    <t>T12_cd#02</t>
  </si>
  <si>
    <t>T12_cd#03</t>
  </si>
  <si>
    <t>T12_cd#04</t>
  </si>
  <si>
    <t>T12_cd#05</t>
  </si>
  <si>
    <t>T12_cd#06</t>
  </si>
  <si>
    <t>T12_ce#01</t>
  </si>
  <si>
    <t>T12_ce#02</t>
  </si>
  <si>
    <t>T12_ce#03</t>
  </si>
  <si>
    <t>T12_ce#04</t>
  </si>
  <si>
    <t>T12_ce#05</t>
  </si>
  <si>
    <t>T12_ce#06</t>
  </si>
  <si>
    <t>T12_cf#01</t>
  </si>
  <si>
    <t>T12_cf#02</t>
  </si>
  <si>
    <t>T12_cf#03</t>
  </si>
  <si>
    <t>T12_cf#04</t>
  </si>
  <si>
    <t>T12_cf#05</t>
  </si>
  <si>
    <t>T12_cf#06</t>
  </si>
  <si>
    <t>Idling + fault condition (yaw system)</t>
    <phoneticPr fontId="1" type="noConversion"/>
  </si>
  <si>
    <t>DLCT13a</t>
    <phoneticPr fontId="1" type="noConversion"/>
  </si>
  <si>
    <t>T13a-xy-zz</t>
    <phoneticPr fontId="1" type="noConversion"/>
  </si>
  <si>
    <t>T13a_aa-02</t>
    <phoneticPr fontId="1" type="noConversion"/>
  </si>
  <si>
    <t>T13a_aa-01</t>
    <phoneticPr fontId="1" type="noConversion"/>
  </si>
  <si>
    <t>T13a_aa-03</t>
    <phoneticPr fontId="1" type="noConversion"/>
  </si>
  <si>
    <t>T13a_aa-04</t>
  </si>
  <si>
    <t>T13a_aa-05</t>
  </si>
  <si>
    <t>T13a_aa-06</t>
  </si>
  <si>
    <t>T13a_aa-07</t>
  </si>
  <si>
    <t>T13a_aa-08</t>
  </si>
  <si>
    <t>T13a_aa-09</t>
  </si>
  <si>
    <t>T13a_aa-10</t>
  </si>
  <si>
    <t>T13a_aa-11</t>
  </si>
  <si>
    <t>T13a_aa-12</t>
  </si>
  <si>
    <t>T13a_aa-13</t>
  </si>
  <si>
    <t>T13a_aa-14</t>
  </si>
  <si>
    <t>T13a_aa-15</t>
  </si>
  <si>
    <t>T13a_aa-16</t>
  </si>
  <si>
    <t>T13a_aa-17</t>
  </si>
  <si>
    <t>T13a_aa-18</t>
  </si>
  <si>
    <t>T13a_aa-19</t>
  </si>
  <si>
    <t>T13a_aa-20</t>
  </si>
  <si>
    <t>T13a_aa-21</t>
  </si>
  <si>
    <t>T13a_aa-22</t>
  </si>
  <si>
    <t>T13a_aa-23</t>
  </si>
  <si>
    <t>T13a_aa-24</t>
  </si>
  <si>
    <t>T13a_aa-25</t>
  </si>
  <si>
    <t>T13a_aa-26</t>
  </si>
  <si>
    <t>T13a_aa-27</t>
  </si>
  <si>
    <t>T13a_aa-28</t>
  </si>
  <si>
    <t>T13a_aa-29</t>
  </si>
  <si>
    <t>T13a_aa-30</t>
  </si>
  <si>
    <t>T13a_aa-31</t>
  </si>
  <si>
    <t>T13a_aa-32</t>
  </si>
  <si>
    <t>T13a_aa-33</t>
  </si>
  <si>
    <t>T13a_aa-34</t>
  </si>
  <si>
    <t>T13a_aa-35</t>
  </si>
  <si>
    <t>T13a_aa-36</t>
  </si>
  <si>
    <t>T13a_aa-37</t>
  </si>
  <si>
    <t>T13a_aa-38</t>
  </si>
  <si>
    <t>T13a_aa-39</t>
  </si>
  <si>
    <t>T13a_aa-40</t>
  </si>
  <si>
    <t>T13a_aa-41</t>
  </si>
  <si>
    <t>T13a_aa-42</t>
  </si>
  <si>
    <t>T13a_aa-43</t>
  </si>
  <si>
    <t>T13a_aa-44</t>
  </si>
  <si>
    <t>T13a_aa-45</t>
  </si>
  <si>
    <t>T13a_aa-46</t>
  </si>
  <si>
    <t>T13a_aa-47</t>
  </si>
  <si>
    <t>T13a_aa-48</t>
  </si>
  <si>
    <t>T13a_ab-01</t>
  </si>
  <si>
    <t>T13a_ab-02</t>
  </si>
  <si>
    <t>T13a_ab-03</t>
  </si>
  <si>
    <t>T13a_ab-04</t>
  </si>
  <si>
    <t>T13a_ab-05</t>
  </si>
  <si>
    <t>T13a_ab-06</t>
  </si>
  <si>
    <t>T13a_ab-07</t>
  </si>
  <si>
    <t>T13a_ab-08</t>
  </si>
  <si>
    <t>T13a_ab-09</t>
  </si>
  <si>
    <t>T13a_ab-10</t>
  </si>
  <si>
    <t>T13a_ab-11</t>
  </si>
  <si>
    <t>T13a_ab-12</t>
  </si>
  <si>
    <t>T13a_ab-13</t>
  </si>
  <si>
    <t>T13a_ab-14</t>
  </si>
  <si>
    <t>T13a_ab-15</t>
  </si>
  <si>
    <t>T13a_ab-16</t>
  </si>
  <si>
    <t>T13a_ab-17</t>
  </si>
  <si>
    <t>T13a_ab-18</t>
  </si>
  <si>
    <t>T13a_ab-19</t>
  </si>
  <si>
    <t>T13a_ab-20</t>
  </si>
  <si>
    <t>T13a_ab-21</t>
  </si>
  <si>
    <t>T13a_ab-22</t>
  </si>
  <si>
    <t>T13a_ab-23</t>
  </si>
  <si>
    <t>T13a_ab-24</t>
  </si>
  <si>
    <t>T13a_ab-25</t>
  </si>
  <si>
    <t>T13a_ab-26</t>
  </si>
  <si>
    <t>T13a_ab-27</t>
  </si>
  <si>
    <t>T13a_ab-28</t>
  </si>
  <si>
    <t>T13a_ab-29</t>
  </si>
  <si>
    <t>T13a_ab-30</t>
  </si>
  <si>
    <t>T13a_ab-31</t>
  </si>
  <si>
    <t>T13a_ab-32</t>
  </si>
  <si>
    <t>T13a_ab-33</t>
  </si>
  <si>
    <t>T13a_ab-34</t>
  </si>
  <si>
    <t>T13a_ab-35</t>
  </si>
  <si>
    <t>T13a_ab-36</t>
  </si>
  <si>
    <t>T13a_ab-37</t>
  </si>
  <si>
    <t>T13a_ab-38</t>
  </si>
  <si>
    <t>T13a_ab-39</t>
  </si>
  <si>
    <t>T13a_ab-40</t>
  </si>
  <si>
    <t>T13a_ab-41</t>
  </si>
  <si>
    <t>T13a_ab-42</t>
  </si>
  <si>
    <t>T13a_ab-43</t>
  </si>
  <si>
    <t>T13a_ab-44</t>
  </si>
  <si>
    <t>T13a_ab-45</t>
  </si>
  <si>
    <t>T13a_ab-46</t>
  </si>
  <si>
    <t>T13a_ab-47</t>
  </si>
  <si>
    <t>T13a_ab-48</t>
  </si>
  <si>
    <t>T13a_ba-01</t>
  </si>
  <si>
    <t>T13a_ba-02</t>
  </si>
  <si>
    <t>T13a_ba-03</t>
  </si>
  <si>
    <t>T13a_ba-04</t>
  </si>
  <si>
    <t>T13a_ba-05</t>
  </si>
  <si>
    <t>T13a_ba-06</t>
  </si>
  <si>
    <t>T13a_ba-07</t>
  </si>
  <si>
    <t>T13a_ba-08</t>
  </si>
  <si>
    <t>T13a_ba-09</t>
  </si>
  <si>
    <t>T13a_ba-10</t>
  </si>
  <si>
    <t>T13a_ba-11</t>
  </si>
  <si>
    <t>T13a_ba-12</t>
  </si>
  <si>
    <t>T13a_ba-13</t>
  </si>
  <si>
    <t>T13a_ba-14</t>
  </si>
  <si>
    <t>T13a_ba-15</t>
  </si>
  <si>
    <t>T13a_ba-16</t>
  </si>
  <si>
    <t>T13a_ba-17</t>
  </si>
  <si>
    <t>T13a_ba-18</t>
  </si>
  <si>
    <t>T13a_ba-19</t>
  </si>
  <si>
    <t>T13a_ba-20</t>
  </si>
  <si>
    <t>T13a_ba-21</t>
  </si>
  <si>
    <t>T13a_ba-22</t>
  </si>
  <si>
    <t>T13a_ba-23</t>
  </si>
  <si>
    <t>T13a_ba-24</t>
  </si>
  <si>
    <t>T13a_ba-25</t>
  </si>
  <si>
    <t>T13a_ba-26</t>
  </si>
  <si>
    <t>T13a_ba-27</t>
  </si>
  <si>
    <t>T13a_ba-28</t>
  </si>
  <si>
    <t>T13a_ba-29</t>
  </si>
  <si>
    <t>T13a_ba-30</t>
  </si>
  <si>
    <t>T13a_ba-31</t>
  </si>
  <si>
    <t>T13a_ba-32</t>
  </si>
  <si>
    <t>T13a_ba-33</t>
  </si>
  <si>
    <t>T13a_ba-34</t>
  </si>
  <si>
    <t>T13a_ba-35</t>
  </si>
  <si>
    <t>T13a_ba-36</t>
  </si>
  <si>
    <t>T13a_ba-37</t>
  </si>
  <si>
    <t>T13a_ba-38</t>
  </si>
  <si>
    <t>T13a_ba-39</t>
  </si>
  <si>
    <t>T13a_ba-40</t>
  </si>
  <si>
    <t>T13a_ba-41</t>
  </si>
  <si>
    <t>T13a_ba-42</t>
  </si>
  <si>
    <t>T13a_ba-43</t>
  </si>
  <si>
    <t>T13a_ba-44</t>
  </si>
  <si>
    <t>T13a_ba-45</t>
  </si>
  <si>
    <t>T13a_ba-46</t>
  </si>
  <si>
    <t>T13a_ba-47</t>
  </si>
  <si>
    <t>T13a_ba-48</t>
  </si>
  <si>
    <t>T13a_bb-01</t>
  </si>
  <si>
    <t>T13a_bb-02</t>
  </si>
  <si>
    <t>T13a_bb-03</t>
  </si>
  <si>
    <t>T13a_bb-04</t>
  </si>
  <si>
    <t>T13a_bb-05</t>
  </si>
  <si>
    <t>T13a_bb-06</t>
  </si>
  <si>
    <t>T13a_bb-07</t>
  </si>
  <si>
    <t>T13a_bb-08</t>
  </si>
  <si>
    <t>T13a_bb-09</t>
  </si>
  <si>
    <t>T13a_bb-10</t>
  </si>
  <si>
    <t>T13a_bb-11</t>
  </si>
  <si>
    <t>T13a_bb-12</t>
  </si>
  <si>
    <t>T13a_bb-13</t>
  </si>
  <si>
    <t>T13a_bb-14</t>
  </si>
  <si>
    <t>T13a_bb-15</t>
  </si>
  <si>
    <t>T13a_bb-16</t>
  </si>
  <si>
    <t>T13a_bb-17</t>
  </si>
  <si>
    <t>T13a_bb-18</t>
  </si>
  <si>
    <t>T13a_bb-19</t>
  </si>
  <si>
    <t>T13a_bb-20</t>
  </si>
  <si>
    <t>T13a_bb-21</t>
  </si>
  <si>
    <t>T13a_bb-22</t>
  </si>
  <si>
    <t>T13a_bb-23</t>
  </si>
  <si>
    <t>T13a_bb-24</t>
  </si>
  <si>
    <t>T13a_bb-25</t>
  </si>
  <si>
    <t>T13a_bb-26</t>
  </si>
  <si>
    <t>T13a_bb-27</t>
  </si>
  <si>
    <t>T13a_bb-28</t>
  </si>
  <si>
    <t>T13a_bb-29</t>
  </si>
  <si>
    <t>T13a_bb-30</t>
  </si>
  <si>
    <t>T13a_bb-31</t>
  </si>
  <si>
    <t>T13a_bb-32</t>
  </si>
  <si>
    <t>T13a_bb-33</t>
  </si>
  <si>
    <t>T13a_bb-34</t>
  </si>
  <si>
    <t>T13a_bb-35</t>
  </si>
  <si>
    <t>T13a_bb-36</t>
  </si>
  <si>
    <t>T13a_bb-37</t>
  </si>
  <si>
    <t>T13a_bb-38</t>
  </si>
  <si>
    <t>T13a_bb-39</t>
  </si>
  <si>
    <t>T13a_bb-40</t>
  </si>
  <si>
    <t>T13a_bb-41</t>
  </si>
  <si>
    <t>T13a_bb-42</t>
  </si>
  <si>
    <t>T13a_bb-43</t>
  </si>
  <si>
    <t>T13a_bb-44</t>
  </si>
  <si>
    <t>T13a_bb-45</t>
  </si>
  <si>
    <t>T13a_bb-46</t>
  </si>
  <si>
    <t>T13a_bb-47</t>
  </si>
  <si>
    <t>T13a_bb-48</t>
  </si>
  <si>
    <t>T13a_ca-01</t>
  </si>
  <si>
    <t>T13a_ca-02</t>
  </si>
  <si>
    <t>T13a_ca-03</t>
  </si>
  <si>
    <t>T13a_ca-04</t>
  </si>
  <si>
    <t>T13a_ca-05</t>
  </si>
  <si>
    <t>T13a_ca-06</t>
  </si>
  <si>
    <t>T13a_ca-07</t>
  </si>
  <si>
    <t>T13a_ca-08</t>
  </si>
  <si>
    <t>T13a_ca-09</t>
  </si>
  <si>
    <t>T13a_ca-10</t>
  </si>
  <si>
    <t>T13a_ca-11</t>
  </si>
  <si>
    <t>T13a_ca-12</t>
  </si>
  <si>
    <t>T13a_ca-13</t>
  </si>
  <si>
    <t>T13a_ca-14</t>
  </si>
  <si>
    <t>T13a_ca-15</t>
  </si>
  <si>
    <t>T13a_ca-16</t>
  </si>
  <si>
    <t>T13a_ca-17</t>
  </si>
  <si>
    <t>T13a_ca-18</t>
  </si>
  <si>
    <t>T13a_ca-19</t>
  </si>
  <si>
    <t>T13a_ca-20</t>
  </si>
  <si>
    <t>T13a_ca-21</t>
  </si>
  <si>
    <t>T13a_ca-22</t>
  </si>
  <si>
    <t>T13a_ca-23</t>
  </si>
  <si>
    <t>T13a_ca-24</t>
  </si>
  <si>
    <t>T13a_ca-25</t>
  </si>
  <si>
    <t>T13a_ca-26</t>
  </si>
  <si>
    <t>T13a_ca-27</t>
  </si>
  <si>
    <t>T13a_ca-28</t>
  </si>
  <si>
    <t>T13a_ca-29</t>
  </si>
  <si>
    <t>T13a_ca-30</t>
  </si>
  <si>
    <t>T13a_ca-31</t>
  </si>
  <si>
    <t>T13a_ca-32</t>
  </si>
  <si>
    <t>T13a_ca-33</t>
  </si>
  <si>
    <t>T13a_ca-34</t>
  </si>
  <si>
    <t>T13a_ca-35</t>
  </si>
  <si>
    <t>T13a_ca-36</t>
  </si>
  <si>
    <t>T13a_ca-37</t>
  </si>
  <si>
    <t>T13a_ca-38</t>
  </si>
  <si>
    <t>T13a_ca-39</t>
  </si>
  <si>
    <t>T13a_ca-40</t>
  </si>
  <si>
    <t>T13a_ca-41</t>
  </si>
  <si>
    <t>T13a_ca-42</t>
  </si>
  <si>
    <t>T13a_ca-43</t>
  </si>
  <si>
    <t>T13a_ca-44</t>
  </si>
  <si>
    <t>T13a_ca-45</t>
  </si>
  <si>
    <t>T13a_ca-46</t>
  </si>
  <si>
    <t>T13a_ca-47</t>
  </si>
  <si>
    <t>T13a_ca-48</t>
  </si>
  <si>
    <t>T13a_cb-01</t>
  </si>
  <si>
    <t>T13a_cb-02</t>
  </si>
  <si>
    <t>T13a_cb-03</t>
  </si>
  <si>
    <t>T13a_cb-04</t>
  </si>
  <si>
    <t>T13a_cb-05</t>
  </si>
  <si>
    <t>T13a_cb-06</t>
  </si>
  <si>
    <t>T13a_cb-07</t>
  </si>
  <si>
    <t>T13a_cb-08</t>
  </si>
  <si>
    <t>T13a_cb-09</t>
  </si>
  <si>
    <t>T13a_cb-10</t>
  </si>
  <si>
    <t>T13a_cb-11</t>
  </si>
  <si>
    <t>T13a_cb-12</t>
  </si>
  <si>
    <t>T13a_cb-13</t>
  </si>
  <si>
    <t>T13a_cb-14</t>
  </si>
  <si>
    <t>T13a_cb-15</t>
  </si>
  <si>
    <t>T13a_cb-16</t>
  </si>
  <si>
    <t>T13a_cb-17</t>
  </si>
  <si>
    <t>T13a_cb-18</t>
  </si>
  <si>
    <t>T13a_cb-19</t>
  </si>
  <si>
    <t>T13a_cb-20</t>
  </si>
  <si>
    <t>T13a_cb-21</t>
  </si>
  <si>
    <t>T13a_cb-22</t>
  </si>
  <si>
    <t>T13a_cb-23</t>
  </si>
  <si>
    <t>T13a_cb-24</t>
  </si>
  <si>
    <t>T13a_cb-25</t>
  </si>
  <si>
    <t>T13a_cb-26</t>
  </si>
  <si>
    <t>T13a_cb-27</t>
  </si>
  <si>
    <t>T13a_cb-28</t>
  </si>
  <si>
    <t>T13a_cb-29</t>
  </si>
  <si>
    <t>T13a_cb-30</t>
  </si>
  <si>
    <t>T13a_cb-31</t>
  </si>
  <si>
    <t>T13a_cb-32</t>
  </si>
  <si>
    <t>T13a_cb-33</t>
  </si>
  <si>
    <t>T13a_cb-34</t>
  </si>
  <si>
    <t>T13a_cb-35</t>
  </si>
  <si>
    <t>T13a_cb-36</t>
  </si>
  <si>
    <t>T13a_cb-37</t>
  </si>
  <si>
    <t>T13a_cb-38</t>
  </si>
  <si>
    <t>T13a_cb-39</t>
  </si>
  <si>
    <t>T13a_cb-40</t>
  </si>
  <si>
    <t>T13a_cb-41</t>
  </si>
  <si>
    <t>T13a_cb-42</t>
  </si>
  <si>
    <t>T13a_cb-43</t>
  </si>
  <si>
    <t>T13a_cb-44</t>
  </si>
  <si>
    <t>T13a_cb-45</t>
  </si>
  <si>
    <t>T13a_cb-46</t>
  </si>
  <si>
    <t>T13a_cb-47</t>
  </si>
  <si>
    <t>T13a_cb-48</t>
  </si>
  <si>
    <t>DLCT13b</t>
    <phoneticPr fontId="1" type="noConversion"/>
  </si>
  <si>
    <t>T13b-xy-zz</t>
    <phoneticPr fontId="1" type="noConversion"/>
  </si>
  <si>
    <t>Idling + fault condition (Blade Stuck)</t>
    <phoneticPr fontId="1" type="noConversion"/>
  </si>
  <si>
    <t>T13b_aa-01</t>
    <phoneticPr fontId="1" type="noConversion"/>
  </si>
  <si>
    <t>T13b_aa-02</t>
  </si>
  <si>
    <t>T13b_aa-03</t>
  </si>
  <si>
    <t>T13b_aa-04</t>
  </si>
  <si>
    <t>T13b_aa-05</t>
  </si>
  <si>
    <t>T13b_aa-06</t>
  </si>
  <si>
    <t>T13b_aa-07</t>
  </si>
  <si>
    <t>T13b_aa-08</t>
  </si>
  <si>
    <t>T13b_aa-09</t>
  </si>
  <si>
    <t>T13b_aa-10</t>
  </si>
  <si>
    <t>T13b_aa-11</t>
  </si>
  <si>
    <t>T13b_aa-12</t>
  </si>
  <si>
    <t>T13b_aa-13</t>
  </si>
  <si>
    <t>T13b_aa-14</t>
  </si>
  <si>
    <t>T13b_aa-15</t>
  </si>
  <si>
    <t>T13b_aa-16</t>
  </si>
  <si>
    <t>T13b_aa-17</t>
  </si>
  <si>
    <t>T13b_aa-18</t>
  </si>
  <si>
    <t>T13b_aa-19</t>
  </si>
  <si>
    <t>T13b_aa-20</t>
  </si>
  <si>
    <t>T13b_aa-21</t>
  </si>
  <si>
    <t>T13b_aa-22</t>
  </si>
  <si>
    <t>T13b_aa-23</t>
  </si>
  <si>
    <t>T13b_aa-24</t>
  </si>
  <si>
    <t>T13b_ab-01</t>
  </si>
  <si>
    <t>T13b_ab-02</t>
  </si>
  <si>
    <t>T13b_ab-03</t>
  </si>
  <si>
    <t>T13b_ab-04</t>
  </si>
  <si>
    <t>T13b_ab-05</t>
  </si>
  <si>
    <t>T13b_ab-06</t>
  </si>
  <si>
    <t>T13b_ab-07</t>
  </si>
  <si>
    <t>T13b_ab-08</t>
  </si>
  <si>
    <t>T13b_ab-09</t>
  </si>
  <si>
    <t>T13b_ab-10</t>
  </si>
  <si>
    <t>T13b_ab-11</t>
  </si>
  <si>
    <t>T13b_ab-12</t>
  </si>
  <si>
    <t>T13b_ab-13</t>
  </si>
  <si>
    <t>T13b_ab-14</t>
  </si>
  <si>
    <t>T13b_ab-15</t>
  </si>
  <si>
    <t>T13b_ab-16</t>
  </si>
  <si>
    <t>T13b_ab-17</t>
  </si>
  <si>
    <t>T13b_ab-18</t>
  </si>
  <si>
    <t>T13b_ab-19</t>
  </si>
  <si>
    <t>T13b_ab-20</t>
  </si>
  <si>
    <t>T13b_ab-21</t>
  </si>
  <si>
    <t>T13b_ab-22</t>
  </si>
  <si>
    <t>T13b_ab-23</t>
  </si>
  <si>
    <t>T13b_ab-24</t>
  </si>
  <si>
    <t>T13b_ac-01</t>
  </si>
  <si>
    <t>T13b_ac-02</t>
  </si>
  <si>
    <t>T13b_ac-03</t>
  </si>
  <si>
    <t>T13b_ac-04</t>
  </si>
  <si>
    <t>T13b_ac-05</t>
  </si>
  <si>
    <t>T13b_ac-06</t>
  </si>
  <si>
    <t>T13b_ac-07</t>
  </si>
  <si>
    <t>T13b_ac-08</t>
  </si>
  <si>
    <t>T13b_ac-09</t>
  </si>
  <si>
    <t>T13b_ac-10</t>
  </si>
  <si>
    <t>T13b_ac-11</t>
  </si>
  <si>
    <t>T13b_ac-12</t>
  </si>
  <si>
    <t>T13b_ac-13</t>
  </si>
  <si>
    <t>T13b_ac-14</t>
  </si>
  <si>
    <t>T13b_ac-15</t>
  </si>
  <si>
    <t>T13b_ac-16</t>
  </si>
  <si>
    <t>T13b_ac-17</t>
  </si>
  <si>
    <t>T13b_ac-18</t>
  </si>
  <si>
    <t>T13b_ac-19</t>
  </si>
  <si>
    <t>T13b_ac-20</t>
  </si>
  <si>
    <t>T13b_ac-21</t>
  </si>
  <si>
    <t>T13b_ac-22</t>
  </si>
  <si>
    <t>T13b_ac-23</t>
  </si>
  <si>
    <t>T13b_ac-24</t>
  </si>
  <si>
    <t>T13b_ad-01</t>
  </si>
  <si>
    <t>T13b_ad-02</t>
  </si>
  <si>
    <t>T13b_ad-03</t>
  </si>
  <si>
    <t>T13b_ad-04</t>
  </si>
  <si>
    <t>T13b_ad-05</t>
  </si>
  <si>
    <t>T13b_ad-06</t>
  </si>
  <si>
    <t>T13b_ad-07</t>
  </si>
  <si>
    <t>T13b_ad-08</t>
  </si>
  <si>
    <t>T13b_ad-09</t>
  </si>
  <si>
    <t>T13b_ad-10</t>
  </si>
  <si>
    <t>T13b_ad-11</t>
  </si>
  <si>
    <t>T13b_ad-12</t>
  </si>
  <si>
    <t>T13b_ad-13</t>
  </si>
  <si>
    <t>T13b_ad-14</t>
  </si>
  <si>
    <t>T13b_ad-15</t>
  </si>
  <si>
    <t>T13b_ad-16</t>
  </si>
  <si>
    <t>T13b_ad-17</t>
  </si>
  <si>
    <t>T13b_ad-18</t>
  </si>
  <si>
    <t>T13b_ad-19</t>
  </si>
  <si>
    <t>T13b_ad-20</t>
  </si>
  <si>
    <t>T13b_ad-21</t>
  </si>
  <si>
    <t>T13b_ad-22</t>
  </si>
  <si>
    <t>T13b_ad-23</t>
  </si>
  <si>
    <t>T13b_ad-24</t>
  </si>
  <si>
    <t>T13b_ae-01</t>
  </si>
  <si>
    <t>T13b_ae-02</t>
  </si>
  <si>
    <t>T13b_ae-03</t>
  </si>
  <si>
    <t>T13b_ae-04</t>
  </si>
  <si>
    <t>T13b_ae-05</t>
  </si>
  <si>
    <t>T13b_ae-06</t>
  </si>
  <si>
    <t>T13b_ae-07</t>
  </si>
  <si>
    <t>T13b_ae-08</t>
  </si>
  <si>
    <t>T13b_ae-09</t>
  </si>
  <si>
    <t>T13b_ae-10</t>
  </si>
  <si>
    <t>T13b_ae-11</t>
  </si>
  <si>
    <t>T13b_ae-12</t>
  </si>
  <si>
    <t>T13b_ae-13</t>
  </si>
  <si>
    <t>T13b_ae-14</t>
  </si>
  <si>
    <t>T13b_ae-15</t>
  </si>
  <si>
    <t>T13b_ae-16</t>
  </si>
  <si>
    <t>T13b_ae-17</t>
  </si>
  <si>
    <t>T13b_ae-18</t>
  </si>
  <si>
    <t>T13b_ae-19</t>
  </si>
  <si>
    <t>T13b_ae-20</t>
  </si>
  <si>
    <t>T13b_ae-21</t>
  </si>
  <si>
    <t>T13b_ae-22</t>
  </si>
  <si>
    <t>T13b_ae-23</t>
  </si>
  <si>
    <t>T13b_ae-24</t>
  </si>
  <si>
    <t>T13b_af-01</t>
  </si>
  <si>
    <t>T13b_af-02</t>
  </si>
  <si>
    <t>T13b_af-03</t>
  </si>
  <si>
    <t>T13b_af-04</t>
  </si>
  <si>
    <t>T13b_af-05</t>
  </si>
  <si>
    <t>T13b_af-06</t>
  </si>
  <si>
    <t>T13b_af-07</t>
  </si>
  <si>
    <t>T13b_af-08</t>
  </si>
  <si>
    <t>T13b_af-09</t>
  </si>
  <si>
    <t>T13b_af-10</t>
  </si>
  <si>
    <t>T13b_af-11</t>
  </si>
  <si>
    <t>T13b_af-12</t>
  </si>
  <si>
    <t>T13b_af-13</t>
  </si>
  <si>
    <t>T13b_af-14</t>
  </si>
  <si>
    <t>T13b_af-15</t>
  </si>
  <si>
    <t>T13b_af-16</t>
  </si>
  <si>
    <t>T13b_af-17</t>
  </si>
  <si>
    <t>T13b_af-18</t>
  </si>
  <si>
    <t>T13b_af-19</t>
  </si>
  <si>
    <t>T13b_af-20</t>
  </si>
  <si>
    <t>T13b_af-21</t>
  </si>
  <si>
    <t>T13b_af-22</t>
  </si>
  <si>
    <t>T13b_af-23</t>
  </si>
  <si>
    <t>T13b_af-24</t>
  </si>
  <si>
    <t>T13b_ba-01</t>
  </si>
  <si>
    <t>T13b_ba-02</t>
  </si>
  <si>
    <t>T13b_ba-03</t>
  </si>
  <si>
    <t>T13b_ba-04</t>
  </si>
  <si>
    <t>T13b_ba-05</t>
  </si>
  <si>
    <t>T13b_ba-06</t>
  </si>
  <si>
    <t>T13b_ba-07</t>
  </si>
  <si>
    <t>T13b_ba-08</t>
  </si>
  <si>
    <t>T13b_ba-09</t>
  </si>
  <si>
    <t>T13b_ba-10</t>
  </si>
  <si>
    <t>T13b_ba-11</t>
  </si>
  <si>
    <t>T13b_ba-12</t>
  </si>
  <si>
    <t>T13b_ba-13</t>
  </si>
  <si>
    <t>T13b_ba-14</t>
  </si>
  <si>
    <t>T13b_ba-15</t>
  </si>
  <si>
    <t>T13b_ba-16</t>
  </si>
  <si>
    <t>T13b_ba-17</t>
  </si>
  <si>
    <t>T13b_ba-18</t>
  </si>
  <si>
    <t>T13b_ba-19</t>
  </si>
  <si>
    <t>T13b_ba-20</t>
  </si>
  <si>
    <t>T13b_ba-21</t>
  </si>
  <si>
    <t>T13b_ba-22</t>
  </si>
  <si>
    <t>T13b_ba-23</t>
  </si>
  <si>
    <t>T13b_ba-24</t>
  </si>
  <si>
    <t>T13b_bb-01</t>
  </si>
  <si>
    <t>T13b_bb-02</t>
  </si>
  <si>
    <t>T13b_bb-03</t>
  </si>
  <si>
    <t>T13b_bb-04</t>
  </si>
  <si>
    <t>T13b_bb-05</t>
  </si>
  <si>
    <t>T13b_bb-06</t>
  </si>
  <si>
    <t>T13b_bb-07</t>
  </si>
  <si>
    <t>T13b_bb-08</t>
  </si>
  <si>
    <t>T13b_bb-09</t>
  </si>
  <si>
    <t>T13b_bb-10</t>
  </si>
  <si>
    <t>T13b_bb-11</t>
  </si>
  <si>
    <t>T13b_bb-12</t>
  </si>
  <si>
    <t>T13b_bb-13</t>
  </si>
  <si>
    <t>T13b_bb-14</t>
  </si>
  <si>
    <t>T13b_bb-15</t>
  </si>
  <si>
    <t>T13b_bb-16</t>
  </si>
  <si>
    <t>T13b_bb-17</t>
  </si>
  <si>
    <t>T13b_bb-18</t>
  </si>
  <si>
    <t>T13b_bb-19</t>
  </si>
  <si>
    <t>T13b_bb-20</t>
  </si>
  <si>
    <t>T13b_bb-21</t>
  </si>
  <si>
    <t>T13b_bb-22</t>
  </si>
  <si>
    <t>T13b_bb-23</t>
  </si>
  <si>
    <t>T13b_bb-24</t>
  </si>
  <si>
    <t>T13b_bc-01</t>
  </si>
  <si>
    <t>T13b_bc-02</t>
  </si>
  <si>
    <t>T13b_bc-03</t>
  </si>
  <si>
    <t>T13b_bc-04</t>
  </si>
  <si>
    <t>T13b_bc-05</t>
  </si>
  <si>
    <t>T13b_bc-06</t>
  </si>
  <si>
    <t>T13b_bc-07</t>
  </si>
  <si>
    <t>T13b_bc-08</t>
  </si>
  <si>
    <t>T13b_bc-09</t>
  </si>
  <si>
    <t>T13b_bc-10</t>
  </si>
  <si>
    <t>T13b_bc-11</t>
  </si>
  <si>
    <t>T13b_bc-12</t>
  </si>
  <si>
    <t>T13b_bc-13</t>
  </si>
  <si>
    <t>T13b_bc-14</t>
  </si>
  <si>
    <t>T13b_bc-15</t>
  </si>
  <si>
    <t>T13b_bc-16</t>
  </si>
  <si>
    <t>T13b_bc-17</t>
  </si>
  <si>
    <t>T13b_bc-18</t>
  </si>
  <si>
    <t>T13b_bc-19</t>
  </si>
  <si>
    <t>T13b_bc-20</t>
  </si>
  <si>
    <t>T13b_bc-21</t>
  </si>
  <si>
    <t>T13b_bc-22</t>
  </si>
  <si>
    <t>T13b_bc-23</t>
  </si>
  <si>
    <t>T13b_bc-24</t>
  </si>
  <si>
    <t>T13b_bd-01</t>
  </si>
  <si>
    <t>T13b_bd-02</t>
  </si>
  <si>
    <t>T13b_bd-03</t>
  </si>
  <si>
    <t>T13b_bd-04</t>
  </si>
  <si>
    <t>T13b_bd-05</t>
  </si>
  <si>
    <t>T13b_bd-06</t>
  </si>
  <si>
    <t>T13b_bd-07</t>
  </si>
  <si>
    <t>T13b_bd-08</t>
  </si>
  <si>
    <t>T13b_bd-09</t>
  </si>
  <si>
    <t>T13b_bd-10</t>
  </si>
  <si>
    <t>T13b_bd-11</t>
  </si>
  <si>
    <t>T13b_bd-12</t>
  </si>
  <si>
    <t>T13b_bd-13</t>
  </si>
  <si>
    <t>T13b_bd-14</t>
  </si>
  <si>
    <t>T13b_bd-15</t>
  </si>
  <si>
    <t>T13b_bd-16</t>
  </si>
  <si>
    <t>T13b_bd-17</t>
  </si>
  <si>
    <t>T13b_bd-18</t>
  </si>
  <si>
    <t>T13b_bd-19</t>
  </si>
  <si>
    <t>T13b_bd-20</t>
  </si>
  <si>
    <t>T13b_bd-21</t>
  </si>
  <si>
    <t>T13b_bd-22</t>
  </si>
  <si>
    <t>T13b_bd-23</t>
  </si>
  <si>
    <t>T13b_bd-24</t>
  </si>
  <si>
    <t>T13b_be-01</t>
  </si>
  <si>
    <t>T13b_be-02</t>
  </si>
  <si>
    <t>T13b_be-03</t>
  </si>
  <si>
    <t>T13b_be-04</t>
  </si>
  <si>
    <t>T13b_be-05</t>
  </si>
  <si>
    <t>T13b_be-06</t>
  </si>
  <si>
    <t>T13b_be-07</t>
  </si>
  <si>
    <t>T13b_be-08</t>
  </si>
  <si>
    <t>T13b_be-09</t>
  </si>
  <si>
    <t>T13b_be-10</t>
  </si>
  <si>
    <t>T13b_be-11</t>
  </si>
  <si>
    <t>T13b_be-12</t>
  </si>
  <si>
    <t>T13b_be-13</t>
  </si>
  <si>
    <t>T13b_be-14</t>
  </si>
  <si>
    <t>T13b_be-15</t>
  </si>
  <si>
    <t>T13b_be-16</t>
  </si>
  <si>
    <t>T13b_be-17</t>
  </si>
  <si>
    <t>T13b_be-18</t>
  </si>
  <si>
    <t>T13b_be-19</t>
  </si>
  <si>
    <t>T13b_be-20</t>
  </si>
  <si>
    <t>T13b_be-21</t>
  </si>
  <si>
    <t>T13b_be-22</t>
  </si>
  <si>
    <t>T13b_be-23</t>
  </si>
  <si>
    <t>T13b_be-24</t>
  </si>
  <si>
    <t>T13b_bf-01</t>
  </si>
  <si>
    <t>T13b_bf-02</t>
  </si>
  <si>
    <t>T13b_bf-03</t>
  </si>
  <si>
    <t>T13b_bf-04</t>
  </si>
  <si>
    <t>T13b_bf-05</t>
  </si>
  <si>
    <t>T13b_bf-06</t>
  </si>
  <si>
    <t>T13b_bf-07</t>
  </si>
  <si>
    <t>T13b_bf-08</t>
  </si>
  <si>
    <t>T13b_bf-09</t>
  </si>
  <si>
    <t>T13b_bf-10</t>
  </si>
  <si>
    <t>T13b_bf-11</t>
  </si>
  <si>
    <t>T13b_bf-12</t>
  </si>
  <si>
    <t>T13b_bf-13</t>
  </si>
  <si>
    <t>T13b_bf-14</t>
  </si>
  <si>
    <t>T13b_bf-15</t>
  </si>
  <si>
    <t>T13b_bf-16</t>
  </si>
  <si>
    <t>T13b_bf-17</t>
  </si>
  <si>
    <t>T13b_bf-18</t>
  </si>
  <si>
    <t>T13b_bf-19</t>
  </si>
  <si>
    <t>T13b_bf-20</t>
  </si>
  <si>
    <t>T13b_bf-21</t>
  </si>
  <si>
    <t>T13b_bf-22</t>
  </si>
  <si>
    <t>T13b_bf-23</t>
  </si>
  <si>
    <t>T13b_bf-24</t>
  </si>
  <si>
    <t>T13b_ca-01</t>
  </si>
  <si>
    <t>T13b_ca-02</t>
  </si>
  <si>
    <t>T13b_ca-03</t>
  </si>
  <si>
    <t>T13b_ca-04</t>
  </si>
  <si>
    <t>T13b_ca-05</t>
  </si>
  <si>
    <t>T13b_ca-06</t>
  </si>
  <si>
    <t>T13b_ca-07</t>
  </si>
  <si>
    <t>T13b_ca-08</t>
  </si>
  <si>
    <t>T13b_ca-09</t>
  </si>
  <si>
    <t>T13b_ca-10</t>
  </si>
  <si>
    <t>T13b_ca-11</t>
  </si>
  <si>
    <t>T13b_ca-12</t>
  </si>
  <si>
    <t>T13b_ca-13</t>
  </si>
  <si>
    <t>T13b_ca-14</t>
  </si>
  <si>
    <t>T13b_ca-15</t>
  </si>
  <si>
    <t>T13b_ca-16</t>
  </si>
  <si>
    <t>T13b_ca-17</t>
  </si>
  <si>
    <t>T13b_ca-18</t>
  </si>
  <si>
    <t>T13b_ca-19</t>
  </si>
  <si>
    <t>T13b_ca-20</t>
  </si>
  <si>
    <t>T13b_ca-21</t>
  </si>
  <si>
    <t>T13b_ca-22</t>
  </si>
  <si>
    <t>T13b_ca-23</t>
  </si>
  <si>
    <t>T13b_ca-24</t>
  </si>
  <si>
    <t>T13b_cb-01</t>
  </si>
  <si>
    <t>T13b_cb-02</t>
  </si>
  <si>
    <t>T13b_cb-03</t>
  </si>
  <si>
    <t>T13b_cb-04</t>
  </si>
  <si>
    <t>T13b_cb-05</t>
  </si>
  <si>
    <t>T13b_cb-06</t>
  </si>
  <si>
    <t>T13b_cb-07</t>
  </si>
  <si>
    <t>T13b_cb-08</t>
  </si>
  <si>
    <t>T13b_cb-09</t>
  </si>
  <si>
    <t>T13b_cb-10</t>
  </si>
  <si>
    <t>T13b_cb-11</t>
  </si>
  <si>
    <t>T13b_cb-12</t>
  </si>
  <si>
    <t>T13b_cb-13</t>
  </si>
  <si>
    <t>T13b_cb-14</t>
  </si>
  <si>
    <t>T13b_cb-15</t>
  </si>
  <si>
    <t>T13b_cb-16</t>
  </si>
  <si>
    <t>T13b_cb-17</t>
  </si>
  <si>
    <t>T13b_cb-18</t>
  </si>
  <si>
    <t>T13b_cb-19</t>
  </si>
  <si>
    <t>T13b_cb-20</t>
  </si>
  <si>
    <t>T13b_cb-21</t>
  </si>
  <si>
    <t>T13b_cb-22</t>
  </si>
  <si>
    <t>T13b_cb-23</t>
  </si>
  <si>
    <t>T13b_cb-24</t>
  </si>
  <si>
    <t>T13b_cc-01</t>
  </si>
  <si>
    <t>T13b_cc-02</t>
  </si>
  <si>
    <t>T13b_cc-03</t>
  </si>
  <si>
    <t>T13b_cc-04</t>
  </si>
  <si>
    <t>T13b_cc-05</t>
  </si>
  <si>
    <t>T13b_cc-06</t>
  </si>
  <si>
    <t>T13b_cc-07</t>
  </si>
  <si>
    <t>T13b_cc-08</t>
  </si>
  <si>
    <t>T13b_cc-09</t>
  </si>
  <si>
    <t>T13b_cc-10</t>
  </si>
  <si>
    <t>T13b_cc-11</t>
  </si>
  <si>
    <t>T13b_cc-12</t>
  </si>
  <si>
    <t>T13b_cc-13</t>
  </si>
  <si>
    <t>T13b_cc-14</t>
  </si>
  <si>
    <t>T13b_cc-15</t>
  </si>
  <si>
    <t>T13b_cc-16</t>
  </si>
  <si>
    <t>T13b_cc-17</t>
  </si>
  <si>
    <t>T13b_cc-18</t>
  </si>
  <si>
    <t>T13b_cc-19</t>
  </si>
  <si>
    <t>T13b_cc-20</t>
  </si>
  <si>
    <t>T13b_cc-21</t>
  </si>
  <si>
    <t>T13b_cc-22</t>
  </si>
  <si>
    <t>T13b_cc-23</t>
  </si>
  <si>
    <t>T13b_cc-24</t>
  </si>
  <si>
    <t>T13b_cd-01</t>
  </si>
  <si>
    <t>T13b_cd-02</t>
  </si>
  <si>
    <t>T13b_cd-03</t>
  </si>
  <si>
    <t>T13b_cd-04</t>
  </si>
  <si>
    <t>T13b_cd-05</t>
  </si>
  <si>
    <t>T13b_cd-06</t>
  </si>
  <si>
    <t>T13b_cd-07</t>
  </si>
  <si>
    <t>T13b_cd-08</t>
  </si>
  <si>
    <t>T13b_cd-09</t>
  </si>
  <si>
    <t>T13b_cd-10</t>
  </si>
  <si>
    <t>T13b_cd-11</t>
  </si>
  <si>
    <t>T13b_cd-12</t>
  </si>
  <si>
    <t>T13b_cd-13</t>
  </si>
  <si>
    <t>T13b_cd-14</t>
  </si>
  <si>
    <t>T13b_cd-15</t>
  </si>
  <si>
    <t>T13b_cd-16</t>
  </si>
  <si>
    <t>T13b_cd-17</t>
  </si>
  <si>
    <t>T13b_cd-18</t>
  </si>
  <si>
    <t>T13b_cd-19</t>
  </si>
  <si>
    <t>T13b_cd-20</t>
  </si>
  <si>
    <t>T13b_cd-21</t>
  </si>
  <si>
    <t>T13b_cd-22</t>
  </si>
  <si>
    <t>T13b_cd-23</t>
  </si>
  <si>
    <t>T13b_cd-24</t>
  </si>
  <si>
    <t>T13b_ce-01</t>
  </si>
  <si>
    <t>T13b_ce-02</t>
  </si>
  <si>
    <t>T13b_ce-03</t>
  </si>
  <si>
    <t>T13b_ce-04</t>
  </si>
  <si>
    <t>T13b_ce-05</t>
  </si>
  <si>
    <t>T13b_ce-06</t>
  </si>
  <si>
    <t>T13b_ce-07</t>
  </si>
  <si>
    <t>T13b_ce-08</t>
  </si>
  <si>
    <t>T13b_ce-09</t>
  </si>
  <si>
    <t>T13b_ce-10</t>
  </si>
  <si>
    <t>T13b_ce-11</t>
  </si>
  <si>
    <t>T13b_ce-12</t>
  </si>
  <si>
    <t>T13b_ce-13</t>
  </si>
  <si>
    <t>T13b_ce-14</t>
  </si>
  <si>
    <t>T13b_ce-15</t>
  </si>
  <si>
    <t>T13b_ce-16</t>
  </si>
  <si>
    <t>T13b_ce-17</t>
  </si>
  <si>
    <t>T13b_ce-18</t>
  </si>
  <si>
    <t>T13b_ce-19</t>
  </si>
  <si>
    <t>T13b_ce-20</t>
  </si>
  <si>
    <t>T13b_ce-21</t>
  </si>
  <si>
    <t>T13b_ce-22</t>
  </si>
  <si>
    <t>T13b_ce-23</t>
  </si>
  <si>
    <t>T13b_ce-24</t>
  </si>
  <si>
    <t>T13b_cf-01</t>
  </si>
  <si>
    <t>T13b_cf-02</t>
  </si>
  <si>
    <t>T13b_cf-03</t>
  </si>
  <si>
    <t>T13b_cf-04</t>
  </si>
  <si>
    <t>T13b_cf-05</t>
  </si>
  <si>
    <t>T13b_cf-06</t>
  </si>
  <si>
    <t>T13b_cf-07</t>
  </si>
  <si>
    <t>T13b_cf-08</t>
  </si>
  <si>
    <t>T13b_cf-09</t>
  </si>
  <si>
    <t>T13b_cf-10</t>
  </si>
  <si>
    <t>T13b_cf-11</t>
  </si>
  <si>
    <t>T13b_cf-12</t>
  </si>
  <si>
    <t>T13b_cf-13</t>
  </si>
  <si>
    <t>T13b_cf-14</t>
  </si>
  <si>
    <t>T13b_cf-15</t>
  </si>
  <si>
    <t>T13b_cf-16</t>
  </si>
  <si>
    <t>T13b_cf-17</t>
  </si>
  <si>
    <t>T13b_cf-18</t>
  </si>
  <si>
    <t>T13b_cf-19</t>
  </si>
  <si>
    <t>T13b_cf-20</t>
  </si>
  <si>
    <t>T13b_cf-21</t>
  </si>
  <si>
    <t>T13b_cf-22</t>
  </si>
  <si>
    <t>T13b_cf-23</t>
  </si>
  <si>
    <t>T13b_cf-24</t>
  </si>
  <si>
    <t>2) y indicates different wind direction amplitude and yaw misalignment</t>
    <phoneticPr fontId="1" type="noConversion"/>
  </si>
  <si>
    <t>3) zz indicates rotor azimuth and blade1 stuck angle</t>
    <phoneticPr fontId="1" type="noConversion"/>
  </si>
  <si>
    <t>TTM (0.7 * v_tref)</t>
    <phoneticPr fontId="1" type="noConversion"/>
  </si>
  <si>
    <t>Hour of typhoon per year</t>
    <phoneticPr fontId="2" type="noConversion"/>
  </si>
  <si>
    <t>H_typhoon</t>
    <phoneticPr fontId="2" type="noConversion"/>
  </si>
  <si>
    <t>Earthquake duration time</t>
    <phoneticPr fontId="2" type="noConversion"/>
  </si>
  <si>
    <t>T_eqk</t>
    <phoneticPr fontId="2" type="noConversion"/>
  </si>
  <si>
    <t>remark:</t>
    <phoneticPr fontId="1" type="noConversion"/>
  </si>
  <si>
    <t>95-xy-zz</t>
    <phoneticPr fontId="1" type="noConversion"/>
  </si>
  <si>
    <t>DLC95</t>
    <phoneticPr fontId="1" type="noConversion"/>
  </si>
  <si>
    <t>1) x indicates Vin&lt;Vhub&lt;Vout</t>
    <phoneticPr fontId="1" type="noConversion"/>
  </si>
  <si>
    <t>wind condition</t>
    <phoneticPr fontId="1" type="noConversion"/>
  </si>
  <si>
    <t>NTM (Vin&lt;Vhub&lt;Vout)</t>
    <phoneticPr fontId="1" type="noConversion"/>
  </si>
  <si>
    <t>2) y indicates different yaw misaligned</t>
    <phoneticPr fontId="1" type="noConversion"/>
  </si>
  <si>
    <t>operating condition</t>
    <phoneticPr fontId="1" type="noConversion"/>
  </si>
  <si>
    <t>Power+Earthquake</t>
    <phoneticPr fontId="1" type="noConversion"/>
  </si>
  <si>
    <t>3) zz indicates different turbulence seed and earthquake seed</t>
    <phoneticPr fontId="1" type="noConversion"/>
  </si>
  <si>
    <t>type of analysis</t>
    <phoneticPr fontId="1" type="noConversion"/>
  </si>
  <si>
    <t>Ultimate</t>
    <phoneticPr fontId="1" type="noConversion"/>
  </si>
  <si>
    <t>fator</t>
    <phoneticPr fontId="1" type="noConversion"/>
  </si>
  <si>
    <t>Counter</t>
    <phoneticPr fontId="1" type="noConversion"/>
  </si>
  <si>
    <t>Case</t>
    <phoneticPr fontId="1" type="noConversion"/>
  </si>
  <si>
    <r>
      <t>V</t>
    </r>
    <r>
      <rPr>
        <vertAlign val="subscript"/>
        <sz val="10"/>
        <rFont val="Times New Roman"/>
        <family val="1"/>
      </rPr>
      <t>Hub</t>
    </r>
    <phoneticPr fontId="2" type="noConversion"/>
  </si>
  <si>
    <r>
      <t>σ</t>
    </r>
    <r>
      <rPr>
        <sz val="9"/>
        <color theme="1"/>
        <rFont val="宋体"/>
        <family val="3"/>
        <charset val="134"/>
      </rPr>
      <t>1</t>
    </r>
    <phoneticPr fontId="1" type="noConversion"/>
  </si>
  <si>
    <t>Ti_x</t>
    <phoneticPr fontId="1" type="noConversion"/>
  </si>
  <si>
    <t>Ti_y</t>
    <phoneticPr fontId="1" type="noConversion"/>
  </si>
  <si>
    <t>Ti_z</t>
    <phoneticPr fontId="1" type="noConversion"/>
  </si>
  <si>
    <t>In_flow</t>
    <phoneticPr fontId="1" type="noConversion"/>
  </si>
  <si>
    <t>Yaw</t>
    <phoneticPr fontId="1" type="noConversion"/>
  </si>
  <si>
    <t>Wind name</t>
    <phoneticPr fontId="2" type="noConversion"/>
  </si>
  <si>
    <t>Earthquake name</t>
    <phoneticPr fontId="1" type="noConversion"/>
  </si>
  <si>
    <t>Shear</t>
    <phoneticPr fontId="1" type="noConversion"/>
  </si>
  <si>
    <r>
      <t>t</t>
    </r>
    <r>
      <rPr>
        <vertAlign val="subscript"/>
        <sz val="11"/>
        <color theme="1"/>
        <rFont val="Times New Roman"/>
        <family val="1"/>
      </rPr>
      <t>trig</t>
    </r>
    <phoneticPr fontId="1" type="noConversion"/>
  </si>
  <si>
    <r>
      <t>t</t>
    </r>
    <r>
      <rPr>
        <vertAlign val="subscript"/>
        <sz val="10"/>
        <rFont val="Times New Roman"/>
        <family val="1"/>
      </rPr>
      <t>out</t>
    </r>
    <phoneticPr fontId="2" type="noConversion"/>
  </si>
  <si>
    <t>-</t>
    <phoneticPr fontId="1" type="noConversion"/>
  </si>
  <si>
    <t>s</t>
    <phoneticPr fontId="1" type="noConversion"/>
  </si>
  <si>
    <t>95_aa-01</t>
    <phoneticPr fontId="1" type="noConversion"/>
  </si>
  <si>
    <t>95_aa-02</t>
    <phoneticPr fontId="1" type="noConversion"/>
  </si>
  <si>
    <t>95_ab-01</t>
    <phoneticPr fontId="1" type="noConversion"/>
  </si>
  <si>
    <t>95_ab-02</t>
  </si>
  <si>
    <t>95_ac-01</t>
    <phoneticPr fontId="1" type="noConversion"/>
  </si>
  <si>
    <t>95_ac-02</t>
  </si>
  <si>
    <t>95_ba-01</t>
    <phoneticPr fontId="1" type="noConversion"/>
  </si>
  <si>
    <t>95_ba-02</t>
  </si>
  <si>
    <t>95_bb-01</t>
    <phoneticPr fontId="1" type="noConversion"/>
  </si>
  <si>
    <t>95_bb-02</t>
  </si>
  <si>
    <t>95_bc-01</t>
    <phoneticPr fontId="1" type="noConversion"/>
  </si>
  <si>
    <t>95_bc-02</t>
  </si>
  <si>
    <t>95_ca-01</t>
    <phoneticPr fontId="1" type="noConversion"/>
  </si>
  <si>
    <t>95_ca-02</t>
  </si>
  <si>
    <t>95_cb-01</t>
    <phoneticPr fontId="1" type="noConversion"/>
  </si>
  <si>
    <t>95_cb-02</t>
  </si>
  <si>
    <t>95_cc-01</t>
    <phoneticPr fontId="1" type="noConversion"/>
  </si>
  <si>
    <t>95_cc-02</t>
  </si>
  <si>
    <t>95_da-01</t>
    <phoneticPr fontId="1" type="noConversion"/>
  </si>
  <si>
    <t>95_da-02</t>
  </si>
  <si>
    <t>95_db-01</t>
    <phoneticPr fontId="1" type="noConversion"/>
  </si>
  <si>
    <t>95_db-02</t>
  </si>
  <si>
    <t>95_dc-01</t>
    <phoneticPr fontId="1" type="noConversion"/>
  </si>
  <si>
    <t>95_dc-02</t>
  </si>
  <si>
    <t>95_ea-01</t>
    <phoneticPr fontId="1" type="noConversion"/>
  </si>
  <si>
    <t>95_ea-02</t>
  </si>
  <si>
    <t>95_eb-01</t>
    <phoneticPr fontId="1" type="noConversion"/>
  </si>
  <si>
    <t>95_eb-02</t>
    <phoneticPr fontId="1" type="noConversion"/>
  </si>
  <si>
    <t>95_ec-01</t>
    <phoneticPr fontId="1" type="noConversion"/>
  </si>
  <si>
    <t>95_ec-02</t>
  </si>
  <si>
    <t>**</t>
    <phoneticPr fontId="1" type="noConversion"/>
  </si>
  <si>
    <t>remark:</t>
    <phoneticPr fontId="1" type="noConversion"/>
  </si>
  <si>
    <t>96-xy-zz</t>
    <phoneticPr fontId="1" type="noConversion"/>
  </si>
  <si>
    <t>DLC96</t>
    <phoneticPr fontId="1" type="noConversion"/>
  </si>
  <si>
    <t>1) x indicates Vr and Vout</t>
    <phoneticPr fontId="1" type="noConversion"/>
  </si>
  <si>
    <t>wind condition</t>
    <phoneticPr fontId="1" type="noConversion"/>
  </si>
  <si>
    <t>NWP (Vr, Vout)</t>
    <phoneticPr fontId="1" type="noConversion"/>
  </si>
  <si>
    <t>2) y indicates different trigger time with gridloss occurred</t>
    <phoneticPr fontId="1" type="noConversion"/>
  </si>
  <si>
    <t>operating condition</t>
    <phoneticPr fontId="1" type="noConversion"/>
  </si>
  <si>
    <t>Power+Earthquake+Gridloss+Vibration sensor triggered</t>
    <phoneticPr fontId="1" type="noConversion"/>
  </si>
  <si>
    <t>3) zz indicates different yaw misaligned and earthquake seed</t>
    <phoneticPr fontId="1" type="noConversion"/>
  </si>
  <si>
    <t>type of analysis</t>
    <phoneticPr fontId="1" type="noConversion"/>
  </si>
  <si>
    <t>Ultimate</t>
    <phoneticPr fontId="1" type="noConversion"/>
  </si>
  <si>
    <t>fator</t>
    <phoneticPr fontId="1" type="noConversion"/>
  </si>
  <si>
    <t>**</t>
    <phoneticPr fontId="1" type="noConversion"/>
  </si>
  <si>
    <t>Counter</t>
    <phoneticPr fontId="1" type="noConversion"/>
  </si>
  <si>
    <t>Case</t>
    <phoneticPr fontId="1" type="noConversion"/>
  </si>
  <si>
    <r>
      <t>V</t>
    </r>
    <r>
      <rPr>
        <vertAlign val="subscript"/>
        <sz val="10"/>
        <rFont val="Times New Roman"/>
        <family val="1"/>
      </rPr>
      <t>Hub</t>
    </r>
    <phoneticPr fontId="2" type="noConversion"/>
  </si>
  <si>
    <t>In_flow</t>
    <phoneticPr fontId="1" type="noConversion"/>
  </si>
  <si>
    <t>Shear</t>
    <phoneticPr fontId="1" type="noConversion"/>
  </si>
  <si>
    <t>Yaw</t>
    <phoneticPr fontId="1" type="noConversion"/>
  </si>
  <si>
    <t>Earthquake name</t>
    <phoneticPr fontId="1" type="noConversion"/>
  </si>
  <si>
    <r>
      <t>t</t>
    </r>
    <r>
      <rPr>
        <vertAlign val="subscript"/>
        <sz val="11"/>
        <color theme="1"/>
        <rFont val="Times New Roman"/>
        <family val="1"/>
      </rPr>
      <t>trig-eq</t>
    </r>
    <phoneticPr fontId="1" type="noConversion"/>
  </si>
  <si>
    <r>
      <t>t</t>
    </r>
    <r>
      <rPr>
        <vertAlign val="subscript"/>
        <sz val="11"/>
        <color theme="1"/>
        <rFont val="Times New Roman"/>
        <family val="1"/>
      </rPr>
      <t>trig-gridloss</t>
    </r>
    <phoneticPr fontId="1" type="noConversion"/>
  </si>
  <si>
    <r>
      <t>t</t>
    </r>
    <r>
      <rPr>
        <vertAlign val="subscript"/>
        <sz val="10"/>
        <rFont val="Times New Roman"/>
        <family val="1"/>
      </rPr>
      <t>out</t>
    </r>
    <phoneticPr fontId="2" type="noConversion"/>
  </si>
  <si>
    <t>-</t>
    <phoneticPr fontId="1" type="noConversion"/>
  </si>
  <si>
    <t>s</t>
    <phoneticPr fontId="1" type="noConversion"/>
  </si>
  <si>
    <t>96_aa-01</t>
    <phoneticPr fontId="1" type="noConversion"/>
  </si>
  <si>
    <t>96_aa-02</t>
  </si>
  <si>
    <t>96_aa-03</t>
  </si>
  <si>
    <t>96_aa-04</t>
  </si>
  <si>
    <t>96_aa-05</t>
  </si>
  <si>
    <t>96_aa-06</t>
  </si>
  <si>
    <t>96_ab-01</t>
    <phoneticPr fontId="1" type="noConversion"/>
  </si>
  <si>
    <t>96_ab-02</t>
  </si>
  <si>
    <t>96_ab-03</t>
  </si>
  <si>
    <t>96_ab-04</t>
  </si>
  <si>
    <t>96_ab-05</t>
  </si>
  <si>
    <t>96_ab-06</t>
  </si>
  <si>
    <t>96_ac-01</t>
    <phoneticPr fontId="1" type="noConversion"/>
  </si>
  <si>
    <t>96_ac-02</t>
  </si>
  <si>
    <t>96_ac-03</t>
  </si>
  <si>
    <t>96_ac-04</t>
  </si>
  <si>
    <t>96_ac-05</t>
  </si>
  <si>
    <t>96_ac-06</t>
  </si>
  <si>
    <t>96_ad-01</t>
    <phoneticPr fontId="1" type="noConversion"/>
  </si>
  <si>
    <t>96_ad-02</t>
  </si>
  <si>
    <t>96_ad-03</t>
  </si>
  <si>
    <t>96_ad-04</t>
  </si>
  <si>
    <t>96_ad-05</t>
  </si>
  <si>
    <t>96_ad-06</t>
  </si>
  <si>
    <t>96_ae-01</t>
    <phoneticPr fontId="1" type="noConversion"/>
  </si>
  <si>
    <t>96_ae-02</t>
  </si>
  <si>
    <t>96_ae-03</t>
  </si>
  <si>
    <t>96_ae-04</t>
  </si>
  <si>
    <t>96_ae-05</t>
  </si>
  <si>
    <t>96_ae-06</t>
  </si>
  <si>
    <t>96_ba-01</t>
    <phoneticPr fontId="1" type="noConversion"/>
  </si>
  <si>
    <t>96_ba-02</t>
  </si>
  <si>
    <t>96_ba-03</t>
  </si>
  <si>
    <t>96_ba-04</t>
  </si>
  <si>
    <t>96_ba-05</t>
  </si>
  <si>
    <t>96_ba-06</t>
  </si>
  <si>
    <t>96_bb-01</t>
    <phoneticPr fontId="1" type="noConversion"/>
  </si>
  <si>
    <t>96_bb-02</t>
  </si>
  <si>
    <t>96_bb-03</t>
  </si>
  <si>
    <t>96_bb-04</t>
  </si>
  <si>
    <t>96_bb-05</t>
  </si>
  <si>
    <t>96_bb-06</t>
  </si>
  <si>
    <t>96_bc-01</t>
    <phoneticPr fontId="1" type="noConversion"/>
  </si>
  <si>
    <t>96_bc-02</t>
  </si>
  <si>
    <t>96_bc-03</t>
  </si>
  <si>
    <t>96_bc-04</t>
  </si>
  <si>
    <t>96_bc-05</t>
  </si>
  <si>
    <t>96_bc-06</t>
  </si>
  <si>
    <t>96_bd-01</t>
    <phoneticPr fontId="1" type="noConversion"/>
  </si>
  <si>
    <t>96_bd-02</t>
  </si>
  <si>
    <t>96_bd-03</t>
  </si>
  <si>
    <t>96_bd-04</t>
  </si>
  <si>
    <t>96_bd-05</t>
  </si>
  <si>
    <t>96_bd-06</t>
  </si>
  <si>
    <t>96_be-01</t>
    <phoneticPr fontId="1" type="noConversion"/>
  </si>
  <si>
    <t>96_be-02</t>
  </si>
  <si>
    <t>96_be-03</t>
  </si>
  <si>
    <t>96_be-04</t>
  </si>
  <si>
    <t>96_be-05</t>
  </si>
  <si>
    <t>96_be-06</t>
  </si>
  <si>
    <t>96_ca-01</t>
  </si>
  <si>
    <t>96_ca-02</t>
  </si>
  <si>
    <t>96_ca-03</t>
  </si>
  <si>
    <t>96_ca-04</t>
  </si>
  <si>
    <t>96_ca-05</t>
  </si>
  <si>
    <t>96_ca-06</t>
  </si>
  <si>
    <t>96_cb-01</t>
  </si>
  <si>
    <t>96_cb-02</t>
  </si>
  <si>
    <t>96_cb-03</t>
  </si>
  <si>
    <t>96_cb-04</t>
  </si>
  <si>
    <t>96_cb-05</t>
  </si>
  <si>
    <t>96_cb-06</t>
  </si>
  <si>
    <t>96_cc-01</t>
  </si>
  <si>
    <t>96_cc-02</t>
  </si>
  <si>
    <t>96_cc-03</t>
  </si>
  <si>
    <t>96_cc-04</t>
  </si>
  <si>
    <t>96_cc-05</t>
  </si>
  <si>
    <t>96_cc-06</t>
  </si>
  <si>
    <t>96_cd-01</t>
  </si>
  <si>
    <t>96_cd-02</t>
  </si>
  <si>
    <t>96_cd-03</t>
  </si>
  <si>
    <t>96_cd-04</t>
  </si>
  <si>
    <t>96_cd-05</t>
  </si>
  <si>
    <t>96_cd-06</t>
  </si>
  <si>
    <t>96_ce-01</t>
  </si>
  <si>
    <t>96_ce-02</t>
  </si>
  <si>
    <t>96_ce-03</t>
  </si>
  <si>
    <t>96_ce-04</t>
  </si>
  <si>
    <t>96_ce-05</t>
  </si>
  <si>
    <t>96_ce-06</t>
  </si>
  <si>
    <t>96_da-01</t>
  </si>
  <si>
    <t>96_da-02</t>
  </si>
  <si>
    <t>96_da-03</t>
  </si>
  <si>
    <t>96_da-04</t>
  </si>
  <si>
    <t>96_da-05</t>
  </si>
  <si>
    <t>96_da-06</t>
  </si>
  <si>
    <t>96_db-01</t>
  </si>
  <si>
    <t>96_db-02</t>
  </si>
  <si>
    <t>96_db-03</t>
  </si>
  <si>
    <t>96_db-04</t>
  </si>
  <si>
    <t>96_db-05</t>
  </si>
  <si>
    <t>96_db-06</t>
  </si>
  <si>
    <t>96_dc-01</t>
  </si>
  <si>
    <t>96_dc-02</t>
  </si>
  <si>
    <t>96_dc-03</t>
  </si>
  <si>
    <t>96_dc-04</t>
  </si>
  <si>
    <t>96_dc-05</t>
  </si>
  <si>
    <t>96_dc-06</t>
  </si>
  <si>
    <t>96_dd-01</t>
  </si>
  <si>
    <t>96_dd-02</t>
  </si>
  <si>
    <t>96_dd-03</t>
  </si>
  <si>
    <t>96_dd-04</t>
  </si>
  <si>
    <t>96_dd-05</t>
  </si>
  <si>
    <t>96_dd-06</t>
  </si>
  <si>
    <t>96_de-01</t>
  </si>
  <si>
    <t>96_de-02</t>
  </si>
  <si>
    <t>96_de-03</t>
  </si>
  <si>
    <t>96_de-04</t>
  </si>
  <si>
    <t>96_de-05</t>
  </si>
  <si>
    <t>96_de-06</t>
  </si>
  <si>
    <t>96_ea-01</t>
  </si>
  <si>
    <t>96_ea-02</t>
  </si>
  <si>
    <t>96_ea-03</t>
  </si>
  <si>
    <t>96_ea-04</t>
  </si>
  <si>
    <t>96_ea-05</t>
  </si>
  <si>
    <t>96_ea-06</t>
  </si>
  <si>
    <t>96_eb-01</t>
  </si>
  <si>
    <t>96_eb-02</t>
  </si>
  <si>
    <t>96_eb-03</t>
  </si>
  <si>
    <t>96_eb-04</t>
  </si>
  <si>
    <t>96_eb-05</t>
  </si>
  <si>
    <t>96_eb-06</t>
  </si>
  <si>
    <t>96_ec-01</t>
  </si>
  <si>
    <t>96_ec-02</t>
  </si>
  <si>
    <t>96_ec-03</t>
  </si>
  <si>
    <t>96_ec-04</t>
  </si>
  <si>
    <t>96_ec-05</t>
  </si>
  <si>
    <t>96_ec-06</t>
  </si>
  <si>
    <t>96_ed-01</t>
  </si>
  <si>
    <t>96_ed-02</t>
  </si>
  <si>
    <t>96_ed-03</t>
  </si>
  <si>
    <t>96_ed-04</t>
  </si>
  <si>
    <t>96_ed-05</t>
  </si>
  <si>
    <t>96_ed-06</t>
  </si>
  <si>
    <t>96_ee-01</t>
  </si>
  <si>
    <t>96_ee-02</t>
  </si>
  <si>
    <t>96_ee-03</t>
  </si>
  <si>
    <t>96_ee-04</t>
  </si>
  <si>
    <t>96_ee-05</t>
  </si>
  <si>
    <t>96_ee-06</t>
  </si>
  <si>
    <t>97-xy-zz</t>
    <phoneticPr fontId="1" type="noConversion"/>
  </si>
  <si>
    <t>DLC97</t>
    <phoneticPr fontId="1" type="noConversion"/>
  </si>
  <si>
    <t>1) x is set as "a", which indicates Vhub</t>
    <phoneticPr fontId="1" type="noConversion"/>
  </si>
  <si>
    <t>NWP (Vhub=0.8*Vref)</t>
    <phoneticPr fontId="1" type="noConversion"/>
  </si>
  <si>
    <t>2) y indicates different yaw misaligned</t>
    <phoneticPr fontId="1" type="noConversion"/>
  </si>
  <si>
    <t>Idling+Earthquake+Gridloss</t>
    <phoneticPr fontId="1" type="noConversion"/>
  </si>
  <si>
    <t>3) zz indicates different earthquake seed</t>
    <phoneticPr fontId="1" type="noConversion"/>
  </si>
  <si>
    <t>97_aa-01</t>
    <phoneticPr fontId="1" type="noConversion"/>
  </si>
  <si>
    <t>97_aa-02</t>
  </si>
  <si>
    <t>97_aa-03</t>
  </si>
  <si>
    <t>97_aa-04</t>
  </si>
  <si>
    <t>97_aa-05</t>
  </si>
  <si>
    <t>97_aa-06</t>
  </si>
  <si>
    <t>97_ab-01</t>
    <phoneticPr fontId="1" type="noConversion"/>
  </si>
  <si>
    <t>97_ab-02</t>
  </si>
  <si>
    <t>97_ab-03</t>
  </si>
  <si>
    <t>97_ab-04</t>
  </si>
  <si>
    <t>97_ab-05</t>
  </si>
  <si>
    <t>97_ab-06</t>
  </si>
  <si>
    <t>97_ac-01</t>
    <phoneticPr fontId="1" type="noConversion"/>
  </si>
  <si>
    <t>97_ac-02</t>
  </si>
  <si>
    <t>97_ac-03</t>
  </si>
  <si>
    <t>97_ac-04</t>
  </si>
  <si>
    <t>97_ac-05</t>
  </si>
  <si>
    <t>97_ac-06</t>
  </si>
  <si>
    <t>97_ad-01</t>
    <phoneticPr fontId="1" type="noConversion"/>
  </si>
  <si>
    <t>97_ad-02</t>
  </si>
  <si>
    <t>97_ad-03</t>
  </si>
  <si>
    <t>97_ad-04</t>
  </si>
  <si>
    <t>97_ad-05</t>
  </si>
  <si>
    <t>97_ad-06</t>
  </si>
  <si>
    <t>97_ae-01</t>
    <phoneticPr fontId="1" type="noConversion"/>
  </si>
  <si>
    <t>97_ae-02</t>
  </si>
  <si>
    <t>97_ae-03</t>
  </si>
  <si>
    <t>97_ae-04</t>
  </si>
  <si>
    <t>97_ae-05</t>
  </si>
  <si>
    <t>97_ae-06</t>
  </si>
  <si>
    <t>97_af-01</t>
    <phoneticPr fontId="1" type="noConversion"/>
  </si>
  <si>
    <t>97_af-02</t>
  </si>
  <si>
    <t>97_af-03</t>
  </si>
  <si>
    <t>97_af-04</t>
  </si>
  <si>
    <t>97_af-05</t>
  </si>
  <si>
    <t>97_af-06</t>
  </si>
  <si>
    <t>97_ag-01</t>
    <phoneticPr fontId="1" type="noConversion"/>
  </si>
  <si>
    <t>97_ag-02</t>
  </si>
  <si>
    <t>97_ag-03</t>
  </si>
  <si>
    <t>97_ag-04</t>
  </si>
  <si>
    <t>97_ag-05</t>
  </si>
  <si>
    <t>97_ag-06</t>
  </si>
  <si>
    <t>97_ah-01</t>
    <phoneticPr fontId="1" type="noConversion"/>
  </si>
  <si>
    <t>97_ah-02</t>
  </si>
  <si>
    <t>97_ah-03</t>
  </si>
  <si>
    <t>97_ah-04</t>
  </si>
  <si>
    <t>97_ah-05</t>
  </si>
  <si>
    <t>97_ah-06</t>
  </si>
  <si>
    <t>97_ai-01</t>
    <phoneticPr fontId="1" type="noConversion"/>
  </si>
  <si>
    <t>97_ai-02</t>
  </si>
  <si>
    <t>97_ai-03</t>
  </si>
  <si>
    <t>97_ai-04</t>
  </si>
  <si>
    <t>97_ai-05</t>
  </si>
  <si>
    <t>97_ai-06</t>
  </si>
  <si>
    <t>97_aj-01</t>
    <phoneticPr fontId="1" type="noConversion"/>
  </si>
  <si>
    <t>97_aj-02</t>
  </si>
  <si>
    <t>97_aj-03</t>
  </si>
  <si>
    <t>97_aj-04</t>
  </si>
  <si>
    <t>97_aj-05</t>
  </si>
  <si>
    <t>97_aj-06</t>
  </si>
  <si>
    <t>97_ak-01</t>
    <phoneticPr fontId="1" type="noConversion"/>
  </si>
  <si>
    <t>97_ak-02</t>
  </si>
  <si>
    <t>97_ak-03</t>
  </si>
  <si>
    <t>97_ak-04</t>
  </si>
  <si>
    <t>97_ak-05</t>
  </si>
  <si>
    <t>97_ak-06</t>
  </si>
  <si>
    <t>97_al-01</t>
    <phoneticPr fontId="1" type="noConversion"/>
  </si>
  <si>
    <t>97_al-02</t>
  </si>
  <si>
    <t>97_al-03</t>
  </si>
  <si>
    <t>97_al-04</t>
  </si>
  <si>
    <t>97_al-05</t>
  </si>
  <si>
    <t>97_al-06</t>
  </si>
  <si>
    <t>check to hide the sheet</t>
    <phoneticPr fontId="2" type="noConversion"/>
  </si>
  <si>
    <t>T8-xy-zz</t>
    <phoneticPr fontId="1" type="noConversion"/>
  </si>
  <si>
    <t>quake-1</t>
  </si>
  <si>
    <t>quake-2</t>
  </si>
  <si>
    <t>quake-3</t>
  </si>
  <si>
    <t>quake-4</t>
  </si>
  <si>
    <t>quake-5</t>
  </si>
  <si>
    <t>quake-6</t>
  </si>
  <si>
    <t>Earthquake angle</t>
    <phoneticPr fontId="1" type="noConversion"/>
  </si>
  <si>
    <t>°</t>
    <phoneticPr fontId="1" type="noConversion"/>
  </si>
  <si>
    <t>1.0</t>
    <phoneticPr fontId="2" type="noConversion"/>
  </si>
  <si>
    <t>T11_aa-01</t>
  </si>
  <si>
    <t>T11_aa-02</t>
  </si>
  <si>
    <t>T11_aa-03</t>
  </si>
  <si>
    <t>T11_aa-04</t>
  </si>
  <si>
    <t>T11_aa-05</t>
  </si>
  <si>
    <t>T11_aa-06</t>
  </si>
  <si>
    <t>T11_ab-01</t>
  </si>
  <si>
    <t>T11_ab-02</t>
  </si>
  <si>
    <t>T11_ab-03</t>
  </si>
  <si>
    <t>T11_ab-04</t>
  </si>
  <si>
    <t>T11_ab-05</t>
  </si>
  <si>
    <t>T11_ab-06</t>
  </si>
  <si>
    <t>T11_ac-01</t>
  </si>
  <si>
    <t>T11_ac-02</t>
  </si>
  <si>
    <t>T11_ac-03</t>
  </si>
  <si>
    <t>T11_ac-04</t>
  </si>
  <si>
    <t>T11_ac-05</t>
  </si>
  <si>
    <t>T11_ac-06</t>
  </si>
  <si>
    <t>T7_aa-01</t>
  </si>
  <si>
    <t>T7_aa-02</t>
  </si>
  <si>
    <t>T7_aa-03</t>
  </si>
  <si>
    <t>T7_aa-04</t>
  </si>
  <si>
    <t>T7_aa-05</t>
  </si>
  <si>
    <t>T7_aa-06</t>
  </si>
  <si>
    <t>T7_aa-07</t>
  </si>
  <si>
    <t>T7_aa-08</t>
  </si>
  <si>
    <t>T7_aa-09</t>
  </si>
  <si>
    <t>T7_aa-10</t>
  </si>
  <si>
    <t>T7_aa-11</t>
  </si>
  <si>
    <t>T7_aa-12</t>
  </si>
  <si>
    <t>T7_ab-01</t>
  </si>
  <si>
    <t>T7_ab-02</t>
  </si>
  <si>
    <t>T7_ab-03</t>
  </si>
  <si>
    <t>T7_ab-04</t>
  </si>
  <si>
    <t>T7_ab-05</t>
  </si>
  <si>
    <t>T7_ab-06</t>
  </si>
  <si>
    <t>T7_ab-07</t>
  </si>
  <si>
    <t>T7_ab-08</t>
  </si>
  <si>
    <t>T7_ab-09</t>
  </si>
  <si>
    <t>T7_ab-10</t>
  </si>
  <si>
    <t>T7_ab-11</t>
  </si>
  <si>
    <t>T7_ab-12</t>
  </si>
  <si>
    <t>T7_ac-01</t>
  </si>
  <si>
    <t>T7_ac-02</t>
  </si>
  <si>
    <t>T7_ac-03</t>
  </si>
  <si>
    <t>T7_ac-04</t>
  </si>
  <si>
    <t>T7_ac-05</t>
  </si>
  <si>
    <t>T7_ac-06</t>
  </si>
  <si>
    <t>T7_ac-07</t>
  </si>
  <si>
    <t>T7_ac-08</t>
  </si>
  <si>
    <t>T7_ac-09</t>
  </si>
  <si>
    <t>T7_ac-10</t>
  </si>
  <si>
    <t>T7_ac-11</t>
  </si>
  <si>
    <t>T7_ac-12</t>
  </si>
  <si>
    <t>T7_ad-01</t>
  </si>
  <si>
    <t>T7_ad-02</t>
  </si>
  <si>
    <t>T7_ad-03</t>
  </si>
  <si>
    <t>T7_ad-04</t>
  </si>
  <si>
    <t>T7_ad-05</t>
  </si>
  <si>
    <t>T7_ad-06</t>
  </si>
  <si>
    <t>T7_ad-07</t>
  </si>
  <si>
    <t>T7_ad-08</t>
  </si>
  <si>
    <t>T7_ad-09</t>
  </si>
  <si>
    <t>T7_ad-10</t>
  </si>
  <si>
    <t>T7_ad-11</t>
  </si>
  <si>
    <t>T7_ad-12</t>
  </si>
  <si>
    <t>Multiplier of lateral turbulence deviation for typhoon</t>
    <phoneticPr fontId="2" type="noConversion"/>
  </si>
  <si>
    <t>Multiplier of vertial turbulence deviation for typhoon</t>
    <phoneticPr fontId="2" type="noConversion"/>
  </si>
  <si>
    <t>Multiplier,Ty, typhoon</t>
    <phoneticPr fontId="2" type="noConversion"/>
  </si>
  <si>
    <t>Multiplier,Tz, typhoon</t>
    <phoneticPr fontId="2" type="noConversion"/>
  </si>
  <si>
    <t>undefinded</t>
    <phoneticPr fontId="2" type="noConversion"/>
  </si>
  <si>
    <t>Increment of wind speed for the load cases DLC1.2</t>
    <phoneticPr fontId="2" type="noConversion"/>
  </si>
  <si>
    <t>V_step_12</t>
    <phoneticPr fontId="2" type="noConversion"/>
  </si>
  <si>
    <t>DLC25</t>
    <phoneticPr fontId="1" type="noConversion"/>
  </si>
  <si>
    <t>Low voltage ride through (LVRT)</t>
    <phoneticPr fontId="1" type="noConversion"/>
  </si>
  <si>
    <t>trig_LVRT</t>
    <phoneticPr fontId="1" type="noConversion"/>
  </si>
  <si>
    <t>H_hp</t>
    <phoneticPr fontId="2" type="noConversion"/>
  </si>
  <si>
    <t>Hours of pitch error operating per year</t>
    <phoneticPr fontId="2" type="noConversion"/>
  </si>
  <si>
    <t>wind condition</t>
    <phoneticPr fontId="1" type="noConversion"/>
  </si>
  <si>
    <t>NTM (Vin&lt;Vhub&lt;Vout)</t>
    <phoneticPr fontId="1" type="noConversion"/>
  </si>
  <si>
    <t>operating condition</t>
    <phoneticPr fontId="1" type="noConversion"/>
  </si>
  <si>
    <t>type of analysis</t>
    <phoneticPr fontId="1" type="noConversion"/>
  </si>
  <si>
    <t>Ultimate</t>
    <phoneticPr fontId="1" type="noConversion"/>
  </si>
  <si>
    <t>fator</t>
    <phoneticPr fontId="1" type="noConversion"/>
  </si>
  <si>
    <t>N</t>
    <phoneticPr fontId="1" type="noConversion"/>
  </si>
  <si>
    <t>Counter</t>
    <phoneticPr fontId="1" type="noConversion"/>
  </si>
  <si>
    <t>Case</t>
    <phoneticPr fontId="1" type="noConversion"/>
  </si>
  <si>
    <r>
      <t>V</t>
    </r>
    <r>
      <rPr>
        <vertAlign val="subscript"/>
        <sz val="10"/>
        <rFont val="Times New Roman"/>
        <family val="1"/>
      </rPr>
      <t>Hub</t>
    </r>
    <phoneticPr fontId="2" type="noConversion"/>
  </si>
  <si>
    <r>
      <t>σ</t>
    </r>
    <r>
      <rPr>
        <sz val="9"/>
        <color theme="1"/>
        <rFont val="宋体"/>
        <family val="3"/>
        <charset val="134"/>
      </rPr>
      <t>1</t>
    </r>
    <phoneticPr fontId="1" type="noConversion"/>
  </si>
  <si>
    <t>Ti_x</t>
    <phoneticPr fontId="1" type="noConversion"/>
  </si>
  <si>
    <t>Ti_y</t>
    <phoneticPr fontId="1" type="noConversion"/>
  </si>
  <si>
    <t>Ti_z</t>
    <phoneticPr fontId="1" type="noConversion"/>
  </si>
  <si>
    <t>In_flow</t>
    <phoneticPr fontId="1" type="noConversion"/>
  </si>
  <si>
    <t>Yaw</t>
    <phoneticPr fontId="1" type="noConversion"/>
  </si>
  <si>
    <t>Wind name</t>
    <phoneticPr fontId="2" type="noConversion"/>
  </si>
  <si>
    <t>Shear</t>
    <phoneticPr fontId="1" type="noConversion"/>
  </si>
  <si>
    <r>
      <t>t</t>
    </r>
    <r>
      <rPr>
        <vertAlign val="subscript"/>
        <sz val="10"/>
        <rFont val="Times New Roman"/>
        <family val="1"/>
      </rPr>
      <t>out</t>
    </r>
    <phoneticPr fontId="2" type="noConversion"/>
  </si>
  <si>
    <t>trig_fault</t>
    <phoneticPr fontId="1" type="noConversion"/>
  </si>
  <si>
    <t>Runaway_rate</t>
    <phoneticPr fontId="1" type="noConversion"/>
  </si>
  <si>
    <t>-</t>
    <phoneticPr fontId="1" type="noConversion"/>
  </si>
  <si>
    <t>Hardware Min. pitch system ranaway rate toward fine</t>
    <phoneticPr fontId="2" type="noConversion"/>
  </si>
  <si>
    <t>Software Max. pitch system ranaway rate toward feather</t>
    <phoneticPr fontId="2" type="noConversion"/>
  </si>
  <si>
    <t>Software Min. pitch system ranaway rate toward fine</t>
    <phoneticPr fontId="2" type="noConversion"/>
  </si>
  <si>
    <t>Pitch_runaway_fine_Hardware</t>
    <phoneticPr fontId="2" type="noConversion"/>
  </si>
  <si>
    <t>Powprod Max. pitch angle</t>
    <phoneticPr fontId="2" type="noConversion"/>
  </si>
  <si>
    <t>Pitch_angle_powprod</t>
    <phoneticPr fontId="2" type="noConversion"/>
  </si>
  <si>
    <t>a</t>
    <phoneticPr fontId="1" type="noConversion"/>
  </si>
  <si>
    <t>idling + fault condition (brake system)</t>
    <phoneticPr fontId="1" type="noConversion"/>
  </si>
  <si>
    <t>Btorque_max</t>
    <phoneticPr fontId="1" type="noConversion"/>
  </si>
  <si>
    <t>Brake system</t>
    <phoneticPr fontId="2" type="noConversion"/>
  </si>
  <si>
    <t>Brake torque Max.</t>
    <phoneticPr fontId="2" type="noConversion"/>
  </si>
  <si>
    <t>Btorque_max</t>
    <phoneticPr fontId="2" type="noConversion"/>
  </si>
  <si>
    <t>model</t>
    <phoneticPr fontId="2" type="noConversion"/>
  </si>
  <si>
    <r>
      <t xml:space="preserve">IEC61400-1 </t>
    </r>
    <r>
      <rPr>
        <b/>
        <sz val="11"/>
        <rFont val="Times New Roman"/>
        <family val="1"/>
      </rPr>
      <t>ED4.</t>
    </r>
    <phoneticPr fontId="2" type="noConversion"/>
  </si>
  <si>
    <t>Power + N4 over speed</t>
    <phoneticPr fontId="1" type="noConversion"/>
  </si>
  <si>
    <t>Power + single blade runaway toward feather</t>
    <phoneticPr fontId="1" type="noConversion"/>
  </si>
  <si>
    <t>Power + single blade runaway toward fine</t>
    <phoneticPr fontId="1" type="noConversion"/>
  </si>
  <si>
    <t>Power + yaw runaway toward positive and negative</t>
    <phoneticPr fontId="1" type="noConversion"/>
  </si>
  <si>
    <t>Power + NA over speed</t>
    <phoneticPr fontId="1" type="noConversion"/>
  </si>
  <si>
    <t>DLC21a</t>
    <phoneticPr fontId="1" type="noConversion"/>
  </si>
  <si>
    <t>DLC21b</t>
    <phoneticPr fontId="1" type="noConversion"/>
  </si>
  <si>
    <t>DLC21c</t>
    <phoneticPr fontId="1" type="noConversion"/>
  </si>
  <si>
    <t>DLC21d</t>
    <phoneticPr fontId="1" type="noConversion"/>
  </si>
  <si>
    <t>DLC22a</t>
    <phoneticPr fontId="1" type="noConversion"/>
  </si>
  <si>
    <t>DLC22b</t>
    <phoneticPr fontId="1" type="noConversion"/>
  </si>
  <si>
    <t>Power + single blade seizure</t>
    <phoneticPr fontId="1" type="noConversion"/>
  </si>
  <si>
    <t>Power + all blade runaway toward fine with different rate</t>
    <phoneticPr fontId="1" type="noConversion"/>
  </si>
  <si>
    <t>DLC22c</t>
    <phoneticPr fontId="1" type="noConversion"/>
  </si>
  <si>
    <t>Power + 2-pahse and 3-phase short circuit</t>
    <phoneticPr fontId="1" type="noConversion"/>
  </si>
  <si>
    <t>DLC22d</t>
    <phoneticPr fontId="1" type="noConversion"/>
  </si>
  <si>
    <t>LVRT</t>
    <phoneticPr fontId="2" type="noConversion"/>
  </si>
  <si>
    <t>Low voltage ride through (LVRT)</t>
    <phoneticPr fontId="2" type="noConversion"/>
  </si>
  <si>
    <t>DLC24a</t>
    <phoneticPr fontId="1" type="noConversion"/>
  </si>
  <si>
    <t>Power + N4 overspeed</t>
    <phoneticPr fontId="1" type="noConversion"/>
  </si>
  <si>
    <t>DLC24b</t>
    <phoneticPr fontId="1" type="noConversion"/>
  </si>
  <si>
    <t>DLC24c</t>
    <phoneticPr fontId="1" type="noConversion"/>
  </si>
  <si>
    <t>Power + pitch error</t>
    <phoneticPr fontId="1" type="noConversion"/>
  </si>
  <si>
    <t>DLC24d</t>
    <phoneticPr fontId="1" type="noConversion"/>
  </si>
  <si>
    <t>yaw misaligned for DLC63</t>
  </si>
  <si>
    <t>yaw misaligned for DLC81c</t>
  </si>
  <si>
    <t>Power + large yaw misaligned</t>
  </si>
  <si>
    <t>deg/s</t>
    <phoneticPr fontId="1" type="noConversion"/>
  </si>
  <si>
    <t>T</t>
    <phoneticPr fontId="1" type="noConversion"/>
  </si>
  <si>
    <t>H</t>
    <phoneticPr fontId="1" type="noConversion"/>
  </si>
  <si>
    <t>Error in blade set angle</t>
    <phoneticPr fontId="2" type="noConversion"/>
  </si>
  <si>
    <t>Blade_set_angle_error</t>
    <phoneticPr fontId="2" type="noConversion"/>
  </si>
  <si>
    <t>Blade_set_angle_error</t>
    <phoneticPr fontId="1" type="noConversion"/>
  </si>
  <si>
    <t>Yaw frition</t>
  </si>
  <si>
    <t>Yaw_frition</t>
  </si>
  <si>
    <t>22-1</t>
    <phoneticPr fontId="1" type="noConversion"/>
  </si>
  <si>
    <t>22-2</t>
  </si>
  <si>
    <t>22-3</t>
  </si>
  <si>
    <t>22-4</t>
  </si>
  <si>
    <t>22-5</t>
  </si>
  <si>
    <t>22-6</t>
  </si>
  <si>
    <t>22-7</t>
  </si>
  <si>
    <t>22-8</t>
  </si>
  <si>
    <t>22-9</t>
  </si>
  <si>
    <t>22-10</t>
  </si>
  <si>
    <t>22-11</t>
  </si>
  <si>
    <t>22-12</t>
  </si>
  <si>
    <t>22-13</t>
  </si>
  <si>
    <t>22-14</t>
  </si>
  <si>
    <t>22-15</t>
  </si>
  <si>
    <t>22-16</t>
  </si>
  <si>
    <t>22-17</t>
  </si>
  <si>
    <t>22-18</t>
  </si>
  <si>
    <t>22-19</t>
  </si>
  <si>
    <t>22-20</t>
  </si>
  <si>
    <t>22-21</t>
  </si>
  <si>
    <t>22-22</t>
  </si>
  <si>
    <t>22-23</t>
  </si>
  <si>
    <t>22-24</t>
  </si>
  <si>
    <t>22-25</t>
  </si>
  <si>
    <t>22-26</t>
  </si>
  <si>
    <t>22-27</t>
  </si>
  <si>
    <t>22-28</t>
  </si>
  <si>
    <t>22-29</t>
  </si>
  <si>
    <t>22-30</t>
  </si>
  <si>
    <t>22-31</t>
  </si>
  <si>
    <t>22-32</t>
  </si>
  <si>
    <t>22-33</t>
  </si>
  <si>
    <t>22-34</t>
  </si>
  <si>
    <t>22-35</t>
  </si>
  <si>
    <t>22-36</t>
  </si>
  <si>
    <t>22-37</t>
  </si>
  <si>
    <t>22-38</t>
  </si>
  <si>
    <t>22-39</t>
  </si>
  <si>
    <t>22-40</t>
  </si>
  <si>
    <t>22-41</t>
  </si>
  <si>
    <t>22-42</t>
  </si>
  <si>
    <t>22-43</t>
  </si>
  <si>
    <t>22-44</t>
  </si>
  <si>
    <t>22-45</t>
  </si>
  <si>
    <t>22-46</t>
  </si>
  <si>
    <t>22-47</t>
  </si>
  <si>
    <t>22-48</t>
  </si>
  <si>
    <t>22-49</t>
  </si>
  <si>
    <t>22-50</t>
  </si>
  <si>
    <t>22-51</t>
  </si>
  <si>
    <t>22-52</t>
  </si>
  <si>
    <t>22-53</t>
  </si>
  <si>
    <t>22-54</t>
  </si>
  <si>
    <t>22-55</t>
  </si>
  <si>
    <t>22-56</t>
  </si>
  <si>
    <t>22-57</t>
  </si>
  <si>
    <t>22-58</t>
  </si>
  <si>
    <t>22-59</t>
  </si>
  <si>
    <t>22-60</t>
  </si>
  <si>
    <t>24-1</t>
    <phoneticPr fontId="1" type="noConversion"/>
  </si>
  <si>
    <t>24-2</t>
  </si>
  <si>
    <t>24-3</t>
  </si>
  <si>
    <t>24-4</t>
  </si>
  <si>
    <t>24-5</t>
  </si>
  <si>
    <t>24-6</t>
  </si>
  <si>
    <t>24-7</t>
  </si>
  <si>
    <t>24-8</t>
  </si>
  <si>
    <t>24-9</t>
  </si>
  <si>
    <t>24-10</t>
  </si>
  <si>
    <t>24-11</t>
  </si>
  <si>
    <t>24-12</t>
  </si>
  <si>
    <t>24-13</t>
  </si>
  <si>
    <t>24-14</t>
  </si>
  <si>
    <t>24-15</t>
  </si>
  <si>
    <t>24-16</t>
  </si>
  <si>
    <t>24-17</t>
  </si>
  <si>
    <t>24-18</t>
  </si>
  <si>
    <t>24-19</t>
  </si>
  <si>
    <t>24-20</t>
  </si>
  <si>
    <t>24-21</t>
  </si>
  <si>
    <t>24-22</t>
  </si>
  <si>
    <t>24-23</t>
  </si>
  <si>
    <t>24-24</t>
  </si>
  <si>
    <t>24-25</t>
  </si>
  <si>
    <t>24-26</t>
  </si>
  <si>
    <t>24-27</t>
  </si>
  <si>
    <t>24-28</t>
  </si>
  <si>
    <t>24-29</t>
  </si>
  <si>
    <t>24-30</t>
  </si>
  <si>
    <t>24-31</t>
  </si>
  <si>
    <t>24-32</t>
  </si>
  <si>
    <t>24-33</t>
  </si>
  <si>
    <t>24-34</t>
  </si>
  <si>
    <t>24-35</t>
  </si>
  <si>
    <t>24-36</t>
  </si>
  <si>
    <t>24-37</t>
  </si>
  <si>
    <t>24-38</t>
  </si>
  <si>
    <t>24-39</t>
  </si>
  <si>
    <t>24-40</t>
  </si>
  <si>
    <t>24-41</t>
  </si>
  <si>
    <t>24-42</t>
  </si>
  <si>
    <t>24-43</t>
  </si>
  <si>
    <t>24-44</t>
  </si>
  <si>
    <t>24-45</t>
  </si>
  <si>
    <t>24-46</t>
  </si>
  <si>
    <t>24-47</t>
  </si>
  <si>
    <t>24-48</t>
  </si>
  <si>
    <t>24-49</t>
  </si>
  <si>
    <t>24-50</t>
  </si>
  <si>
    <t>24-51</t>
  </si>
  <si>
    <t>24-52</t>
  </si>
  <si>
    <t>24-53</t>
  </si>
  <si>
    <t>24-54</t>
  </si>
  <si>
    <t>24-55</t>
  </si>
  <si>
    <t>24-56</t>
  </si>
  <si>
    <t>24-57</t>
  </si>
  <si>
    <t>24-58</t>
  </si>
  <si>
    <t>24-59</t>
  </si>
  <si>
    <t>24-60</t>
  </si>
  <si>
    <t>blade damping</t>
    <phoneticPr fontId="1" type="noConversion"/>
  </si>
  <si>
    <t>DLC32</t>
    <phoneticPr fontId="1" type="noConversion"/>
  </si>
  <si>
    <t>Start-up</t>
    <phoneticPr fontId="1" type="noConversion"/>
  </si>
  <si>
    <r>
      <t>V</t>
    </r>
    <r>
      <rPr>
        <vertAlign val="subscript"/>
        <sz val="10"/>
        <rFont val="Times New Roman"/>
        <family val="1"/>
      </rPr>
      <t>Hub_turb</t>
    </r>
    <phoneticPr fontId="2" type="noConversion"/>
  </si>
  <si>
    <t>trig_start</t>
    <phoneticPr fontId="1" type="noConversion"/>
  </si>
  <si>
    <t>remark:</t>
    <phoneticPr fontId="1" type="noConversion"/>
  </si>
  <si>
    <t>ρ</t>
    <phoneticPr fontId="1" type="noConversion"/>
  </si>
  <si>
    <t>wind condition</t>
    <phoneticPr fontId="1" type="noConversion"/>
  </si>
  <si>
    <t>EDC (Vin&lt;Vhub&lt;Vout)</t>
    <phoneticPr fontId="1" type="noConversion"/>
  </si>
  <si>
    <t>k_opt</t>
    <phoneticPr fontId="1" type="noConversion"/>
  </si>
  <si>
    <t>Ultimate</t>
    <phoneticPr fontId="1" type="noConversion"/>
  </si>
  <si>
    <t>N</t>
    <phoneticPr fontId="1" type="noConversion"/>
  </si>
  <si>
    <t>t_startup_50%power</t>
    <phoneticPr fontId="1" type="noConversion"/>
  </si>
  <si>
    <t>t_startup_95%power</t>
    <phoneticPr fontId="1" type="noConversion"/>
  </si>
  <si>
    <r>
      <t>V</t>
    </r>
    <r>
      <rPr>
        <vertAlign val="subscript"/>
        <sz val="10"/>
        <rFont val="Times New Roman"/>
        <family val="1"/>
      </rPr>
      <t>Hub_trans</t>
    </r>
    <phoneticPr fontId="2" type="noConversion"/>
  </si>
  <si>
    <t>θ_e</t>
    <phoneticPr fontId="1" type="noConversion"/>
  </si>
  <si>
    <t>Cycle_dir</t>
    <phoneticPr fontId="1" type="noConversion"/>
  </si>
  <si>
    <t>T_dir</t>
    <phoneticPr fontId="1" type="noConversion"/>
  </si>
  <si>
    <t>trig_dir</t>
    <phoneticPr fontId="1" type="noConversion"/>
  </si>
  <si>
    <t>s</t>
    <phoneticPr fontId="1" type="noConversion"/>
  </si>
  <si>
    <t>°</t>
    <phoneticPr fontId="1" type="noConversion"/>
  </si>
  <si>
    <t>Yaw</t>
    <phoneticPr fontId="1" type="noConversion"/>
  </si>
  <si>
    <t>Vertical</t>
    <phoneticPr fontId="2" type="noConversion"/>
  </si>
  <si>
    <t>DLC71a</t>
    <phoneticPr fontId="1" type="noConversion"/>
  </si>
  <si>
    <t>DLC71b</t>
    <phoneticPr fontId="1" type="noConversion"/>
  </si>
  <si>
    <t xml:space="preserve"> </t>
    <phoneticPr fontId="1" type="noConversion"/>
  </si>
  <si>
    <t>Fatigue</t>
    <phoneticPr fontId="1" type="noConversion"/>
  </si>
  <si>
    <t>Rayleigh</t>
    <phoneticPr fontId="2" type="noConversion"/>
  </si>
  <si>
    <t>-</t>
  </si>
  <si>
    <t>\\172.20.0.4\fs04\XW\V4\loop1\inputs\ex_controller\2_phase_n.txt</t>
    <phoneticPr fontId="2" type="noConversion"/>
  </si>
  <si>
    <t>\\10.0.80.11\bladed\LSY\W2500-135-140\Rated_10.66_loop2\input\excontroller\LVRT\LVRT.txt</t>
    <phoneticPr fontId="2" type="noConversion"/>
  </si>
  <si>
    <t>25-3</t>
  </si>
  <si>
    <t>25-4</t>
  </si>
  <si>
    <t>25-5</t>
  </si>
  <si>
    <t>25-6</t>
  </si>
  <si>
    <t>25-7</t>
  </si>
  <si>
    <t>25-8</t>
  </si>
  <si>
    <t>25-9</t>
  </si>
  <si>
    <t>25-10</t>
  </si>
  <si>
    <t>25-11</t>
  </si>
  <si>
    <t>25-12</t>
  </si>
  <si>
    <t>25-13</t>
  </si>
  <si>
    <t>25-14</t>
  </si>
  <si>
    <t>25-15</t>
  </si>
  <si>
    <t>25-16</t>
  </si>
  <si>
    <t>25-17</t>
  </si>
  <si>
    <t>25-18</t>
  </si>
  <si>
    <t>25-19</t>
  </si>
  <si>
    <t>25-20</t>
  </si>
  <si>
    <t>25-21</t>
  </si>
  <si>
    <t>25-22</t>
  </si>
  <si>
    <t>25-23</t>
  </si>
  <si>
    <t>25-24</t>
  </si>
  <si>
    <t>25-25</t>
  </si>
  <si>
    <t>25-26</t>
  </si>
  <si>
    <t>25-27</t>
  </si>
  <si>
    <t>25-28</t>
  </si>
  <si>
    <t>25-29</t>
  </si>
  <si>
    <t>25-30</t>
  </si>
  <si>
    <t>25-31</t>
  </si>
  <si>
    <t>25-32</t>
  </si>
  <si>
    <t>25-33</t>
  </si>
  <si>
    <t>25-34</t>
  </si>
  <si>
    <t>25-35</t>
  </si>
  <si>
    <t>25-36</t>
  </si>
  <si>
    <t>25-37</t>
  </si>
  <si>
    <t>25-38</t>
  </si>
  <si>
    <t>25-39</t>
  </si>
  <si>
    <t>25-40</t>
  </si>
  <si>
    <t>25-41</t>
  </si>
  <si>
    <t>25-42</t>
  </si>
  <si>
    <t>25-43</t>
  </si>
  <si>
    <t>25-44</t>
  </si>
  <si>
    <t>25-45</t>
  </si>
  <si>
    <t>25-46</t>
  </si>
  <si>
    <t>25-47</t>
  </si>
  <si>
    <t>25-48</t>
  </si>
  <si>
    <t>25-49</t>
  </si>
  <si>
    <t>25-50</t>
  </si>
  <si>
    <t>25-51</t>
  </si>
  <si>
    <t>25-52</t>
  </si>
  <si>
    <t>25-53</t>
  </si>
  <si>
    <t>25-54</t>
  </si>
  <si>
    <t>25-55</t>
  </si>
  <si>
    <t>25-56</t>
  </si>
  <si>
    <t>25-57</t>
  </si>
  <si>
    <t>25-58</t>
  </si>
  <si>
    <t>25-59</t>
  </si>
  <si>
    <t>25-60</t>
  </si>
  <si>
    <t>25-1</t>
    <phoneticPr fontId="1" type="noConversion"/>
  </si>
  <si>
    <t>25-2</t>
    <phoneticPr fontId="1" type="noConversion"/>
  </si>
  <si>
    <t>*</t>
    <phoneticPr fontId="1" type="noConversion"/>
  </si>
  <si>
    <t>1) H is set X,  as a placeholder</t>
    <phoneticPr fontId="1" type="noConversion"/>
  </si>
  <si>
    <t>L11Hww-xxx_yyy_zz</t>
    <phoneticPr fontId="1" type="noConversion"/>
  </si>
  <si>
    <t>6) zz indicates turbulence seed</t>
    <phoneticPr fontId="1" type="noConversion"/>
  </si>
  <si>
    <t>L12Hww-xxx_yyy_zz</t>
    <phoneticPr fontId="1" type="noConversion"/>
  </si>
  <si>
    <t>5) yyy indicates azimuth angle</t>
    <phoneticPr fontId="1" type="noConversion"/>
  </si>
  <si>
    <t>L13Hww#xxx_yyy_zz</t>
    <phoneticPr fontId="1" type="noConversion"/>
  </si>
  <si>
    <t>L14Hww#xxx_yyy_zz</t>
    <phoneticPr fontId="1" type="noConversion"/>
  </si>
  <si>
    <t>L15Hww#xxx_yyy_zz</t>
    <phoneticPr fontId="1" type="noConversion"/>
  </si>
  <si>
    <t>1) H is set A to D, indicating the sign of wind shear and shear type</t>
    <phoneticPr fontId="1" type="noConversion"/>
  </si>
  <si>
    <t>3) - is rainflow postprocess identifier</t>
    <phoneticPr fontId="1" type="noConversion"/>
  </si>
  <si>
    <t>3) # is ultimate postprocess identifier, as mean approach</t>
    <phoneticPr fontId="1" type="noConversion"/>
  </si>
  <si>
    <t>2) ww indicates wind speed magnitude</t>
    <phoneticPr fontId="1" type="noConversion"/>
  </si>
  <si>
    <t>4) xxx indicates yaw misalignment</t>
    <phoneticPr fontId="1" type="noConversion"/>
  </si>
  <si>
    <t>3) # is ultimate postprocess identifier, as mean approach</t>
  </si>
  <si>
    <t>3) + is ultimate postprocess identifier, as half mean approach</t>
    <phoneticPr fontId="1" type="noConversion"/>
  </si>
  <si>
    <t>21aHww+xxx_yyy_zz</t>
    <phoneticPr fontId="1" type="noConversion"/>
  </si>
  <si>
    <t>21bHww+xxx_yyy_zz</t>
    <phoneticPr fontId="1" type="noConversion"/>
  </si>
  <si>
    <t>21cHww+xxx_yyy_zz</t>
    <phoneticPr fontId="1" type="noConversion"/>
  </si>
  <si>
    <t>21dHww+xxx_yyy_zz</t>
    <phoneticPr fontId="1" type="noConversion"/>
  </si>
  <si>
    <t>1) H is set A or B, indicating the sign of wind direction change</t>
    <phoneticPr fontId="1" type="noConversion"/>
  </si>
  <si>
    <t>1) H is set A or B, indicating the sign of yaw runaway rate</t>
    <phoneticPr fontId="1" type="noConversion"/>
  </si>
  <si>
    <t>22aHww+xxx_yyy_zz</t>
    <phoneticPr fontId="1" type="noConversion"/>
  </si>
  <si>
    <t>22bHww+xxx_yyy_zz</t>
    <phoneticPr fontId="1" type="noConversion"/>
  </si>
  <si>
    <t>22cHww+xxx_yyy_zz</t>
    <phoneticPr fontId="1" type="noConversion"/>
  </si>
  <si>
    <t>22dHww+xxx_yyy_zz</t>
    <phoneticPr fontId="1" type="noConversion"/>
  </si>
  <si>
    <t>\\172.20.0.4\fs04\XW\V4\loop1\inputs\ex_controller\3_phase_n.txt</t>
    <phoneticPr fontId="2" type="noConversion"/>
  </si>
  <si>
    <t>1) H is set A or B, indicating the short circuit type</t>
    <phoneticPr fontId="1" type="noConversion"/>
  </si>
  <si>
    <t>3) # is ultimate postprocess identifier, as half mean approach</t>
    <phoneticPr fontId="1" type="noConversion"/>
  </si>
  <si>
    <t>24aHww-xxx_yyy_zz</t>
    <phoneticPr fontId="1" type="noConversion"/>
  </si>
  <si>
    <t>24bHww-xxx_yyy_zz</t>
    <phoneticPr fontId="1" type="noConversion"/>
  </si>
  <si>
    <t>24dHww-xxx_yyy_zz</t>
    <phoneticPr fontId="1" type="noConversion"/>
  </si>
  <si>
    <t>L25Hww#xxx_yyy_zz</t>
    <phoneticPr fontId="1" type="noConversion"/>
  </si>
  <si>
    <t>L31Hww-xxx_yyy_zz</t>
    <phoneticPr fontId="1" type="noConversion"/>
  </si>
  <si>
    <t>L32Hww#xxx_yyy_zz</t>
    <phoneticPr fontId="1" type="noConversion"/>
  </si>
  <si>
    <t>L33Hww-xxx_yyy_zz</t>
    <phoneticPr fontId="1" type="noConversion"/>
  </si>
  <si>
    <t>3) # is ultimate postprocess identifier, as mean approach</t>
    <phoneticPr fontId="1" type="noConversion"/>
  </si>
  <si>
    <t>3) - is ultimate postprocess identifier, as max approach</t>
    <phoneticPr fontId="1" type="noConversion"/>
  </si>
  <si>
    <t>L41Hww-xxx_yyy_zz</t>
    <phoneticPr fontId="1" type="noConversion"/>
  </si>
  <si>
    <t>L42Hww#xxx_yyy_zz</t>
    <phoneticPr fontId="1" type="noConversion"/>
  </si>
  <si>
    <t>L23Hww#xxx_yyy_zz</t>
    <phoneticPr fontId="1" type="noConversion"/>
  </si>
  <si>
    <t>L51Hww+xxx_yyy_zz</t>
    <phoneticPr fontId="1" type="noConversion"/>
  </si>
  <si>
    <t>1) H is set X,  as a placeholder</t>
    <phoneticPr fontId="1" type="noConversion"/>
  </si>
  <si>
    <t>L61Hww#xxx_yyy_zz</t>
    <phoneticPr fontId="1" type="noConversion"/>
  </si>
  <si>
    <t>1) H is set X,  as a placeholder</t>
    <phoneticPr fontId="1" type="noConversion"/>
  </si>
  <si>
    <t>L62Hww_xxx#yyy_zz</t>
    <phoneticPr fontId="1" type="noConversion"/>
  </si>
  <si>
    <t>L63Hww_xxx#yyy_zz</t>
    <phoneticPr fontId="1" type="noConversion"/>
  </si>
  <si>
    <t>L64Hww-xxx_yyy_zz</t>
    <phoneticPr fontId="1" type="noConversion"/>
  </si>
  <si>
    <t>71aHww#xxx_yyy_zz</t>
    <phoneticPr fontId="1" type="noConversion"/>
  </si>
  <si>
    <t>71bHww#xxx_yyy_zz</t>
    <phoneticPr fontId="1" type="noConversion"/>
  </si>
  <si>
    <t>1) H is set A to F, indicating blade1 stuck angle</t>
    <phoneticPr fontId="1" type="noConversion"/>
  </si>
  <si>
    <t>81aHww_xxx_yyy#zz</t>
    <phoneticPr fontId="1" type="noConversion"/>
  </si>
  <si>
    <t>81cHww_xxx_yyy#zz</t>
    <phoneticPr fontId="1" type="noConversion"/>
  </si>
  <si>
    <t>1) H is set A to F, indicating blade1 stuck angle</t>
    <phoneticPr fontId="1" type="noConversion"/>
  </si>
  <si>
    <t>82bHww_xxx_yyy#zz</t>
    <phoneticPr fontId="1" type="noConversion"/>
  </si>
  <si>
    <t>1) H is set X,  as a placeholder</t>
    <phoneticPr fontId="1" type="noConversion"/>
  </si>
  <si>
    <t>24cHww_xxx-yyy_zz</t>
    <phoneticPr fontId="1" type="noConversion"/>
  </si>
  <si>
    <t>3) xxx indicates yaw misalignment</t>
    <phoneticPr fontId="1" type="noConversion"/>
  </si>
  <si>
    <t>4) yyy indicates azimuth angle</t>
    <phoneticPr fontId="1" type="noConversion"/>
  </si>
  <si>
    <t>5) zz indicates turbulence seed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</si>
</sst>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"/>
    <numFmt numFmtId="177" formatCode="0.00_ "/>
    <numFmt numFmtId="178" formatCode="0.0_ "/>
  </numFmts>
  <fonts count="2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6"/>
      <color theme="1"/>
      <name val="Times New Roman"/>
      <family val="1"/>
    </font>
    <font>
      <i/>
      <sz val="8"/>
      <color theme="1"/>
      <name val="Times New Roman"/>
      <family val="1"/>
    </font>
    <font>
      <b/>
      <i/>
      <sz val="10"/>
      <color theme="1"/>
      <name val="Times New Roman"/>
      <family val="1"/>
    </font>
    <font>
      <b/>
      <i/>
      <sz val="11"/>
      <color theme="1"/>
      <name val="Times New Roman"/>
      <family val="1"/>
    </font>
    <font>
      <vertAlign val="subscript"/>
      <sz val="10"/>
      <name val="Times New Roman"/>
      <family val="1"/>
    </font>
    <font>
      <sz val="11"/>
      <color theme="1"/>
      <name val="宋体"/>
      <family val="3"/>
      <charset val="134"/>
    </font>
    <font>
      <sz val="9"/>
      <color theme="1"/>
      <name val="宋体"/>
      <family val="3"/>
      <charset val="134"/>
    </font>
    <font>
      <sz val="8"/>
      <color theme="1"/>
      <name val="Times New Roman"/>
      <family val="1"/>
    </font>
    <font>
      <sz val="10"/>
      <name val="Times New Roman"/>
      <family val="1"/>
    </font>
    <font>
      <sz val="10"/>
      <name val="宋体"/>
      <family val="3"/>
      <charset val="134"/>
    </font>
    <font>
      <sz val="8"/>
      <name val="Times New Roman"/>
      <family val="1"/>
    </font>
    <font>
      <sz val="11"/>
      <color rgb="FFFF0000"/>
      <name val="宋体"/>
      <family val="3"/>
      <charset val="134"/>
    </font>
    <font>
      <b/>
      <sz val="11"/>
      <color theme="1"/>
      <name val="Times New Roman"/>
      <family val="1"/>
    </font>
    <font>
      <sz val="11"/>
      <color rgb="FFFF0000"/>
      <name val="Times New Roman"/>
      <family val="1"/>
    </font>
    <font>
      <b/>
      <i/>
      <sz val="11"/>
      <color theme="5"/>
      <name val="Times New Roman"/>
      <family val="1"/>
    </font>
    <font>
      <sz val="11"/>
      <color theme="9" tint="-0.499984740745262"/>
      <name val="Times New Roman"/>
      <family val="1"/>
    </font>
    <font>
      <sz val="11"/>
      <color rgb="FF7030A0"/>
      <name val="Times New Roman"/>
      <family val="1"/>
    </font>
    <font>
      <sz val="11"/>
      <name val="Times New Roman"/>
      <family val="1"/>
    </font>
    <font>
      <b/>
      <i/>
      <sz val="11"/>
      <name val="Times New Roman"/>
      <family val="1"/>
    </font>
    <font>
      <b/>
      <sz val="11"/>
      <name val="宋体"/>
      <family val="3"/>
      <charset val="134"/>
    </font>
    <font>
      <b/>
      <sz val="11"/>
      <name val="Times New Roman"/>
      <family val="1"/>
    </font>
    <font>
      <u/>
      <sz val="11"/>
      <color theme="10"/>
      <name val="宋体"/>
      <family val="2"/>
      <charset val="134"/>
      <scheme val="minor"/>
    </font>
    <font>
      <vertAlign val="subscript"/>
      <sz val="11"/>
      <color theme="1"/>
      <name val="Times New Roman"/>
      <family val="1"/>
    </font>
    <font>
      <sz val="11"/>
      <color theme="1"/>
      <name val="宋体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26" fillId="0" borderId="0" applyNumberFormat="0" applyFill="0" applyBorder="0" applyAlignment="0" applyProtection="0">
      <alignment vertical="center"/>
    </xf>
    <xf numFmtId="0" fontId="28" fillId="0" borderId="0"/>
  </cellStyleXfs>
  <cellXfs count="276">
    <xf numFmtId="0" fontId="0" fillId="0" borderId="0" xfId="0">
      <alignment vertical="center"/>
    </xf>
    <xf numFmtId="0" fontId="3" fillId="0" borderId="0" xfId="0" applyFont="1" applyAlignment="1"/>
    <xf numFmtId="0" fontId="3" fillId="0" borderId="14" xfId="0" applyFont="1" applyBorder="1" applyAlignment="1"/>
    <xf numFmtId="0" fontId="3" fillId="0" borderId="15" xfId="0" applyFont="1" applyBorder="1" applyAlignment="1"/>
    <xf numFmtId="0" fontId="3" fillId="0" borderId="15" xfId="0" applyFont="1" applyFill="1" applyBorder="1" applyAlignment="1"/>
    <xf numFmtId="0" fontId="3" fillId="0" borderId="16" xfId="0" applyFont="1" applyFill="1" applyBorder="1" applyAlignment="1"/>
    <xf numFmtId="0" fontId="3" fillId="0" borderId="16" xfId="0" applyFont="1" applyBorder="1" applyAlignment="1"/>
    <xf numFmtId="0" fontId="3" fillId="0" borderId="17" xfId="0" applyFont="1" applyBorder="1" applyAlignment="1"/>
    <xf numFmtId="0" fontId="4" fillId="0" borderId="15" xfId="0" applyFont="1" applyBorder="1" applyAlignment="1"/>
    <xf numFmtId="0" fontId="4" fillId="0" borderId="14" xfId="0" applyFont="1" applyBorder="1" applyAlignment="1"/>
    <xf numFmtId="0" fontId="4" fillId="0" borderId="16" xfId="0" applyFont="1" applyFill="1" applyBorder="1" applyAlignment="1"/>
    <xf numFmtId="0" fontId="4" fillId="0" borderId="16" xfId="0" applyFont="1" applyBorder="1" applyAlignment="1"/>
    <xf numFmtId="0" fontId="4" fillId="0" borderId="14" xfId="0" applyFont="1" applyBorder="1" applyAlignment="1">
      <alignment horizontal="left"/>
    </xf>
    <xf numFmtId="0" fontId="4" fillId="0" borderId="15" xfId="0" applyFont="1" applyBorder="1" applyAlignment="1">
      <alignment horizontal="left"/>
    </xf>
    <xf numFmtId="0" fontId="4" fillId="0" borderId="16" xfId="0" applyFont="1" applyFill="1" applyBorder="1" applyAlignment="1">
      <alignment horizontal="left"/>
    </xf>
    <xf numFmtId="0" fontId="4" fillId="0" borderId="17" xfId="0" applyFont="1" applyBorder="1" applyAlignment="1"/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/>
    <xf numFmtId="0" fontId="3" fillId="0" borderId="2" xfId="0" applyFont="1" applyFill="1" applyBorder="1" applyAlignment="1"/>
    <xf numFmtId="0" fontId="3" fillId="0" borderId="2" xfId="0" applyFont="1" applyBorder="1" applyAlignment="1">
      <alignment horizontal="center"/>
    </xf>
    <xf numFmtId="0" fontId="3" fillId="0" borderId="3" xfId="0" applyFont="1" applyFill="1" applyBorder="1" applyAlignment="1"/>
    <xf numFmtId="0" fontId="3" fillId="0" borderId="9" xfId="0" applyFont="1" applyFill="1" applyBorder="1" applyAlignment="1">
      <alignment horizontal="center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/>
    <xf numFmtId="0" fontId="3" fillId="0" borderId="9" xfId="0" applyFont="1" applyBorder="1" applyAlignment="1">
      <alignment horizontal="center" vertical="center"/>
    </xf>
    <xf numFmtId="176" fontId="3" fillId="0" borderId="2" xfId="0" applyNumberFormat="1" applyFont="1" applyFill="1" applyBorder="1" applyAlignment="1"/>
    <xf numFmtId="2" fontId="3" fillId="0" borderId="2" xfId="0" applyNumberFormat="1" applyFont="1" applyFill="1" applyBorder="1" applyAlignment="1"/>
    <xf numFmtId="176" fontId="3" fillId="0" borderId="2" xfId="0" applyNumberFormat="1" applyFont="1" applyBorder="1" applyAlignment="1"/>
    <xf numFmtId="0" fontId="3" fillId="0" borderId="8" xfId="0" applyFont="1" applyFill="1" applyBorder="1" applyAlignment="1">
      <alignment horizontal="center"/>
    </xf>
    <xf numFmtId="178" fontId="3" fillId="0" borderId="9" xfId="0" applyNumberFormat="1" applyFont="1" applyBorder="1" applyAlignment="1">
      <alignment horizontal="center" vertical="center"/>
    </xf>
    <xf numFmtId="10" fontId="3" fillId="0" borderId="9" xfId="0" applyNumberFormat="1" applyFont="1" applyBorder="1" applyAlignment="1">
      <alignment horizontal="center" vertical="center"/>
    </xf>
    <xf numFmtId="177" fontId="3" fillId="0" borderId="9" xfId="0" applyNumberFormat="1" applyFont="1" applyBorder="1" applyAlignment="1">
      <alignment horizontal="center" vertical="center"/>
    </xf>
    <xf numFmtId="0" fontId="3" fillId="0" borderId="7" xfId="0" applyFont="1" applyFill="1" applyBorder="1" applyAlignment="1"/>
    <xf numFmtId="0" fontId="3" fillId="0" borderId="8" xfId="0" applyFont="1" applyFill="1" applyBorder="1" applyAlignment="1"/>
    <xf numFmtId="176" fontId="3" fillId="0" borderId="9" xfId="0" applyNumberFormat="1" applyFont="1" applyFill="1" applyBorder="1" applyAlignment="1"/>
    <xf numFmtId="2" fontId="3" fillId="0" borderId="9" xfId="0" applyNumberFormat="1" applyFont="1" applyFill="1" applyBorder="1" applyAlignment="1"/>
    <xf numFmtId="176" fontId="3" fillId="0" borderId="9" xfId="0" applyNumberFormat="1" applyFont="1" applyBorder="1" applyAlignment="1"/>
    <xf numFmtId="0" fontId="3" fillId="0" borderId="0" xfId="0" applyFont="1" applyAlignment="1">
      <alignment horizontal="center" vertical="center"/>
    </xf>
    <xf numFmtId="0" fontId="3" fillId="0" borderId="10" xfId="0" applyFont="1" applyFill="1" applyBorder="1" applyAlignment="1"/>
    <xf numFmtId="0" fontId="3" fillId="0" borderId="11" xfId="0" applyFont="1" applyFill="1" applyBorder="1" applyAlignment="1"/>
    <xf numFmtId="177" fontId="3" fillId="0" borderId="8" xfId="0" applyNumberFormat="1" applyFont="1" applyFill="1" applyBorder="1" applyAlignment="1">
      <alignment horizontal="center"/>
    </xf>
    <xf numFmtId="177" fontId="3" fillId="0" borderId="8" xfId="0" applyNumberFormat="1" applyFont="1" applyFill="1" applyBorder="1" applyAlignment="1"/>
    <xf numFmtId="2" fontId="3" fillId="0" borderId="12" xfId="0" applyNumberFormat="1" applyFont="1" applyFill="1" applyBorder="1" applyAlignment="1"/>
    <xf numFmtId="177" fontId="3" fillId="0" borderId="12" xfId="0" applyNumberFormat="1" applyFont="1" applyFill="1" applyBorder="1" applyAlignment="1">
      <alignment horizontal="center"/>
    </xf>
    <xf numFmtId="2" fontId="3" fillId="0" borderId="13" xfId="0" applyNumberFormat="1" applyFont="1" applyFill="1" applyBorder="1" applyAlignment="1"/>
    <xf numFmtId="177" fontId="3" fillId="0" borderId="13" xfId="0" applyNumberFormat="1" applyFont="1" applyFill="1" applyBorder="1" applyAlignment="1">
      <alignment horizontal="center"/>
    </xf>
    <xf numFmtId="0" fontId="3" fillId="0" borderId="9" xfId="0" applyFont="1" applyBorder="1" applyAlignment="1"/>
    <xf numFmtId="0" fontId="3" fillId="0" borderId="0" xfId="0" applyFont="1" applyFill="1" applyBorder="1" applyAlignment="1"/>
    <xf numFmtId="2" fontId="3" fillId="0" borderId="10" xfId="0" applyNumberFormat="1" applyFont="1" applyFill="1" applyBorder="1" applyAlignment="1"/>
    <xf numFmtId="0" fontId="10" fillId="2" borderId="2" xfId="0" applyFont="1" applyFill="1" applyBorder="1" applyAlignment="1"/>
    <xf numFmtId="0" fontId="3" fillId="2" borderId="5" xfId="0" applyFont="1" applyFill="1" applyBorder="1" applyAlignment="1"/>
    <xf numFmtId="2" fontId="3" fillId="2" borderId="2" xfId="0" applyNumberFormat="1" applyFont="1" applyFill="1" applyBorder="1" applyAlignment="1"/>
    <xf numFmtId="2" fontId="3" fillId="2" borderId="9" xfId="0" applyNumberFormat="1" applyFont="1" applyFill="1" applyBorder="1" applyAlignment="1"/>
    <xf numFmtId="0" fontId="13" fillId="2" borderId="2" xfId="0" applyFont="1" applyFill="1" applyBorder="1" applyAlignment="1"/>
    <xf numFmtId="2" fontId="3" fillId="2" borderId="12" xfId="0" applyNumberFormat="1" applyFont="1" applyFill="1" applyBorder="1" applyAlignment="1"/>
    <xf numFmtId="2" fontId="3" fillId="2" borderId="13" xfId="0" applyNumberFormat="1" applyFont="1" applyFill="1" applyBorder="1" applyAlignment="1"/>
    <xf numFmtId="0" fontId="3" fillId="2" borderId="3" xfId="0" applyFont="1" applyFill="1" applyBorder="1" applyAlignment="1"/>
    <xf numFmtId="0" fontId="3" fillId="0" borderId="0" xfId="0" applyFont="1" applyBorder="1" applyAlignment="1"/>
    <xf numFmtId="0" fontId="4" fillId="0" borderId="0" xfId="0" applyFont="1" applyBorder="1" applyAlignment="1"/>
    <xf numFmtId="0" fontId="3" fillId="0" borderId="0" xfId="0" applyFont="1" applyBorder="1" applyAlignment="1">
      <alignment horizontal="center"/>
    </xf>
    <xf numFmtId="176" fontId="3" fillId="0" borderId="18" xfId="0" applyNumberFormat="1" applyFont="1" applyBorder="1" applyAlignment="1"/>
    <xf numFmtId="0" fontId="3" fillId="0" borderId="14" xfId="0" applyFont="1" applyFill="1" applyBorder="1" applyAlignment="1"/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5" xfId="0" applyFont="1" applyFill="1" applyBorder="1" applyAlignment="1">
      <alignment horizontal="center"/>
    </xf>
    <xf numFmtId="0" fontId="17" fillId="0" borderId="1" xfId="0" applyFont="1" applyBorder="1" applyAlignment="1">
      <alignment horizontal="right" vertical="center"/>
    </xf>
    <xf numFmtId="0" fontId="17" fillId="0" borderId="7" xfId="0" applyFont="1" applyBorder="1" applyAlignment="1">
      <alignment horizontal="right" vertical="center"/>
    </xf>
    <xf numFmtId="0" fontId="17" fillId="0" borderId="4" xfId="0" applyFont="1" applyBorder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18" fillId="0" borderId="0" xfId="0" applyFont="1">
      <alignment vertical="center"/>
    </xf>
    <xf numFmtId="0" fontId="17" fillId="0" borderId="21" xfId="0" applyFont="1" applyBorder="1" applyAlignment="1">
      <alignment horizontal="right" vertical="center"/>
    </xf>
    <xf numFmtId="0" fontId="3" fillId="0" borderId="2" xfId="0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0" fontId="3" fillId="3" borderId="15" xfId="0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49" fontId="3" fillId="0" borderId="8" xfId="0" applyNumberFormat="1" applyFont="1" applyFill="1" applyBorder="1" applyAlignment="1">
      <alignment horizontal="center"/>
    </xf>
    <xf numFmtId="0" fontId="3" fillId="0" borderId="18" xfId="0" applyFont="1" applyFill="1" applyBorder="1" applyAlignment="1">
      <alignment horizontal="center"/>
    </xf>
    <xf numFmtId="11" fontId="3" fillId="0" borderId="9" xfId="0" applyNumberFormat="1" applyFont="1" applyBorder="1" applyAlignment="1">
      <alignment horizontal="center" vertical="center"/>
    </xf>
    <xf numFmtId="0" fontId="3" fillId="3" borderId="17" xfId="0" applyFont="1" applyFill="1" applyBorder="1" applyAlignment="1">
      <alignment horizontal="center"/>
    </xf>
    <xf numFmtId="0" fontId="18" fillId="0" borderId="14" xfId="0" applyFont="1" applyFill="1" applyBorder="1" applyAlignment="1"/>
    <xf numFmtId="0" fontId="22" fillId="0" borderId="1" xfId="0" applyFont="1" applyFill="1" applyBorder="1" applyAlignment="1"/>
    <xf numFmtId="0" fontId="23" fillId="0" borderId="0" xfId="0" applyFont="1">
      <alignment vertical="center"/>
    </xf>
    <xf numFmtId="0" fontId="21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20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4" fillId="0" borderId="22" xfId="0" applyFont="1" applyBorder="1" applyAlignment="1"/>
    <xf numFmtId="0" fontId="3" fillId="3" borderId="22" xfId="0" applyFont="1" applyFill="1" applyBorder="1" applyAlignment="1">
      <alignment horizontal="center"/>
    </xf>
    <xf numFmtId="0" fontId="3" fillId="0" borderId="26" xfId="0" applyFont="1" applyBorder="1">
      <alignment vertical="center"/>
    </xf>
    <xf numFmtId="0" fontId="3" fillId="3" borderId="24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3" borderId="29" xfId="0" applyFont="1" applyFill="1" applyBorder="1" applyAlignment="1">
      <alignment horizontal="center"/>
    </xf>
    <xf numFmtId="0" fontId="22" fillId="0" borderId="14" xfId="0" applyFont="1" applyFill="1" applyBorder="1" applyAlignment="1"/>
    <xf numFmtId="0" fontId="19" fillId="0" borderId="0" xfId="0" applyFont="1" applyAlignment="1">
      <alignment horizontal="right" vertical="center"/>
    </xf>
    <xf numFmtId="178" fontId="19" fillId="0" borderId="0" xfId="0" applyNumberFormat="1" applyFont="1" applyAlignment="1">
      <alignment horizontal="left" vertical="center"/>
    </xf>
    <xf numFmtId="178" fontId="3" fillId="4" borderId="15" xfId="0" applyNumberFormat="1" applyFont="1" applyFill="1" applyBorder="1" applyAlignment="1">
      <alignment horizontal="center"/>
    </xf>
    <xf numFmtId="0" fontId="4" fillId="0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177" fontId="3" fillId="0" borderId="9" xfId="0" applyNumberFormat="1" applyFont="1" applyFill="1" applyBorder="1" applyAlignment="1"/>
    <xf numFmtId="0" fontId="3" fillId="0" borderId="24" xfId="0" applyFont="1" applyFill="1" applyBorder="1" applyAlignment="1">
      <alignment horizontal="center"/>
    </xf>
    <xf numFmtId="0" fontId="3" fillId="0" borderId="29" xfId="0" applyFont="1" applyFill="1" applyBorder="1" applyAlignment="1">
      <alignment horizontal="center"/>
    </xf>
    <xf numFmtId="0" fontId="4" fillId="0" borderId="14" xfId="0" applyFont="1" applyFill="1" applyBorder="1" applyAlignment="1"/>
    <xf numFmtId="0" fontId="3" fillId="0" borderId="8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4" fillId="0" borderId="20" xfId="0" applyFont="1" applyBorder="1" applyAlignment="1"/>
    <xf numFmtId="0" fontId="4" fillId="0" borderId="31" xfId="0" applyFont="1" applyBorder="1" applyAlignment="1"/>
    <xf numFmtId="0" fontId="3" fillId="0" borderId="29" xfId="0" applyFont="1" applyBorder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3" fillId="0" borderId="26" xfId="0" applyFont="1" applyFill="1" applyBorder="1" applyAlignment="1"/>
    <xf numFmtId="0" fontId="3" fillId="0" borderId="28" xfId="0" applyFont="1" applyFill="1" applyBorder="1" applyAlignment="1"/>
    <xf numFmtId="0" fontId="3" fillId="0" borderId="24" xfId="0" applyFont="1" applyBorder="1" applyAlignment="1">
      <alignment horizontal="center"/>
    </xf>
    <xf numFmtId="0" fontId="3" fillId="5" borderId="15" xfId="0" applyFont="1" applyFill="1" applyBorder="1" applyAlignment="1"/>
    <xf numFmtId="0" fontId="4" fillId="5" borderId="15" xfId="0" applyFont="1" applyFill="1" applyBorder="1" applyAlignment="1"/>
    <xf numFmtId="0" fontId="3" fillId="5" borderId="15" xfId="0" applyFont="1" applyFill="1" applyBorder="1" applyAlignment="1">
      <alignment horizontal="center"/>
    </xf>
    <xf numFmtId="0" fontId="3" fillId="0" borderId="32" xfId="0" applyFont="1" applyFill="1" applyBorder="1" applyAlignment="1"/>
    <xf numFmtId="2" fontId="3" fillId="0" borderId="33" xfId="0" applyNumberFormat="1" applyFont="1" applyFill="1" applyBorder="1" applyAlignment="1"/>
    <xf numFmtId="0" fontId="3" fillId="6" borderId="15" xfId="0" applyFont="1" applyFill="1" applyBorder="1" applyAlignment="1"/>
    <xf numFmtId="0" fontId="4" fillId="6" borderId="15" xfId="0" applyFont="1" applyFill="1" applyBorder="1" applyAlignment="1"/>
    <xf numFmtId="0" fontId="3" fillId="6" borderId="15" xfId="0" applyFont="1" applyFill="1" applyBorder="1" applyAlignment="1">
      <alignment horizontal="center"/>
    </xf>
    <xf numFmtId="0" fontId="3" fillId="6" borderId="34" xfId="0" applyFont="1" applyFill="1" applyBorder="1" applyAlignment="1"/>
    <xf numFmtId="0" fontId="4" fillId="6" borderId="34" xfId="0" applyFont="1" applyFill="1" applyBorder="1" applyAlignment="1"/>
    <xf numFmtId="0" fontId="3" fillId="6" borderId="16" xfId="0" applyFont="1" applyFill="1" applyBorder="1" applyAlignment="1">
      <alignment horizontal="center"/>
    </xf>
    <xf numFmtId="2" fontId="3" fillId="0" borderId="35" xfId="0" applyNumberFormat="1" applyFont="1" applyFill="1" applyBorder="1" applyAlignment="1"/>
    <xf numFmtId="2" fontId="3" fillId="0" borderId="7" xfId="0" applyNumberFormat="1" applyFont="1" applyFill="1" applyBorder="1" applyAlignment="1"/>
    <xf numFmtId="176" fontId="3" fillId="0" borderId="33" xfId="0" applyNumberFormat="1" applyFont="1" applyBorder="1" applyAlignment="1"/>
    <xf numFmtId="177" fontId="3" fillId="0" borderId="36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7" borderId="15" xfId="0" applyFont="1" applyFill="1" applyBorder="1" applyAlignment="1"/>
    <xf numFmtId="0" fontId="4" fillId="7" borderId="15" xfId="0" applyFont="1" applyFill="1" applyBorder="1" applyAlignment="1"/>
    <xf numFmtId="0" fontId="3" fillId="7" borderId="15" xfId="0" applyFont="1" applyFill="1" applyBorder="1" applyAlignment="1">
      <alignment horizontal="center"/>
    </xf>
    <xf numFmtId="2" fontId="3" fillId="0" borderId="18" xfId="0" applyNumberFormat="1" applyFont="1" applyFill="1" applyBorder="1" applyAlignment="1"/>
    <xf numFmtId="0" fontId="3" fillId="0" borderId="2" xfId="0" applyFont="1" applyFill="1" applyBorder="1" applyAlignment="1">
      <alignment horizontal="center"/>
    </xf>
    <xf numFmtId="0" fontId="3" fillId="0" borderId="0" xfId="0" applyFont="1" applyFill="1">
      <alignment vertical="center"/>
    </xf>
    <xf numFmtId="0" fontId="8" fillId="0" borderId="0" xfId="0" applyFont="1" applyFill="1">
      <alignment vertical="center"/>
    </xf>
    <xf numFmtId="0" fontId="3" fillId="0" borderId="0" xfId="0" applyFont="1" applyFill="1" applyAlignment="1">
      <alignment horizontal="center" vertical="center"/>
    </xf>
    <xf numFmtId="2" fontId="3" fillId="0" borderId="2" xfId="0" applyNumberFormat="1" applyFont="1" applyFill="1" applyBorder="1" applyAlignment="1">
      <alignment horizontal="right"/>
    </xf>
    <xf numFmtId="2" fontId="3" fillId="0" borderId="3" xfId="0" applyNumberFormat="1" applyFont="1" applyFill="1" applyBorder="1" applyAlignment="1"/>
    <xf numFmtId="2" fontId="3" fillId="0" borderId="9" xfId="0" applyNumberFormat="1" applyFont="1" applyFill="1" applyBorder="1" applyAlignment="1">
      <alignment horizontal="right"/>
    </xf>
    <xf numFmtId="2" fontId="3" fillId="0" borderId="8" xfId="0" applyNumberFormat="1" applyFont="1" applyFill="1" applyBorder="1" applyAlignment="1"/>
    <xf numFmtId="0" fontId="3" fillId="0" borderId="33" xfId="0" applyFont="1" applyFill="1" applyBorder="1" applyAlignment="1">
      <alignment horizontal="center"/>
    </xf>
    <xf numFmtId="2" fontId="3" fillId="0" borderId="2" xfId="0" applyNumberFormat="1" applyFont="1" applyBorder="1" applyAlignment="1"/>
    <xf numFmtId="2" fontId="3" fillId="0" borderId="9" xfId="0" applyNumberFormat="1" applyFont="1" applyBorder="1" applyAlignment="1"/>
    <xf numFmtId="0" fontId="3" fillId="6" borderId="37" xfId="0" applyFont="1" applyFill="1" applyBorder="1" applyAlignment="1"/>
    <xf numFmtId="0" fontId="4" fillId="6" borderId="37" xfId="0" applyFont="1" applyFill="1" applyBorder="1" applyAlignment="1"/>
    <xf numFmtId="0" fontId="3" fillId="6" borderId="37" xfId="0" applyFont="1" applyFill="1" applyBorder="1" applyAlignment="1">
      <alignment horizontal="center"/>
    </xf>
    <xf numFmtId="0" fontId="3" fillId="6" borderId="23" xfId="0" applyFont="1" applyFill="1" applyBorder="1" applyAlignment="1"/>
    <xf numFmtId="0" fontId="4" fillId="6" borderId="23" xfId="0" applyFont="1" applyFill="1" applyBorder="1" applyAlignment="1"/>
    <xf numFmtId="0" fontId="3" fillId="6" borderId="23" xfId="0" applyFont="1" applyFill="1" applyBorder="1" applyAlignment="1">
      <alignment horizontal="center"/>
    </xf>
    <xf numFmtId="2" fontId="3" fillId="0" borderId="38" xfId="0" applyNumberFormat="1" applyFont="1" applyFill="1" applyBorder="1" applyAlignment="1"/>
    <xf numFmtId="0" fontId="3" fillId="0" borderId="0" xfId="0" applyFont="1">
      <alignment vertical="center"/>
    </xf>
    <xf numFmtId="2" fontId="3" fillId="0" borderId="2" xfId="0" applyNumberFormat="1" applyFont="1" applyFill="1" applyBorder="1" applyAlignment="1"/>
    <xf numFmtId="176" fontId="3" fillId="0" borderId="2" xfId="0" applyNumberFormat="1" applyFont="1" applyBorder="1" applyAlignment="1"/>
    <xf numFmtId="0" fontId="3" fillId="0" borderId="8" xfId="0" applyFont="1" applyFill="1" applyBorder="1" applyAlignment="1">
      <alignment horizontal="center"/>
    </xf>
    <xf numFmtId="0" fontId="3" fillId="0" borderId="7" xfId="0" applyFont="1" applyFill="1" applyBorder="1" applyAlignment="1"/>
    <xf numFmtId="0" fontId="3" fillId="0" borderId="8" xfId="0" applyFont="1" applyFill="1" applyBorder="1" applyAlignment="1"/>
    <xf numFmtId="176" fontId="3" fillId="0" borderId="9" xfId="0" applyNumberFormat="1" applyFont="1" applyFill="1" applyBorder="1" applyAlignment="1"/>
    <xf numFmtId="2" fontId="3" fillId="0" borderId="9" xfId="0" applyNumberFormat="1" applyFont="1" applyFill="1" applyBorder="1" applyAlignment="1"/>
    <xf numFmtId="176" fontId="3" fillId="0" borderId="9" xfId="0" applyNumberFormat="1" applyFont="1" applyBorder="1" applyAlignment="1"/>
    <xf numFmtId="2" fontId="3" fillId="2" borderId="2" xfId="0" applyNumberFormat="1" applyFont="1" applyFill="1" applyBorder="1" applyAlignment="1"/>
    <xf numFmtId="2" fontId="3" fillId="2" borderId="9" xfId="0" applyNumberFormat="1" applyFont="1" applyFill="1" applyBorder="1" applyAlignment="1"/>
    <xf numFmtId="49" fontId="3" fillId="0" borderId="8" xfId="0" applyNumberFormat="1" applyFont="1" applyBorder="1" applyAlignment="1">
      <alignment horizontal="left" vertical="center"/>
    </xf>
    <xf numFmtId="49" fontId="3" fillId="0" borderId="6" xfId="0" applyNumberFormat="1" applyFont="1" applyBorder="1" applyAlignment="1">
      <alignment horizontal="left" vertical="center"/>
    </xf>
    <xf numFmtId="177" fontId="3" fillId="0" borderId="0" xfId="0" applyNumberFormat="1" applyFont="1">
      <alignment vertical="center"/>
    </xf>
    <xf numFmtId="0" fontId="3" fillId="0" borderId="22" xfId="0" applyFont="1" applyBorder="1" applyAlignment="1">
      <alignment horizontal="center"/>
    </xf>
    <xf numFmtId="0" fontId="3" fillId="0" borderId="22" xfId="0" applyFont="1" applyBorder="1" applyAlignment="1"/>
    <xf numFmtId="0" fontId="4" fillId="0" borderId="22" xfId="0" applyFont="1" applyBorder="1" applyAlignment="1">
      <alignment horizontal="left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/>
    <xf numFmtId="0" fontId="3" fillId="0" borderId="2" xfId="0" applyFont="1" applyFill="1" applyBorder="1" applyAlignment="1"/>
    <xf numFmtId="0" fontId="3" fillId="0" borderId="2" xfId="0" applyFont="1" applyBorder="1" applyAlignment="1">
      <alignment horizontal="center"/>
    </xf>
    <xf numFmtId="0" fontId="3" fillId="0" borderId="3" xfId="0" applyFont="1" applyFill="1" applyBorder="1" applyAlignment="1"/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/>
    <xf numFmtId="176" fontId="3" fillId="0" borderId="2" xfId="0" applyNumberFormat="1" applyFont="1" applyFill="1" applyBorder="1" applyAlignment="1"/>
    <xf numFmtId="2" fontId="3" fillId="0" borderId="2" xfId="0" applyNumberFormat="1" applyFont="1" applyFill="1" applyBorder="1" applyAlignment="1"/>
    <xf numFmtId="176" fontId="3" fillId="0" borderId="2" xfId="0" applyNumberFormat="1" applyFont="1" applyBorder="1" applyAlignment="1"/>
    <xf numFmtId="0" fontId="3" fillId="0" borderId="8" xfId="0" applyFont="1" applyFill="1" applyBorder="1" applyAlignment="1">
      <alignment horizontal="center"/>
    </xf>
    <xf numFmtId="0" fontId="3" fillId="0" borderId="7" xfId="0" applyFont="1" applyFill="1" applyBorder="1" applyAlignment="1"/>
    <xf numFmtId="0" fontId="3" fillId="0" borderId="8" xfId="0" applyFont="1" applyFill="1" applyBorder="1" applyAlignment="1"/>
    <xf numFmtId="176" fontId="3" fillId="0" borderId="9" xfId="0" applyNumberFormat="1" applyFont="1" applyFill="1" applyBorder="1" applyAlignment="1"/>
    <xf numFmtId="2" fontId="3" fillId="0" borderId="9" xfId="0" applyNumberFormat="1" applyFont="1" applyFill="1" applyBorder="1" applyAlignment="1"/>
    <xf numFmtId="176" fontId="3" fillId="0" borderId="9" xfId="0" applyNumberFormat="1" applyFont="1" applyBorder="1" applyAlignment="1"/>
    <xf numFmtId="0" fontId="3" fillId="0" borderId="10" xfId="0" applyFont="1" applyFill="1" applyBorder="1" applyAlignment="1"/>
    <xf numFmtId="0" fontId="10" fillId="2" borderId="2" xfId="0" applyFont="1" applyFill="1" applyBorder="1" applyAlignment="1"/>
    <xf numFmtId="0" fontId="3" fillId="2" borderId="5" xfId="0" applyFont="1" applyFill="1" applyBorder="1" applyAlignment="1"/>
    <xf numFmtId="2" fontId="3" fillId="2" borderId="2" xfId="0" applyNumberFormat="1" applyFont="1" applyFill="1" applyBorder="1" applyAlignment="1"/>
    <xf numFmtId="2" fontId="3" fillId="2" borderId="9" xfId="0" applyNumberFormat="1" applyFont="1" applyFill="1" applyBorder="1" applyAlignment="1"/>
    <xf numFmtId="0" fontId="23" fillId="0" borderId="0" xfId="0" applyFont="1">
      <alignment vertical="center"/>
    </xf>
    <xf numFmtId="0" fontId="21" fillId="0" borderId="0" xfId="0" applyFont="1" applyAlignment="1">
      <alignment vertical="center" wrapText="1"/>
    </xf>
    <xf numFmtId="0" fontId="3" fillId="0" borderId="9" xfId="0" applyFont="1" applyBorder="1" applyAlignment="1">
      <alignment horizontal="center" vertical="center"/>
    </xf>
    <xf numFmtId="0" fontId="3" fillId="0" borderId="17" xfId="0" applyFont="1" applyFill="1" applyBorder="1" applyAlignment="1"/>
    <xf numFmtId="0" fontId="4" fillId="0" borderId="17" xfId="0" applyFont="1" applyFill="1" applyBorder="1" applyAlignment="1"/>
    <xf numFmtId="0" fontId="3" fillId="0" borderId="39" xfId="0" applyFont="1" applyFill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4" fillId="0" borderId="22" xfId="0" applyFont="1" applyBorder="1" applyAlignment="1"/>
    <xf numFmtId="0" fontId="3" fillId="0" borderId="22" xfId="0" applyFont="1" applyBorder="1" applyAlignment="1">
      <alignment horizontal="center"/>
    </xf>
    <xf numFmtId="0" fontId="3" fillId="0" borderId="22" xfId="0" applyFont="1" applyBorder="1" applyAlignment="1"/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/>
    <xf numFmtId="0" fontId="3" fillId="0" borderId="2" xfId="0" applyFont="1" applyFill="1" applyBorder="1" applyAlignment="1"/>
    <xf numFmtId="0" fontId="3" fillId="0" borderId="2" xfId="0" applyFont="1" applyBorder="1" applyAlignment="1">
      <alignment horizontal="center"/>
    </xf>
    <xf numFmtId="0" fontId="3" fillId="0" borderId="3" xfId="0" applyFont="1" applyFill="1" applyBorder="1" applyAlignment="1"/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/>
    <xf numFmtId="176" fontId="3" fillId="0" borderId="2" xfId="0" applyNumberFormat="1" applyFont="1" applyFill="1" applyBorder="1" applyAlignment="1"/>
    <xf numFmtId="2" fontId="3" fillId="0" borderId="2" xfId="0" applyNumberFormat="1" applyFont="1" applyFill="1" applyBorder="1" applyAlignment="1"/>
    <xf numFmtId="0" fontId="3" fillId="0" borderId="8" xfId="0" applyFont="1" applyFill="1" applyBorder="1" applyAlignment="1">
      <alignment horizontal="center"/>
    </xf>
    <xf numFmtId="0" fontId="3" fillId="0" borderId="7" xfId="0" applyFont="1" applyFill="1" applyBorder="1" applyAlignment="1"/>
    <xf numFmtId="0" fontId="3" fillId="0" borderId="8" xfId="0" applyFont="1" applyFill="1" applyBorder="1" applyAlignment="1"/>
    <xf numFmtId="176" fontId="3" fillId="0" borderId="9" xfId="0" applyNumberFormat="1" applyFont="1" applyFill="1" applyBorder="1" applyAlignment="1"/>
    <xf numFmtId="2" fontId="3" fillId="0" borderId="9" xfId="0" applyNumberFormat="1" applyFont="1" applyFill="1" applyBorder="1" applyAlignment="1"/>
    <xf numFmtId="176" fontId="3" fillId="0" borderId="9" xfId="0" applyNumberFormat="1" applyFont="1" applyBorder="1" applyAlignment="1"/>
    <xf numFmtId="0" fontId="3" fillId="0" borderId="10" xfId="0" applyFont="1" applyFill="1" applyBorder="1" applyAlignment="1"/>
    <xf numFmtId="177" fontId="3" fillId="0" borderId="8" xfId="0" applyNumberFormat="1" applyFont="1" applyFill="1" applyBorder="1" applyAlignment="1">
      <alignment horizontal="center"/>
    </xf>
    <xf numFmtId="0" fontId="10" fillId="2" borderId="2" xfId="0" applyFont="1" applyFill="1" applyBorder="1" applyAlignment="1"/>
    <xf numFmtId="0" fontId="3" fillId="2" borderId="5" xfId="0" applyFont="1" applyFill="1" applyBorder="1" applyAlignment="1"/>
    <xf numFmtId="2" fontId="3" fillId="2" borderId="2" xfId="0" applyNumberFormat="1" applyFont="1" applyFill="1" applyBorder="1" applyAlignment="1"/>
    <xf numFmtId="2" fontId="3" fillId="2" borderId="9" xfId="0" applyNumberFormat="1" applyFont="1" applyFill="1" applyBorder="1" applyAlignment="1"/>
    <xf numFmtId="0" fontId="23" fillId="0" borderId="0" xfId="0" applyFont="1">
      <alignment vertical="center"/>
    </xf>
    <xf numFmtId="0" fontId="21" fillId="0" borderId="0" xfId="0" applyFont="1" applyAlignment="1">
      <alignment vertical="center" wrapText="1"/>
    </xf>
    <xf numFmtId="176" fontId="3" fillId="0" borderId="18" xfId="0" applyNumberFormat="1" applyFont="1" applyFill="1" applyBorder="1" applyAlignment="1"/>
    <xf numFmtId="176" fontId="3" fillId="0" borderId="30" xfId="0" applyNumberFormat="1" applyFont="1" applyFill="1" applyBorder="1" applyAlignment="1"/>
    <xf numFmtId="176" fontId="3" fillId="0" borderId="20" xfId="0" applyNumberFormat="1" applyFont="1" applyFill="1" applyBorder="1" applyAlignment="1"/>
    <xf numFmtId="0" fontId="3" fillId="0" borderId="13" xfId="0" applyFont="1" applyFill="1" applyBorder="1" applyAlignment="1"/>
    <xf numFmtId="0" fontId="3" fillId="0" borderId="18" xfId="0" applyFont="1" applyFill="1" applyBorder="1" applyAlignment="1"/>
    <xf numFmtId="0" fontId="13" fillId="0" borderId="2" xfId="0" applyFont="1" applyFill="1" applyBorder="1" applyAlignment="1">
      <alignment horizontal="center" vertical="center"/>
    </xf>
    <xf numFmtId="177" fontId="3" fillId="0" borderId="15" xfId="0" applyNumberFormat="1" applyFont="1" applyFill="1" applyBorder="1" applyAlignment="1">
      <alignment horizontal="center"/>
    </xf>
    <xf numFmtId="49" fontId="17" fillId="0" borderId="10" xfId="0" applyNumberFormat="1" applyFont="1" applyBorder="1" applyAlignment="1">
      <alignment horizontal="left" vertical="center"/>
    </xf>
    <xf numFmtId="49" fontId="17" fillId="0" borderId="24" xfId="0" applyNumberFormat="1" applyFont="1" applyBorder="1" applyAlignment="1">
      <alignment horizontal="left" vertical="center"/>
    </xf>
    <xf numFmtId="49" fontId="17" fillId="0" borderId="13" xfId="0" applyNumberFormat="1" applyFont="1" applyBorder="1" applyAlignment="1">
      <alignment horizontal="left" vertical="center"/>
    </xf>
    <xf numFmtId="49" fontId="17" fillId="0" borderId="25" xfId="0" applyNumberFormat="1" applyFont="1" applyBorder="1" applyAlignment="1">
      <alignment horizontal="left" vertical="center"/>
    </xf>
    <xf numFmtId="49" fontId="3" fillId="0" borderId="9" xfId="0" applyNumberFormat="1" applyFont="1" applyBorder="1" applyAlignment="1">
      <alignment horizontal="left" vertical="center"/>
    </xf>
    <xf numFmtId="49" fontId="3" fillId="0" borderId="8" xfId="0" applyNumberFormat="1" applyFont="1" applyBorder="1" applyAlignment="1">
      <alignment horizontal="left" vertical="center"/>
    </xf>
    <xf numFmtId="49" fontId="3" fillId="0" borderId="5" xfId="0" applyNumberFormat="1" applyFont="1" applyBorder="1" applyAlignment="1">
      <alignment horizontal="left" vertical="center"/>
    </xf>
    <xf numFmtId="49" fontId="3" fillId="0" borderId="6" xfId="0" applyNumberFormat="1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26" fillId="5" borderId="30" xfId="1" applyFill="1" applyBorder="1" applyAlignment="1">
      <alignment horizontal="left"/>
    </xf>
    <xf numFmtId="0" fontId="4" fillId="5" borderId="3" xfId="0" applyFont="1" applyFill="1" applyBorder="1" applyAlignment="1">
      <alignment horizontal="left"/>
    </xf>
    <xf numFmtId="0" fontId="26" fillId="5" borderId="20" xfId="1" applyFill="1" applyBorder="1" applyAlignment="1">
      <alignment horizontal="left"/>
    </xf>
    <xf numFmtId="0" fontId="4" fillId="5" borderId="8" xfId="0" applyFont="1" applyFill="1" applyBorder="1" applyAlignment="1">
      <alignment horizontal="left"/>
    </xf>
    <xf numFmtId="0" fontId="26" fillId="0" borderId="40" xfId="1" applyFill="1" applyBorder="1" applyAlignment="1">
      <alignment horizontal="left"/>
    </xf>
    <xf numFmtId="0" fontId="4" fillId="0" borderId="39" xfId="0" applyFont="1" applyFill="1" applyBorder="1" applyAlignment="1">
      <alignment horizontal="left"/>
    </xf>
    <xf numFmtId="0" fontId="3" fillId="0" borderId="4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</cellXfs>
  <cellStyles count="3">
    <cellStyle name="常规" xfId="0" builtinId="0"/>
    <cellStyle name="常规 2" xfId="2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2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9" Type="http://schemas.openxmlformats.org/officeDocument/2006/relationships/image" Target="../media/image39.emf"/><Relationship Id="rId3" Type="http://schemas.openxmlformats.org/officeDocument/2006/relationships/image" Target="../media/image8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42" Type="http://schemas.openxmlformats.org/officeDocument/2006/relationships/image" Target="../media/image42.emf"/><Relationship Id="rId47" Type="http://schemas.openxmlformats.org/officeDocument/2006/relationships/image" Target="../media/image47.emf"/><Relationship Id="rId50" Type="http://schemas.openxmlformats.org/officeDocument/2006/relationships/image" Target="../media/image50.emf"/><Relationship Id="rId7" Type="http://schemas.openxmlformats.org/officeDocument/2006/relationships/image" Target="../media/image3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Relationship Id="rId46" Type="http://schemas.openxmlformats.org/officeDocument/2006/relationships/image" Target="../media/image46.emf"/><Relationship Id="rId2" Type="http://schemas.openxmlformats.org/officeDocument/2006/relationships/image" Target="../media/image7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41" Type="http://schemas.openxmlformats.org/officeDocument/2006/relationships/image" Target="../media/image41.emf"/><Relationship Id="rId1" Type="http://schemas.openxmlformats.org/officeDocument/2006/relationships/image" Target="../media/image6.emf"/><Relationship Id="rId6" Type="http://schemas.openxmlformats.org/officeDocument/2006/relationships/image" Target="../media/image4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40" Type="http://schemas.openxmlformats.org/officeDocument/2006/relationships/image" Target="../media/image40.emf"/><Relationship Id="rId45" Type="http://schemas.openxmlformats.org/officeDocument/2006/relationships/image" Target="../media/image45.emf"/><Relationship Id="rId53" Type="http://schemas.openxmlformats.org/officeDocument/2006/relationships/image" Target="../media/image53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49" Type="http://schemas.openxmlformats.org/officeDocument/2006/relationships/image" Target="../media/image49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4" Type="http://schemas.openxmlformats.org/officeDocument/2006/relationships/image" Target="../media/image44.emf"/><Relationship Id="rId52" Type="http://schemas.openxmlformats.org/officeDocument/2006/relationships/image" Target="../media/image52.emf"/><Relationship Id="rId4" Type="http://schemas.openxmlformats.org/officeDocument/2006/relationships/image" Target="../media/image9.emf"/><Relationship Id="rId9" Type="http://schemas.openxmlformats.org/officeDocument/2006/relationships/image" Target="../media/image1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43" Type="http://schemas.openxmlformats.org/officeDocument/2006/relationships/image" Target="../media/image43.emf"/><Relationship Id="rId48" Type="http://schemas.openxmlformats.org/officeDocument/2006/relationships/image" Target="../media/image48.emf"/><Relationship Id="rId8" Type="http://schemas.openxmlformats.org/officeDocument/2006/relationships/image" Target="../media/image2.emf"/><Relationship Id="rId51" Type="http://schemas.openxmlformats.org/officeDocument/2006/relationships/image" Target="../media/image5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12</xdr:row>
          <xdr:rowOff>152400</xdr:rowOff>
        </xdr:from>
        <xdr:to>
          <xdr:col>3</xdr:col>
          <xdr:colOff>533400</xdr:colOff>
          <xdr:row>14</xdr:row>
          <xdr:rowOff>0</xdr:rowOff>
        </xdr:to>
        <xdr:sp macro="" textlink="">
          <xdr:nvSpPr>
            <xdr:cNvPr id="1030" name="Get_av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5</xdr:row>
          <xdr:rowOff>28575</xdr:rowOff>
        </xdr:from>
        <xdr:to>
          <xdr:col>7</xdr:col>
          <xdr:colOff>1609725</xdr:colOff>
          <xdr:row>6</xdr:row>
          <xdr:rowOff>123825</xdr:rowOff>
        </xdr:to>
        <xdr:sp macro="" textlink="">
          <xdr:nvSpPr>
            <xdr:cNvPr id="1031" name="ver_inf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12</xdr:row>
          <xdr:rowOff>9525</xdr:rowOff>
        </xdr:from>
        <xdr:to>
          <xdr:col>1</xdr:col>
          <xdr:colOff>723900</xdr:colOff>
          <xdr:row>13</xdr:row>
          <xdr:rowOff>0</xdr:rowOff>
        </xdr:to>
        <xdr:sp macro="" textlink="">
          <xdr:nvSpPr>
            <xdr:cNvPr id="1032" name="rbtn_ra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885825</xdr:colOff>
          <xdr:row>12</xdr:row>
          <xdr:rowOff>19050</xdr:rowOff>
        </xdr:from>
        <xdr:to>
          <xdr:col>1</xdr:col>
          <xdr:colOff>1457325</xdr:colOff>
          <xdr:row>13</xdr:row>
          <xdr:rowOff>0</xdr:rowOff>
        </xdr:to>
        <xdr:sp macro="" textlink="">
          <xdr:nvSpPr>
            <xdr:cNvPr id="1033" name="rbtn_wei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21</xdr:row>
          <xdr:rowOff>123825</xdr:rowOff>
        </xdr:from>
        <xdr:to>
          <xdr:col>5</xdr:col>
          <xdr:colOff>390525</xdr:colOff>
          <xdr:row>22</xdr:row>
          <xdr:rowOff>152400</xdr:rowOff>
        </xdr:to>
        <xdr:sp macro="" textlink="">
          <xdr:nvSpPr>
            <xdr:cNvPr id="1037" name="cb_dlc1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21</xdr:row>
          <xdr:rowOff>133350</xdr:rowOff>
        </xdr:from>
        <xdr:to>
          <xdr:col>6</xdr:col>
          <xdr:colOff>352425</xdr:colOff>
          <xdr:row>22</xdr:row>
          <xdr:rowOff>161925</xdr:rowOff>
        </xdr:to>
        <xdr:sp macro="" textlink="">
          <xdr:nvSpPr>
            <xdr:cNvPr id="1038" name="cb_dlc12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1276350</xdr:colOff>
          <xdr:row>21</xdr:row>
          <xdr:rowOff>152400</xdr:rowOff>
        </xdr:from>
        <xdr:to>
          <xdr:col>7</xdr:col>
          <xdr:colOff>1990725</xdr:colOff>
          <xdr:row>22</xdr:row>
          <xdr:rowOff>180975</xdr:rowOff>
        </xdr:to>
        <xdr:sp macro="" textlink="">
          <xdr:nvSpPr>
            <xdr:cNvPr id="1039" name="cb_dlc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21</xdr:row>
          <xdr:rowOff>142875</xdr:rowOff>
        </xdr:from>
        <xdr:to>
          <xdr:col>7</xdr:col>
          <xdr:colOff>1076325</xdr:colOff>
          <xdr:row>22</xdr:row>
          <xdr:rowOff>171450</xdr:rowOff>
        </xdr:to>
        <xdr:sp macro="" textlink="">
          <xdr:nvSpPr>
            <xdr:cNvPr id="1040" name="cb_dlc1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21</xdr:row>
          <xdr:rowOff>133350</xdr:rowOff>
        </xdr:from>
        <xdr:to>
          <xdr:col>7</xdr:col>
          <xdr:colOff>219075</xdr:colOff>
          <xdr:row>22</xdr:row>
          <xdr:rowOff>161925</xdr:rowOff>
        </xdr:to>
        <xdr:sp macro="" textlink="">
          <xdr:nvSpPr>
            <xdr:cNvPr id="1041" name="cb_dlc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23</xdr:row>
          <xdr:rowOff>28575</xdr:rowOff>
        </xdr:from>
        <xdr:to>
          <xdr:col>5</xdr:col>
          <xdr:colOff>400050</xdr:colOff>
          <xdr:row>24</xdr:row>
          <xdr:rowOff>57150</xdr:rowOff>
        </xdr:to>
        <xdr:sp macro="" textlink="">
          <xdr:nvSpPr>
            <xdr:cNvPr id="1042" name="cb_dlc21a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24</xdr:row>
          <xdr:rowOff>152400</xdr:rowOff>
        </xdr:from>
        <xdr:to>
          <xdr:col>5</xdr:col>
          <xdr:colOff>419100</xdr:colOff>
          <xdr:row>26</xdr:row>
          <xdr:rowOff>0</xdr:rowOff>
        </xdr:to>
        <xdr:sp macro="" textlink="">
          <xdr:nvSpPr>
            <xdr:cNvPr id="1043" name="cb_dlc22a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26</xdr:row>
          <xdr:rowOff>66675</xdr:rowOff>
        </xdr:from>
        <xdr:to>
          <xdr:col>5</xdr:col>
          <xdr:colOff>419100</xdr:colOff>
          <xdr:row>27</xdr:row>
          <xdr:rowOff>85725</xdr:rowOff>
        </xdr:to>
        <xdr:sp macro="" textlink="">
          <xdr:nvSpPr>
            <xdr:cNvPr id="1044" name="cb_dlc23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28</xdr:row>
          <xdr:rowOff>0</xdr:rowOff>
        </xdr:from>
        <xdr:to>
          <xdr:col>5</xdr:col>
          <xdr:colOff>400050</xdr:colOff>
          <xdr:row>29</xdr:row>
          <xdr:rowOff>28575</xdr:rowOff>
        </xdr:to>
        <xdr:sp macro="" textlink="">
          <xdr:nvSpPr>
            <xdr:cNvPr id="1045" name="cb_dlc24a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29</xdr:row>
          <xdr:rowOff>180975</xdr:rowOff>
        </xdr:from>
        <xdr:to>
          <xdr:col>6</xdr:col>
          <xdr:colOff>314325</xdr:colOff>
          <xdr:row>31</xdr:row>
          <xdr:rowOff>19050</xdr:rowOff>
        </xdr:to>
        <xdr:sp macro="" textlink="">
          <xdr:nvSpPr>
            <xdr:cNvPr id="1046" name="cb_dlc31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29</xdr:row>
          <xdr:rowOff>152400</xdr:rowOff>
        </xdr:from>
        <xdr:to>
          <xdr:col>7</xdr:col>
          <xdr:colOff>209550</xdr:colOff>
          <xdr:row>31</xdr:row>
          <xdr:rowOff>0</xdr:rowOff>
        </xdr:to>
        <xdr:sp macro="" textlink="">
          <xdr:nvSpPr>
            <xdr:cNvPr id="1047" name="cb_dlc41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29</xdr:row>
          <xdr:rowOff>152400</xdr:rowOff>
        </xdr:from>
        <xdr:to>
          <xdr:col>7</xdr:col>
          <xdr:colOff>1057275</xdr:colOff>
          <xdr:row>30</xdr:row>
          <xdr:rowOff>180975</xdr:rowOff>
        </xdr:to>
        <xdr:sp macro="" textlink="">
          <xdr:nvSpPr>
            <xdr:cNvPr id="1048" name="cb_dlc42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31</xdr:row>
          <xdr:rowOff>76200</xdr:rowOff>
        </xdr:from>
        <xdr:to>
          <xdr:col>5</xdr:col>
          <xdr:colOff>381000</xdr:colOff>
          <xdr:row>32</xdr:row>
          <xdr:rowOff>85725</xdr:rowOff>
        </xdr:to>
        <xdr:sp macro="" textlink="">
          <xdr:nvSpPr>
            <xdr:cNvPr id="1049" name="cb_dlc61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1219200</xdr:colOff>
          <xdr:row>29</xdr:row>
          <xdr:rowOff>123825</xdr:rowOff>
        </xdr:from>
        <xdr:to>
          <xdr:col>7</xdr:col>
          <xdr:colOff>1933575</xdr:colOff>
          <xdr:row>30</xdr:row>
          <xdr:rowOff>152400</xdr:rowOff>
        </xdr:to>
        <xdr:sp macro="" textlink="">
          <xdr:nvSpPr>
            <xdr:cNvPr id="1050" name="cb_dlc51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31</xdr:row>
          <xdr:rowOff>85725</xdr:rowOff>
        </xdr:from>
        <xdr:to>
          <xdr:col>6</xdr:col>
          <xdr:colOff>352425</xdr:colOff>
          <xdr:row>32</xdr:row>
          <xdr:rowOff>104775</xdr:rowOff>
        </xdr:to>
        <xdr:sp macro="" textlink="">
          <xdr:nvSpPr>
            <xdr:cNvPr id="1051" name="cb_dlc62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31</xdr:row>
          <xdr:rowOff>95250</xdr:rowOff>
        </xdr:from>
        <xdr:to>
          <xdr:col>7</xdr:col>
          <xdr:colOff>219075</xdr:colOff>
          <xdr:row>32</xdr:row>
          <xdr:rowOff>114300</xdr:rowOff>
        </xdr:to>
        <xdr:sp macro="" textlink="">
          <xdr:nvSpPr>
            <xdr:cNvPr id="1052" name="cb_dlc63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31</xdr:row>
          <xdr:rowOff>76200</xdr:rowOff>
        </xdr:from>
        <xdr:to>
          <xdr:col>7</xdr:col>
          <xdr:colOff>1104900</xdr:colOff>
          <xdr:row>32</xdr:row>
          <xdr:rowOff>95250</xdr:rowOff>
        </xdr:to>
        <xdr:sp macro="" textlink="">
          <xdr:nvSpPr>
            <xdr:cNvPr id="1053" name="cb_dlc64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34</xdr:row>
          <xdr:rowOff>66675</xdr:rowOff>
        </xdr:from>
        <xdr:to>
          <xdr:col>5</xdr:col>
          <xdr:colOff>400050</xdr:colOff>
          <xdr:row>35</xdr:row>
          <xdr:rowOff>95250</xdr:rowOff>
        </xdr:to>
        <xdr:sp macro="" textlink="">
          <xdr:nvSpPr>
            <xdr:cNvPr id="1054" name="cb_dlc91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32</xdr:row>
          <xdr:rowOff>171450</xdr:rowOff>
        </xdr:from>
        <xdr:to>
          <xdr:col>5</xdr:col>
          <xdr:colOff>381000</xdr:colOff>
          <xdr:row>34</xdr:row>
          <xdr:rowOff>0</xdr:rowOff>
        </xdr:to>
        <xdr:sp macro="" textlink="">
          <xdr:nvSpPr>
            <xdr:cNvPr id="1055" name="cb_dlc71a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33</xdr:row>
          <xdr:rowOff>9525</xdr:rowOff>
        </xdr:from>
        <xdr:to>
          <xdr:col>7</xdr:col>
          <xdr:colOff>200025</xdr:colOff>
          <xdr:row>34</xdr:row>
          <xdr:rowOff>28575</xdr:rowOff>
        </xdr:to>
        <xdr:sp macro="" textlink="">
          <xdr:nvSpPr>
            <xdr:cNvPr id="1056" name="cb_dlc81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36</xdr:row>
          <xdr:rowOff>9525</xdr:rowOff>
        </xdr:from>
        <xdr:to>
          <xdr:col>5</xdr:col>
          <xdr:colOff>390525</xdr:colOff>
          <xdr:row>37</xdr:row>
          <xdr:rowOff>38100</xdr:rowOff>
        </xdr:to>
        <xdr:sp macro="" textlink="">
          <xdr:nvSpPr>
            <xdr:cNvPr id="1057" name="cb_dlct1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33</xdr:row>
          <xdr:rowOff>0</xdr:rowOff>
        </xdr:from>
        <xdr:to>
          <xdr:col>7</xdr:col>
          <xdr:colOff>1076325</xdr:colOff>
          <xdr:row>34</xdr:row>
          <xdr:rowOff>19050</xdr:rowOff>
        </xdr:to>
        <xdr:sp macro="" textlink="">
          <xdr:nvSpPr>
            <xdr:cNvPr id="1058" name="cb_dlc82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676275</xdr:colOff>
          <xdr:row>36</xdr:row>
          <xdr:rowOff>9525</xdr:rowOff>
        </xdr:from>
        <xdr:to>
          <xdr:col>6</xdr:col>
          <xdr:colOff>371475</xdr:colOff>
          <xdr:row>37</xdr:row>
          <xdr:rowOff>38100</xdr:rowOff>
        </xdr:to>
        <xdr:sp macro="" textlink="">
          <xdr:nvSpPr>
            <xdr:cNvPr id="1059" name="cb_dlct2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36</xdr:row>
          <xdr:rowOff>66675</xdr:rowOff>
        </xdr:from>
        <xdr:to>
          <xdr:col>7</xdr:col>
          <xdr:colOff>1076325</xdr:colOff>
          <xdr:row>37</xdr:row>
          <xdr:rowOff>85725</xdr:rowOff>
        </xdr:to>
        <xdr:sp macro="" textlink="">
          <xdr:nvSpPr>
            <xdr:cNvPr id="1061" name="cb_dlcT4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36</xdr:row>
          <xdr:rowOff>66675</xdr:rowOff>
        </xdr:from>
        <xdr:to>
          <xdr:col>7</xdr:col>
          <xdr:colOff>219075</xdr:colOff>
          <xdr:row>37</xdr:row>
          <xdr:rowOff>95250</xdr:rowOff>
        </xdr:to>
        <xdr:sp macro="" textlink="">
          <xdr:nvSpPr>
            <xdr:cNvPr id="1062" name="cb_dlcT3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37</xdr:row>
          <xdr:rowOff>161925</xdr:rowOff>
        </xdr:from>
        <xdr:to>
          <xdr:col>5</xdr:col>
          <xdr:colOff>390525</xdr:colOff>
          <xdr:row>39</xdr:row>
          <xdr:rowOff>0</xdr:rowOff>
        </xdr:to>
        <xdr:sp macro="" textlink="">
          <xdr:nvSpPr>
            <xdr:cNvPr id="1063" name="cb_dlcT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676275</xdr:colOff>
          <xdr:row>37</xdr:row>
          <xdr:rowOff>142875</xdr:rowOff>
        </xdr:from>
        <xdr:to>
          <xdr:col>6</xdr:col>
          <xdr:colOff>371475</xdr:colOff>
          <xdr:row>38</xdr:row>
          <xdr:rowOff>171450</xdr:rowOff>
        </xdr:to>
        <xdr:sp macro="" textlink="">
          <xdr:nvSpPr>
            <xdr:cNvPr id="1064" name="cb_dlct6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37</xdr:row>
          <xdr:rowOff>171450</xdr:rowOff>
        </xdr:from>
        <xdr:to>
          <xdr:col>7</xdr:col>
          <xdr:colOff>228600</xdr:colOff>
          <xdr:row>39</xdr:row>
          <xdr:rowOff>19050</xdr:rowOff>
        </xdr:to>
        <xdr:sp macro="" textlink="">
          <xdr:nvSpPr>
            <xdr:cNvPr id="1065" name="cb_dlct7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38</xdr:row>
          <xdr:rowOff>0</xdr:rowOff>
        </xdr:from>
        <xdr:to>
          <xdr:col>7</xdr:col>
          <xdr:colOff>1085850</xdr:colOff>
          <xdr:row>39</xdr:row>
          <xdr:rowOff>28575</xdr:rowOff>
        </xdr:to>
        <xdr:sp macro="" textlink="">
          <xdr:nvSpPr>
            <xdr:cNvPr id="1066" name="cb_dlct8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1266825</xdr:colOff>
          <xdr:row>38</xdr:row>
          <xdr:rowOff>9525</xdr:rowOff>
        </xdr:from>
        <xdr:to>
          <xdr:col>7</xdr:col>
          <xdr:colOff>1981200</xdr:colOff>
          <xdr:row>39</xdr:row>
          <xdr:rowOff>38100</xdr:rowOff>
        </xdr:to>
        <xdr:sp macro="" textlink="">
          <xdr:nvSpPr>
            <xdr:cNvPr id="1067" name="cb_dlct9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542925</xdr:colOff>
          <xdr:row>39</xdr:row>
          <xdr:rowOff>85725</xdr:rowOff>
        </xdr:from>
        <xdr:to>
          <xdr:col>5</xdr:col>
          <xdr:colOff>371475</xdr:colOff>
          <xdr:row>40</xdr:row>
          <xdr:rowOff>95250</xdr:rowOff>
        </xdr:to>
        <xdr:sp macro="" textlink="">
          <xdr:nvSpPr>
            <xdr:cNvPr id="1068" name="cb_dlct10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39</xdr:row>
          <xdr:rowOff>95250</xdr:rowOff>
        </xdr:from>
        <xdr:to>
          <xdr:col>6</xdr:col>
          <xdr:colOff>352425</xdr:colOff>
          <xdr:row>40</xdr:row>
          <xdr:rowOff>123825</xdr:rowOff>
        </xdr:to>
        <xdr:sp macro="" textlink="">
          <xdr:nvSpPr>
            <xdr:cNvPr id="1069" name="cb_dlct11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41</xdr:row>
          <xdr:rowOff>0</xdr:rowOff>
        </xdr:from>
        <xdr:to>
          <xdr:col>5</xdr:col>
          <xdr:colOff>390525</xdr:colOff>
          <xdr:row>42</xdr:row>
          <xdr:rowOff>28575</xdr:rowOff>
        </xdr:to>
        <xdr:sp macro="" textlink="">
          <xdr:nvSpPr>
            <xdr:cNvPr id="1070" name="cb_dlct12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41</xdr:row>
          <xdr:rowOff>19050</xdr:rowOff>
        </xdr:from>
        <xdr:to>
          <xdr:col>6</xdr:col>
          <xdr:colOff>381000</xdr:colOff>
          <xdr:row>42</xdr:row>
          <xdr:rowOff>47625</xdr:rowOff>
        </xdr:to>
        <xdr:sp macro="" textlink="">
          <xdr:nvSpPr>
            <xdr:cNvPr id="1071" name="cb_dlct13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42</xdr:row>
          <xdr:rowOff>142875</xdr:rowOff>
        </xdr:from>
        <xdr:to>
          <xdr:col>5</xdr:col>
          <xdr:colOff>390525</xdr:colOff>
          <xdr:row>43</xdr:row>
          <xdr:rowOff>161925</xdr:rowOff>
        </xdr:to>
        <xdr:sp macro="" textlink="">
          <xdr:nvSpPr>
            <xdr:cNvPr id="1074" name="cb_dlcall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676275</xdr:colOff>
          <xdr:row>34</xdr:row>
          <xdr:rowOff>85725</xdr:rowOff>
        </xdr:from>
        <xdr:to>
          <xdr:col>6</xdr:col>
          <xdr:colOff>371475</xdr:colOff>
          <xdr:row>35</xdr:row>
          <xdr:rowOff>114300</xdr:rowOff>
        </xdr:to>
        <xdr:sp macro="" textlink="">
          <xdr:nvSpPr>
            <xdr:cNvPr id="1075" name="cb_dlc95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34</xdr:row>
          <xdr:rowOff>95250</xdr:rowOff>
        </xdr:from>
        <xdr:to>
          <xdr:col>7</xdr:col>
          <xdr:colOff>228600</xdr:colOff>
          <xdr:row>35</xdr:row>
          <xdr:rowOff>123825</xdr:rowOff>
        </xdr:to>
        <xdr:sp macro="" textlink="">
          <xdr:nvSpPr>
            <xdr:cNvPr id="1076" name="cb_dlc96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34</xdr:row>
          <xdr:rowOff>95250</xdr:rowOff>
        </xdr:from>
        <xdr:to>
          <xdr:col>7</xdr:col>
          <xdr:colOff>1066800</xdr:colOff>
          <xdr:row>35</xdr:row>
          <xdr:rowOff>123825</xdr:rowOff>
        </xdr:to>
        <xdr:sp macro="" textlink="">
          <xdr:nvSpPr>
            <xdr:cNvPr id="1077" name="cb_dlc97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23</xdr:row>
          <xdr:rowOff>38100</xdr:rowOff>
        </xdr:from>
        <xdr:to>
          <xdr:col>6</xdr:col>
          <xdr:colOff>295275</xdr:colOff>
          <xdr:row>24</xdr:row>
          <xdr:rowOff>66675</xdr:rowOff>
        </xdr:to>
        <xdr:sp macro="" textlink="">
          <xdr:nvSpPr>
            <xdr:cNvPr id="1116" name="cb_dlc21b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552450</xdr:colOff>
          <xdr:row>23</xdr:row>
          <xdr:rowOff>57150</xdr:rowOff>
        </xdr:from>
        <xdr:to>
          <xdr:col>7</xdr:col>
          <xdr:colOff>190500</xdr:colOff>
          <xdr:row>24</xdr:row>
          <xdr:rowOff>85725</xdr:rowOff>
        </xdr:to>
        <xdr:sp macro="" textlink="">
          <xdr:nvSpPr>
            <xdr:cNvPr id="1117" name="cb_dlc21c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23</xdr:row>
          <xdr:rowOff>57150</xdr:rowOff>
        </xdr:from>
        <xdr:to>
          <xdr:col>7</xdr:col>
          <xdr:colOff>1057275</xdr:colOff>
          <xdr:row>24</xdr:row>
          <xdr:rowOff>85725</xdr:rowOff>
        </xdr:to>
        <xdr:sp macro="" textlink="">
          <xdr:nvSpPr>
            <xdr:cNvPr id="1118" name="cb_dlc21d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24</xdr:row>
          <xdr:rowOff>161925</xdr:rowOff>
        </xdr:from>
        <xdr:to>
          <xdr:col>6</xdr:col>
          <xdr:colOff>276225</xdr:colOff>
          <xdr:row>26</xdr:row>
          <xdr:rowOff>9525</xdr:rowOff>
        </xdr:to>
        <xdr:sp macro="" textlink="">
          <xdr:nvSpPr>
            <xdr:cNvPr id="1119" name="cb_dlc22b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552450</xdr:colOff>
          <xdr:row>24</xdr:row>
          <xdr:rowOff>171450</xdr:rowOff>
        </xdr:from>
        <xdr:to>
          <xdr:col>7</xdr:col>
          <xdr:colOff>190500</xdr:colOff>
          <xdr:row>26</xdr:row>
          <xdr:rowOff>19050</xdr:rowOff>
        </xdr:to>
        <xdr:sp macro="" textlink="">
          <xdr:nvSpPr>
            <xdr:cNvPr id="1120" name="cb_dlc22c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24</xdr:row>
          <xdr:rowOff>171450</xdr:rowOff>
        </xdr:from>
        <xdr:to>
          <xdr:col>7</xdr:col>
          <xdr:colOff>1066800</xdr:colOff>
          <xdr:row>26</xdr:row>
          <xdr:rowOff>19050</xdr:rowOff>
        </xdr:to>
        <xdr:sp macro="" textlink="">
          <xdr:nvSpPr>
            <xdr:cNvPr id="1121" name="cb_dlc22d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28</xdr:row>
          <xdr:rowOff>9525</xdr:rowOff>
        </xdr:from>
        <xdr:to>
          <xdr:col>6</xdr:col>
          <xdr:colOff>257175</xdr:colOff>
          <xdr:row>29</xdr:row>
          <xdr:rowOff>38100</xdr:rowOff>
        </xdr:to>
        <xdr:sp macro="" textlink="">
          <xdr:nvSpPr>
            <xdr:cNvPr id="1122" name="cb_dlc24b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542925</xdr:colOff>
          <xdr:row>28</xdr:row>
          <xdr:rowOff>9525</xdr:rowOff>
        </xdr:from>
        <xdr:to>
          <xdr:col>7</xdr:col>
          <xdr:colOff>180975</xdr:colOff>
          <xdr:row>29</xdr:row>
          <xdr:rowOff>38100</xdr:rowOff>
        </xdr:to>
        <xdr:sp macro="" textlink="">
          <xdr:nvSpPr>
            <xdr:cNvPr id="1123" name="cb_dlc24c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28</xdr:row>
          <xdr:rowOff>19050</xdr:rowOff>
        </xdr:from>
        <xdr:to>
          <xdr:col>7</xdr:col>
          <xdr:colOff>1057275</xdr:colOff>
          <xdr:row>29</xdr:row>
          <xdr:rowOff>47625</xdr:rowOff>
        </xdr:to>
        <xdr:sp macro="" textlink="">
          <xdr:nvSpPr>
            <xdr:cNvPr id="1124" name="cb_dlc24d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29</xdr:row>
          <xdr:rowOff>133350</xdr:rowOff>
        </xdr:from>
        <xdr:to>
          <xdr:col>5</xdr:col>
          <xdr:colOff>390525</xdr:colOff>
          <xdr:row>30</xdr:row>
          <xdr:rowOff>161925</xdr:rowOff>
        </xdr:to>
        <xdr:sp macro="" textlink="">
          <xdr:nvSpPr>
            <xdr:cNvPr id="1125" name="cb_dlc25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32</xdr:row>
          <xdr:rowOff>152400</xdr:rowOff>
        </xdr:from>
        <xdr:to>
          <xdr:col>6</xdr:col>
          <xdr:colOff>304800</xdr:colOff>
          <xdr:row>33</xdr:row>
          <xdr:rowOff>190500</xdr:rowOff>
        </xdr:to>
        <xdr:sp macro="" textlink="">
          <xdr:nvSpPr>
            <xdr:cNvPr id="1126" name="cb_dlc71b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0.4\fs01\Personal\Desktop\W2500-135-90-IIIB_ed4-DLC32-33_2020052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0.4\fs01\Personal\Desktop\IEC61400-1_ed4_model_2019122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.5-135-90&#22238;&#22836;&#30475;\project\IEC61400-1_ed4_model_201912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"/>
      <sheetName val="DLC11"/>
      <sheetName val="DLC12"/>
      <sheetName val="DLC13"/>
      <sheetName val="DLC14"/>
      <sheetName val="DLC15a"/>
      <sheetName val="DLC15b"/>
      <sheetName val="DLC21a"/>
      <sheetName val="DLC21b"/>
      <sheetName val="DLC21c"/>
      <sheetName val="DLC21d"/>
      <sheetName val="DLC22a"/>
      <sheetName val="DLC22b"/>
      <sheetName val="DLC22c"/>
      <sheetName val="DLC22d"/>
      <sheetName val="DLC23_EOG"/>
      <sheetName val="DLC23_NTM"/>
      <sheetName val="DLC24a"/>
      <sheetName val="DLC24b"/>
      <sheetName val="DLC24c"/>
      <sheetName val="DLC24d"/>
      <sheetName val="DLC25"/>
      <sheetName val="DLC31"/>
      <sheetName val="DLC32_ETM"/>
      <sheetName val="DLC32_EOG"/>
      <sheetName val="DLC33"/>
      <sheetName val="DLC41"/>
      <sheetName val="DLC42_ETM"/>
      <sheetName val="DLC42_EOG"/>
      <sheetName val="DLC51"/>
      <sheetName val="DLC51_0"/>
      <sheetName val="DLC61"/>
      <sheetName val="DLC62"/>
      <sheetName val="DLC63"/>
      <sheetName val="DLC64"/>
      <sheetName val="DLC65"/>
      <sheetName val="DLC71a"/>
      <sheetName val="DLC71b"/>
      <sheetName val="DLC81a"/>
      <sheetName val="DLC81b"/>
      <sheetName val="DLC81c"/>
      <sheetName val="DLC82b"/>
      <sheetName val="DLC82a"/>
      <sheetName val="DLC91"/>
      <sheetName val="occurrence"/>
      <sheetName val="DLC95"/>
      <sheetName val="DLC96"/>
      <sheetName val="DLC97"/>
      <sheetName val="DLCT1"/>
      <sheetName val="DLCT2"/>
      <sheetName val="DLCT3"/>
      <sheetName val="DLCT4"/>
      <sheetName val="DLCT5"/>
      <sheetName val="DLCT6"/>
      <sheetName val="DLCT7"/>
      <sheetName val="DLCT8"/>
      <sheetName val="DLCT9"/>
      <sheetName val="DLCT10"/>
      <sheetName val="DLCT11"/>
      <sheetName val="DLCT12"/>
      <sheetName val="DLCT13a"/>
      <sheetName val="DLCT13b"/>
      <sheetName val="DLC3x"/>
      <sheetName val="DLC82c"/>
    </sheetNames>
    <sheetDataSet>
      <sheetData sheetId="0">
        <row r="36">
          <cell r="C36">
            <v>9.5</v>
          </cell>
        </row>
        <row r="37">
          <cell r="C37">
            <v>7.5</v>
          </cell>
        </row>
        <row r="38">
          <cell r="C38">
            <v>11.5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"/>
      <sheetName val="DLC11"/>
      <sheetName val="DLC12"/>
      <sheetName val="DLC13"/>
      <sheetName val="DLC14"/>
      <sheetName val="DLC15a"/>
      <sheetName val="DLC15b"/>
      <sheetName val="DLC16"/>
      <sheetName val="DLC21a"/>
      <sheetName val="DLC21b"/>
      <sheetName val="DLC21c"/>
      <sheetName val="DLC21d"/>
      <sheetName val="DLC22a"/>
      <sheetName val="DLC22b"/>
      <sheetName val="DLC22c"/>
      <sheetName val="DLC22d"/>
      <sheetName val="DLC23_EOG"/>
      <sheetName val="DLC23_NTM"/>
      <sheetName val="DLC24a"/>
      <sheetName val="DLC24b"/>
      <sheetName val="DLC24c"/>
      <sheetName val="DLC24d"/>
      <sheetName val="DLC25"/>
      <sheetName val="DLC31"/>
      <sheetName val="DLC32"/>
      <sheetName val="DLC33"/>
      <sheetName val="DLC41"/>
      <sheetName val="DLC42"/>
      <sheetName val="DLC51"/>
      <sheetName val="DLC51_0"/>
      <sheetName val="DLC61"/>
      <sheetName val="DLC62"/>
      <sheetName val="DLC63"/>
      <sheetName val="DLC64"/>
      <sheetName val="DLC65"/>
      <sheetName val="DLC71a"/>
      <sheetName val="DLC71b"/>
      <sheetName val="DLC81a"/>
      <sheetName val="DLC81b"/>
      <sheetName val="DLC81c"/>
      <sheetName val="DLC82b"/>
      <sheetName val="DLC82a"/>
      <sheetName val="DLC91"/>
      <sheetName val="DLC95"/>
      <sheetName val="DLC96"/>
      <sheetName val="DLC97"/>
      <sheetName val="DLCT1"/>
      <sheetName val="DLCT2"/>
      <sheetName val="DLCT3"/>
      <sheetName val="DLCT4"/>
      <sheetName val="DLCT5"/>
      <sheetName val="DLCT6"/>
      <sheetName val="DLCT7"/>
      <sheetName val="DLCT8"/>
      <sheetName val="DLCT9"/>
      <sheetName val="DLCT10"/>
      <sheetName val="DLCT11"/>
      <sheetName val="DLCT12"/>
      <sheetName val="DLCT13a"/>
      <sheetName val="DLCT13b"/>
      <sheetName val="DLC3x"/>
      <sheetName val="DLC82c"/>
    </sheetNames>
    <sheetDataSet>
      <sheetData sheetId="0">
        <row r="39">
          <cell r="D39">
            <v>9.1999999999999993</v>
          </cell>
        </row>
        <row r="40">
          <cell r="D40">
            <v>7.1999999999999993</v>
          </cell>
        </row>
        <row r="41">
          <cell r="D41">
            <v>11.2</v>
          </cell>
        </row>
        <row r="114">
          <cell r="C114">
            <v>20</v>
          </cell>
        </row>
        <row r="115">
          <cell r="C115">
            <v>26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>
        <row r="58">
          <cell r="A58">
            <v>2847</v>
          </cell>
        </row>
      </sheetData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"/>
      <sheetName val="DLC11"/>
      <sheetName val="DLC12"/>
      <sheetName val="DLC13"/>
      <sheetName val="DLC14"/>
      <sheetName val="DLC15a"/>
      <sheetName val="DLC15b"/>
      <sheetName val="DLC16"/>
      <sheetName val="DLC21a"/>
      <sheetName val="DLC21b"/>
      <sheetName val="DLC21c"/>
      <sheetName val="DLC21d"/>
      <sheetName val="DLC22a"/>
      <sheetName val="DLC22b"/>
      <sheetName val="DLC22c"/>
      <sheetName val="DLC22d"/>
      <sheetName val="DLC23_EOG"/>
      <sheetName val="DLC23_NTM"/>
      <sheetName val="DLC24a"/>
      <sheetName val="DLC24b"/>
      <sheetName val="DLC24c"/>
      <sheetName val="DLC24d"/>
      <sheetName val="DLC25"/>
      <sheetName val="DLC31"/>
      <sheetName val="DLC32"/>
      <sheetName val="DLC33"/>
      <sheetName val="DLC41"/>
      <sheetName val="DLC42"/>
      <sheetName val="DLC51"/>
      <sheetName val="DLC51_0"/>
      <sheetName val="DLC61"/>
      <sheetName val="DLC62"/>
      <sheetName val="DLC63"/>
      <sheetName val="DLC64"/>
      <sheetName val="DLC65"/>
      <sheetName val="DLC71a"/>
      <sheetName val="DLC71b"/>
      <sheetName val="DLC81a"/>
      <sheetName val="DLC81b"/>
      <sheetName val="DLC81c"/>
      <sheetName val="DLC82b"/>
      <sheetName val="DLC82a"/>
      <sheetName val="DLC91"/>
      <sheetName val="DLC95"/>
      <sheetName val="DLC96"/>
      <sheetName val="DLC97"/>
      <sheetName val="DLCT1"/>
      <sheetName val="DLCT2"/>
      <sheetName val="DLCT3"/>
      <sheetName val="DLCT4"/>
      <sheetName val="DLCT5"/>
      <sheetName val="DLCT6"/>
      <sheetName val="DLCT7"/>
      <sheetName val="DLCT8"/>
      <sheetName val="DLCT9"/>
      <sheetName val="DLCT10"/>
      <sheetName val="DLCT11"/>
      <sheetName val="DLCT12"/>
      <sheetName val="DLCT13a"/>
      <sheetName val="DLCT13b"/>
      <sheetName val="DLC3x"/>
      <sheetName val="DLC82c"/>
    </sheetNames>
    <sheetDataSet>
      <sheetData sheetId="0"/>
      <sheetData sheetId="1"/>
      <sheetData sheetId="2"/>
      <sheetData sheetId="3"/>
      <sheetData sheetId="4"/>
      <sheetData sheetId="5"/>
      <sheetData sheetId="6">
        <row r="106">
          <cell r="A106">
            <v>1122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0.emf"/><Relationship Id="rId21" Type="http://schemas.openxmlformats.org/officeDocument/2006/relationships/control" Target="../activeX/activeX8.xml"/><Relationship Id="rId42" Type="http://schemas.openxmlformats.org/officeDocument/2006/relationships/image" Target="../media/image18.emf"/><Relationship Id="rId47" Type="http://schemas.openxmlformats.org/officeDocument/2006/relationships/control" Target="../activeX/activeX21.xml"/><Relationship Id="rId63" Type="http://schemas.openxmlformats.org/officeDocument/2006/relationships/control" Target="../activeX/activeX29.xml"/><Relationship Id="rId68" Type="http://schemas.openxmlformats.org/officeDocument/2006/relationships/image" Target="../media/image31.emf"/><Relationship Id="rId84" Type="http://schemas.openxmlformats.org/officeDocument/2006/relationships/image" Target="../media/image39.emf"/><Relationship Id="rId89" Type="http://schemas.openxmlformats.org/officeDocument/2006/relationships/control" Target="../activeX/activeX42.xml"/><Relationship Id="rId112" Type="http://schemas.openxmlformats.org/officeDocument/2006/relationships/image" Target="../media/image53.emf"/><Relationship Id="rId2" Type="http://schemas.openxmlformats.org/officeDocument/2006/relationships/hyperlink" Target="file:///\\172.20.0.4\fs04\XW\V4\loop1\inputs\ex_controller\2_phase_n.txt" TargetMode="External"/><Relationship Id="rId16" Type="http://schemas.openxmlformats.org/officeDocument/2006/relationships/image" Target="../media/image5.emf"/><Relationship Id="rId29" Type="http://schemas.openxmlformats.org/officeDocument/2006/relationships/control" Target="../activeX/activeX12.xml"/><Relationship Id="rId107" Type="http://schemas.openxmlformats.org/officeDocument/2006/relationships/control" Target="../activeX/activeX51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image" Target="../media/image13.emf"/><Relationship Id="rId37" Type="http://schemas.openxmlformats.org/officeDocument/2006/relationships/control" Target="../activeX/activeX16.xml"/><Relationship Id="rId40" Type="http://schemas.openxmlformats.org/officeDocument/2006/relationships/image" Target="../media/image17.emf"/><Relationship Id="rId45" Type="http://schemas.openxmlformats.org/officeDocument/2006/relationships/control" Target="../activeX/activeX20.xml"/><Relationship Id="rId53" Type="http://schemas.openxmlformats.org/officeDocument/2006/relationships/control" Target="../activeX/activeX24.xml"/><Relationship Id="rId58" Type="http://schemas.openxmlformats.org/officeDocument/2006/relationships/image" Target="../media/image26.emf"/><Relationship Id="rId66" Type="http://schemas.openxmlformats.org/officeDocument/2006/relationships/image" Target="../media/image30.emf"/><Relationship Id="rId74" Type="http://schemas.openxmlformats.org/officeDocument/2006/relationships/image" Target="../media/image34.emf"/><Relationship Id="rId79" Type="http://schemas.openxmlformats.org/officeDocument/2006/relationships/control" Target="../activeX/activeX37.xml"/><Relationship Id="rId87" Type="http://schemas.openxmlformats.org/officeDocument/2006/relationships/control" Target="../activeX/activeX41.xml"/><Relationship Id="rId102" Type="http://schemas.openxmlformats.org/officeDocument/2006/relationships/image" Target="../media/image48.emf"/><Relationship Id="rId110" Type="http://schemas.openxmlformats.org/officeDocument/2006/relationships/image" Target="../media/image52.emf"/><Relationship Id="rId5" Type="http://schemas.openxmlformats.org/officeDocument/2006/relationships/drawing" Target="../drawings/drawing1.xml"/><Relationship Id="rId61" Type="http://schemas.openxmlformats.org/officeDocument/2006/relationships/control" Target="../activeX/activeX28.xml"/><Relationship Id="rId82" Type="http://schemas.openxmlformats.org/officeDocument/2006/relationships/image" Target="../media/image38.emf"/><Relationship Id="rId90" Type="http://schemas.openxmlformats.org/officeDocument/2006/relationships/image" Target="../media/image42.emf"/><Relationship Id="rId95" Type="http://schemas.openxmlformats.org/officeDocument/2006/relationships/control" Target="../activeX/activeX45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ontrol" Target="../activeX/activeX11.xml"/><Relationship Id="rId30" Type="http://schemas.openxmlformats.org/officeDocument/2006/relationships/image" Target="../media/image12.emf"/><Relationship Id="rId35" Type="http://schemas.openxmlformats.org/officeDocument/2006/relationships/control" Target="../activeX/activeX15.xml"/><Relationship Id="rId43" Type="http://schemas.openxmlformats.org/officeDocument/2006/relationships/control" Target="../activeX/activeX19.xml"/><Relationship Id="rId48" Type="http://schemas.openxmlformats.org/officeDocument/2006/relationships/image" Target="../media/image21.emf"/><Relationship Id="rId56" Type="http://schemas.openxmlformats.org/officeDocument/2006/relationships/image" Target="../media/image25.emf"/><Relationship Id="rId64" Type="http://schemas.openxmlformats.org/officeDocument/2006/relationships/image" Target="../media/image29.emf"/><Relationship Id="rId69" Type="http://schemas.openxmlformats.org/officeDocument/2006/relationships/control" Target="../activeX/activeX32.xml"/><Relationship Id="rId77" Type="http://schemas.openxmlformats.org/officeDocument/2006/relationships/control" Target="../activeX/activeX36.xml"/><Relationship Id="rId100" Type="http://schemas.openxmlformats.org/officeDocument/2006/relationships/image" Target="../media/image47.emf"/><Relationship Id="rId105" Type="http://schemas.openxmlformats.org/officeDocument/2006/relationships/control" Target="../activeX/activeX50.xml"/><Relationship Id="rId8" Type="http://schemas.openxmlformats.org/officeDocument/2006/relationships/image" Target="../media/image1.emf"/><Relationship Id="rId51" Type="http://schemas.openxmlformats.org/officeDocument/2006/relationships/control" Target="../activeX/activeX23.xml"/><Relationship Id="rId72" Type="http://schemas.openxmlformats.org/officeDocument/2006/relationships/image" Target="../media/image33.emf"/><Relationship Id="rId80" Type="http://schemas.openxmlformats.org/officeDocument/2006/relationships/image" Target="../media/image37.emf"/><Relationship Id="rId85" Type="http://schemas.openxmlformats.org/officeDocument/2006/relationships/control" Target="../activeX/activeX40.xml"/><Relationship Id="rId93" Type="http://schemas.openxmlformats.org/officeDocument/2006/relationships/control" Target="../activeX/activeX44.xml"/><Relationship Id="rId98" Type="http://schemas.openxmlformats.org/officeDocument/2006/relationships/image" Target="../media/image46.emf"/><Relationship Id="rId3" Type="http://schemas.openxmlformats.org/officeDocument/2006/relationships/hyperlink" Target="file:///\\10.0.80.11\bladed\LSY\W2500-135-140\Rated_10.66_loop2\input\excontroller\LVRT\LVRT.txt" TargetMode="Externa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ontrol" Target="../activeX/activeX10.xml"/><Relationship Id="rId33" Type="http://schemas.openxmlformats.org/officeDocument/2006/relationships/control" Target="../activeX/activeX14.xml"/><Relationship Id="rId38" Type="http://schemas.openxmlformats.org/officeDocument/2006/relationships/image" Target="../media/image16.emf"/><Relationship Id="rId46" Type="http://schemas.openxmlformats.org/officeDocument/2006/relationships/image" Target="../media/image20.emf"/><Relationship Id="rId59" Type="http://schemas.openxmlformats.org/officeDocument/2006/relationships/control" Target="../activeX/activeX27.xml"/><Relationship Id="rId67" Type="http://schemas.openxmlformats.org/officeDocument/2006/relationships/control" Target="../activeX/activeX31.xml"/><Relationship Id="rId103" Type="http://schemas.openxmlformats.org/officeDocument/2006/relationships/control" Target="../activeX/activeX49.xml"/><Relationship Id="rId108" Type="http://schemas.openxmlformats.org/officeDocument/2006/relationships/image" Target="../media/image51.emf"/><Relationship Id="rId20" Type="http://schemas.openxmlformats.org/officeDocument/2006/relationships/image" Target="../media/image7.emf"/><Relationship Id="rId41" Type="http://schemas.openxmlformats.org/officeDocument/2006/relationships/control" Target="../activeX/activeX18.xml"/><Relationship Id="rId54" Type="http://schemas.openxmlformats.org/officeDocument/2006/relationships/image" Target="../media/image24.emf"/><Relationship Id="rId62" Type="http://schemas.openxmlformats.org/officeDocument/2006/relationships/image" Target="../media/image28.emf"/><Relationship Id="rId70" Type="http://schemas.openxmlformats.org/officeDocument/2006/relationships/image" Target="../media/image32.emf"/><Relationship Id="rId75" Type="http://schemas.openxmlformats.org/officeDocument/2006/relationships/control" Target="../activeX/activeX35.xml"/><Relationship Id="rId83" Type="http://schemas.openxmlformats.org/officeDocument/2006/relationships/control" Target="../activeX/activeX39.xml"/><Relationship Id="rId88" Type="http://schemas.openxmlformats.org/officeDocument/2006/relationships/image" Target="../media/image41.emf"/><Relationship Id="rId91" Type="http://schemas.openxmlformats.org/officeDocument/2006/relationships/control" Target="../activeX/activeX43.xml"/><Relationship Id="rId96" Type="http://schemas.openxmlformats.org/officeDocument/2006/relationships/image" Target="../media/image45.emf"/><Relationship Id="rId111" Type="http://schemas.openxmlformats.org/officeDocument/2006/relationships/control" Target="../activeX/activeX53.xml"/><Relationship Id="rId1" Type="http://schemas.openxmlformats.org/officeDocument/2006/relationships/hyperlink" Target="file:///\\172.20.0.4\fs04\XW\V4\loop1\inputs\ex_controller\3_phase_n.txt" TargetMode="External"/><Relationship Id="rId6" Type="http://schemas.openxmlformats.org/officeDocument/2006/relationships/vmlDrawing" Target="../drawings/vmlDrawing1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image" Target="../media/image11.emf"/><Relationship Id="rId36" Type="http://schemas.openxmlformats.org/officeDocument/2006/relationships/image" Target="../media/image15.emf"/><Relationship Id="rId49" Type="http://schemas.openxmlformats.org/officeDocument/2006/relationships/control" Target="../activeX/activeX22.xml"/><Relationship Id="rId57" Type="http://schemas.openxmlformats.org/officeDocument/2006/relationships/control" Target="../activeX/activeX26.xml"/><Relationship Id="rId106" Type="http://schemas.openxmlformats.org/officeDocument/2006/relationships/image" Target="../media/image50.emf"/><Relationship Id="rId10" Type="http://schemas.openxmlformats.org/officeDocument/2006/relationships/image" Target="../media/image2.emf"/><Relationship Id="rId31" Type="http://schemas.openxmlformats.org/officeDocument/2006/relationships/control" Target="../activeX/activeX13.xml"/><Relationship Id="rId44" Type="http://schemas.openxmlformats.org/officeDocument/2006/relationships/image" Target="../media/image19.emf"/><Relationship Id="rId52" Type="http://schemas.openxmlformats.org/officeDocument/2006/relationships/image" Target="../media/image23.emf"/><Relationship Id="rId60" Type="http://schemas.openxmlformats.org/officeDocument/2006/relationships/image" Target="../media/image27.emf"/><Relationship Id="rId65" Type="http://schemas.openxmlformats.org/officeDocument/2006/relationships/control" Target="../activeX/activeX30.xml"/><Relationship Id="rId73" Type="http://schemas.openxmlformats.org/officeDocument/2006/relationships/control" Target="../activeX/activeX34.xml"/><Relationship Id="rId78" Type="http://schemas.openxmlformats.org/officeDocument/2006/relationships/image" Target="../media/image36.emf"/><Relationship Id="rId81" Type="http://schemas.openxmlformats.org/officeDocument/2006/relationships/control" Target="../activeX/activeX38.xml"/><Relationship Id="rId86" Type="http://schemas.openxmlformats.org/officeDocument/2006/relationships/image" Target="../media/image40.emf"/><Relationship Id="rId94" Type="http://schemas.openxmlformats.org/officeDocument/2006/relationships/image" Target="../media/image44.emf"/><Relationship Id="rId99" Type="http://schemas.openxmlformats.org/officeDocument/2006/relationships/control" Target="../activeX/activeX47.xml"/><Relationship Id="rId101" Type="http://schemas.openxmlformats.org/officeDocument/2006/relationships/control" Target="../activeX/activeX48.xml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9" Type="http://schemas.openxmlformats.org/officeDocument/2006/relationships/control" Target="../activeX/activeX17.xml"/><Relationship Id="rId109" Type="http://schemas.openxmlformats.org/officeDocument/2006/relationships/control" Target="../activeX/activeX52.xml"/><Relationship Id="rId34" Type="http://schemas.openxmlformats.org/officeDocument/2006/relationships/image" Target="../media/image14.emf"/><Relationship Id="rId50" Type="http://schemas.openxmlformats.org/officeDocument/2006/relationships/image" Target="../media/image22.emf"/><Relationship Id="rId55" Type="http://schemas.openxmlformats.org/officeDocument/2006/relationships/control" Target="../activeX/activeX25.xml"/><Relationship Id="rId76" Type="http://schemas.openxmlformats.org/officeDocument/2006/relationships/image" Target="../media/image35.emf"/><Relationship Id="rId97" Type="http://schemas.openxmlformats.org/officeDocument/2006/relationships/control" Target="../activeX/activeX46.xml"/><Relationship Id="rId104" Type="http://schemas.openxmlformats.org/officeDocument/2006/relationships/image" Target="../media/image49.emf"/><Relationship Id="rId7" Type="http://schemas.openxmlformats.org/officeDocument/2006/relationships/control" Target="../activeX/activeX1.xml"/><Relationship Id="rId71" Type="http://schemas.openxmlformats.org/officeDocument/2006/relationships/control" Target="../activeX/activeX33.xml"/><Relationship Id="rId92" Type="http://schemas.openxmlformats.org/officeDocument/2006/relationships/image" Target="../media/image4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45"/>
  <sheetViews>
    <sheetView tabSelected="1" zoomScaleNormal="100" workbookViewId="0">
      <selection activeCell="J19" sqref="J19"/>
    </sheetView>
  </sheetViews>
  <sheetFormatPr defaultColWidth="9" defaultRowHeight="15" x14ac:dyDescent="0.15"/>
  <cols>
    <col min="1" max="1" width="52.375" style="23" customWidth="1"/>
    <col min="2" max="2" width="24.75" style="23" customWidth="1"/>
    <col min="3" max="3" width="15.25" style="23" customWidth="1"/>
    <col min="4" max="4" width="9" style="23"/>
    <col min="5" max="5" width="11.625" style="23" customWidth="1"/>
    <col min="6" max="6" width="13.375" style="23" customWidth="1"/>
    <col min="7" max="7" width="14.125" style="23" customWidth="1"/>
    <col min="8" max="8" width="46" style="23" bestFit="1" customWidth="1"/>
    <col min="9" max="16384" width="9" style="23"/>
  </cols>
  <sheetData>
    <row r="1" spans="1:8" x14ac:dyDescent="0.15">
      <c r="A1" s="74" t="s">
        <v>219</v>
      </c>
      <c r="B1" s="249" t="s">
        <v>3680</v>
      </c>
      <c r="C1" s="250"/>
    </row>
    <row r="2" spans="1:8" x14ac:dyDescent="0.15">
      <c r="A2" s="79" t="s">
        <v>231</v>
      </c>
      <c r="B2" s="251" t="s">
        <v>3679</v>
      </c>
      <c r="C2" s="252"/>
      <c r="E2" s="140"/>
      <c r="F2" s="140"/>
      <c r="G2" s="140"/>
      <c r="H2" s="140"/>
    </row>
    <row r="3" spans="1:8" x14ac:dyDescent="0.15">
      <c r="A3" s="75" t="s">
        <v>23</v>
      </c>
      <c r="B3" s="251" t="s">
        <v>3637</v>
      </c>
      <c r="C3" s="252"/>
      <c r="E3" s="140"/>
      <c r="F3" s="140"/>
      <c r="G3" s="140"/>
      <c r="H3" s="140"/>
    </row>
    <row r="4" spans="1:8" x14ac:dyDescent="0.15">
      <c r="A4" s="75" t="s">
        <v>217</v>
      </c>
      <c r="B4" s="253" t="s">
        <v>3566</v>
      </c>
      <c r="C4" s="254"/>
      <c r="E4" s="140"/>
      <c r="F4" s="140"/>
      <c r="G4" s="140"/>
      <c r="H4" s="140"/>
    </row>
    <row r="5" spans="1:8" x14ac:dyDescent="0.15">
      <c r="A5" s="75" t="s">
        <v>218</v>
      </c>
      <c r="B5" s="253"/>
      <c r="C5" s="254"/>
    </row>
    <row r="6" spans="1:8" ht="15.75" thickBot="1" x14ac:dyDescent="0.2">
      <c r="A6" s="76" t="s">
        <v>24</v>
      </c>
      <c r="B6" s="255"/>
      <c r="C6" s="256"/>
    </row>
    <row r="7" spans="1:8" ht="15.75" thickBot="1" x14ac:dyDescent="0.2">
      <c r="A7" s="77"/>
      <c r="B7" s="46"/>
      <c r="C7" s="46"/>
    </row>
    <row r="8" spans="1:8" ht="15.75" thickBot="1" x14ac:dyDescent="0.3">
      <c r="A8" s="1" t="s">
        <v>25</v>
      </c>
      <c r="E8" s="80" t="s">
        <v>228</v>
      </c>
      <c r="F8" s="80" t="s">
        <v>229</v>
      </c>
      <c r="G8" s="80" t="s">
        <v>230</v>
      </c>
      <c r="H8" s="71" t="s">
        <v>232</v>
      </c>
    </row>
    <row r="9" spans="1:8" x14ac:dyDescent="0.25">
      <c r="A9" s="2" t="s">
        <v>26</v>
      </c>
      <c r="B9" s="9" t="s">
        <v>51</v>
      </c>
      <c r="C9" s="16">
        <v>146</v>
      </c>
      <c r="D9" s="78" t="s">
        <v>220</v>
      </c>
      <c r="E9" s="81"/>
      <c r="F9" s="81"/>
      <c r="G9" s="81"/>
      <c r="H9" s="174"/>
    </row>
    <row r="10" spans="1:8" x14ac:dyDescent="0.25">
      <c r="A10" s="3" t="s">
        <v>27</v>
      </c>
      <c r="B10" s="8" t="s">
        <v>55</v>
      </c>
      <c r="C10" s="17">
        <v>37.5</v>
      </c>
      <c r="D10" s="78" t="s">
        <v>220</v>
      </c>
      <c r="E10" s="81"/>
      <c r="F10" s="81"/>
      <c r="G10" s="81"/>
      <c r="H10" s="174"/>
    </row>
    <row r="11" spans="1:8" x14ac:dyDescent="0.25">
      <c r="A11" s="129" t="s">
        <v>2160</v>
      </c>
      <c r="B11" s="130" t="s">
        <v>2161</v>
      </c>
      <c r="C11" s="131">
        <v>57</v>
      </c>
      <c r="D11" s="78" t="s">
        <v>220</v>
      </c>
      <c r="E11" s="81"/>
      <c r="F11" s="81"/>
      <c r="G11" s="81"/>
      <c r="H11" s="174"/>
    </row>
    <row r="12" spans="1:8" x14ac:dyDescent="0.25">
      <c r="A12" s="129" t="s">
        <v>2286</v>
      </c>
      <c r="B12" s="130" t="s">
        <v>2287</v>
      </c>
      <c r="C12" s="131">
        <v>0</v>
      </c>
      <c r="D12" s="78" t="s">
        <v>220</v>
      </c>
      <c r="E12" s="81"/>
      <c r="F12" s="81"/>
      <c r="G12" s="81"/>
      <c r="H12" s="174"/>
    </row>
    <row r="13" spans="1:8" x14ac:dyDescent="0.25">
      <c r="A13" s="3" t="s">
        <v>233</v>
      </c>
      <c r="B13" s="8"/>
      <c r="C13" s="73" t="s">
        <v>3863</v>
      </c>
      <c r="D13" s="78" t="s">
        <v>237</v>
      </c>
      <c r="E13" s="81"/>
      <c r="F13" s="81"/>
      <c r="G13" s="81"/>
      <c r="H13" s="174"/>
    </row>
    <row r="14" spans="1:8" x14ac:dyDescent="0.25">
      <c r="A14" s="3" t="s">
        <v>28</v>
      </c>
      <c r="B14" s="8" t="s">
        <v>54</v>
      </c>
      <c r="C14" s="248">
        <v>7.5</v>
      </c>
      <c r="D14" s="78" t="s">
        <v>237</v>
      </c>
      <c r="E14" s="81"/>
      <c r="F14" s="81"/>
      <c r="G14" s="81"/>
      <c r="H14" s="174"/>
    </row>
    <row r="15" spans="1:8" x14ac:dyDescent="0.25">
      <c r="A15" s="3" t="s">
        <v>234</v>
      </c>
      <c r="B15" s="8" t="s">
        <v>235</v>
      </c>
      <c r="C15" s="83" t="s">
        <v>3864</v>
      </c>
      <c r="D15" s="78"/>
      <c r="E15" s="81"/>
      <c r="F15" s="81"/>
      <c r="G15" s="81"/>
      <c r="H15" s="174"/>
    </row>
    <row r="16" spans="1:8" x14ac:dyDescent="0.25">
      <c r="A16" s="3" t="s">
        <v>900</v>
      </c>
      <c r="B16" s="8" t="s">
        <v>236</v>
      </c>
      <c r="C16" s="83" t="s">
        <v>3864</v>
      </c>
      <c r="D16" s="78"/>
      <c r="E16" s="81"/>
      <c r="F16" s="81"/>
      <c r="G16" s="81"/>
      <c r="H16" s="174"/>
    </row>
    <row r="17" spans="1:8" x14ac:dyDescent="0.25">
      <c r="A17" s="3" t="s">
        <v>52</v>
      </c>
      <c r="B17" s="8" t="s">
        <v>252</v>
      </c>
      <c r="C17" s="84">
        <v>0.14000000000000001</v>
      </c>
      <c r="D17" s="78" t="s">
        <v>220</v>
      </c>
      <c r="E17" s="81"/>
      <c r="F17" s="81"/>
      <c r="G17" s="81"/>
      <c r="H17" s="174"/>
    </row>
    <row r="18" spans="1:8" ht="15.75" thickBot="1" x14ac:dyDescent="0.3">
      <c r="A18" s="3" t="s">
        <v>254</v>
      </c>
      <c r="B18" s="8" t="s">
        <v>255</v>
      </c>
      <c r="C18" s="107">
        <v>2</v>
      </c>
      <c r="D18" s="78" t="s">
        <v>220</v>
      </c>
      <c r="E18" s="82"/>
      <c r="F18" s="82"/>
      <c r="G18" s="82"/>
      <c r="H18" s="175"/>
    </row>
    <row r="19" spans="1:8" x14ac:dyDescent="0.25">
      <c r="A19" s="3" t="s">
        <v>29</v>
      </c>
      <c r="B19" s="8" t="s">
        <v>221</v>
      </c>
      <c r="C19" s="17">
        <v>90</v>
      </c>
      <c r="D19" s="78" t="s">
        <v>220</v>
      </c>
    </row>
    <row r="20" spans="1:8" ht="15.75" thickBot="1" x14ac:dyDescent="0.3">
      <c r="A20" s="4" t="s">
        <v>30</v>
      </c>
      <c r="B20" s="8" t="s">
        <v>53</v>
      </c>
      <c r="C20" s="17">
        <v>20</v>
      </c>
      <c r="D20" s="78" t="s">
        <v>220</v>
      </c>
    </row>
    <row r="21" spans="1:8" x14ac:dyDescent="0.25">
      <c r="A21" s="4" t="s">
        <v>913</v>
      </c>
      <c r="B21" s="8" t="s">
        <v>914</v>
      </c>
      <c r="C21" s="17">
        <v>8766</v>
      </c>
      <c r="D21" s="78" t="s">
        <v>220</v>
      </c>
      <c r="E21" s="257" t="s">
        <v>3556</v>
      </c>
      <c r="F21" s="258"/>
      <c r="G21" s="258"/>
      <c r="H21" s="259"/>
    </row>
    <row r="22" spans="1:8" x14ac:dyDescent="0.25">
      <c r="A22" s="141" t="s">
        <v>3239</v>
      </c>
      <c r="B22" s="142" t="s">
        <v>3240</v>
      </c>
      <c r="C22" s="143">
        <v>20</v>
      </c>
      <c r="D22" s="78" t="s">
        <v>220</v>
      </c>
      <c r="E22" s="270"/>
      <c r="F22" s="270"/>
      <c r="G22" s="270"/>
      <c r="H22" s="270"/>
    </row>
    <row r="23" spans="1:8" x14ac:dyDescent="0.25">
      <c r="A23" s="4" t="s">
        <v>206</v>
      </c>
      <c r="B23" s="8" t="s">
        <v>207</v>
      </c>
      <c r="C23" s="17">
        <v>150</v>
      </c>
      <c r="D23" s="78" t="s">
        <v>220</v>
      </c>
      <c r="E23" s="271"/>
      <c r="F23" s="271"/>
      <c r="G23" s="271"/>
      <c r="H23" s="271"/>
    </row>
    <row r="24" spans="1:8" x14ac:dyDescent="0.25">
      <c r="A24" s="4" t="s">
        <v>202</v>
      </c>
      <c r="B24" s="8" t="s">
        <v>204</v>
      </c>
      <c r="C24" s="17">
        <v>600</v>
      </c>
      <c r="D24" s="78" t="s">
        <v>220</v>
      </c>
      <c r="E24" s="271"/>
      <c r="F24" s="271"/>
      <c r="G24" s="271"/>
      <c r="H24" s="271"/>
    </row>
    <row r="25" spans="1:8" ht="15.75" thickBot="1" x14ac:dyDescent="0.3">
      <c r="A25" s="5" t="s">
        <v>203</v>
      </c>
      <c r="B25" s="11" t="s">
        <v>205</v>
      </c>
      <c r="C25" s="19">
        <v>60</v>
      </c>
      <c r="D25" s="78" t="s">
        <v>220</v>
      </c>
      <c r="E25" s="271"/>
      <c r="F25" s="271"/>
      <c r="G25" s="271"/>
      <c r="H25" s="271"/>
    </row>
    <row r="26" spans="1:8" x14ac:dyDescent="0.15">
      <c r="C26" s="46"/>
      <c r="E26" s="271"/>
      <c r="F26" s="271"/>
      <c r="G26" s="271"/>
      <c r="H26" s="271"/>
    </row>
    <row r="27" spans="1:8" ht="15.75" thickBot="1" x14ac:dyDescent="0.3">
      <c r="A27" s="1" t="s">
        <v>222</v>
      </c>
      <c r="C27" s="46"/>
      <c r="E27" s="271"/>
      <c r="F27" s="271"/>
      <c r="G27" s="271"/>
      <c r="H27" s="271"/>
    </row>
    <row r="28" spans="1:8" x14ac:dyDescent="0.25">
      <c r="A28" s="2" t="s">
        <v>31</v>
      </c>
      <c r="B28" s="9" t="s">
        <v>56</v>
      </c>
      <c r="C28" s="85">
        <f>v_ref</f>
        <v>37.5</v>
      </c>
      <c r="E28" s="271"/>
      <c r="F28" s="271"/>
      <c r="G28" s="271"/>
      <c r="H28" s="271"/>
    </row>
    <row r="29" spans="1:8" x14ac:dyDescent="0.25">
      <c r="A29" s="3" t="s">
        <v>32</v>
      </c>
      <c r="B29" s="8" t="s">
        <v>57</v>
      </c>
      <c r="C29" s="83">
        <f>1.4*C28</f>
        <v>52.5</v>
      </c>
      <c r="E29" s="271"/>
      <c r="F29" s="271"/>
      <c r="G29" s="271"/>
      <c r="H29" s="271"/>
    </row>
    <row r="30" spans="1:8" x14ac:dyDescent="0.25">
      <c r="A30" s="3" t="s">
        <v>33</v>
      </c>
      <c r="B30" s="8" t="s">
        <v>58</v>
      </c>
      <c r="C30" s="83">
        <f>0.8*C28</f>
        <v>30</v>
      </c>
      <c r="E30" s="271"/>
      <c r="F30" s="271"/>
      <c r="G30" s="271"/>
      <c r="H30" s="271"/>
    </row>
    <row r="31" spans="1:8" x14ac:dyDescent="0.25">
      <c r="A31" s="3" t="s">
        <v>34</v>
      </c>
      <c r="B31" s="8" t="s">
        <v>59</v>
      </c>
      <c r="C31" s="83">
        <f>1.4*C30</f>
        <v>42</v>
      </c>
      <c r="E31" s="271"/>
      <c r="F31" s="271"/>
      <c r="G31" s="271"/>
      <c r="H31" s="271"/>
    </row>
    <row r="32" spans="1:8" ht="15.75" thickBot="1" x14ac:dyDescent="0.3">
      <c r="A32" s="132" t="s">
        <v>2281</v>
      </c>
      <c r="B32" s="133" t="s">
        <v>2282</v>
      </c>
      <c r="C32" s="134">
        <f>0.8*v_tref</f>
        <v>45.6</v>
      </c>
      <c r="E32" s="271"/>
      <c r="F32" s="271"/>
      <c r="G32" s="271"/>
      <c r="H32" s="271"/>
    </row>
    <row r="33" spans="1:8" x14ac:dyDescent="0.25">
      <c r="A33" s="66"/>
      <c r="B33" s="67"/>
      <c r="C33" s="68"/>
      <c r="E33" s="271"/>
      <c r="F33" s="271"/>
      <c r="G33" s="271"/>
      <c r="H33" s="271"/>
    </row>
    <row r="34" spans="1:8" ht="15.75" thickBot="1" x14ac:dyDescent="0.3">
      <c r="A34" s="1" t="s">
        <v>223</v>
      </c>
      <c r="C34" s="46"/>
      <c r="E34" s="271"/>
      <c r="F34" s="271"/>
      <c r="G34" s="271"/>
      <c r="H34" s="271"/>
    </row>
    <row r="35" spans="1:8" x14ac:dyDescent="0.25">
      <c r="A35" s="2" t="s">
        <v>35</v>
      </c>
      <c r="B35" s="12" t="s">
        <v>60</v>
      </c>
      <c r="C35" s="16">
        <v>3</v>
      </c>
      <c r="D35" s="78" t="s">
        <v>220</v>
      </c>
      <c r="E35" s="271"/>
      <c r="F35" s="271"/>
      <c r="G35" s="271"/>
      <c r="H35" s="271"/>
    </row>
    <row r="36" spans="1:8" x14ac:dyDescent="0.25">
      <c r="A36" s="3" t="s">
        <v>36</v>
      </c>
      <c r="B36" s="13" t="s">
        <v>61</v>
      </c>
      <c r="C36" s="73">
        <v>9.8000000000000007</v>
      </c>
      <c r="D36" s="78" t="s">
        <v>220</v>
      </c>
      <c r="E36" s="271"/>
      <c r="F36" s="271"/>
      <c r="G36" s="271"/>
      <c r="H36" s="271"/>
    </row>
    <row r="37" spans="1:8" x14ac:dyDescent="0.25">
      <c r="A37" s="3" t="s">
        <v>170</v>
      </c>
      <c r="B37" s="13" t="s">
        <v>172</v>
      </c>
      <c r="C37" s="73">
        <f>v_r-2</f>
        <v>7.8000000000000007</v>
      </c>
      <c r="D37" s="78" t="s">
        <v>220</v>
      </c>
      <c r="E37" s="271"/>
      <c r="F37" s="271"/>
      <c r="G37" s="271"/>
      <c r="H37" s="271"/>
    </row>
    <row r="38" spans="1:8" x14ac:dyDescent="0.25">
      <c r="A38" s="3" t="s">
        <v>171</v>
      </c>
      <c r="B38" s="13" t="s">
        <v>173</v>
      </c>
      <c r="C38" s="73">
        <f>v_r+2</f>
        <v>11.8</v>
      </c>
      <c r="D38" s="78" t="s">
        <v>220</v>
      </c>
      <c r="E38" s="271"/>
      <c r="F38" s="271"/>
      <c r="G38" s="271"/>
      <c r="H38" s="271"/>
    </row>
    <row r="39" spans="1:8" x14ac:dyDescent="0.25">
      <c r="A39" s="3" t="s">
        <v>37</v>
      </c>
      <c r="B39" s="13" t="s">
        <v>62</v>
      </c>
      <c r="C39" s="17">
        <v>20</v>
      </c>
      <c r="D39" s="78" t="s">
        <v>220</v>
      </c>
      <c r="E39" s="271"/>
      <c r="F39" s="271"/>
      <c r="G39" s="271"/>
      <c r="H39" s="271"/>
    </row>
    <row r="40" spans="1:8" x14ac:dyDescent="0.25">
      <c r="A40" s="3" t="s">
        <v>38</v>
      </c>
      <c r="B40" s="13" t="s">
        <v>63</v>
      </c>
      <c r="C40" s="17">
        <v>25</v>
      </c>
      <c r="D40" s="78" t="s">
        <v>220</v>
      </c>
      <c r="E40" s="271"/>
      <c r="F40" s="271"/>
      <c r="G40" s="271"/>
      <c r="H40" s="271"/>
    </row>
    <row r="41" spans="1:8" x14ac:dyDescent="0.25">
      <c r="A41" s="3" t="s">
        <v>39</v>
      </c>
      <c r="B41" s="13" t="s">
        <v>64</v>
      </c>
      <c r="C41" s="17">
        <v>8</v>
      </c>
      <c r="D41" s="78" t="s">
        <v>220</v>
      </c>
      <c r="E41" s="271"/>
      <c r="F41" s="271"/>
      <c r="G41" s="271"/>
      <c r="H41" s="271"/>
    </row>
    <row r="42" spans="1:8" s="163" customFormat="1" x14ac:dyDescent="0.25">
      <c r="A42" s="178" t="s">
        <v>3638</v>
      </c>
      <c r="B42" s="179" t="s">
        <v>3639</v>
      </c>
      <c r="C42" s="177">
        <v>1</v>
      </c>
      <c r="D42" s="78" t="s">
        <v>220</v>
      </c>
      <c r="E42" s="271"/>
      <c r="F42" s="271"/>
      <c r="G42" s="271"/>
      <c r="H42" s="271"/>
    </row>
    <row r="43" spans="1:8" ht="15.75" thickBot="1" x14ac:dyDescent="0.3">
      <c r="A43" s="5" t="s">
        <v>174</v>
      </c>
      <c r="B43" s="14" t="s">
        <v>65</v>
      </c>
      <c r="C43" s="18">
        <v>2</v>
      </c>
      <c r="D43" s="78" t="s">
        <v>220</v>
      </c>
      <c r="E43" s="271"/>
      <c r="F43" s="271"/>
      <c r="G43" s="271"/>
      <c r="H43" s="271"/>
    </row>
    <row r="44" spans="1:8" x14ac:dyDescent="0.15">
      <c r="C44" s="46"/>
      <c r="E44" s="271"/>
      <c r="F44" s="271"/>
      <c r="G44" s="271"/>
      <c r="H44" s="271"/>
    </row>
    <row r="45" spans="1:8" ht="15.75" thickBot="1" x14ac:dyDescent="0.3">
      <c r="A45" s="1" t="s">
        <v>224</v>
      </c>
      <c r="C45" s="46"/>
      <c r="E45" s="271"/>
      <c r="F45" s="271"/>
      <c r="G45" s="271"/>
      <c r="H45" s="271"/>
    </row>
    <row r="46" spans="1:8" x14ac:dyDescent="0.25">
      <c r="A46" s="2" t="s">
        <v>40</v>
      </c>
      <c r="B46" s="9" t="s">
        <v>66</v>
      </c>
      <c r="C46" s="16">
        <v>0.2</v>
      </c>
      <c r="D46" s="78" t="s">
        <v>220</v>
      </c>
    </row>
    <row r="47" spans="1:8" ht="15.75" thickBot="1" x14ac:dyDescent="0.3">
      <c r="A47" s="5" t="s">
        <v>248</v>
      </c>
      <c r="B47" s="10" t="s">
        <v>67</v>
      </c>
      <c r="C47" s="18">
        <v>0.11</v>
      </c>
      <c r="D47" s="78" t="s">
        <v>220</v>
      </c>
    </row>
    <row r="48" spans="1:8" x14ac:dyDescent="0.15">
      <c r="C48" s="46"/>
    </row>
    <row r="49" spans="1:4" ht="15.75" thickBot="1" x14ac:dyDescent="0.3">
      <c r="A49" s="1" t="s">
        <v>41</v>
      </c>
      <c r="C49" s="46"/>
    </row>
    <row r="50" spans="1:4" ht="15.75" thickBot="1" x14ac:dyDescent="0.3">
      <c r="A50" s="7" t="s">
        <v>42</v>
      </c>
      <c r="B50" s="15" t="s">
        <v>68</v>
      </c>
      <c r="C50" s="20">
        <v>8</v>
      </c>
      <c r="D50" s="78" t="s">
        <v>220</v>
      </c>
    </row>
    <row r="51" spans="1:4" x14ac:dyDescent="0.15">
      <c r="C51" s="46"/>
    </row>
    <row r="52" spans="1:4" ht="15.75" thickBot="1" x14ac:dyDescent="0.3">
      <c r="A52" s="1" t="s">
        <v>43</v>
      </c>
      <c r="C52" s="46"/>
    </row>
    <row r="53" spans="1:4" ht="15.75" thickBot="1" x14ac:dyDescent="0.3">
      <c r="A53" s="7" t="s">
        <v>44</v>
      </c>
      <c r="B53" s="15" t="s">
        <v>69</v>
      </c>
      <c r="C53" s="20">
        <v>8</v>
      </c>
      <c r="D53" s="78" t="s">
        <v>220</v>
      </c>
    </row>
    <row r="54" spans="1:4" ht="15.75" thickBot="1" x14ac:dyDescent="0.3">
      <c r="A54" s="7" t="s">
        <v>45</v>
      </c>
      <c r="B54" s="15" t="s">
        <v>70</v>
      </c>
      <c r="C54" s="20">
        <v>0</v>
      </c>
      <c r="D54" s="78" t="s">
        <v>220</v>
      </c>
    </row>
    <row r="55" spans="1:4" ht="15.75" thickBot="1" x14ac:dyDescent="0.3">
      <c r="A55" s="7" t="s">
        <v>46</v>
      </c>
      <c r="B55" s="15" t="s">
        <v>71</v>
      </c>
      <c r="C55" s="20">
        <v>-8</v>
      </c>
      <c r="D55" s="78" t="s">
        <v>220</v>
      </c>
    </row>
    <row r="56" spans="1:4" x14ac:dyDescent="0.25">
      <c r="A56" s="66"/>
      <c r="B56" s="67"/>
      <c r="C56" s="68"/>
    </row>
    <row r="57" spans="1:4" ht="15.75" thickBot="1" x14ac:dyDescent="0.3">
      <c r="A57" s="66" t="s">
        <v>225</v>
      </c>
      <c r="B57" s="67"/>
      <c r="C57" s="68"/>
      <c r="D57" s="78"/>
    </row>
    <row r="58" spans="1:4" x14ac:dyDescent="0.25">
      <c r="A58" s="2" t="s">
        <v>3668</v>
      </c>
      <c r="B58" s="9" t="s">
        <v>258</v>
      </c>
      <c r="C58" s="16">
        <v>6</v>
      </c>
      <c r="D58" s="78" t="s">
        <v>220</v>
      </c>
    </row>
    <row r="59" spans="1:4" x14ac:dyDescent="0.25">
      <c r="A59" s="3" t="s">
        <v>3669</v>
      </c>
      <c r="B59" s="8" t="s">
        <v>259</v>
      </c>
      <c r="C59" s="17">
        <v>-4</v>
      </c>
      <c r="D59" s="78" t="s">
        <v>220</v>
      </c>
    </row>
    <row r="60" spans="1:4" s="182" customFormat="1" x14ac:dyDescent="0.25">
      <c r="A60" s="3" t="s">
        <v>3667</v>
      </c>
      <c r="B60" s="8" t="s">
        <v>3670</v>
      </c>
      <c r="C60" s="17">
        <v>-4</v>
      </c>
      <c r="D60" s="78" t="s">
        <v>220</v>
      </c>
    </row>
    <row r="61" spans="1:4" s="182" customFormat="1" x14ac:dyDescent="0.25">
      <c r="A61" s="3" t="s">
        <v>3671</v>
      </c>
      <c r="B61" s="8" t="s">
        <v>3672</v>
      </c>
      <c r="C61" s="17">
        <v>2</v>
      </c>
      <c r="D61" s="78" t="s">
        <v>220</v>
      </c>
    </row>
    <row r="62" spans="1:4" s="182" customFormat="1" x14ac:dyDescent="0.25">
      <c r="A62" s="178" t="s">
        <v>3711</v>
      </c>
      <c r="B62" s="98" t="s">
        <v>3712</v>
      </c>
      <c r="C62" s="211">
        <v>0.3</v>
      </c>
      <c r="D62" s="78" t="s">
        <v>220</v>
      </c>
    </row>
    <row r="63" spans="1:4" s="182" customFormat="1" x14ac:dyDescent="0.25">
      <c r="A63" s="214" t="s">
        <v>3714</v>
      </c>
      <c r="B63" s="212" t="s">
        <v>3715</v>
      </c>
      <c r="C63" s="213">
        <v>1500</v>
      </c>
      <c r="D63" s="78"/>
    </row>
    <row r="64" spans="1:4" ht="15.75" thickBot="1" x14ac:dyDescent="0.3">
      <c r="A64" s="5" t="s">
        <v>226</v>
      </c>
      <c r="B64" s="10" t="s">
        <v>227</v>
      </c>
      <c r="C64" s="18">
        <v>0.32</v>
      </c>
      <c r="D64" s="78" t="s">
        <v>220</v>
      </c>
    </row>
    <row r="65" spans="1:4" x14ac:dyDescent="0.25">
      <c r="A65" s="56"/>
      <c r="B65" s="108"/>
      <c r="C65" s="109"/>
      <c r="D65" s="78"/>
    </row>
    <row r="66" spans="1:4" ht="15.75" thickBot="1" x14ac:dyDescent="0.3">
      <c r="A66" s="56" t="s">
        <v>942</v>
      </c>
      <c r="B66" s="108"/>
      <c r="C66" s="109"/>
      <c r="D66" s="78"/>
    </row>
    <row r="67" spans="1:4" x14ac:dyDescent="0.25">
      <c r="A67" s="70" t="s">
        <v>943</v>
      </c>
      <c r="B67" s="113" t="s">
        <v>945</v>
      </c>
      <c r="C67" s="111">
        <v>0</v>
      </c>
      <c r="D67" s="78" t="s">
        <v>220</v>
      </c>
    </row>
    <row r="68" spans="1:4" ht="15.75" thickBot="1" x14ac:dyDescent="0.3">
      <c r="A68" s="5" t="s">
        <v>944</v>
      </c>
      <c r="B68" s="10" t="s">
        <v>946</v>
      </c>
      <c r="C68" s="112">
        <v>0</v>
      </c>
      <c r="D68" s="78" t="s">
        <v>220</v>
      </c>
    </row>
    <row r="69" spans="1:4" s="182" customFormat="1" x14ac:dyDescent="0.25">
      <c r="A69" s="56"/>
      <c r="B69" s="108"/>
      <c r="C69" s="109"/>
      <c r="D69" s="78"/>
    </row>
    <row r="70" spans="1:4" s="182" customFormat="1" ht="15.75" thickBot="1" x14ac:dyDescent="0.3">
      <c r="A70" s="56" t="s">
        <v>3676</v>
      </c>
      <c r="B70" s="108"/>
      <c r="C70" s="109"/>
      <c r="D70" s="78"/>
    </row>
    <row r="71" spans="1:4" s="182" customFormat="1" ht="15.75" thickBot="1" x14ac:dyDescent="0.3">
      <c r="A71" s="208" t="s">
        <v>3677</v>
      </c>
      <c r="B71" s="209" t="s">
        <v>3678</v>
      </c>
      <c r="C71" s="210">
        <v>30000</v>
      </c>
      <c r="D71" s="78" t="s">
        <v>220</v>
      </c>
    </row>
    <row r="72" spans="1:4" x14ac:dyDescent="0.25">
      <c r="A72" s="56"/>
      <c r="B72" s="108"/>
      <c r="C72" s="109"/>
      <c r="D72" s="78"/>
    </row>
    <row r="73" spans="1:4" ht="15.75" thickBot="1" x14ac:dyDescent="0.3">
      <c r="A73" s="66" t="s">
        <v>947</v>
      </c>
      <c r="B73" s="67"/>
      <c r="C73" s="68"/>
      <c r="D73" s="78"/>
    </row>
    <row r="74" spans="1:4" x14ac:dyDescent="0.25">
      <c r="A74" s="2" t="s">
        <v>931</v>
      </c>
      <c r="B74" s="264" t="s">
        <v>3865</v>
      </c>
      <c r="C74" s="265"/>
      <c r="D74" s="78" t="s">
        <v>220</v>
      </c>
    </row>
    <row r="75" spans="1:4" x14ac:dyDescent="0.25">
      <c r="A75" s="4" t="s">
        <v>932</v>
      </c>
      <c r="B75" s="266" t="s">
        <v>3953</v>
      </c>
      <c r="C75" s="267"/>
      <c r="D75" s="78" t="s">
        <v>220</v>
      </c>
    </row>
    <row r="76" spans="1:4" x14ac:dyDescent="0.25">
      <c r="A76" s="4" t="s">
        <v>948</v>
      </c>
      <c r="B76" s="116" t="s">
        <v>955</v>
      </c>
      <c r="C76" s="114">
        <v>5.0000000000000001E-4</v>
      </c>
      <c r="D76" s="78" t="s">
        <v>220</v>
      </c>
    </row>
    <row r="77" spans="1:4" x14ac:dyDescent="0.25">
      <c r="A77" s="4" t="s">
        <v>949</v>
      </c>
      <c r="B77" s="116" t="s">
        <v>956</v>
      </c>
      <c r="C77" s="114">
        <v>5</v>
      </c>
      <c r="D77" s="78" t="s">
        <v>220</v>
      </c>
    </row>
    <row r="78" spans="1:4" x14ac:dyDescent="0.25">
      <c r="A78" s="4" t="s">
        <v>950</v>
      </c>
      <c r="B78" s="116" t="s">
        <v>957</v>
      </c>
      <c r="C78" s="114">
        <v>9.9999999999999995E-7</v>
      </c>
      <c r="D78" s="78" t="s">
        <v>220</v>
      </c>
    </row>
    <row r="79" spans="1:4" x14ac:dyDescent="0.25">
      <c r="A79" s="4" t="s">
        <v>951</v>
      </c>
      <c r="B79" s="116" t="s">
        <v>958</v>
      </c>
      <c r="C79" s="114">
        <v>5.0000000000000001E-4</v>
      </c>
      <c r="D79" s="78" t="s">
        <v>220</v>
      </c>
    </row>
    <row r="80" spans="1:4" x14ac:dyDescent="0.25">
      <c r="A80" s="4" t="s">
        <v>952</v>
      </c>
      <c r="B80" s="116" t="s">
        <v>959</v>
      </c>
      <c r="C80" s="114">
        <f>t_out</f>
        <v>150</v>
      </c>
      <c r="D80" s="78" t="s">
        <v>220</v>
      </c>
    </row>
    <row r="81" spans="1:5" x14ac:dyDescent="0.25">
      <c r="A81" s="4" t="s">
        <v>953</v>
      </c>
      <c r="B81" s="116" t="s">
        <v>960</v>
      </c>
      <c r="C81" s="114">
        <f>t_out+15</f>
        <v>165</v>
      </c>
      <c r="D81" s="78" t="s">
        <v>220</v>
      </c>
    </row>
    <row r="82" spans="1:5" ht="15.75" thickBot="1" x14ac:dyDescent="0.3">
      <c r="A82" s="5" t="s">
        <v>954</v>
      </c>
      <c r="B82" s="117" t="s">
        <v>961</v>
      </c>
      <c r="C82" s="115">
        <f>t_out+5</f>
        <v>155</v>
      </c>
      <c r="D82" s="78" t="s">
        <v>220</v>
      </c>
    </row>
    <row r="83" spans="1:5" x14ac:dyDescent="0.25">
      <c r="A83" s="56"/>
      <c r="B83" s="67"/>
      <c r="C83" s="68"/>
      <c r="D83" s="78"/>
    </row>
    <row r="84" spans="1:5" s="182" customFormat="1" ht="15.75" thickBot="1" x14ac:dyDescent="0.3">
      <c r="A84" s="56" t="s">
        <v>3698</v>
      </c>
      <c r="B84" s="108"/>
      <c r="C84" s="109"/>
      <c r="D84" s="78"/>
    </row>
    <row r="85" spans="1:5" s="182" customFormat="1" ht="15.75" thickBot="1" x14ac:dyDescent="0.3">
      <c r="A85" s="208" t="s">
        <v>3697</v>
      </c>
      <c r="B85" s="268" t="s">
        <v>3866</v>
      </c>
      <c r="C85" s="269"/>
      <c r="D85" s="78" t="s">
        <v>220</v>
      </c>
    </row>
    <row r="86" spans="1:5" s="182" customFormat="1" x14ac:dyDescent="0.25">
      <c r="A86" s="56"/>
      <c r="B86" s="108"/>
      <c r="C86" s="109"/>
      <c r="D86" s="78"/>
    </row>
    <row r="87" spans="1:5" ht="15.75" thickBot="1" x14ac:dyDescent="0.3">
      <c r="A87" s="56" t="s">
        <v>1027</v>
      </c>
      <c r="B87" s="67"/>
      <c r="C87" s="68"/>
      <c r="D87" s="78"/>
    </row>
    <row r="88" spans="1:5" x14ac:dyDescent="0.25">
      <c r="A88" s="70" t="s">
        <v>1009</v>
      </c>
      <c r="B88" s="9" t="s">
        <v>1011</v>
      </c>
      <c r="C88" s="16">
        <v>24</v>
      </c>
      <c r="D88" s="78"/>
    </row>
    <row r="89" spans="1:5" s="163" customFormat="1" x14ac:dyDescent="0.25">
      <c r="A89" s="4" t="s">
        <v>3644</v>
      </c>
      <c r="B89" s="8" t="s">
        <v>3643</v>
      </c>
      <c r="C89" s="17">
        <v>24</v>
      </c>
      <c r="D89" s="78"/>
    </row>
    <row r="90" spans="1:5" x14ac:dyDescent="0.25">
      <c r="A90" s="124" t="s">
        <v>1010</v>
      </c>
      <c r="B90" s="125" t="s">
        <v>1030</v>
      </c>
      <c r="C90" s="126">
        <v>0</v>
      </c>
      <c r="D90" s="78" t="s">
        <v>220</v>
      </c>
      <c r="E90" s="23">
        <v>168</v>
      </c>
    </row>
    <row r="91" spans="1:5" x14ac:dyDescent="0.25">
      <c r="A91" s="124" t="s">
        <v>3237</v>
      </c>
      <c r="B91" s="125" t="s">
        <v>3238</v>
      </c>
      <c r="C91" s="126">
        <v>0</v>
      </c>
      <c r="D91" s="78" t="s">
        <v>220</v>
      </c>
      <c r="E91" s="23">
        <v>72</v>
      </c>
    </row>
    <row r="92" spans="1:5" x14ac:dyDescent="0.25">
      <c r="A92" s="4" t="s">
        <v>1012</v>
      </c>
      <c r="B92" s="8" t="s">
        <v>1028</v>
      </c>
      <c r="C92" s="17">
        <v>10</v>
      </c>
      <c r="D92" s="78"/>
    </row>
    <row r="93" spans="1:5" x14ac:dyDescent="0.25">
      <c r="A93" s="4" t="s">
        <v>1013</v>
      </c>
      <c r="B93" s="8" t="s">
        <v>1020</v>
      </c>
      <c r="C93" s="17">
        <v>20</v>
      </c>
      <c r="D93" s="78"/>
    </row>
    <row r="94" spans="1:5" x14ac:dyDescent="0.25">
      <c r="A94" s="4" t="s">
        <v>1014</v>
      </c>
      <c r="B94" s="8" t="s">
        <v>1021</v>
      </c>
      <c r="C94" s="17">
        <v>1000</v>
      </c>
      <c r="D94" s="78"/>
    </row>
    <row r="95" spans="1:5" x14ac:dyDescent="0.25">
      <c r="A95" s="4" t="s">
        <v>1015</v>
      </c>
      <c r="B95" s="8" t="s">
        <v>1022</v>
      </c>
      <c r="C95" s="17">
        <v>50</v>
      </c>
      <c r="D95" s="78"/>
    </row>
    <row r="96" spans="1:5" x14ac:dyDescent="0.25">
      <c r="A96" s="4" t="s">
        <v>1016</v>
      </c>
      <c r="B96" s="8" t="s">
        <v>1023</v>
      </c>
      <c r="C96" s="17">
        <v>50</v>
      </c>
      <c r="D96" s="78"/>
    </row>
    <row r="97" spans="1:4" x14ac:dyDescent="0.25">
      <c r="A97" s="4" t="s">
        <v>1017</v>
      </c>
      <c r="B97" s="8" t="s">
        <v>1024</v>
      </c>
      <c r="C97" s="17">
        <v>1000</v>
      </c>
      <c r="D97" s="78"/>
    </row>
    <row r="98" spans="1:4" x14ac:dyDescent="0.25">
      <c r="A98" s="4" t="s">
        <v>1018</v>
      </c>
      <c r="B98" s="8" t="s">
        <v>1025</v>
      </c>
      <c r="C98" s="17">
        <v>50</v>
      </c>
    </row>
    <row r="99" spans="1:4" ht="15.75" thickBot="1" x14ac:dyDescent="0.3">
      <c r="A99" s="5" t="s">
        <v>1019</v>
      </c>
      <c r="B99" s="11" t="s">
        <v>1026</v>
      </c>
      <c r="C99" s="19">
        <v>50</v>
      </c>
    </row>
    <row r="101" spans="1:4" ht="15.75" thickBot="1" x14ac:dyDescent="0.3">
      <c r="A101" s="56" t="s">
        <v>972</v>
      </c>
      <c r="B101" s="67"/>
      <c r="C101" s="68"/>
      <c r="D101" s="78"/>
    </row>
    <row r="102" spans="1:4" x14ac:dyDescent="0.25">
      <c r="A102" s="121" t="s">
        <v>973</v>
      </c>
      <c r="B102" s="9" t="s">
        <v>975</v>
      </c>
      <c r="C102" s="123">
        <v>0</v>
      </c>
      <c r="D102" s="78"/>
    </row>
    <row r="103" spans="1:4" ht="15.75" thickBot="1" x14ac:dyDescent="0.3">
      <c r="A103" s="122" t="s">
        <v>974</v>
      </c>
      <c r="B103" s="11" t="s">
        <v>976</v>
      </c>
      <c r="C103" s="118">
        <v>90</v>
      </c>
      <c r="D103" s="78"/>
    </row>
    <row r="104" spans="1:4" x14ac:dyDescent="0.25">
      <c r="A104" s="66"/>
      <c r="B104" s="67"/>
      <c r="C104" s="68"/>
      <c r="D104" s="78"/>
    </row>
    <row r="105" spans="1:4" ht="15.75" thickBot="1" x14ac:dyDescent="0.3">
      <c r="A105" s="1" t="s">
        <v>47</v>
      </c>
      <c r="C105" s="46"/>
    </row>
    <row r="106" spans="1:4" x14ac:dyDescent="0.25">
      <c r="A106" s="2" t="s">
        <v>179</v>
      </c>
      <c r="B106" s="9" t="s">
        <v>72</v>
      </c>
      <c r="C106" s="16"/>
    </row>
    <row r="107" spans="1:4" x14ac:dyDescent="0.25">
      <c r="A107" s="3" t="s">
        <v>180</v>
      </c>
      <c r="B107" s="8" t="s">
        <v>181</v>
      </c>
      <c r="C107" s="17"/>
    </row>
    <row r="108" spans="1:4" x14ac:dyDescent="0.25">
      <c r="A108" s="3" t="s">
        <v>177</v>
      </c>
      <c r="B108" s="8" t="s">
        <v>73</v>
      </c>
      <c r="C108" s="17"/>
    </row>
    <row r="109" spans="1:4" x14ac:dyDescent="0.25">
      <c r="A109" s="3" t="s">
        <v>178</v>
      </c>
      <c r="B109" s="8" t="s">
        <v>74</v>
      </c>
      <c r="C109" s="17"/>
    </row>
    <row r="110" spans="1:4" x14ac:dyDescent="0.15">
      <c r="C110" s="46"/>
    </row>
    <row r="111" spans="1:4" ht="15.75" thickBot="1" x14ac:dyDescent="0.3">
      <c r="A111" s="1" t="s">
        <v>48</v>
      </c>
      <c r="C111" s="46"/>
    </row>
    <row r="112" spans="1:4" x14ac:dyDescent="0.25">
      <c r="A112" s="2" t="s">
        <v>48</v>
      </c>
      <c r="B112" s="9" t="s">
        <v>75</v>
      </c>
      <c r="C112" s="16"/>
    </row>
    <row r="113" spans="1:3" x14ac:dyDescent="0.15">
      <c r="C113" s="46"/>
    </row>
    <row r="114" spans="1:3" ht="15.75" thickBot="1" x14ac:dyDescent="0.3">
      <c r="A114" s="1" t="s">
        <v>49</v>
      </c>
      <c r="C114" s="46"/>
    </row>
    <row r="115" spans="1:3" x14ac:dyDescent="0.25">
      <c r="A115" s="2" t="s">
        <v>176</v>
      </c>
      <c r="B115" s="9" t="s">
        <v>72</v>
      </c>
      <c r="C115" s="16"/>
    </row>
    <row r="116" spans="1:3" x14ac:dyDescent="0.25">
      <c r="A116" s="3" t="s">
        <v>182</v>
      </c>
      <c r="B116" s="8" t="s">
        <v>181</v>
      </c>
      <c r="C116" s="17"/>
    </row>
    <row r="117" spans="1:3" x14ac:dyDescent="0.25">
      <c r="A117" s="3" t="s">
        <v>175</v>
      </c>
      <c r="B117" s="8" t="s">
        <v>73</v>
      </c>
      <c r="C117" s="17"/>
    </row>
    <row r="118" spans="1:3" ht="15.75" thickBot="1" x14ac:dyDescent="0.3">
      <c r="A118" s="6" t="s">
        <v>50</v>
      </c>
      <c r="B118" s="11" t="s">
        <v>74</v>
      </c>
      <c r="C118" s="19"/>
    </row>
    <row r="120" spans="1:3" ht="15.75" thickBot="1" x14ac:dyDescent="0.3">
      <c r="A120" s="56" t="s">
        <v>216</v>
      </c>
    </row>
    <row r="121" spans="1:3" x14ac:dyDescent="0.25">
      <c r="A121" s="2" t="s">
        <v>183</v>
      </c>
      <c r="B121" s="9" t="s">
        <v>197</v>
      </c>
      <c r="C121" s="85">
        <v>0.8</v>
      </c>
    </row>
    <row r="122" spans="1:3" x14ac:dyDescent="0.25">
      <c r="A122" s="3" t="s">
        <v>184</v>
      </c>
      <c r="B122" s="8" t="s">
        <v>198</v>
      </c>
      <c r="C122" s="83">
        <v>0.5</v>
      </c>
    </row>
    <row r="123" spans="1:3" x14ac:dyDescent="0.25">
      <c r="A123" s="3" t="s">
        <v>186</v>
      </c>
      <c r="B123" s="8" t="s">
        <v>208</v>
      </c>
      <c r="C123" s="83">
        <f>IF(h_hub&gt;42,42,0.7*h_hub)</f>
        <v>42</v>
      </c>
    </row>
    <row r="124" spans="1:3" x14ac:dyDescent="0.25">
      <c r="A124" s="156" t="s">
        <v>3633</v>
      </c>
      <c r="B124" s="157" t="s">
        <v>3635</v>
      </c>
      <c r="C124" s="158">
        <v>0.86</v>
      </c>
    </row>
    <row r="125" spans="1:3" ht="15.75" thickBot="1" x14ac:dyDescent="0.3">
      <c r="A125" s="159" t="s">
        <v>3634</v>
      </c>
      <c r="B125" s="160" t="s">
        <v>3636</v>
      </c>
      <c r="C125" s="161">
        <v>0.51</v>
      </c>
    </row>
    <row r="126" spans="1:3" x14ac:dyDescent="0.25">
      <c r="A126" s="2" t="s">
        <v>188</v>
      </c>
      <c r="B126" s="9" t="s">
        <v>192</v>
      </c>
      <c r="C126" s="85">
        <v>15</v>
      </c>
    </row>
    <row r="127" spans="1:3" x14ac:dyDescent="0.25">
      <c r="A127" s="3" t="s">
        <v>189</v>
      </c>
      <c r="B127" s="8" t="s">
        <v>193</v>
      </c>
      <c r="C127" s="83">
        <v>10</v>
      </c>
    </row>
    <row r="128" spans="1:3" x14ac:dyDescent="0.25">
      <c r="A128" s="129" t="s">
        <v>2162</v>
      </c>
      <c r="B128" s="130" t="s">
        <v>2163</v>
      </c>
      <c r="C128" s="131">
        <v>6</v>
      </c>
    </row>
    <row r="129" spans="1:3" x14ac:dyDescent="0.25">
      <c r="A129" s="3" t="s">
        <v>187</v>
      </c>
      <c r="B129" s="8" t="s">
        <v>194</v>
      </c>
      <c r="C129" s="83">
        <v>10.5</v>
      </c>
    </row>
    <row r="130" spans="1:3" x14ac:dyDescent="0.25">
      <c r="A130" s="3" t="s">
        <v>190</v>
      </c>
      <c r="B130" s="8" t="s">
        <v>195</v>
      </c>
      <c r="C130" s="83">
        <v>6.4</v>
      </c>
    </row>
    <row r="131" spans="1:3" ht="15.75" thickBot="1" x14ac:dyDescent="0.3">
      <c r="A131" s="6" t="s">
        <v>191</v>
      </c>
      <c r="B131" s="11" t="s">
        <v>196</v>
      </c>
      <c r="C131" s="86">
        <v>12</v>
      </c>
    </row>
    <row r="132" spans="1:3" x14ac:dyDescent="0.25">
      <c r="A132" s="2" t="s">
        <v>247</v>
      </c>
      <c r="B132" s="9" t="s">
        <v>209</v>
      </c>
      <c r="C132" s="85">
        <v>0.85</v>
      </c>
    </row>
    <row r="133" spans="1:3" ht="15.75" thickBot="1" x14ac:dyDescent="0.3">
      <c r="A133" s="6" t="s">
        <v>247</v>
      </c>
      <c r="B133" s="11" t="s">
        <v>210</v>
      </c>
      <c r="C133" s="86">
        <v>1.1499999999999999</v>
      </c>
    </row>
    <row r="134" spans="1:3" ht="15.75" thickBot="1" x14ac:dyDescent="0.3">
      <c r="A134" s="7" t="s">
        <v>185</v>
      </c>
      <c r="B134" s="15" t="s">
        <v>261</v>
      </c>
      <c r="C134" s="90">
        <f>t_out+10</f>
        <v>160</v>
      </c>
    </row>
    <row r="135" spans="1:3" x14ac:dyDescent="0.25">
      <c r="A135" s="2" t="s">
        <v>3705</v>
      </c>
      <c r="B135" s="9" t="s">
        <v>211</v>
      </c>
      <c r="C135" s="85">
        <v>-20</v>
      </c>
    </row>
    <row r="136" spans="1:3" x14ac:dyDescent="0.25">
      <c r="A136" s="262"/>
      <c r="B136" s="8" t="s">
        <v>212</v>
      </c>
      <c r="C136" s="83">
        <v>-10</v>
      </c>
    </row>
    <row r="137" spans="1:3" x14ac:dyDescent="0.25">
      <c r="A137" s="263"/>
      <c r="B137" s="8" t="s">
        <v>213</v>
      </c>
      <c r="C137" s="83">
        <v>0</v>
      </c>
    </row>
    <row r="138" spans="1:3" x14ac:dyDescent="0.25">
      <c r="A138" s="263"/>
      <c r="B138" s="8" t="s">
        <v>214</v>
      </c>
      <c r="C138" s="83">
        <v>10</v>
      </c>
    </row>
    <row r="139" spans="1:3" ht="15.75" thickBot="1" x14ac:dyDescent="0.3">
      <c r="A139" s="263"/>
      <c r="B139" s="98" t="s">
        <v>215</v>
      </c>
      <c r="C139" s="99">
        <v>20</v>
      </c>
    </row>
    <row r="140" spans="1:3" x14ac:dyDescent="0.25">
      <c r="A140" s="100" t="s">
        <v>3706</v>
      </c>
      <c r="B140" s="9" t="s">
        <v>934</v>
      </c>
      <c r="C140" s="101">
        <v>-30</v>
      </c>
    </row>
    <row r="141" spans="1:3" x14ac:dyDescent="0.25">
      <c r="A141" s="260"/>
      <c r="B141" s="8" t="s">
        <v>935</v>
      </c>
      <c r="C141" s="102">
        <v>0</v>
      </c>
    </row>
    <row r="142" spans="1:3" ht="15.75" thickBot="1" x14ac:dyDescent="0.3">
      <c r="A142" s="261"/>
      <c r="B142" s="11" t="s">
        <v>936</v>
      </c>
      <c r="C142" s="103">
        <v>30</v>
      </c>
    </row>
    <row r="143" spans="1:3" x14ac:dyDescent="0.25">
      <c r="A143" s="100" t="s">
        <v>937</v>
      </c>
      <c r="B143" s="9" t="s">
        <v>938</v>
      </c>
      <c r="C143" s="101">
        <v>90</v>
      </c>
    </row>
    <row r="144" spans="1:3" x14ac:dyDescent="0.25">
      <c r="A144" s="260"/>
      <c r="B144" s="8" t="s">
        <v>939</v>
      </c>
      <c r="C144" s="102">
        <v>180</v>
      </c>
    </row>
    <row r="145" spans="1:3" ht="15.75" thickBot="1" x14ac:dyDescent="0.3">
      <c r="A145" s="261"/>
      <c r="B145" s="11" t="s">
        <v>940</v>
      </c>
      <c r="C145" s="103">
        <v>270</v>
      </c>
    </row>
  </sheetData>
  <mergeCells count="14">
    <mergeCell ref="E21:H21"/>
    <mergeCell ref="A141:A142"/>
    <mergeCell ref="A144:A145"/>
    <mergeCell ref="A136:A139"/>
    <mergeCell ref="B74:C74"/>
    <mergeCell ref="B75:C75"/>
    <mergeCell ref="B85:C85"/>
    <mergeCell ref="E22:H45"/>
    <mergeCell ref="B1:C1"/>
    <mergeCell ref="B3:C3"/>
    <mergeCell ref="B4:C4"/>
    <mergeCell ref="B5:C5"/>
    <mergeCell ref="B6:C6"/>
    <mergeCell ref="B2:C2"/>
  </mergeCells>
  <phoneticPr fontId="2" type="noConversion"/>
  <hyperlinks>
    <hyperlink ref="B75" r:id="rId1"/>
    <hyperlink ref="B74" r:id="rId2"/>
    <hyperlink ref="B85" r:id="rId3"/>
  </hyperlinks>
  <pageMargins left="0.7" right="0.7" top="0.75" bottom="0.75" header="0.3" footer="0.3"/>
  <pageSetup paperSize="9" orientation="portrait" horizontalDpi="200" verticalDpi="200" r:id="rId4"/>
  <drawing r:id="rId5"/>
  <legacyDrawing r:id="rId6"/>
  <controls>
    <mc:AlternateContent xmlns:mc="http://schemas.openxmlformats.org/markup-compatibility/2006">
      <mc:Choice Requires="x14">
        <control shapeId="1041" r:id="rId7" name="cb_dlc13">
          <controlPr autoLine="0" r:id="rId8">
            <anchor moveWithCells="1">
              <from>
                <xdr:col>6</xdr:col>
                <xdr:colOff>581025</xdr:colOff>
                <xdr:row>21</xdr:row>
                <xdr:rowOff>133350</xdr:rowOff>
              </from>
              <to>
                <xdr:col>7</xdr:col>
                <xdr:colOff>219075</xdr:colOff>
                <xdr:row>22</xdr:row>
                <xdr:rowOff>161925</xdr:rowOff>
              </to>
            </anchor>
          </controlPr>
        </control>
      </mc:Choice>
      <mc:Fallback>
        <control shapeId="1041" r:id="rId7" name="cb_dlc13"/>
      </mc:Fallback>
    </mc:AlternateContent>
    <mc:AlternateContent xmlns:mc="http://schemas.openxmlformats.org/markup-compatibility/2006">
      <mc:Choice Requires="x14">
        <control shapeId="1040" r:id="rId9" name="cb_dlc14">
          <controlPr autoLine="0" r:id="rId10">
            <anchor moveWithCells="1">
              <from>
                <xdr:col>7</xdr:col>
                <xdr:colOff>361950</xdr:colOff>
                <xdr:row>21</xdr:row>
                <xdr:rowOff>142875</xdr:rowOff>
              </from>
              <to>
                <xdr:col>7</xdr:col>
                <xdr:colOff>1076325</xdr:colOff>
                <xdr:row>22</xdr:row>
                <xdr:rowOff>171450</xdr:rowOff>
              </to>
            </anchor>
          </controlPr>
        </control>
      </mc:Choice>
      <mc:Fallback>
        <control shapeId="1040" r:id="rId9" name="cb_dlc14"/>
      </mc:Fallback>
    </mc:AlternateContent>
    <mc:AlternateContent xmlns:mc="http://schemas.openxmlformats.org/markup-compatibility/2006">
      <mc:Choice Requires="x14">
        <control shapeId="1039" r:id="rId11" name="cb_dlc15">
          <controlPr autoLine="0" r:id="rId12">
            <anchor moveWithCells="1">
              <from>
                <xdr:col>7</xdr:col>
                <xdr:colOff>1276350</xdr:colOff>
                <xdr:row>21</xdr:row>
                <xdr:rowOff>152400</xdr:rowOff>
              </from>
              <to>
                <xdr:col>7</xdr:col>
                <xdr:colOff>1990725</xdr:colOff>
                <xdr:row>22</xdr:row>
                <xdr:rowOff>180975</xdr:rowOff>
              </to>
            </anchor>
          </controlPr>
        </control>
      </mc:Choice>
      <mc:Fallback>
        <control shapeId="1039" r:id="rId11" name="cb_dlc15"/>
      </mc:Fallback>
    </mc:AlternateContent>
    <mc:AlternateContent xmlns:mc="http://schemas.openxmlformats.org/markup-compatibility/2006">
      <mc:Choice Requires="x14">
        <control shapeId="1038" r:id="rId13" name="cb_dlc12">
          <controlPr autoLine="0" r:id="rId14">
            <anchor moveWithCells="1">
              <from>
                <xdr:col>5</xdr:col>
                <xdr:colOff>657225</xdr:colOff>
                <xdr:row>21</xdr:row>
                <xdr:rowOff>133350</xdr:rowOff>
              </from>
              <to>
                <xdr:col>6</xdr:col>
                <xdr:colOff>352425</xdr:colOff>
                <xdr:row>22</xdr:row>
                <xdr:rowOff>161925</xdr:rowOff>
              </to>
            </anchor>
          </controlPr>
        </control>
      </mc:Choice>
      <mc:Fallback>
        <control shapeId="1038" r:id="rId13" name="cb_dlc12"/>
      </mc:Fallback>
    </mc:AlternateContent>
    <mc:AlternateContent xmlns:mc="http://schemas.openxmlformats.org/markup-compatibility/2006">
      <mc:Choice Requires="x14">
        <control shapeId="1037" r:id="rId15" name="cb_dlc11">
          <controlPr autoLine="0" r:id="rId16">
            <anchor moveWithCells="1">
              <from>
                <xdr:col>4</xdr:col>
                <xdr:colOff>561975</xdr:colOff>
                <xdr:row>21</xdr:row>
                <xdr:rowOff>123825</xdr:rowOff>
              </from>
              <to>
                <xdr:col>5</xdr:col>
                <xdr:colOff>390525</xdr:colOff>
                <xdr:row>22</xdr:row>
                <xdr:rowOff>152400</xdr:rowOff>
              </to>
            </anchor>
          </controlPr>
        </control>
      </mc:Choice>
      <mc:Fallback>
        <control shapeId="1037" r:id="rId15" name="cb_dlc11"/>
      </mc:Fallback>
    </mc:AlternateContent>
    <mc:AlternateContent xmlns:mc="http://schemas.openxmlformats.org/markup-compatibility/2006">
      <mc:Choice Requires="x14">
        <control shapeId="1030" r:id="rId17" name="Get_ave">
          <controlPr autoLine="0" r:id="rId18">
            <anchor moveWithCells="1">
              <from>
                <xdr:col>3</xdr:col>
                <xdr:colOff>28575</xdr:colOff>
                <xdr:row>12</xdr:row>
                <xdr:rowOff>152400</xdr:rowOff>
              </from>
              <to>
                <xdr:col>3</xdr:col>
                <xdr:colOff>533400</xdr:colOff>
                <xdr:row>14</xdr:row>
                <xdr:rowOff>0</xdr:rowOff>
              </to>
            </anchor>
          </controlPr>
        </control>
      </mc:Choice>
      <mc:Fallback>
        <control shapeId="1030" r:id="rId17" name="Get_ave"/>
      </mc:Fallback>
    </mc:AlternateContent>
    <mc:AlternateContent xmlns:mc="http://schemas.openxmlformats.org/markup-compatibility/2006">
      <mc:Choice Requires="x14">
        <control shapeId="1031" r:id="rId19" name="ver_info">
          <controlPr defaultSize="0" autoLine="0" r:id="rId20">
            <anchor moveWithCells="1">
              <from>
                <xdr:col>5</xdr:col>
                <xdr:colOff>314325</xdr:colOff>
                <xdr:row>5</xdr:row>
                <xdr:rowOff>28575</xdr:rowOff>
              </from>
              <to>
                <xdr:col>7</xdr:col>
                <xdr:colOff>1609725</xdr:colOff>
                <xdr:row>6</xdr:row>
                <xdr:rowOff>123825</xdr:rowOff>
              </to>
            </anchor>
          </controlPr>
        </control>
      </mc:Choice>
      <mc:Fallback>
        <control shapeId="1031" r:id="rId19" name="ver_info"/>
      </mc:Fallback>
    </mc:AlternateContent>
    <mc:AlternateContent xmlns:mc="http://schemas.openxmlformats.org/markup-compatibility/2006">
      <mc:Choice Requires="x14">
        <control shapeId="1032" r:id="rId21" name="rbtn_ray">
          <controlPr autoLine="0" r:id="rId22">
            <anchor moveWithCells="1">
              <from>
                <xdr:col>1</xdr:col>
                <xdr:colOff>95250</xdr:colOff>
                <xdr:row>12</xdr:row>
                <xdr:rowOff>9525</xdr:rowOff>
              </from>
              <to>
                <xdr:col>1</xdr:col>
                <xdr:colOff>723900</xdr:colOff>
                <xdr:row>13</xdr:row>
                <xdr:rowOff>0</xdr:rowOff>
              </to>
            </anchor>
          </controlPr>
        </control>
      </mc:Choice>
      <mc:Fallback>
        <control shapeId="1032" r:id="rId21" name="rbtn_ray"/>
      </mc:Fallback>
    </mc:AlternateContent>
    <mc:AlternateContent xmlns:mc="http://schemas.openxmlformats.org/markup-compatibility/2006">
      <mc:Choice Requires="x14">
        <control shapeId="1033" r:id="rId23" name="rbtn_wei">
          <controlPr autoLine="0" r:id="rId24">
            <anchor moveWithCells="1">
              <from>
                <xdr:col>1</xdr:col>
                <xdr:colOff>885825</xdr:colOff>
                <xdr:row>12</xdr:row>
                <xdr:rowOff>19050</xdr:rowOff>
              </from>
              <to>
                <xdr:col>1</xdr:col>
                <xdr:colOff>1457325</xdr:colOff>
                <xdr:row>13</xdr:row>
                <xdr:rowOff>0</xdr:rowOff>
              </to>
            </anchor>
          </controlPr>
        </control>
      </mc:Choice>
      <mc:Fallback>
        <control shapeId="1033" r:id="rId23" name="rbtn_wei"/>
      </mc:Fallback>
    </mc:AlternateContent>
    <mc:AlternateContent xmlns:mc="http://schemas.openxmlformats.org/markup-compatibility/2006">
      <mc:Choice Requires="x14">
        <control shapeId="1042" r:id="rId25" name="cb_dlc21a">
          <controlPr autoLine="0" r:id="rId26">
            <anchor moveWithCells="1">
              <from>
                <xdr:col>4</xdr:col>
                <xdr:colOff>571500</xdr:colOff>
                <xdr:row>23</xdr:row>
                <xdr:rowOff>28575</xdr:rowOff>
              </from>
              <to>
                <xdr:col>5</xdr:col>
                <xdr:colOff>400050</xdr:colOff>
                <xdr:row>24</xdr:row>
                <xdr:rowOff>57150</xdr:rowOff>
              </to>
            </anchor>
          </controlPr>
        </control>
      </mc:Choice>
      <mc:Fallback>
        <control shapeId="1042" r:id="rId25" name="cb_dlc21a"/>
      </mc:Fallback>
    </mc:AlternateContent>
    <mc:AlternateContent xmlns:mc="http://schemas.openxmlformats.org/markup-compatibility/2006">
      <mc:Choice Requires="x14">
        <control shapeId="1043" r:id="rId27" name="cb_dlc22a">
          <controlPr autoLine="0" r:id="rId28">
            <anchor moveWithCells="1">
              <from>
                <xdr:col>4</xdr:col>
                <xdr:colOff>590550</xdr:colOff>
                <xdr:row>24</xdr:row>
                <xdr:rowOff>152400</xdr:rowOff>
              </from>
              <to>
                <xdr:col>5</xdr:col>
                <xdr:colOff>419100</xdr:colOff>
                <xdr:row>26</xdr:row>
                <xdr:rowOff>0</xdr:rowOff>
              </to>
            </anchor>
          </controlPr>
        </control>
      </mc:Choice>
      <mc:Fallback>
        <control shapeId="1043" r:id="rId27" name="cb_dlc22a"/>
      </mc:Fallback>
    </mc:AlternateContent>
    <mc:AlternateContent xmlns:mc="http://schemas.openxmlformats.org/markup-compatibility/2006">
      <mc:Choice Requires="x14">
        <control shapeId="1044" r:id="rId29" name="cb_dlc23">
          <controlPr autoLine="0" r:id="rId30">
            <anchor moveWithCells="1">
              <from>
                <xdr:col>4</xdr:col>
                <xdr:colOff>590550</xdr:colOff>
                <xdr:row>26</xdr:row>
                <xdr:rowOff>66675</xdr:rowOff>
              </from>
              <to>
                <xdr:col>5</xdr:col>
                <xdr:colOff>419100</xdr:colOff>
                <xdr:row>27</xdr:row>
                <xdr:rowOff>85725</xdr:rowOff>
              </to>
            </anchor>
          </controlPr>
        </control>
      </mc:Choice>
      <mc:Fallback>
        <control shapeId="1044" r:id="rId29" name="cb_dlc23"/>
      </mc:Fallback>
    </mc:AlternateContent>
    <mc:AlternateContent xmlns:mc="http://schemas.openxmlformats.org/markup-compatibility/2006">
      <mc:Choice Requires="x14">
        <control shapeId="1045" r:id="rId31" name="cb_dlc24a">
          <controlPr autoLine="0" r:id="rId32">
            <anchor moveWithCells="1">
              <from>
                <xdr:col>4</xdr:col>
                <xdr:colOff>571500</xdr:colOff>
                <xdr:row>28</xdr:row>
                <xdr:rowOff>0</xdr:rowOff>
              </from>
              <to>
                <xdr:col>5</xdr:col>
                <xdr:colOff>400050</xdr:colOff>
                <xdr:row>29</xdr:row>
                <xdr:rowOff>28575</xdr:rowOff>
              </to>
            </anchor>
          </controlPr>
        </control>
      </mc:Choice>
      <mc:Fallback>
        <control shapeId="1045" r:id="rId31" name="cb_dlc24a"/>
      </mc:Fallback>
    </mc:AlternateContent>
    <mc:AlternateContent xmlns:mc="http://schemas.openxmlformats.org/markup-compatibility/2006">
      <mc:Choice Requires="x14">
        <control shapeId="1046" r:id="rId33" name="cb_dlc31">
          <controlPr autoLine="0" r:id="rId34">
            <anchor moveWithCells="1">
              <from>
                <xdr:col>5</xdr:col>
                <xdr:colOff>619125</xdr:colOff>
                <xdr:row>29</xdr:row>
                <xdr:rowOff>180975</xdr:rowOff>
              </from>
              <to>
                <xdr:col>6</xdr:col>
                <xdr:colOff>314325</xdr:colOff>
                <xdr:row>31</xdr:row>
                <xdr:rowOff>19050</xdr:rowOff>
              </to>
            </anchor>
          </controlPr>
        </control>
      </mc:Choice>
      <mc:Fallback>
        <control shapeId="1046" r:id="rId33" name="cb_dlc31"/>
      </mc:Fallback>
    </mc:AlternateContent>
    <mc:AlternateContent xmlns:mc="http://schemas.openxmlformats.org/markup-compatibility/2006">
      <mc:Choice Requires="x14">
        <control shapeId="1047" r:id="rId35" name="cb_dlc41">
          <controlPr autoLine="0" r:id="rId36">
            <anchor moveWithCells="1">
              <from>
                <xdr:col>6</xdr:col>
                <xdr:colOff>561975</xdr:colOff>
                <xdr:row>29</xdr:row>
                <xdr:rowOff>152400</xdr:rowOff>
              </from>
              <to>
                <xdr:col>7</xdr:col>
                <xdr:colOff>209550</xdr:colOff>
                <xdr:row>31</xdr:row>
                <xdr:rowOff>0</xdr:rowOff>
              </to>
            </anchor>
          </controlPr>
        </control>
      </mc:Choice>
      <mc:Fallback>
        <control shapeId="1047" r:id="rId35" name="cb_dlc41"/>
      </mc:Fallback>
    </mc:AlternateContent>
    <mc:AlternateContent xmlns:mc="http://schemas.openxmlformats.org/markup-compatibility/2006">
      <mc:Choice Requires="x14">
        <control shapeId="1048" r:id="rId37" name="cb_dlc42">
          <controlPr autoLine="0" r:id="rId38">
            <anchor moveWithCells="1">
              <from>
                <xdr:col>7</xdr:col>
                <xdr:colOff>342900</xdr:colOff>
                <xdr:row>29</xdr:row>
                <xdr:rowOff>152400</xdr:rowOff>
              </from>
              <to>
                <xdr:col>7</xdr:col>
                <xdr:colOff>1057275</xdr:colOff>
                <xdr:row>30</xdr:row>
                <xdr:rowOff>180975</xdr:rowOff>
              </to>
            </anchor>
          </controlPr>
        </control>
      </mc:Choice>
      <mc:Fallback>
        <control shapeId="1048" r:id="rId37" name="cb_dlc42"/>
      </mc:Fallback>
    </mc:AlternateContent>
    <mc:AlternateContent xmlns:mc="http://schemas.openxmlformats.org/markup-compatibility/2006">
      <mc:Choice Requires="x14">
        <control shapeId="1049" r:id="rId39" name="cb_dlc61">
          <controlPr autoLine="0" r:id="rId40">
            <anchor moveWithCells="1">
              <from>
                <xdr:col>4</xdr:col>
                <xdr:colOff>552450</xdr:colOff>
                <xdr:row>31</xdr:row>
                <xdr:rowOff>76200</xdr:rowOff>
              </from>
              <to>
                <xdr:col>5</xdr:col>
                <xdr:colOff>381000</xdr:colOff>
                <xdr:row>32</xdr:row>
                <xdr:rowOff>85725</xdr:rowOff>
              </to>
            </anchor>
          </controlPr>
        </control>
      </mc:Choice>
      <mc:Fallback>
        <control shapeId="1049" r:id="rId39" name="cb_dlc61"/>
      </mc:Fallback>
    </mc:AlternateContent>
    <mc:AlternateContent xmlns:mc="http://schemas.openxmlformats.org/markup-compatibility/2006">
      <mc:Choice Requires="x14">
        <control shapeId="1050" r:id="rId41" name="cb_dlc51">
          <controlPr autoLine="0" r:id="rId42">
            <anchor moveWithCells="1">
              <from>
                <xdr:col>7</xdr:col>
                <xdr:colOff>1219200</xdr:colOff>
                <xdr:row>29</xdr:row>
                <xdr:rowOff>123825</xdr:rowOff>
              </from>
              <to>
                <xdr:col>7</xdr:col>
                <xdr:colOff>1933575</xdr:colOff>
                <xdr:row>30</xdr:row>
                <xdr:rowOff>152400</xdr:rowOff>
              </to>
            </anchor>
          </controlPr>
        </control>
      </mc:Choice>
      <mc:Fallback>
        <control shapeId="1050" r:id="rId41" name="cb_dlc51"/>
      </mc:Fallback>
    </mc:AlternateContent>
    <mc:AlternateContent xmlns:mc="http://schemas.openxmlformats.org/markup-compatibility/2006">
      <mc:Choice Requires="x14">
        <control shapeId="1051" r:id="rId43" name="cb_dlc62">
          <controlPr autoLine="0" r:id="rId44">
            <anchor moveWithCells="1">
              <from>
                <xdr:col>5</xdr:col>
                <xdr:colOff>647700</xdr:colOff>
                <xdr:row>31</xdr:row>
                <xdr:rowOff>85725</xdr:rowOff>
              </from>
              <to>
                <xdr:col>6</xdr:col>
                <xdr:colOff>352425</xdr:colOff>
                <xdr:row>32</xdr:row>
                <xdr:rowOff>104775</xdr:rowOff>
              </to>
            </anchor>
          </controlPr>
        </control>
      </mc:Choice>
      <mc:Fallback>
        <control shapeId="1051" r:id="rId43" name="cb_dlc62"/>
      </mc:Fallback>
    </mc:AlternateContent>
    <mc:AlternateContent xmlns:mc="http://schemas.openxmlformats.org/markup-compatibility/2006">
      <mc:Choice Requires="x14">
        <control shapeId="1052" r:id="rId45" name="cb_dlc63">
          <controlPr autoLine="0" r:id="rId46">
            <anchor moveWithCells="1">
              <from>
                <xdr:col>6</xdr:col>
                <xdr:colOff>581025</xdr:colOff>
                <xdr:row>31</xdr:row>
                <xdr:rowOff>95250</xdr:rowOff>
              </from>
              <to>
                <xdr:col>7</xdr:col>
                <xdr:colOff>219075</xdr:colOff>
                <xdr:row>32</xdr:row>
                <xdr:rowOff>114300</xdr:rowOff>
              </to>
            </anchor>
          </controlPr>
        </control>
      </mc:Choice>
      <mc:Fallback>
        <control shapeId="1052" r:id="rId45" name="cb_dlc63"/>
      </mc:Fallback>
    </mc:AlternateContent>
    <mc:AlternateContent xmlns:mc="http://schemas.openxmlformats.org/markup-compatibility/2006">
      <mc:Choice Requires="x14">
        <control shapeId="1053" r:id="rId47" name="cb_dlc64">
          <controlPr autoLine="0" r:id="rId48">
            <anchor moveWithCells="1">
              <from>
                <xdr:col>7</xdr:col>
                <xdr:colOff>381000</xdr:colOff>
                <xdr:row>31</xdr:row>
                <xdr:rowOff>76200</xdr:rowOff>
              </from>
              <to>
                <xdr:col>7</xdr:col>
                <xdr:colOff>1104900</xdr:colOff>
                <xdr:row>32</xdr:row>
                <xdr:rowOff>95250</xdr:rowOff>
              </to>
            </anchor>
          </controlPr>
        </control>
      </mc:Choice>
      <mc:Fallback>
        <control shapeId="1053" r:id="rId47" name="cb_dlc64"/>
      </mc:Fallback>
    </mc:AlternateContent>
    <mc:AlternateContent xmlns:mc="http://schemas.openxmlformats.org/markup-compatibility/2006">
      <mc:Choice Requires="x14">
        <control shapeId="1054" r:id="rId49" name="cb_dlc91">
          <controlPr autoLine="0" r:id="rId50">
            <anchor moveWithCells="1">
              <from>
                <xdr:col>4</xdr:col>
                <xdr:colOff>571500</xdr:colOff>
                <xdr:row>34</xdr:row>
                <xdr:rowOff>66675</xdr:rowOff>
              </from>
              <to>
                <xdr:col>5</xdr:col>
                <xdr:colOff>400050</xdr:colOff>
                <xdr:row>35</xdr:row>
                <xdr:rowOff>95250</xdr:rowOff>
              </to>
            </anchor>
          </controlPr>
        </control>
      </mc:Choice>
      <mc:Fallback>
        <control shapeId="1054" r:id="rId49" name="cb_dlc91"/>
      </mc:Fallback>
    </mc:AlternateContent>
    <mc:AlternateContent xmlns:mc="http://schemas.openxmlformats.org/markup-compatibility/2006">
      <mc:Choice Requires="x14">
        <control shapeId="1055" r:id="rId51" name="cb_dlc71a">
          <controlPr autoLine="0" r:id="rId52">
            <anchor moveWithCells="1">
              <from>
                <xdr:col>4</xdr:col>
                <xdr:colOff>552450</xdr:colOff>
                <xdr:row>32</xdr:row>
                <xdr:rowOff>171450</xdr:rowOff>
              </from>
              <to>
                <xdr:col>5</xdr:col>
                <xdr:colOff>381000</xdr:colOff>
                <xdr:row>34</xdr:row>
                <xdr:rowOff>0</xdr:rowOff>
              </to>
            </anchor>
          </controlPr>
        </control>
      </mc:Choice>
      <mc:Fallback>
        <control shapeId="1055" r:id="rId51" name="cb_dlc71a"/>
      </mc:Fallback>
    </mc:AlternateContent>
    <mc:AlternateContent xmlns:mc="http://schemas.openxmlformats.org/markup-compatibility/2006">
      <mc:Choice Requires="x14">
        <control shapeId="1056" r:id="rId53" name="cb_dlc81">
          <controlPr autoLine="0" r:id="rId54">
            <anchor moveWithCells="1">
              <from>
                <xdr:col>6</xdr:col>
                <xdr:colOff>561975</xdr:colOff>
                <xdr:row>33</xdr:row>
                <xdr:rowOff>9525</xdr:rowOff>
              </from>
              <to>
                <xdr:col>7</xdr:col>
                <xdr:colOff>200025</xdr:colOff>
                <xdr:row>34</xdr:row>
                <xdr:rowOff>28575</xdr:rowOff>
              </to>
            </anchor>
          </controlPr>
        </control>
      </mc:Choice>
      <mc:Fallback>
        <control shapeId="1056" r:id="rId53" name="cb_dlc81"/>
      </mc:Fallback>
    </mc:AlternateContent>
    <mc:AlternateContent xmlns:mc="http://schemas.openxmlformats.org/markup-compatibility/2006">
      <mc:Choice Requires="x14">
        <control shapeId="1057" r:id="rId55" name="cb_dlct1">
          <controlPr autoLine="0" r:id="rId56">
            <anchor moveWithCells="1">
              <from>
                <xdr:col>4</xdr:col>
                <xdr:colOff>561975</xdr:colOff>
                <xdr:row>36</xdr:row>
                <xdr:rowOff>9525</xdr:rowOff>
              </from>
              <to>
                <xdr:col>5</xdr:col>
                <xdr:colOff>390525</xdr:colOff>
                <xdr:row>37</xdr:row>
                <xdr:rowOff>38100</xdr:rowOff>
              </to>
            </anchor>
          </controlPr>
        </control>
      </mc:Choice>
      <mc:Fallback>
        <control shapeId="1057" r:id="rId55" name="cb_dlct1"/>
      </mc:Fallback>
    </mc:AlternateContent>
    <mc:AlternateContent xmlns:mc="http://schemas.openxmlformats.org/markup-compatibility/2006">
      <mc:Choice Requires="x14">
        <control shapeId="1058" r:id="rId57" name="cb_dlc82">
          <controlPr autoLine="0" r:id="rId58">
            <anchor moveWithCells="1">
              <from>
                <xdr:col>7</xdr:col>
                <xdr:colOff>361950</xdr:colOff>
                <xdr:row>33</xdr:row>
                <xdr:rowOff>0</xdr:rowOff>
              </from>
              <to>
                <xdr:col>7</xdr:col>
                <xdr:colOff>1076325</xdr:colOff>
                <xdr:row>34</xdr:row>
                <xdr:rowOff>19050</xdr:rowOff>
              </to>
            </anchor>
          </controlPr>
        </control>
      </mc:Choice>
      <mc:Fallback>
        <control shapeId="1058" r:id="rId57" name="cb_dlc82"/>
      </mc:Fallback>
    </mc:AlternateContent>
    <mc:AlternateContent xmlns:mc="http://schemas.openxmlformats.org/markup-compatibility/2006">
      <mc:Choice Requires="x14">
        <control shapeId="1059" r:id="rId59" name="cb_dlct2">
          <controlPr autoLine="0" r:id="rId60">
            <anchor moveWithCells="1">
              <from>
                <xdr:col>5</xdr:col>
                <xdr:colOff>676275</xdr:colOff>
                <xdr:row>36</xdr:row>
                <xdr:rowOff>9525</xdr:rowOff>
              </from>
              <to>
                <xdr:col>6</xdr:col>
                <xdr:colOff>371475</xdr:colOff>
                <xdr:row>37</xdr:row>
                <xdr:rowOff>38100</xdr:rowOff>
              </to>
            </anchor>
          </controlPr>
        </control>
      </mc:Choice>
      <mc:Fallback>
        <control shapeId="1059" r:id="rId59" name="cb_dlct2"/>
      </mc:Fallback>
    </mc:AlternateContent>
    <mc:AlternateContent xmlns:mc="http://schemas.openxmlformats.org/markup-compatibility/2006">
      <mc:Choice Requires="x14">
        <control shapeId="1061" r:id="rId61" name="cb_dlcT4">
          <controlPr autoLine="0" r:id="rId62">
            <anchor moveWithCells="1">
              <from>
                <xdr:col>7</xdr:col>
                <xdr:colOff>361950</xdr:colOff>
                <xdr:row>36</xdr:row>
                <xdr:rowOff>66675</xdr:rowOff>
              </from>
              <to>
                <xdr:col>7</xdr:col>
                <xdr:colOff>1076325</xdr:colOff>
                <xdr:row>37</xdr:row>
                <xdr:rowOff>85725</xdr:rowOff>
              </to>
            </anchor>
          </controlPr>
        </control>
      </mc:Choice>
      <mc:Fallback>
        <control shapeId="1061" r:id="rId61" name="cb_dlcT4"/>
      </mc:Fallback>
    </mc:AlternateContent>
    <mc:AlternateContent xmlns:mc="http://schemas.openxmlformats.org/markup-compatibility/2006">
      <mc:Choice Requires="x14">
        <control shapeId="1062" r:id="rId63" name="cb_dlcT3">
          <controlPr autoLine="0" r:id="rId64">
            <anchor moveWithCells="1">
              <from>
                <xdr:col>6</xdr:col>
                <xdr:colOff>581025</xdr:colOff>
                <xdr:row>36</xdr:row>
                <xdr:rowOff>66675</xdr:rowOff>
              </from>
              <to>
                <xdr:col>7</xdr:col>
                <xdr:colOff>219075</xdr:colOff>
                <xdr:row>37</xdr:row>
                <xdr:rowOff>95250</xdr:rowOff>
              </to>
            </anchor>
          </controlPr>
        </control>
      </mc:Choice>
      <mc:Fallback>
        <control shapeId="1062" r:id="rId63" name="cb_dlcT3"/>
      </mc:Fallback>
    </mc:AlternateContent>
    <mc:AlternateContent xmlns:mc="http://schemas.openxmlformats.org/markup-compatibility/2006">
      <mc:Choice Requires="x14">
        <control shapeId="1063" r:id="rId65" name="cb_dlcT5">
          <controlPr autoLine="0" r:id="rId66">
            <anchor moveWithCells="1">
              <from>
                <xdr:col>4</xdr:col>
                <xdr:colOff>561975</xdr:colOff>
                <xdr:row>37</xdr:row>
                <xdr:rowOff>161925</xdr:rowOff>
              </from>
              <to>
                <xdr:col>5</xdr:col>
                <xdr:colOff>390525</xdr:colOff>
                <xdr:row>39</xdr:row>
                <xdr:rowOff>0</xdr:rowOff>
              </to>
            </anchor>
          </controlPr>
        </control>
      </mc:Choice>
      <mc:Fallback>
        <control shapeId="1063" r:id="rId65" name="cb_dlcT5"/>
      </mc:Fallback>
    </mc:AlternateContent>
    <mc:AlternateContent xmlns:mc="http://schemas.openxmlformats.org/markup-compatibility/2006">
      <mc:Choice Requires="x14">
        <control shapeId="1064" r:id="rId67" name="cb_dlct6">
          <controlPr autoLine="0" r:id="rId68">
            <anchor moveWithCells="1">
              <from>
                <xdr:col>5</xdr:col>
                <xdr:colOff>676275</xdr:colOff>
                <xdr:row>37</xdr:row>
                <xdr:rowOff>142875</xdr:rowOff>
              </from>
              <to>
                <xdr:col>6</xdr:col>
                <xdr:colOff>371475</xdr:colOff>
                <xdr:row>38</xdr:row>
                <xdr:rowOff>171450</xdr:rowOff>
              </to>
            </anchor>
          </controlPr>
        </control>
      </mc:Choice>
      <mc:Fallback>
        <control shapeId="1064" r:id="rId67" name="cb_dlct6"/>
      </mc:Fallback>
    </mc:AlternateContent>
    <mc:AlternateContent xmlns:mc="http://schemas.openxmlformats.org/markup-compatibility/2006">
      <mc:Choice Requires="x14">
        <control shapeId="1065" r:id="rId69" name="cb_dlct7">
          <controlPr autoLine="0" r:id="rId70">
            <anchor moveWithCells="1">
              <from>
                <xdr:col>6</xdr:col>
                <xdr:colOff>590550</xdr:colOff>
                <xdr:row>37</xdr:row>
                <xdr:rowOff>171450</xdr:rowOff>
              </from>
              <to>
                <xdr:col>7</xdr:col>
                <xdr:colOff>228600</xdr:colOff>
                <xdr:row>39</xdr:row>
                <xdr:rowOff>19050</xdr:rowOff>
              </to>
            </anchor>
          </controlPr>
        </control>
      </mc:Choice>
      <mc:Fallback>
        <control shapeId="1065" r:id="rId69" name="cb_dlct7"/>
      </mc:Fallback>
    </mc:AlternateContent>
    <mc:AlternateContent xmlns:mc="http://schemas.openxmlformats.org/markup-compatibility/2006">
      <mc:Choice Requires="x14">
        <control shapeId="1066" r:id="rId71" name="cb_dlct8">
          <controlPr autoLine="0" r:id="rId72">
            <anchor moveWithCells="1">
              <from>
                <xdr:col>7</xdr:col>
                <xdr:colOff>371475</xdr:colOff>
                <xdr:row>38</xdr:row>
                <xdr:rowOff>0</xdr:rowOff>
              </from>
              <to>
                <xdr:col>7</xdr:col>
                <xdr:colOff>1085850</xdr:colOff>
                <xdr:row>39</xdr:row>
                <xdr:rowOff>28575</xdr:rowOff>
              </to>
            </anchor>
          </controlPr>
        </control>
      </mc:Choice>
      <mc:Fallback>
        <control shapeId="1066" r:id="rId71" name="cb_dlct8"/>
      </mc:Fallback>
    </mc:AlternateContent>
    <mc:AlternateContent xmlns:mc="http://schemas.openxmlformats.org/markup-compatibility/2006">
      <mc:Choice Requires="x14">
        <control shapeId="1067" r:id="rId73" name="cb_dlct9">
          <controlPr autoLine="0" r:id="rId74">
            <anchor moveWithCells="1">
              <from>
                <xdr:col>7</xdr:col>
                <xdr:colOff>1266825</xdr:colOff>
                <xdr:row>38</xdr:row>
                <xdr:rowOff>9525</xdr:rowOff>
              </from>
              <to>
                <xdr:col>7</xdr:col>
                <xdr:colOff>1981200</xdr:colOff>
                <xdr:row>39</xdr:row>
                <xdr:rowOff>38100</xdr:rowOff>
              </to>
            </anchor>
          </controlPr>
        </control>
      </mc:Choice>
      <mc:Fallback>
        <control shapeId="1067" r:id="rId73" name="cb_dlct9"/>
      </mc:Fallback>
    </mc:AlternateContent>
    <mc:AlternateContent xmlns:mc="http://schemas.openxmlformats.org/markup-compatibility/2006">
      <mc:Choice Requires="x14">
        <control shapeId="1068" r:id="rId75" name="cb_dlct10">
          <controlPr autoLine="0" r:id="rId76">
            <anchor moveWithCells="1">
              <from>
                <xdr:col>4</xdr:col>
                <xdr:colOff>542925</xdr:colOff>
                <xdr:row>39</xdr:row>
                <xdr:rowOff>85725</xdr:rowOff>
              </from>
              <to>
                <xdr:col>5</xdr:col>
                <xdr:colOff>371475</xdr:colOff>
                <xdr:row>40</xdr:row>
                <xdr:rowOff>95250</xdr:rowOff>
              </to>
            </anchor>
          </controlPr>
        </control>
      </mc:Choice>
      <mc:Fallback>
        <control shapeId="1068" r:id="rId75" name="cb_dlct10"/>
      </mc:Fallback>
    </mc:AlternateContent>
    <mc:AlternateContent xmlns:mc="http://schemas.openxmlformats.org/markup-compatibility/2006">
      <mc:Choice Requires="x14">
        <control shapeId="1069" r:id="rId77" name="cb_dlct11">
          <controlPr autoLine="0" r:id="rId78">
            <anchor moveWithCells="1">
              <from>
                <xdr:col>5</xdr:col>
                <xdr:colOff>657225</xdr:colOff>
                <xdr:row>39</xdr:row>
                <xdr:rowOff>95250</xdr:rowOff>
              </from>
              <to>
                <xdr:col>6</xdr:col>
                <xdr:colOff>352425</xdr:colOff>
                <xdr:row>40</xdr:row>
                <xdr:rowOff>123825</xdr:rowOff>
              </to>
            </anchor>
          </controlPr>
        </control>
      </mc:Choice>
      <mc:Fallback>
        <control shapeId="1069" r:id="rId77" name="cb_dlct11"/>
      </mc:Fallback>
    </mc:AlternateContent>
    <mc:AlternateContent xmlns:mc="http://schemas.openxmlformats.org/markup-compatibility/2006">
      <mc:Choice Requires="x14">
        <control shapeId="1070" r:id="rId79" name="cb_dlct12">
          <controlPr autoLine="0" r:id="rId80">
            <anchor moveWithCells="1">
              <from>
                <xdr:col>4</xdr:col>
                <xdr:colOff>561975</xdr:colOff>
                <xdr:row>41</xdr:row>
                <xdr:rowOff>0</xdr:rowOff>
              </from>
              <to>
                <xdr:col>5</xdr:col>
                <xdr:colOff>390525</xdr:colOff>
                <xdr:row>42</xdr:row>
                <xdr:rowOff>28575</xdr:rowOff>
              </to>
            </anchor>
          </controlPr>
        </control>
      </mc:Choice>
      <mc:Fallback>
        <control shapeId="1070" r:id="rId79" name="cb_dlct12"/>
      </mc:Fallback>
    </mc:AlternateContent>
    <mc:AlternateContent xmlns:mc="http://schemas.openxmlformats.org/markup-compatibility/2006">
      <mc:Choice Requires="x14">
        <control shapeId="1071" r:id="rId81" name="cb_dlct13">
          <controlPr autoLine="0" r:id="rId82">
            <anchor moveWithCells="1">
              <from>
                <xdr:col>5</xdr:col>
                <xdr:colOff>685800</xdr:colOff>
                <xdr:row>41</xdr:row>
                <xdr:rowOff>19050</xdr:rowOff>
              </from>
              <to>
                <xdr:col>6</xdr:col>
                <xdr:colOff>381000</xdr:colOff>
                <xdr:row>42</xdr:row>
                <xdr:rowOff>47625</xdr:rowOff>
              </to>
            </anchor>
          </controlPr>
        </control>
      </mc:Choice>
      <mc:Fallback>
        <control shapeId="1071" r:id="rId81" name="cb_dlct13"/>
      </mc:Fallback>
    </mc:AlternateContent>
    <mc:AlternateContent xmlns:mc="http://schemas.openxmlformats.org/markup-compatibility/2006">
      <mc:Choice Requires="x14">
        <control shapeId="1074" r:id="rId83" name="cb_dlcall">
          <controlPr autoLine="0" r:id="rId84">
            <anchor moveWithCells="1">
              <from>
                <xdr:col>4</xdr:col>
                <xdr:colOff>561975</xdr:colOff>
                <xdr:row>42</xdr:row>
                <xdr:rowOff>142875</xdr:rowOff>
              </from>
              <to>
                <xdr:col>5</xdr:col>
                <xdr:colOff>390525</xdr:colOff>
                <xdr:row>43</xdr:row>
                <xdr:rowOff>161925</xdr:rowOff>
              </to>
            </anchor>
          </controlPr>
        </control>
      </mc:Choice>
      <mc:Fallback>
        <control shapeId="1074" r:id="rId83" name="cb_dlcall"/>
      </mc:Fallback>
    </mc:AlternateContent>
    <mc:AlternateContent xmlns:mc="http://schemas.openxmlformats.org/markup-compatibility/2006">
      <mc:Choice Requires="x14">
        <control shapeId="1075" r:id="rId85" name="cb_dlc95">
          <controlPr autoLine="0" r:id="rId86">
            <anchor moveWithCells="1">
              <from>
                <xdr:col>5</xdr:col>
                <xdr:colOff>676275</xdr:colOff>
                <xdr:row>34</xdr:row>
                <xdr:rowOff>85725</xdr:rowOff>
              </from>
              <to>
                <xdr:col>6</xdr:col>
                <xdr:colOff>371475</xdr:colOff>
                <xdr:row>35</xdr:row>
                <xdr:rowOff>114300</xdr:rowOff>
              </to>
            </anchor>
          </controlPr>
        </control>
      </mc:Choice>
      <mc:Fallback>
        <control shapeId="1075" r:id="rId85" name="cb_dlc95"/>
      </mc:Fallback>
    </mc:AlternateContent>
    <mc:AlternateContent xmlns:mc="http://schemas.openxmlformats.org/markup-compatibility/2006">
      <mc:Choice Requires="x14">
        <control shapeId="1076" r:id="rId87" name="cb_dlc96">
          <controlPr autoLine="0" r:id="rId88">
            <anchor moveWithCells="1">
              <from>
                <xdr:col>6</xdr:col>
                <xdr:colOff>590550</xdr:colOff>
                <xdr:row>34</xdr:row>
                <xdr:rowOff>95250</xdr:rowOff>
              </from>
              <to>
                <xdr:col>7</xdr:col>
                <xdr:colOff>228600</xdr:colOff>
                <xdr:row>35</xdr:row>
                <xdr:rowOff>123825</xdr:rowOff>
              </to>
            </anchor>
          </controlPr>
        </control>
      </mc:Choice>
      <mc:Fallback>
        <control shapeId="1076" r:id="rId87" name="cb_dlc96"/>
      </mc:Fallback>
    </mc:AlternateContent>
    <mc:AlternateContent xmlns:mc="http://schemas.openxmlformats.org/markup-compatibility/2006">
      <mc:Choice Requires="x14">
        <control shapeId="1077" r:id="rId89" name="cb_dlc97">
          <controlPr autoLine="0" r:id="rId90">
            <anchor moveWithCells="1">
              <from>
                <xdr:col>7</xdr:col>
                <xdr:colOff>352425</xdr:colOff>
                <xdr:row>34</xdr:row>
                <xdr:rowOff>95250</xdr:rowOff>
              </from>
              <to>
                <xdr:col>7</xdr:col>
                <xdr:colOff>1066800</xdr:colOff>
                <xdr:row>35</xdr:row>
                <xdr:rowOff>123825</xdr:rowOff>
              </to>
            </anchor>
          </controlPr>
        </control>
      </mc:Choice>
      <mc:Fallback>
        <control shapeId="1077" r:id="rId89" name="cb_dlc97"/>
      </mc:Fallback>
    </mc:AlternateContent>
    <mc:AlternateContent xmlns:mc="http://schemas.openxmlformats.org/markup-compatibility/2006">
      <mc:Choice Requires="x14">
        <control shapeId="1116" r:id="rId91" name="cb_dlc21b">
          <controlPr autoLine="0" r:id="rId92">
            <anchor moveWithCells="1">
              <from>
                <xdr:col>5</xdr:col>
                <xdr:colOff>600075</xdr:colOff>
                <xdr:row>23</xdr:row>
                <xdr:rowOff>38100</xdr:rowOff>
              </from>
              <to>
                <xdr:col>6</xdr:col>
                <xdr:colOff>295275</xdr:colOff>
                <xdr:row>24</xdr:row>
                <xdr:rowOff>66675</xdr:rowOff>
              </to>
            </anchor>
          </controlPr>
        </control>
      </mc:Choice>
      <mc:Fallback>
        <control shapeId="1116" r:id="rId91" name="cb_dlc21b"/>
      </mc:Fallback>
    </mc:AlternateContent>
    <mc:AlternateContent xmlns:mc="http://schemas.openxmlformats.org/markup-compatibility/2006">
      <mc:Choice Requires="x14">
        <control shapeId="1117" r:id="rId93" name="cb_dlc21c">
          <controlPr autoLine="0" r:id="rId94">
            <anchor moveWithCells="1">
              <from>
                <xdr:col>6</xdr:col>
                <xdr:colOff>552450</xdr:colOff>
                <xdr:row>23</xdr:row>
                <xdr:rowOff>57150</xdr:rowOff>
              </from>
              <to>
                <xdr:col>7</xdr:col>
                <xdr:colOff>190500</xdr:colOff>
                <xdr:row>24</xdr:row>
                <xdr:rowOff>85725</xdr:rowOff>
              </to>
            </anchor>
          </controlPr>
        </control>
      </mc:Choice>
      <mc:Fallback>
        <control shapeId="1117" r:id="rId93" name="cb_dlc21c"/>
      </mc:Fallback>
    </mc:AlternateContent>
    <mc:AlternateContent xmlns:mc="http://schemas.openxmlformats.org/markup-compatibility/2006">
      <mc:Choice Requires="x14">
        <control shapeId="1118" r:id="rId95" name="cb_dlc21d">
          <controlPr autoLine="0" r:id="rId96">
            <anchor moveWithCells="1">
              <from>
                <xdr:col>7</xdr:col>
                <xdr:colOff>342900</xdr:colOff>
                <xdr:row>23</xdr:row>
                <xdr:rowOff>57150</xdr:rowOff>
              </from>
              <to>
                <xdr:col>7</xdr:col>
                <xdr:colOff>1057275</xdr:colOff>
                <xdr:row>24</xdr:row>
                <xdr:rowOff>85725</xdr:rowOff>
              </to>
            </anchor>
          </controlPr>
        </control>
      </mc:Choice>
      <mc:Fallback>
        <control shapeId="1118" r:id="rId95" name="cb_dlc21d"/>
      </mc:Fallback>
    </mc:AlternateContent>
    <mc:AlternateContent xmlns:mc="http://schemas.openxmlformats.org/markup-compatibility/2006">
      <mc:Choice Requires="x14">
        <control shapeId="1119" r:id="rId97" name="cb_dlc22b">
          <controlPr autoLine="0" r:id="rId98">
            <anchor moveWithCells="1">
              <from>
                <xdr:col>5</xdr:col>
                <xdr:colOff>590550</xdr:colOff>
                <xdr:row>24</xdr:row>
                <xdr:rowOff>161925</xdr:rowOff>
              </from>
              <to>
                <xdr:col>6</xdr:col>
                <xdr:colOff>276225</xdr:colOff>
                <xdr:row>26</xdr:row>
                <xdr:rowOff>9525</xdr:rowOff>
              </to>
            </anchor>
          </controlPr>
        </control>
      </mc:Choice>
      <mc:Fallback>
        <control shapeId="1119" r:id="rId97" name="cb_dlc22b"/>
      </mc:Fallback>
    </mc:AlternateContent>
    <mc:AlternateContent xmlns:mc="http://schemas.openxmlformats.org/markup-compatibility/2006">
      <mc:Choice Requires="x14">
        <control shapeId="1120" r:id="rId99" name="cb_dlc22c">
          <controlPr autoLine="0" r:id="rId100">
            <anchor moveWithCells="1">
              <from>
                <xdr:col>6</xdr:col>
                <xdr:colOff>552450</xdr:colOff>
                <xdr:row>24</xdr:row>
                <xdr:rowOff>171450</xdr:rowOff>
              </from>
              <to>
                <xdr:col>7</xdr:col>
                <xdr:colOff>190500</xdr:colOff>
                <xdr:row>26</xdr:row>
                <xdr:rowOff>19050</xdr:rowOff>
              </to>
            </anchor>
          </controlPr>
        </control>
      </mc:Choice>
      <mc:Fallback>
        <control shapeId="1120" r:id="rId99" name="cb_dlc22c"/>
      </mc:Fallback>
    </mc:AlternateContent>
    <mc:AlternateContent xmlns:mc="http://schemas.openxmlformats.org/markup-compatibility/2006">
      <mc:Choice Requires="x14">
        <control shapeId="1121" r:id="rId101" name="cb_dlc22d">
          <controlPr autoLine="0" r:id="rId102">
            <anchor moveWithCells="1">
              <from>
                <xdr:col>7</xdr:col>
                <xdr:colOff>352425</xdr:colOff>
                <xdr:row>24</xdr:row>
                <xdr:rowOff>171450</xdr:rowOff>
              </from>
              <to>
                <xdr:col>7</xdr:col>
                <xdr:colOff>1066800</xdr:colOff>
                <xdr:row>26</xdr:row>
                <xdr:rowOff>19050</xdr:rowOff>
              </to>
            </anchor>
          </controlPr>
        </control>
      </mc:Choice>
      <mc:Fallback>
        <control shapeId="1121" r:id="rId101" name="cb_dlc22d"/>
      </mc:Fallback>
    </mc:AlternateContent>
    <mc:AlternateContent xmlns:mc="http://schemas.openxmlformats.org/markup-compatibility/2006">
      <mc:Choice Requires="x14">
        <control shapeId="1122" r:id="rId103" name="cb_dlc24b">
          <controlPr autoLine="0" r:id="rId104">
            <anchor moveWithCells="1">
              <from>
                <xdr:col>5</xdr:col>
                <xdr:colOff>571500</xdr:colOff>
                <xdr:row>28</xdr:row>
                <xdr:rowOff>9525</xdr:rowOff>
              </from>
              <to>
                <xdr:col>6</xdr:col>
                <xdr:colOff>257175</xdr:colOff>
                <xdr:row>29</xdr:row>
                <xdr:rowOff>38100</xdr:rowOff>
              </to>
            </anchor>
          </controlPr>
        </control>
      </mc:Choice>
      <mc:Fallback>
        <control shapeId="1122" r:id="rId103" name="cb_dlc24b"/>
      </mc:Fallback>
    </mc:AlternateContent>
    <mc:AlternateContent xmlns:mc="http://schemas.openxmlformats.org/markup-compatibility/2006">
      <mc:Choice Requires="x14">
        <control shapeId="1123" r:id="rId105" name="cb_dlc24c">
          <controlPr autoLine="0" r:id="rId106">
            <anchor moveWithCells="1">
              <from>
                <xdr:col>6</xdr:col>
                <xdr:colOff>542925</xdr:colOff>
                <xdr:row>28</xdr:row>
                <xdr:rowOff>9525</xdr:rowOff>
              </from>
              <to>
                <xdr:col>7</xdr:col>
                <xdr:colOff>180975</xdr:colOff>
                <xdr:row>29</xdr:row>
                <xdr:rowOff>38100</xdr:rowOff>
              </to>
            </anchor>
          </controlPr>
        </control>
      </mc:Choice>
      <mc:Fallback>
        <control shapeId="1123" r:id="rId105" name="cb_dlc24c"/>
      </mc:Fallback>
    </mc:AlternateContent>
    <mc:AlternateContent xmlns:mc="http://schemas.openxmlformats.org/markup-compatibility/2006">
      <mc:Choice Requires="x14">
        <control shapeId="1124" r:id="rId107" name="cb_dlc24d">
          <controlPr autoLine="0" r:id="rId108">
            <anchor moveWithCells="1">
              <from>
                <xdr:col>7</xdr:col>
                <xdr:colOff>342900</xdr:colOff>
                <xdr:row>28</xdr:row>
                <xdr:rowOff>19050</xdr:rowOff>
              </from>
              <to>
                <xdr:col>7</xdr:col>
                <xdr:colOff>1057275</xdr:colOff>
                <xdr:row>29</xdr:row>
                <xdr:rowOff>47625</xdr:rowOff>
              </to>
            </anchor>
          </controlPr>
        </control>
      </mc:Choice>
      <mc:Fallback>
        <control shapeId="1124" r:id="rId107" name="cb_dlc24d"/>
      </mc:Fallback>
    </mc:AlternateContent>
    <mc:AlternateContent xmlns:mc="http://schemas.openxmlformats.org/markup-compatibility/2006">
      <mc:Choice Requires="x14">
        <control shapeId="1125" r:id="rId109" name="cb_dlc25">
          <controlPr autoLine="0" r:id="rId110">
            <anchor moveWithCells="1">
              <from>
                <xdr:col>4</xdr:col>
                <xdr:colOff>561975</xdr:colOff>
                <xdr:row>29</xdr:row>
                <xdr:rowOff>133350</xdr:rowOff>
              </from>
              <to>
                <xdr:col>5</xdr:col>
                <xdr:colOff>390525</xdr:colOff>
                <xdr:row>30</xdr:row>
                <xdr:rowOff>161925</xdr:rowOff>
              </to>
            </anchor>
          </controlPr>
        </control>
      </mc:Choice>
      <mc:Fallback>
        <control shapeId="1125" r:id="rId109" name="cb_dlc25"/>
      </mc:Fallback>
    </mc:AlternateContent>
    <mc:AlternateContent xmlns:mc="http://schemas.openxmlformats.org/markup-compatibility/2006">
      <mc:Choice Requires="x14">
        <control shapeId="1126" r:id="rId111" name="cb_dlc71b">
          <controlPr autoLine="0" r:id="rId112">
            <anchor moveWithCells="1">
              <from>
                <xdr:col>5</xdr:col>
                <xdr:colOff>619125</xdr:colOff>
                <xdr:row>32</xdr:row>
                <xdr:rowOff>152400</xdr:rowOff>
              </from>
              <to>
                <xdr:col>6</xdr:col>
                <xdr:colOff>304800</xdr:colOff>
                <xdr:row>33</xdr:row>
                <xdr:rowOff>190500</xdr:rowOff>
              </to>
            </anchor>
          </controlPr>
        </control>
      </mc:Choice>
      <mc:Fallback>
        <control shapeId="1126" r:id="rId111" name="cb_dlc71b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640"/>
  <sheetViews>
    <sheetView topLeftCell="A602" zoomScaleNormal="100" workbookViewId="0">
      <selection activeCell="Q5" sqref="Q5"/>
    </sheetView>
  </sheetViews>
  <sheetFormatPr defaultColWidth="9" defaultRowHeight="15" x14ac:dyDescent="0.15"/>
  <cols>
    <col min="1" max="1" width="7" style="23" customWidth="1"/>
    <col min="2" max="2" width="7.375" style="23" customWidth="1"/>
    <col min="3" max="3" width="27" style="23" customWidth="1"/>
    <col min="4" max="4" width="6.875" style="23" customWidth="1"/>
    <col min="5" max="5" width="7.375" style="23" customWidth="1"/>
    <col min="6" max="6" width="8.125" style="23" customWidth="1"/>
    <col min="7" max="8" width="7.375" style="23" customWidth="1"/>
    <col min="9" max="9" width="8" style="23" customWidth="1"/>
    <col min="10" max="10" width="9" style="23"/>
    <col min="11" max="11" width="8.875" style="23" customWidth="1"/>
    <col min="12" max="12" width="7.375" style="23" customWidth="1"/>
    <col min="13" max="13" width="6.75" style="23" customWidth="1"/>
    <col min="14" max="14" width="7" style="23" customWidth="1"/>
    <col min="15" max="16384" width="9" style="23"/>
  </cols>
  <sheetData>
    <row r="1" spans="1:21" x14ac:dyDescent="0.15">
      <c r="H1" s="216" t="s">
        <v>135</v>
      </c>
      <c r="I1" s="216" t="s">
        <v>3929</v>
      </c>
      <c r="J1" s="21"/>
    </row>
    <row r="2" spans="1:21" x14ac:dyDescent="0.15">
      <c r="B2" s="22" t="s">
        <v>467</v>
      </c>
      <c r="C2" s="22"/>
      <c r="D2" s="22"/>
      <c r="E2" s="22"/>
      <c r="F2" s="22"/>
      <c r="G2" s="22"/>
      <c r="H2" s="216"/>
      <c r="I2" s="216" t="s">
        <v>3928</v>
      </c>
      <c r="J2" s="21"/>
    </row>
    <row r="3" spans="1:21" x14ac:dyDescent="0.15">
      <c r="B3" s="22" t="s">
        <v>88</v>
      </c>
      <c r="C3" s="22"/>
      <c r="D3" s="22"/>
      <c r="E3" s="22" t="s">
        <v>95</v>
      </c>
      <c r="F3" s="22"/>
      <c r="G3" s="22"/>
      <c r="H3" s="216"/>
      <c r="I3" s="240" t="s">
        <v>3939</v>
      </c>
      <c r="J3" s="21"/>
    </row>
    <row r="4" spans="1:21" x14ac:dyDescent="0.15">
      <c r="B4" s="22" t="s">
        <v>89</v>
      </c>
      <c r="C4" s="22"/>
      <c r="D4" s="22"/>
      <c r="E4" s="22" t="s">
        <v>889</v>
      </c>
      <c r="F4" s="22"/>
      <c r="G4" s="22"/>
      <c r="H4" s="216"/>
      <c r="I4" s="240" t="s">
        <v>3984</v>
      </c>
      <c r="J4" s="21"/>
    </row>
    <row r="5" spans="1:21" x14ac:dyDescent="0.15">
      <c r="B5" s="22" t="s">
        <v>91</v>
      </c>
      <c r="C5" s="22"/>
      <c r="D5" s="22"/>
      <c r="E5" s="22" t="s">
        <v>92</v>
      </c>
      <c r="F5" s="22"/>
      <c r="G5" s="22"/>
      <c r="H5" s="216"/>
      <c r="I5" s="216" t="s">
        <v>3985</v>
      </c>
      <c r="J5" s="21"/>
    </row>
    <row r="6" spans="1:21" x14ac:dyDescent="0.15">
      <c r="B6" s="22" t="s">
        <v>93</v>
      </c>
      <c r="C6" s="22"/>
      <c r="D6" s="22"/>
      <c r="E6" s="22" t="s">
        <v>94</v>
      </c>
      <c r="F6" s="22"/>
      <c r="G6" s="22"/>
      <c r="H6" s="216"/>
      <c r="I6" s="216" t="s">
        <v>3986</v>
      </c>
      <c r="J6" s="21"/>
    </row>
    <row r="7" spans="1:21" x14ac:dyDescent="0.15">
      <c r="H7" s="139"/>
    </row>
    <row r="8" spans="1:21" ht="15.75" thickBot="1" x14ac:dyDescent="0.2">
      <c r="P8" s="272" t="s">
        <v>249</v>
      </c>
      <c r="Q8" s="272"/>
      <c r="R8" s="272"/>
      <c r="S8" s="272"/>
      <c r="T8" s="272"/>
      <c r="U8" s="272"/>
    </row>
    <row r="9" spans="1:21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140</v>
      </c>
      <c r="K9" s="26" t="s">
        <v>3</v>
      </c>
      <c r="L9" s="25" t="s">
        <v>141</v>
      </c>
      <c r="M9" s="27" t="s">
        <v>138</v>
      </c>
      <c r="N9" s="27" t="s">
        <v>139</v>
      </c>
      <c r="P9" s="88" t="s">
        <v>77</v>
      </c>
      <c r="Q9" s="88" t="s">
        <v>78</v>
      </c>
      <c r="R9" s="88" t="s">
        <v>79</v>
      </c>
      <c r="S9" s="88" t="s">
        <v>80</v>
      </c>
      <c r="T9" s="88" t="s">
        <v>81</v>
      </c>
      <c r="U9" s="88" t="s">
        <v>888</v>
      </c>
    </row>
    <row r="10" spans="1:21" ht="15.75" thickBot="1" x14ac:dyDescent="0.3">
      <c r="A10" s="29" t="s">
        <v>76</v>
      </c>
      <c r="B10" s="30" t="str">
        <f>B2</f>
        <v>DLC11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32" t="s">
        <v>7</v>
      </c>
      <c r="N10" s="32" t="s">
        <v>7</v>
      </c>
      <c r="P10" s="33" t="s">
        <v>83</v>
      </c>
      <c r="Q10" s="28" t="s">
        <v>83</v>
      </c>
      <c r="R10" s="28" t="s">
        <v>76</v>
      </c>
      <c r="S10" s="28" t="s">
        <v>76</v>
      </c>
      <c r="T10" s="28" t="s">
        <v>76</v>
      </c>
      <c r="U10" s="28" t="s">
        <v>76</v>
      </c>
    </row>
    <row r="11" spans="1:21" ht="15.75" thickBot="1" x14ac:dyDescent="0.3">
      <c r="A11" s="24">
        <v>1</v>
      </c>
      <c r="B11" s="27">
        <v>1</v>
      </c>
      <c r="C11" s="92" t="str">
        <f>TEXT(RIGHT($B$2,LEN($B$2)-3),"L00")&amp;"X"&amp;TEXT(D11,"00")&amp;"-"&amp;IF(J11&lt;0,TEXT(360+J11,"000"),TEXT(J11,"000"))&amp;"_"&amp;"000"&amp;"_"&amp;TEXT(RIGHT(K11,LEN(K11)-FIND("-",K11)),"00")</f>
        <v>L11X04-352_000_01</v>
      </c>
      <c r="D11" s="34">
        <v>4</v>
      </c>
      <c r="E11" s="60">
        <f t="shared" ref="E11:E92" si="0">I_ref*(0.75*D11+5.6)</f>
        <v>1.204</v>
      </c>
      <c r="F11" s="35">
        <f>E11/D11*100</f>
        <v>30.099999999999998</v>
      </c>
      <c r="G11" s="35">
        <f t="shared" ref="G11:G45" si="1">m_ty*F11</f>
        <v>24.08</v>
      </c>
      <c r="H11" s="35">
        <f t="shared" ref="H11:H45" si="2">m_tz*F11</f>
        <v>15.049999999999999</v>
      </c>
      <c r="I11" s="35">
        <f>inflow</f>
        <v>8</v>
      </c>
      <c r="J11" s="36">
        <f>yaw_min</f>
        <v>-8</v>
      </c>
      <c r="K11" s="87" t="str">
        <f>D11&amp;-1</f>
        <v>4-1</v>
      </c>
      <c r="L11" s="35">
        <f>alpha_n</f>
        <v>0.2</v>
      </c>
      <c r="M11" s="44">
        <f>t_out</f>
        <v>150</v>
      </c>
      <c r="N11" s="44">
        <f>M11+T_s1</f>
        <v>750</v>
      </c>
      <c r="P11" s="38">
        <f t="shared" ref="P11:P92" si="3">D11-v_step/2</f>
        <v>3</v>
      </c>
      <c r="Q11" s="38">
        <f t="shared" ref="Q11:Q92" si="4">P11+v_step</f>
        <v>5</v>
      </c>
      <c r="R11" s="39">
        <f t="shared" ref="R11:S60" si="5">IF(wpd="Rayleigh",1-EXP(-PI()*((P11/2/v_ave)^2)),IF(wpd="Weibull",1-EXP(-((P11/weibull_A)^weibull_K))))</f>
        <v>0.11808862170182366</v>
      </c>
      <c r="S11" s="39">
        <f t="shared" si="5"/>
        <v>0.29465331861967536</v>
      </c>
      <c r="T11" s="39">
        <f>S11-R11</f>
        <v>0.1765646969178517</v>
      </c>
      <c r="U11" s="89">
        <f>T11/16</f>
        <v>1.1035293557365732E-2</v>
      </c>
    </row>
    <row r="12" spans="1:21" ht="15.75" thickBot="1" x14ac:dyDescent="0.3">
      <c r="A12" s="41">
        <f>A11+1</f>
        <v>2</v>
      </c>
      <c r="B12" s="42">
        <f>B11+1</f>
        <v>2</v>
      </c>
      <c r="C12" s="92" t="str">
        <f t="shared" ref="C12:C75" si="6">TEXT(RIGHT($B$2,LEN($B$2)-3),"L00")&amp;"X"&amp;TEXT(D12,"00")&amp;"-"&amp;IF(J12&lt;0,TEXT(360+J12,"000"),TEXT(J12,"000"))&amp;"_"&amp;"000"&amp;"_"&amp;TEXT(RIGHT(K12,LEN(K12)-FIND("-",K12)),"00")</f>
        <v>L11X04-352_000_02</v>
      </c>
      <c r="D12" s="43">
        <f>D11</f>
        <v>4</v>
      </c>
      <c r="E12" s="61">
        <f t="shared" si="0"/>
        <v>1.204</v>
      </c>
      <c r="F12" s="44">
        <f>E12/D12*100</f>
        <v>30.099999999999998</v>
      </c>
      <c r="G12" s="44">
        <f t="shared" si="1"/>
        <v>24.08</v>
      </c>
      <c r="H12" s="44">
        <f t="shared" si="2"/>
        <v>15.049999999999999</v>
      </c>
      <c r="I12" s="44">
        <f>I11</f>
        <v>8</v>
      </c>
      <c r="J12" s="45">
        <f>yaw_min</f>
        <v>-8</v>
      </c>
      <c r="K12" s="87" t="s">
        <v>980</v>
      </c>
      <c r="L12" s="44">
        <f>L11</f>
        <v>0.2</v>
      </c>
      <c r="M12" s="44">
        <f>M11</f>
        <v>150</v>
      </c>
      <c r="N12" s="44">
        <f>N11</f>
        <v>750</v>
      </c>
      <c r="P12" s="38">
        <f t="shared" ref="P12:P27" si="7">D12-v_step/2</f>
        <v>3</v>
      </c>
      <c r="Q12" s="38">
        <f t="shared" ref="Q12:Q27" si="8">P12+v_step</f>
        <v>5</v>
      </c>
      <c r="R12" s="39">
        <f t="shared" ref="R12:R27" si="9">IF(wpd="Rayleigh",1-EXP(-PI()*((P12/2/v_ave)^2)),IF(wpd="Weibull",1-EXP(-((P12/weibull_A)^weibull_K))))</f>
        <v>0.11808862170182366</v>
      </c>
      <c r="S12" s="39">
        <f t="shared" ref="S12:S27" si="10">IF(wpd="Rayleigh",1-EXP(-PI()*((Q12/2/v_ave)^2)),IF(wpd="Weibull",1-EXP(-((Q12/weibull_A)^weibull_K))))</f>
        <v>0.29465331861967536</v>
      </c>
      <c r="T12" s="39">
        <f t="shared" ref="T12:T26" si="11">S12-R12</f>
        <v>0.1765646969178517</v>
      </c>
      <c r="U12" s="89">
        <f t="shared" ref="U12:U40" si="12">T12/16</f>
        <v>1.1035293557365732E-2</v>
      </c>
    </row>
    <row r="13" spans="1:21" ht="15.75" thickBot="1" x14ac:dyDescent="0.3">
      <c r="A13" s="41">
        <f t="shared" ref="A13:A22" si="13">A12+1</f>
        <v>3</v>
      </c>
      <c r="B13" s="42">
        <f t="shared" ref="B13:B23" si="14">B12+1</f>
        <v>3</v>
      </c>
      <c r="C13" s="92" t="str">
        <f t="shared" si="6"/>
        <v>L11X04-352_000_03</v>
      </c>
      <c r="D13" s="43">
        <f t="shared" ref="D13:D23" si="15">D12</f>
        <v>4</v>
      </c>
      <c r="E13" s="61">
        <f t="shared" ref="E13:E15" si="16">I_ref*(0.75*D13+5.6)</f>
        <v>1.204</v>
      </c>
      <c r="F13" s="44">
        <f t="shared" ref="F13:F15" si="17">E13/D13*100</f>
        <v>30.099999999999998</v>
      </c>
      <c r="G13" s="44">
        <f t="shared" ref="G13:G15" si="18">m_ty*F13</f>
        <v>24.08</v>
      </c>
      <c r="H13" s="44">
        <f t="shared" ref="H13:H15" si="19">m_tz*F13</f>
        <v>15.049999999999999</v>
      </c>
      <c r="I13" s="44">
        <f t="shared" ref="I13:I15" si="20">I12</f>
        <v>8</v>
      </c>
      <c r="J13" s="45">
        <f>yaw_min</f>
        <v>-8</v>
      </c>
      <c r="K13" s="87" t="s">
        <v>981</v>
      </c>
      <c r="L13" s="44">
        <f t="shared" ref="L13:L15" si="21">L12</f>
        <v>0.2</v>
      </c>
      <c r="M13" s="44">
        <f t="shared" ref="M13:M15" si="22">M12</f>
        <v>150</v>
      </c>
      <c r="N13" s="44">
        <f t="shared" ref="N13:N15" si="23">N12</f>
        <v>750</v>
      </c>
      <c r="P13" s="38">
        <f t="shared" si="7"/>
        <v>3</v>
      </c>
      <c r="Q13" s="38">
        <f t="shared" si="8"/>
        <v>5</v>
      </c>
      <c r="R13" s="39">
        <f t="shared" si="9"/>
        <v>0.11808862170182366</v>
      </c>
      <c r="S13" s="39">
        <f t="shared" si="10"/>
        <v>0.29465331861967536</v>
      </c>
      <c r="T13" s="39">
        <f t="shared" si="11"/>
        <v>0.1765646969178517</v>
      </c>
      <c r="U13" s="89">
        <f t="shared" si="12"/>
        <v>1.1035293557365732E-2</v>
      </c>
    </row>
    <row r="14" spans="1:21" ht="15.75" thickBot="1" x14ac:dyDescent="0.3">
      <c r="A14" s="41">
        <f t="shared" si="13"/>
        <v>4</v>
      </c>
      <c r="B14" s="42">
        <f t="shared" si="14"/>
        <v>4</v>
      </c>
      <c r="C14" s="92" t="str">
        <f t="shared" si="6"/>
        <v>L11X04-352_000_04</v>
      </c>
      <c r="D14" s="43">
        <f t="shared" si="15"/>
        <v>4</v>
      </c>
      <c r="E14" s="61">
        <f t="shared" si="16"/>
        <v>1.204</v>
      </c>
      <c r="F14" s="44">
        <f t="shared" si="17"/>
        <v>30.099999999999998</v>
      </c>
      <c r="G14" s="44">
        <f t="shared" si="18"/>
        <v>24.08</v>
      </c>
      <c r="H14" s="44">
        <f t="shared" si="19"/>
        <v>15.049999999999999</v>
      </c>
      <c r="I14" s="44">
        <f t="shared" si="20"/>
        <v>8</v>
      </c>
      <c r="J14" s="45">
        <f>yaw_min</f>
        <v>-8</v>
      </c>
      <c r="K14" s="87" t="s">
        <v>982</v>
      </c>
      <c r="L14" s="44">
        <f t="shared" si="21"/>
        <v>0.2</v>
      </c>
      <c r="M14" s="44">
        <f t="shared" si="22"/>
        <v>150</v>
      </c>
      <c r="N14" s="44">
        <f t="shared" si="23"/>
        <v>750</v>
      </c>
      <c r="P14" s="38">
        <f t="shared" si="7"/>
        <v>3</v>
      </c>
      <c r="Q14" s="38">
        <f t="shared" si="8"/>
        <v>5</v>
      </c>
      <c r="R14" s="39">
        <f t="shared" si="9"/>
        <v>0.11808862170182366</v>
      </c>
      <c r="S14" s="39">
        <f t="shared" si="10"/>
        <v>0.29465331861967536</v>
      </c>
      <c r="T14" s="39">
        <f t="shared" si="11"/>
        <v>0.1765646969178517</v>
      </c>
      <c r="U14" s="89">
        <f t="shared" si="12"/>
        <v>1.1035293557365732E-2</v>
      </c>
    </row>
    <row r="15" spans="1:21" ht="15.75" thickBot="1" x14ac:dyDescent="0.3">
      <c r="A15" s="41">
        <f t="shared" si="13"/>
        <v>5</v>
      </c>
      <c r="B15" s="42">
        <f t="shared" si="14"/>
        <v>5</v>
      </c>
      <c r="C15" s="92" t="str">
        <f t="shared" si="6"/>
        <v>L11X04-352_000_05</v>
      </c>
      <c r="D15" s="43">
        <f t="shared" si="15"/>
        <v>4</v>
      </c>
      <c r="E15" s="61">
        <f t="shared" si="16"/>
        <v>1.204</v>
      </c>
      <c r="F15" s="44">
        <f t="shared" si="17"/>
        <v>30.099999999999998</v>
      </c>
      <c r="G15" s="44">
        <f t="shared" si="18"/>
        <v>24.08</v>
      </c>
      <c r="H15" s="44">
        <f t="shared" si="19"/>
        <v>15.049999999999999</v>
      </c>
      <c r="I15" s="44">
        <f t="shared" si="20"/>
        <v>8</v>
      </c>
      <c r="J15" s="45">
        <f>yaw_min</f>
        <v>-8</v>
      </c>
      <c r="K15" s="87" t="s">
        <v>983</v>
      </c>
      <c r="L15" s="44">
        <f t="shared" si="21"/>
        <v>0.2</v>
      </c>
      <c r="M15" s="44">
        <f t="shared" si="22"/>
        <v>150</v>
      </c>
      <c r="N15" s="44">
        <f t="shared" si="23"/>
        <v>750</v>
      </c>
      <c r="P15" s="38">
        <f t="shared" si="7"/>
        <v>3</v>
      </c>
      <c r="Q15" s="38">
        <f t="shared" si="8"/>
        <v>5</v>
      </c>
      <c r="R15" s="39">
        <f t="shared" si="9"/>
        <v>0.11808862170182366</v>
      </c>
      <c r="S15" s="39">
        <f t="shared" si="10"/>
        <v>0.29465331861967536</v>
      </c>
      <c r="T15" s="39">
        <f t="shared" si="11"/>
        <v>0.1765646969178517</v>
      </c>
      <c r="U15" s="89">
        <f t="shared" si="12"/>
        <v>1.1035293557365732E-2</v>
      </c>
    </row>
    <row r="16" spans="1:21" ht="15.75" thickBot="1" x14ac:dyDescent="0.3">
      <c r="A16" s="41">
        <f t="shared" si="13"/>
        <v>6</v>
      </c>
      <c r="B16" s="42">
        <f t="shared" si="14"/>
        <v>6</v>
      </c>
      <c r="C16" s="92" t="str">
        <f t="shared" si="6"/>
        <v>L11X04-000_000_06</v>
      </c>
      <c r="D16" s="43">
        <f t="shared" si="15"/>
        <v>4</v>
      </c>
      <c r="E16" s="61">
        <f t="shared" ref="E16:E22" si="24">I_ref*(0.75*D16+5.6)</f>
        <v>1.204</v>
      </c>
      <c r="F16" s="44">
        <f t="shared" ref="F16:F21" si="25">E16/D16*100</f>
        <v>30.099999999999998</v>
      </c>
      <c r="G16" s="44">
        <f t="shared" ref="G16:G22" si="26">m_ty*F16</f>
        <v>24.08</v>
      </c>
      <c r="H16" s="44">
        <f t="shared" ref="H16:H22" si="27">m_tz*F16</f>
        <v>15.049999999999999</v>
      </c>
      <c r="I16" s="44">
        <f t="shared" ref="I16:I21" si="28">I15</f>
        <v>8</v>
      </c>
      <c r="J16" s="45">
        <f>yaw_null</f>
        <v>0</v>
      </c>
      <c r="K16" s="87" t="s">
        <v>984</v>
      </c>
      <c r="L16" s="44">
        <f t="shared" ref="L16:L21" si="29">L15</f>
        <v>0.2</v>
      </c>
      <c r="M16" s="44">
        <f t="shared" ref="M16:M21" si="30">M15</f>
        <v>150</v>
      </c>
      <c r="N16" s="44">
        <f t="shared" ref="N16:N21" si="31">N15</f>
        <v>750</v>
      </c>
      <c r="P16" s="38">
        <f t="shared" si="7"/>
        <v>3</v>
      </c>
      <c r="Q16" s="38">
        <f t="shared" si="8"/>
        <v>5</v>
      </c>
      <c r="R16" s="39">
        <f t="shared" si="9"/>
        <v>0.11808862170182366</v>
      </c>
      <c r="S16" s="39">
        <f t="shared" si="10"/>
        <v>0.29465331861967536</v>
      </c>
      <c r="T16" s="39">
        <f t="shared" si="11"/>
        <v>0.1765646969178517</v>
      </c>
      <c r="U16" s="89">
        <f t="shared" si="12"/>
        <v>1.1035293557365732E-2</v>
      </c>
    </row>
    <row r="17" spans="1:28" ht="15.75" thickBot="1" x14ac:dyDescent="0.3">
      <c r="A17" s="41">
        <f t="shared" si="13"/>
        <v>7</v>
      </c>
      <c r="B17" s="42">
        <f t="shared" si="14"/>
        <v>7</v>
      </c>
      <c r="C17" s="92" t="str">
        <f t="shared" si="6"/>
        <v>L11X04-000_000_07</v>
      </c>
      <c r="D17" s="43">
        <f t="shared" si="15"/>
        <v>4</v>
      </c>
      <c r="E17" s="61">
        <f t="shared" si="24"/>
        <v>1.204</v>
      </c>
      <c r="F17" s="44">
        <f t="shared" si="25"/>
        <v>30.099999999999998</v>
      </c>
      <c r="G17" s="44">
        <f t="shared" si="26"/>
        <v>24.08</v>
      </c>
      <c r="H17" s="44">
        <f t="shared" si="27"/>
        <v>15.049999999999999</v>
      </c>
      <c r="I17" s="44">
        <f t="shared" si="28"/>
        <v>8</v>
      </c>
      <c r="J17" s="45">
        <f>yaw_null</f>
        <v>0</v>
      </c>
      <c r="K17" s="87" t="s">
        <v>985</v>
      </c>
      <c r="L17" s="44">
        <f t="shared" si="29"/>
        <v>0.2</v>
      </c>
      <c r="M17" s="44">
        <f t="shared" si="30"/>
        <v>150</v>
      </c>
      <c r="N17" s="44">
        <f t="shared" si="31"/>
        <v>750</v>
      </c>
      <c r="P17" s="38">
        <f t="shared" si="7"/>
        <v>3</v>
      </c>
      <c r="Q17" s="38">
        <f t="shared" si="8"/>
        <v>5</v>
      </c>
      <c r="R17" s="39">
        <f t="shared" si="9"/>
        <v>0.11808862170182366</v>
      </c>
      <c r="S17" s="39">
        <f t="shared" si="10"/>
        <v>0.29465331861967536</v>
      </c>
      <c r="T17" s="39">
        <f t="shared" si="11"/>
        <v>0.1765646969178517</v>
      </c>
      <c r="U17" s="89">
        <f t="shared" si="12"/>
        <v>1.1035293557365732E-2</v>
      </c>
    </row>
    <row r="18" spans="1:28" ht="15.75" thickBot="1" x14ac:dyDescent="0.3">
      <c r="A18" s="41">
        <f t="shared" si="13"/>
        <v>8</v>
      </c>
      <c r="B18" s="42">
        <f t="shared" si="14"/>
        <v>8</v>
      </c>
      <c r="C18" s="92" t="str">
        <f t="shared" si="6"/>
        <v>L11X04-000_000_08</v>
      </c>
      <c r="D18" s="43">
        <f t="shared" si="15"/>
        <v>4</v>
      </c>
      <c r="E18" s="61">
        <f t="shared" si="24"/>
        <v>1.204</v>
      </c>
      <c r="F18" s="44">
        <f t="shared" si="25"/>
        <v>30.099999999999998</v>
      </c>
      <c r="G18" s="44">
        <f t="shared" si="26"/>
        <v>24.08</v>
      </c>
      <c r="H18" s="44">
        <f t="shared" si="27"/>
        <v>15.049999999999999</v>
      </c>
      <c r="I18" s="44">
        <f t="shared" si="28"/>
        <v>8</v>
      </c>
      <c r="J18" s="45">
        <f>yaw_null</f>
        <v>0</v>
      </c>
      <c r="K18" s="87" t="s">
        <v>986</v>
      </c>
      <c r="L18" s="44">
        <f t="shared" si="29"/>
        <v>0.2</v>
      </c>
      <c r="M18" s="44">
        <f t="shared" si="30"/>
        <v>150</v>
      </c>
      <c r="N18" s="44">
        <f t="shared" si="31"/>
        <v>750</v>
      </c>
      <c r="P18" s="38">
        <f t="shared" si="7"/>
        <v>3</v>
      </c>
      <c r="Q18" s="38">
        <f t="shared" si="8"/>
        <v>5</v>
      </c>
      <c r="R18" s="39">
        <f t="shared" si="9"/>
        <v>0.11808862170182366</v>
      </c>
      <c r="S18" s="39">
        <f t="shared" si="10"/>
        <v>0.29465331861967536</v>
      </c>
      <c r="T18" s="39">
        <f t="shared" si="11"/>
        <v>0.1765646969178517</v>
      </c>
      <c r="U18" s="89">
        <f t="shared" si="12"/>
        <v>1.1035293557365732E-2</v>
      </c>
    </row>
    <row r="19" spans="1:28" ht="15.75" thickBot="1" x14ac:dyDescent="0.3">
      <c r="A19" s="41">
        <f t="shared" si="13"/>
        <v>9</v>
      </c>
      <c r="B19" s="42">
        <f t="shared" si="14"/>
        <v>9</v>
      </c>
      <c r="C19" s="92" t="str">
        <f t="shared" si="6"/>
        <v>L11X04-000_000_09</v>
      </c>
      <c r="D19" s="43">
        <f t="shared" si="15"/>
        <v>4</v>
      </c>
      <c r="E19" s="61">
        <f t="shared" si="24"/>
        <v>1.204</v>
      </c>
      <c r="F19" s="44">
        <f t="shared" si="25"/>
        <v>30.099999999999998</v>
      </c>
      <c r="G19" s="44">
        <f t="shared" si="26"/>
        <v>24.08</v>
      </c>
      <c r="H19" s="44">
        <f t="shared" si="27"/>
        <v>15.049999999999999</v>
      </c>
      <c r="I19" s="44">
        <f t="shared" si="28"/>
        <v>8</v>
      </c>
      <c r="J19" s="45">
        <f>yaw_null</f>
        <v>0</v>
      </c>
      <c r="K19" s="87" t="s">
        <v>987</v>
      </c>
      <c r="L19" s="44">
        <f t="shared" si="29"/>
        <v>0.2</v>
      </c>
      <c r="M19" s="44">
        <f t="shared" si="30"/>
        <v>150</v>
      </c>
      <c r="N19" s="44">
        <f t="shared" si="31"/>
        <v>750</v>
      </c>
      <c r="P19" s="38">
        <f t="shared" si="7"/>
        <v>3</v>
      </c>
      <c r="Q19" s="38">
        <f t="shared" si="8"/>
        <v>5</v>
      </c>
      <c r="R19" s="39">
        <f t="shared" si="9"/>
        <v>0.11808862170182366</v>
      </c>
      <c r="S19" s="39">
        <f t="shared" si="10"/>
        <v>0.29465331861967536</v>
      </c>
      <c r="T19" s="39">
        <f t="shared" si="11"/>
        <v>0.1765646969178517</v>
      </c>
      <c r="U19" s="89">
        <f t="shared" si="12"/>
        <v>1.1035293557365732E-2</v>
      </c>
    </row>
    <row r="20" spans="1:28" ht="15.75" thickBot="1" x14ac:dyDescent="0.3">
      <c r="A20" s="41">
        <f t="shared" si="13"/>
        <v>10</v>
      </c>
      <c r="B20" s="42">
        <f t="shared" si="14"/>
        <v>10</v>
      </c>
      <c r="C20" s="92" t="str">
        <f t="shared" si="6"/>
        <v>L11X04-000_000_10</v>
      </c>
      <c r="D20" s="43">
        <f t="shared" si="15"/>
        <v>4</v>
      </c>
      <c r="E20" s="61">
        <f t="shared" si="24"/>
        <v>1.204</v>
      </c>
      <c r="F20" s="44">
        <f t="shared" si="25"/>
        <v>30.099999999999998</v>
      </c>
      <c r="G20" s="44">
        <f t="shared" si="26"/>
        <v>24.08</v>
      </c>
      <c r="H20" s="44">
        <f t="shared" si="27"/>
        <v>15.049999999999999</v>
      </c>
      <c r="I20" s="44">
        <f t="shared" si="28"/>
        <v>8</v>
      </c>
      <c r="J20" s="45">
        <f>yaw_null</f>
        <v>0</v>
      </c>
      <c r="K20" s="87" t="s">
        <v>988</v>
      </c>
      <c r="L20" s="44">
        <f t="shared" si="29"/>
        <v>0.2</v>
      </c>
      <c r="M20" s="44">
        <f t="shared" si="30"/>
        <v>150</v>
      </c>
      <c r="N20" s="44">
        <f t="shared" si="31"/>
        <v>750</v>
      </c>
      <c r="P20" s="38">
        <f t="shared" si="7"/>
        <v>3</v>
      </c>
      <c r="Q20" s="38">
        <f t="shared" si="8"/>
        <v>5</v>
      </c>
      <c r="R20" s="39">
        <f t="shared" si="9"/>
        <v>0.11808862170182366</v>
      </c>
      <c r="S20" s="39">
        <f t="shared" si="10"/>
        <v>0.29465331861967536</v>
      </c>
      <c r="T20" s="39">
        <f t="shared" si="11"/>
        <v>0.1765646969178517</v>
      </c>
      <c r="U20" s="89">
        <f t="shared" si="12"/>
        <v>1.1035293557365732E-2</v>
      </c>
    </row>
    <row r="21" spans="1:28" ht="15.75" thickBot="1" x14ac:dyDescent="0.3">
      <c r="A21" s="41">
        <f t="shared" si="13"/>
        <v>11</v>
      </c>
      <c r="B21" s="42">
        <f t="shared" si="14"/>
        <v>11</v>
      </c>
      <c r="C21" s="92" t="str">
        <f t="shared" si="6"/>
        <v>L11X04-008_000_11</v>
      </c>
      <c r="D21" s="43">
        <f t="shared" si="15"/>
        <v>4</v>
      </c>
      <c r="E21" s="61">
        <f t="shared" si="24"/>
        <v>1.204</v>
      </c>
      <c r="F21" s="44">
        <f t="shared" si="25"/>
        <v>30.099999999999998</v>
      </c>
      <c r="G21" s="44">
        <f t="shared" si="26"/>
        <v>24.08</v>
      </c>
      <c r="H21" s="44">
        <f t="shared" si="27"/>
        <v>15.049999999999999</v>
      </c>
      <c r="I21" s="44">
        <f t="shared" si="28"/>
        <v>8</v>
      </c>
      <c r="J21" s="45">
        <f>yaw_max</f>
        <v>8</v>
      </c>
      <c r="K21" s="87" t="s">
        <v>989</v>
      </c>
      <c r="L21" s="44">
        <f t="shared" si="29"/>
        <v>0.2</v>
      </c>
      <c r="M21" s="44">
        <f t="shared" si="30"/>
        <v>150</v>
      </c>
      <c r="N21" s="44">
        <f t="shared" si="31"/>
        <v>750</v>
      </c>
      <c r="P21" s="38">
        <f t="shared" si="7"/>
        <v>3</v>
      </c>
      <c r="Q21" s="38">
        <f t="shared" si="8"/>
        <v>5</v>
      </c>
      <c r="R21" s="39">
        <f t="shared" si="9"/>
        <v>0.11808862170182366</v>
      </c>
      <c r="S21" s="39">
        <f t="shared" si="10"/>
        <v>0.29465331861967536</v>
      </c>
      <c r="T21" s="39">
        <f t="shared" si="11"/>
        <v>0.1765646969178517</v>
      </c>
      <c r="U21" s="89">
        <f t="shared" si="12"/>
        <v>1.1035293557365732E-2</v>
      </c>
    </row>
    <row r="22" spans="1:28" ht="15.75" thickBot="1" x14ac:dyDescent="0.3">
      <c r="A22" s="41">
        <f t="shared" si="13"/>
        <v>12</v>
      </c>
      <c r="B22" s="42">
        <f t="shared" si="14"/>
        <v>12</v>
      </c>
      <c r="C22" s="92" t="str">
        <f t="shared" si="6"/>
        <v>L11X04-008_000_12</v>
      </c>
      <c r="D22" s="43">
        <f t="shared" si="15"/>
        <v>4</v>
      </c>
      <c r="E22" s="61">
        <f t="shared" si="24"/>
        <v>1.204</v>
      </c>
      <c r="F22" s="44">
        <f>E22/D22*100</f>
        <v>30.099999999999998</v>
      </c>
      <c r="G22" s="44">
        <f t="shared" si="26"/>
        <v>24.08</v>
      </c>
      <c r="H22" s="44">
        <f t="shared" si="27"/>
        <v>15.049999999999999</v>
      </c>
      <c r="I22" s="44">
        <f>I21</f>
        <v>8</v>
      </c>
      <c r="J22" s="45">
        <f>yaw_max</f>
        <v>8</v>
      </c>
      <c r="K22" s="87" t="s">
        <v>990</v>
      </c>
      <c r="L22" s="44">
        <f>L21</f>
        <v>0.2</v>
      </c>
      <c r="M22" s="44">
        <f>M21</f>
        <v>150</v>
      </c>
      <c r="N22" s="44">
        <f>N21</f>
        <v>750</v>
      </c>
      <c r="P22" s="38">
        <f t="shared" si="7"/>
        <v>3</v>
      </c>
      <c r="Q22" s="38">
        <f t="shared" si="8"/>
        <v>5</v>
      </c>
      <c r="R22" s="39">
        <f t="shared" si="9"/>
        <v>0.11808862170182366</v>
      </c>
      <c r="S22" s="39">
        <f t="shared" si="10"/>
        <v>0.29465331861967536</v>
      </c>
      <c r="T22" s="39">
        <f t="shared" si="11"/>
        <v>0.1765646969178517</v>
      </c>
      <c r="U22" s="89">
        <f t="shared" si="12"/>
        <v>1.1035293557365732E-2</v>
      </c>
    </row>
    <row r="23" spans="1:28" ht="15.75" thickBot="1" x14ac:dyDescent="0.3">
      <c r="A23" s="41">
        <f t="shared" ref="A23:B46" si="32">A22+1</f>
        <v>13</v>
      </c>
      <c r="B23" s="42">
        <f t="shared" si="14"/>
        <v>13</v>
      </c>
      <c r="C23" s="92" t="str">
        <f t="shared" si="6"/>
        <v>L11X04-008_000_13</v>
      </c>
      <c r="D23" s="43">
        <f t="shared" si="15"/>
        <v>4</v>
      </c>
      <c r="E23" s="61">
        <f t="shared" si="0"/>
        <v>1.204</v>
      </c>
      <c r="F23" s="44">
        <f t="shared" ref="F23:F45" si="33">E23/D23*100</f>
        <v>30.099999999999998</v>
      </c>
      <c r="G23" s="44">
        <f t="shared" si="1"/>
        <v>24.08</v>
      </c>
      <c r="H23" s="44">
        <f t="shared" si="2"/>
        <v>15.049999999999999</v>
      </c>
      <c r="I23" s="44">
        <f t="shared" ref="I23:I94" si="34">I22</f>
        <v>8</v>
      </c>
      <c r="J23" s="45">
        <f>yaw_max</f>
        <v>8</v>
      </c>
      <c r="K23" s="87" t="s">
        <v>991</v>
      </c>
      <c r="L23" s="44">
        <f t="shared" ref="L23:N46" si="35">L22</f>
        <v>0.2</v>
      </c>
      <c r="M23" s="44">
        <f t="shared" si="35"/>
        <v>150</v>
      </c>
      <c r="N23" s="44">
        <f t="shared" si="35"/>
        <v>750</v>
      </c>
      <c r="P23" s="38">
        <f t="shared" si="7"/>
        <v>3</v>
      </c>
      <c r="Q23" s="38">
        <f t="shared" si="8"/>
        <v>5</v>
      </c>
      <c r="R23" s="39">
        <f t="shared" si="9"/>
        <v>0.11808862170182366</v>
      </c>
      <c r="S23" s="39">
        <f t="shared" si="10"/>
        <v>0.29465331861967536</v>
      </c>
      <c r="T23" s="39">
        <f t="shared" si="11"/>
        <v>0.1765646969178517</v>
      </c>
      <c r="U23" s="89">
        <f t="shared" si="12"/>
        <v>1.1035293557365732E-2</v>
      </c>
    </row>
    <row r="24" spans="1:28" ht="15.75" thickBot="1" x14ac:dyDescent="0.3">
      <c r="A24" s="41">
        <f t="shared" si="32"/>
        <v>14</v>
      </c>
      <c r="B24" s="42">
        <f t="shared" si="32"/>
        <v>14</v>
      </c>
      <c r="C24" s="92" t="str">
        <f t="shared" si="6"/>
        <v>L11X04-008_000_14</v>
      </c>
      <c r="D24" s="43">
        <f t="shared" ref="D24:D25" si="36">D23</f>
        <v>4</v>
      </c>
      <c r="E24" s="61">
        <f t="shared" si="0"/>
        <v>1.204</v>
      </c>
      <c r="F24" s="44">
        <f t="shared" si="33"/>
        <v>30.099999999999998</v>
      </c>
      <c r="G24" s="44">
        <f t="shared" si="1"/>
        <v>24.08</v>
      </c>
      <c r="H24" s="44">
        <f t="shared" si="2"/>
        <v>15.049999999999999</v>
      </c>
      <c r="I24" s="44">
        <f t="shared" si="34"/>
        <v>8</v>
      </c>
      <c r="J24" s="45">
        <f>yaw_max</f>
        <v>8</v>
      </c>
      <c r="K24" s="87" t="s">
        <v>992</v>
      </c>
      <c r="L24" s="44">
        <f t="shared" si="35"/>
        <v>0.2</v>
      </c>
      <c r="M24" s="44">
        <f t="shared" si="35"/>
        <v>150</v>
      </c>
      <c r="N24" s="44">
        <f t="shared" si="35"/>
        <v>750</v>
      </c>
      <c r="P24" s="38">
        <f t="shared" si="7"/>
        <v>3</v>
      </c>
      <c r="Q24" s="38">
        <f t="shared" si="8"/>
        <v>5</v>
      </c>
      <c r="R24" s="39">
        <f t="shared" si="9"/>
        <v>0.11808862170182366</v>
      </c>
      <c r="S24" s="39">
        <f t="shared" si="10"/>
        <v>0.29465331861967536</v>
      </c>
      <c r="T24" s="39">
        <f t="shared" si="11"/>
        <v>0.1765646969178517</v>
      </c>
      <c r="U24" s="89">
        <f t="shared" si="12"/>
        <v>1.1035293557365732E-2</v>
      </c>
      <c r="W24" s="94"/>
      <c r="X24" s="94"/>
      <c r="Y24" s="94"/>
      <c r="Z24" s="94"/>
      <c r="AA24" s="94"/>
      <c r="AB24" s="94"/>
    </row>
    <row r="25" spans="1:28" ht="15.75" thickBot="1" x14ac:dyDescent="0.3">
      <c r="A25" s="41">
        <f t="shared" si="32"/>
        <v>15</v>
      </c>
      <c r="B25" s="42">
        <f t="shared" si="32"/>
        <v>15</v>
      </c>
      <c r="C25" s="92" t="str">
        <f t="shared" si="6"/>
        <v>L11X04-008_000_15</v>
      </c>
      <c r="D25" s="43">
        <f t="shared" si="36"/>
        <v>4</v>
      </c>
      <c r="E25" s="61">
        <f t="shared" si="0"/>
        <v>1.204</v>
      </c>
      <c r="F25" s="44">
        <f t="shared" si="33"/>
        <v>30.099999999999998</v>
      </c>
      <c r="G25" s="44">
        <f t="shared" si="1"/>
        <v>24.08</v>
      </c>
      <c r="H25" s="44">
        <f t="shared" si="2"/>
        <v>15.049999999999999</v>
      </c>
      <c r="I25" s="44">
        <f t="shared" si="34"/>
        <v>8</v>
      </c>
      <c r="J25" s="45">
        <f>yaw_max</f>
        <v>8</v>
      </c>
      <c r="K25" s="87" t="s">
        <v>993</v>
      </c>
      <c r="L25" s="44">
        <f t="shared" si="35"/>
        <v>0.2</v>
      </c>
      <c r="M25" s="44">
        <f t="shared" si="35"/>
        <v>150</v>
      </c>
      <c r="N25" s="44">
        <f t="shared" si="35"/>
        <v>750</v>
      </c>
      <c r="P25" s="38">
        <f t="shared" si="7"/>
        <v>3</v>
      </c>
      <c r="Q25" s="38">
        <f t="shared" si="8"/>
        <v>5</v>
      </c>
      <c r="R25" s="39">
        <f t="shared" si="9"/>
        <v>0.11808862170182366</v>
      </c>
      <c r="S25" s="39">
        <f t="shared" si="10"/>
        <v>0.29465331861967536</v>
      </c>
      <c r="T25" s="39">
        <f t="shared" si="11"/>
        <v>0.1765646969178517</v>
      </c>
      <c r="U25" s="89">
        <f t="shared" si="12"/>
        <v>1.1035293557365732E-2</v>
      </c>
      <c r="W25" s="94"/>
      <c r="X25" s="94"/>
      <c r="Y25" s="94"/>
      <c r="Z25" s="94"/>
      <c r="AA25" s="94"/>
      <c r="AB25" s="94"/>
    </row>
    <row r="26" spans="1:28" ht="15.75" thickBot="1" x14ac:dyDescent="0.3">
      <c r="A26" s="41">
        <f t="shared" si="32"/>
        <v>16</v>
      </c>
      <c r="B26" s="42">
        <f t="shared" si="32"/>
        <v>16</v>
      </c>
      <c r="C26" s="92" t="str">
        <f t="shared" si="6"/>
        <v>L11X06-352_000_01</v>
      </c>
      <c r="D26" s="43">
        <f>D11+v_step</f>
        <v>6</v>
      </c>
      <c r="E26" s="61">
        <f t="shared" si="0"/>
        <v>1.4140000000000001</v>
      </c>
      <c r="F26" s="44">
        <f t="shared" si="33"/>
        <v>23.56666666666667</v>
      </c>
      <c r="G26" s="44">
        <f t="shared" si="1"/>
        <v>18.853333333333335</v>
      </c>
      <c r="H26" s="44">
        <f t="shared" si="2"/>
        <v>11.783333333333335</v>
      </c>
      <c r="I26" s="44">
        <f t="shared" si="34"/>
        <v>8</v>
      </c>
      <c r="J26" s="45">
        <f>yaw_min</f>
        <v>-8</v>
      </c>
      <c r="K26" s="87" t="str">
        <f>D26&amp;-1</f>
        <v>6-1</v>
      </c>
      <c r="L26" s="44">
        <f t="shared" si="35"/>
        <v>0.2</v>
      </c>
      <c r="M26" s="44">
        <f t="shared" si="35"/>
        <v>150</v>
      </c>
      <c r="N26" s="44">
        <f t="shared" si="35"/>
        <v>750</v>
      </c>
      <c r="P26" s="38">
        <f t="shared" si="7"/>
        <v>5</v>
      </c>
      <c r="Q26" s="38">
        <f t="shared" si="8"/>
        <v>7</v>
      </c>
      <c r="R26" s="39">
        <f t="shared" si="9"/>
        <v>0.29465331861967536</v>
      </c>
      <c r="S26" s="39">
        <f t="shared" si="10"/>
        <v>0.49549073103567542</v>
      </c>
      <c r="T26" s="39">
        <f t="shared" si="11"/>
        <v>0.20083741241600006</v>
      </c>
      <c r="U26" s="89">
        <f t="shared" si="12"/>
        <v>1.2552338276000004E-2</v>
      </c>
      <c r="W26" s="94"/>
      <c r="X26" s="94"/>
      <c r="Y26" s="94"/>
      <c r="Z26" s="94"/>
      <c r="AA26" s="94"/>
      <c r="AB26" s="94"/>
    </row>
    <row r="27" spans="1:28" ht="15.75" thickBot="1" x14ac:dyDescent="0.3">
      <c r="A27" s="41">
        <f t="shared" si="32"/>
        <v>17</v>
      </c>
      <c r="B27" s="42">
        <f t="shared" si="32"/>
        <v>17</v>
      </c>
      <c r="C27" s="92" t="str">
        <f t="shared" si="6"/>
        <v>L11X06-352_000_02</v>
      </c>
      <c r="D27" s="43">
        <f>D26</f>
        <v>6</v>
      </c>
      <c r="E27" s="61">
        <f t="shared" si="0"/>
        <v>1.4140000000000001</v>
      </c>
      <c r="F27" s="44">
        <f t="shared" si="33"/>
        <v>23.56666666666667</v>
      </c>
      <c r="G27" s="44">
        <f t="shared" si="1"/>
        <v>18.853333333333335</v>
      </c>
      <c r="H27" s="44">
        <f t="shared" si="2"/>
        <v>11.783333333333335</v>
      </c>
      <c r="I27" s="44">
        <f t="shared" si="34"/>
        <v>8</v>
      </c>
      <c r="J27" s="45">
        <f>yaw_min</f>
        <v>-8</v>
      </c>
      <c r="K27" s="87" t="s">
        <v>994</v>
      </c>
      <c r="L27" s="44">
        <f t="shared" si="35"/>
        <v>0.2</v>
      </c>
      <c r="M27" s="44">
        <f t="shared" si="35"/>
        <v>150</v>
      </c>
      <c r="N27" s="44">
        <f t="shared" si="35"/>
        <v>750</v>
      </c>
      <c r="P27" s="38">
        <f t="shared" si="7"/>
        <v>5</v>
      </c>
      <c r="Q27" s="38">
        <f t="shared" si="8"/>
        <v>7</v>
      </c>
      <c r="R27" s="39">
        <f t="shared" si="9"/>
        <v>0.29465331861967536</v>
      </c>
      <c r="S27" s="39">
        <f t="shared" si="10"/>
        <v>0.49549073103567542</v>
      </c>
      <c r="T27" s="39">
        <f>S27-R27</f>
        <v>0.20083741241600006</v>
      </c>
      <c r="U27" s="89">
        <f>T27/16</f>
        <v>1.2552338276000004E-2</v>
      </c>
      <c r="W27" s="94"/>
      <c r="X27" s="94"/>
      <c r="Y27" s="94"/>
      <c r="Z27" s="94"/>
      <c r="AA27" s="94"/>
      <c r="AB27" s="94"/>
    </row>
    <row r="28" spans="1:28" ht="15.75" thickBot="1" x14ac:dyDescent="0.3">
      <c r="A28" s="41">
        <f t="shared" ref="A28:B28" si="37">A27+1</f>
        <v>18</v>
      </c>
      <c r="B28" s="42">
        <f t="shared" si="37"/>
        <v>18</v>
      </c>
      <c r="C28" s="92" t="str">
        <f t="shared" si="6"/>
        <v>L11X06-352_000_03</v>
      </c>
      <c r="D28" s="43">
        <f t="shared" ref="D28:D40" si="38">D27</f>
        <v>6</v>
      </c>
      <c r="E28" s="61">
        <f t="shared" ref="E28:E40" si="39">I_ref*(0.75*D28+5.6)</f>
        <v>1.4140000000000001</v>
      </c>
      <c r="F28" s="44">
        <f t="shared" ref="F28:F40" si="40">E28/D28*100</f>
        <v>23.56666666666667</v>
      </c>
      <c r="G28" s="44">
        <f t="shared" ref="G28:G40" si="41">m_ty*F28</f>
        <v>18.853333333333335</v>
      </c>
      <c r="H28" s="44">
        <f t="shared" ref="H28:H40" si="42">m_tz*F28</f>
        <v>11.783333333333335</v>
      </c>
      <c r="I28" s="44">
        <f t="shared" si="34"/>
        <v>8</v>
      </c>
      <c r="J28" s="45">
        <f>yaw_min</f>
        <v>-8</v>
      </c>
      <c r="K28" s="87" t="s">
        <v>995</v>
      </c>
      <c r="L28" s="44">
        <f t="shared" ref="L28:N28" si="43">L27</f>
        <v>0.2</v>
      </c>
      <c r="M28" s="44">
        <f t="shared" si="43"/>
        <v>150</v>
      </c>
      <c r="N28" s="44">
        <f t="shared" si="43"/>
        <v>750</v>
      </c>
      <c r="P28" s="38">
        <f t="shared" ref="P28:P41" si="44">D28-v_step/2</f>
        <v>5</v>
      </c>
      <c r="Q28" s="38">
        <f t="shared" ref="Q28:Q41" si="45">P28+v_step</f>
        <v>7</v>
      </c>
      <c r="R28" s="39">
        <f t="shared" ref="R28:R41" si="46">IF(wpd="Rayleigh",1-EXP(-PI()*((P28/2/v_ave)^2)),IF(wpd="Weibull",1-EXP(-((P28/weibull_A)^weibull_K))))</f>
        <v>0.29465331861967536</v>
      </c>
      <c r="S28" s="39">
        <f t="shared" ref="S28:S41" si="47">IF(wpd="Rayleigh",1-EXP(-PI()*((Q28/2/v_ave)^2)),IF(wpd="Weibull",1-EXP(-((Q28/weibull_A)^weibull_K))))</f>
        <v>0.49549073103567542</v>
      </c>
      <c r="T28" s="39">
        <f t="shared" ref="T28:T41" si="48">S28-R28</f>
        <v>0.20083741241600006</v>
      </c>
      <c r="U28" s="89">
        <f t="shared" si="12"/>
        <v>1.2552338276000004E-2</v>
      </c>
      <c r="W28" s="94"/>
      <c r="X28" s="94"/>
      <c r="Y28" s="94"/>
      <c r="Z28" s="94"/>
      <c r="AA28" s="94"/>
      <c r="AB28" s="94"/>
    </row>
    <row r="29" spans="1:28" ht="15.75" thickBot="1" x14ac:dyDescent="0.3">
      <c r="A29" s="41">
        <f t="shared" ref="A29:B29" si="49">A28+1</f>
        <v>19</v>
      </c>
      <c r="B29" s="42">
        <f t="shared" si="49"/>
        <v>19</v>
      </c>
      <c r="C29" s="92" t="str">
        <f t="shared" si="6"/>
        <v>L11X06-352_000_04</v>
      </c>
      <c r="D29" s="43">
        <f t="shared" si="38"/>
        <v>6</v>
      </c>
      <c r="E29" s="61">
        <f t="shared" si="39"/>
        <v>1.4140000000000001</v>
      </c>
      <c r="F29" s="44">
        <f t="shared" si="40"/>
        <v>23.56666666666667</v>
      </c>
      <c r="G29" s="44">
        <f t="shared" si="41"/>
        <v>18.853333333333335</v>
      </c>
      <c r="H29" s="44">
        <f t="shared" si="42"/>
        <v>11.783333333333335</v>
      </c>
      <c r="I29" s="44">
        <f t="shared" si="34"/>
        <v>8</v>
      </c>
      <c r="J29" s="45">
        <f>yaw_min</f>
        <v>-8</v>
      </c>
      <c r="K29" s="87" t="s">
        <v>996</v>
      </c>
      <c r="L29" s="44">
        <f t="shared" ref="L29:N29" si="50">L28</f>
        <v>0.2</v>
      </c>
      <c r="M29" s="44">
        <f t="shared" si="50"/>
        <v>150</v>
      </c>
      <c r="N29" s="44">
        <f t="shared" si="50"/>
        <v>750</v>
      </c>
      <c r="P29" s="38">
        <f t="shared" si="44"/>
        <v>5</v>
      </c>
      <c r="Q29" s="38">
        <f t="shared" si="45"/>
        <v>7</v>
      </c>
      <c r="R29" s="39">
        <f t="shared" si="46"/>
        <v>0.29465331861967536</v>
      </c>
      <c r="S29" s="39">
        <f t="shared" si="47"/>
        <v>0.49549073103567542</v>
      </c>
      <c r="T29" s="39">
        <f t="shared" si="48"/>
        <v>0.20083741241600006</v>
      </c>
      <c r="U29" s="89">
        <f t="shared" si="12"/>
        <v>1.2552338276000004E-2</v>
      </c>
      <c r="W29" s="94"/>
      <c r="X29" s="94"/>
      <c r="Y29" s="94"/>
      <c r="Z29" s="94"/>
      <c r="AA29" s="94"/>
      <c r="AB29" s="94"/>
    </row>
    <row r="30" spans="1:28" ht="15.75" thickBot="1" x14ac:dyDescent="0.3">
      <c r="A30" s="41">
        <f t="shared" ref="A30:B30" si="51">A29+1</f>
        <v>20</v>
      </c>
      <c r="B30" s="42">
        <f t="shared" si="51"/>
        <v>20</v>
      </c>
      <c r="C30" s="92" t="str">
        <f t="shared" si="6"/>
        <v>L11X06-352_000_05</v>
      </c>
      <c r="D30" s="43">
        <f t="shared" si="38"/>
        <v>6</v>
      </c>
      <c r="E30" s="61">
        <f t="shared" si="39"/>
        <v>1.4140000000000001</v>
      </c>
      <c r="F30" s="44">
        <f t="shared" si="40"/>
        <v>23.56666666666667</v>
      </c>
      <c r="G30" s="44">
        <f t="shared" si="41"/>
        <v>18.853333333333335</v>
      </c>
      <c r="H30" s="44">
        <f t="shared" si="42"/>
        <v>11.783333333333335</v>
      </c>
      <c r="I30" s="44">
        <f t="shared" si="34"/>
        <v>8</v>
      </c>
      <c r="J30" s="45">
        <f>yaw_min</f>
        <v>-8</v>
      </c>
      <c r="K30" s="87" t="s">
        <v>997</v>
      </c>
      <c r="L30" s="44">
        <f t="shared" ref="L30:N30" si="52">L29</f>
        <v>0.2</v>
      </c>
      <c r="M30" s="44">
        <f t="shared" si="52"/>
        <v>150</v>
      </c>
      <c r="N30" s="44">
        <f t="shared" si="52"/>
        <v>750</v>
      </c>
      <c r="P30" s="38">
        <f t="shared" si="44"/>
        <v>5</v>
      </c>
      <c r="Q30" s="38">
        <f t="shared" si="45"/>
        <v>7</v>
      </c>
      <c r="R30" s="39">
        <f t="shared" si="46"/>
        <v>0.29465331861967536</v>
      </c>
      <c r="S30" s="39">
        <f t="shared" si="47"/>
        <v>0.49549073103567542</v>
      </c>
      <c r="T30" s="39">
        <f t="shared" si="48"/>
        <v>0.20083741241600006</v>
      </c>
      <c r="U30" s="89">
        <f t="shared" si="12"/>
        <v>1.2552338276000004E-2</v>
      </c>
      <c r="W30" s="94"/>
      <c r="X30" s="94"/>
      <c r="Y30" s="94"/>
      <c r="Z30" s="94"/>
      <c r="AA30" s="94"/>
      <c r="AB30" s="94"/>
    </row>
    <row r="31" spans="1:28" ht="15.75" thickBot="1" x14ac:dyDescent="0.3">
      <c r="A31" s="41">
        <f t="shared" ref="A31:B31" si="53">A30+1</f>
        <v>21</v>
      </c>
      <c r="B31" s="42">
        <f t="shared" si="53"/>
        <v>21</v>
      </c>
      <c r="C31" s="92" t="str">
        <f t="shared" si="6"/>
        <v>L11X06-000_000_06</v>
      </c>
      <c r="D31" s="43">
        <f t="shared" si="38"/>
        <v>6</v>
      </c>
      <c r="E31" s="61">
        <f t="shared" si="39"/>
        <v>1.4140000000000001</v>
      </c>
      <c r="F31" s="44">
        <f t="shared" si="40"/>
        <v>23.56666666666667</v>
      </c>
      <c r="G31" s="44">
        <f t="shared" si="41"/>
        <v>18.853333333333335</v>
      </c>
      <c r="H31" s="44">
        <f t="shared" si="42"/>
        <v>11.783333333333335</v>
      </c>
      <c r="I31" s="44">
        <f t="shared" si="34"/>
        <v>8</v>
      </c>
      <c r="J31" s="45">
        <f>yaw_null</f>
        <v>0</v>
      </c>
      <c r="K31" s="87" t="s">
        <v>998</v>
      </c>
      <c r="L31" s="44">
        <f t="shared" ref="L31:N31" si="54">L30</f>
        <v>0.2</v>
      </c>
      <c r="M31" s="44">
        <f t="shared" si="54"/>
        <v>150</v>
      </c>
      <c r="N31" s="44">
        <f t="shared" si="54"/>
        <v>750</v>
      </c>
      <c r="P31" s="38">
        <f t="shared" si="44"/>
        <v>5</v>
      </c>
      <c r="Q31" s="38">
        <f t="shared" si="45"/>
        <v>7</v>
      </c>
      <c r="R31" s="39">
        <f t="shared" si="46"/>
        <v>0.29465331861967536</v>
      </c>
      <c r="S31" s="39">
        <f t="shared" si="47"/>
        <v>0.49549073103567542</v>
      </c>
      <c r="T31" s="39">
        <f t="shared" si="48"/>
        <v>0.20083741241600006</v>
      </c>
      <c r="U31" s="89">
        <f t="shared" si="12"/>
        <v>1.2552338276000004E-2</v>
      </c>
      <c r="W31" s="94"/>
      <c r="X31" s="94"/>
      <c r="Y31" s="94"/>
      <c r="Z31" s="94"/>
      <c r="AA31" s="94"/>
      <c r="AB31" s="94"/>
    </row>
    <row r="32" spans="1:28" ht="15.75" thickBot="1" x14ac:dyDescent="0.3">
      <c r="A32" s="41">
        <f t="shared" ref="A32:B32" si="55">A31+1</f>
        <v>22</v>
      </c>
      <c r="B32" s="42">
        <f t="shared" si="55"/>
        <v>22</v>
      </c>
      <c r="C32" s="92" t="str">
        <f t="shared" si="6"/>
        <v>L11X06-000_000_07</v>
      </c>
      <c r="D32" s="43">
        <f t="shared" si="38"/>
        <v>6</v>
      </c>
      <c r="E32" s="61">
        <f t="shared" si="39"/>
        <v>1.4140000000000001</v>
      </c>
      <c r="F32" s="44">
        <f t="shared" si="40"/>
        <v>23.56666666666667</v>
      </c>
      <c r="G32" s="44">
        <f t="shared" si="41"/>
        <v>18.853333333333335</v>
      </c>
      <c r="H32" s="44">
        <f t="shared" si="42"/>
        <v>11.783333333333335</v>
      </c>
      <c r="I32" s="44">
        <f t="shared" si="34"/>
        <v>8</v>
      </c>
      <c r="J32" s="45">
        <f>yaw_null</f>
        <v>0</v>
      </c>
      <c r="K32" s="87" t="s">
        <v>999</v>
      </c>
      <c r="L32" s="44">
        <f t="shared" ref="L32:N32" si="56">L31</f>
        <v>0.2</v>
      </c>
      <c r="M32" s="44">
        <f t="shared" si="56"/>
        <v>150</v>
      </c>
      <c r="N32" s="44">
        <f t="shared" si="56"/>
        <v>750</v>
      </c>
      <c r="P32" s="38">
        <f t="shared" si="44"/>
        <v>5</v>
      </c>
      <c r="Q32" s="38">
        <f t="shared" si="45"/>
        <v>7</v>
      </c>
      <c r="R32" s="39">
        <f t="shared" si="46"/>
        <v>0.29465331861967536</v>
      </c>
      <c r="S32" s="39">
        <f t="shared" si="47"/>
        <v>0.49549073103567542</v>
      </c>
      <c r="T32" s="39">
        <f t="shared" si="48"/>
        <v>0.20083741241600006</v>
      </c>
      <c r="U32" s="89">
        <f t="shared" si="12"/>
        <v>1.2552338276000004E-2</v>
      </c>
      <c r="W32" s="94"/>
      <c r="X32" s="94"/>
      <c r="Y32" s="94"/>
      <c r="Z32" s="94"/>
      <c r="AA32" s="94"/>
      <c r="AB32" s="94"/>
    </row>
    <row r="33" spans="1:28" ht="15.75" thickBot="1" x14ac:dyDescent="0.3">
      <c r="A33" s="41">
        <f t="shared" ref="A33:B33" si="57">A32+1</f>
        <v>23</v>
      </c>
      <c r="B33" s="42">
        <f t="shared" si="57"/>
        <v>23</v>
      </c>
      <c r="C33" s="92" t="str">
        <f t="shared" si="6"/>
        <v>L11X06-000_000_08</v>
      </c>
      <c r="D33" s="43">
        <f t="shared" si="38"/>
        <v>6</v>
      </c>
      <c r="E33" s="61">
        <f t="shared" si="39"/>
        <v>1.4140000000000001</v>
      </c>
      <c r="F33" s="44">
        <f t="shared" si="40"/>
        <v>23.56666666666667</v>
      </c>
      <c r="G33" s="44">
        <f t="shared" si="41"/>
        <v>18.853333333333335</v>
      </c>
      <c r="H33" s="44">
        <f t="shared" si="42"/>
        <v>11.783333333333335</v>
      </c>
      <c r="I33" s="44">
        <f t="shared" si="34"/>
        <v>8</v>
      </c>
      <c r="J33" s="45">
        <f>yaw_null</f>
        <v>0</v>
      </c>
      <c r="K33" s="87" t="s">
        <v>1000</v>
      </c>
      <c r="L33" s="44">
        <f t="shared" ref="L33:N33" si="58">L32</f>
        <v>0.2</v>
      </c>
      <c r="M33" s="44">
        <f t="shared" si="58"/>
        <v>150</v>
      </c>
      <c r="N33" s="44">
        <f t="shared" si="58"/>
        <v>750</v>
      </c>
      <c r="P33" s="38">
        <f t="shared" si="44"/>
        <v>5</v>
      </c>
      <c r="Q33" s="38">
        <f t="shared" si="45"/>
        <v>7</v>
      </c>
      <c r="R33" s="39">
        <f t="shared" si="46"/>
        <v>0.29465331861967536</v>
      </c>
      <c r="S33" s="39">
        <f t="shared" si="47"/>
        <v>0.49549073103567542</v>
      </c>
      <c r="T33" s="39">
        <f t="shared" si="48"/>
        <v>0.20083741241600006</v>
      </c>
      <c r="U33" s="89">
        <f t="shared" si="12"/>
        <v>1.2552338276000004E-2</v>
      </c>
      <c r="W33" s="94"/>
      <c r="X33" s="94"/>
      <c r="Y33" s="94"/>
      <c r="Z33" s="94"/>
      <c r="AA33" s="94"/>
      <c r="AB33" s="94"/>
    </row>
    <row r="34" spans="1:28" ht="15.75" thickBot="1" x14ac:dyDescent="0.3">
      <c r="A34" s="41">
        <f t="shared" ref="A34:B34" si="59">A33+1</f>
        <v>24</v>
      </c>
      <c r="B34" s="42">
        <f t="shared" si="59"/>
        <v>24</v>
      </c>
      <c r="C34" s="92" t="str">
        <f t="shared" si="6"/>
        <v>L11X06-000_000_09</v>
      </c>
      <c r="D34" s="43">
        <f t="shared" si="38"/>
        <v>6</v>
      </c>
      <c r="E34" s="61">
        <f t="shared" si="39"/>
        <v>1.4140000000000001</v>
      </c>
      <c r="F34" s="44">
        <f t="shared" si="40"/>
        <v>23.56666666666667</v>
      </c>
      <c r="G34" s="44">
        <f t="shared" si="41"/>
        <v>18.853333333333335</v>
      </c>
      <c r="H34" s="44">
        <f t="shared" si="42"/>
        <v>11.783333333333335</v>
      </c>
      <c r="I34" s="44">
        <f t="shared" si="34"/>
        <v>8</v>
      </c>
      <c r="J34" s="45">
        <f>yaw_null</f>
        <v>0</v>
      </c>
      <c r="K34" s="87" t="s">
        <v>1001</v>
      </c>
      <c r="L34" s="44">
        <f t="shared" ref="L34:N34" si="60">L33</f>
        <v>0.2</v>
      </c>
      <c r="M34" s="44">
        <f t="shared" si="60"/>
        <v>150</v>
      </c>
      <c r="N34" s="44">
        <f t="shared" si="60"/>
        <v>750</v>
      </c>
      <c r="P34" s="38">
        <f t="shared" si="44"/>
        <v>5</v>
      </c>
      <c r="Q34" s="38">
        <f t="shared" si="45"/>
        <v>7</v>
      </c>
      <c r="R34" s="39">
        <f t="shared" si="46"/>
        <v>0.29465331861967536</v>
      </c>
      <c r="S34" s="39">
        <f t="shared" si="47"/>
        <v>0.49549073103567542</v>
      </c>
      <c r="T34" s="39">
        <f t="shared" si="48"/>
        <v>0.20083741241600006</v>
      </c>
      <c r="U34" s="89">
        <f t="shared" si="12"/>
        <v>1.2552338276000004E-2</v>
      </c>
      <c r="W34" s="94"/>
      <c r="X34" s="94"/>
      <c r="Y34" s="94"/>
      <c r="Z34" s="94"/>
      <c r="AA34" s="94"/>
      <c r="AB34" s="94"/>
    </row>
    <row r="35" spans="1:28" ht="15.75" thickBot="1" x14ac:dyDescent="0.3">
      <c r="A35" s="41">
        <f t="shared" ref="A35:B35" si="61">A34+1</f>
        <v>25</v>
      </c>
      <c r="B35" s="42">
        <f t="shared" si="61"/>
        <v>25</v>
      </c>
      <c r="C35" s="92" t="str">
        <f t="shared" si="6"/>
        <v>L11X06-000_000_10</v>
      </c>
      <c r="D35" s="43">
        <f t="shared" si="38"/>
        <v>6</v>
      </c>
      <c r="E35" s="61">
        <f t="shared" si="39"/>
        <v>1.4140000000000001</v>
      </c>
      <c r="F35" s="44">
        <f t="shared" si="40"/>
        <v>23.56666666666667</v>
      </c>
      <c r="G35" s="44">
        <f t="shared" si="41"/>
        <v>18.853333333333335</v>
      </c>
      <c r="H35" s="44">
        <f t="shared" si="42"/>
        <v>11.783333333333335</v>
      </c>
      <c r="I35" s="44">
        <f t="shared" si="34"/>
        <v>8</v>
      </c>
      <c r="J35" s="45">
        <f>yaw_null</f>
        <v>0</v>
      </c>
      <c r="K35" s="87" t="s">
        <v>1002</v>
      </c>
      <c r="L35" s="44">
        <f t="shared" ref="L35:N35" si="62">L34</f>
        <v>0.2</v>
      </c>
      <c r="M35" s="44">
        <f t="shared" si="62"/>
        <v>150</v>
      </c>
      <c r="N35" s="44">
        <f t="shared" si="62"/>
        <v>750</v>
      </c>
      <c r="P35" s="38">
        <f t="shared" si="44"/>
        <v>5</v>
      </c>
      <c r="Q35" s="38">
        <f t="shared" si="45"/>
        <v>7</v>
      </c>
      <c r="R35" s="39">
        <f t="shared" si="46"/>
        <v>0.29465331861967536</v>
      </c>
      <c r="S35" s="39">
        <f t="shared" si="47"/>
        <v>0.49549073103567542</v>
      </c>
      <c r="T35" s="39">
        <f t="shared" si="48"/>
        <v>0.20083741241600006</v>
      </c>
      <c r="U35" s="89">
        <f t="shared" si="12"/>
        <v>1.2552338276000004E-2</v>
      </c>
      <c r="W35" s="94"/>
      <c r="X35" s="94"/>
      <c r="Y35" s="94"/>
      <c r="Z35" s="94"/>
      <c r="AA35" s="94"/>
      <c r="AB35" s="94"/>
    </row>
    <row r="36" spans="1:28" ht="15.75" thickBot="1" x14ac:dyDescent="0.3">
      <c r="A36" s="41">
        <f t="shared" ref="A36:B36" si="63">A35+1</f>
        <v>26</v>
      </c>
      <c r="B36" s="42">
        <f t="shared" si="63"/>
        <v>26</v>
      </c>
      <c r="C36" s="92" t="str">
        <f t="shared" si="6"/>
        <v>L11X06-008_000_11</v>
      </c>
      <c r="D36" s="43">
        <f t="shared" si="38"/>
        <v>6</v>
      </c>
      <c r="E36" s="61">
        <f t="shared" si="39"/>
        <v>1.4140000000000001</v>
      </c>
      <c r="F36" s="44">
        <f t="shared" si="40"/>
        <v>23.56666666666667</v>
      </c>
      <c r="G36" s="44">
        <f t="shared" si="41"/>
        <v>18.853333333333335</v>
      </c>
      <c r="H36" s="44">
        <f t="shared" si="42"/>
        <v>11.783333333333335</v>
      </c>
      <c r="I36" s="44">
        <f t="shared" si="34"/>
        <v>8</v>
      </c>
      <c r="J36" s="45">
        <f>yaw_max</f>
        <v>8</v>
      </c>
      <c r="K36" s="87" t="s">
        <v>1003</v>
      </c>
      <c r="L36" s="44">
        <f t="shared" ref="L36:N36" si="64">L35</f>
        <v>0.2</v>
      </c>
      <c r="M36" s="44">
        <f t="shared" si="64"/>
        <v>150</v>
      </c>
      <c r="N36" s="44">
        <f t="shared" si="64"/>
        <v>750</v>
      </c>
      <c r="P36" s="38">
        <f t="shared" si="44"/>
        <v>5</v>
      </c>
      <c r="Q36" s="38">
        <f t="shared" si="45"/>
        <v>7</v>
      </c>
      <c r="R36" s="39">
        <f t="shared" si="46"/>
        <v>0.29465331861967536</v>
      </c>
      <c r="S36" s="39">
        <f t="shared" si="47"/>
        <v>0.49549073103567542</v>
      </c>
      <c r="T36" s="39">
        <f t="shared" si="48"/>
        <v>0.20083741241600006</v>
      </c>
      <c r="U36" s="89">
        <f t="shared" si="12"/>
        <v>1.2552338276000004E-2</v>
      </c>
      <c r="W36" s="94"/>
      <c r="X36" s="94"/>
      <c r="Y36" s="94"/>
      <c r="Z36" s="94"/>
      <c r="AA36" s="94"/>
      <c r="AB36" s="94"/>
    </row>
    <row r="37" spans="1:28" ht="15.75" thickBot="1" x14ac:dyDescent="0.3">
      <c r="A37" s="41">
        <f t="shared" ref="A37:B37" si="65">A36+1</f>
        <v>27</v>
      </c>
      <c r="B37" s="42">
        <f t="shared" si="65"/>
        <v>27</v>
      </c>
      <c r="C37" s="92" t="str">
        <f t="shared" si="6"/>
        <v>L11X06-008_000_12</v>
      </c>
      <c r="D37" s="43">
        <f t="shared" si="38"/>
        <v>6</v>
      </c>
      <c r="E37" s="61">
        <f t="shared" si="39"/>
        <v>1.4140000000000001</v>
      </c>
      <c r="F37" s="44">
        <f t="shared" si="40"/>
        <v>23.56666666666667</v>
      </c>
      <c r="G37" s="44">
        <f t="shared" si="41"/>
        <v>18.853333333333335</v>
      </c>
      <c r="H37" s="44">
        <f t="shared" si="42"/>
        <v>11.783333333333335</v>
      </c>
      <c r="I37" s="44">
        <f t="shared" si="34"/>
        <v>8</v>
      </c>
      <c r="J37" s="45">
        <f>yaw_max</f>
        <v>8</v>
      </c>
      <c r="K37" s="87" t="s">
        <v>1004</v>
      </c>
      <c r="L37" s="44">
        <f t="shared" ref="L37:N37" si="66">L36</f>
        <v>0.2</v>
      </c>
      <c r="M37" s="44">
        <f t="shared" si="66"/>
        <v>150</v>
      </c>
      <c r="N37" s="44">
        <f t="shared" si="66"/>
        <v>750</v>
      </c>
      <c r="P37" s="38">
        <f t="shared" si="44"/>
        <v>5</v>
      </c>
      <c r="Q37" s="38">
        <f t="shared" si="45"/>
        <v>7</v>
      </c>
      <c r="R37" s="39">
        <f t="shared" si="46"/>
        <v>0.29465331861967536</v>
      </c>
      <c r="S37" s="39">
        <f t="shared" si="47"/>
        <v>0.49549073103567542</v>
      </c>
      <c r="T37" s="39">
        <f t="shared" si="48"/>
        <v>0.20083741241600006</v>
      </c>
      <c r="U37" s="89">
        <f t="shared" si="12"/>
        <v>1.2552338276000004E-2</v>
      </c>
      <c r="W37" s="94"/>
      <c r="X37" s="94"/>
      <c r="Y37" s="94"/>
      <c r="Z37" s="94"/>
      <c r="AA37" s="94"/>
      <c r="AB37" s="94"/>
    </row>
    <row r="38" spans="1:28" ht="15.75" thickBot="1" x14ac:dyDescent="0.3">
      <c r="A38" s="41">
        <f t="shared" si="32"/>
        <v>28</v>
      </c>
      <c r="B38" s="42">
        <f t="shared" si="32"/>
        <v>28</v>
      </c>
      <c r="C38" s="92" t="str">
        <f t="shared" si="6"/>
        <v>L11X06-008_000_13</v>
      </c>
      <c r="D38" s="43">
        <f t="shared" si="38"/>
        <v>6</v>
      </c>
      <c r="E38" s="61">
        <f t="shared" si="39"/>
        <v>1.4140000000000001</v>
      </c>
      <c r="F38" s="44">
        <f t="shared" si="40"/>
        <v>23.56666666666667</v>
      </c>
      <c r="G38" s="44">
        <f t="shared" si="41"/>
        <v>18.853333333333335</v>
      </c>
      <c r="H38" s="44">
        <f t="shared" si="42"/>
        <v>11.783333333333335</v>
      </c>
      <c r="I38" s="44">
        <f t="shared" si="34"/>
        <v>8</v>
      </c>
      <c r="J38" s="45">
        <f>yaw_max</f>
        <v>8</v>
      </c>
      <c r="K38" s="87" t="s">
        <v>1005</v>
      </c>
      <c r="L38" s="44">
        <f t="shared" ref="L38:N38" si="67">L37</f>
        <v>0.2</v>
      </c>
      <c r="M38" s="44">
        <f t="shared" si="67"/>
        <v>150</v>
      </c>
      <c r="N38" s="44">
        <f t="shared" si="67"/>
        <v>750</v>
      </c>
      <c r="P38" s="38">
        <f t="shared" si="44"/>
        <v>5</v>
      </c>
      <c r="Q38" s="38">
        <f t="shared" si="45"/>
        <v>7</v>
      </c>
      <c r="R38" s="39">
        <f t="shared" si="46"/>
        <v>0.29465331861967536</v>
      </c>
      <c r="S38" s="39">
        <f t="shared" si="47"/>
        <v>0.49549073103567542</v>
      </c>
      <c r="T38" s="39">
        <f t="shared" si="48"/>
        <v>0.20083741241600006</v>
      </c>
      <c r="U38" s="89">
        <f t="shared" si="12"/>
        <v>1.2552338276000004E-2</v>
      </c>
      <c r="W38" s="94"/>
      <c r="X38" s="94"/>
      <c r="Y38" s="94"/>
      <c r="Z38" s="94"/>
      <c r="AA38" s="94"/>
      <c r="AB38" s="94"/>
    </row>
    <row r="39" spans="1:28" ht="15.75" thickBot="1" x14ac:dyDescent="0.3">
      <c r="A39" s="41">
        <f t="shared" si="32"/>
        <v>29</v>
      </c>
      <c r="B39" s="42">
        <f t="shared" si="32"/>
        <v>29</v>
      </c>
      <c r="C39" s="92" t="str">
        <f t="shared" si="6"/>
        <v>L11X06-008_000_14</v>
      </c>
      <c r="D39" s="43">
        <f t="shared" si="38"/>
        <v>6</v>
      </c>
      <c r="E39" s="61">
        <f t="shared" si="39"/>
        <v>1.4140000000000001</v>
      </c>
      <c r="F39" s="44">
        <f t="shared" si="40"/>
        <v>23.56666666666667</v>
      </c>
      <c r="G39" s="44">
        <f t="shared" si="41"/>
        <v>18.853333333333335</v>
      </c>
      <c r="H39" s="44">
        <f t="shared" si="42"/>
        <v>11.783333333333335</v>
      </c>
      <c r="I39" s="44">
        <f t="shared" si="34"/>
        <v>8</v>
      </c>
      <c r="J39" s="45">
        <f>yaw_max</f>
        <v>8</v>
      </c>
      <c r="K39" s="87" t="s">
        <v>1006</v>
      </c>
      <c r="L39" s="44">
        <f t="shared" ref="L39:N39" si="68">L38</f>
        <v>0.2</v>
      </c>
      <c r="M39" s="44">
        <f t="shared" si="68"/>
        <v>150</v>
      </c>
      <c r="N39" s="44">
        <f t="shared" si="68"/>
        <v>750</v>
      </c>
      <c r="P39" s="38">
        <f t="shared" si="44"/>
        <v>5</v>
      </c>
      <c r="Q39" s="38">
        <f t="shared" si="45"/>
        <v>7</v>
      </c>
      <c r="R39" s="39">
        <f t="shared" si="46"/>
        <v>0.29465331861967536</v>
      </c>
      <c r="S39" s="39">
        <f t="shared" si="47"/>
        <v>0.49549073103567542</v>
      </c>
      <c r="T39" s="39">
        <f t="shared" si="48"/>
        <v>0.20083741241600006</v>
      </c>
      <c r="U39" s="89">
        <f t="shared" si="12"/>
        <v>1.2552338276000004E-2</v>
      </c>
      <c r="W39" s="94"/>
      <c r="X39" s="94"/>
      <c r="Y39" s="94"/>
      <c r="Z39" s="94"/>
      <c r="AA39" s="94"/>
      <c r="AB39" s="94"/>
    </row>
    <row r="40" spans="1:28" ht="15.75" thickBot="1" x14ac:dyDescent="0.3">
      <c r="A40" s="41">
        <f t="shared" si="32"/>
        <v>30</v>
      </c>
      <c r="B40" s="42">
        <f t="shared" si="32"/>
        <v>30</v>
      </c>
      <c r="C40" s="92" t="str">
        <f t="shared" si="6"/>
        <v>L11X06-008_000_15</v>
      </c>
      <c r="D40" s="43">
        <f t="shared" si="38"/>
        <v>6</v>
      </c>
      <c r="E40" s="61">
        <f t="shared" si="39"/>
        <v>1.4140000000000001</v>
      </c>
      <c r="F40" s="44">
        <f t="shared" si="40"/>
        <v>23.56666666666667</v>
      </c>
      <c r="G40" s="44">
        <f t="shared" si="41"/>
        <v>18.853333333333335</v>
      </c>
      <c r="H40" s="44">
        <f t="shared" si="42"/>
        <v>11.783333333333335</v>
      </c>
      <c r="I40" s="44">
        <f t="shared" si="34"/>
        <v>8</v>
      </c>
      <c r="J40" s="45">
        <f>yaw_max</f>
        <v>8</v>
      </c>
      <c r="K40" s="87" t="s">
        <v>1007</v>
      </c>
      <c r="L40" s="44">
        <f t="shared" ref="L40:N40" si="69">L39</f>
        <v>0.2</v>
      </c>
      <c r="M40" s="44">
        <f t="shared" si="69"/>
        <v>150</v>
      </c>
      <c r="N40" s="44">
        <f t="shared" si="69"/>
        <v>750</v>
      </c>
      <c r="P40" s="38">
        <f t="shared" si="44"/>
        <v>5</v>
      </c>
      <c r="Q40" s="38">
        <f t="shared" si="45"/>
        <v>7</v>
      </c>
      <c r="R40" s="39">
        <f t="shared" si="46"/>
        <v>0.29465331861967536</v>
      </c>
      <c r="S40" s="39">
        <f t="shared" si="47"/>
        <v>0.49549073103567542</v>
      </c>
      <c r="T40" s="39">
        <f t="shared" si="48"/>
        <v>0.20083741241600006</v>
      </c>
      <c r="U40" s="89">
        <f t="shared" si="12"/>
        <v>1.2552338276000004E-2</v>
      </c>
      <c r="W40" s="94"/>
      <c r="X40" s="94"/>
      <c r="Y40" s="94"/>
      <c r="Z40" s="94"/>
      <c r="AA40" s="94"/>
      <c r="AB40" s="94"/>
    </row>
    <row r="41" spans="1:28" ht="15.75" thickBot="1" x14ac:dyDescent="0.3">
      <c r="A41" s="41">
        <f t="shared" si="32"/>
        <v>31</v>
      </c>
      <c r="B41" s="42">
        <f t="shared" si="32"/>
        <v>31</v>
      </c>
      <c r="C41" s="92" t="str">
        <f t="shared" si="6"/>
        <v>L11X08-352_000_01</v>
      </c>
      <c r="D41" s="43">
        <f>D26+v_step</f>
        <v>8</v>
      </c>
      <c r="E41" s="61">
        <f t="shared" si="0"/>
        <v>1.6240000000000001</v>
      </c>
      <c r="F41" s="44">
        <f t="shared" si="33"/>
        <v>20.3</v>
      </c>
      <c r="G41" s="44">
        <f t="shared" si="1"/>
        <v>16.240000000000002</v>
      </c>
      <c r="H41" s="44">
        <f t="shared" si="2"/>
        <v>10.15</v>
      </c>
      <c r="I41" s="44">
        <f t="shared" si="34"/>
        <v>8</v>
      </c>
      <c r="J41" s="45">
        <f t="shared" ref="J41:J60" si="70">yaw_min</f>
        <v>-8</v>
      </c>
      <c r="K41" s="87" t="s">
        <v>586</v>
      </c>
      <c r="L41" s="44">
        <f t="shared" si="35"/>
        <v>0.2</v>
      </c>
      <c r="M41" s="44">
        <f t="shared" si="35"/>
        <v>150</v>
      </c>
      <c r="N41" s="44">
        <f t="shared" si="35"/>
        <v>750</v>
      </c>
      <c r="P41" s="38">
        <f t="shared" si="44"/>
        <v>7</v>
      </c>
      <c r="Q41" s="38">
        <f t="shared" si="45"/>
        <v>9</v>
      </c>
      <c r="R41" s="39">
        <f t="shared" si="46"/>
        <v>0.49549073103567542</v>
      </c>
      <c r="S41" s="39">
        <f t="shared" si="47"/>
        <v>0.67728101673295105</v>
      </c>
      <c r="T41" s="39">
        <f t="shared" si="48"/>
        <v>0.18179028569727562</v>
      </c>
      <c r="U41" s="89">
        <f t="shared" ref="U41:U105" si="71">T41/61</f>
        <v>2.9801686179881251E-3</v>
      </c>
      <c r="W41" s="94"/>
      <c r="X41" s="94"/>
      <c r="Y41" s="94"/>
      <c r="Z41" s="94"/>
      <c r="AA41" s="94"/>
      <c r="AB41" s="94"/>
    </row>
    <row r="42" spans="1:28" ht="15.75" thickBot="1" x14ac:dyDescent="0.3">
      <c r="A42" s="41">
        <f t="shared" si="32"/>
        <v>32</v>
      </c>
      <c r="B42" s="42">
        <f t="shared" si="32"/>
        <v>32</v>
      </c>
      <c r="C42" s="92" t="str">
        <f t="shared" si="6"/>
        <v>L11X08-352_000_02</v>
      </c>
      <c r="D42" s="43">
        <f>D41</f>
        <v>8</v>
      </c>
      <c r="E42" s="61">
        <f t="shared" si="0"/>
        <v>1.6240000000000001</v>
      </c>
      <c r="F42" s="44">
        <f t="shared" si="33"/>
        <v>20.3</v>
      </c>
      <c r="G42" s="44">
        <f t="shared" si="1"/>
        <v>16.240000000000002</v>
      </c>
      <c r="H42" s="44">
        <f t="shared" si="2"/>
        <v>10.15</v>
      </c>
      <c r="I42" s="44">
        <f t="shared" si="34"/>
        <v>8</v>
      </c>
      <c r="J42" s="45">
        <f t="shared" si="70"/>
        <v>-8</v>
      </c>
      <c r="K42" s="87" t="s">
        <v>587</v>
      </c>
      <c r="L42" s="44">
        <f t="shared" si="35"/>
        <v>0.2</v>
      </c>
      <c r="M42" s="44">
        <f t="shared" si="35"/>
        <v>150</v>
      </c>
      <c r="N42" s="44">
        <f t="shared" si="35"/>
        <v>750</v>
      </c>
      <c r="P42" s="38">
        <f t="shared" si="3"/>
        <v>7</v>
      </c>
      <c r="Q42" s="38">
        <f t="shared" si="4"/>
        <v>9</v>
      </c>
      <c r="R42" s="39">
        <f t="shared" si="5"/>
        <v>0.49549073103567542</v>
      </c>
      <c r="S42" s="39">
        <f t="shared" si="5"/>
        <v>0.67728101673295105</v>
      </c>
      <c r="T42" s="39">
        <f t="shared" ref="T42:T93" si="72">S42-R42</f>
        <v>0.18179028569727562</v>
      </c>
      <c r="U42" s="89">
        <f t="shared" si="71"/>
        <v>2.9801686179881251E-3</v>
      </c>
      <c r="W42" s="94"/>
      <c r="X42" s="94"/>
      <c r="Y42" s="94"/>
      <c r="Z42" s="94"/>
      <c r="AA42" s="94"/>
      <c r="AB42" s="94"/>
    </row>
    <row r="43" spans="1:28" ht="15.75" thickBot="1" x14ac:dyDescent="0.3">
      <c r="A43" s="41">
        <f t="shared" si="32"/>
        <v>33</v>
      </c>
      <c r="B43" s="42">
        <f t="shared" si="32"/>
        <v>33</v>
      </c>
      <c r="C43" s="92" t="str">
        <f t="shared" si="6"/>
        <v>L11X08-352_000_03</v>
      </c>
      <c r="D43" s="43">
        <f t="shared" ref="D43:D100" si="73">D42</f>
        <v>8</v>
      </c>
      <c r="E43" s="61">
        <f t="shared" si="0"/>
        <v>1.6240000000000001</v>
      </c>
      <c r="F43" s="44">
        <f t="shared" si="33"/>
        <v>20.3</v>
      </c>
      <c r="G43" s="44">
        <f t="shared" si="1"/>
        <v>16.240000000000002</v>
      </c>
      <c r="H43" s="44">
        <f t="shared" si="2"/>
        <v>10.15</v>
      </c>
      <c r="I43" s="44">
        <f t="shared" si="34"/>
        <v>8</v>
      </c>
      <c r="J43" s="45">
        <f t="shared" si="70"/>
        <v>-8</v>
      </c>
      <c r="K43" s="87" t="s">
        <v>558</v>
      </c>
      <c r="L43" s="44">
        <f t="shared" si="35"/>
        <v>0.2</v>
      </c>
      <c r="M43" s="44">
        <f t="shared" si="35"/>
        <v>150</v>
      </c>
      <c r="N43" s="44">
        <f t="shared" si="35"/>
        <v>750</v>
      </c>
      <c r="P43" s="38">
        <f t="shared" si="3"/>
        <v>7</v>
      </c>
      <c r="Q43" s="38">
        <f t="shared" si="4"/>
        <v>9</v>
      </c>
      <c r="R43" s="39">
        <f t="shared" si="5"/>
        <v>0.49549073103567542</v>
      </c>
      <c r="S43" s="39">
        <f t="shared" si="5"/>
        <v>0.67728101673295105</v>
      </c>
      <c r="T43" s="39">
        <f t="shared" si="72"/>
        <v>0.18179028569727562</v>
      </c>
      <c r="U43" s="89">
        <f t="shared" si="71"/>
        <v>2.9801686179881251E-3</v>
      </c>
      <c r="W43" s="94"/>
      <c r="X43" s="94"/>
      <c r="Y43" s="94"/>
      <c r="Z43" s="94"/>
      <c r="AA43" s="94"/>
      <c r="AB43" s="94"/>
    </row>
    <row r="44" spans="1:28" ht="15.75" thickBot="1" x14ac:dyDescent="0.3">
      <c r="A44" s="41">
        <f t="shared" si="32"/>
        <v>34</v>
      </c>
      <c r="B44" s="42">
        <f t="shared" si="32"/>
        <v>34</v>
      </c>
      <c r="C44" s="92" t="str">
        <f t="shared" si="6"/>
        <v>L11X08-352_000_04</v>
      </c>
      <c r="D44" s="43">
        <f t="shared" si="73"/>
        <v>8</v>
      </c>
      <c r="E44" s="61">
        <f t="shared" si="0"/>
        <v>1.6240000000000001</v>
      </c>
      <c r="F44" s="44">
        <f t="shared" si="33"/>
        <v>20.3</v>
      </c>
      <c r="G44" s="44">
        <f t="shared" si="1"/>
        <v>16.240000000000002</v>
      </c>
      <c r="H44" s="44">
        <f t="shared" si="2"/>
        <v>10.15</v>
      </c>
      <c r="I44" s="44">
        <f t="shared" si="34"/>
        <v>8</v>
      </c>
      <c r="J44" s="45">
        <f t="shared" si="70"/>
        <v>-8</v>
      </c>
      <c r="K44" s="87" t="s">
        <v>557</v>
      </c>
      <c r="L44" s="44">
        <f t="shared" si="35"/>
        <v>0.2</v>
      </c>
      <c r="M44" s="44">
        <f t="shared" si="35"/>
        <v>150</v>
      </c>
      <c r="N44" s="44">
        <f t="shared" si="35"/>
        <v>750</v>
      </c>
      <c r="P44" s="38">
        <f t="shared" si="3"/>
        <v>7</v>
      </c>
      <c r="Q44" s="38">
        <f t="shared" si="4"/>
        <v>9</v>
      </c>
      <c r="R44" s="39">
        <f t="shared" si="5"/>
        <v>0.49549073103567542</v>
      </c>
      <c r="S44" s="39">
        <f t="shared" si="5"/>
        <v>0.67728101673295105</v>
      </c>
      <c r="T44" s="39">
        <f t="shared" si="72"/>
        <v>0.18179028569727562</v>
      </c>
      <c r="U44" s="89">
        <f t="shared" si="71"/>
        <v>2.9801686179881251E-3</v>
      </c>
      <c r="W44" s="94"/>
      <c r="X44" s="94"/>
      <c r="Y44" s="94"/>
      <c r="Z44" s="94"/>
      <c r="AA44" s="94"/>
      <c r="AB44" s="94"/>
    </row>
    <row r="45" spans="1:28" ht="15.75" thickBot="1" x14ac:dyDescent="0.3">
      <c r="A45" s="41">
        <f t="shared" si="32"/>
        <v>35</v>
      </c>
      <c r="B45" s="42">
        <f t="shared" si="32"/>
        <v>35</v>
      </c>
      <c r="C45" s="92" t="str">
        <f t="shared" si="6"/>
        <v>L11X08-352_000_05</v>
      </c>
      <c r="D45" s="43">
        <f t="shared" si="73"/>
        <v>8</v>
      </c>
      <c r="E45" s="61">
        <f t="shared" si="0"/>
        <v>1.6240000000000001</v>
      </c>
      <c r="F45" s="44">
        <f t="shared" si="33"/>
        <v>20.3</v>
      </c>
      <c r="G45" s="44">
        <f t="shared" si="1"/>
        <v>16.240000000000002</v>
      </c>
      <c r="H45" s="44">
        <f t="shared" si="2"/>
        <v>10.15</v>
      </c>
      <c r="I45" s="44">
        <f t="shared" si="34"/>
        <v>8</v>
      </c>
      <c r="J45" s="45">
        <f t="shared" si="70"/>
        <v>-8</v>
      </c>
      <c r="K45" s="87" t="s">
        <v>556</v>
      </c>
      <c r="L45" s="44">
        <f t="shared" si="35"/>
        <v>0.2</v>
      </c>
      <c r="M45" s="44">
        <f t="shared" si="35"/>
        <v>150</v>
      </c>
      <c r="N45" s="44">
        <f t="shared" si="35"/>
        <v>750</v>
      </c>
      <c r="P45" s="38">
        <f t="shared" si="3"/>
        <v>7</v>
      </c>
      <c r="Q45" s="38">
        <f t="shared" si="4"/>
        <v>9</v>
      </c>
      <c r="R45" s="39">
        <f t="shared" si="5"/>
        <v>0.49549073103567542</v>
      </c>
      <c r="S45" s="39">
        <f t="shared" si="5"/>
        <v>0.67728101673295105</v>
      </c>
      <c r="T45" s="39">
        <f t="shared" si="72"/>
        <v>0.18179028569727562</v>
      </c>
      <c r="U45" s="89">
        <f t="shared" si="71"/>
        <v>2.9801686179881251E-3</v>
      </c>
      <c r="W45" s="94"/>
      <c r="X45" s="94"/>
      <c r="Y45" s="94"/>
      <c r="Z45" s="94"/>
      <c r="AA45" s="94"/>
      <c r="AB45" s="94"/>
    </row>
    <row r="46" spans="1:28" ht="15.75" thickBot="1" x14ac:dyDescent="0.3">
      <c r="A46" s="41">
        <f t="shared" si="32"/>
        <v>36</v>
      </c>
      <c r="B46" s="42">
        <f t="shared" si="32"/>
        <v>36</v>
      </c>
      <c r="C46" s="92" t="str">
        <f t="shared" si="6"/>
        <v>L11X08-352_000_06</v>
      </c>
      <c r="D46" s="43">
        <f t="shared" si="73"/>
        <v>8</v>
      </c>
      <c r="E46" s="61">
        <f t="shared" si="0"/>
        <v>1.6240000000000001</v>
      </c>
      <c r="F46" s="44">
        <f t="shared" ref="F46:F105" si="74">E46/D46*100</f>
        <v>20.3</v>
      </c>
      <c r="G46" s="44">
        <f t="shared" ref="G46:G105" si="75">m_ty*F46</f>
        <v>16.240000000000002</v>
      </c>
      <c r="H46" s="44">
        <f t="shared" ref="H46:H105" si="76">m_tz*F46</f>
        <v>10.15</v>
      </c>
      <c r="I46" s="44">
        <f t="shared" si="34"/>
        <v>8</v>
      </c>
      <c r="J46" s="45">
        <f t="shared" si="70"/>
        <v>-8</v>
      </c>
      <c r="K46" s="87" t="s">
        <v>555</v>
      </c>
      <c r="L46" s="44">
        <f t="shared" si="35"/>
        <v>0.2</v>
      </c>
      <c r="M46" s="44">
        <f t="shared" si="35"/>
        <v>150</v>
      </c>
      <c r="N46" s="44">
        <f t="shared" si="35"/>
        <v>750</v>
      </c>
      <c r="P46" s="38">
        <f t="shared" si="3"/>
        <v>7</v>
      </c>
      <c r="Q46" s="38">
        <f t="shared" si="4"/>
        <v>9</v>
      </c>
      <c r="R46" s="39">
        <f t="shared" si="5"/>
        <v>0.49549073103567542</v>
      </c>
      <c r="S46" s="39">
        <f t="shared" si="5"/>
        <v>0.67728101673295105</v>
      </c>
      <c r="T46" s="39">
        <f t="shared" si="72"/>
        <v>0.18179028569727562</v>
      </c>
      <c r="U46" s="89">
        <f t="shared" si="71"/>
        <v>2.9801686179881251E-3</v>
      </c>
      <c r="W46" s="94"/>
      <c r="X46" s="94"/>
      <c r="Y46" s="94"/>
      <c r="Z46" s="94"/>
      <c r="AA46" s="94"/>
      <c r="AB46" s="94"/>
    </row>
    <row r="47" spans="1:28" ht="15.75" thickBot="1" x14ac:dyDescent="0.3">
      <c r="A47" s="41">
        <f t="shared" ref="A47:B47" si="77">A46+1</f>
        <v>37</v>
      </c>
      <c r="B47" s="42">
        <f t="shared" si="77"/>
        <v>37</v>
      </c>
      <c r="C47" s="92" t="str">
        <f t="shared" si="6"/>
        <v>L11X08-352_000_07</v>
      </c>
      <c r="D47" s="43">
        <f t="shared" si="73"/>
        <v>8</v>
      </c>
      <c r="E47" s="61">
        <f t="shared" si="0"/>
        <v>1.6240000000000001</v>
      </c>
      <c r="F47" s="44">
        <f t="shared" si="74"/>
        <v>20.3</v>
      </c>
      <c r="G47" s="44">
        <f t="shared" si="75"/>
        <v>16.240000000000002</v>
      </c>
      <c r="H47" s="44">
        <f t="shared" si="76"/>
        <v>10.15</v>
      </c>
      <c r="I47" s="44">
        <f t="shared" si="34"/>
        <v>8</v>
      </c>
      <c r="J47" s="45">
        <f t="shared" si="70"/>
        <v>-8</v>
      </c>
      <c r="K47" s="87" t="s">
        <v>468</v>
      </c>
      <c r="L47" s="44">
        <f t="shared" ref="L47:N47" si="78">L46</f>
        <v>0.2</v>
      </c>
      <c r="M47" s="44">
        <f t="shared" si="78"/>
        <v>150</v>
      </c>
      <c r="N47" s="44">
        <f t="shared" si="78"/>
        <v>750</v>
      </c>
      <c r="P47" s="38">
        <f t="shared" si="3"/>
        <v>7</v>
      </c>
      <c r="Q47" s="38">
        <f t="shared" si="4"/>
        <v>9</v>
      </c>
      <c r="R47" s="39">
        <f t="shared" si="5"/>
        <v>0.49549073103567542</v>
      </c>
      <c r="S47" s="39">
        <f t="shared" si="5"/>
        <v>0.67728101673295105</v>
      </c>
      <c r="T47" s="39">
        <f t="shared" si="72"/>
        <v>0.18179028569727562</v>
      </c>
      <c r="U47" s="89">
        <f t="shared" si="71"/>
        <v>2.9801686179881251E-3</v>
      </c>
      <c r="W47" s="94"/>
      <c r="X47" s="94"/>
      <c r="Y47" s="94"/>
      <c r="Z47" s="94"/>
      <c r="AA47" s="94"/>
      <c r="AB47" s="94"/>
    </row>
    <row r="48" spans="1:28" ht="15.75" thickBot="1" x14ac:dyDescent="0.3">
      <c r="A48" s="41">
        <f t="shared" ref="A48:B48" si="79">A47+1</f>
        <v>38</v>
      </c>
      <c r="B48" s="42">
        <f t="shared" si="79"/>
        <v>38</v>
      </c>
      <c r="C48" s="92" t="str">
        <f t="shared" si="6"/>
        <v>L11X08-352_000_08</v>
      </c>
      <c r="D48" s="43">
        <f t="shared" si="73"/>
        <v>8</v>
      </c>
      <c r="E48" s="61">
        <f t="shared" si="0"/>
        <v>1.6240000000000001</v>
      </c>
      <c r="F48" s="44">
        <f t="shared" si="74"/>
        <v>20.3</v>
      </c>
      <c r="G48" s="44">
        <f t="shared" si="75"/>
        <v>16.240000000000002</v>
      </c>
      <c r="H48" s="44">
        <f t="shared" si="76"/>
        <v>10.15</v>
      </c>
      <c r="I48" s="44">
        <f t="shared" si="34"/>
        <v>8</v>
      </c>
      <c r="J48" s="45">
        <f t="shared" si="70"/>
        <v>-8</v>
      </c>
      <c r="K48" s="87" t="s">
        <v>469</v>
      </c>
      <c r="L48" s="44">
        <f t="shared" ref="L48:N48" si="80">L47</f>
        <v>0.2</v>
      </c>
      <c r="M48" s="44">
        <f t="shared" si="80"/>
        <v>150</v>
      </c>
      <c r="N48" s="44">
        <f t="shared" si="80"/>
        <v>750</v>
      </c>
      <c r="P48" s="38">
        <f t="shared" si="3"/>
        <v>7</v>
      </c>
      <c r="Q48" s="38">
        <f t="shared" si="4"/>
        <v>9</v>
      </c>
      <c r="R48" s="39">
        <f t="shared" si="5"/>
        <v>0.49549073103567542</v>
      </c>
      <c r="S48" s="39">
        <f t="shared" si="5"/>
        <v>0.67728101673295105</v>
      </c>
      <c r="T48" s="39">
        <f t="shared" si="72"/>
        <v>0.18179028569727562</v>
      </c>
      <c r="U48" s="89">
        <f t="shared" si="71"/>
        <v>2.9801686179881251E-3</v>
      </c>
      <c r="W48" s="94"/>
      <c r="X48" s="94"/>
      <c r="Y48" s="94"/>
      <c r="Z48" s="94"/>
      <c r="AA48" s="94"/>
      <c r="AB48" s="94"/>
    </row>
    <row r="49" spans="1:28" ht="15.75" thickBot="1" x14ac:dyDescent="0.3">
      <c r="A49" s="41">
        <f t="shared" ref="A49:B49" si="81">A48+1</f>
        <v>39</v>
      </c>
      <c r="B49" s="42">
        <f t="shared" si="81"/>
        <v>39</v>
      </c>
      <c r="C49" s="92" t="str">
        <f t="shared" si="6"/>
        <v>L11X08-352_000_09</v>
      </c>
      <c r="D49" s="43">
        <f t="shared" si="73"/>
        <v>8</v>
      </c>
      <c r="E49" s="61">
        <f t="shared" si="0"/>
        <v>1.6240000000000001</v>
      </c>
      <c r="F49" s="44">
        <f t="shared" si="74"/>
        <v>20.3</v>
      </c>
      <c r="G49" s="44">
        <f t="shared" si="75"/>
        <v>16.240000000000002</v>
      </c>
      <c r="H49" s="44">
        <f t="shared" si="76"/>
        <v>10.15</v>
      </c>
      <c r="I49" s="44">
        <f t="shared" si="34"/>
        <v>8</v>
      </c>
      <c r="J49" s="45">
        <f t="shared" si="70"/>
        <v>-8</v>
      </c>
      <c r="K49" s="87" t="s">
        <v>470</v>
      </c>
      <c r="L49" s="44">
        <f t="shared" ref="L49:N49" si="82">L48</f>
        <v>0.2</v>
      </c>
      <c r="M49" s="44">
        <f t="shared" si="82"/>
        <v>150</v>
      </c>
      <c r="N49" s="44">
        <f t="shared" si="82"/>
        <v>750</v>
      </c>
      <c r="P49" s="38">
        <f t="shared" si="3"/>
        <v>7</v>
      </c>
      <c r="Q49" s="38">
        <f t="shared" si="4"/>
        <v>9</v>
      </c>
      <c r="R49" s="39">
        <f t="shared" si="5"/>
        <v>0.49549073103567542</v>
      </c>
      <c r="S49" s="39">
        <f t="shared" si="5"/>
        <v>0.67728101673295105</v>
      </c>
      <c r="T49" s="39">
        <f t="shared" si="72"/>
        <v>0.18179028569727562</v>
      </c>
      <c r="U49" s="89">
        <f t="shared" si="71"/>
        <v>2.9801686179881251E-3</v>
      </c>
      <c r="W49" s="94"/>
      <c r="X49" s="94"/>
      <c r="Y49" s="94"/>
      <c r="Z49" s="94"/>
      <c r="AA49" s="94"/>
      <c r="AB49" s="94"/>
    </row>
    <row r="50" spans="1:28" ht="15.75" thickBot="1" x14ac:dyDescent="0.3">
      <c r="A50" s="41">
        <f t="shared" ref="A50:B50" si="83">A49+1</f>
        <v>40</v>
      </c>
      <c r="B50" s="42">
        <f t="shared" si="83"/>
        <v>40</v>
      </c>
      <c r="C50" s="92" t="str">
        <f t="shared" si="6"/>
        <v>L11X08-352_000_10</v>
      </c>
      <c r="D50" s="43">
        <f t="shared" si="73"/>
        <v>8</v>
      </c>
      <c r="E50" s="61">
        <f t="shared" si="0"/>
        <v>1.6240000000000001</v>
      </c>
      <c r="F50" s="44">
        <f t="shared" si="74"/>
        <v>20.3</v>
      </c>
      <c r="G50" s="44">
        <f t="shared" si="75"/>
        <v>16.240000000000002</v>
      </c>
      <c r="H50" s="44">
        <f t="shared" si="76"/>
        <v>10.15</v>
      </c>
      <c r="I50" s="44">
        <f t="shared" si="34"/>
        <v>8</v>
      </c>
      <c r="J50" s="45">
        <f t="shared" si="70"/>
        <v>-8</v>
      </c>
      <c r="K50" s="87" t="s">
        <v>471</v>
      </c>
      <c r="L50" s="44">
        <f t="shared" ref="L50:N50" si="84">L49</f>
        <v>0.2</v>
      </c>
      <c r="M50" s="44">
        <f t="shared" si="84"/>
        <v>150</v>
      </c>
      <c r="N50" s="44">
        <f t="shared" si="84"/>
        <v>750</v>
      </c>
      <c r="P50" s="38">
        <f t="shared" si="3"/>
        <v>7</v>
      </c>
      <c r="Q50" s="38">
        <f t="shared" si="4"/>
        <v>9</v>
      </c>
      <c r="R50" s="39">
        <f t="shared" si="5"/>
        <v>0.49549073103567542</v>
      </c>
      <c r="S50" s="39">
        <f t="shared" si="5"/>
        <v>0.67728101673295105</v>
      </c>
      <c r="T50" s="39">
        <f t="shared" si="72"/>
        <v>0.18179028569727562</v>
      </c>
      <c r="U50" s="89">
        <f t="shared" si="71"/>
        <v>2.9801686179881251E-3</v>
      </c>
      <c r="W50" s="94"/>
      <c r="X50" s="94"/>
      <c r="Y50" s="94"/>
      <c r="Z50" s="94"/>
      <c r="AA50" s="94"/>
      <c r="AB50" s="94"/>
    </row>
    <row r="51" spans="1:28" ht="15.75" thickBot="1" x14ac:dyDescent="0.3">
      <c r="A51" s="41">
        <f t="shared" ref="A51:B51" si="85">A50+1</f>
        <v>41</v>
      </c>
      <c r="B51" s="42">
        <f t="shared" si="85"/>
        <v>41</v>
      </c>
      <c r="C51" s="92" t="str">
        <f t="shared" si="6"/>
        <v>L11X08-352_000_11</v>
      </c>
      <c r="D51" s="43">
        <f t="shared" si="73"/>
        <v>8</v>
      </c>
      <c r="E51" s="61">
        <f t="shared" si="0"/>
        <v>1.6240000000000001</v>
      </c>
      <c r="F51" s="44">
        <f t="shared" si="74"/>
        <v>20.3</v>
      </c>
      <c r="G51" s="44">
        <f t="shared" si="75"/>
        <v>16.240000000000002</v>
      </c>
      <c r="H51" s="44">
        <f t="shared" si="76"/>
        <v>10.15</v>
      </c>
      <c r="I51" s="44">
        <f t="shared" si="34"/>
        <v>8</v>
      </c>
      <c r="J51" s="45">
        <f t="shared" si="70"/>
        <v>-8</v>
      </c>
      <c r="K51" s="87" t="s">
        <v>472</v>
      </c>
      <c r="L51" s="44">
        <f t="shared" ref="L51:N51" si="86">L50</f>
        <v>0.2</v>
      </c>
      <c r="M51" s="44">
        <f t="shared" si="86"/>
        <v>150</v>
      </c>
      <c r="N51" s="44">
        <f t="shared" si="86"/>
        <v>750</v>
      </c>
      <c r="P51" s="38">
        <f t="shared" si="3"/>
        <v>7</v>
      </c>
      <c r="Q51" s="38">
        <f t="shared" si="4"/>
        <v>9</v>
      </c>
      <c r="R51" s="39">
        <f t="shared" si="5"/>
        <v>0.49549073103567542</v>
      </c>
      <c r="S51" s="39">
        <f t="shared" si="5"/>
        <v>0.67728101673295105</v>
      </c>
      <c r="T51" s="39">
        <f t="shared" si="72"/>
        <v>0.18179028569727562</v>
      </c>
      <c r="U51" s="89">
        <f t="shared" si="71"/>
        <v>2.9801686179881251E-3</v>
      </c>
      <c r="W51" s="94"/>
      <c r="X51" s="94"/>
      <c r="Y51" s="94"/>
      <c r="Z51" s="94"/>
      <c r="AA51" s="94"/>
      <c r="AB51" s="94"/>
    </row>
    <row r="52" spans="1:28" ht="15.75" thickBot="1" x14ac:dyDescent="0.3">
      <c r="A52" s="41">
        <f t="shared" ref="A52:B52" si="87">A51+1</f>
        <v>42</v>
      </c>
      <c r="B52" s="42">
        <f t="shared" si="87"/>
        <v>42</v>
      </c>
      <c r="C52" s="92" t="str">
        <f t="shared" si="6"/>
        <v>L11X08-352_000_12</v>
      </c>
      <c r="D52" s="43">
        <f t="shared" si="73"/>
        <v>8</v>
      </c>
      <c r="E52" s="61">
        <f t="shared" si="0"/>
        <v>1.6240000000000001</v>
      </c>
      <c r="F52" s="44">
        <f t="shared" si="74"/>
        <v>20.3</v>
      </c>
      <c r="G52" s="44">
        <f t="shared" si="75"/>
        <v>16.240000000000002</v>
      </c>
      <c r="H52" s="44">
        <f t="shared" si="76"/>
        <v>10.15</v>
      </c>
      <c r="I52" s="44">
        <f t="shared" si="34"/>
        <v>8</v>
      </c>
      <c r="J52" s="45">
        <f t="shared" si="70"/>
        <v>-8</v>
      </c>
      <c r="K52" s="87" t="s">
        <v>473</v>
      </c>
      <c r="L52" s="44">
        <f t="shared" ref="L52:N52" si="88">L51</f>
        <v>0.2</v>
      </c>
      <c r="M52" s="44">
        <f t="shared" si="88"/>
        <v>150</v>
      </c>
      <c r="N52" s="44">
        <f t="shared" si="88"/>
        <v>750</v>
      </c>
      <c r="P52" s="38">
        <f t="shared" si="3"/>
        <v>7</v>
      </c>
      <c r="Q52" s="38">
        <f t="shared" si="4"/>
        <v>9</v>
      </c>
      <c r="R52" s="39">
        <f t="shared" si="5"/>
        <v>0.49549073103567542</v>
      </c>
      <c r="S52" s="39">
        <f t="shared" si="5"/>
        <v>0.67728101673295105</v>
      </c>
      <c r="T52" s="39">
        <f t="shared" si="72"/>
        <v>0.18179028569727562</v>
      </c>
      <c r="U52" s="89">
        <f t="shared" si="71"/>
        <v>2.9801686179881251E-3</v>
      </c>
    </row>
    <row r="53" spans="1:28" ht="15.75" thickBot="1" x14ac:dyDescent="0.3">
      <c r="A53" s="41">
        <f t="shared" ref="A53:B53" si="89">A52+1</f>
        <v>43</v>
      </c>
      <c r="B53" s="42">
        <f t="shared" si="89"/>
        <v>43</v>
      </c>
      <c r="C53" s="92" t="str">
        <f t="shared" si="6"/>
        <v>L11X08-352_000_13</v>
      </c>
      <c r="D53" s="43">
        <f t="shared" si="73"/>
        <v>8</v>
      </c>
      <c r="E53" s="61">
        <f t="shared" si="0"/>
        <v>1.6240000000000001</v>
      </c>
      <c r="F53" s="44">
        <f t="shared" si="74"/>
        <v>20.3</v>
      </c>
      <c r="G53" s="44">
        <f t="shared" si="75"/>
        <v>16.240000000000002</v>
      </c>
      <c r="H53" s="44">
        <f t="shared" si="76"/>
        <v>10.15</v>
      </c>
      <c r="I53" s="44">
        <f t="shared" si="34"/>
        <v>8</v>
      </c>
      <c r="J53" s="45">
        <f t="shared" si="70"/>
        <v>-8</v>
      </c>
      <c r="K53" s="87" t="s">
        <v>474</v>
      </c>
      <c r="L53" s="44">
        <f t="shared" ref="L53:N53" si="90">L52</f>
        <v>0.2</v>
      </c>
      <c r="M53" s="44">
        <f t="shared" si="90"/>
        <v>150</v>
      </c>
      <c r="N53" s="44">
        <f t="shared" si="90"/>
        <v>750</v>
      </c>
      <c r="P53" s="38">
        <f t="shared" si="3"/>
        <v>7</v>
      </c>
      <c r="Q53" s="38">
        <f t="shared" si="4"/>
        <v>9</v>
      </c>
      <c r="R53" s="39">
        <f t="shared" si="5"/>
        <v>0.49549073103567542</v>
      </c>
      <c r="S53" s="39">
        <f t="shared" si="5"/>
        <v>0.67728101673295105</v>
      </c>
      <c r="T53" s="39">
        <f t="shared" si="72"/>
        <v>0.18179028569727562</v>
      </c>
      <c r="U53" s="89">
        <f t="shared" si="71"/>
        <v>2.9801686179881251E-3</v>
      </c>
    </row>
    <row r="54" spans="1:28" ht="15.75" thickBot="1" x14ac:dyDescent="0.3">
      <c r="A54" s="41">
        <f t="shared" ref="A54:B54" si="91">A53+1</f>
        <v>44</v>
      </c>
      <c r="B54" s="42">
        <f t="shared" si="91"/>
        <v>44</v>
      </c>
      <c r="C54" s="92" t="str">
        <f t="shared" si="6"/>
        <v>L11X08-352_000_14</v>
      </c>
      <c r="D54" s="43">
        <f t="shared" si="73"/>
        <v>8</v>
      </c>
      <c r="E54" s="61">
        <f t="shared" si="0"/>
        <v>1.6240000000000001</v>
      </c>
      <c r="F54" s="44">
        <f t="shared" si="74"/>
        <v>20.3</v>
      </c>
      <c r="G54" s="44">
        <f t="shared" si="75"/>
        <v>16.240000000000002</v>
      </c>
      <c r="H54" s="44">
        <f t="shared" si="76"/>
        <v>10.15</v>
      </c>
      <c r="I54" s="44">
        <f t="shared" si="34"/>
        <v>8</v>
      </c>
      <c r="J54" s="45">
        <f t="shared" si="70"/>
        <v>-8</v>
      </c>
      <c r="K54" s="87" t="s">
        <v>475</v>
      </c>
      <c r="L54" s="44">
        <f t="shared" ref="L54:N54" si="92">L53</f>
        <v>0.2</v>
      </c>
      <c r="M54" s="44">
        <f t="shared" si="92"/>
        <v>150</v>
      </c>
      <c r="N54" s="44">
        <f t="shared" si="92"/>
        <v>750</v>
      </c>
      <c r="P54" s="38">
        <f t="shared" si="3"/>
        <v>7</v>
      </c>
      <c r="Q54" s="38">
        <f t="shared" si="4"/>
        <v>9</v>
      </c>
      <c r="R54" s="39">
        <f t="shared" si="5"/>
        <v>0.49549073103567542</v>
      </c>
      <c r="S54" s="39">
        <f t="shared" si="5"/>
        <v>0.67728101673295105</v>
      </c>
      <c r="T54" s="39">
        <f t="shared" si="72"/>
        <v>0.18179028569727562</v>
      </c>
      <c r="U54" s="89">
        <f t="shared" si="71"/>
        <v>2.9801686179881251E-3</v>
      </c>
    </row>
    <row r="55" spans="1:28" ht="15.75" thickBot="1" x14ac:dyDescent="0.3">
      <c r="A55" s="41">
        <f t="shared" ref="A55:B55" si="93">A54+1</f>
        <v>45</v>
      </c>
      <c r="B55" s="42">
        <f t="shared" si="93"/>
        <v>45</v>
      </c>
      <c r="C55" s="92" t="str">
        <f t="shared" si="6"/>
        <v>L11X08-352_000_15</v>
      </c>
      <c r="D55" s="43">
        <f t="shared" si="73"/>
        <v>8</v>
      </c>
      <c r="E55" s="61">
        <f t="shared" si="0"/>
        <v>1.6240000000000001</v>
      </c>
      <c r="F55" s="44">
        <f t="shared" si="74"/>
        <v>20.3</v>
      </c>
      <c r="G55" s="44">
        <f t="shared" si="75"/>
        <v>16.240000000000002</v>
      </c>
      <c r="H55" s="44">
        <f t="shared" si="76"/>
        <v>10.15</v>
      </c>
      <c r="I55" s="44">
        <f t="shared" si="34"/>
        <v>8</v>
      </c>
      <c r="J55" s="45">
        <f t="shared" si="70"/>
        <v>-8</v>
      </c>
      <c r="K55" s="87" t="s">
        <v>476</v>
      </c>
      <c r="L55" s="44">
        <f t="shared" ref="L55:N55" si="94">L54</f>
        <v>0.2</v>
      </c>
      <c r="M55" s="44">
        <f t="shared" si="94"/>
        <v>150</v>
      </c>
      <c r="N55" s="44">
        <f t="shared" si="94"/>
        <v>750</v>
      </c>
      <c r="P55" s="38">
        <f t="shared" si="3"/>
        <v>7</v>
      </c>
      <c r="Q55" s="38">
        <f t="shared" si="4"/>
        <v>9</v>
      </c>
      <c r="R55" s="39">
        <f t="shared" si="5"/>
        <v>0.49549073103567542</v>
      </c>
      <c r="S55" s="39">
        <f t="shared" si="5"/>
        <v>0.67728101673295105</v>
      </c>
      <c r="T55" s="39">
        <f t="shared" si="72"/>
        <v>0.18179028569727562</v>
      </c>
      <c r="U55" s="89">
        <f t="shared" si="71"/>
        <v>2.9801686179881251E-3</v>
      </c>
    </row>
    <row r="56" spans="1:28" ht="15.75" thickBot="1" x14ac:dyDescent="0.3">
      <c r="A56" s="41">
        <f t="shared" ref="A56:B56" si="95">A55+1</f>
        <v>46</v>
      </c>
      <c r="B56" s="42">
        <f t="shared" si="95"/>
        <v>46</v>
      </c>
      <c r="C56" s="92" t="str">
        <f t="shared" si="6"/>
        <v>L11X08-352_000_16</v>
      </c>
      <c r="D56" s="43">
        <f t="shared" si="73"/>
        <v>8</v>
      </c>
      <c r="E56" s="61">
        <f t="shared" si="0"/>
        <v>1.6240000000000001</v>
      </c>
      <c r="F56" s="44">
        <f t="shared" si="74"/>
        <v>20.3</v>
      </c>
      <c r="G56" s="44">
        <f t="shared" si="75"/>
        <v>16.240000000000002</v>
      </c>
      <c r="H56" s="44">
        <f t="shared" si="76"/>
        <v>10.15</v>
      </c>
      <c r="I56" s="44">
        <f t="shared" si="34"/>
        <v>8</v>
      </c>
      <c r="J56" s="45">
        <f t="shared" si="70"/>
        <v>-8</v>
      </c>
      <c r="K56" s="87" t="s">
        <v>477</v>
      </c>
      <c r="L56" s="44">
        <f t="shared" ref="L56:N56" si="96">L55</f>
        <v>0.2</v>
      </c>
      <c r="M56" s="44">
        <f t="shared" si="96"/>
        <v>150</v>
      </c>
      <c r="N56" s="44">
        <f t="shared" si="96"/>
        <v>750</v>
      </c>
      <c r="P56" s="38">
        <f t="shared" si="3"/>
        <v>7</v>
      </c>
      <c r="Q56" s="38">
        <f t="shared" si="4"/>
        <v>9</v>
      </c>
      <c r="R56" s="39">
        <f t="shared" si="5"/>
        <v>0.49549073103567542</v>
      </c>
      <c r="S56" s="39">
        <f t="shared" si="5"/>
        <v>0.67728101673295105</v>
      </c>
      <c r="T56" s="39">
        <f t="shared" si="72"/>
        <v>0.18179028569727562</v>
      </c>
      <c r="U56" s="89">
        <f t="shared" si="71"/>
        <v>2.9801686179881251E-3</v>
      </c>
    </row>
    <row r="57" spans="1:28" ht="15.75" thickBot="1" x14ac:dyDescent="0.3">
      <c r="A57" s="41">
        <f t="shared" ref="A57:B57" si="97">A56+1</f>
        <v>47</v>
      </c>
      <c r="B57" s="42">
        <f t="shared" si="97"/>
        <v>47</v>
      </c>
      <c r="C57" s="92" t="str">
        <f t="shared" si="6"/>
        <v>L11X08-352_000_17</v>
      </c>
      <c r="D57" s="43">
        <f t="shared" si="73"/>
        <v>8</v>
      </c>
      <c r="E57" s="61">
        <f t="shared" si="0"/>
        <v>1.6240000000000001</v>
      </c>
      <c r="F57" s="44">
        <f t="shared" si="74"/>
        <v>20.3</v>
      </c>
      <c r="G57" s="44">
        <f t="shared" si="75"/>
        <v>16.240000000000002</v>
      </c>
      <c r="H57" s="44">
        <f t="shared" si="76"/>
        <v>10.15</v>
      </c>
      <c r="I57" s="44">
        <f t="shared" si="34"/>
        <v>8</v>
      </c>
      <c r="J57" s="45">
        <f t="shared" si="70"/>
        <v>-8</v>
      </c>
      <c r="K57" s="87" t="s">
        <v>478</v>
      </c>
      <c r="L57" s="44">
        <f t="shared" ref="L57:N57" si="98">L56</f>
        <v>0.2</v>
      </c>
      <c r="M57" s="44">
        <f t="shared" si="98"/>
        <v>150</v>
      </c>
      <c r="N57" s="44">
        <f t="shared" si="98"/>
        <v>750</v>
      </c>
      <c r="P57" s="38">
        <f t="shared" si="3"/>
        <v>7</v>
      </c>
      <c r="Q57" s="38">
        <f t="shared" si="4"/>
        <v>9</v>
      </c>
      <c r="R57" s="39">
        <f t="shared" si="5"/>
        <v>0.49549073103567542</v>
      </c>
      <c r="S57" s="39">
        <f t="shared" si="5"/>
        <v>0.67728101673295105</v>
      </c>
      <c r="T57" s="39">
        <f t="shared" si="72"/>
        <v>0.18179028569727562</v>
      </c>
      <c r="U57" s="89">
        <f t="shared" si="71"/>
        <v>2.9801686179881251E-3</v>
      </c>
    </row>
    <row r="58" spans="1:28" ht="15.75" thickBot="1" x14ac:dyDescent="0.3">
      <c r="A58" s="41">
        <f t="shared" ref="A58:B58" si="99">A57+1</f>
        <v>48</v>
      </c>
      <c r="B58" s="42">
        <f t="shared" si="99"/>
        <v>48</v>
      </c>
      <c r="C58" s="92" t="str">
        <f t="shared" si="6"/>
        <v>L11X08-352_000_18</v>
      </c>
      <c r="D58" s="43">
        <f t="shared" si="73"/>
        <v>8</v>
      </c>
      <c r="E58" s="61">
        <f t="shared" si="0"/>
        <v>1.6240000000000001</v>
      </c>
      <c r="F58" s="44">
        <f t="shared" si="74"/>
        <v>20.3</v>
      </c>
      <c r="G58" s="44">
        <f t="shared" si="75"/>
        <v>16.240000000000002</v>
      </c>
      <c r="H58" s="44">
        <f t="shared" si="76"/>
        <v>10.15</v>
      </c>
      <c r="I58" s="44">
        <f t="shared" si="34"/>
        <v>8</v>
      </c>
      <c r="J58" s="45">
        <f t="shared" si="70"/>
        <v>-8</v>
      </c>
      <c r="K58" s="87" t="s">
        <v>479</v>
      </c>
      <c r="L58" s="44">
        <f t="shared" ref="L58:N58" si="100">L57</f>
        <v>0.2</v>
      </c>
      <c r="M58" s="44">
        <f t="shared" si="100"/>
        <v>150</v>
      </c>
      <c r="N58" s="44">
        <f t="shared" si="100"/>
        <v>750</v>
      </c>
      <c r="P58" s="38">
        <f t="shared" si="3"/>
        <v>7</v>
      </c>
      <c r="Q58" s="38">
        <f t="shared" si="4"/>
        <v>9</v>
      </c>
      <c r="R58" s="39">
        <f t="shared" si="5"/>
        <v>0.49549073103567542</v>
      </c>
      <c r="S58" s="39">
        <f t="shared" si="5"/>
        <v>0.67728101673295105</v>
      </c>
      <c r="T58" s="39">
        <f t="shared" si="72"/>
        <v>0.18179028569727562</v>
      </c>
      <c r="U58" s="89">
        <f t="shared" si="71"/>
        <v>2.9801686179881251E-3</v>
      </c>
    </row>
    <row r="59" spans="1:28" ht="15.75" thickBot="1" x14ac:dyDescent="0.3">
      <c r="A59" s="41">
        <f t="shared" ref="A59:B59" si="101">A58+1</f>
        <v>49</v>
      </c>
      <c r="B59" s="42">
        <f t="shared" si="101"/>
        <v>49</v>
      </c>
      <c r="C59" s="92" t="str">
        <f t="shared" si="6"/>
        <v>L11X08-352_000_19</v>
      </c>
      <c r="D59" s="43">
        <f t="shared" si="73"/>
        <v>8</v>
      </c>
      <c r="E59" s="61">
        <f t="shared" si="0"/>
        <v>1.6240000000000001</v>
      </c>
      <c r="F59" s="44">
        <f t="shared" si="74"/>
        <v>20.3</v>
      </c>
      <c r="G59" s="44">
        <f t="shared" si="75"/>
        <v>16.240000000000002</v>
      </c>
      <c r="H59" s="44">
        <f t="shared" si="76"/>
        <v>10.15</v>
      </c>
      <c r="I59" s="44">
        <f t="shared" si="34"/>
        <v>8</v>
      </c>
      <c r="J59" s="45">
        <f t="shared" si="70"/>
        <v>-8</v>
      </c>
      <c r="K59" s="87" t="s">
        <v>480</v>
      </c>
      <c r="L59" s="44">
        <f t="shared" ref="L59:N59" si="102">L58</f>
        <v>0.2</v>
      </c>
      <c r="M59" s="44">
        <f t="shared" si="102"/>
        <v>150</v>
      </c>
      <c r="N59" s="44">
        <f t="shared" si="102"/>
        <v>750</v>
      </c>
      <c r="P59" s="38">
        <f t="shared" si="3"/>
        <v>7</v>
      </c>
      <c r="Q59" s="38">
        <f t="shared" si="4"/>
        <v>9</v>
      </c>
      <c r="R59" s="39">
        <f t="shared" si="5"/>
        <v>0.49549073103567542</v>
      </c>
      <c r="S59" s="39">
        <f t="shared" si="5"/>
        <v>0.67728101673295105</v>
      </c>
      <c r="T59" s="39">
        <f t="shared" si="72"/>
        <v>0.18179028569727562</v>
      </c>
      <c r="U59" s="89">
        <f t="shared" si="71"/>
        <v>2.9801686179881251E-3</v>
      </c>
    </row>
    <row r="60" spans="1:28" ht="15.75" thickBot="1" x14ac:dyDescent="0.3">
      <c r="A60" s="41">
        <f t="shared" ref="A60:B60" si="103">A59+1</f>
        <v>50</v>
      </c>
      <c r="B60" s="42">
        <f t="shared" si="103"/>
        <v>50</v>
      </c>
      <c r="C60" s="92" t="str">
        <f t="shared" si="6"/>
        <v>L11X08-352_000_20</v>
      </c>
      <c r="D60" s="43">
        <f t="shared" si="73"/>
        <v>8</v>
      </c>
      <c r="E60" s="61">
        <f t="shared" si="0"/>
        <v>1.6240000000000001</v>
      </c>
      <c r="F60" s="44">
        <f t="shared" si="74"/>
        <v>20.3</v>
      </c>
      <c r="G60" s="44">
        <f t="shared" si="75"/>
        <v>16.240000000000002</v>
      </c>
      <c r="H60" s="44">
        <f t="shared" si="76"/>
        <v>10.15</v>
      </c>
      <c r="I60" s="44">
        <f t="shared" si="34"/>
        <v>8</v>
      </c>
      <c r="J60" s="45">
        <f t="shared" si="70"/>
        <v>-8</v>
      </c>
      <c r="K60" s="87" t="s">
        <v>481</v>
      </c>
      <c r="L60" s="44">
        <f t="shared" ref="L60:N60" si="104">L59</f>
        <v>0.2</v>
      </c>
      <c r="M60" s="44">
        <f t="shared" si="104"/>
        <v>150</v>
      </c>
      <c r="N60" s="44">
        <f t="shared" si="104"/>
        <v>750</v>
      </c>
      <c r="P60" s="38">
        <f t="shared" si="3"/>
        <v>7</v>
      </c>
      <c r="Q60" s="38">
        <f t="shared" si="4"/>
        <v>9</v>
      </c>
      <c r="R60" s="39">
        <f t="shared" si="5"/>
        <v>0.49549073103567542</v>
      </c>
      <c r="S60" s="39">
        <f t="shared" si="5"/>
        <v>0.67728101673295105</v>
      </c>
      <c r="T60" s="39">
        <f t="shared" si="72"/>
        <v>0.18179028569727562</v>
      </c>
      <c r="U60" s="89">
        <f t="shared" si="71"/>
        <v>2.9801686179881251E-3</v>
      </c>
    </row>
    <row r="61" spans="1:28" ht="15.75" thickBot="1" x14ac:dyDescent="0.3">
      <c r="A61" s="41">
        <f t="shared" ref="A61:B61" si="105">A60+1</f>
        <v>51</v>
      </c>
      <c r="B61" s="42">
        <f t="shared" si="105"/>
        <v>51</v>
      </c>
      <c r="C61" s="92" t="str">
        <f t="shared" si="6"/>
        <v>L11X08-000_000_21</v>
      </c>
      <c r="D61" s="43">
        <f t="shared" si="73"/>
        <v>8</v>
      </c>
      <c r="E61" s="61">
        <f t="shared" si="0"/>
        <v>1.6240000000000001</v>
      </c>
      <c r="F61" s="44">
        <f t="shared" si="74"/>
        <v>20.3</v>
      </c>
      <c r="G61" s="44">
        <f t="shared" si="75"/>
        <v>16.240000000000002</v>
      </c>
      <c r="H61" s="44">
        <f t="shared" si="76"/>
        <v>10.15</v>
      </c>
      <c r="I61" s="44">
        <f t="shared" si="34"/>
        <v>8</v>
      </c>
      <c r="J61" s="45">
        <f t="shared" ref="J61:J80" si="106">yaw_null</f>
        <v>0</v>
      </c>
      <c r="K61" s="87" t="s">
        <v>482</v>
      </c>
      <c r="L61" s="44">
        <f t="shared" ref="L61:N61" si="107">L60</f>
        <v>0.2</v>
      </c>
      <c r="M61" s="44">
        <f t="shared" si="107"/>
        <v>150</v>
      </c>
      <c r="N61" s="44">
        <f t="shared" si="107"/>
        <v>750</v>
      </c>
      <c r="P61" s="38">
        <f t="shared" si="3"/>
        <v>7</v>
      </c>
      <c r="Q61" s="38">
        <f t="shared" si="4"/>
        <v>9</v>
      </c>
      <c r="R61" s="39">
        <f t="shared" ref="R61:S94" si="108">IF(wpd="Rayleigh",1-EXP(-PI()*((P61/2/v_ave)^2)),IF(wpd="Weibull",1-EXP(-((P61/weibull_A)^weibull_K))))</f>
        <v>0.49549073103567542</v>
      </c>
      <c r="S61" s="39">
        <f t="shared" si="108"/>
        <v>0.67728101673295105</v>
      </c>
      <c r="T61" s="39">
        <f t="shared" si="72"/>
        <v>0.18179028569727562</v>
      </c>
      <c r="U61" s="89">
        <f t="shared" si="71"/>
        <v>2.9801686179881251E-3</v>
      </c>
    </row>
    <row r="62" spans="1:28" ht="15.75" thickBot="1" x14ac:dyDescent="0.3">
      <c r="A62" s="41">
        <f t="shared" ref="A62:B62" si="109">A61+1</f>
        <v>52</v>
      </c>
      <c r="B62" s="42">
        <f t="shared" si="109"/>
        <v>52</v>
      </c>
      <c r="C62" s="92" t="str">
        <f t="shared" si="6"/>
        <v>L11X08-000_000_22</v>
      </c>
      <c r="D62" s="43">
        <f t="shared" si="73"/>
        <v>8</v>
      </c>
      <c r="E62" s="61">
        <f t="shared" si="0"/>
        <v>1.6240000000000001</v>
      </c>
      <c r="F62" s="44">
        <f t="shared" si="74"/>
        <v>20.3</v>
      </c>
      <c r="G62" s="44">
        <f t="shared" si="75"/>
        <v>16.240000000000002</v>
      </c>
      <c r="H62" s="44">
        <f t="shared" si="76"/>
        <v>10.15</v>
      </c>
      <c r="I62" s="44">
        <f t="shared" si="34"/>
        <v>8</v>
      </c>
      <c r="J62" s="45">
        <f t="shared" si="106"/>
        <v>0</v>
      </c>
      <c r="K62" s="87" t="s">
        <v>483</v>
      </c>
      <c r="L62" s="44">
        <f t="shared" ref="L62:N62" si="110">L61</f>
        <v>0.2</v>
      </c>
      <c r="M62" s="44">
        <f t="shared" si="110"/>
        <v>150</v>
      </c>
      <c r="N62" s="44">
        <f t="shared" si="110"/>
        <v>750</v>
      </c>
      <c r="P62" s="38">
        <f t="shared" si="3"/>
        <v>7</v>
      </c>
      <c r="Q62" s="38">
        <f t="shared" si="4"/>
        <v>9</v>
      </c>
      <c r="R62" s="39">
        <f t="shared" si="108"/>
        <v>0.49549073103567542</v>
      </c>
      <c r="S62" s="39">
        <f t="shared" si="108"/>
        <v>0.67728101673295105</v>
      </c>
      <c r="T62" s="39">
        <f t="shared" si="72"/>
        <v>0.18179028569727562</v>
      </c>
      <c r="U62" s="89">
        <f t="shared" si="71"/>
        <v>2.9801686179881251E-3</v>
      </c>
    </row>
    <row r="63" spans="1:28" ht="15.75" thickBot="1" x14ac:dyDescent="0.3">
      <c r="A63" s="41">
        <f t="shared" ref="A63:B63" si="111">A62+1</f>
        <v>53</v>
      </c>
      <c r="B63" s="42">
        <f t="shared" si="111"/>
        <v>53</v>
      </c>
      <c r="C63" s="92" t="str">
        <f t="shared" si="6"/>
        <v>L11X08-000_000_23</v>
      </c>
      <c r="D63" s="43">
        <f t="shared" si="73"/>
        <v>8</v>
      </c>
      <c r="E63" s="61">
        <f t="shared" si="0"/>
        <v>1.6240000000000001</v>
      </c>
      <c r="F63" s="44">
        <f t="shared" si="74"/>
        <v>20.3</v>
      </c>
      <c r="G63" s="44">
        <f t="shared" si="75"/>
        <v>16.240000000000002</v>
      </c>
      <c r="H63" s="44">
        <f t="shared" si="76"/>
        <v>10.15</v>
      </c>
      <c r="I63" s="44">
        <f t="shared" si="34"/>
        <v>8</v>
      </c>
      <c r="J63" s="45">
        <f t="shared" si="106"/>
        <v>0</v>
      </c>
      <c r="K63" s="87" t="s">
        <v>484</v>
      </c>
      <c r="L63" s="44">
        <f t="shared" ref="L63:N63" si="112">L62</f>
        <v>0.2</v>
      </c>
      <c r="M63" s="44">
        <f t="shared" si="112"/>
        <v>150</v>
      </c>
      <c r="N63" s="44">
        <f t="shared" si="112"/>
        <v>750</v>
      </c>
      <c r="P63" s="38">
        <f t="shared" si="3"/>
        <v>7</v>
      </c>
      <c r="Q63" s="38">
        <f t="shared" si="4"/>
        <v>9</v>
      </c>
      <c r="R63" s="39">
        <f t="shared" si="108"/>
        <v>0.49549073103567542</v>
      </c>
      <c r="S63" s="39">
        <f t="shared" si="108"/>
        <v>0.67728101673295105</v>
      </c>
      <c r="T63" s="39">
        <f t="shared" si="72"/>
        <v>0.18179028569727562</v>
      </c>
      <c r="U63" s="89">
        <f t="shared" si="71"/>
        <v>2.9801686179881251E-3</v>
      </c>
    </row>
    <row r="64" spans="1:28" ht="15.75" thickBot="1" x14ac:dyDescent="0.3">
      <c r="A64" s="41">
        <f t="shared" ref="A64:B64" si="113">A63+1</f>
        <v>54</v>
      </c>
      <c r="B64" s="42">
        <f t="shared" si="113"/>
        <v>54</v>
      </c>
      <c r="C64" s="92" t="str">
        <f t="shared" si="6"/>
        <v>L11X08-000_000_24</v>
      </c>
      <c r="D64" s="43">
        <f t="shared" si="73"/>
        <v>8</v>
      </c>
      <c r="E64" s="61">
        <f t="shared" si="0"/>
        <v>1.6240000000000001</v>
      </c>
      <c r="F64" s="44">
        <f t="shared" si="74"/>
        <v>20.3</v>
      </c>
      <c r="G64" s="44">
        <f t="shared" si="75"/>
        <v>16.240000000000002</v>
      </c>
      <c r="H64" s="44">
        <f t="shared" si="76"/>
        <v>10.15</v>
      </c>
      <c r="I64" s="44">
        <f t="shared" si="34"/>
        <v>8</v>
      </c>
      <c r="J64" s="45">
        <f t="shared" si="106"/>
        <v>0</v>
      </c>
      <c r="K64" s="87" t="s">
        <v>485</v>
      </c>
      <c r="L64" s="44">
        <f t="shared" ref="L64:N64" si="114">L63</f>
        <v>0.2</v>
      </c>
      <c r="M64" s="44">
        <f t="shared" si="114"/>
        <v>150</v>
      </c>
      <c r="N64" s="44">
        <f t="shared" si="114"/>
        <v>750</v>
      </c>
      <c r="P64" s="38">
        <f t="shared" si="3"/>
        <v>7</v>
      </c>
      <c r="Q64" s="38">
        <f t="shared" si="4"/>
        <v>9</v>
      </c>
      <c r="R64" s="39">
        <f t="shared" si="108"/>
        <v>0.49549073103567542</v>
      </c>
      <c r="S64" s="39">
        <f t="shared" si="108"/>
        <v>0.67728101673295105</v>
      </c>
      <c r="T64" s="39">
        <f t="shared" si="72"/>
        <v>0.18179028569727562</v>
      </c>
      <c r="U64" s="89">
        <f t="shared" si="71"/>
        <v>2.9801686179881251E-3</v>
      </c>
    </row>
    <row r="65" spans="1:21" ht="15.75" thickBot="1" x14ac:dyDescent="0.3">
      <c r="A65" s="41">
        <f t="shared" ref="A65:B65" si="115">A64+1</f>
        <v>55</v>
      </c>
      <c r="B65" s="42">
        <f t="shared" si="115"/>
        <v>55</v>
      </c>
      <c r="C65" s="92" t="str">
        <f t="shared" si="6"/>
        <v>L11X08-000_000_25</v>
      </c>
      <c r="D65" s="43">
        <f t="shared" si="73"/>
        <v>8</v>
      </c>
      <c r="E65" s="61">
        <f t="shared" si="0"/>
        <v>1.6240000000000001</v>
      </c>
      <c r="F65" s="44">
        <f t="shared" si="74"/>
        <v>20.3</v>
      </c>
      <c r="G65" s="44">
        <f t="shared" si="75"/>
        <v>16.240000000000002</v>
      </c>
      <c r="H65" s="44">
        <f t="shared" si="76"/>
        <v>10.15</v>
      </c>
      <c r="I65" s="44">
        <f t="shared" si="34"/>
        <v>8</v>
      </c>
      <c r="J65" s="45">
        <f t="shared" si="106"/>
        <v>0</v>
      </c>
      <c r="K65" s="87" t="s">
        <v>486</v>
      </c>
      <c r="L65" s="44">
        <f t="shared" ref="L65:N65" si="116">L64</f>
        <v>0.2</v>
      </c>
      <c r="M65" s="44">
        <f t="shared" si="116"/>
        <v>150</v>
      </c>
      <c r="N65" s="44">
        <f t="shared" si="116"/>
        <v>750</v>
      </c>
      <c r="P65" s="38">
        <f t="shared" si="3"/>
        <v>7</v>
      </c>
      <c r="Q65" s="38">
        <f t="shared" si="4"/>
        <v>9</v>
      </c>
      <c r="R65" s="39">
        <f t="shared" si="108"/>
        <v>0.49549073103567542</v>
      </c>
      <c r="S65" s="39">
        <f t="shared" si="108"/>
        <v>0.67728101673295105</v>
      </c>
      <c r="T65" s="39">
        <f t="shared" si="72"/>
        <v>0.18179028569727562</v>
      </c>
      <c r="U65" s="89">
        <f t="shared" si="71"/>
        <v>2.9801686179881251E-3</v>
      </c>
    </row>
    <row r="66" spans="1:21" ht="15.75" thickBot="1" x14ac:dyDescent="0.3">
      <c r="A66" s="41">
        <f t="shared" ref="A66:B66" si="117">A65+1</f>
        <v>56</v>
      </c>
      <c r="B66" s="42">
        <f t="shared" si="117"/>
        <v>56</v>
      </c>
      <c r="C66" s="92" t="str">
        <f t="shared" si="6"/>
        <v>L11X08-000_000_26</v>
      </c>
      <c r="D66" s="43">
        <f t="shared" si="73"/>
        <v>8</v>
      </c>
      <c r="E66" s="61">
        <f t="shared" si="0"/>
        <v>1.6240000000000001</v>
      </c>
      <c r="F66" s="44">
        <f t="shared" si="74"/>
        <v>20.3</v>
      </c>
      <c r="G66" s="44">
        <f t="shared" si="75"/>
        <v>16.240000000000002</v>
      </c>
      <c r="H66" s="44">
        <f t="shared" si="76"/>
        <v>10.15</v>
      </c>
      <c r="I66" s="44">
        <f t="shared" si="34"/>
        <v>8</v>
      </c>
      <c r="J66" s="45">
        <f t="shared" si="106"/>
        <v>0</v>
      </c>
      <c r="K66" s="87" t="s">
        <v>487</v>
      </c>
      <c r="L66" s="44">
        <f t="shared" ref="L66:N66" si="118">L65</f>
        <v>0.2</v>
      </c>
      <c r="M66" s="44">
        <f t="shared" si="118"/>
        <v>150</v>
      </c>
      <c r="N66" s="44">
        <f t="shared" si="118"/>
        <v>750</v>
      </c>
      <c r="P66" s="38">
        <f t="shared" si="3"/>
        <v>7</v>
      </c>
      <c r="Q66" s="38">
        <f t="shared" si="4"/>
        <v>9</v>
      </c>
      <c r="R66" s="39">
        <f t="shared" si="108"/>
        <v>0.49549073103567542</v>
      </c>
      <c r="S66" s="39">
        <f t="shared" si="108"/>
        <v>0.67728101673295105</v>
      </c>
      <c r="T66" s="39">
        <f t="shared" si="72"/>
        <v>0.18179028569727562</v>
      </c>
      <c r="U66" s="89">
        <f t="shared" si="71"/>
        <v>2.9801686179881251E-3</v>
      </c>
    </row>
    <row r="67" spans="1:21" ht="15.75" thickBot="1" x14ac:dyDescent="0.3">
      <c r="A67" s="41">
        <f t="shared" ref="A67:B67" si="119">A66+1</f>
        <v>57</v>
      </c>
      <c r="B67" s="42">
        <f t="shared" si="119"/>
        <v>57</v>
      </c>
      <c r="C67" s="92" t="str">
        <f t="shared" si="6"/>
        <v>L11X08-000_000_27</v>
      </c>
      <c r="D67" s="43">
        <f t="shared" si="73"/>
        <v>8</v>
      </c>
      <c r="E67" s="61">
        <f t="shared" si="0"/>
        <v>1.6240000000000001</v>
      </c>
      <c r="F67" s="44">
        <f t="shared" si="74"/>
        <v>20.3</v>
      </c>
      <c r="G67" s="44">
        <f t="shared" si="75"/>
        <v>16.240000000000002</v>
      </c>
      <c r="H67" s="44">
        <f t="shared" si="76"/>
        <v>10.15</v>
      </c>
      <c r="I67" s="44">
        <f t="shared" si="34"/>
        <v>8</v>
      </c>
      <c r="J67" s="45">
        <f t="shared" si="106"/>
        <v>0</v>
      </c>
      <c r="K67" s="87" t="s">
        <v>488</v>
      </c>
      <c r="L67" s="44">
        <f t="shared" ref="L67:N67" si="120">L66</f>
        <v>0.2</v>
      </c>
      <c r="M67" s="44">
        <f t="shared" si="120"/>
        <v>150</v>
      </c>
      <c r="N67" s="44">
        <f t="shared" si="120"/>
        <v>750</v>
      </c>
      <c r="P67" s="38">
        <f t="shared" si="3"/>
        <v>7</v>
      </c>
      <c r="Q67" s="38">
        <f t="shared" si="4"/>
        <v>9</v>
      </c>
      <c r="R67" s="39">
        <f t="shared" si="108"/>
        <v>0.49549073103567542</v>
      </c>
      <c r="S67" s="39">
        <f t="shared" si="108"/>
        <v>0.67728101673295105</v>
      </c>
      <c r="T67" s="39">
        <f t="shared" si="72"/>
        <v>0.18179028569727562</v>
      </c>
      <c r="U67" s="89">
        <f t="shared" si="71"/>
        <v>2.9801686179881251E-3</v>
      </c>
    </row>
    <row r="68" spans="1:21" ht="15.75" thickBot="1" x14ac:dyDescent="0.3">
      <c r="A68" s="41">
        <f t="shared" ref="A68:B68" si="121">A67+1</f>
        <v>58</v>
      </c>
      <c r="B68" s="42">
        <f t="shared" si="121"/>
        <v>58</v>
      </c>
      <c r="C68" s="92" t="str">
        <f t="shared" si="6"/>
        <v>L11X08-000_000_28</v>
      </c>
      <c r="D68" s="43">
        <f t="shared" si="73"/>
        <v>8</v>
      </c>
      <c r="E68" s="61">
        <f t="shared" si="0"/>
        <v>1.6240000000000001</v>
      </c>
      <c r="F68" s="44">
        <f t="shared" si="74"/>
        <v>20.3</v>
      </c>
      <c r="G68" s="44">
        <f t="shared" si="75"/>
        <v>16.240000000000002</v>
      </c>
      <c r="H68" s="44">
        <f t="shared" si="76"/>
        <v>10.15</v>
      </c>
      <c r="I68" s="44">
        <f t="shared" si="34"/>
        <v>8</v>
      </c>
      <c r="J68" s="45">
        <f t="shared" si="106"/>
        <v>0</v>
      </c>
      <c r="K68" s="87" t="s">
        <v>489</v>
      </c>
      <c r="L68" s="44">
        <f t="shared" ref="L68:N68" si="122">L67</f>
        <v>0.2</v>
      </c>
      <c r="M68" s="44">
        <f t="shared" si="122"/>
        <v>150</v>
      </c>
      <c r="N68" s="44">
        <f t="shared" si="122"/>
        <v>750</v>
      </c>
      <c r="P68" s="38">
        <f t="shared" si="3"/>
        <v>7</v>
      </c>
      <c r="Q68" s="38">
        <f t="shared" si="4"/>
        <v>9</v>
      </c>
      <c r="R68" s="39">
        <f t="shared" si="108"/>
        <v>0.49549073103567542</v>
      </c>
      <c r="S68" s="39">
        <f t="shared" si="108"/>
        <v>0.67728101673295105</v>
      </c>
      <c r="T68" s="39">
        <f t="shared" si="72"/>
        <v>0.18179028569727562</v>
      </c>
      <c r="U68" s="89">
        <f t="shared" si="71"/>
        <v>2.9801686179881251E-3</v>
      </c>
    </row>
    <row r="69" spans="1:21" ht="15.75" thickBot="1" x14ac:dyDescent="0.3">
      <c r="A69" s="41">
        <f t="shared" ref="A69:B69" si="123">A68+1</f>
        <v>59</v>
      </c>
      <c r="B69" s="42">
        <f t="shared" si="123"/>
        <v>59</v>
      </c>
      <c r="C69" s="92" t="str">
        <f t="shared" si="6"/>
        <v>L11X08-000_000_29</v>
      </c>
      <c r="D69" s="43">
        <f t="shared" si="73"/>
        <v>8</v>
      </c>
      <c r="E69" s="61">
        <f t="shared" si="0"/>
        <v>1.6240000000000001</v>
      </c>
      <c r="F69" s="44">
        <f t="shared" si="74"/>
        <v>20.3</v>
      </c>
      <c r="G69" s="44">
        <f t="shared" si="75"/>
        <v>16.240000000000002</v>
      </c>
      <c r="H69" s="44">
        <f t="shared" si="76"/>
        <v>10.15</v>
      </c>
      <c r="I69" s="44">
        <f t="shared" si="34"/>
        <v>8</v>
      </c>
      <c r="J69" s="45">
        <f t="shared" si="106"/>
        <v>0</v>
      </c>
      <c r="K69" s="87" t="s">
        <v>490</v>
      </c>
      <c r="L69" s="44">
        <f t="shared" ref="L69:N69" si="124">L68</f>
        <v>0.2</v>
      </c>
      <c r="M69" s="44">
        <f t="shared" si="124"/>
        <v>150</v>
      </c>
      <c r="N69" s="44">
        <f t="shared" si="124"/>
        <v>750</v>
      </c>
      <c r="P69" s="38">
        <f t="shared" si="3"/>
        <v>7</v>
      </c>
      <c r="Q69" s="38">
        <f t="shared" si="4"/>
        <v>9</v>
      </c>
      <c r="R69" s="39">
        <f t="shared" si="108"/>
        <v>0.49549073103567542</v>
      </c>
      <c r="S69" s="39">
        <f t="shared" si="108"/>
        <v>0.67728101673295105</v>
      </c>
      <c r="T69" s="39">
        <f t="shared" si="72"/>
        <v>0.18179028569727562</v>
      </c>
      <c r="U69" s="89">
        <f t="shared" si="71"/>
        <v>2.9801686179881251E-3</v>
      </c>
    </row>
    <row r="70" spans="1:21" ht="15.75" thickBot="1" x14ac:dyDescent="0.3">
      <c r="A70" s="41">
        <f t="shared" ref="A70:B70" si="125">A69+1</f>
        <v>60</v>
      </c>
      <c r="B70" s="42">
        <f t="shared" si="125"/>
        <v>60</v>
      </c>
      <c r="C70" s="92" t="str">
        <f t="shared" si="6"/>
        <v>L11X08-000_000_30</v>
      </c>
      <c r="D70" s="43">
        <f t="shared" si="73"/>
        <v>8</v>
      </c>
      <c r="E70" s="61">
        <f t="shared" si="0"/>
        <v>1.6240000000000001</v>
      </c>
      <c r="F70" s="44">
        <f t="shared" si="74"/>
        <v>20.3</v>
      </c>
      <c r="G70" s="44">
        <f t="shared" si="75"/>
        <v>16.240000000000002</v>
      </c>
      <c r="H70" s="44">
        <f t="shared" si="76"/>
        <v>10.15</v>
      </c>
      <c r="I70" s="44">
        <f t="shared" si="34"/>
        <v>8</v>
      </c>
      <c r="J70" s="45">
        <f t="shared" si="106"/>
        <v>0</v>
      </c>
      <c r="K70" s="87" t="s">
        <v>491</v>
      </c>
      <c r="L70" s="44">
        <f t="shared" ref="L70:N70" si="126">L69</f>
        <v>0.2</v>
      </c>
      <c r="M70" s="44">
        <f t="shared" si="126"/>
        <v>150</v>
      </c>
      <c r="N70" s="44">
        <f t="shared" si="126"/>
        <v>750</v>
      </c>
      <c r="P70" s="38">
        <f t="shared" si="3"/>
        <v>7</v>
      </c>
      <c r="Q70" s="38">
        <f t="shared" si="4"/>
        <v>9</v>
      </c>
      <c r="R70" s="39">
        <f t="shared" si="108"/>
        <v>0.49549073103567542</v>
      </c>
      <c r="S70" s="39">
        <f t="shared" si="108"/>
        <v>0.67728101673295105</v>
      </c>
      <c r="T70" s="39">
        <f t="shared" si="72"/>
        <v>0.18179028569727562</v>
      </c>
      <c r="U70" s="89">
        <f t="shared" si="71"/>
        <v>2.9801686179881251E-3</v>
      </c>
    </row>
    <row r="71" spans="1:21" ht="15.75" thickBot="1" x14ac:dyDescent="0.3">
      <c r="A71" s="41">
        <f t="shared" ref="A71:B71" si="127">A70+1</f>
        <v>61</v>
      </c>
      <c r="B71" s="42">
        <f t="shared" si="127"/>
        <v>61</v>
      </c>
      <c r="C71" s="92" t="str">
        <f t="shared" si="6"/>
        <v>L11X08-000_000_31</v>
      </c>
      <c r="D71" s="43">
        <f t="shared" si="73"/>
        <v>8</v>
      </c>
      <c r="E71" s="61">
        <f t="shared" si="0"/>
        <v>1.6240000000000001</v>
      </c>
      <c r="F71" s="44">
        <f t="shared" si="74"/>
        <v>20.3</v>
      </c>
      <c r="G71" s="44">
        <f t="shared" si="75"/>
        <v>16.240000000000002</v>
      </c>
      <c r="H71" s="44">
        <f t="shared" si="76"/>
        <v>10.15</v>
      </c>
      <c r="I71" s="44">
        <f t="shared" si="34"/>
        <v>8</v>
      </c>
      <c r="J71" s="45">
        <f t="shared" si="106"/>
        <v>0</v>
      </c>
      <c r="K71" s="87" t="s">
        <v>492</v>
      </c>
      <c r="L71" s="44">
        <f t="shared" ref="L71:N71" si="128">L70</f>
        <v>0.2</v>
      </c>
      <c r="M71" s="44">
        <f t="shared" si="128"/>
        <v>150</v>
      </c>
      <c r="N71" s="44">
        <f t="shared" si="128"/>
        <v>750</v>
      </c>
      <c r="P71" s="38">
        <f t="shared" si="3"/>
        <v>7</v>
      </c>
      <c r="Q71" s="38">
        <f t="shared" si="4"/>
        <v>9</v>
      </c>
      <c r="R71" s="39">
        <f t="shared" si="108"/>
        <v>0.49549073103567542</v>
      </c>
      <c r="S71" s="39">
        <f t="shared" si="108"/>
        <v>0.67728101673295105</v>
      </c>
      <c r="T71" s="39">
        <f t="shared" si="72"/>
        <v>0.18179028569727562</v>
      </c>
      <c r="U71" s="89">
        <f t="shared" si="71"/>
        <v>2.9801686179881251E-3</v>
      </c>
    </row>
    <row r="72" spans="1:21" ht="15.75" thickBot="1" x14ac:dyDescent="0.3">
      <c r="A72" s="41">
        <f t="shared" ref="A72:B72" si="129">A71+1</f>
        <v>62</v>
      </c>
      <c r="B72" s="42">
        <f t="shared" si="129"/>
        <v>62</v>
      </c>
      <c r="C72" s="92" t="str">
        <f t="shared" si="6"/>
        <v>L11X08-000_000_32</v>
      </c>
      <c r="D72" s="43">
        <f t="shared" si="73"/>
        <v>8</v>
      </c>
      <c r="E72" s="61">
        <f t="shared" si="0"/>
        <v>1.6240000000000001</v>
      </c>
      <c r="F72" s="44">
        <f t="shared" si="74"/>
        <v>20.3</v>
      </c>
      <c r="G72" s="44">
        <f t="shared" si="75"/>
        <v>16.240000000000002</v>
      </c>
      <c r="H72" s="44">
        <f t="shared" si="76"/>
        <v>10.15</v>
      </c>
      <c r="I72" s="44">
        <f t="shared" si="34"/>
        <v>8</v>
      </c>
      <c r="J72" s="45">
        <f t="shared" si="106"/>
        <v>0</v>
      </c>
      <c r="K72" s="87" t="s">
        <v>493</v>
      </c>
      <c r="L72" s="44">
        <f t="shared" ref="L72:N72" si="130">L71</f>
        <v>0.2</v>
      </c>
      <c r="M72" s="44">
        <f t="shared" si="130"/>
        <v>150</v>
      </c>
      <c r="N72" s="44">
        <f t="shared" si="130"/>
        <v>750</v>
      </c>
      <c r="P72" s="38">
        <f t="shared" si="3"/>
        <v>7</v>
      </c>
      <c r="Q72" s="38">
        <f t="shared" si="4"/>
        <v>9</v>
      </c>
      <c r="R72" s="39">
        <f t="shared" si="108"/>
        <v>0.49549073103567542</v>
      </c>
      <c r="S72" s="39">
        <f t="shared" si="108"/>
        <v>0.67728101673295105</v>
      </c>
      <c r="T72" s="39">
        <f t="shared" si="72"/>
        <v>0.18179028569727562</v>
      </c>
      <c r="U72" s="89">
        <f t="shared" si="71"/>
        <v>2.9801686179881251E-3</v>
      </c>
    </row>
    <row r="73" spans="1:21" ht="15.75" thickBot="1" x14ac:dyDescent="0.3">
      <c r="A73" s="41">
        <f t="shared" ref="A73:B73" si="131">A72+1</f>
        <v>63</v>
      </c>
      <c r="B73" s="42">
        <f t="shared" si="131"/>
        <v>63</v>
      </c>
      <c r="C73" s="92" t="str">
        <f t="shared" si="6"/>
        <v>L11X08-000_000_33</v>
      </c>
      <c r="D73" s="43">
        <f t="shared" si="73"/>
        <v>8</v>
      </c>
      <c r="E73" s="61">
        <f t="shared" si="0"/>
        <v>1.6240000000000001</v>
      </c>
      <c r="F73" s="44">
        <f t="shared" si="74"/>
        <v>20.3</v>
      </c>
      <c r="G73" s="44">
        <f t="shared" si="75"/>
        <v>16.240000000000002</v>
      </c>
      <c r="H73" s="44">
        <f t="shared" si="76"/>
        <v>10.15</v>
      </c>
      <c r="I73" s="44">
        <f t="shared" si="34"/>
        <v>8</v>
      </c>
      <c r="J73" s="45">
        <f t="shared" si="106"/>
        <v>0</v>
      </c>
      <c r="K73" s="87" t="s">
        <v>494</v>
      </c>
      <c r="L73" s="44">
        <f t="shared" ref="L73:N73" si="132">L72</f>
        <v>0.2</v>
      </c>
      <c r="M73" s="44">
        <f t="shared" si="132"/>
        <v>150</v>
      </c>
      <c r="N73" s="44">
        <f t="shared" si="132"/>
        <v>750</v>
      </c>
      <c r="P73" s="38">
        <f t="shared" si="3"/>
        <v>7</v>
      </c>
      <c r="Q73" s="38">
        <f t="shared" si="4"/>
        <v>9</v>
      </c>
      <c r="R73" s="39">
        <f t="shared" si="108"/>
        <v>0.49549073103567542</v>
      </c>
      <c r="S73" s="39">
        <f t="shared" si="108"/>
        <v>0.67728101673295105</v>
      </c>
      <c r="T73" s="39">
        <f t="shared" si="72"/>
        <v>0.18179028569727562</v>
      </c>
      <c r="U73" s="89">
        <f t="shared" si="71"/>
        <v>2.9801686179881251E-3</v>
      </c>
    </row>
    <row r="74" spans="1:21" ht="15.75" thickBot="1" x14ac:dyDescent="0.3">
      <c r="A74" s="41">
        <f t="shared" ref="A74:B74" si="133">A73+1</f>
        <v>64</v>
      </c>
      <c r="B74" s="42">
        <f t="shared" si="133"/>
        <v>64</v>
      </c>
      <c r="C74" s="92" t="str">
        <f t="shared" si="6"/>
        <v>L11X08-000_000_34</v>
      </c>
      <c r="D74" s="43">
        <f t="shared" si="73"/>
        <v>8</v>
      </c>
      <c r="E74" s="61">
        <f t="shared" si="0"/>
        <v>1.6240000000000001</v>
      </c>
      <c r="F74" s="44">
        <f t="shared" si="74"/>
        <v>20.3</v>
      </c>
      <c r="G74" s="44">
        <f t="shared" si="75"/>
        <v>16.240000000000002</v>
      </c>
      <c r="H74" s="44">
        <f t="shared" si="76"/>
        <v>10.15</v>
      </c>
      <c r="I74" s="44">
        <f t="shared" si="34"/>
        <v>8</v>
      </c>
      <c r="J74" s="45">
        <f t="shared" si="106"/>
        <v>0</v>
      </c>
      <c r="K74" s="87" t="s">
        <v>495</v>
      </c>
      <c r="L74" s="44">
        <f t="shared" ref="L74:N74" si="134">L73</f>
        <v>0.2</v>
      </c>
      <c r="M74" s="44">
        <f t="shared" si="134"/>
        <v>150</v>
      </c>
      <c r="N74" s="44">
        <f t="shared" si="134"/>
        <v>750</v>
      </c>
      <c r="P74" s="38">
        <f t="shared" si="3"/>
        <v>7</v>
      </c>
      <c r="Q74" s="38">
        <f t="shared" si="4"/>
        <v>9</v>
      </c>
      <c r="R74" s="39">
        <f t="shared" si="108"/>
        <v>0.49549073103567542</v>
      </c>
      <c r="S74" s="39">
        <f t="shared" si="108"/>
        <v>0.67728101673295105</v>
      </c>
      <c r="T74" s="39">
        <f t="shared" si="72"/>
        <v>0.18179028569727562</v>
      </c>
      <c r="U74" s="89">
        <f t="shared" si="71"/>
        <v>2.9801686179881251E-3</v>
      </c>
    </row>
    <row r="75" spans="1:21" ht="15.75" thickBot="1" x14ac:dyDescent="0.3">
      <c r="A75" s="41">
        <f t="shared" ref="A75:B75" si="135">A74+1</f>
        <v>65</v>
      </c>
      <c r="B75" s="42">
        <f t="shared" si="135"/>
        <v>65</v>
      </c>
      <c r="C75" s="92" t="str">
        <f t="shared" si="6"/>
        <v>L11X08-000_000_35</v>
      </c>
      <c r="D75" s="43">
        <f t="shared" si="73"/>
        <v>8</v>
      </c>
      <c r="E75" s="61">
        <f t="shared" si="0"/>
        <v>1.6240000000000001</v>
      </c>
      <c r="F75" s="44">
        <f t="shared" si="74"/>
        <v>20.3</v>
      </c>
      <c r="G75" s="44">
        <f t="shared" si="75"/>
        <v>16.240000000000002</v>
      </c>
      <c r="H75" s="44">
        <f t="shared" si="76"/>
        <v>10.15</v>
      </c>
      <c r="I75" s="44">
        <f t="shared" si="34"/>
        <v>8</v>
      </c>
      <c r="J75" s="45">
        <f t="shared" si="106"/>
        <v>0</v>
      </c>
      <c r="K75" s="87" t="s">
        <v>496</v>
      </c>
      <c r="L75" s="44">
        <f t="shared" ref="L75:N75" si="136">L74</f>
        <v>0.2</v>
      </c>
      <c r="M75" s="44">
        <f t="shared" si="136"/>
        <v>150</v>
      </c>
      <c r="N75" s="44">
        <f t="shared" si="136"/>
        <v>750</v>
      </c>
      <c r="P75" s="38">
        <f t="shared" si="3"/>
        <v>7</v>
      </c>
      <c r="Q75" s="38">
        <f t="shared" si="4"/>
        <v>9</v>
      </c>
      <c r="R75" s="39">
        <f t="shared" si="108"/>
        <v>0.49549073103567542</v>
      </c>
      <c r="S75" s="39">
        <f t="shared" si="108"/>
        <v>0.67728101673295105</v>
      </c>
      <c r="T75" s="39">
        <f t="shared" si="72"/>
        <v>0.18179028569727562</v>
      </c>
      <c r="U75" s="89">
        <f t="shared" si="71"/>
        <v>2.9801686179881251E-3</v>
      </c>
    </row>
    <row r="76" spans="1:21" ht="15.75" thickBot="1" x14ac:dyDescent="0.3">
      <c r="A76" s="41">
        <f t="shared" ref="A76:B76" si="137">A75+1</f>
        <v>66</v>
      </c>
      <c r="B76" s="42">
        <f t="shared" si="137"/>
        <v>66</v>
      </c>
      <c r="C76" s="92" t="str">
        <f t="shared" ref="C76:C139" si="138">TEXT(RIGHT($B$2,LEN($B$2)-3),"L00")&amp;"X"&amp;TEXT(D76,"00")&amp;"-"&amp;IF(J76&lt;0,TEXT(360+J76,"000"),TEXT(J76,"000"))&amp;"_"&amp;"000"&amp;"_"&amp;TEXT(RIGHT(K76,LEN(K76)-FIND("-",K76)),"00")</f>
        <v>L11X08-000_000_36</v>
      </c>
      <c r="D76" s="43">
        <f t="shared" si="73"/>
        <v>8</v>
      </c>
      <c r="E76" s="61">
        <f t="shared" si="0"/>
        <v>1.6240000000000001</v>
      </c>
      <c r="F76" s="44">
        <f t="shared" si="74"/>
        <v>20.3</v>
      </c>
      <c r="G76" s="44">
        <f t="shared" si="75"/>
        <v>16.240000000000002</v>
      </c>
      <c r="H76" s="44">
        <f t="shared" si="76"/>
        <v>10.15</v>
      </c>
      <c r="I76" s="44">
        <f t="shared" si="34"/>
        <v>8</v>
      </c>
      <c r="J76" s="45">
        <f t="shared" si="106"/>
        <v>0</v>
      </c>
      <c r="K76" s="87" t="s">
        <v>497</v>
      </c>
      <c r="L76" s="44">
        <f t="shared" ref="L76:N76" si="139">L75</f>
        <v>0.2</v>
      </c>
      <c r="M76" s="44">
        <f t="shared" si="139"/>
        <v>150</v>
      </c>
      <c r="N76" s="44">
        <f t="shared" si="139"/>
        <v>750</v>
      </c>
      <c r="P76" s="38">
        <f t="shared" si="3"/>
        <v>7</v>
      </c>
      <c r="Q76" s="38">
        <f t="shared" si="4"/>
        <v>9</v>
      </c>
      <c r="R76" s="39">
        <f t="shared" si="108"/>
        <v>0.49549073103567542</v>
      </c>
      <c r="S76" s="39">
        <f t="shared" si="108"/>
        <v>0.67728101673295105</v>
      </c>
      <c r="T76" s="39">
        <f t="shared" si="72"/>
        <v>0.18179028569727562</v>
      </c>
      <c r="U76" s="89">
        <f t="shared" si="71"/>
        <v>2.9801686179881251E-3</v>
      </c>
    </row>
    <row r="77" spans="1:21" ht="15.75" thickBot="1" x14ac:dyDescent="0.3">
      <c r="A77" s="41">
        <f t="shared" ref="A77:B77" si="140">A76+1</f>
        <v>67</v>
      </c>
      <c r="B77" s="42">
        <f t="shared" si="140"/>
        <v>67</v>
      </c>
      <c r="C77" s="92" t="str">
        <f t="shared" si="138"/>
        <v>L11X08-000_000_37</v>
      </c>
      <c r="D77" s="43">
        <f t="shared" si="73"/>
        <v>8</v>
      </c>
      <c r="E77" s="61">
        <f t="shared" si="0"/>
        <v>1.6240000000000001</v>
      </c>
      <c r="F77" s="44">
        <f t="shared" si="74"/>
        <v>20.3</v>
      </c>
      <c r="G77" s="44">
        <f t="shared" si="75"/>
        <v>16.240000000000002</v>
      </c>
      <c r="H77" s="44">
        <f t="shared" si="76"/>
        <v>10.15</v>
      </c>
      <c r="I77" s="44">
        <f t="shared" si="34"/>
        <v>8</v>
      </c>
      <c r="J77" s="45">
        <f t="shared" si="106"/>
        <v>0</v>
      </c>
      <c r="K77" s="87" t="s">
        <v>498</v>
      </c>
      <c r="L77" s="44">
        <f t="shared" ref="L77:N77" si="141">L76</f>
        <v>0.2</v>
      </c>
      <c r="M77" s="44">
        <f t="shared" si="141"/>
        <v>150</v>
      </c>
      <c r="N77" s="44">
        <f t="shared" si="141"/>
        <v>750</v>
      </c>
      <c r="P77" s="38">
        <f t="shared" si="3"/>
        <v>7</v>
      </c>
      <c r="Q77" s="38">
        <f t="shared" si="4"/>
        <v>9</v>
      </c>
      <c r="R77" s="39">
        <f t="shared" si="108"/>
        <v>0.49549073103567542</v>
      </c>
      <c r="S77" s="39">
        <f t="shared" si="108"/>
        <v>0.67728101673295105</v>
      </c>
      <c r="T77" s="39">
        <f t="shared" si="72"/>
        <v>0.18179028569727562</v>
      </c>
      <c r="U77" s="89">
        <f t="shared" si="71"/>
        <v>2.9801686179881251E-3</v>
      </c>
    </row>
    <row r="78" spans="1:21" ht="15.75" thickBot="1" x14ac:dyDescent="0.3">
      <c r="A78" s="41">
        <f t="shared" ref="A78:B78" si="142">A77+1</f>
        <v>68</v>
      </c>
      <c r="B78" s="42">
        <f t="shared" si="142"/>
        <v>68</v>
      </c>
      <c r="C78" s="92" t="str">
        <f t="shared" si="138"/>
        <v>L11X08-000_000_38</v>
      </c>
      <c r="D78" s="43">
        <f t="shared" si="73"/>
        <v>8</v>
      </c>
      <c r="E78" s="61">
        <f t="shared" si="0"/>
        <v>1.6240000000000001</v>
      </c>
      <c r="F78" s="44">
        <f t="shared" si="74"/>
        <v>20.3</v>
      </c>
      <c r="G78" s="44">
        <f t="shared" si="75"/>
        <v>16.240000000000002</v>
      </c>
      <c r="H78" s="44">
        <f t="shared" si="76"/>
        <v>10.15</v>
      </c>
      <c r="I78" s="44">
        <f t="shared" si="34"/>
        <v>8</v>
      </c>
      <c r="J78" s="45">
        <f t="shared" si="106"/>
        <v>0</v>
      </c>
      <c r="K78" s="87" t="s">
        <v>499</v>
      </c>
      <c r="L78" s="44">
        <f t="shared" ref="L78:N78" si="143">L77</f>
        <v>0.2</v>
      </c>
      <c r="M78" s="44">
        <f t="shared" si="143"/>
        <v>150</v>
      </c>
      <c r="N78" s="44">
        <f t="shared" si="143"/>
        <v>750</v>
      </c>
      <c r="P78" s="38">
        <f t="shared" si="3"/>
        <v>7</v>
      </c>
      <c r="Q78" s="38">
        <f t="shared" si="4"/>
        <v>9</v>
      </c>
      <c r="R78" s="39">
        <f t="shared" si="108"/>
        <v>0.49549073103567542</v>
      </c>
      <c r="S78" s="39">
        <f t="shared" si="108"/>
        <v>0.67728101673295105</v>
      </c>
      <c r="T78" s="39">
        <f t="shared" si="72"/>
        <v>0.18179028569727562</v>
      </c>
      <c r="U78" s="89">
        <f t="shared" si="71"/>
        <v>2.9801686179881251E-3</v>
      </c>
    </row>
    <row r="79" spans="1:21" ht="15.75" thickBot="1" x14ac:dyDescent="0.3">
      <c r="A79" s="41">
        <f t="shared" ref="A79:B79" si="144">A78+1</f>
        <v>69</v>
      </c>
      <c r="B79" s="42">
        <f t="shared" si="144"/>
        <v>69</v>
      </c>
      <c r="C79" s="92" t="str">
        <f t="shared" si="138"/>
        <v>L11X08-000_000_39</v>
      </c>
      <c r="D79" s="43">
        <f t="shared" si="73"/>
        <v>8</v>
      </c>
      <c r="E79" s="61">
        <f t="shared" si="0"/>
        <v>1.6240000000000001</v>
      </c>
      <c r="F79" s="44">
        <f t="shared" si="74"/>
        <v>20.3</v>
      </c>
      <c r="G79" s="44">
        <f t="shared" si="75"/>
        <v>16.240000000000002</v>
      </c>
      <c r="H79" s="44">
        <f t="shared" si="76"/>
        <v>10.15</v>
      </c>
      <c r="I79" s="44">
        <f t="shared" si="34"/>
        <v>8</v>
      </c>
      <c r="J79" s="45">
        <f t="shared" si="106"/>
        <v>0</v>
      </c>
      <c r="K79" s="87" t="s">
        <v>500</v>
      </c>
      <c r="L79" s="44">
        <f t="shared" ref="L79:N79" si="145">L78</f>
        <v>0.2</v>
      </c>
      <c r="M79" s="44">
        <f t="shared" si="145"/>
        <v>150</v>
      </c>
      <c r="N79" s="44">
        <f t="shared" si="145"/>
        <v>750</v>
      </c>
      <c r="P79" s="38">
        <f t="shared" si="3"/>
        <v>7</v>
      </c>
      <c r="Q79" s="38">
        <f t="shared" si="4"/>
        <v>9</v>
      </c>
      <c r="R79" s="39">
        <f t="shared" si="108"/>
        <v>0.49549073103567542</v>
      </c>
      <c r="S79" s="39">
        <f t="shared" si="108"/>
        <v>0.67728101673295105</v>
      </c>
      <c r="T79" s="39">
        <f t="shared" si="72"/>
        <v>0.18179028569727562</v>
      </c>
      <c r="U79" s="89">
        <f t="shared" si="71"/>
        <v>2.9801686179881251E-3</v>
      </c>
    </row>
    <row r="80" spans="1:21" ht="15.75" thickBot="1" x14ac:dyDescent="0.3">
      <c r="A80" s="41">
        <f t="shared" ref="A80:B80" si="146">A79+1</f>
        <v>70</v>
      </c>
      <c r="B80" s="42">
        <f t="shared" si="146"/>
        <v>70</v>
      </c>
      <c r="C80" s="92" t="str">
        <f t="shared" si="138"/>
        <v>L11X08-000_000_40</v>
      </c>
      <c r="D80" s="43">
        <f t="shared" si="73"/>
        <v>8</v>
      </c>
      <c r="E80" s="61">
        <f t="shared" si="0"/>
        <v>1.6240000000000001</v>
      </c>
      <c r="F80" s="44">
        <f t="shared" si="74"/>
        <v>20.3</v>
      </c>
      <c r="G80" s="44">
        <f t="shared" si="75"/>
        <v>16.240000000000002</v>
      </c>
      <c r="H80" s="44">
        <f t="shared" si="76"/>
        <v>10.15</v>
      </c>
      <c r="I80" s="44">
        <f t="shared" si="34"/>
        <v>8</v>
      </c>
      <c r="J80" s="45">
        <f t="shared" si="106"/>
        <v>0</v>
      </c>
      <c r="K80" s="87" t="s">
        <v>501</v>
      </c>
      <c r="L80" s="44">
        <f t="shared" ref="L80:N80" si="147">L79</f>
        <v>0.2</v>
      </c>
      <c r="M80" s="44">
        <f t="shared" si="147"/>
        <v>150</v>
      </c>
      <c r="N80" s="44">
        <f t="shared" si="147"/>
        <v>750</v>
      </c>
      <c r="P80" s="38">
        <f t="shared" si="3"/>
        <v>7</v>
      </c>
      <c r="Q80" s="38">
        <f t="shared" si="4"/>
        <v>9</v>
      </c>
      <c r="R80" s="39">
        <f t="shared" si="108"/>
        <v>0.49549073103567542</v>
      </c>
      <c r="S80" s="39">
        <f t="shared" si="108"/>
        <v>0.67728101673295105</v>
      </c>
      <c r="T80" s="39">
        <f t="shared" si="72"/>
        <v>0.18179028569727562</v>
      </c>
      <c r="U80" s="89">
        <f t="shared" si="71"/>
        <v>2.9801686179881251E-3</v>
      </c>
    </row>
    <row r="81" spans="1:21" ht="15.75" thickBot="1" x14ac:dyDescent="0.3">
      <c r="A81" s="41">
        <f t="shared" ref="A81:B81" si="148">A80+1</f>
        <v>71</v>
      </c>
      <c r="B81" s="42">
        <f t="shared" si="148"/>
        <v>71</v>
      </c>
      <c r="C81" s="92" t="str">
        <f t="shared" si="138"/>
        <v>L11X08-008_000_41</v>
      </c>
      <c r="D81" s="43">
        <f t="shared" si="73"/>
        <v>8</v>
      </c>
      <c r="E81" s="61">
        <f t="shared" si="0"/>
        <v>1.6240000000000001</v>
      </c>
      <c r="F81" s="44">
        <f t="shared" si="74"/>
        <v>20.3</v>
      </c>
      <c r="G81" s="44">
        <f t="shared" si="75"/>
        <v>16.240000000000002</v>
      </c>
      <c r="H81" s="44">
        <f t="shared" si="76"/>
        <v>10.15</v>
      </c>
      <c r="I81" s="44">
        <f t="shared" si="34"/>
        <v>8</v>
      </c>
      <c r="J81" s="45">
        <f t="shared" ref="J81:J100" si="149">yaw_max</f>
        <v>8</v>
      </c>
      <c r="K81" s="87" t="s">
        <v>502</v>
      </c>
      <c r="L81" s="44">
        <f t="shared" ref="L81:N81" si="150">L80</f>
        <v>0.2</v>
      </c>
      <c r="M81" s="44">
        <f t="shared" si="150"/>
        <v>150</v>
      </c>
      <c r="N81" s="44">
        <f t="shared" si="150"/>
        <v>750</v>
      </c>
      <c r="P81" s="38">
        <f t="shared" si="3"/>
        <v>7</v>
      </c>
      <c r="Q81" s="38">
        <f t="shared" si="4"/>
        <v>9</v>
      </c>
      <c r="R81" s="39">
        <f t="shared" si="108"/>
        <v>0.49549073103567542</v>
      </c>
      <c r="S81" s="39">
        <f t="shared" si="108"/>
        <v>0.67728101673295105</v>
      </c>
      <c r="T81" s="39">
        <f t="shared" si="72"/>
        <v>0.18179028569727562</v>
      </c>
      <c r="U81" s="89">
        <f t="shared" si="71"/>
        <v>2.9801686179881251E-3</v>
      </c>
    </row>
    <row r="82" spans="1:21" ht="15.75" thickBot="1" x14ac:dyDescent="0.3">
      <c r="A82" s="41">
        <f t="shared" ref="A82:B82" si="151">A81+1</f>
        <v>72</v>
      </c>
      <c r="B82" s="42">
        <f t="shared" si="151"/>
        <v>72</v>
      </c>
      <c r="C82" s="92" t="str">
        <f t="shared" si="138"/>
        <v>L11X08-008_000_42</v>
      </c>
      <c r="D82" s="43">
        <f t="shared" si="73"/>
        <v>8</v>
      </c>
      <c r="E82" s="61">
        <f t="shared" si="0"/>
        <v>1.6240000000000001</v>
      </c>
      <c r="F82" s="44">
        <f t="shared" si="74"/>
        <v>20.3</v>
      </c>
      <c r="G82" s="44">
        <f t="shared" si="75"/>
        <v>16.240000000000002</v>
      </c>
      <c r="H82" s="44">
        <f t="shared" si="76"/>
        <v>10.15</v>
      </c>
      <c r="I82" s="44">
        <f t="shared" si="34"/>
        <v>8</v>
      </c>
      <c r="J82" s="45">
        <f t="shared" si="149"/>
        <v>8</v>
      </c>
      <c r="K82" s="87" t="s">
        <v>503</v>
      </c>
      <c r="L82" s="44">
        <f t="shared" ref="L82:N82" si="152">L81</f>
        <v>0.2</v>
      </c>
      <c r="M82" s="44">
        <f t="shared" si="152"/>
        <v>150</v>
      </c>
      <c r="N82" s="44">
        <f t="shared" si="152"/>
        <v>750</v>
      </c>
      <c r="P82" s="38">
        <f t="shared" si="3"/>
        <v>7</v>
      </c>
      <c r="Q82" s="38">
        <f t="shared" si="4"/>
        <v>9</v>
      </c>
      <c r="R82" s="39">
        <f t="shared" si="108"/>
        <v>0.49549073103567542</v>
      </c>
      <c r="S82" s="39">
        <f t="shared" si="108"/>
        <v>0.67728101673295105</v>
      </c>
      <c r="T82" s="39">
        <f t="shared" si="72"/>
        <v>0.18179028569727562</v>
      </c>
      <c r="U82" s="89">
        <f t="shared" si="71"/>
        <v>2.9801686179881251E-3</v>
      </c>
    </row>
    <row r="83" spans="1:21" ht="15.75" thickBot="1" x14ac:dyDescent="0.3">
      <c r="A83" s="41">
        <f t="shared" ref="A83:B83" si="153">A82+1</f>
        <v>73</v>
      </c>
      <c r="B83" s="42">
        <f t="shared" si="153"/>
        <v>73</v>
      </c>
      <c r="C83" s="92" t="str">
        <f t="shared" si="138"/>
        <v>L11X08-008_000_43</v>
      </c>
      <c r="D83" s="43">
        <f t="shared" si="73"/>
        <v>8</v>
      </c>
      <c r="E83" s="61">
        <f t="shared" si="0"/>
        <v>1.6240000000000001</v>
      </c>
      <c r="F83" s="44">
        <f t="shared" si="74"/>
        <v>20.3</v>
      </c>
      <c r="G83" s="44">
        <f t="shared" si="75"/>
        <v>16.240000000000002</v>
      </c>
      <c r="H83" s="44">
        <f t="shared" si="76"/>
        <v>10.15</v>
      </c>
      <c r="I83" s="44">
        <f t="shared" si="34"/>
        <v>8</v>
      </c>
      <c r="J83" s="45">
        <f t="shared" si="149"/>
        <v>8</v>
      </c>
      <c r="K83" s="87" t="s">
        <v>504</v>
      </c>
      <c r="L83" s="44">
        <f t="shared" ref="L83:N83" si="154">L82</f>
        <v>0.2</v>
      </c>
      <c r="M83" s="44">
        <f t="shared" si="154"/>
        <v>150</v>
      </c>
      <c r="N83" s="44">
        <f t="shared" si="154"/>
        <v>750</v>
      </c>
      <c r="P83" s="38">
        <f t="shared" si="3"/>
        <v>7</v>
      </c>
      <c r="Q83" s="38">
        <f t="shared" si="4"/>
        <v>9</v>
      </c>
      <c r="R83" s="39">
        <f t="shared" si="108"/>
        <v>0.49549073103567542</v>
      </c>
      <c r="S83" s="39">
        <f t="shared" si="108"/>
        <v>0.67728101673295105</v>
      </c>
      <c r="T83" s="39">
        <f t="shared" si="72"/>
        <v>0.18179028569727562</v>
      </c>
      <c r="U83" s="89">
        <f t="shared" si="71"/>
        <v>2.9801686179881251E-3</v>
      </c>
    </row>
    <row r="84" spans="1:21" ht="15.75" thickBot="1" x14ac:dyDescent="0.3">
      <c r="A84" s="41">
        <f t="shared" ref="A84:B84" si="155">A83+1</f>
        <v>74</v>
      </c>
      <c r="B84" s="42">
        <f t="shared" si="155"/>
        <v>74</v>
      </c>
      <c r="C84" s="92" t="str">
        <f t="shared" si="138"/>
        <v>L11X08-008_000_44</v>
      </c>
      <c r="D84" s="43">
        <f t="shared" si="73"/>
        <v>8</v>
      </c>
      <c r="E84" s="61">
        <f t="shared" si="0"/>
        <v>1.6240000000000001</v>
      </c>
      <c r="F84" s="44">
        <f t="shared" si="74"/>
        <v>20.3</v>
      </c>
      <c r="G84" s="44">
        <f t="shared" si="75"/>
        <v>16.240000000000002</v>
      </c>
      <c r="H84" s="44">
        <f t="shared" si="76"/>
        <v>10.15</v>
      </c>
      <c r="I84" s="44">
        <f t="shared" si="34"/>
        <v>8</v>
      </c>
      <c r="J84" s="45">
        <f t="shared" si="149"/>
        <v>8</v>
      </c>
      <c r="K84" s="87" t="s">
        <v>505</v>
      </c>
      <c r="L84" s="44">
        <f t="shared" ref="L84:N84" si="156">L83</f>
        <v>0.2</v>
      </c>
      <c r="M84" s="44">
        <f t="shared" si="156"/>
        <v>150</v>
      </c>
      <c r="N84" s="44">
        <f t="shared" si="156"/>
        <v>750</v>
      </c>
      <c r="P84" s="38">
        <f t="shared" si="3"/>
        <v>7</v>
      </c>
      <c r="Q84" s="38">
        <f t="shared" si="4"/>
        <v>9</v>
      </c>
      <c r="R84" s="39">
        <f t="shared" si="108"/>
        <v>0.49549073103567542</v>
      </c>
      <c r="S84" s="39">
        <f t="shared" si="108"/>
        <v>0.67728101673295105</v>
      </c>
      <c r="T84" s="39">
        <f t="shared" si="72"/>
        <v>0.18179028569727562</v>
      </c>
      <c r="U84" s="89">
        <f t="shared" si="71"/>
        <v>2.9801686179881251E-3</v>
      </c>
    </row>
    <row r="85" spans="1:21" ht="15.75" thickBot="1" x14ac:dyDescent="0.3">
      <c r="A85" s="41">
        <f t="shared" ref="A85:B85" si="157">A84+1</f>
        <v>75</v>
      </c>
      <c r="B85" s="42">
        <f t="shared" si="157"/>
        <v>75</v>
      </c>
      <c r="C85" s="92" t="str">
        <f t="shared" si="138"/>
        <v>L11X08-008_000_45</v>
      </c>
      <c r="D85" s="43">
        <f t="shared" si="73"/>
        <v>8</v>
      </c>
      <c r="E85" s="61">
        <f t="shared" si="0"/>
        <v>1.6240000000000001</v>
      </c>
      <c r="F85" s="44">
        <f t="shared" si="74"/>
        <v>20.3</v>
      </c>
      <c r="G85" s="44">
        <f t="shared" si="75"/>
        <v>16.240000000000002</v>
      </c>
      <c r="H85" s="44">
        <f t="shared" si="76"/>
        <v>10.15</v>
      </c>
      <c r="I85" s="44">
        <f t="shared" si="34"/>
        <v>8</v>
      </c>
      <c r="J85" s="45">
        <f t="shared" si="149"/>
        <v>8</v>
      </c>
      <c r="K85" s="87" t="s">
        <v>506</v>
      </c>
      <c r="L85" s="44">
        <f t="shared" ref="L85:N85" si="158">L84</f>
        <v>0.2</v>
      </c>
      <c r="M85" s="44">
        <f t="shared" si="158"/>
        <v>150</v>
      </c>
      <c r="N85" s="44">
        <f t="shared" si="158"/>
        <v>750</v>
      </c>
      <c r="P85" s="38">
        <f t="shared" si="3"/>
        <v>7</v>
      </c>
      <c r="Q85" s="38">
        <f t="shared" si="4"/>
        <v>9</v>
      </c>
      <c r="R85" s="39">
        <f t="shared" si="108"/>
        <v>0.49549073103567542</v>
      </c>
      <c r="S85" s="39">
        <f t="shared" si="108"/>
        <v>0.67728101673295105</v>
      </c>
      <c r="T85" s="39">
        <f t="shared" si="72"/>
        <v>0.18179028569727562</v>
      </c>
      <c r="U85" s="89">
        <f t="shared" si="71"/>
        <v>2.9801686179881251E-3</v>
      </c>
    </row>
    <row r="86" spans="1:21" ht="15.75" thickBot="1" x14ac:dyDescent="0.3">
      <c r="A86" s="41">
        <f t="shared" ref="A86:B86" si="159">A85+1</f>
        <v>76</v>
      </c>
      <c r="B86" s="42">
        <f t="shared" si="159"/>
        <v>76</v>
      </c>
      <c r="C86" s="92" t="str">
        <f t="shared" si="138"/>
        <v>L11X08-008_000_46</v>
      </c>
      <c r="D86" s="43">
        <f t="shared" si="73"/>
        <v>8</v>
      </c>
      <c r="E86" s="61">
        <f t="shared" si="0"/>
        <v>1.6240000000000001</v>
      </c>
      <c r="F86" s="44">
        <f t="shared" si="74"/>
        <v>20.3</v>
      </c>
      <c r="G86" s="44">
        <f t="shared" si="75"/>
        <v>16.240000000000002</v>
      </c>
      <c r="H86" s="44">
        <f t="shared" si="76"/>
        <v>10.15</v>
      </c>
      <c r="I86" s="44">
        <f t="shared" si="34"/>
        <v>8</v>
      </c>
      <c r="J86" s="45">
        <f t="shared" si="149"/>
        <v>8</v>
      </c>
      <c r="K86" s="87" t="s">
        <v>507</v>
      </c>
      <c r="L86" s="44">
        <f t="shared" ref="L86:N86" si="160">L85</f>
        <v>0.2</v>
      </c>
      <c r="M86" s="44">
        <f t="shared" si="160"/>
        <v>150</v>
      </c>
      <c r="N86" s="44">
        <f t="shared" si="160"/>
        <v>750</v>
      </c>
      <c r="P86" s="38">
        <f t="shared" si="3"/>
        <v>7</v>
      </c>
      <c r="Q86" s="38">
        <f t="shared" si="4"/>
        <v>9</v>
      </c>
      <c r="R86" s="39">
        <f t="shared" si="108"/>
        <v>0.49549073103567542</v>
      </c>
      <c r="S86" s="39">
        <f t="shared" si="108"/>
        <v>0.67728101673295105</v>
      </c>
      <c r="T86" s="39">
        <f t="shared" si="72"/>
        <v>0.18179028569727562</v>
      </c>
      <c r="U86" s="89">
        <f t="shared" si="71"/>
        <v>2.9801686179881251E-3</v>
      </c>
    </row>
    <row r="87" spans="1:21" ht="15.75" thickBot="1" x14ac:dyDescent="0.3">
      <c r="A87" s="41">
        <f t="shared" ref="A87:B87" si="161">A86+1</f>
        <v>77</v>
      </c>
      <c r="B87" s="42">
        <f t="shared" si="161"/>
        <v>77</v>
      </c>
      <c r="C87" s="92" t="str">
        <f t="shared" si="138"/>
        <v>L11X08-008_000_47</v>
      </c>
      <c r="D87" s="43">
        <f t="shared" si="73"/>
        <v>8</v>
      </c>
      <c r="E87" s="61">
        <f t="shared" si="0"/>
        <v>1.6240000000000001</v>
      </c>
      <c r="F87" s="44">
        <f t="shared" si="74"/>
        <v>20.3</v>
      </c>
      <c r="G87" s="44">
        <f t="shared" si="75"/>
        <v>16.240000000000002</v>
      </c>
      <c r="H87" s="44">
        <f t="shared" si="76"/>
        <v>10.15</v>
      </c>
      <c r="I87" s="44">
        <f t="shared" si="34"/>
        <v>8</v>
      </c>
      <c r="J87" s="45">
        <f t="shared" si="149"/>
        <v>8</v>
      </c>
      <c r="K87" s="87" t="s">
        <v>508</v>
      </c>
      <c r="L87" s="44">
        <f t="shared" ref="L87:N87" si="162">L86</f>
        <v>0.2</v>
      </c>
      <c r="M87" s="44">
        <f t="shared" si="162"/>
        <v>150</v>
      </c>
      <c r="N87" s="44">
        <f t="shared" si="162"/>
        <v>750</v>
      </c>
      <c r="P87" s="38">
        <f t="shared" si="3"/>
        <v>7</v>
      </c>
      <c r="Q87" s="38">
        <f t="shared" si="4"/>
        <v>9</v>
      </c>
      <c r="R87" s="39">
        <f t="shared" si="108"/>
        <v>0.49549073103567542</v>
      </c>
      <c r="S87" s="39">
        <f t="shared" si="108"/>
        <v>0.67728101673295105</v>
      </c>
      <c r="T87" s="39">
        <f t="shared" si="72"/>
        <v>0.18179028569727562</v>
      </c>
      <c r="U87" s="89">
        <f t="shared" si="71"/>
        <v>2.9801686179881251E-3</v>
      </c>
    </row>
    <row r="88" spans="1:21" ht="15.75" thickBot="1" x14ac:dyDescent="0.3">
      <c r="A88" s="41">
        <f t="shared" ref="A88:B88" si="163">A87+1</f>
        <v>78</v>
      </c>
      <c r="B88" s="42">
        <f t="shared" si="163"/>
        <v>78</v>
      </c>
      <c r="C88" s="92" t="str">
        <f t="shared" si="138"/>
        <v>L11X08-008_000_48</v>
      </c>
      <c r="D88" s="43">
        <f t="shared" si="73"/>
        <v>8</v>
      </c>
      <c r="E88" s="61">
        <f t="shared" si="0"/>
        <v>1.6240000000000001</v>
      </c>
      <c r="F88" s="44">
        <f t="shared" si="74"/>
        <v>20.3</v>
      </c>
      <c r="G88" s="44">
        <f t="shared" si="75"/>
        <v>16.240000000000002</v>
      </c>
      <c r="H88" s="44">
        <f t="shared" si="76"/>
        <v>10.15</v>
      </c>
      <c r="I88" s="44">
        <f t="shared" si="34"/>
        <v>8</v>
      </c>
      <c r="J88" s="45">
        <f t="shared" si="149"/>
        <v>8</v>
      </c>
      <c r="K88" s="87" t="s">
        <v>509</v>
      </c>
      <c r="L88" s="44">
        <f t="shared" ref="L88:N88" si="164">L87</f>
        <v>0.2</v>
      </c>
      <c r="M88" s="44">
        <f t="shared" si="164"/>
        <v>150</v>
      </c>
      <c r="N88" s="44">
        <f t="shared" si="164"/>
        <v>750</v>
      </c>
      <c r="P88" s="38">
        <f t="shared" si="3"/>
        <v>7</v>
      </c>
      <c r="Q88" s="38">
        <f t="shared" si="4"/>
        <v>9</v>
      </c>
      <c r="R88" s="39">
        <f t="shared" si="108"/>
        <v>0.49549073103567542</v>
      </c>
      <c r="S88" s="39">
        <f t="shared" si="108"/>
        <v>0.67728101673295105</v>
      </c>
      <c r="T88" s="39">
        <f t="shared" si="72"/>
        <v>0.18179028569727562</v>
      </c>
      <c r="U88" s="89">
        <f t="shared" si="71"/>
        <v>2.9801686179881251E-3</v>
      </c>
    </row>
    <row r="89" spans="1:21" ht="15.75" thickBot="1" x14ac:dyDescent="0.3">
      <c r="A89" s="41">
        <f t="shared" ref="A89:B89" si="165">A88+1</f>
        <v>79</v>
      </c>
      <c r="B89" s="42">
        <f t="shared" si="165"/>
        <v>79</v>
      </c>
      <c r="C89" s="92" t="str">
        <f t="shared" si="138"/>
        <v>L11X08-008_000_49</v>
      </c>
      <c r="D89" s="43">
        <f t="shared" si="73"/>
        <v>8</v>
      </c>
      <c r="E89" s="61">
        <f t="shared" si="0"/>
        <v>1.6240000000000001</v>
      </c>
      <c r="F89" s="44">
        <f t="shared" si="74"/>
        <v>20.3</v>
      </c>
      <c r="G89" s="44">
        <f t="shared" si="75"/>
        <v>16.240000000000002</v>
      </c>
      <c r="H89" s="44">
        <f t="shared" si="76"/>
        <v>10.15</v>
      </c>
      <c r="I89" s="44">
        <f t="shared" si="34"/>
        <v>8</v>
      </c>
      <c r="J89" s="45">
        <f t="shared" si="149"/>
        <v>8</v>
      </c>
      <c r="K89" s="87" t="s">
        <v>510</v>
      </c>
      <c r="L89" s="44">
        <f t="shared" ref="L89:N89" si="166">L88</f>
        <v>0.2</v>
      </c>
      <c r="M89" s="44">
        <f t="shared" si="166"/>
        <v>150</v>
      </c>
      <c r="N89" s="44">
        <f t="shared" si="166"/>
        <v>750</v>
      </c>
      <c r="P89" s="38">
        <f t="shared" si="3"/>
        <v>7</v>
      </c>
      <c r="Q89" s="38">
        <f t="shared" si="4"/>
        <v>9</v>
      </c>
      <c r="R89" s="39">
        <f t="shared" si="108"/>
        <v>0.49549073103567542</v>
      </c>
      <c r="S89" s="39">
        <f t="shared" si="108"/>
        <v>0.67728101673295105</v>
      </c>
      <c r="T89" s="39">
        <f t="shared" si="72"/>
        <v>0.18179028569727562</v>
      </c>
      <c r="U89" s="89">
        <f t="shared" si="71"/>
        <v>2.9801686179881251E-3</v>
      </c>
    </row>
    <row r="90" spans="1:21" ht="15.75" thickBot="1" x14ac:dyDescent="0.3">
      <c r="A90" s="41">
        <f t="shared" ref="A90:B90" si="167">A89+1</f>
        <v>80</v>
      </c>
      <c r="B90" s="42">
        <f t="shared" si="167"/>
        <v>80</v>
      </c>
      <c r="C90" s="92" t="str">
        <f t="shared" si="138"/>
        <v>L11X08-008_000_50</v>
      </c>
      <c r="D90" s="43">
        <f t="shared" si="73"/>
        <v>8</v>
      </c>
      <c r="E90" s="61">
        <f t="shared" si="0"/>
        <v>1.6240000000000001</v>
      </c>
      <c r="F90" s="44">
        <f t="shared" si="74"/>
        <v>20.3</v>
      </c>
      <c r="G90" s="44">
        <f t="shared" si="75"/>
        <v>16.240000000000002</v>
      </c>
      <c r="H90" s="44">
        <f t="shared" si="76"/>
        <v>10.15</v>
      </c>
      <c r="I90" s="44">
        <f t="shared" si="34"/>
        <v>8</v>
      </c>
      <c r="J90" s="45">
        <f t="shared" si="149"/>
        <v>8</v>
      </c>
      <c r="K90" s="87" t="s">
        <v>511</v>
      </c>
      <c r="L90" s="44">
        <f t="shared" ref="L90:N90" si="168">L89</f>
        <v>0.2</v>
      </c>
      <c r="M90" s="44">
        <f t="shared" si="168"/>
        <v>150</v>
      </c>
      <c r="N90" s="44">
        <f t="shared" si="168"/>
        <v>750</v>
      </c>
      <c r="P90" s="38">
        <f t="shared" si="3"/>
        <v>7</v>
      </c>
      <c r="Q90" s="38">
        <f t="shared" si="4"/>
        <v>9</v>
      </c>
      <c r="R90" s="39">
        <f t="shared" si="108"/>
        <v>0.49549073103567542</v>
      </c>
      <c r="S90" s="39">
        <f t="shared" si="108"/>
        <v>0.67728101673295105</v>
      </c>
      <c r="T90" s="39">
        <f t="shared" si="72"/>
        <v>0.18179028569727562</v>
      </c>
      <c r="U90" s="89">
        <f t="shared" si="71"/>
        <v>2.9801686179881251E-3</v>
      </c>
    </row>
    <row r="91" spans="1:21" ht="15.75" thickBot="1" x14ac:dyDescent="0.3">
      <c r="A91" s="41">
        <f t="shared" ref="A91:B91" si="169">A90+1</f>
        <v>81</v>
      </c>
      <c r="B91" s="42">
        <f t="shared" si="169"/>
        <v>81</v>
      </c>
      <c r="C91" s="92" t="str">
        <f t="shared" si="138"/>
        <v>L11X08-008_000_51</v>
      </c>
      <c r="D91" s="43">
        <f t="shared" si="73"/>
        <v>8</v>
      </c>
      <c r="E91" s="61">
        <f t="shared" si="0"/>
        <v>1.6240000000000001</v>
      </c>
      <c r="F91" s="44">
        <f t="shared" si="74"/>
        <v>20.3</v>
      </c>
      <c r="G91" s="44">
        <f t="shared" si="75"/>
        <v>16.240000000000002</v>
      </c>
      <c r="H91" s="44">
        <f t="shared" si="76"/>
        <v>10.15</v>
      </c>
      <c r="I91" s="44">
        <f t="shared" si="34"/>
        <v>8</v>
      </c>
      <c r="J91" s="45">
        <f t="shared" si="149"/>
        <v>8</v>
      </c>
      <c r="K91" s="87" t="s">
        <v>512</v>
      </c>
      <c r="L91" s="44">
        <f t="shared" ref="L91:N91" si="170">L90</f>
        <v>0.2</v>
      </c>
      <c r="M91" s="44">
        <f t="shared" si="170"/>
        <v>150</v>
      </c>
      <c r="N91" s="44">
        <f t="shared" si="170"/>
        <v>750</v>
      </c>
      <c r="P91" s="38">
        <f t="shared" si="3"/>
        <v>7</v>
      </c>
      <c r="Q91" s="38">
        <f t="shared" si="4"/>
        <v>9</v>
      </c>
      <c r="R91" s="39">
        <f t="shared" si="108"/>
        <v>0.49549073103567542</v>
      </c>
      <c r="S91" s="39">
        <f t="shared" si="108"/>
        <v>0.67728101673295105</v>
      </c>
      <c r="T91" s="39">
        <f t="shared" si="72"/>
        <v>0.18179028569727562</v>
      </c>
      <c r="U91" s="89">
        <f t="shared" si="71"/>
        <v>2.9801686179881251E-3</v>
      </c>
    </row>
    <row r="92" spans="1:21" ht="15.75" thickBot="1" x14ac:dyDescent="0.3">
      <c r="A92" s="41">
        <f t="shared" ref="A92:B92" si="171">A91+1</f>
        <v>82</v>
      </c>
      <c r="B92" s="42">
        <f t="shared" si="171"/>
        <v>82</v>
      </c>
      <c r="C92" s="92" t="str">
        <f t="shared" si="138"/>
        <v>L11X08-008_000_52</v>
      </c>
      <c r="D92" s="43">
        <f t="shared" si="73"/>
        <v>8</v>
      </c>
      <c r="E92" s="61">
        <f t="shared" si="0"/>
        <v>1.6240000000000001</v>
      </c>
      <c r="F92" s="44">
        <f t="shared" si="74"/>
        <v>20.3</v>
      </c>
      <c r="G92" s="44">
        <f t="shared" si="75"/>
        <v>16.240000000000002</v>
      </c>
      <c r="H92" s="44">
        <f t="shared" si="76"/>
        <v>10.15</v>
      </c>
      <c r="I92" s="44">
        <f t="shared" si="34"/>
        <v>8</v>
      </c>
      <c r="J92" s="45">
        <f t="shared" si="149"/>
        <v>8</v>
      </c>
      <c r="K92" s="87" t="s">
        <v>513</v>
      </c>
      <c r="L92" s="44">
        <f t="shared" ref="L92:N92" si="172">L91</f>
        <v>0.2</v>
      </c>
      <c r="M92" s="44">
        <f t="shared" si="172"/>
        <v>150</v>
      </c>
      <c r="N92" s="44">
        <f t="shared" si="172"/>
        <v>750</v>
      </c>
      <c r="P92" s="38">
        <f t="shared" si="3"/>
        <v>7</v>
      </c>
      <c r="Q92" s="38">
        <f t="shared" si="4"/>
        <v>9</v>
      </c>
      <c r="R92" s="39">
        <f t="shared" si="108"/>
        <v>0.49549073103567542</v>
      </c>
      <c r="S92" s="39">
        <f t="shared" si="108"/>
        <v>0.67728101673295105</v>
      </c>
      <c r="T92" s="39">
        <f t="shared" si="72"/>
        <v>0.18179028569727562</v>
      </c>
      <c r="U92" s="89">
        <f t="shared" si="71"/>
        <v>2.9801686179881251E-3</v>
      </c>
    </row>
    <row r="93" spans="1:21" ht="15.75" thickBot="1" x14ac:dyDescent="0.3">
      <c r="A93" s="41">
        <f t="shared" ref="A93:B93" si="173">A92+1</f>
        <v>83</v>
      </c>
      <c r="B93" s="42">
        <f t="shared" si="173"/>
        <v>83</v>
      </c>
      <c r="C93" s="92" t="str">
        <f t="shared" si="138"/>
        <v>L11X08-008_000_53</v>
      </c>
      <c r="D93" s="43">
        <f t="shared" si="73"/>
        <v>8</v>
      </c>
      <c r="E93" s="61">
        <f t="shared" ref="E93:E156" si="174">I_ref*(0.75*D93+5.6)</f>
        <v>1.6240000000000001</v>
      </c>
      <c r="F93" s="44">
        <f t="shared" si="74"/>
        <v>20.3</v>
      </c>
      <c r="G93" s="44">
        <f t="shared" si="75"/>
        <v>16.240000000000002</v>
      </c>
      <c r="H93" s="44">
        <f t="shared" si="76"/>
        <v>10.15</v>
      </c>
      <c r="I93" s="44">
        <f t="shared" si="34"/>
        <v>8</v>
      </c>
      <c r="J93" s="45">
        <f t="shared" si="149"/>
        <v>8</v>
      </c>
      <c r="K93" s="87" t="s">
        <v>514</v>
      </c>
      <c r="L93" s="44">
        <f t="shared" ref="L93:N93" si="175">L92</f>
        <v>0.2</v>
      </c>
      <c r="M93" s="44">
        <f t="shared" si="175"/>
        <v>150</v>
      </c>
      <c r="N93" s="44">
        <f t="shared" si="175"/>
        <v>750</v>
      </c>
      <c r="P93" s="38">
        <f t="shared" ref="P93:P94" si="176">D93-v_step/2</f>
        <v>7</v>
      </c>
      <c r="Q93" s="38">
        <f t="shared" ref="Q93:Q94" si="177">P93+v_step</f>
        <v>9</v>
      </c>
      <c r="R93" s="39">
        <f t="shared" si="108"/>
        <v>0.49549073103567542</v>
      </c>
      <c r="S93" s="39">
        <f t="shared" si="108"/>
        <v>0.67728101673295105</v>
      </c>
      <c r="T93" s="39">
        <f t="shared" si="72"/>
        <v>0.18179028569727562</v>
      </c>
      <c r="U93" s="89">
        <f t="shared" si="71"/>
        <v>2.9801686179881251E-3</v>
      </c>
    </row>
    <row r="94" spans="1:21" ht="15.75" thickBot="1" x14ac:dyDescent="0.3">
      <c r="A94" s="41">
        <f t="shared" ref="A94:B94" si="178">A93+1</f>
        <v>84</v>
      </c>
      <c r="B94" s="42">
        <f t="shared" si="178"/>
        <v>84</v>
      </c>
      <c r="C94" s="92" t="str">
        <f t="shared" si="138"/>
        <v>L11X08-008_000_54</v>
      </c>
      <c r="D94" s="43">
        <f t="shared" si="73"/>
        <v>8</v>
      </c>
      <c r="E94" s="61">
        <f t="shared" si="174"/>
        <v>1.6240000000000001</v>
      </c>
      <c r="F94" s="44">
        <f t="shared" si="74"/>
        <v>20.3</v>
      </c>
      <c r="G94" s="44">
        <f t="shared" si="75"/>
        <v>16.240000000000002</v>
      </c>
      <c r="H94" s="44">
        <f t="shared" si="76"/>
        <v>10.15</v>
      </c>
      <c r="I94" s="44">
        <f t="shared" si="34"/>
        <v>8</v>
      </c>
      <c r="J94" s="45">
        <f t="shared" si="149"/>
        <v>8</v>
      </c>
      <c r="K94" s="87" t="s">
        <v>515</v>
      </c>
      <c r="L94" s="44">
        <f t="shared" ref="L94:N94" si="179">L93</f>
        <v>0.2</v>
      </c>
      <c r="M94" s="44">
        <f t="shared" si="179"/>
        <v>150</v>
      </c>
      <c r="N94" s="44">
        <f t="shared" si="179"/>
        <v>750</v>
      </c>
      <c r="P94" s="38">
        <f t="shared" si="176"/>
        <v>7</v>
      </c>
      <c r="Q94" s="38">
        <f t="shared" si="177"/>
        <v>9</v>
      </c>
      <c r="R94" s="39">
        <f t="shared" si="108"/>
        <v>0.49549073103567542</v>
      </c>
      <c r="S94" s="39">
        <f t="shared" si="108"/>
        <v>0.67728101673295105</v>
      </c>
      <c r="T94" s="39">
        <f t="shared" ref="T94:T95" si="180">S94-R94</f>
        <v>0.18179028569727562</v>
      </c>
      <c r="U94" s="89">
        <f t="shared" si="71"/>
        <v>2.9801686179881251E-3</v>
      </c>
    </row>
    <row r="95" spans="1:21" ht="15.75" thickBot="1" x14ac:dyDescent="0.3">
      <c r="A95" s="41">
        <f t="shared" ref="A95:B95" si="181">A94+1</f>
        <v>85</v>
      </c>
      <c r="B95" s="42">
        <f t="shared" si="181"/>
        <v>85</v>
      </c>
      <c r="C95" s="92" t="str">
        <f t="shared" si="138"/>
        <v>L11X08-008_000_55</v>
      </c>
      <c r="D95" s="43">
        <f t="shared" si="73"/>
        <v>8</v>
      </c>
      <c r="E95" s="61">
        <f t="shared" si="174"/>
        <v>1.6240000000000001</v>
      </c>
      <c r="F95" s="44">
        <f t="shared" si="74"/>
        <v>20.3</v>
      </c>
      <c r="G95" s="44">
        <f t="shared" si="75"/>
        <v>16.240000000000002</v>
      </c>
      <c r="H95" s="44">
        <f t="shared" si="76"/>
        <v>10.15</v>
      </c>
      <c r="I95" s="44">
        <f t="shared" ref="I95:I158" si="182">I94</f>
        <v>8</v>
      </c>
      <c r="J95" s="45">
        <f t="shared" si="149"/>
        <v>8</v>
      </c>
      <c r="K95" s="87" t="s">
        <v>516</v>
      </c>
      <c r="L95" s="44">
        <f t="shared" ref="L95:N95" si="183">L94</f>
        <v>0.2</v>
      </c>
      <c r="M95" s="44">
        <f t="shared" si="183"/>
        <v>150</v>
      </c>
      <c r="N95" s="44">
        <f t="shared" si="183"/>
        <v>750</v>
      </c>
      <c r="P95" s="38">
        <f t="shared" ref="P95:P158" si="184">D95-v_step/2</f>
        <v>7</v>
      </c>
      <c r="Q95" s="38">
        <f t="shared" ref="Q95:Q158" si="185">P95+v_step</f>
        <v>9</v>
      </c>
      <c r="R95" s="39">
        <f t="shared" ref="R95:R158" si="186">IF(wpd="Rayleigh",1-EXP(-PI()*((P95/2/v_ave)^2)),IF(wpd="Weibull",1-EXP(-((P95/weibull_A)^weibull_K))))</f>
        <v>0.49549073103567542</v>
      </c>
      <c r="S95" s="39">
        <f t="shared" ref="S95:S158" si="187">IF(wpd="Rayleigh",1-EXP(-PI()*((Q95/2/v_ave)^2)),IF(wpd="Weibull",1-EXP(-((Q95/weibull_A)^weibull_K))))</f>
        <v>0.67728101673295105</v>
      </c>
      <c r="T95" s="39">
        <f t="shared" si="180"/>
        <v>0.18179028569727562</v>
      </c>
      <c r="U95" s="89">
        <f t="shared" si="71"/>
        <v>2.9801686179881251E-3</v>
      </c>
    </row>
    <row r="96" spans="1:21" ht="15.75" thickBot="1" x14ac:dyDescent="0.3">
      <c r="A96" s="41">
        <f t="shared" ref="A96:B96" si="188">A95+1</f>
        <v>86</v>
      </c>
      <c r="B96" s="42">
        <f t="shared" si="188"/>
        <v>86</v>
      </c>
      <c r="C96" s="92" t="str">
        <f t="shared" si="138"/>
        <v>L11X08-008_000_56</v>
      </c>
      <c r="D96" s="43">
        <f t="shared" si="73"/>
        <v>8</v>
      </c>
      <c r="E96" s="61">
        <f t="shared" si="174"/>
        <v>1.6240000000000001</v>
      </c>
      <c r="F96" s="44">
        <f t="shared" si="74"/>
        <v>20.3</v>
      </c>
      <c r="G96" s="44">
        <f t="shared" si="75"/>
        <v>16.240000000000002</v>
      </c>
      <c r="H96" s="44">
        <f t="shared" si="76"/>
        <v>10.15</v>
      </c>
      <c r="I96" s="44">
        <f t="shared" si="182"/>
        <v>8</v>
      </c>
      <c r="J96" s="45">
        <f t="shared" si="149"/>
        <v>8</v>
      </c>
      <c r="K96" s="87" t="s">
        <v>517</v>
      </c>
      <c r="L96" s="44">
        <f t="shared" ref="L96:N96" si="189">L95</f>
        <v>0.2</v>
      </c>
      <c r="M96" s="44">
        <f t="shared" si="189"/>
        <v>150</v>
      </c>
      <c r="N96" s="44">
        <f t="shared" si="189"/>
        <v>750</v>
      </c>
      <c r="P96" s="38">
        <f t="shared" si="184"/>
        <v>7</v>
      </c>
      <c r="Q96" s="38">
        <f t="shared" si="185"/>
        <v>9</v>
      </c>
      <c r="R96" s="39">
        <f t="shared" si="186"/>
        <v>0.49549073103567542</v>
      </c>
      <c r="S96" s="39">
        <f t="shared" si="187"/>
        <v>0.67728101673295105</v>
      </c>
      <c r="T96" s="39">
        <f t="shared" ref="T96:T159" si="190">S96-R96</f>
        <v>0.18179028569727562</v>
      </c>
      <c r="U96" s="89">
        <f t="shared" si="71"/>
        <v>2.9801686179881251E-3</v>
      </c>
    </row>
    <row r="97" spans="1:21" ht="15.75" thickBot="1" x14ac:dyDescent="0.3">
      <c r="A97" s="41">
        <f t="shared" ref="A97:B97" si="191">A96+1</f>
        <v>87</v>
      </c>
      <c r="B97" s="42">
        <f t="shared" si="191"/>
        <v>87</v>
      </c>
      <c r="C97" s="92" t="str">
        <f t="shared" si="138"/>
        <v>L11X08-008_000_57</v>
      </c>
      <c r="D97" s="43">
        <f t="shared" si="73"/>
        <v>8</v>
      </c>
      <c r="E97" s="61">
        <f t="shared" si="174"/>
        <v>1.6240000000000001</v>
      </c>
      <c r="F97" s="44">
        <f t="shared" si="74"/>
        <v>20.3</v>
      </c>
      <c r="G97" s="44">
        <f t="shared" si="75"/>
        <v>16.240000000000002</v>
      </c>
      <c r="H97" s="44">
        <f t="shared" si="76"/>
        <v>10.15</v>
      </c>
      <c r="I97" s="44">
        <f t="shared" si="182"/>
        <v>8</v>
      </c>
      <c r="J97" s="45">
        <f t="shared" si="149"/>
        <v>8</v>
      </c>
      <c r="K97" s="87" t="s">
        <v>518</v>
      </c>
      <c r="L97" s="44">
        <f t="shared" ref="L97:N97" si="192">L96</f>
        <v>0.2</v>
      </c>
      <c r="M97" s="44">
        <f t="shared" si="192"/>
        <v>150</v>
      </c>
      <c r="N97" s="44">
        <f t="shared" si="192"/>
        <v>750</v>
      </c>
      <c r="P97" s="38">
        <f t="shared" si="184"/>
        <v>7</v>
      </c>
      <c r="Q97" s="38">
        <f t="shared" si="185"/>
        <v>9</v>
      </c>
      <c r="R97" s="39">
        <f t="shared" si="186"/>
        <v>0.49549073103567542</v>
      </c>
      <c r="S97" s="39">
        <f t="shared" si="187"/>
        <v>0.67728101673295105</v>
      </c>
      <c r="T97" s="39">
        <f t="shared" si="190"/>
        <v>0.18179028569727562</v>
      </c>
      <c r="U97" s="89">
        <f t="shared" si="71"/>
        <v>2.9801686179881251E-3</v>
      </c>
    </row>
    <row r="98" spans="1:21" ht="15.75" thickBot="1" x14ac:dyDescent="0.3">
      <c r="A98" s="41">
        <f t="shared" ref="A98:B98" si="193">A97+1</f>
        <v>88</v>
      </c>
      <c r="B98" s="42">
        <f t="shared" si="193"/>
        <v>88</v>
      </c>
      <c r="C98" s="92" t="str">
        <f t="shared" si="138"/>
        <v>L11X08-008_000_58</v>
      </c>
      <c r="D98" s="43">
        <f t="shared" si="73"/>
        <v>8</v>
      </c>
      <c r="E98" s="61">
        <f t="shared" si="174"/>
        <v>1.6240000000000001</v>
      </c>
      <c r="F98" s="44">
        <f t="shared" si="74"/>
        <v>20.3</v>
      </c>
      <c r="G98" s="44">
        <f t="shared" si="75"/>
        <v>16.240000000000002</v>
      </c>
      <c r="H98" s="44">
        <f t="shared" si="76"/>
        <v>10.15</v>
      </c>
      <c r="I98" s="44">
        <f t="shared" si="182"/>
        <v>8</v>
      </c>
      <c r="J98" s="45">
        <f t="shared" si="149"/>
        <v>8</v>
      </c>
      <c r="K98" s="87" t="s">
        <v>519</v>
      </c>
      <c r="L98" s="44">
        <f t="shared" ref="L98:N98" si="194">L97</f>
        <v>0.2</v>
      </c>
      <c r="M98" s="44">
        <f t="shared" si="194"/>
        <v>150</v>
      </c>
      <c r="N98" s="44">
        <f t="shared" si="194"/>
        <v>750</v>
      </c>
      <c r="P98" s="38">
        <f t="shared" si="184"/>
        <v>7</v>
      </c>
      <c r="Q98" s="38">
        <f t="shared" si="185"/>
        <v>9</v>
      </c>
      <c r="R98" s="39">
        <f t="shared" si="186"/>
        <v>0.49549073103567542</v>
      </c>
      <c r="S98" s="39">
        <f t="shared" si="187"/>
        <v>0.67728101673295105</v>
      </c>
      <c r="T98" s="39">
        <f t="shared" si="190"/>
        <v>0.18179028569727562</v>
      </c>
      <c r="U98" s="89">
        <f t="shared" si="71"/>
        <v>2.9801686179881251E-3</v>
      </c>
    </row>
    <row r="99" spans="1:21" ht="15.75" thickBot="1" x14ac:dyDescent="0.3">
      <c r="A99" s="41">
        <f t="shared" ref="A99:B99" si="195">A98+1</f>
        <v>89</v>
      </c>
      <c r="B99" s="42">
        <f t="shared" si="195"/>
        <v>89</v>
      </c>
      <c r="C99" s="92" t="str">
        <f t="shared" si="138"/>
        <v>L11X08-008_000_59</v>
      </c>
      <c r="D99" s="43">
        <f t="shared" si="73"/>
        <v>8</v>
      </c>
      <c r="E99" s="61">
        <f t="shared" si="174"/>
        <v>1.6240000000000001</v>
      </c>
      <c r="F99" s="44">
        <f t="shared" si="74"/>
        <v>20.3</v>
      </c>
      <c r="G99" s="44">
        <f t="shared" si="75"/>
        <v>16.240000000000002</v>
      </c>
      <c r="H99" s="44">
        <f t="shared" si="76"/>
        <v>10.15</v>
      </c>
      <c r="I99" s="44">
        <f t="shared" si="182"/>
        <v>8</v>
      </c>
      <c r="J99" s="45">
        <f t="shared" si="149"/>
        <v>8</v>
      </c>
      <c r="K99" s="87" t="s">
        <v>520</v>
      </c>
      <c r="L99" s="44">
        <f t="shared" ref="L99:N99" si="196">L98</f>
        <v>0.2</v>
      </c>
      <c r="M99" s="44">
        <f t="shared" si="196"/>
        <v>150</v>
      </c>
      <c r="N99" s="44">
        <f t="shared" si="196"/>
        <v>750</v>
      </c>
      <c r="P99" s="38">
        <f t="shared" si="184"/>
        <v>7</v>
      </c>
      <c r="Q99" s="38">
        <f t="shared" si="185"/>
        <v>9</v>
      </c>
      <c r="R99" s="39">
        <f t="shared" si="186"/>
        <v>0.49549073103567542</v>
      </c>
      <c r="S99" s="39">
        <f t="shared" si="187"/>
        <v>0.67728101673295105</v>
      </c>
      <c r="T99" s="39">
        <f t="shared" si="190"/>
        <v>0.18179028569727562</v>
      </c>
      <c r="U99" s="89">
        <f t="shared" si="71"/>
        <v>2.9801686179881251E-3</v>
      </c>
    </row>
    <row r="100" spans="1:21" ht="15.75" thickBot="1" x14ac:dyDescent="0.3">
      <c r="A100" s="41">
        <f t="shared" ref="A100:B100" si="197">A99+1</f>
        <v>90</v>
      </c>
      <c r="B100" s="42">
        <f t="shared" si="197"/>
        <v>90</v>
      </c>
      <c r="C100" s="92" t="str">
        <f t="shared" si="138"/>
        <v>L11X08-008_000_60</v>
      </c>
      <c r="D100" s="43">
        <f t="shared" si="73"/>
        <v>8</v>
      </c>
      <c r="E100" s="61">
        <f t="shared" si="174"/>
        <v>1.6240000000000001</v>
      </c>
      <c r="F100" s="44">
        <f t="shared" si="74"/>
        <v>20.3</v>
      </c>
      <c r="G100" s="44">
        <f t="shared" si="75"/>
        <v>16.240000000000002</v>
      </c>
      <c r="H100" s="44">
        <f t="shared" si="76"/>
        <v>10.15</v>
      </c>
      <c r="I100" s="44">
        <f t="shared" si="182"/>
        <v>8</v>
      </c>
      <c r="J100" s="45">
        <f t="shared" si="149"/>
        <v>8</v>
      </c>
      <c r="K100" s="87" t="s">
        <v>521</v>
      </c>
      <c r="L100" s="44">
        <f t="shared" ref="L100:N100" si="198">L99</f>
        <v>0.2</v>
      </c>
      <c r="M100" s="44">
        <f t="shared" si="198"/>
        <v>150</v>
      </c>
      <c r="N100" s="44">
        <f t="shared" si="198"/>
        <v>750</v>
      </c>
      <c r="P100" s="38">
        <f t="shared" si="184"/>
        <v>7</v>
      </c>
      <c r="Q100" s="38">
        <f t="shared" si="185"/>
        <v>9</v>
      </c>
      <c r="R100" s="39">
        <f t="shared" si="186"/>
        <v>0.49549073103567542</v>
      </c>
      <c r="S100" s="39">
        <f t="shared" si="187"/>
        <v>0.67728101673295105</v>
      </c>
      <c r="T100" s="39">
        <f t="shared" si="190"/>
        <v>0.18179028569727562</v>
      </c>
      <c r="U100" s="89">
        <f t="shared" si="71"/>
        <v>2.9801686179881251E-3</v>
      </c>
    </row>
    <row r="101" spans="1:21" ht="15.75" thickBot="1" x14ac:dyDescent="0.3">
      <c r="A101" s="41">
        <f t="shared" ref="A101:B101" si="199">A100+1</f>
        <v>91</v>
      </c>
      <c r="B101" s="42">
        <f t="shared" si="199"/>
        <v>91</v>
      </c>
      <c r="C101" s="92" t="str">
        <f t="shared" si="138"/>
        <v>L11X10-352_000_01</v>
      </c>
      <c r="D101" s="43">
        <f>D95+v_step</f>
        <v>10</v>
      </c>
      <c r="E101" s="61">
        <f t="shared" si="174"/>
        <v>1.8340000000000001</v>
      </c>
      <c r="F101" s="44">
        <f t="shared" si="74"/>
        <v>18.34</v>
      </c>
      <c r="G101" s="44">
        <f t="shared" si="75"/>
        <v>14.672000000000001</v>
      </c>
      <c r="H101" s="44">
        <f t="shared" si="76"/>
        <v>9.17</v>
      </c>
      <c r="I101" s="44">
        <f t="shared" si="182"/>
        <v>8</v>
      </c>
      <c r="J101" s="45">
        <f t="shared" ref="J101:J120" si="200">yaw_min</f>
        <v>-8</v>
      </c>
      <c r="K101" s="87" t="s">
        <v>584</v>
      </c>
      <c r="L101" s="44">
        <f t="shared" ref="L101:N101" si="201">L100</f>
        <v>0.2</v>
      </c>
      <c r="M101" s="44">
        <f t="shared" si="201"/>
        <v>150</v>
      </c>
      <c r="N101" s="44">
        <f t="shared" si="201"/>
        <v>750</v>
      </c>
      <c r="P101" s="38">
        <f t="shared" si="184"/>
        <v>9</v>
      </c>
      <c r="Q101" s="38">
        <f t="shared" si="185"/>
        <v>11</v>
      </c>
      <c r="R101" s="39">
        <f t="shared" si="186"/>
        <v>0.67728101673295105</v>
      </c>
      <c r="S101" s="39">
        <f t="shared" si="187"/>
        <v>0.81538426384388818</v>
      </c>
      <c r="T101" s="39">
        <f t="shared" si="190"/>
        <v>0.13810324711093713</v>
      </c>
      <c r="U101" s="89">
        <f t="shared" si="71"/>
        <v>2.2639876575563465E-3</v>
      </c>
    </row>
    <row r="102" spans="1:21" ht="15.75" thickBot="1" x14ac:dyDescent="0.3">
      <c r="A102" s="41">
        <f t="shared" ref="A102:B102" si="202">A101+1</f>
        <v>92</v>
      </c>
      <c r="B102" s="42">
        <f t="shared" si="202"/>
        <v>92</v>
      </c>
      <c r="C102" s="92" t="str">
        <f t="shared" si="138"/>
        <v>L11X10-352_000_02</v>
      </c>
      <c r="D102" s="43">
        <f>D101</f>
        <v>10</v>
      </c>
      <c r="E102" s="61">
        <f t="shared" si="174"/>
        <v>1.8340000000000001</v>
      </c>
      <c r="F102" s="44">
        <f t="shared" si="74"/>
        <v>18.34</v>
      </c>
      <c r="G102" s="44">
        <f t="shared" si="75"/>
        <v>14.672000000000001</v>
      </c>
      <c r="H102" s="44">
        <f t="shared" si="76"/>
        <v>9.17</v>
      </c>
      <c r="I102" s="44">
        <f t="shared" si="182"/>
        <v>8</v>
      </c>
      <c r="J102" s="45">
        <f t="shared" si="200"/>
        <v>-8</v>
      </c>
      <c r="K102" s="87" t="s">
        <v>585</v>
      </c>
      <c r="L102" s="44">
        <f t="shared" ref="L102:N102" si="203">L101</f>
        <v>0.2</v>
      </c>
      <c r="M102" s="44">
        <f t="shared" si="203"/>
        <v>150</v>
      </c>
      <c r="N102" s="44">
        <f t="shared" si="203"/>
        <v>750</v>
      </c>
      <c r="P102" s="38">
        <f t="shared" si="184"/>
        <v>9</v>
      </c>
      <c r="Q102" s="38">
        <f t="shared" si="185"/>
        <v>11</v>
      </c>
      <c r="R102" s="39">
        <f t="shared" si="186"/>
        <v>0.67728101673295105</v>
      </c>
      <c r="S102" s="39">
        <f t="shared" si="187"/>
        <v>0.81538426384388818</v>
      </c>
      <c r="T102" s="39">
        <f t="shared" si="190"/>
        <v>0.13810324711093713</v>
      </c>
      <c r="U102" s="89">
        <f t="shared" si="71"/>
        <v>2.2639876575563465E-3</v>
      </c>
    </row>
    <row r="103" spans="1:21" ht="15.75" thickBot="1" x14ac:dyDescent="0.3">
      <c r="A103" s="41">
        <f t="shared" ref="A103:B103" si="204">A102+1</f>
        <v>93</v>
      </c>
      <c r="B103" s="42">
        <f t="shared" si="204"/>
        <v>93</v>
      </c>
      <c r="C103" s="92" t="str">
        <f t="shared" si="138"/>
        <v>L11X10-352_000_03</v>
      </c>
      <c r="D103" s="43">
        <f t="shared" ref="D103:D160" si="205">D102</f>
        <v>10</v>
      </c>
      <c r="E103" s="61">
        <f t="shared" si="174"/>
        <v>1.8340000000000001</v>
      </c>
      <c r="F103" s="44">
        <f t="shared" si="74"/>
        <v>18.34</v>
      </c>
      <c r="G103" s="44">
        <f t="shared" si="75"/>
        <v>14.672000000000001</v>
      </c>
      <c r="H103" s="44">
        <f t="shared" si="76"/>
        <v>9.17</v>
      </c>
      <c r="I103" s="44">
        <f t="shared" si="182"/>
        <v>8</v>
      </c>
      <c r="J103" s="45">
        <f t="shared" si="200"/>
        <v>-8</v>
      </c>
      <c r="K103" s="87" t="s">
        <v>562</v>
      </c>
      <c r="L103" s="44">
        <f t="shared" ref="L103:N103" si="206">L102</f>
        <v>0.2</v>
      </c>
      <c r="M103" s="44">
        <f t="shared" si="206"/>
        <v>150</v>
      </c>
      <c r="N103" s="44">
        <f t="shared" si="206"/>
        <v>750</v>
      </c>
      <c r="P103" s="38">
        <f t="shared" si="184"/>
        <v>9</v>
      </c>
      <c r="Q103" s="38">
        <f t="shared" si="185"/>
        <v>11</v>
      </c>
      <c r="R103" s="39">
        <f t="shared" si="186"/>
        <v>0.67728101673295105</v>
      </c>
      <c r="S103" s="39">
        <f t="shared" si="187"/>
        <v>0.81538426384388818</v>
      </c>
      <c r="T103" s="39">
        <f t="shared" si="190"/>
        <v>0.13810324711093713</v>
      </c>
      <c r="U103" s="89">
        <f t="shared" si="71"/>
        <v>2.2639876575563465E-3</v>
      </c>
    </row>
    <row r="104" spans="1:21" ht="15.75" thickBot="1" x14ac:dyDescent="0.3">
      <c r="A104" s="41">
        <f t="shared" ref="A104:B104" si="207">A103+1</f>
        <v>94</v>
      </c>
      <c r="B104" s="42">
        <f t="shared" si="207"/>
        <v>94</v>
      </c>
      <c r="C104" s="92" t="str">
        <f t="shared" si="138"/>
        <v>L11X10-352_000_04</v>
      </c>
      <c r="D104" s="43">
        <f t="shared" si="205"/>
        <v>10</v>
      </c>
      <c r="E104" s="61">
        <f t="shared" si="174"/>
        <v>1.8340000000000001</v>
      </c>
      <c r="F104" s="44">
        <f t="shared" si="74"/>
        <v>18.34</v>
      </c>
      <c r="G104" s="44">
        <f t="shared" si="75"/>
        <v>14.672000000000001</v>
      </c>
      <c r="H104" s="44">
        <f t="shared" si="76"/>
        <v>9.17</v>
      </c>
      <c r="I104" s="44">
        <f t="shared" si="182"/>
        <v>8</v>
      </c>
      <c r="J104" s="45">
        <f t="shared" si="200"/>
        <v>-8</v>
      </c>
      <c r="K104" s="87" t="s">
        <v>561</v>
      </c>
      <c r="L104" s="44">
        <f t="shared" ref="L104:N104" si="208">L103</f>
        <v>0.2</v>
      </c>
      <c r="M104" s="44">
        <f t="shared" si="208"/>
        <v>150</v>
      </c>
      <c r="N104" s="44">
        <f t="shared" si="208"/>
        <v>750</v>
      </c>
      <c r="P104" s="38">
        <f t="shared" si="184"/>
        <v>9</v>
      </c>
      <c r="Q104" s="38">
        <f t="shared" si="185"/>
        <v>11</v>
      </c>
      <c r="R104" s="39">
        <f t="shared" si="186"/>
        <v>0.67728101673295105</v>
      </c>
      <c r="S104" s="39">
        <f t="shared" si="187"/>
        <v>0.81538426384388818</v>
      </c>
      <c r="T104" s="39">
        <f t="shared" si="190"/>
        <v>0.13810324711093713</v>
      </c>
      <c r="U104" s="89">
        <f t="shared" si="71"/>
        <v>2.2639876575563465E-3</v>
      </c>
    </row>
    <row r="105" spans="1:21" ht="15.75" thickBot="1" x14ac:dyDescent="0.3">
      <c r="A105" s="41">
        <f t="shared" ref="A105:B105" si="209">A104+1</f>
        <v>95</v>
      </c>
      <c r="B105" s="42">
        <f t="shared" si="209"/>
        <v>95</v>
      </c>
      <c r="C105" s="92" t="str">
        <f t="shared" si="138"/>
        <v>L11X10-352_000_05</v>
      </c>
      <c r="D105" s="43">
        <f t="shared" si="205"/>
        <v>10</v>
      </c>
      <c r="E105" s="61">
        <f t="shared" si="174"/>
        <v>1.8340000000000001</v>
      </c>
      <c r="F105" s="44">
        <f t="shared" si="74"/>
        <v>18.34</v>
      </c>
      <c r="G105" s="44">
        <f t="shared" si="75"/>
        <v>14.672000000000001</v>
      </c>
      <c r="H105" s="44">
        <f t="shared" si="76"/>
        <v>9.17</v>
      </c>
      <c r="I105" s="44">
        <f t="shared" si="182"/>
        <v>8</v>
      </c>
      <c r="J105" s="45">
        <f t="shared" si="200"/>
        <v>-8</v>
      </c>
      <c r="K105" s="87" t="s">
        <v>560</v>
      </c>
      <c r="L105" s="44">
        <f t="shared" ref="L105:N105" si="210">L104</f>
        <v>0.2</v>
      </c>
      <c r="M105" s="44">
        <f t="shared" si="210"/>
        <v>150</v>
      </c>
      <c r="N105" s="44">
        <f t="shared" si="210"/>
        <v>750</v>
      </c>
      <c r="P105" s="38">
        <f t="shared" si="184"/>
        <v>9</v>
      </c>
      <c r="Q105" s="38">
        <f t="shared" si="185"/>
        <v>11</v>
      </c>
      <c r="R105" s="39">
        <f t="shared" si="186"/>
        <v>0.67728101673295105</v>
      </c>
      <c r="S105" s="39">
        <f t="shared" si="187"/>
        <v>0.81538426384388818</v>
      </c>
      <c r="T105" s="39">
        <f t="shared" si="190"/>
        <v>0.13810324711093713</v>
      </c>
      <c r="U105" s="89">
        <f t="shared" si="71"/>
        <v>2.2639876575563465E-3</v>
      </c>
    </row>
    <row r="106" spans="1:21" ht="15.75" thickBot="1" x14ac:dyDescent="0.3">
      <c r="A106" s="41">
        <f t="shared" ref="A106:B106" si="211">A105+1</f>
        <v>96</v>
      </c>
      <c r="B106" s="42">
        <f t="shared" si="211"/>
        <v>96</v>
      </c>
      <c r="C106" s="92" t="str">
        <f t="shared" si="138"/>
        <v>L11X10-352_000_06</v>
      </c>
      <c r="D106" s="43">
        <f t="shared" si="205"/>
        <v>10</v>
      </c>
      <c r="E106" s="61">
        <f t="shared" si="174"/>
        <v>1.8340000000000001</v>
      </c>
      <c r="F106" s="44">
        <f t="shared" ref="F106:F165" si="212">E106/D106*100</f>
        <v>18.34</v>
      </c>
      <c r="G106" s="44">
        <f t="shared" ref="G106:G165" si="213">m_ty*F106</f>
        <v>14.672000000000001</v>
      </c>
      <c r="H106" s="44">
        <f t="shared" ref="H106:H165" si="214">m_tz*F106</f>
        <v>9.17</v>
      </c>
      <c r="I106" s="44">
        <f t="shared" si="182"/>
        <v>8</v>
      </c>
      <c r="J106" s="45">
        <f t="shared" si="200"/>
        <v>-8</v>
      </c>
      <c r="K106" s="87" t="s">
        <v>559</v>
      </c>
      <c r="L106" s="44">
        <f t="shared" ref="L106:N106" si="215">L105</f>
        <v>0.2</v>
      </c>
      <c r="M106" s="44">
        <f t="shared" si="215"/>
        <v>150</v>
      </c>
      <c r="N106" s="44">
        <f t="shared" si="215"/>
        <v>750</v>
      </c>
      <c r="P106" s="38">
        <f t="shared" si="184"/>
        <v>9</v>
      </c>
      <c r="Q106" s="38">
        <f t="shared" si="185"/>
        <v>11</v>
      </c>
      <c r="R106" s="39">
        <f t="shared" si="186"/>
        <v>0.67728101673295105</v>
      </c>
      <c r="S106" s="39">
        <f t="shared" si="187"/>
        <v>0.81538426384388818</v>
      </c>
      <c r="T106" s="39">
        <f t="shared" si="190"/>
        <v>0.13810324711093713</v>
      </c>
      <c r="U106" s="89">
        <f t="shared" ref="U106:U169" si="216">T106/61</f>
        <v>2.2639876575563465E-3</v>
      </c>
    </row>
    <row r="107" spans="1:21" ht="15.75" thickBot="1" x14ac:dyDescent="0.3">
      <c r="A107" s="41">
        <f t="shared" ref="A107:B107" si="217">A106+1</f>
        <v>97</v>
      </c>
      <c r="B107" s="42">
        <f t="shared" si="217"/>
        <v>97</v>
      </c>
      <c r="C107" s="92" t="str">
        <f t="shared" si="138"/>
        <v>L11X10-352_000_07</v>
      </c>
      <c r="D107" s="43">
        <f t="shared" si="205"/>
        <v>10</v>
      </c>
      <c r="E107" s="61">
        <f t="shared" si="174"/>
        <v>1.8340000000000001</v>
      </c>
      <c r="F107" s="44">
        <f t="shared" si="212"/>
        <v>18.34</v>
      </c>
      <c r="G107" s="44">
        <f t="shared" si="213"/>
        <v>14.672000000000001</v>
      </c>
      <c r="H107" s="44">
        <f t="shared" si="214"/>
        <v>9.17</v>
      </c>
      <c r="I107" s="44">
        <f t="shared" si="182"/>
        <v>8</v>
      </c>
      <c r="J107" s="45">
        <f t="shared" si="200"/>
        <v>-8</v>
      </c>
      <c r="K107" s="87" t="s">
        <v>551</v>
      </c>
      <c r="L107" s="44">
        <f t="shared" ref="L107:N107" si="218">L106</f>
        <v>0.2</v>
      </c>
      <c r="M107" s="44">
        <f t="shared" si="218"/>
        <v>150</v>
      </c>
      <c r="N107" s="44">
        <f t="shared" si="218"/>
        <v>750</v>
      </c>
      <c r="P107" s="38">
        <f t="shared" si="184"/>
        <v>9</v>
      </c>
      <c r="Q107" s="38">
        <f t="shared" si="185"/>
        <v>11</v>
      </c>
      <c r="R107" s="39">
        <f t="shared" si="186"/>
        <v>0.67728101673295105</v>
      </c>
      <c r="S107" s="39">
        <f t="shared" si="187"/>
        <v>0.81538426384388818</v>
      </c>
      <c r="T107" s="39">
        <f t="shared" si="190"/>
        <v>0.13810324711093713</v>
      </c>
      <c r="U107" s="89">
        <f t="shared" si="216"/>
        <v>2.2639876575563465E-3</v>
      </c>
    </row>
    <row r="108" spans="1:21" ht="15.75" thickBot="1" x14ac:dyDescent="0.3">
      <c r="A108" s="41">
        <f t="shared" ref="A108:B108" si="219">A107+1</f>
        <v>98</v>
      </c>
      <c r="B108" s="42">
        <f t="shared" si="219"/>
        <v>98</v>
      </c>
      <c r="C108" s="92" t="str">
        <f t="shared" si="138"/>
        <v>L11X10-352_000_08</v>
      </c>
      <c r="D108" s="43">
        <f t="shared" si="205"/>
        <v>10</v>
      </c>
      <c r="E108" s="61">
        <f t="shared" si="174"/>
        <v>1.8340000000000001</v>
      </c>
      <c r="F108" s="44">
        <f t="shared" si="212"/>
        <v>18.34</v>
      </c>
      <c r="G108" s="44">
        <f t="shared" si="213"/>
        <v>14.672000000000001</v>
      </c>
      <c r="H108" s="44">
        <f t="shared" si="214"/>
        <v>9.17</v>
      </c>
      <c r="I108" s="44">
        <f t="shared" si="182"/>
        <v>8</v>
      </c>
      <c r="J108" s="45">
        <f t="shared" si="200"/>
        <v>-8</v>
      </c>
      <c r="K108" s="87" t="s">
        <v>552</v>
      </c>
      <c r="L108" s="44">
        <f t="shared" ref="L108:N108" si="220">L107</f>
        <v>0.2</v>
      </c>
      <c r="M108" s="44">
        <f t="shared" si="220"/>
        <v>150</v>
      </c>
      <c r="N108" s="44">
        <f t="shared" si="220"/>
        <v>750</v>
      </c>
      <c r="P108" s="38">
        <f t="shared" si="184"/>
        <v>9</v>
      </c>
      <c r="Q108" s="38">
        <f t="shared" si="185"/>
        <v>11</v>
      </c>
      <c r="R108" s="39">
        <f t="shared" si="186"/>
        <v>0.67728101673295105</v>
      </c>
      <c r="S108" s="39">
        <f t="shared" si="187"/>
        <v>0.81538426384388818</v>
      </c>
      <c r="T108" s="39">
        <f t="shared" si="190"/>
        <v>0.13810324711093713</v>
      </c>
      <c r="U108" s="89">
        <f t="shared" si="216"/>
        <v>2.2639876575563465E-3</v>
      </c>
    </row>
    <row r="109" spans="1:21" ht="15.75" thickBot="1" x14ac:dyDescent="0.3">
      <c r="A109" s="41">
        <f t="shared" ref="A109:B109" si="221">A108+1</f>
        <v>99</v>
      </c>
      <c r="B109" s="42">
        <f t="shared" si="221"/>
        <v>99</v>
      </c>
      <c r="C109" s="92" t="str">
        <f t="shared" si="138"/>
        <v>L11X10-352_000_09</v>
      </c>
      <c r="D109" s="43">
        <f t="shared" si="205"/>
        <v>10</v>
      </c>
      <c r="E109" s="61">
        <f t="shared" si="174"/>
        <v>1.8340000000000001</v>
      </c>
      <c r="F109" s="44">
        <f t="shared" si="212"/>
        <v>18.34</v>
      </c>
      <c r="G109" s="44">
        <f t="shared" si="213"/>
        <v>14.672000000000001</v>
      </c>
      <c r="H109" s="44">
        <f t="shared" si="214"/>
        <v>9.17</v>
      </c>
      <c r="I109" s="44">
        <f t="shared" si="182"/>
        <v>8</v>
      </c>
      <c r="J109" s="45">
        <f t="shared" si="200"/>
        <v>-8</v>
      </c>
      <c r="K109" s="87" t="s">
        <v>553</v>
      </c>
      <c r="L109" s="44">
        <f t="shared" ref="L109:N109" si="222">L108</f>
        <v>0.2</v>
      </c>
      <c r="M109" s="44">
        <f t="shared" si="222"/>
        <v>150</v>
      </c>
      <c r="N109" s="44">
        <f t="shared" si="222"/>
        <v>750</v>
      </c>
      <c r="P109" s="38">
        <f t="shared" si="184"/>
        <v>9</v>
      </c>
      <c r="Q109" s="38">
        <f t="shared" si="185"/>
        <v>11</v>
      </c>
      <c r="R109" s="39">
        <f t="shared" si="186"/>
        <v>0.67728101673295105</v>
      </c>
      <c r="S109" s="39">
        <f t="shared" si="187"/>
        <v>0.81538426384388818</v>
      </c>
      <c r="T109" s="39">
        <f t="shared" si="190"/>
        <v>0.13810324711093713</v>
      </c>
      <c r="U109" s="89">
        <f t="shared" si="216"/>
        <v>2.2639876575563465E-3</v>
      </c>
    </row>
    <row r="110" spans="1:21" ht="15.75" thickBot="1" x14ac:dyDescent="0.3">
      <c r="A110" s="41">
        <f t="shared" ref="A110:B110" si="223">A109+1</f>
        <v>100</v>
      </c>
      <c r="B110" s="42">
        <f t="shared" si="223"/>
        <v>100</v>
      </c>
      <c r="C110" s="92" t="str">
        <f t="shared" si="138"/>
        <v>L11X10-352_000_10</v>
      </c>
      <c r="D110" s="43">
        <f t="shared" si="205"/>
        <v>10</v>
      </c>
      <c r="E110" s="61">
        <f t="shared" si="174"/>
        <v>1.8340000000000001</v>
      </c>
      <c r="F110" s="44">
        <f t="shared" si="212"/>
        <v>18.34</v>
      </c>
      <c r="G110" s="44">
        <f t="shared" si="213"/>
        <v>14.672000000000001</v>
      </c>
      <c r="H110" s="44">
        <f t="shared" si="214"/>
        <v>9.17</v>
      </c>
      <c r="I110" s="44">
        <f t="shared" si="182"/>
        <v>8</v>
      </c>
      <c r="J110" s="45">
        <f t="shared" si="200"/>
        <v>-8</v>
      </c>
      <c r="K110" s="87" t="s">
        <v>554</v>
      </c>
      <c r="L110" s="44">
        <f t="shared" ref="L110:N110" si="224">L109</f>
        <v>0.2</v>
      </c>
      <c r="M110" s="44">
        <f t="shared" si="224"/>
        <v>150</v>
      </c>
      <c r="N110" s="44">
        <f t="shared" si="224"/>
        <v>750</v>
      </c>
      <c r="P110" s="38">
        <f t="shared" si="184"/>
        <v>9</v>
      </c>
      <c r="Q110" s="38">
        <f t="shared" si="185"/>
        <v>11</v>
      </c>
      <c r="R110" s="39">
        <f t="shared" si="186"/>
        <v>0.67728101673295105</v>
      </c>
      <c r="S110" s="39">
        <f t="shared" si="187"/>
        <v>0.81538426384388818</v>
      </c>
      <c r="T110" s="39">
        <f t="shared" si="190"/>
        <v>0.13810324711093713</v>
      </c>
      <c r="U110" s="89">
        <f t="shared" si="216"/>
        <v>2.2639876575563465E-3</v>
      </c>
    </row>
    <row r="111" spans="1:21" ht="15.75" thickBot="1" x14ac:dyDescent="0.3">
      <c r="A111" s="41">
        <f t="shared" ref="A111:B111" si="225">A110+1</f>
        <v>101</v>
      </c>
      <c r="B111" s="42">
        <f t="shared" si="225"/>
        <v>101</v>
      </c>
      <c r="C111" s="92" t="str">
        <f t="shared" si="138"/>
        <v>L11X10-352_000_11</v>
      </c>
      <c r="D111" s="43">
        <f t="shared" si="205"/>
        <v>10</v>
      </c>
      <c r="E111" s="61">
        <f t="shared" si="174"/>
        <v>1.8340000000000001</v>
      </c>
      <c r="F111" s="44">
        <f t="shared" si="212"/>
        <v>18.34</v>
      </c>
      <c r="G111" s="44">
        <f t="shared" si="213"/>
        <v>14.672000000000001</v>
      </c>
      <c r="H111" s="44">
        <f t="shared" si="214"/>
        <v>9.17</v>
      </c>
      <c r="I111" s="44">
        <f t="shared" si="182"/>
        <v>8</v>
      </c>
      <c r="J111" s="45">
        <f t="shared" si="200"/>
        <v>-8</v>
      </c>
      <c r="K111" s="87" t="s">
        <v>563</v>
      </c>
      <c r="L111" s="44">
        <f t="shared" ref="L111:N111" si="226">L110</f>
        <v>0.2</v>
      </c>
      <c r="M111" s="44">
        <f t="shared" si="226"/>
        <v>150</v>
      </c>
      <c r="N111" s="44">
        <f t="shared" si="226"/>
        <v>750</v>
      </c>
      <c r="P111" s="38">
        <f t="shared" si="184"/>
        <v>9</v>
      </c>
      <c r="Q111" s="38">
        <f t="shared" si="185"/>
        <v>11</v>
      </c>
      <c r="R111" s="39">
        <f t="shared" si="186"/>
        <v>0.67728101673295105</v>
      </c>
      <c r="S111" s="39">
        <f t="shared" si="187"/>
        <v>0.81538426384388818</v>
      </c>
      <c r="T111" s="39">
        <f t="shared" si="190"/>
        <v>0.13810324711093713</v>
      </c>
      <c r="U111" s="89">
        <f t="shared" si="216"/>
        <v>2.2639876575563465E-3</v>
      </c>
    </row>
    <row r="112" spans="1:21" ht="15.75" thickBot="1" x14ac:dyDescent="0.3">
      <c r="A112" s="41">
        <f t="shared" ref="A112:B112" si="227">A111+1</f>
        <v>102</v>
      </c>
      <c r="B112" s="42">
        <f t="shared" si="227"/>
        <v>102</v>
      </c>
      <c r="C112" s="92" t="str">
        <f t="shared" si="138"/>
        <v>L11X10-352_000_12</v>
      </c>
      <c r="D112" s="43">
        <f t="shared" si="205"/>
        <v>10</v>
      </c>
      <c r="E112" s="61">
        <f t="shared" si="174"/>
        <v>1.8340000000000001</v>
      </c>
      <c r="F112" s="44">
        <f t="shared" si="212"/>
        <v>18.34</v>
      </c>
      <c r="G112" s="44">
        <f t="shared" si="213"/>
        <v>14.672000000000001</v>
      </c>
      <c r="H112" s="44">
        <f t="shared" si="214"/>
        <v>9.17</v>
      </c>
      <c r="I112" s="44">
        <f t="shared" si="182"/>
        <v>8</v>
      </c>
      <c r="J112" s="45">
        <f t="shared" si="200"/>
        <v>-8</v>
      </c>
      <c r="K112" s="87" t="s">
        <v>564</v>
      </c>
      <c r="L112" s="44">
        <f t="shared" ref="L112:N112" si="228">L111</f>
        <v>0.2</v>
      </c>
      <c r="M112" s="44">
        <f t="shared" si="228"/>
        <v>150</v>
      </c>
      <c r="N112" s="44">
        <f t="shared" si="228"/>
        <v>750</v>
      </c>
      <c r="P112" s="38">
        <f t="shared" si="184"/>
        <v>9</v>
      </c>
      <c r="Q112" s="38">
        <f t="shared" si="185"/>
        <v>11</v>
      </c>
      <c r="R112" s="39">
        <f t="shared" si="186"/>
        <v>0.67728101673295105</v>
      </c>
      <c r="S112" s="39">
        <f t="shared" si="187"/>
        <v>0.81538426384388818</v>
      </c>
      <c r="T112" s="39">
        <f t="shared" si="190"/>
        <v>0.13810324711093713</v>
      </c>
      <c r="U112" s="89">
        <f t="shared" si="216"/>
        <v>2.2639876575563465E-3</v>
      </c>
    </row>
    <row r="113" spans="1:21" ht="15.75" thickBot="1" x14ac:dyDescent="0.3">
      <c r="A113" s="41">
        <f t="shared" ref="A113:B113" si="229">A112+1</f>
        <v>103</v>
      </c>
      <c r="B113" s="42">
        <f t="shared" si="229"/>
        <v>103</v>
      </c>
      <c r="C113" s="92" t="str">
        <f t="shared" si="138"/>
        <v>L11X10-352_000_13</v>
      </c>
      <c r="D113" s="43">
        <f t="shared" si="205"/>
        <v>10</v>
      </c>
      <c r="E113" s="61">
        <f t="shared" si="174"/>
        <v>1.8340000000000001</v>
      </c>
      <c r="F113" s="44">
        <f t="shared" si="212"/>
        <v>18.34</v>
      </c>
      <c r="G113" s="44">
        <f t="shared" si="213"/>
        <v>14.672000000000001</v>
      </c>
      <c r="H113" s="44">
        <f t="shared" si="214"/>
        <v>9.17</v>
      </c>
      <c r="I113" s="44">
        <f t="shared" si="182"/>
        <v>8</v>
      </c>
      <c r="J113" s="45">
        <f t="shared" si="200"/>
        <v>-8</v>
      </c>
      <c r="K113" s="87" t="s">
        <v>565</v>
      </c>
      <c r="L113" s="44">
        <f t="shared" ref="L113:N113" si="230">L112</f>
        <v>0.2</v>
      </c>
      <c r="M113" s="44">
        <f t="shared" si="230"/>
        <v>150</v>
      </c>
      <c r="N113" s="44">
        <f t="shared" si="230"/>
        <v>750</v>
      </c>
      <c r="P113" s="38">
        <f t="shared" si="184"/>
        <v>9</v>
      </c>
      <c r="Q113" s="38">
        <f t="shared" si="185"/>
        <v>11</v>
      </c>
      <c r="R113" s="39">
        <f t="shared" si="186"/>
        <v>0.67728101673295105</v>
      </c>
      <c r="S113" s="39">
        <f t="shared" si="187"/>
        <v>0.81538426384388818</v>
      </c>
      <c r="T113" s="39">
        <f t="shared" si="190"/>
        <v>0.13810324711093713</v>
      </c>
      <c r="U113" s="89">
        <f t="shared" si="216"/>
        <v>2.2639876575563465E-3</v>
      </c>
    </row>
    <row r="114" spans="1:21" ht="15.75" thickBot="1" x14ac:dyDescent="0.3">
      <c r="A114" s="41">
        <f t="shared" ref="A114:B114" si="231">A113+1</f>
        <v>104</v>
      </c>
      <c r="B114" s="42">
        <f t="shared" si="231"/>
        <v>104</v>
      </c>
      <c r="C114" s="92" t="str">
        <f t="shared" si="138"/>
        <v>L11X10-352_000_14</v>
      </c>
      <c r="D114" s="43">
        <f t="shared" si="205"/>
        <v>10</v>
      </c>
      <c r="E114" s="61">
        <f t="shared" si="174"/>
        <v>1.8340000000000001</v>
      </c>
      <c r="F114" s="44">
        <f t="shared" si="212"/>
        <v>18.34</v>
      </c>
      <c r="G114" s="44">
        <f t="shared" si="213"/>
        <v>14.672000000000001</v>
      </c>
      <c r="H114" s="44">
        <f t="shared" si="214"/>
        <v>9.17</v>
      </c>
      <c r="I114" s="44">
        <f t="shared" si="182"/>
        <v>8</v>
      </c>
      <c r="J114" s="45">
        <f t="shared" si="200"/>
        <v>-8</v>
      </c>
      <c r="K114" s="87" t="s">
        <v>566</v>
      </c>
      <c r="L114" s="44">
        <f t="shared" ref="L114:N114" si="232">L113</f>
        <v>0.2</v>
      </c>
      <c r="M114" s="44">
        <f t="shared" si="232"/>
        <v>150</v>
      </c>
      <c r="N114" s="44">
        <f t="shared" si="232"/>
        <v>750</v>
      </c>
      <c r="P114" s="38">
        <f t="shared" si="184"/>
        <v>9</v>
      </c>
      <c r="Q114" s="38">
        <f t="shared" si="185"/>
        <v>11</v>
      </c>
      <c r="R114" s="39">
        <f t="shared" si="186"/>
        <v>0.67728101673295105</v>
      </c>
      <c r="S114" s="39">
        <f t="shared" si="187"/>
        <v>0.81538426384388818</v>
      </c>
      <c r="T114" s="39">
        <f t="shared" si="190"/>
        <v>0.13810324711093713</v>
      </c>
      <c r="U114" s="89">
        <f t="shared" si="216"/>
        <v>2.2639876575563465E-3</v>
      </c>
    </row>
    <row r="115" spans="1:21" ht="15.75" thickBot="1" x14ac:dyDescent="0.3">
      <c r="A115" s="41">
        <f t="shared" ref="A115:B115" si="233">A114+1</f>
        <v>105</v>
      </c>
      <c r="B115" s="42">
        <f t="shared" si="233"/>
        <v>105</v>
      </c>
      <c r="C115" s="92" t="str">
        <f t="shared" si="138"/>
        <v>L11X10-352_000_15</v>
      </c>
      <c r="D115" s="43">
        <f t="shared" si="205"/>
        <v>10</v>
      </c>
      <c r="E115" s="61">
        <f t="shared" si="174"/>
        <v>1.8340000000000001</v>
      </c>
      <c r="F115" s="44">
        <f t="shared" si="212"/>
        <v>18.34</v>
      </c>
      <c r="G115" s="44">
        <f t="shared" si="213"/>
        <v>14.672000000000001</v>
      </c>
      <c r="H115" s="44">
        <f t="shared" si="214"/>
        <v>9.17</v>
      </c>
      <c r="I115" s="44">
        <f t="shared" si="182"/>
        <v>8</v>
      </c>
      <c r="J115" s="45">
        <f t="shared" si="200"/>
        <v>-8</v>
      </c>
      <c r="K115" s="87" t="s">
        <v>567</v>
      </c>
      <c r="L115" s="44">
        <f t="shared" ref="L115:N115" si="234">L114</f>
        <v>0.2</v>
      </c>
      <c r="M115" s="44">
        <f t="shared" si="234"/>
        <v>150</v>
      </c>
      <c r="N115" s="44">
        <f t="shared" si="234"/>
        <v>750</v>
      </c>
      <c r="P115" s="38">
        <f t="shared" si="184"/>
        <v>9</v>
      </c>
      <c r="Q115" s="38">
        <f t="shared" si="185"/>
        <v>11</v>
      </c>
      <c r="R115" s="39">
        <f t="shared" si="186"/>
        <v>0.67728101673295105</v>
      </c>
      <c r="S115" s="39">
        <f t="shared" si="187"/>
        <v>0.81538426384388818</v>
      </c>
      <c r="T115" s="39">
        <f t="shared" si="190"/>
        <v>0.13810324711093713</v>
      </c>
      <c r="U115" s="89">
        <f t="shared" si="216"/>
        <v>2.2639876575563465E-3</v>
      </c>
    </row>
    <row r="116" spans="1:21" ht="15.75" thickBot="1" x14ac:dyDescent="0.3">
      <c r="A116" s="41">
        <f t="shared" ref="A116:B116" si="235">A115+1</f>
        <v>106</v>
      </c>
      <c r="B116" s="42">
        <f t="shared" si="235"/>
        <v>106</v>
      </c>
      <c r="C116" s="92" t="str">
        <f t="shared" si="138"/>
        <v>L11X10-352_000_16</v>
      </c>
      <c r="D116" s="43">
        <f t="shared" si="205"/>
        <v>10</v>
      </c>
      <c r="E116" s="61">
        <f t="shared" si="174"/>
        <v>1.8340000000000001</v>
      </c>
      <c r="F116" s="44">
        <f t="shared" si="212"/>
        <v>18.34</v>
      </c>
      <c r="G116" s="44">
        <f t="shared" si="213"/>
        <v>14.672000000000001</v>
      </c>
      <c r="H116" s="44">
        <f t="shared" si="214"/>
        <v>9.17</v>
      </c>
      <c r="I116" s="44">
        <f t="shared" si="182"/>
        <v>8</v>
      </c>
      <c r="J116" s="45">
        <f t="shared" si="200"/>
        <v>-8</v>
      </c>
      <c r="K116" s="87" t="s">
        <v>568</v>
      </c>
      <c r="L116" s="44">
        <f t="shared" ref="L116:N116" si="236">L115</f>
        <v>0.2</v>
      </c>
      <c r="M116" s="44">
        <f t="shared" si="236"/>
        <v>150</v>
      </c>
      <c r="N116" s="44">
        <f t="shared" si="236"/>
        <v>750</v>
      </c>
      <c r="P116" s="38">
        <f t="shared" si="184"/>
        <v>9</v>
      </c>
      <c r="Q116" s="38">
        <f t="shared" si="185"/>
        <v>11</v>
      </c>
      <c r="R116" s="39">
        <f t="shared" si="186"/>
        <v>0.67728101673295105</v>
      </c>
      <c r="S116" s="39">
        <f t="shared" si="187"/>
        <v>0.81538426384388818</v>
      </c>
      <c r="T116" s="39">
        <f t="shared" si="190"/>
        <v>0.13810324711093713</v>
      </c>
      <c r="U116" s="89">
        <f t="shared" si="216"/>
        <v>2.2639876575563465E-3</v>
      </c>
    </row>
    <row r="117" spans="1:21" ht="15.75" thickBot="1" x14ac:dyDescent="0.3">
      <c r="A117" s="41">
        <f t="shared" ref="A117:B117" si="237">A116+1</f>
        <v>107</v>
      </c>
      <c r="B117" s="42">
        <f t="shared" si="237"/>
        <v>107</v>
      </c>
      <c r="C117" s="92" t="str">
        <f t="shared" si="138"/>
        <v>L11X10-352_000_17</v>
      </c>
      <c r="D117" s="43">
        <f t="shared" si="205"/>
        <v>10</v>
      </c>
      <c r="E117" s="61">
        <f t="shared" si="174"/>
        <v>1.8340000000000001</v>
      </c>
      <c r="F117" s="44">
        <f t="shared" si="212"/>
        <v>18.34</v>
      </c>
      <c r="G117" s="44">
        <f t="shared" si="213"/>
        <v>14.672000000000001</v>
      </c>
      <c r="H117" s="44">
        <f t="shared" si="214"/>
        <v>9.17</v>
      </c>
      <c r="I117" s="44">
        <f t="shared" si="182"/>
        <v>8</v>
      </c>
      <c r="J117" s="45">
        <f t="shared" si="200"/>
        <v>-8</v>
      </c>
      <c r="K117" s="87" t="s">
        <v>569</v>
      </c>
      <c r="L117" s="44">
        <f t="shared" ref="L117:N117" si="238">L116</f>
        <v>0.2</v>
      </c>
      <c r="M117" s="44">
        <f t="shared" si="238"/>
        <v>150</v>
      </c>
      <c r="N117" s="44">
        <f t="shared" si="238"/>
        <v>750</v>
      </c>
      <c r="P117" s="38">
        <f t="shared" si="184"/>
        <v>9</v>
      </c>
      <c r="Q117" s="38">
        <f t="shared" si="185"/>
        <v>11</v>
      </c>
      <c r="R117" s="39">
        <f t="shared" si="186"/>
        <v>0.67728101673295105</v>
      </c>
      <c r="S117" s="39">
        <f t="shared" si="187"/>
        <v>0.81538426384388818</v>
      </c>
      <c r="T117" s="39">
        <f t="shared" si="190"/>
        <v>0.13810324711093713</v>
      </c>
      <c r="U117" s="89">
        <f t="shared" si="216"/>
        <v>2.2639876575563465E-3</v>
      </c>
    </row>
    <row r="118" spans="1:21" ht="15.75" thickBot="1" x14ac:dyDescent="0.3">
      <c r="A118" s="41">
        <f t="shared" ref="A118:B118" si="239">A117+1</f>
        <v>108</v>
      </c>
      <c r="B118" s="42">
        <f t="shared" si="239"/>
        <v>108</v>
      </c>
      <c r="C118" s="92" t="str">
        <f t="shared" si="138"/>
        <v>L11X10-352_000_18</v>
      </c>
      <c r="D118" s="43">
        <f t="shared" si="205"/>
        <v>10</v>
      </c>
      <c r="E118" s="61">
        <f t="shared" si="174"/>
        <v>1.8340000000000001</v>
      </c>
      <c r="F118" s="44">
        <f t="shared" si="212"/>
        <v>18.34</v>
      </c>
      <c r="G118" s="44">
        <f t="shared" si="213"/>
        <v>14.672000000000001</v>
      </c>
      <c r="H118" s="44">
        <f t="shared" si="214"/>
        <v>9.17</v>
      </c>
      <c r="I118" s="44">
        <f t="shared" si="182"/>
        <v>8</v>
      </c>
      <c r="J118" s="45">
        <f t="shared" si="200"/>
        <v>-8</v>
      </c>
      <c r="K118" s="87" t="s">
        <v>570</v>
      </c>
      <c r="L118" s="44">
        <f t="shared" ref="L118:N118" si="240">L117</f>
        <v>0.2</v>
      </c>
      <c r="M118" s="44">
        <f t="shared" si="240"/>
        <v>150</v>
      </c>
      <c r="N118" s="44">
        <f t="shared" si="240"/>
        <v>750</v>
      </c>
      <c r="P118" s="38">
        <f t="shared" si="184"/>
        <v>9</v>
      </c>
      <c r="Q118" s="38">
        <f t="shared" si="185"/>
        <v>11</v>
      </c>
      <c r="R118" s="39">
        <f t="shared" si="186"/>
        <v>0.67728101673295105</v>
      </c>
      <c r="S118" s="39">
        <f t="shared" si="187"/>
        <v>0.81538426384388818</v>
      </c>
      <c r="T118" s="39">
        <f t="shared" si="190"/>
        <v>0.13810324711093713</v>
      </c>
      <c r="U118" s="89">
        <f t="shared" si="216"/>
        <v>2.2639876575563465E-3</v>
      </c>
    </row>
    <row r="119" spans="1:21" ht="15.75" thickBot="1" x14ac:dyDescent="0.3">
      <c r="A119" s="41">
        <f t="shared" ref="A119:B119" si="241">A118+1</f>
        <v>109</v>
      </c>
      <c r="B119" s="42">
        <f t="shared" si="241"/>
        <v>109</v>
      </c>
      <c r="C119" s="92" t="str">
        <f t="shared" si="138"/>
        <v>L11X10-352_000_19</v>
      </c>
      <c r="D119" s="43">
        <f t="shared" si="205"/>
        <v>10</v>
      </c>
      <c r="E119" s="61">
        <f t="shared" si="174"/>
        <v>1.8340000000000001</v>
      </c>
      <c r="F119" s="44">
        <f t="shared" si="212"/>
        <v>18.34</v>
      </c>
      <c r="G119" s="44">
        <f t="shared" si="213"/>
        <v>14.672000000000001</v>
      </c>
      <c r="H119" s="44">
        <f t="shared" si="214"/>
        <v>9.17</v>
      </c>
      <c r="I119" s="44">
        <f t="shared" si="182"/>
        <v>8</v>
      </c>
      <c r="J119" s="45">
        <f t="shared" si="200"/>
        <v>-8</v>
      </c>
      <c r="K119" s="87" t="s">
        <v>571</v>
      </c>
      <c r="L119" s="44">
        <f t="shared" ref="L119:N119" si="242">L118</f>
        <v>0.2</v>
      </c>
      <c r="M119" s="44">
        <f t="shared" si="242"/>
        <v>150</v>
      </c>
      <c r="N119" s="44">
        <f t="shared" si="242"/>
        <v>750</v>
      </c>
      <c r="P119" s="38">
        <f t="shared" si="184"/>
        <v>9</v>
      </c>
      <c r="Q119" s="38">
        <f t="shared" si="185"/>
        <v>11</v>
      </c>
      <c r="R119" s="39">
        <f t="shared" si="186"/>
        <v>0.67728101673295105</v>
      </c>
      <c r="S119" s="39">
        <f t="shared" si="187"/>
        <v>0.81538426384388818</v>
      </c>
      <c r="T119" s="39">
        <f t="shared" si="190"/>
        <v>0.13810324711093713</v>
      </c>
      <c r="U119" s="89">
        <f t="shared" si="216"/>
        <v>2.2639876575563465E-3</v>
      </c>
    </row>
    <row r="120" spans="1:21" ht="15.75" thickBot="1" x14ac:dyDescent="0.3">
      <c r="A120" s="41">
        <f t="shared" ref="A120:B120" si="243">A119+1</f>
        <v>110</v>
      </c>
      <c r="B120" s="42">
        <f t="shared" si="243"/>
        <v>110</v>
      </c>
      <c r="C120" s="92" t="str">
        <f t="shared" si="138"/>
        <v>L11X10-352_000_20</v>
      </c>
      <c r="D120" s="43">
        <f t="shared" si="205"/>
        <v>10</v>
      </c>
      <c r="E120" s="61">
        <f t="shared" si="174"/>
        <v>1.8340000000000001</v>
      </c>
      <c r="F120" s="44">
        <f t="shared" si="212"/>
        <v>18.34</v>
      </c>
      <c r="G120" s="44">
        <f t="shared" si="213"/>
        <v>14.672000000000001</v>
      </c>
      <c r="H120" s="44">
        <f t="shared" si="214"/>
        <v>9.17</v>
      </c>
      <c r="I120" s="44">
        <f t="shared" si="182"/>
        <v>8</v>
      </c>
      <c r="J120" s="45">
        <f t="shared" si="200"/>
        <v>-8</v>
      </c>
      <c r="K120" s="87" t="s">
        <v>572</v>
      </c>
      <c r="L120" s="44">
        <f t="shared" ref="L120:N120" si="244">L119</f>
        <v>0.2</v>
      </c>
      <c r="M120" s="44">
        <f t="shared" si="244"/>
        <v>150</v>
      </c>
      <c r="N120" s="44">
        <f t="shared" si="244"/>
        <v>750</v>
      </c>
      <c r="P120" s="38">
        <f t="shared" si="184"/>
        <v>9</v>
      </c>
      <c r="Q120" s="38">
        <f t="shared" si="185"/>
        <v>11</v>
      </c>
      <c r="R120" s="39">
        <f t="shared" si="186"/>
        <v>0.67728101673295105</v>
      </c>
      <c r="S120" s="39">
        <f t="shared" si="187"/>
        <v>0.81538426384388818</v>
      </c>
      <c r="T120" s="39">
        <f t="shared" si="190"/>
        <v>0.13810324711093713</v>
      </c>
      <c r="U120" s="89">
        <f t="shared" si="216"/>
        <v>2.2639876575563465E-3</v>
      </c>
    </row>
    <row r="121" spans="1:21" ht="15.75" thickBot="1" x14ac:dyDescent="0.3">
      <c r="A121" s="41">
        <f t="shared" ref="A121:B121" si="245">A120+1</f>
        <v>111</v>
      </c>
      <c r="B121" s="42">
        <f t="shared" si="245"/>
        <v>111</v>
      </c>
      <c r="C121" s="92" t="str">
        <f t="shared" si="138"/>
        <v>L11X10-000_000_21</v>
      </c>
      <c r="D121" s="43">
        <f t="shared" si="205"/>
        <v>10</v>
      </c>
      <c r="E121" s="61">
        <f t="shared" si="174"/>
        <v>1.8340000000000001</v>
      </c>
      <c r="F121" s="44">
        <f t="shared" si="212"/>
        <v>18.34</v>
      </c>
      <c r="G121" s="44">
        <f t="shared" si="213"/>
        <v>14.672000000000001</v>
      </c>
      <c r="H121" s="44">
        <f t="shared" si="214"/>
        <v>9.17</v>
      </c>
      <c r="I121" s="44">
        <f t="shared" si="182"/>
        <v>8</v>
      </c>
      <c r="J121" s="45">
        <f t="shared" ref="J121:J140" si="246">yaw_null</f>
        <v>0</v>
      </c>
      <c r="K121" s="87" t="s">
        <v>573</v>
      </c>
      <c r="L121" s="44">
        <f t="shared" ref="L121:N121" si="247">L120</f>
        <v>0.2</v>
      </c>
      <c r="M121" s="44">
        <f t="shared" si="247"/>
        <v>150</v>
      </c>
      <c r="N121" s="44">
        <f t="shared" si="247"/>
        <v>750</v>
      </c>
      <c r="P121" s="38">
        <f t="shared" si="184"/>
        <v>9</v>
      </c>
      <c r="Q121" s="38">
        <f t="shared" si="185"/>
        <v>11</v>
      </c>
      <c r="R121" s="39">
        <f t="shared" si="186"/>
        <v>0.67728101673295105</v>
      </c>
      <c r="S121" s="39">
        <f t="shared" si="187"/>
        <v>0.81538426384388818</v>
      </c>
      <c r="T121" s="39">
        <f t="shared" si="190"/>
        <v>0.13810324711093713</v>
      </c>
      <c r="U121" s="89">
        <f t="shared" si="216"/>
        <v>2.2639876575563465E-3</v>
      </c>
    </row>
    <row r="122" spans="1:21" ht="15.75" thickBot="1" x14ac:dyDescent="0.3">
      <c r="A122" s="41">
        <f t="shared" ref="A122:B122" si="248">A121+1</f>
        <v>112</v>
      </c>
      <c r="B122" s="42">
        <f t="shared" si="248"/>
        <v>112</v>
      </c>
      <c r="C122" s="92" t="str">
        <f t="shared" si="138"/>
        <v>L11X10-000_000_22</v>
      </c>
      <c r="D122" s="43">
        <f t="shared" si="205"/>
        <v>10</v>
      </c>
      <c r="E122" s="61">
        <f t="shared" si="174"/>
        <v>1.8340000000000001</v>
      </c>
      <c r="F122" s="44">
        <f t="shared" si="212"/>
        <v>18.34</v>
      </c>
      <c r="G122" s="44">
        <f t="shared" si="213"/>
        <v>14.672000000000001</v>
      </c>
      <c r="H122" s="44">
        <f t="shared" si="214"/>
        <v>9.17</v>
      </c>
      <c r="I122" s="44">
        <f t="shared" si="182"/>
        <v>8</v>
      </c>
      <c r="J122" s="45">
        <f t="shared" si="246"/>
        <v>0</v>
      </c>
      <c r="K122" s="87" t="s">
        <v>574</v>
      </c>
      <c r="L122" s="44">
        <f t="shared" ref="L122:N122" si="249">L121</f>
        <v>0.2</v>
      </c>
      <c r="M122" s="44">
        <f t="shared" si="249"/>
        <v>150</v>
      </c>
      <c r="N122" s="44">
        <f t="shared" si="249"/>
        <v>750</v>
      </c>
      <c r="P122" s="38">
        <f t="shared" si="184"/>
        <v>9</v>
      </c>
      <c r="Q122" s="38">
        <f t="shared" si="185"/>
        <v>11</v>
      </c>
      <c r="R122" s="39">
        <f t="shared" si="186"/>
        <v>0.67728101673295105</v>
      </c>
      <c r="S122" s="39">
        <f t="shared" si="187"/>
        <v>0.81538426384388818</v>
      </c>
      <c r="T122" s="39">
        <f t="shared" si="190"/>
        <v>0.13810324711093713</v>
      </c>
      <c r="U122" s="89">
        <f t="shared" si="216"/>
        <v>2.2639876575563465E-3</v>
      </c>
    </row>
    <row r="123" spans="1:21" ht="15.75" thickBot="1" x14ac:dyDescent="0.3">
      <c r="A123" s="41">
        <f t="shared" ref="A123:B123" si="250">A122+1</f>
        <v>113</v>
      </c>
      <c r="B123" s="42">
        <f t="shared" si="250"/>
        <v>113</v>
      </c>
      <c r="C123" s="92" t="str">
        <f t="shared" si="138"/>
        <v>L11X10-000_000_23</v>
      </c>
      <c r="D123" s="43">
        <f t="shared" si="205"/>
        <v>10</v>
      </c>
      <c r="E123" s="61">
        <f t="shared" si="174"/>
        <v>1.8340000000000001</v>
      </c>
      <c r="F123" s="44">
        <f t="shared" si="212"/>
        <v>18.34</v>
      </c>
      <c r="G123" s="44">
        <f t="shared" si="213"/>
        <v>14.672000000000001</v>
      </c>
      <c r="H123" s="44">
        <f t="shared" si="214"/>
        <v>9.17</v>
      </c>
      <c r="I123" s="44">
        <f t="shared" si="182"/>
        <v>8</v>
      </c>
      <c r="J123" s="45">
        <f t="shared" si="246"/>
        <v>0</v>
      </c>
      <c r="K123" s="87" t="s">
        <v>575</v>
      </c>
      <c r="L123" s="44">
        <f t="shared" ref="L123:N123" si="251">L122</f>
        <v>0.2</v>
      </c>
      <c r="M123" s="44">
        <f t="shared" si="251"/>
        <v>150</v>
      </c>
      <c r="N123" s="44">
        <f t="shared" si="251"/>
        <v>750</v>
      </c>
      <c r="P123" s="38">
        <f t="shared" si="184"/>
        <v>9</v>
      </c>
      <c r="Q123" s="38">
        <f t="shared" si="185"/>
        <v>11</v>
      </c>
      <c r="R123" s="39">
        <f t="shared" si="186"/>
        <v>0.67728101673295105</v>
      </c>
      <c r="S123" s="39">
        <f t="shared" si="187"/>
        <v>0.81538426384388818</v>
      </c>
      <c r="T123" s="39">
        <f t="shared" si="190"/>
        <v>0.13810324711093713</v>
      </c>
      <c r="U123" s="89">
        <f t="shared" si="216"/>
        <v>2.2639876575563465E-3</v>
      </c>
    </row>
    <row r="124" spans="1:21" ht="15.75" thickBot="1" x14ac:dyDescent="0.3">
      <c r="A124" s="41">
        <f t="shared" ref="A124:B124" si="252">A123+1</f>
        <v>114</v>
      </c>
      <c r="B124" s="42">
        <f t="shared" si="252"/>
        <v>114</v>
      </c>
      <c r="C124" s="92" t="str">
        <f t="shared" si="138"/>
        <v>L11X10-000_000_24</v>
      </c>
      <c r="D124" s="43">
        <f t="shared" si="205"/>
        <v>10</v>
      </c>
      <c r="E124" s="61">
        <f t="shared" si="174"/>
        <v>1.8340000000000001</v>
      </c>
      <c r="F124" s="44">
        <f t="shared" si="212"/>
        <v>18.34</v>
      </c>
      <c r="G124" s="44">
        <f t="shared" si="213"/>
        <v>14.672000000000001</v>
      </c>
      <c r="H124" s="44">
        <f t="shared" si="214"/>
        <v>9.17</v>
      </c>
      <c r="I124" s="44">
        <f t="shared" si="182"/>
        <v>8</v>
      </c>
      <c r="J124" s="45">
        <f t="shared" si="246"/>
        <v>0</v>
      </c>
      <c r="K124" s="87" t="s">
        <v>576</v>
      </c>
      <c r="L124" s="44">
        <f t="shared" ref="L124:N124" si="253">L123</f>
        <v>0.2</v>
      </c>
      <c r="M124" s="44">
        <f t="shared" si="253"/>
        <v>150</v>
      </c>
      <c r="N124" s="44">
        <f t="shared" si="253"/>
        <v>750</v>
      </c>
      <c r="P124" s="38">
        <f t="shared" si="184"/>
        <v>9</v>
      </c>
      <c r="Q124" s="38">
        <f t="shared" si="185"/>
        <v>11</v>
      </c>
      <c r="R124" s="39">
        <f t="shared" si="186"/>
        <v>0.67728101673295105</v>
      </c>
      <c r="S124" s="39">
        <f t="shared" si="187"/>
        <v>0.81538426384388818</v>
      </c>
      <c r="T124" s="39">
        <f t="shared" si="190"/>
        <v>0.13810324711093713</v>
      </c>
      <c r="U124" s="89">
        <f t="shared" si="216"/>
        <v>2.2639876575563465E-3</v>
      </c>
    </row>
    <row r="125" spans="1:21" ht="15.75" thickBot="1" x14ac:dyDescent="0.3">
      <c r="A125" s="41">
        <f t="shared" ref="A125:B125" si="254">A124+1</f>
        <v>115</v>
      </c>
      <c r="B125" s="42">
        <f t="shared" si="254"/>
        <v>115</v>
      </c>
      <c r="C125" s="92" t="str">
        <f t="shared" si="138"/>
        <v>L11X10-000_000_25</v>
      </c>
      <c r="D125" s="43">
        <f t="shared" si="205"/>
        <v>10</v>
      </c>
      <c r="E125" s="61">
        <f t="shared" si="174"/>
        <v>1.8340000000000001</v>
      </c>
      <c r="F125" s="44">
        <f t="shared" si="212"/>
        <v>18.34</v>
      </c>
      <c r="G125" s="44">
        <f t="shared" si="213"/>
        <v>14.672000000000001</v>
      </c>
      <c r="H125" s="44">
        <f t="shared" si="214"/>
        <v>9.17</v>
      </c>
      <c r="I125" s="44">
        <f t="shared" si="182"/>
        <v>8</v>
      </c>
      <c r="J125" s="45">
        <f t="shared" si="246"/>
        <v>0</v>
      </c>
      <c r="K125" s="87" t="s">
        <v>577</v>
      </c>
      <c r="L125" s="44">
        <f t="shared" ref="L125:N125" si="255">L124</f>
        <v>0.2</v>
      </c>
      <c r="M125" s="44">
        <f t="shared" si="255"/>
        <v>150</v>
      </c>
      <c r="N125" s="44">
        <f t="shared" si="255"/>
        <v>750</v>
      </c>
      <c r="P125" s="38">
        <f t="shared" si="184"/>
        <v>9</v>
      </c>
      <c r="Q125" s="38">
        <f t="shared" si="185"/>
        <v>11</v>
      </c>
      <c r="R125" s="39">
        <f t="shared" si="186"/>
        <v>0.67728101673295105</v>
      </c>
      <c r="S125" s="39">
        <f t="shared" si="187"/>
        <v>0.81538426384388818</v>
      </c>
      <c r="T125" s="39">
        <f t="shared" si="190"/>
        <v>0.13810324711093713</v>
      </c>
      <c r="U125" s="89">
        <f t="shared" si="216"/>
        <v>2.2639876575563465E-3</v>
      </c>
    </row>
    <row r="126" spans="1:21" ht="15.75" thickBot="1" x14ac:dyDescent="0.3">
      <c r="A126" s="41">
        <f t="shared" ref="A126:B126" si="256">A125+1</f>
        <v>116</v>
      </c>
      <c r="B126" s="42">
        <f t="shared" si="256"/>
        <v>116</v>
      </c>
      <c r="C126" s="92" t="str">
        <f t="shared" si="138"/>
        <v>L11X10-000_000_26</v>
      </c>
      <c r="D126" s="43">
        <f t="shared" si="205"/>
        <v>10</v>
      </c>
      <c r="E126" s="61">
        <f t="shared" si="174"/>
        <v>1.8340000000000001</v>
      </c>
      <c r="F126" s="44">
        <f t="shared" si="212"/>
        <v>18.34</v>
      </c>
      <c r="G126" s="44">
        <f t="shared" si="213"/>
        <v>14.672000000000001</v>
      </c>
      <c r="H126" s="44">
        <f t="shared" si="214"/>
        <v>9.17</v>
      </c>
      <c r="I126" s="44">
        <f t="shared" si="182"/>
        <v>8</v>
      </c>
      <c r="J126" s="45">
        <f t="shared" si="246"/>
        <v>0</v>
      </c>
      <c r="K126" s="87" t="s">
        <v>578</v>
      </c>
      <c r="L126" s="44">
        <f t="shared" ref="L126:N126" si="257">L125</f>
        <v>0.2</v>
      </c>
      <c r="M126" s="44">
        <f t="shared" si="257"/>
        <v>150</v>
      </c>
      <c r="N126" s="44">
        <f t="shared" si="257"/>
        <v>750</v>
      </c>
      <c r="P126" s="38">
        <f t="shared" si="184"/>
        <v>9</v>
      </c>
      <c r="Q126" s="38">
        <f t="shared" si="185"/>
        <v>11</v>
      </c>
      <c r="R126" s="39">
        <f t="shared" si="186"/>
        <v>0.67728101673295105</v>
      </c>
      <c r="S126" s="39">
        <f t="shared" si="187"/>
        <v>0.81538426384388818</v>
      </c>
      <c r="T126" s="39">
        <f t="shared" si="190"/>
        <v>0.13810324711093713</v>
      </c>
      <c r="U126" s="89">
        <f t="shared" si="216"/>
        <v>2.2639876575563465E-3</v>
      </c>
    </row>
    <row r="127" spans="1:21" ht="15.75" thickBot="1" x14ac:dyDescent="0.3">
      <c r="A127" s="41">
        <f t="shared" ref="A127:B127" si="258">A126+1</f>
        <v>117</v>
      </c>
      <c r="B127" s="42">
        <f t="shared" si="258"/>
        <v>117</v>
      </c>
      <c r="C127" s="92" t="str">
        <f t="shared" si="138"/>
        <v>L11X10-000_000_27</v>
      </c>
      <c r="D127" s="43">
        <f t="shared" si="205"/>
        <v>10</v>
      </c>
      <c r="E127" s="61">
        <f t="shared" si="174"/>
        <v>1.8340000000000001</v>
      </c>
      <c r="F127" s="44">
        <f t="shared" si="212"/>
        <v>18.34</v>
      </c>
      <c r="G127" s="44">
        <f t="shared" si="213"/>
        <v>14.672000000000001</v>
      </c>
      <c r="H127" s="44">
        <f t="shared" si="214"/>
        <v>9.17</v>
      </c>
      <c r="I127" s="44">
        <f t="shared" si="182"/>
        <v>8</v>
      </c>
      <c r="J127" s="45">
        <f t="shared" si="246"/>
        <v>0</v>
      </c>
      <c r="K127" s="87" t="s">
        <v>579</v>
      </c>
      <c r="L127" s="44">
        <f t="shared" ref="L127:N127" si="259">L126</f>
        <v>0.2</v>
      </c>
      <c r="M127" s="44">
        <f t="shared" si="259"/>
        <v>150</v>
      </c>
      <c r="N127" s="44">
        <f t="shared" si="259"/>
        <v>750</v>
      </c>
      <c r="P127" s="38">
        <f t="shared" si="184"/>
        <v>9</v>
      </c>
      <c r="Q127" s="38">
        <f t="shared" si="185"/>
        <v>11</v>
      </c>
      <c r="R127" s="39">
        <f t="shared" si="186"/>
        <v>0.67728101673295105</v>
      </c>
      <c r="S127" s="39">
        <f t="shared" si="187"/>
        <v>0.81538426384388818</v>
      </c>
      <c r="T127" s="39">
        <f t="shared" si="190"/>
        <v>0.13810324711093713</v>
      </c>
      <c r="U127" s="89">
        <f t="shared" si="216"/>
        <v>2.2639876575563465E-3</v>
      </c>
    </row>
    <row r="128" spans="1:21" ht="15.75" thickBot="1" x14ac:dyDescent="0.3">
      <c r="A128" s="41">
        <f t="shared" ref="A128:B128" si="260">A127+1</f>
        <v>118</v>
      </c>
      <c r="B128" s="42">
        <f t="shared" si="260"/>
        <v>118</v>
      </c>
      <c r="C128" s="92" t="str">
        <f t="shared" si="138"/>
        <v>L11X10-000_000_28</v>
      </c>
      <c r="D128" s="43">
        <f t="shared" si="205"/>
        <v>10</v>
      </c>
      <c r="E128" s="61">
        <f t="shared" si="174"/>
        <v>1.8340000000000001</v>
      </c>
      <c r="F128" s="44">
        <f t="shared" si="212"/>
        <v>18.34</v>
      </c>
      <c r="G128" s="44">
        <f t="shared" si="213"/>
        <v>14.672000000000001</v>
      </c>
      <c r="H128" s="44">
        <f t="shared" si="214"/>
        <v>9.17</v>
      </c>
      <c r="I128" s="44">
        <f t="shared" si="182"/>
        <v>8</v>
      </c>
      <c r="J128" s="45">
        <f t="shared" si="246"/>
        <v>0</v>
      </c>
      <c r="K128" s="87" t="s">
        <v>580</v>
      </c>
      <c r="L128" s="44">
        <f t="shared" ref="L128:N128" si="261">L127</f>
        <v>0.2</v>
      </c>
      <c r="M128" s="44">
        <f t="shared" si="261"/>
        <v>150</v>
      </c>
      <c r="N128" s="44">
        <f t="shared" si="261"/>
        <v>750</v>
      </c>
      <c r="P128" s="38">
        <f t="shared" si="184"/>
        <v>9</v>
      </c>
      <c r="Q128" s="38">
        <f t="shared" si="185"/>
        <v>11</v>
      </c>
      <c r="R128" s="39">
        <f t="shared" si="186"/>
        <v>0.67728101673295105</v>
      </c>
      <c r="S128" s="39">
        <f t="shared" si="187"/>
        <v>0.81538426384388818</v>
      </c>
      <c r="T128" s="39">
        <f t="shared" si="190"/>
        <v>0.13810324711093713</v>
      </c>
      <c r="U128" s="89">
        <f t="shared" si="216"/>
        <v>2.2639876575563465E-3</v>
      </c>
    </row>
    <row r="129" spans="1:21" ht="15.75" thickBot="1" x14ac:dyDescent="0.3">
      <c r="A129" s="41">
        <f t="shared" ref="A129:B129" si="262">A128+1</f>
        <v>119</v>
      </c>
      <c r="B129" s="42">
        <f t="shared" si="262"/>
        <v>119</v>
      </c>
      <c r="C129" s="92" t="str">
        <f t="shared" si="138"/>
        <v>L11X10-000_000_29</v>
      </c>
      <c r="D129" s="43">
        <f t="shared" si="205"/>
        <v>10</v>
      </c>
      <c r="E129" s="61">
        <f t="shared" si="174"/>
        <v>1.8340000000000001</v>
      </c>
      <c r="F129" s="44">
        <f t="shared" si="212"/>
        <v>18.34</v>
      </c>
      <c r="G129" s="44">
        <f t="shared" si="213"/>
        <v>14.672000000000001</v>
      </c>
      <c r="H129" s="44">
        <f t="shared" si="214"/>
        <v>9.17</v>
      </c>
      <c r="I129" s="44">
        <f t="shared" si="182"/>
        <v>8</v>
      </c>
      <c r="J129" s="45">
        <f t="shared" si="246"/>
        <v>0</v>
      </c>
      <c r="K129" s="87" t="s">
        <v>581</v>
      </c>
      <c r="L129" s="44">
        <f t="shared" ref="L129:N129" si="263">L128</f>
        <v>0.2</v>
      </c>
      <c r="M129" s="44">
        <f t="shared" si="263"/>
        <v>150</v>
      </c>
      <c r="N129" s="44">
        <f t="shared" si="263"/>
        <v>750</v>
      </c>
      <c r="P129" s="38">
        <f t="shared" si="184"/>
        <v>9</v>
      </c>
      <c r="Q129" s="38">
        <f t="shared" si="185"/>
        <v>11</v>
      </c>
      <c r="R129" s="39">
        <f t="shared" si="186"/>
        <v>0.67728101673295105</v>
      </c>
      <c r="S129" s="39">
        <f t="shared" si="187"/>
        <v>0.81538426384388818</v>
      </c>
      <c r="T129" s="39">
        <f t="shared" si="190"/>
        <v>0.13810324711093713</v>
      </c>
      <c r="U129" s="89">
        <f t="shared" si="216"/>
        <v>2.2639876575563465E-3</v>
      </c>
    </row>
    <row r="130" spans="1:21" ht="15.75" thickBot="1" x14ac:dyDescent="0.3">
      <c r="A130" s="41">
        <f t="shared" ref="A130:B130" si="264">A129+1</f>
        <v>120</v>
      </c>
      <c r="B130" s="42">
        <f t="shared" si="264"/>
        <v>120</v>
      </c>
      <c r="C130" s="92" t="str">
        <f t="shared" si="138"/>
        <v>L11X10-000_000_30</v>
      </c>
      <c r="D130" s="43">
        <f t="shared" si="205"/>
        <v>10</v>
      </c>
      <c r="E130" s="61">
        <f t="shared" si="174"/>
        <v>1.8340000000000001</v>
      </c>
      <c r="F130" s="44">
        <f t="shared" si="212"/>
        <v>18.34</v>
      </c>
      <c r="G130" s="44">
        <f t="shared" si="213"/>
        <v>14.672000000000001</v>
      </c>
      <c r="H130" s="44">
        <f t="shared" si="214"/>
        <v>9.17</v>
      </c>
      <c r="I130" s="44">
        <f t="shared" si="182"/>
        <v>8</v>
      </c>
      <c r="J130" s="45">
        <f t="shared" si="246"/>
        <v>0</v>
      </c>
      <c r="K130" s="87" t="s">
        <v>582</v>
      </c>
      <c r="L130" s="44">
        <f t="shared" ref="L130:N130" si="265">L129</f>
        <v>0.2</v>
      </c>
      <c r="M130" s="44">
        <f t="shared" si="265"/>
        <v>150</v>
      </c>
      <c r="N130" s="44">
        <f t="shared" si="265"/>
        <v>750</v>
      </c>
      <c r="P130" s="38">
        <f t="shared" si="184"/>
        <v>9</v>
      </c>
      <c r="Q130" s="38">
        <f t="shared" si="185"/>
        <v>11</v>
      </c>
      <c r="R130" s="39">
        <f t="shared" si="186"/>
        <v>0.67728101673295105</v>
      </c>
      <c r="S130" s="39">
        <f t="shared" si="187"/>
        <v>0.81538426384388818</v>
      </c>
      <c r="T130" s="39">
        <f t="shared" si="190"/>
        <v>0.13810324711093713</v>
      </c>
      <c r="U130" s="89">
        <f t="shared" si="216"/>
        <v>2.2639876575563465E-3</v>
      </c>
    </row>
    <row r="131" spans="1:21" ht="15.75" thickBot="1" x14ac:dyDescent="0.3">
      <c r="A131" s="41">
        <f t="shared" ref="A131:B131" si="266">A130+1</f>
        <v>121</v>
      </c>
      <c r="B131" s="42">
        <f t="shared" si="266"/>
        <v>121</v>
      </c>
      <c r="C131" s="92" t="str">
        <f t="shared" si="138"/>
        <v>L11X10-000_000_31</v>
      </c>
      <c r="D131" s="43">
        <f t="shared" si="205"/>
        <v>10</v>
      </c>
      <c r="E131" s="61">
        <f t="shared" si="174"/>
        <v>1.8340000000000001</v>
      </c>
      <c r="F131" s="44">
        <f t="shared" si="212"/>
        <v>18.34</v>
      </c>
      <c r="G131" s="44">
        <f t="shared" si="213"/>
        <v>14.672000000000001</v>
      </c>
      <c r="H131" s="44">
        <f t="shared" si="214"/>
        <v>9.17</v>
      </c>
      <c r="I131" s="44">
        <f t="shared" si="182"/>
        <v>8</v>
      </c>
      <c r="J131" s="45">
        <f t="shared" si="246"/>
        <v>0</v>
      </c>
      <c r="K131" s="87" t="s">
        <v>583</v>
      </c>
      <c r="L131" s="44">
        <f t="shared" ref="L131:N131" si="267">L130</f>
        <v>0.2</v>
      </c>
      <c r="M131" s="44">
        <f t="shared" si="267"/>
        <v>150</v>
      </c>
      <c r="N131" s="44">
        <f t="shared" si="267"/>
        <v>750</v>
      </c>
      <c r="P131" s="38">
        <f t="shared" si="184"/>
        <v>9</v>
      </c>
      <c r="Q131" s="38">
        <f t="shared" si="185"/>
        <v>11</v>
      </c>
      <c r="R131" s="39">
        <f t="shared" si="186"/>
        <v>0.67728101673295105</v>
      </c>
      <c r="S131" s="39">
        <f t="shared" si="187"/>
        <v>0.81538426384388818</v>
      </c>
      <c r="T131" s="39">
        <f t="shared" si="190"/>
        <v>0.13810324711093713</v>
      </c>
      <c r="U131" s="89">
        <f t="shared" si="216"/>
        <v>2.2639876575563465E-3</v>
      </c>
    </row>
    <row r="132" spans="1:21" ht="15.75" thickBot="1" x14ac:dyDescent="0.3">
      <c r="A132" s="41">
        <f t="shared" ref="A132:B132" si="268">A131+1</f>
        <v>122</v>
      </c>
      <c r="B132" s="42">
        <f t="shared" si="268"/>
        <v>122</v>
      </c>
      <c r="C132" s="92" t="str">
        <f t="shared" si="138"/>
        <v>L11X10-000_000_32</v>
      </c>
      <c r="D132" s="43">
        <f t="shared" si="205"/>
        <v>10</v>
      </c>
      <c r="E132" s="61">
        <f t="shared" si="174"/>
        <v>1.8340000000000001</v>
      </c>
      <c r="F132" s="44">
        <f t="shared" si="212"/>
        <v>18.34</v>
      </c>
      <c r="G132" s="44">
        <f t="shared" si="213"/>
        <v>14.672000000000001</v>
      </c>
      <c r="H132" s="44">
        <f t="shared" si="214"/>
        <v>9.17</v>
      </c>
      <c r="I132" s="44">
        <f t="shared" si="182"/>
        <v>8</v>
      </c>
      <c r="J132" s="45">
        <f t="shared" si="246"/>
        <v>0</v>
      </c>
      <c r="K132" s="87" t="s">
        <v>522</v>
      </c>
      <c r="L132" s="44">
        <f t="shared" ref="L132:N132" si="269">L131</f>
        <v>0.2</v>
      </c>
      <c r="M132" s="44">
        <f t="shared" si="269"/>
        <v>150</v>
      </c>
      <c r="N132" s="44">
        <f t="shared" si="269"/>
        <v>750</v>
      </c>
      <c r="P132" s="38">
        <f t="shared" si="184"/>
        <v>9</v>
      </c>
      <c r="Q132" s="38">
        <f t="shared" si="185"/>
        <v>11</v>
      </c>
      <c r="R132" s="39">
        <f t="shared" si="186"/>
        <v>0.67728101673295105</v>
      </c>
      <c r="S132" s="39">
        <f t="shared" si="187"/>
        <v>0.81538426384388818</v>
      </c>
      <c r="T132" s="39">
        <f t="shared" si="190"/>
        <v>0.13810324711093713</v>
      </c>
      <c r="U132" s="89">
        <f t="shared" si="216"/>
        <v>2.2639876575563465E-3</v>
      </c>
    </row>
    <row r="133" spans="1:21" ht="15.75" thickBot="1" x14ac:dyDescent="0.3">
      <c r="A133" s="41">
        <f t="shared" ref="A133:B133" si="270">A132+1</f>
        <v>123</v>
      </c>
      <c r="B133" s="42">
        <f t="shared" si="270"/>
        <v>123</v>
      </c>
      <c r="C133" s="92" t="str">
        <f t="shared" si="138"/>
        <v>L11X10-000_000_33</v>
      </c>
      <c r="D133" s="43">
        <f t="shared" si="205"/>
        <v>10</v>
      </c>
      <c r="E133" s="61">
        <f t="shared" si="174"/>
        <v>1.8340000000000001</v>
      </c>
      <c r="F133" s="44">
        <f t="shared" si="212"/>
        <v>18.34</v>
      </c>
      <c r="G133" s="44">
        <f t="shared" si="213"/>
        <v>14.672000000000001</v>
      </c>
      <c r="H133" s="44">
        <f t="shared" si="214"/>
        <v>9.17</v>
      </c>
      <c r="I133" s="44">
        <f t="shared" si="182"/>
        <v>8</v>
      </c>
      <c r="J133" s="45">
        <f t="shared" si="246"/>
        <v>0</v>
      </c>
      <c r="K133" s="87" t="s">
        <v>523</v>
      </c>
      <c r="L133" s="44">
        <f t="shared" ref="L133:N133" si="271">L132</f>
        <v>0.2</v>
      </c>
      <c r="M133" s="44">
        <f t="shared" si="271"/>
        <v>150</v>
      </c>
      <c r="N133" s="44">
        <f t="shared" si="271"/>
        <v>750</v>
      </c>
      <c r="P133" s="38">
        <f t="shared" si="184"/>
        <v>9</v>
      </c>
      <c r="Q133" s="38">
        <f t="shared" si="185"/>
        <v>11</v>
      </c>
      <c r="R133" s="39">
        <f t="shared" si="186"/>
        <v>0.67728101673295105</v>
      </c>
      <c r="S133" s="39">
        <f t="shared" si="187"/>
        <v>0.81538426384388818</v>
      </c>
      <c r="T133" s="39">
        <f t="shared" si="190"/>
        <v>0.13810324711093713</v>
      </c>
      <c r="U133" s="89">
        <f t="shared" si="216"/>
        <v>2.2639876575563465E-3</v>
      </c>
    </row>
    <row r="134" spans="1:21" ht="15.75" thickBot="1" x14ac:dyDescent="0.3">
      <c r="A134" s="41">
        <f t="shared" ref="A134:B134" si="272">A133+1</f>
        <v>124</v>
      </c>
      <c r="B134" s="42">
        <f t="shared" si="272"/>
        <v>124</v>
      </c>
      <c r="C134" s="92" t="str">
        <f t="shared" si="138"/>
        <v>L11X10-000_000_34</v>
      </c>
      <c r="D134" s="43">
        <f t="shared" si="205"/>
        <v>10</v>
      </c>
      <c r="E134" s="61">
        <f t="shared" si="174"/>
        <v>1.8340000000000001</v>
      </c>
      <c r="F134" s="44">
        <f t="shared" si="212"/>
        <v>18.34</v>
      </c>
      <c r="G134" s="44">
        <f t="shared" si="213"/>
        <v>14.672000000000001</v>
      </c>
      <c r="H134" s="44">
        <f t="shared" si="214"/>
        <v>9.17</v>
      </c>
      <c r="I134" s="44">
        <f t="shared" si="182"/>
        <v>8</v>
      </c>
      <c r="J134" s="45">
        <f t="shared" si="246"/>
        <v>0</v>
      </c>
      <c r="K134" s="87" t="s">
        <v>524</v>
      </c>
      <c r="L134" s="44">
        <f t="shared" ref="L134:N134" si="273">L133</f>
        <v>0.2</v>
      </c>
      <c r="M134" s="44">
        <f t="shared" si="273"/>
        <v>150</v>
      </c>
      <c r="N134" s="44">
        <f t="shared" si="273"/>
        <v>750</v>
      </c>
      <c r="P134" s="38">
        <f t="shared" si="184"/>
        <v>9</v>
      </c>
      <c r="Q134" s="38">
        <f t="shared" si="185"/>
        <v>11</v>
      </c>
      <c r="R134" s="39">
        <f t="shared" si="186"/>
        <v>0.67728101673295105</v>
      </c>
      <c r="S134" s="39">
        <f t="shared" si="187"/>
        <v>0.81538426384388818</v>
      </c>
      <c r="T134" s="39">
        <f t="shared" si="190"/>
        <v>0.13810324711093713</v>
      </c>
      <c r="U134" s="89">
        <f t="shared" si="216"/>
        <v>2.2639876575563465E-3</v>
      </c>
    </row>
    <row r="135" spans="1:21" ht="15.75" thickBot="1" x14ac:dyDescent="0.3">
      <c r="A135" s="41">
        <f t="shared" ref="A135:B135" si="274">A134+1</f>
        <v>125</v>
      </c>
      <c r="B135" s="42">
        <f t="shared" si="274"/>
        <v>125</v>
      </c>
      <c r="C135" s="92" t="str">
        <f t="shared" si="138"/>
        <v>L11X10-000_000_35</v>
      </c>
      <c r="D135" s="43">
        <f t="shared" si="205"/>
        <v>10</v>
      </c>
      <c r="E135" s="61">
        <f t="shared" si="174"/>
        <v>1.8340000000000001</v>
      </c>
      <c r="F135" s="44">
        <f t="shared" si="212"/>
        <v>18.34</v>
      </c>
      <c r="G135" s="44">
        <f t="shared" si="213"/>
        <v>14.672000000000001</v>
      </c>
      <c r="H135" s="44">
        <f t="shared" si="214"/>
        <v>9.17</v>
      </c>
      <c r="I135" s="44">
        <f t="shared" si="182"/>
        <v>8</v>
      </c>
      <c r="J135" s="45">
        <f t="shared" si="246"/>
        <v>0</v>
      </c>
      <c r="K135" s="87" t="s">
        <v>525</v>
      </c>
      <c r="L135" s="44">
        <f t="shared" ref="L135:N135" si="275">L134</f>
        <v>0.2</v>
      </c>
      <c r="M135" s="44">
        <f t="shared" si="275"/>
        <v>150</v>
      </c>
      <c r="N135" s="44">
        <f t="shared" si="275"/>
        <v>750</v>
      </c>
      <c r="P135" s="38">
        <f t="shared" si="184"/>
        <v>9</v>
      </c>
      <c r="Q135" s="38">
        <f t="shared" si="185"/>
        <v>11</v>
      </c>
      <c r="R135" s="39">
        <f t="shared" si="186"/>
        <v>0.67728101673295105</v>
      </c>
      <c r="S135" s="39">
        <f t="shared" si="187"/>
        <v>0.81538426384388818</v>
      </c>
      <c r="T135" s="39">
        <f t="shared" si="190"/>
        <v>0.13810324711093713</v>
      </c>
      <c r="U135" s="89">
        <f t="shared" si="216"/>
        <v>2.2639876575563465E-3</v>
      </c>
    </row>
    <row r="136" spans="1:21" ht="15.75" thickBot="1" x14ac:dyDescent="0.3">
      <c r="A136" s="41">
        <f t="shared" ref="A136:B136" si="276">A135+1</f>
        <v>126</v>
      </c>
      <c r="B136" s="42">
        <f t="shared" si="276"/>
        <v>126</v>
      </c>
      <c r="C136" s="92" t="str">
        <f t="shared" si="138"/>
        <v>L11X10-000_000_36</v>
      </c>
      <c r="D136" s="43">
        <f t="shared" si="205"/>
        <v>10</v>
      </c>
      <c r="E136" s="61">
        <f t="shared" si="174"/>
        <v>1.8340000000000001</v>
      </c>
      <c r="F136" s="44">
        <f t="shared" si="212"/>
        <v>18.34</v>
      </c>
      <c r="G136" s="44">
        <f t="shared" si="213"/>
        <v>14.672000000000001</v>
      </c>
      <c r="H136" s="44">
        <f t="shared" si="214"/>
        <v>9.17</v>
      </c>
      <c r="I136" s="44">
        <f t="shared" si="182"/>
        <v>8</v>
      </c>
      <c r="J136" s="45">
        <f t="shared" si="246"/>
        <v>0</v>
      </c>
      <c r="K136" s="87" t="s">
        <v>526</v>
      </c>
      <c r="L136" s="44">
        <f t="shared" ref="L136:N136" si="277">L135</f>
        <v>0.2</v>
      </c>
      <c r="M136" s="44">
        <f t="shared" si="277"/>
        <v>150</v>
      </c>
      <c r="N136" s="44">
        <f t="shared" si="277"/>
        <v>750</v>
      </c>
      <c r="P136" s="38">
        <f t="shared" si="184"/>
        <v>9</v>
      </c>
      <c r="Q136" s="38">
        <f t="shared" si="185"/>
        <v>11</v>
      </c>
      <c r="R136" s="39">
        <f t="shared" si="186"/>
        <v>0.67728101673295105</v>
      </c>
      <c r="S136" s="39">
        <f t="shared" si="187"/>
        <v>0.81538426384388818</v>
      </c>
      <c r="T136" s="39">
        <f t="shared" si="190"/>
        <v>0.13810324711093713</v>
      </c>
      <c r="U136" s="89">
        <f t="shared" si="216"/>
        <v>2.2639876575563465E-3</v>
      </c>
    </row>
    <row r="137" spans="1:21" ht="15.75" thickBot="1" x14ac:dyDescent="0.3">
      <c r="A137" s="41">
        <f t="shared" ref="A137:B137" si="278">A136+1</f>
        <v>127</v>
      </c>
      <c r="B137" s="42">
        <f t="shared" si="278"/>
        <v>127</v>
      </c>
      <c r="C137" s="92" t="str">
        <f t="shared" si="138"/>
        <v>L11X10-000_000_37</v>
      </c>
      <c r="D137" s="43">
        <f t="shared" si="205"/>
        <v>10</v>
      </c>
      <c r="E137" s="61">
        <f t="shared" si="174"/>
        <v>1.8340000000000001</v>
      </c>
      <c r="F137" s="44">
        <f t="shared" si="212"/>
        <v>18.34</v>
      </c>
      <c r="G137" s="44">
        <f t="shared" si="213"/>
        <v>14.672000000000001</v>
      </c>
      <c r="H137" s="44">
        <f t="shared" si="214"/>
        <v>9.17</v>
      </c>
      <c r="I137" s="44">
        <f t="shared" si="182"/>
        <v>8</v>
      </c>
      <c r="J137" s="45">
        <f t="shared" si="246"/>
        <v>0</v>
      </c>
      <c r="K137" s="87" t="s">
        <v>527</v>
      </c>
      <c r="L137" s="44">
        <f t="shared" ref="L137:N137" si="279">L136</f>
        <v>0.2</v>
      </c>
      <c r="M137" s="44">
        <f t="shared" si="279"/>
        <v>150</v>
      </c>
      <c r="N137" s="44">
        <f t="shared" si="279"/>
        <v>750</v>
      </c>
      <c r="P137" s="38">
        <f t="shared" si="184"/>
        <v>9</v>
      </c>
      <c r="Q137" s="38">
        <f t="shared" si="185"/>
        <v>11</v>
      </c>
      <c r="R137" s="39">
        <f t="shared" si="186"/>
        <v>0.67728101673295105</v>
      </c>
      <c r="S137" s="39">
        <f t="shared" si="187"/>
        <v>0.81538426384388818</v>
      </c>
      <c r="T137" s="39">
        <f t="shared" si="190"/>
        <v>0.13810324711093713</v>
      </c>
      <c r="U137" s="89">
        <f t="shared" si="216"/>
        <v>2.2639876575563465E-3</v>
      </c>
    </row>
    <row r="138" spans="1:21" ht="15.75" thickBot="1" x14ac:dyDescent="0.3">
      <c r="A138" s="41">
        <f t="shared" ref="A138:B138" si="280">A137+1</f>
        <v>128</v>
      </c>
      <c r="B138" s="42">
        <f t="shared" si="280"/>
        <v>128</v>
      </c>
      <c r="C138" s="92" t="str">
        <f t="shared" si="138"/>
        <v>L11X10-000_000_38</v>
      </c>
      <c r="D138" s="43">
        <f t="shared" si="205"/>
        <v>10</v>
      </c>
      <c r="E138" s="61">
        <f t="shared" si="174"/>
        <v>1.8340000000000001</v>
      </c>
      <c r="F138" s="44">
        <f t="shared" si="212"/>
        <v>18.34</v>
      </c>
      <c r="G138" s="44">
        <f t="shared" si="213"/>
        <v>14.672000000000001</v>
      </c>
      <c r="H138" s="44">
        <f t="shared" si="214"/>
        <v>9.17</v>
      </c>
      <c r="I138" s="44">
        <f t="shared" si="182"/>
        <v>8</v>
      </c>
      <c r="J138" s="45">
        <f t="shared" si="246"/>
        <v>0</v>
      </c>
      <c r="K138" s="87" t="s">
        <v>528</v>
      </c>
      <c r="L138" s="44">
        <f t="shared" ref="L138:N138" si="281">L137</f>
        <v>0.2</v>
      </c>
      <c r="M138" s="44">
        <f t="shared" si="281"/>
        <v>150</v>
      </c>
      <c r="N138" s="44">
        <f t="shared" si="281"/>
        <v>750</v>
      </c>
      <c r="P138" s="38">
        <f t="shared" si="184"/>
        <v>9</v>
      </c>
      <c r="Q138" s="38">
        <f t="shared" si="185"/>
        <v>11</v>
      </c>
      <c r="R138" s="39">
        <f t="shared" si="186"/>
        <v>0.67728101673295105</v>
      </c>
      <c r="S138" s="39">
        <f t="shared" si="187"/>
        <v>0.81538426384388818</v>
      </c>
      <c r="T138" s="39">
        <f t="shared" si="190"/>
        <v>0.13810324711093713</v>
      </c>
      <c r="U138" s="89">
        <f t="shared" si="216"/>
        <v>2.2639876575563465E-3</v>
      </c>
    </row>
    <row r="139" spans="1:21" ht="15.75" thickBot="1" x14ac:dyDescent="0.3">
      <c r="A139" s="41">
        <f t="shared" ref="A139:B139" si="282">A138+1</f>
        <v>129</v>
      </c>
      <c r="B139" s="42">
        <f t="shared" si="282"/>
        <v>129</v>
      </c>
      <c r="C139" s="92" t="str">
        <f t="shared" si="138"/>
        <v>L11X10-000_000_39</v>
      </c>
      <c r="D139" s="43">
        <f t="shared" si="205"/>
        <v>10</v>
      </c>
      <c r="E139" s="61">
        <f t="shared" si="174"/>
        <v>1.8340000000000001</v>
      </c>
      <c r="F139" s="44">
        <f t="shared" si="212"/>
        <v>18.34</v>
      </c>
      <c r="G139" s="44">
        <f t="shared" si="213"/>
        <v>14.672000000000001</v>
      </c>
      <c r="H139" s="44">
        <f t="shared" si="214"/>
        <v>9.17</v>
      </c>
      <c r="I139" s="44">
        <f t="shared" si="182"/>
        <v>8</v>
      </c>
      <c r="J139" s="45">
        <f t="shared" si="246"/>
        <v>0</v>
      </c>
      <c r="K139" s="87" t="s">
        <v>529</v>
      </c>
      <c r="L139" s="44">
        <f t="shared" ref="L139:N139" si="283">L138</f>
        <v>0.2</v>
      </c>
      <c r="M139" s="44">
        <f t="shared" si="283"/>
        <v>150</v>
      </c>
      <c r="N139" s="44">
        <f t="shared" si="283"/>
        <v>750</v>
      </c>
      <c r="P139" s="38">
        <f t="shared" si="184"/>
        <v>9</v>
      </c>
      <c r="Q139" s="38">
        <f t="shared" si="185"/>
        <v>11</v>
      </c>
      <c r="R139" s="39">
        <f t="shared" si="186"/>
        <v>0.67728101673295105</v>
      </c>
      <c r="S139" s="39">
        <f t="shared" si="187"/>
        <v>0.81538426384388818</v>
      </c>
      <c r="T139" s="39">
        <f t="shared" si="190"/>
        <v>0.13810324711093713</v>
      </c>
      <c r="U139" s="89">
        <f t="shared" si="216"/>
        <v>2.2639876575563465E-3</v>
      </c>
    </row>
    <row r="140" spans="1:21" ht="15.75" thickBot="1" x14ac:dyDescent="0.3">
      <c r="A140" s="41">
        <f t="shared" ref="A140:B140" si="284">A139+1</f>
        <v>130</v>
      </c>
      <c r="B140" s="42">
        <f t="shared" si="284"/>
        <v>130</v>
      </c>
      <c r="C140" s="92" t="str">
        <f t="shared" ref="C140:C203" si="285">TEXT(RIGHT($B$2,LEN($B$2)-3),"L00")&amp;"X"&amp;TEXT(D140,"00")&amp;"-"&amp;IF(J140&lt;0,TEXT(360+J140,"000"),TEXT(J140,"000"))&amp;"_"&amp;"000"&amp;"_"&amp;TEXT(RIGHT(K140,LEN(K140)-FIND("-",K140)),"00")</f>
        <v>L11X10-000_000_40</v>
      </c>
      <c r="D140" s="43">
        <f t="shared" si="205"/>
        <v>10</v>
      </c>
      <c r="E140" s="61">
        <f t="shared" si="174"/>
        <v>1.8340000000000001</v>
      </c>
      <c r="F140" s="44">
        <f t="shared" si="212"/>
        <v>18.34</v>
      </c>
      <c r="G140" s="44">
        <f t="shared" si="213"/>
        <v>14.672000000000001</v>
      </c>
      <c r="H140" s="44">
        <f t="shared" si="214"/>
        <v>9.17</v>
      </c>
      <c r="I140" s="44">
        <f t="shared" si="182"/>
        <v>8</v>
      </c>
      <c r="J140" s="45">
        <f t="shared" si="246"/>
        <v>0</v>
      </c>
      <c r="K140" s="87" t="s">
        <v>530</v>
      </c>
      <c r="L140" s="44">
        <f t="shared" ref="L140:N140" si="286">L139</f>
        <v>0.2</v>
      </c>
      <c r="M140" s="44">
        <f t="shared" si="286"/>
        <v>150</v>
      </c>
      <c r="N140" s="44">
        <f t="shared" si="286"/>
        <v>750</v>
      </c>
      <c r="P140" s="38">
        <f t="shared" si="184"/>
        <v>9</v>
      </c>
      <c r="Q140" s="38">
        <f t="shared" si="185"/>
        <v>11</v>
      </c>
      <c r="R140" s="39">
        <f t="shared" si="186"/>
        <v>0.67728101673295105</v>
      </c>
      <c r="S140" s="39">
        <f t="shared" si="187"/>
        <v>0.81538426384388818</v>
      </c>
      <c r="T140" s="39">
        <f t="shared" si="190"/>
        <v>0.13810324711093713</v>
      </c>
      <c r="U140" s="89">
        <f t="shared" si="216"/>
        <v>2.2639876575563465E-3</v>
      </c>
    </row>
    <row r="141" spans="1:21" ht="15.75" thickBot="1" x14ac:dyDescent="0.3">
      <c r="A141" s="41">
        <f t="shared" ref="A141:B141" si="287">A140+1</f>
        <v>131</v>
      </c>
      <c r="B141" s="42">
        <f t="shared" si="287"/>
        <v>131</v>
      </c>
      <c r="C141" s="92" t="str">
        <f t="shared" si="285"/>
        <v>L11X10-008_000_41</v>
      </c>
      <c r="D141" s="43">
        <f t="shared" si="205"/>
        <v>10</v>
      </c>
      <c r="E141" s="61">
        <f t="shared" si="174"/>
        <v>1.8340000000000001</v>
      </c>
      <c r="F141" s="44">
        <f t="shared" si="212"/>
        <v>18.34</v>
      </c>
      <c r="G141" s="44">
        <f t="shared" si="213"/>
        <v>14.672000000000001</v>
      </c>
      <c r="H141" s="44">
        <f t="shared" si="214"/>
        <v>9.17</v>
      </c>
      <c r="I141" s="44">
        <f t="shared" si="182"/>
        <v>8</v>
      </c>
      <c r="J141" s="45">
        <f t="shared" ref="J141:J160" si="288">yaw_max</f>
        <v>8</v>
      </c>
      <c r="K141" s="87" t="s">
        <v>531</v>
      </c>
      <c r="L141" s="44">
        <f t="shared" ref="L141:N141" si="289">L140</f>
        <v>0.2</v>
      </c>
      <c r="M141" s="44">
        <f t="shared" si="289"/>
        <v>150</v>
      </c>
      <c r="N141" s="44">
        <f t="shared" si="289"/>
        <v>750</v>
      </c>
      <c r="P141" s="38">
        <f t="shared" si="184"/>
        <v>9</v>
      </c>
      <c r="Q141" s="38">
        <f t="shared" si="185"/>
        <v>11</v>
      </c>
      <c r="R141" s="39">
        <f t="shared" si="186"/>
        <v>0.67728101673295105</v>
      </c>
      <c r="S141" s="39">
        <f t="shared" si="187"/>
        <v>0.81538426384388818</v>
      </c>
      <c r="T141" s="39">
        <f t="shared" si="190"/>
        <v>0.13810324711093713</v>
      </c>
      <c r="U141" s="89">
        <f t="shared" si="216"/>
        <v>2.2639876575563465E-3</v>
      </c>
    </row>
    <row r="142" spans="1:21" ht="15.75" thickBot="1" x14ac:dyDescent="0.3">
      <c r="A142" s="41">
        <f t="shared" ref="A142:B142" si="290">A141+1</f>
        <v>132</v>
      </c>
      <c r="B142" s="42">
        <f t="shared" si="290"/>
        <v>132</v>
      </c>
      <c r="C142" s="92" t="str">
        <f t="shared" si="285"/>
        <v>L11X10-008_000_42</v>
      </c>
      <c r="D142" s="43">
        <f t="shared" si="205"/>
        <v>10</v>
      </c>
      <c r="E142" s="61">
        <f t="shared" si="174"/>
        <v>1.8340000000000001</v>
      </c>
      <c r="F142" s="44">
        <f t="shared" si="212"/>
        <v>18.34</v>
      </c>
      <c r="G142" s="44">
        <f t="shared" si="213"/>
        <v>14.672000000000001</v>
      </c>
      <c r="H142" s="44">
        <f t="shared" si="214"/>
        <v>9.17</v>
      </c>
      <c r="I142" s="44">
        <f t="shared" si="182"/>
        <v>8</v>
      </c>
      <c r="J142" s="45">
        <f t="shared" si="288"/>
        <v>8</v>
      </c>
      <c r="K142" s="87" t="s">
        <v>532</v>
      </c>
      <c r="L142" s="44">
        <f t="shared" ref="L142:N142" si="291">L141</f>
        <v>0.2</v>
      </c>
      <c r="M142" s="44">
        <f t="shared" si="291"/>
        <v>150</v>
      </c>
      <c r="N142" s="44">
        <f t="shared" si="291"/>
        <v>750</v>
      </c>
      <c r="P142" s="38">
        <f t="shared" si="184"/>
        <v>9</v>
      </c>
      <c r="Q142" s="38">
        <f t="shared" si="185"/>
        <v>11</v>
      </c>
      <c r="R142" s="39">
        <f t="shared" si="186"/>
        <v>0.67728101673295105</v>
      </c>
      <c r="S142" s="39">
        <f t="shared" si="187"/>
        <v>0.81538426384388818</v>
      </c>
      <c r="T142" s="39">
        <f t="shared" si="190"/>
        <v>0.13810324711093713</v>
      </c>
      <c r="U142" s="89">
        <f t="shared" si="216"/>
        <v>2.2639876575563465E-3</v>
      </c>
    </row>
    <row r="143" spans="1:21" ht="15.75" thickBot="1" x14ac:dyDescent="0.3">
      <c r="A143" s="41">
        <f t="shared" ref="A143:B143" si="292">A142+1</f>
        <v>133</v>
      </c>
      <c r="B143" s="42">
        <f t="shared" si="292"/>
        <v>133</v>
      </c>
      <c r="C143" s="92" t="str">
        <f t="shared" si="285"/>
        <v>L11X10-008_000_43</v>
      </c>
      <c r="D143" s="43">
        <f t="shared" si="205"/>
        <v>10</v>
      </c>
      <c r="E143" s="61">
        <f t="shared" si="174"/>
        <v>1.8340000000000001</v>
      </c>
      <c r="F143" s="44">
        <f t="shared" si="212"/>
        <v>18.34</v>
      </c>
      <c r="G143" s="44">
        <f t="shared" si="213"/>
        <v>14.672000000000001</v>
      </c>
      <c r="H143" s="44">
        <f t="shared" si="214"/>
        <v>9.17</v>
      </c>
      <c r="I143" s="44">
        <f t="shared" si="182"/>
        <v>8</v>
      </c>
      <c r="J143" s="45">
        <f t="shared" si="288"/>
        <v>8</v>
      </c>
      <c r="K143" s="87" t="s">
        <v>533</v>
      </c>
      <c r="L143" s="44">
        <f t="shared" ref="L143:N143" si="293">L142</f>
        <v>0.2</v>
      </c>
      <c r="M143" s="44">
        <f t="shared" si="293"/>
        <v>150</v>
      </c>
      <c r="N143" s="44">
        <f t="shared" si="293"/>
        <v>750</v>
      </c>
      <c r="P143" s="38">
        <f t="shared" si="184"/>
        <v>9</v>
      </c>
      <c r="Q143" s="38">
        <f t="shared" si="185"/>
        <v>11</v>
      </c>
      <c r="R143" s="39">
        <f t="shared" si="186"/>
        <v>0.67728101673295105</v>
      </c>
      <c r="S143" s="39">
        <f t="shared" si="187"/>
        <v>0.81538426384388818</v>
      </c>
      <c r="T143" s="39">
        <f t="shared" si="190"/>
        <v>0.13810324711093713</v>
      </c>
      <c r="U143" s="89">
        <f t="shared" si="216"/>
        <v>2.2639876575563465E-3</v>
      </c>
    </row>
    <row r="144" spans="1:21" ht="15.75" thickBot="1" x14ac:dyDescent="0.3">
      <c r="A144" s="41">
        <f t="shared" ref="A144:B144" si="294">A143+1</f>
        <v>134</v>
      </c>
      <c r="B144" s="42">
        <f t="shared" si="294"/>
        <v>134</v>
      </c>
      <c r="C144" s="92" t="str">
        <f t="shared" si="285"/>
        <v>L11X10-008_000_44</v>
      </c>
      <c r="D144" s="43">
        <f t="shared" si="205"/>
        <v>10</v>
      </c>
      <c r="E144" s="61">
        <f t="shared" si="174"/>
        <v>1.8340000000000001</v>
      </c>
      <c r="F144" s="44">
        <f t="shared" si="212"/>
        <v>18.34</v>
      </c>
      <c r="G144" s="44">
        <f t="shared" si="213"/>
        <v>14.672000000000001</v>
      </c>
      <c r="H144" s="44">
        <f t="shared" si="214"/>
        <v>9.17</v>
      </c>
      <c r="I144" s="44">
        <f t="shared" si="182"/>
        <v>8</v>
      </c>
      <c r="J144" s="45">
        <f t="shared" si="288"/>
        <v>8</v>
      </c>
      <c r="K144" s="87" t="s">
        <v>534</v>
      </c>
      <c r="L144" s="44">
        <f t="shared" ref="L144:N144" si="295">L143</f>
        <v>0.2</v>
      </c>
      <c r="M144" s="44">
        <f t="shared" si="295"/>
        <v>150</v>
      </c>
      <c r="N144" s="44">
        <f t="shared" si="295"/>
        <v>750</v>
      </c>
      <c r="P144" s="38">
        <f t="shared" si="184"/>
        <v>9</v>
      </c>
      <c r="Q144" s="38">
        <f t="shared" si="185"/>
        <v>11</v>
      </c>
      <c r="R144" s="39">
        <f t="shared" si="186"/>
        <v>0.67728101673295105</v>
      </c>
      <c r="S144" s="39">
        <f t="shared" si="187"/>
        <v>0.81538426384388818</v>
      </c>
      <c r="T144" s="39">
        <f t="shared" si="190"/>
        <v>0.13810324711093713</v>
      </c>
      <c r="U144" s="89">
        <f t="shared" si="216"/>
        <v>2.2639876575563465E-3</v>
      </c>
    </row>
    <row r="145" spans="1:21" ht="15.75" thickBot="1" x14ac:dyDescent="0.3">
      <c r="A145" s="41">
        <f t="shared" ref="A145:B145" si="296">A144+1</f>
        <v>135</v>
      </c>
      <c r="B145" s="42">
        <f t="shared" si="296"/>
        <v>135</v>
      </c>
      <c r="C145" s="92" t="str">
        <f t="shared" si="285"/>
        <v>L11X10-008_000_45</v>
      </c>
      <c r="D145" s="43">
        <f t="shared" si="205"/>
        <v>10</v>
      </c>
      <c r="E145" s="61">
        <f t="shared" si="174"/>
        <v>1.8340000000000001</v>
      </c>
      <c r="F145" s="44">
        <f t="shared" si="212"/>
        <v>18.34</v>
      </c>
      <c r="G145" s="44">
        <f t="shared" si="213"/>
        <v>14.672000000000001</v>
      </c>
      <c r="H145" s="44">
        <f t="shared" si="214"/>
        <v>9.17</v>
      </c>
      <c r="I145" s="44">
        <f t="shared" si="182"/>
        <v>8</v>
      </c>
      <c r="J145" s="45">
        <f t="shared" si="288"/>
        <v>8</v>
      </c>
      <c r="K145" s="87" t="s">
        <v>535</v>
      </c>
      <c r="L145" s="44">
        <f t="shared" ref="L145:N145" si="297">L144</f>
        <v>0.2</v>
      </c>
      <c r="M145" s="44">
        <f t="shared" si="297"/>
        <v>150</v>
      </c>
      <c r="N145" s="44">
        <f t="shared" si="297"/>
        <v>750</v>
      </c>
      <c r="P145" s="38">
        <f t="shared" si="184"/>
        <v>9</v>
      </c>
      <c r="Q145" s="38">
        <f t="shared" si="185"/>
        <v>11</v>
      </c>
      <c r="R145" s="39">
        <f t="shared" si="186"/>
        <v>0.67728101673295105</v>
      </c>
      <c r="S145" s="39">
        <f t="shared" si="187"/>
        <v>0.81538426384388818</v>
      </c>
      <c r="T145" s="39">
        <f t="shared" si="190"/>
        <v>0.13810324711093713</v>
      </c>
      <c r="U145" s="89">
        <f t="shared" si="216"/>
        <v>2.2639876575563465E-3</v>
      </c>
    </row>
    <row r="146" spans="1:21" ht="15.75" thickBot="1" x14ac:dyDescent="0.3">
      <c r="A146" s="41">
        <f t="shared" ref="A146:B146" si="298">A145+1</f>
        <v>136</v>
      </c>
      <c r="B146" s="42">
        <f t="shared" si="298"/>
        <v>136</v>
      </c>
      <c r="C146" s="92" t="str">
        <f t="shared" si="285"/>
        <v>L11X10-008_000_46</v>
      </c>
      <c r="D146" s="43">
        <f t="shared" si="205"/>
        <v>10</v>
      </c>
      <c r="E146" s="61">
        <f t="shared" si="174"/>
        <v>1.8340000000000001</v>
      </c>
      <c r="F146" s="44">
        <f t="shared" si="212"/>
        <v>18.34</v>
      </c>
      <c r="G146" s="44">
        <f t="shared" si="213"/>
        <v>14.672000000000001</v>
      </c>
      <c r="H146" s="44">
        <f t="shared" si="214"/>
        <v>9.17</v>
      </c>
      <c r="I146" s="44">
        <f t="shared" si="182"/>
        <v>8</v>
      </c>
      <c r="J146" s="45">
        <f t="shared" si="288"/>
        <v>8</v>
      </c>
      <c r="K146" s="87" t="s">
        <v>536</v>
      </c>
      <c r="L146" s="44">
        <f t="shared" ref="L146:N146" si="299">L145</f>
        <v>0.2</v>
      </c>
      <c r="M146" s="44">
        <f t="shared" si="299"/>
        <v>150</v>
      </c>
      <c r="N146" s="44">
        <f t="shared" si="299"/>
        <v>750</v>
      </c>
      <c r="P146" s="38">
        <f t="shared" si="184"/>
        <v>9</v>
      </c>
      <c r="Q146" s="38">
        <f t="shared" si="185"/>
        <v>11</v>
      </c>
      <c r="R146" s="39">
        <f t="shared" si="186"/>
        <v>0.67728101673295105</v>
      </c>
      <c r="S146" s="39">
        <f t="shared" si="187"/>
        <v>0.81538426384388818</v>
      </c>
      <c r="T146" s="39">
        <f t="shared" si="190"/>
        <v>0.13810324711093713</v>
      </c>
      <c r="U146" s="89">
        <f t="shared" si="216"/>
        <v>2.2639876575563465E-3</v>
      </c>
    </row>
    <row r="147" spans="1:21" ht="15.75" thickBot="1" x14ac:dyDescent="0.3">
      <c r="A147" s="41">
        <f t="shared" ref="A147:B147" si="300">A146+1</f>
        <v>137</v>
      </c>
      <c r="B147" s="42">
        <f t="shared" si="300"/>
        <v>137</v>
      </c>
      <c r="C147" s="92" t="str">
        <f t="shared" si="285"/>
        <v>L11X10-008_000_47</v>
      </c>
      <c r="D147" s="43">
        <f t="shared" si="205"/>
        <v>10</v>
      </c>
      <c r="E147" s="61">
        <f t="shared" si="174"/>
        <v>1.8340000000000001</v>
      </c>
      <c r="F147" s="44">
        <f t="shared" si="212"/>
        <v>18.34</v>
      </c>
      <c r="G147" s="44">
        <f t="shared" si="213"/>
        <v>14.672000000000001</v>
      </c>
      <c r="H147" s="44">
        <f t="shared" si="214"/>
        <v>9.17</v>
      </c>
      <c r="I147" s="44">
        <f t="shared" si="182"/>
        <v>8</v>
      </c>
      <c r="J147" s="45">
        <f t="shared" si="288"/>
        <v>8</v>
      </c>
      <c r="K147" s="87" t="s">
        <v>537</v>
      </c>
      <c r="L147" s="44">
        <f t="shared" ref="L147:N147" si="301">L146</f>
        <v>0.2</v>
      </c>
      <c r="M147" s="44">
        <f t="shared" si="301"/>
        <v>150</v>
      </c>
      <c r="N147" s="44">
        <f t="shared" si="301"/>
        <v>750</v>
      </c>
      <c r="P147" s="38">
        <f t="shared" si="184"/>
        <v>9</v>
      </c>
      <c r="Q147" s="38">
        <f t="shared" si="185"/>
        <v>11</v>
      </c>
      <c r="R147" s="39">
        <f t="shared" si="186"/>
        <v>0.67728101673295105</v>
      </c>
      <c r="S147" s="39">
        <f t="shared" si="187"/>
        <v>0.81538426384388818</v>
      </c>
      <c r="T147" s="39">
        <f t="shared" si="190"/>
        <v>0.13810324711093713</v>
      </c>
      <c r="U147" s="89">
        <f t="shared" si="216"/>
        <v>2.2639876575563465E-3</v>
      </c>
    </row>
    <row r="148" spans="1:21" ht="15.75" thickBot="1" x14ac:dyDescent="0.3">
      <c r="A148" s="41">
        <f t="shared" ref="A148:B148" si="302">A147+1</f>
        <v>138</v>
      </c>
      <c r="B148" s="42">
        <f t="shared" si="302"/>
        <v>138</v>
      </c>
      <c r="C148" s="92" t="str">
        <f t="shared" si="285"/>
        <v>L11X10-008_000_48</v>
      </c>
      <c r="D148" s="43">
        <f t="shared" si="205"/>
        <v>10</v>
      </c>
      <c r="E148" s="61">
        <f t="shared" si="174"/>
        <v>1.8340000000000001</v>
      </c>
      <c r="F148" s="44">
        <f t="shared" si="212"/>
        <v>18.34</v>
      </c>
      <c r="G148" s="44">
        <f t="shared" si="213"/>
        <v>14.672000000000001</v>
      </c>
      <c r="H148" s="44">
        <f t="shared" si="214"/>
        <v>9.17</v>
      </c>
      <c r="I148" s="44">
        <f t="shared" si="182"/>
        <v>8</v>
      </c>
      <c r="J148" s="45">
        <f t="shared" si="288"/>
        <v>8</v>
      </c>
      <c r="K148" s="87" t="s">
        <v>538</v>
      </c>
      <c r="L148" s="44">
        <f t="shared" ref="L148:N148" si="303">L147</f>
        <v>0.2</v>
      </c>
      <c r="M148" s="44">
        <f t="shared" si="303"/>
        <v>150</v>
      </c>
      <c r="N148" s="44">
        <f t="shared" si="303"/>
        <v>750</v>
      </c>
      <c r="P148" s="38">
        <f t="shared" si="184"/>
        <v>9</v>
      </c>
      <c r="Q148" s="38">
        <f t="shared" si="185"/>
        <v>11</v>
      </c>
      <c r="R148" s="39">
        <f t="shared" si="186"/>
        <v>0.67728101673295105</v>
      </c>
      <c r="S148" s="39">
        <f t="shared" si="187"/>
        <v>0.81538426384388818</v>
      </c>
      <c r="T148" s="39">
        <f t="shared" si="190"/>
        <v>0.13810324711093713</v>
      </c>
      <c r="U148" s="89">
        <f t="shared" si="216"/>
        <v>2.2639876575563465E-3</v>
      </c>
    </row>
    <row r="149" spans="1:21" ht="15.75" thickBot="1" x14ac:dyDescent="0.3">
      <c r="A149" s="41">
        <f t="shared" ref="A149:B149" si="304">A148+1</f>
        <v>139</v>
      </c>
      <c r="B149" s="42">
        <f t="shared" si="304"/>
        <v>139</v>
      </c>
      <c r="C149" s="92" t="str">
        <f t="shared" si="285"/>
        <v>L11X10-008_000_49</v>
      </c>
      <c r="D149" s="43">
        <f t="shared" si="205"/>
        <v>10</v>
      </c>
      <c r="E149" s="61">
        <f t="shared" si="174"/>
        <v>1.8340000000000001</v>
      </c>
      <c r="F149" s="44">
        <f t="shared" si="212"/>
        <v>18.34</v>
      </c>
      <c r="G149" s="44">
        <f t="shared" si="213"/>
        <v>14.672000000000001</v>
      </c>
      <c r="H149" s="44">
        <f t="shared" si="214"/>
        <v>9.17</v>
      </c>
      <c r="I149" s="44">
        <f t="shared" si="182"/>
        <v>8</v>
      </c>
      <c r="J149" s="45">
        <f t="shared" si="288"/>
        <v>8</v>
      </c>
      <c r="K149" s="87" t="s">
        <v>539</v>
      </c>
      <c r="L149" s="44">
        <f t="shared" ref="L149:N149" si="305">L148</f>
        <v>0.2</v>
      </c>
      <c r="M149" s="44">
        <f t="shared" si="305"/>
        <v>150</v>
      </c>
      <c r="N149" s="44">
        <f t="shared" si="305"/>
        <v>750</v>
      </c>
      <c r="P149" s="38">
        <f t="shared" si="184"/>
        <v>9</v>
      </c>
      <c r="Q149" s="38">
        <f t="shared" si="185"/>
        <v>11</v>
      </c>
      <c r="R149" s="39">
        <f t="shared" si="186"/>
        <v>0.67728101673295105</v>
      </c>
      <c r="S149" s="39">
        <f t="shared" si="187"/>
        <v>0.81538426384388818</v>
      </c>
      <c r="T149" s="39">
        <f t="shared" si="190"/>
        <v>0.13810324711093713</v>
      </c>
      <c r="U149" s="89">
        <f t="shared" si="216"/>
        <v>2.2639876575563465E-3</v>
      </c>
    </row>
    <row r="150" spans="1:21" ht="15.75" thickBot="1" x14ac:dyDescent="0.3">
      <c r="A150" s="41">
        <f t="shared" ref="A150:B150" si="306">A149+1</f>
        <v>140</v>
      </c>
      <c r="B150" s="42">
        <f t="shared" si="306"/>
        <v>140</v>
      </c>
      <c r="C150" s="92" t="str">
        <f t="shared" si="285"/>
        <v>L11X10-008_000_50</v>
      </c>
      <c r="D150" s="43">
        <f t="shared" si="205"/>
        <v>10</v>
      </c>
      <c r="E150" s="61">
        <f t="shared" si="174"/>
        <v>1.8340000000000001</v>
      </c>
      <c r="F150" s="44">
        <f t="shared" si="212"/>
        <v>18.34</v>
      </c>
      <c r="G150" s="44">
        <f t="shared" si="213"/>
        <v>14.672000000000001</v>
      </c>
      <c r="H150" s="44">
        <f t="shared" si="214"/>
        <v>9.17</v>
      </c>
      <c r="I150" s="44">
        <f t="shared" si="182"/>
        <v>8</v>
      </c>
      <c r="J150" s="45">
        <f t="shared" si="288"/>
        <v>8</v>
      </c>
      <c r="K150" s="87" t="s">
        <v>540</v>
      </c>
      <c r="L150" s="44">
        <f t="shared" ref="L150:N150" si="307">L149</f>
        <v>0.2</v>
      </c>
      <c r="M150" s="44">
        <f t="shared" si="307"/>
        <v>150</v>
      </c>
      <c r="N150" s="44">
        <f t="shared" si="307"/>
        <v>750</v>
      </c>
      <c r="P150" s="38">
        <f t="shared" si="184"/>
        <v>9</v>
      </c>
      <c r="Q150" s="38">
        <f t="shared" si="185"/>
        <v>11</v>
      </c>
      <c r="R150" s="39">
        <f t="shared" si="186"/>
        <v>0.67728101673295105</v>
      </c>
      <c r="S150" s="39">
        <f t="shared" si="187"/>
        <v>0.81538426384388818</v>
      </c>
      <c r="T150" s="39">
        <f t="shared" si="190"/>
        <v>0.13810324711093713</v>
      </c>
      <c r="U150" s="89">
        <f t="shared" si="216"/>
        <v>2.2639876575563465E-3</v>
      </c>
    </row>
    <row r="151" spans="1:21" ht="15.75" thickBot="1" x14ac:dyDescent="0.3">
      <c r="A151" s="41">
        <f t="shared" ref="A151:B151" si="308">A150+1</f>
        <v>141</v>
      </c>
      <c r="B151" s="42">
        <f t="shared" si="308"/>
        <v>141</v>
      </c>
      <c r="C151" s="92" t="str">
        <f t="shared" si="285"/>
        <v>L11X10-008_000_51</v>
      </c>
      <c r="D151" s="43">
        <f t="shared" si="205"/>
        <v>10</v>
      </c>
      <c r="E151" s="61">
        <f t="shared" si="174"/>
        <v>1.8340000000000001</v>
      </c>
      <c r="F151" s="44">
        <f t="shared" si="212"/>
        <v>18.34</v>
      </c>
      <c r="G151" s="44">
        <f t="shared" si="213"/>
        <v>14.672000000000001</v>
      </c>
      <c r="H151" s="44">
        <f t="shared" si="214"/>
        <v>9.17</v>
      </c>
      <c r="I151" s="44">
        <f t="shared" si="182"/>
        <v>8</v>
      </c>
      <c r="J151" s="45">
        <f t="shared" si="288"/>
        <v>8</v>
      </c>
      <c r="K151" s="87" t="s">
        <v>541</v>
      </c>
      <c r="L151" s="44">
        <f t="shared" ref="L151:N151" si="309">L150</f>
        <v>0.2</v>
      </c>
      <c r="M151" s="44">
        <f t="shared" si="309"/>
        <v>150</v>
      </c>
      <c r="N151" s="44">
        <f t="shared" si="309"/>
        <v>750</v>
      </c>
      <c r="P151" s="38">
        <f t="shared" si="184"/>
        <v>9</v>
      </c>
      <c r="Q151" s="38">
        <f t="shared" si="185"/>
        <v>11</v>
      </c>
      <c r="R151" s="39">
        <f t="shared" si="186"/>
        <v>0.67728101673295105</v>
      </c>
      <c r="S151" s="39">
        <f t="shared" si="187"/>
        <v>0.81538426384388818</v>
      </c>
      <c r="T151" s="39">
        <f t="shared" si="190"/>
        <v>0.13810324711093713</v>
      </c>
      <c r="U151" s="89">
        <f t="shared" si="216"/>
        <v>2.2639876575563465E-3</v>
      </c>
    </row>
    <row r="152" spans="1:21" ht="15.75" thickBot="1" x14ac:dyDescent="0.3">
      <c r="A152" s="41">
        <f t="shared" ref="A152:B152" si="310">A151+1</f>
        <v>142</v>
      </c>
      <c r="B152" s="42">
        <f t="shared" si="310"/>
        <v>142</v>
      </c>
      <c r="C152" s="92" t="str">
        <f t="shared" si="285"/>
        <v>L11X10-008_000_52</v>
      </c>
      <c r="D152" s="43">
        <f t="shared" si="205"/>
        <v>10</v>
      </c>
      <c r="E152" s="61">
        <f t="shared" si="174"/>
        <v>1.8340000000000001</v>
      </c>
      <c r="F152" s="44">
        <f t="shared" si="212"/>
        <v>18.34</v>
      </c>
      <c r="G152" s="44">
        <f t="shared" si="213"/>
        <v>14.672000000000001</v>
      </c>
      <c r="H152" s="44">
        <f t="shared" si="214"/>
        <v>9.17</v>
      </c>
      <c r="I152" s="44">
        <f t="shared" si="182"/>
        <v>8</v>
      </c>
      <c r="J152" s="45">
        <f t="shared" si="288"/>
        <v>8</v>
      </c>
      <c r="K152" s="87" t="s">
        <v>542</v>
      </c>
      <c r="L152" s="44">
        <f t="shared" ref="L152:N152" si="311">L151</f>
        <v>0.2</v>
      </c>
      <c r="M152" s="44">
        <f t="shared" si="311"/>
        <v>150</v>
      </c>
      <c r="N152" s="44">
        <f t="shared" si="311"/>
        <v>750</v>
      </c>
      <c r="P152" s="38">
        <f t="shared" si="184"/>
        <v>9</v>
      </c>
      <c r="Q152" s="38">
        <f t="shared" si="185"/>
        <v>11</v>
      </c>
      <c r="R152" s="39">
        <f t="shared" si="186"/>
        <v>0.67728101673295105</v>
      </c>
      <c r="S152" s="39">
        <f t="shared" si="187"/>
        <v>0.81538426384388818</v>
      </c>
      <c r="T152" s="39">
        <f t="shared" si="190"/>
        <v>0.13810324711093713</v>
      </c>
      <c r="U152" s="89">
        <f t="shared" si="216"/>
        <v>2.2639876575563465E-3</v>
      </c>
    </row>
    <row r="153" spans="1:21" ht="15.75" thickBot="1" x14ac:dyDescent="0.3">
      <c r="A153" s="41">
        <f t="shared" ref="A153:B153" si="312">A152+1</f>
        <v>143</v>
      </c>
      <c r="B153" s="42">
        <f t="shared" si="312"/>
        <v>143</v>
      </c>
      <c r="C153" s="92" t="str">
        <f t="shared" si="285"/>
        <v>L11X10-008_000_53</v>
      </c>
      <c r="D153" s="43">
        <f t="shared" si="205"/>
        <v>10</v>
      </c>
      <c r="E153" s="61">
        <f t="shared" si="174"/>
        <v>1.8340000000000001</v>
      </c>
      <c r="F153" s="44">
        <f t="shared" si="212"/>
        <v>18.34</v>
      </c>
      <c r="G153" s="44">
        <f t="shared" si="213"/>
        <v>14.672000000000001</v>
      </c>
      <c r="H153" s="44">
        <f t="shared" si="214"/>
        <v>9.17</v>
      </c>
      <c r="I153" s="44">
        <f t="shared" si="182"/>
        <v>8</v>
      </c>
      <c r="J153" s="45">
        <f t="shared" si="288"/>
        <v>8</v>
      </c>
      <c r="K153" s="87" t="s">
        <v>543</v>
      </c>
      <c r="L153" s="44">
        <f t="shared" ref="L153:N153" si="313">L152</f>
        <v>0.2</v>
      </c>
      <c r="M153" s="44">
        <f t="shared" si="313"/>
        <v>150</v>
      </c>
      <c r="N153" s="44">
        <f t="shared" si="313"/>
        <v>750</v>
      </c>
      <c r="P153" s="38">
        <f t="shared" si="184"/>
        <v>9</v>
      </c>
      <c r="Q153" s="38">
        <f t="shared" si="185"/>
        <v>11</v>
      </c>
      <c r="R153" s="39">
        <f t="shared" si="186"/>
        <v>0.67728101673295105</v>
      </c>
      <c r="S153" s="39">
        <f t="shared" si="187"/>
        <v>0.81538426384388818</v>
      </c>
      <c r="T153" s="39">
        <f t="shared" si="190"/>
        <v>0.13810324711093713</v>
      </c>
      <c r="U153" s="89">
        <f t="shared" si="216"/>
        <v>2.2639876575563465E-3</v>
      </c>
    </row>
    <row r="154" spans="1:21" ht="15.75" thickBot="1" x14ac:dyDescent="0.3">
      <c r="A154" s="41">
        <f t="shared" ref="A154:B154" si="314">A153+1</f>
        <v>144</v>
      </c>
      <c r="B154" s="42">
        <f t="shared" si="314"/>
        <v>144</v>
      </c>
      <c r="C154" s="92" t="str">
        <f t="shared" si="285"/>
        <v>L11X10-008_000_54</v>
      </c>
      <c r="D154" s="43">
        <f t="shared" si="205"/>
        <v>10</v>
      </c>
      <c r="E154" s="61">
        <f t="shared" si="174"/>
        <v>1.8340000000000001</v>
      </c>
      <c r="F154" s="44">
        <f t="shared" si="212"/>
        <v>18.34</v>
      </c>
      <c r="G154" s="44">
        <f t="shared" si="213"/>
        <v>14.672000000000001</v>
      </c>
      <c r="H154" s="44">
        <f t="shared" si="214"/>
        <v>9.17</v>
      </c>
      <c r="I154" s="44">
        <f t="shared" si="182"/>
        <v>8</v>
      </c>
      <c r="J154" s="45">
        <f t="shared" si="288"/>
        <v>8</v>
      </c>
      <c r="K154" s="87" t="s">
        <v>544</v>
      </c>
      <c r="L154" s="44">
        <f t="shared" ref="L154:N154" si="315">L153</f>
        <v>0.2</v>
      </c>
      <c r="M154" s="44">
        <f t="shared" si="315"/>
        <v>150</v>
      </c>
      <c r="N154" s="44">
        <f t="shared" si="315"/>
        <v>750</v>
      </c>
      <c r="P154" s="38">
        <f t="shared" si="184"/>
        <v>9</v>
      </c>
      <c r="Q154" s="38">
        <f t="shared" si="185"/>
        <v>11</v>
      </c>
      <c r="R154" s="39">
        <f t="shared" si="186"/>
        <v>0.67728101673295105</v>
      </c>
      <c r="S154" s="39">
        <f t="shared" si="187"/>
        <v>0.81538426384388818</v>
      </c>
      <c r="T154" s="39">
        <f t="shared" si="190"/>
        <v>0.13810324711093713</v>
      </c>
      <c r="U154" s="89">
        <f t="shared" si="216"/>
        <v>2.2639876575563465E-3</v>
      </c>
    </row>
    <row r="155" spans="1:21" ht="15.75" thickBot="1" x14ac:dyDescent="0.3">
      <c r="A155" s="41">
        <f t="shared" ref="A155:B155" si="316">A154+1</f>
        <v>145</v>
      </c>
      <c r="B155" s="42">
        <f t="shared" si="316"/>
        <v>145</v>
      </c>
      <c r="C155" s="92" t="str">
        <f t="shared" si="285"/>
        <v>L11X10-008_000_55</v>
      </c>
      <c r="D155" s="43">
        <f t="shared" si="205"/>
        <v>10</v>
      </c>
      <c r="E155" s="61">
        <f t="shared" si="174"/>
        <v>1.8340000000000001</v>
      </c>
      <c r="F155" s="44">
        <f t="shared" si="212"/>
        <v>18.34</v>
      </c>
      <c r="G155" s="44">
        <f t="shared" si="213"/>
        <v>14.672000000000001</v>
      </c>
      <c r="H155" s="44">
        <f t="shared" si="214"/>
        <v>9.17</v>
      </c>
      <c r="I155" s="44">
        <f t="shared" si="182"/>
        <v>8</v>
      </c>
      <c r="J155" s="45">
        <f t="shared" si="288"/>
        <v>8</v>
      </c>
      <c r="K155" s="87" t="s">
        <v>545</v>
      </c>
      <c r="L155" s="44">
        <f t="shared" ref="L155:N155" si="317">L154</f>
        <v>0.2</v>
      </c>
      <c r="M155" s="44">
        <f t="shared" si="317"/>
        <v>150</v>
      </c>
      <c r="N155" s="44">
        <f t="shared" si="317"/>
        <v>750</v>
      </c>
      <c r="P155" s="38">
        <f t="shared" si="184"/>
        <v>9</v>
      </c>
      <c r="Q155" s="38">
        <f t="shared" si="185"/>
        <v>11</v>
      </c>
      <c r="R155" s="39">
        <f t="shared" si="186"/>
        <v>0.67728101673295105</v>
      </c>
      <c r="S155" s="39">
        <f t="shared" si="187"/>
        <v>0.81538426384388818</v>
      </c>
      <c r="T155" s="39">
        <f t="shared" si="190"/>
        <v>0.13810324711093713</v>
      </c>
      <c r="U155" s="89">
        <f t="shared" si="216"/>
        <v>2.2639876575563465E-3</v>
      </c>
    </row>
    <row r="156" spans="1:21" ht="15.75" thickBot="1" x14ac:dyDescent="0.3">
      <c r="A156" s="41">
        <f t="shared" ref="A156:B156" si="318">A155+1</f>
        <v>146</v>
      </c>
      <c r="B156" s="42">
        <f t="shared" si="318"/>
        <v>146</v>
      </c>
      <c r="C156" s="92" t="str">
        <f t="shared" si="285"/>
        <v>L11X10-008_000_56</v>
      </c>
      <c r="D156" s="43">
        <f t="shared" si="205"/>
        <v>10</v>
      </c>
      <c r="E156" s="61">
        <f t="shared" si="174"/>
        <v>1.8340000000000001</v>
      </c>
      <c r="F156" s="44">
        <f t="shared" si="212"/>
        <v>18.34</v>
      </c>
      <c r="G156" s="44">
        <f t="shared" si="213"/>
        <v>14.672000000000001</v>
      </c>
      <c r="H156" s="44">
        <f t="shared" si="214"/>
        <v>9.17</v>
      </c>
      <c r="I156" s="44">
        <f t="shared" si="182"/>
        <v>8</v>
      </c>
      <c r="J156" s="45">
        <f t="shared" si="288"/>
        <v>8</v>
      </c>
      <c r="K156" s="87" t="s">
        <v>546</v>
      </c>
      <c r="L156" s="44">
        <f t="shared" ref="L156:N156" si="319">L155</f>
        <v>0.2</v>
      </c>
      <c r="M156" s="44">
        <f t="shared" si="319"/>
        <v>150</v>
      </c>
      <c r="N156" s="44">
        <f t="shared" si="319"/>
        <v>750</v>
      </c>
      <c r="P156" s="38">
        <f t="shared" si="184"/>
        <v>9</v>
      </c>
      <c r="Q156" s="38">
        <f t="shared" si="185"/>
        <v>11</v>
      </c>
      <c r="R156" s="39">
        <f t="shared" si="186"/>
        <v>0.67728101673295105</v>
      </c>
      <c r="S156" s="39">
        <f t="shared" si="187"/>
        <v>0.81538426384388818</v>
      </c>
      <c r="T156" s="39">
        <f t="shared" si="190"/>
        <v>0.13810324711093713</v>
      </c>
      <c r="U156" s="89">
        <f t="shared" si="216"/>
        <v>2.2639876575563465E-3</v>
      </c>
    </row>
    <row r="157" spans="1:21" ht="15.75" thickBot="1" x14ac:dyDescent="0.3">
      <c r="A157" s="41">
        <f t="shared" ref="A157:B157" si="320">A156+1</f>
        <v>147</v>
      </c>
      <c r="B157" s="42">
        <f t="shared" si="320"/>
        <v>147</v>
      </c>
      <c r="C157" s="92" t="str">
        <f t="shared" si="285"/>
        <v>L11X10-008_000_57</v>
      </c>
      <c r="D157" s="43">
        <f t="shared" si="205"/>
        <v>10</v>
      </c>
      <c r="E157" s="61">
        <f t="shared" ref="E157:E220" si="321">I_ref*(0.75*D157+5.6)</f>
        <v>1.8340000000000001</v>
      </c>
      <c r="F157" s="44">
        <f t="shared" si="212"/>
        <v>18.34</v>
      </c>
      <c r="G157" s="44">
        <f t="shared" si="213"/>
        <v>14.672000000000001</v>
      </c>
      <c r="H157" s="44">
        <f t="shared" si="214"/>
        <v>9.17</v>
      </c>
      <c r="I157" s="44">
        <f t="shared" si="182"/>
        <v>8</v>
      </c>
      <c r="J157" s="45">
        <f t="shared" si="288"/>
        <v>8</v>
      </c>
      <c r="K157" s="87" t="s">
        <v>547</v>
      </c>
      <c r="L157" s="44">
        <f t="shared" ref="L157:N157" si="322">L156</f>
        <v>0.2</v>
      </c>
      <c r="M157" s="44">
        <f t="shared" si="322"/>
        <v>150</v>
      </c>
      <c r="N157" s="44">
        <f t="shared" si="322"/>
        <v>750</v>
      </c>
      <c r="P157" s="38">
        <f t="shared" si="184"/>
        <v>9</v>
      </c>
      <c r="Q157" s="38">
        <f t="shared" si="185"/>
        <v>11</v>
      </c>
      <c r="R157" s="39">
        <f t="shared" si="186"/>
        <v>0.67728101673295105</v>
      </c>
      <c r="S157" s="39">
        <f t="shared" si="187"/>
        <v>0.81538426384388818</v>
      </c>
      <c r="T157" s="39">
        <f t="shared" si="190"/>
        <v>0.13810324711093713</v>
      </c>
      <c r="U157" s="89">
        <f t="shared" si="216"/>
        <v>2.2639876575563465E-3</v>
      </c>
    </row>
    <row r="158" spans="1:21" ht="15.75" thickBot="1" x14ac:dyDescent="0.3">
      <c r="A158" s="41">
        <f t="shared" ref="A158:B158" si="323">A157+1</f>
        <v>148</v>
      </c>
      <c r="B158" s="42">
        <f t="shared" si="323"/>
        <v>148</v>
      </c>
      <c r="C158" s="92" t="str">
        <f t="shared" si="285"/>
        <v>L11X10-008_000_58</v>
      </c>
      <c r="D158" s="43">
        <f t="shared" si="205"/>
        <v>10</v>
      </c>
      <c r="E158" s="61">
        <f t="shared" si="321"/>
        <v>1.8340000000000001</v>
      </c>
      <c r="F158" s="44">
        <f t="shared" si="212"/>
        <v>18.34</v>
      </c>
      <c r="G158" s="44">
        <f t="shared" si="213"/>
        <v>14.672000000000001</v>
      </c>
      <c r="H158" s="44">
        <f t="shared" si="214"/>
        <v>9.17</v>
      </c>
      <c r="I158" s="44">
        <f t="shared" si="182"/>
        <v>8</v>
      </c>
      <c r="J158" s="45">
        <f t="shared" si="288"/>
        <v>8</v>
      </c>
      <c r="K158" s="87" t="s">
        <v>548</v>
      </c>
      <c r="L158" s="44">
        <f t="shared" ref="L158:N158" si="324">L157</f>
        <v>0.2</v>
      </c>
      <c r="M158" s="44">
        <f t="shared" si="324"/>
        <v>150</v>
      </c>
      <c r="N158" s="44">
        <f t="shared" si="324"/>
        <v>750</v>
      </c>
      <c r="P158" s="38">
        <f t="shared" si="184"/>
        <v>9</v>
      </c>
      <c r="Q158" s="38">
        <f t="shared" si="185"/>
        <v>11</v>
      </c>
      <c r="R158" s="39">
        <f t="shared" si="186"/>
        <v>0.67728101673295105</v>
      </c>
      <c r="S158" s="39">
        <f t="shared" si="187"/>
        <v>0.81538426384388818</v>
      </c>
      <c r="T158" s="39">
        <f t="shared" si="190"/>
        <v>0.13810324711093713</v>
      </c>
      <c r="U158" s="89">
        <f t="shared" si="216"/>
        <v>2.2639876575563465E-3</v>
      </c>
    </row>
    <row r="159" spans="1:21" ht="15.75" thickBot="1" x14ac:dyDescent="0.3">
      <c r="A159" s="41">
        <f t="shared" ref="A159:B159" si="325">A158+1</f>
        <v>149</v>
      </c>
      <c r="B159" s="42">
        <f t="shared" si="325"/>
        <v>149</v>
      </c>
      <c r="C159" s="92" t="str">
        <f t="shared" si="285"/>
        <v>L11X10-008_000_59</v>
      </c>
      <c r="D159" s="43">
        <f t="shared" si="205"/>
        <v>10</v>
      </c>
      <c r="E159" s="61">
        <f t="shared" si="321"/>
        <v>1.8340000000000001</v>
      </c>
      <c r="F159" s="44">
        <f t="shared" si="212"/>
        <v>18.34</v>
      </c>
      <c r="G159" s="44">
        <f t="shared" si="213"/>
        <v>14.672000000000001</v>
      </c>
      <c r="H159" s="44">
        <f t="shared" si="214"/>
        <v>9.17</v>
      </c>
      <c r="I159" s="44">
        <f t="shared" ref="I159:I222" si="326">I158</f>
        <v>8</v>
      </c>
      <c r="J159" s="45">
        <f t="shared" si="288"/>
        <v>8</v>
      </c>
      <c r="K159" s="87" t="s">
        <v>549</v>
      </c>
      <c r="L159" s="44">
        <f t="shared" ref="L159:N159" si="327">L158</f>
        <v>0.2</v>
      </c>
      <c r="M159" s="44">
        <f t="shared" si="327"/>
        <v>150</v>
      </c>
      <c r="N159" s="44">
        <f t="shared" si="327"/>
        <v>750</v>
      </c>
      <c r="P159" s="38">
        <f t="shared" ref="P159:P222" si="328">D159-v_step/2</f>
        <v>9</v>
      </c>
      <c r="Q159" s="38">
        <f t="shared" ref="Q159:Q222" si="329">P159+v_step</f>
        <v>11</v>
      </c>
      <c r="R159" s="39">
        <f t="shared" ref="R159:R222" si="330">IF(wpd="Rayleigh",1-EXP(-PI()*((P159/2/v_ave)^2)),IF(wpd="Weibull",1-EXP(-((P159/weibull_A)^weibull_K))))</f>
        <v>0.67728101673295105</v>
      </c>
      <c r="S159" s="39">
        <f t="shared" ref="S159:S222" si="331">IF(wpd="Rayleigh",1-EXP(-PI()*((Q159/2/v_ave)^2)),IF(wpd="Weibull",1-EXP(-((Q159/weibull_A)^weibull_K))))</f>
        <v>0.81538426384388818</v>
      </c>
      <c r="T159" s="39">
        <f t="shared" si="190"/>
        <v>0.13810324711093713</v>
      </c>
      <c r="U159" s="89">
        <f t="shared" si="216"/>
        <v>2.2639876575563465E-3</v>
      </c>
    </row>
    <row r="160" spans="1:21" ht="15.75" thickBot="1" x14ac:dyDescent="0.3">
      <c r="A160" s="41">
        <f t="shared" ref="A160:B160" si="332">A159+1</f>
        <v>150</v>
      </c>
      <c r="B160" s="42">
        <f t="shared" si="332"/>
        <v>150</v>
      </c>
      <c r="C160" s="92" t="str">
        <f t="shared" si="285"/>
        <v>L11X10-008_000_60</v>
      </c>
      <c r="D160" s="43">
        <f t="shared" si="205"/>
        <v>10</v>
      </c>
      <c r="E160" s="61">
        <f t="shared" si="321"/>
        <v>1.8340000000000001</v>
      </c>
      <c r="F160" s="44">
        <f t="shared" si="212"/>
        <v>18.34</v>
      </c>
      <c r="G160" s="44">
        <f t="shared" si="213"/>
        <v>14.672000000000001</v>
      </c>
      <c r="H160" s="44">
        <f t="shared" si="214"/>
        <v>9.17</v>
      </c>
      <c r="I160" s="44">
        <f t="shared" si="326"/>
        <v>8</v>
      </c>
      <c r="J160" s="45">
        <f t="shared" si="288"/>
        <v>8</v>
      </c>
      <c r="K160" s="87" t="s">
        <v>550</v>
      </c>
      <c r="L160" s="44">
        <f t="shared" ref="L160:N160" si="333">L159</f>
        <v>0.2</v>
      </c>
      <c r="M160" s="44">
        <f t="shared" si="333"/>
        <v>150</v>
      </c>
      <c r="N160" s="44">
        <f t="shared" si="333"/>
        <v>750</v>
      </c>
      <c r="P160" s="38">
        <f t="shared" si="328"/>
        <v>9</v>
      </c>
      <c r="Q160" s="38">
        <f t="shared" si="329"/>
        <v>11</v>
      </c>
      <c r="R160" s="39">
        <f t="shared" si="330"/>
        <v>0.67728101673295105</v>
      </c>
      <c r="S160" s="39">
        <f t="shared" si="331"/>
        <v>0.81538426384388818</v>
      </c>
      <c r="T160" s="39">
        <f t="shared" ref="T160:T223" si="334">S160-R160</f>
        <v>0.13810324711093713</v>
      </c>
      <c r="U160" s="89">
        <f t="shared" si="216"/>
        <v>2.2639876575563465E-3</v>
      </c>
    </row>
    <row r="161" spans="1:21" ht="15.75" thickBot="1" x14ac:dyDescent="0.3">
      <c r="A161" s="41">
        <f t="shared" ref="A161:B161" si="335">A160+1</f>
        <v>151</v>
      </c>
      <c r="B161" s="42">
        <f t="shared" si="335"/>
        <v>151</v>
      </c>
      <c r="C161" s="92" t="str">
        <f t="shared" si="285"/>
        <v>L11X12-352_000_01</v>
      </c>
      <c r="D161" s="43">
        <f>D155+v_step</f>
        <v>12</v>
      </c>
      <c r="E161" s="61">
        <f t="shared" si="321"/>
        <v>2.044</v>
      </c>
      <c r="F161" s="44">
        <f t="shared" si="212"/>
        <v>17.033333333333335</v>
      </c>
      <c r="G161" s="44">
        <f t="shared" si="213"/>
        <v>13.626666666666669</v>
      </c>
      <c r="H161" s="44">
        <f t="shared" si="214"/>
        <v>8.5166666666666675</v>
      </c>
      <c r="I161" s="44">
        <f t="shared" si="326"/>
        <v>8</v>
      </c>
      <c r="J161" s="45">
        <f t="shared" ref="J161:J180" si="336">yaw_min</f>
        <v>-8</v>
      </c>
      <c r="K161" s="87" t="s">
        <v>617</v>
      </c>
      <c r="L161" s="44">
        <f t="shared" ref="L161:N161" si="337">L160</f>
        <v>0.2</v>
      </c>
      <c r="M161" s="44">
        <f t="shared" si="337"/>
        <v>150</v>
      </c>
      <c r="N161" s="44">
        <f t="shared" si="337"/>
        <v>750</v>
      </c>
      <c r="P161" s="38">
        <f t="shared" si="328"/>
        <v>11</v>
      </c>
      <c r="Q161" s="38">
        <f t="shared" si="329"/>
        <v>13</v>
      </c>
      <c r="R161" s="39">
        <f t="shared" si="330"/>
        <v>0.81538426384388818</v>
      </c>
      <c r="S161" s="39">
        <f t="shared" si="331"/>
        <v>0.90555004379283888</v>
      </c>
      <c r="T161" s="39">
        <f t="shared" si="334"/>
        <v>9.0165779948950697E-2</v>
      </c>
      <c r="U161" s="89">
        <f t="shared" si="216"/>
        <v>1.4781275401467328E-3</v>
      </c>
    </row>
    <row r="162" spans="1:21" ht="15.75" thickBot="1" x14ac:dyDescent="0.3">
      <c r="A162" s="41">
        <f t="shared" ref="A162:B162" si="338">A161+1</f>
        <v>152</v>
      </c>
      <c r="B162" s="42">
        <f t="shared" si="338"/>
        <v>152</v>
      </c>
      <c r="C162" s="92" t="str">
        <f t="shared" si="285"/>
        <v>L11X12-352_000_02</v>
      </c>
      <c r="D162" s="43">
        <f>D161</f>
        <v>12</v>
      </c>
      <c r="E162" s="61">
        <f t="shared" si="321"/>
        <v>2.044</v>
      </c>
      <c r="F162" s="44">
        <f t="shared" si="212"/>
        <v>17.033333333333335</v>
      </c>
      <c r="G162" s="44">
        <f t="shared" si="213"/>
        <v>13.626666666666669</v>
      </c>
      <c r="H162" s="44">
        <f t="shared" si="214"/>
        <v>8.5166666666666675</v>
      </c>
      <c r="I162" s="44">
        <f t="shared" si="326"/>
        <v>8</v>
      </c>
      <c r="J162" s="45">
        <f t="shared" si="336"/>
        <v>-8</v>
      </c>
      <c r="K162" s="87" t="s">
        <v>618</v>
      </c>
      <c r="L162" s="44">
        <f t="shared" ref="L162:N162" si="339">L161</f>
        <v>0.2</v>
      </c>
      <c r="M162" s="44">
        <f t="shared" si="339"/>
        <v>150</v>
      </c>
      <c r="N162" s="44">
        <f t="shared" si="339"/>
        <v>750</v>
      </c>
      <c r="P162" s="38">
        <f t="shared" si="328"/>
        <v>11</v>
      </c>
      <c r="Q162" s="38">
        <f t="shared" si="329"/>
        <v>13</v>
      </c>
      <c r="R162" s="39">
        <f t="shared" si="330"/>
        <v>0.81538426384388818</v>
      </c>
      <c r="S162" s="39">
        <f t="shared" si="331"/>
        <v>0.90555004379283888</v>
      </c>
      <c r="T162" s="39">
        <f t="shared" si="334"/>
        <v>9.0165779948950697E-2</v>
      </c>
      <c r="U162" s="89">
        <f t="shared" si="216"/>
        <v>1.4781275401467328E-3</v>
      </c>
    </row>
    <row r="163" spans="1:21" ht="15.75" thickBot="1" x14ac:dyDescent="0.3">
      <c r="A163" s="41">
        <f t="shared" ref="A163:B163" si="340">A162+1</f>
        <v>153</v>
      </c>
      <c r="B163" s="42">
        <f t="shared" si="340"/>
        <v>153</v>
      </c>
      <c r="C163" s="92" t="str">
        <f t="shared" si="285"/>
        <v>L11X12-352_000_03</v>
      </c>
      <c r="D163" s="43">
        <f t="shared" ref="D163:D220" si="341">D162</f>
        <v>12</v>
      </c>
      <c r="E163" s="61">
        <f t="shared" si="321"/>
        <v>2.044</v>
      </c>
      <c r="F163" s="44">
        <f t="shared" si="212"/>
        <v>17.033333333333335</v>
      </c>
      <c r="G163" s="44">
        <f t="shared" si="213"/>
        <v>13.626666666666669</v>
      </c>
      <c r="H163" s="44">
        <f t="shared" si="214"/>
        <v>8.5166666666666675</v>
      </c>
      <c r="I163" s="44">
        <f t="shared" si="326"/>
        <v>8</v>
      </c>
      <c r="J163" s="45">
        <f t="shared" si="336"/>
        <v>-8</v>
      </c>
      <c r="K163" s="87" t="s">
        <v>619</v>
      </c>
      <c r="L163" s="44">
        <f t="shared" ref="L163:N163" si="342">L162</f>
        <v>0.2</v>
      </c>
      <c r="M163" s="44">
        <f t="shared" si="342"/>
        <v>150</v>
      </c>
      <c r="N163" s="44">
        <f t="shared" si="342"/>
        <v>750</v>
      </c>
      <c r="P163" s="38">
        <f t="shared" si="328"/>
        <v>11</v>
      </c>
      <c r="Q163" s="38">
        <f t="shared" si="329"/>
        <v>13</v>
      </c>
      <c r="R163" s="39">
        <f t="shared" si="330"/>
        <v>0.81538426384388818</v>
      </c>
      <c r="S163" s="39">
        <f t="shared" si="331"/>
        <v>0.90555004379283888</v>
      </c>
      <c r="T163" s="39">
        <f t="shared" si="334"/>
        <v>9.0165779948950697E-2</v>
      </c>
      <c r="U163" s="89">
        <f t="shared" si="216"/>
        <v>1.4781275401467328E-3</v>
      </c>
    </row>
    <row r="164" spans="1:21" ht="15.75" thickBot="1" x14ac:dyDescent="0.3">
      <c r="A164" s="41">
        <f t="shared" ref="A164:B164" si="343">A163+1</f>
        <v>154</v>
      </c>
      <c r="B164" s="42">
        <f t="shared" si="343"/>
        <v>154</v>
      </c>
      <c r="C164" s="92" t="str">
        <f t="shared" si="285"/>
        <v>L11X12-352_000_04</v>
      </c>
      <c r="D164" s="43">
        <f t="shared" si="341"/>
        <v>12</v>
      </c>
      <c r="E164" s="61">
        <f t="shared" si="321"/>
        <v>2.044</v>
      </c>
      <c r="F164" s="44">
        <f t="shared" si="212"/>
        <v>17.033333333333335</v>
      </c>
      <c r="G164" s="44">
        <f t="shared" si="213"/>
        <v>13.626666666666669</v>
      </c>
      <c r="H164" s="44">
        <f t="shared" si="214"/>
        <v>8.5166666666666675</v>
      </c>
      <c r="I164" s="44">
        <f t="shared" si="326"/>
        <v>8</v>
      </c>
      <c r="J164" s="45">
        <f t="shared" si="336"/>
        <v>-8</v>
      </c>
      <c r="K164" s="87" t="s">
        <v>620</v>
      </c>
      <c r="L164" s="44">
        <f t="shared" ref="L164:N164" si="344">L163</f>
        <v>0.2</v>
      </c>
      <c r="M164" s="44">
        <f t="shared" si="344"/>
        <v>150</v>
      </c>
      <c r="N164" s="44">
        <f t="shared" si="344"/>
        <v>750</v>
      </c>
      <c r="P164" s="38">
        <f t="shared" si="328"/>
        <v>11</v>
      </c>
      <c r="Q164" s="38">
        <f t="shared" si="329"/>
        <v>13</v>
      </c>
      <c r="R164" s="39">
        <f t="shared" si="330"/>
        <v>0.81538426384388818</v>
      </c>
      <c r="S164" s="39">
        <f t="shared" si="331"/>
        <v>0.90555004379283888</v>
      </c>
      <c r="T164" s="39">
        <f t="shared" si="334"/>
        <v>9.0165779948950697E-2</v>
      </c>
      <c r="U164" s="89">
        <f t="shared" si="216"/>
        <v>1.4781275401467328E-3</v>
      </c>
    </row>
    <row r="165" spans="1:21" ht="15.75" thickBot="1" x14ac:dyDescent="0.3">
      <c r="A165" s="41">
        <f t="shared" ref="A165:B165" si="345">A164+1</f>
        <v>155</v>
      </c>
      <c r="B165" s="42">
        <f t="shared" si="345"/>
        <v>155</v>
      </c>
      <c r="C165" s="92" t="str">
        <f t="shared" si="285"/>
        <v>L11X12-352_000_05</v>
      </c>
      <c r="D165" s="43">
        <f t="shared" si="341"/>
        <v>12</v>
      </c>
      <c r="E165" s="61">
        <f t="shared" si="321"/>
        <v>2.044</v>
      </c>
      <c r="F165" s="44">
        <f t="shared" si="212"/>
        <v>17.033333333333335</v>
      </c>
      <c r="G165" s="44">
        <f t="shared" si="213"/>
        <v>13.626666666666669</v>
      </c>
      <c r="H165" s="44">
        <f t="shared" si="214"/>
        <v>8.5166666666666675</v>
      </c>
      <c r="I165" s="44">
        <f t="shared" si="326"/>
        <v>8</v>
      </c>
      <c r="J165" s="45">
        <f t="shared" si="336"/>
        <v>-8</v>
      </c>
      <c r="K165" s="87" t="s">
        <v>621</v>
      </c>
      <c r="L165" s="44">
        <f t="shared" ref="L165:N165" si="346">L164</f>
        <v>0.2</v>
      </c>
      <c r="M165" s="44">
        <f t="shared" si="346"/>
        <v>150</v>
      </c>
      <c r="N165" s="44">
        <f t="shared" si="346"/>
        <v>750</v>
      </c>
      <c r="P165" s="38">
        <f t="shared" si="328"/>
        <v>11</v>
      </c>
      <c r="Q165" s="38">
        <f t="shared" si="329"/>
        <v>13</v>
      </c>
      <c r="R165" s="39">
        <f t="shared" si="330"/>
        <v>0.81538426384388818</v>
      </c>
      <c r="S165" s="39">
        <f t="shared" si="331"/>
        <v>0.90555004379283888</v>
      </c>
      <c r="T165" s="39">
        <f t="shared" si="334"/>
        <v>9.0165779948950697E-2</v>
      </c>
      <c r="U165" s="89">
        <f t="shared" si="216"/>
        <v>1.4781275401467328E-3</v>
      </c>
    </row>
    <row r="166" spans="1:21" ht="15.75" thickBot="1" x14ac:dyDescent="0.3">
      <c r="A166" s="41">
        <f t="shared" ref="A166:B166" si="347">A165+1</f>
        <v>156</v>
      </c>
      <c r="B166" s="42">
        <f t="shared" si="347"/>
        <v>156</v>
      </c>
      <c r="C166" s="92" t="str">
        <f t="shared" si="285"/>
        <v>L11X12-352_000_06</v>
      </c>
      <c r="D166" s="43">
        <f t="shared" si="341"/>
        <v>12</v>
      </c>
      <c r="E166" s="61">
        <f t="shared" si="321"/>
        <v>2.044</v>
      </c>
      <c r="F166" s="44">
        <f t="shared" ref="F166:F225" si="348">E166/D166*100</f>
        <v>17.033333333333335</v>
      </c>
      <c r="G166" s="44">
        <f t="shared" ref="G166:G225" si="349">m_ty*F166</f>
        <v>13.626666666666669</v>
      </c>
      <c r="H166" s="44">
        <f t="shared" ref="H166:H225" si="350">m_tz*F166</f>
        <v>8.5166666666666675</v>
      </c>
      <c r="I166" s="44">
        <f t="shared" si="326"/>
        <v>8</v>
      </c>
      <c r="J166" s="45">
        <f t="shared" si="336"/>
        <v>-8</v>
      </c>
      <c r="K166" s="87" t="s">
        <v>622</v>
      </c>
      <c r="L166" s="44">
        <f t="shared" ref="L166:N166" si="351">L165</f>
        <v>0.2</v>
      </c>
      <c r="M166" s="44">
        <f t="shared" si="351"/>
        <v>150</v>
      </c>
      <c r="N166" s="44">
        <f t="shared" si="351"/>
        <v>750</v>
      </c>
      <c r="P166" s="38">
        <f t="shared" si="328"/>
        <v>11</v>
      </c>
      <c r="Q166" s="38">
        <f t="shared" si="329"/>
        <v>13</v>
      </c>
      <c r="R166" s="39">
        <f t="shared" si="330"/>
        <v>0.81538426384388818</v>
      </c>
      <c r="S166" s="39">
        <f t="shared" si="331"/>
        <v>0.90555004379283888</v>
      </c>
      <c r="T166" s="39">
        <f t="shared" si="334"/>
        <v>9.0165779948950697E-2</v>
      </c>
      <c r="U166" s="89">
        <f t="shared" si="216"/>
        <v>1.4781275401467328E-3</v>
      </c>
    </row>
    <row r="167" spans="1:21" ht="15.75" thickBot="1" x14ac:dyDescent="0.3">
      <c r="A167" s="41">
        <f t="shared" ref="A167:B167" si="352">A166+1</f>
        <v>157</v>
      </c>
      <c r="B167" s="42">
        <f t="shared" si="352"/>
        <v>157</v>
      </c>
      <c r="C167" s="92" t="str">
        <f t="shared" si="285"/>
        <v>L11X12-352_000_07</v>
      </c>
      <c r="D167" s="43">
        <f t="shared" si="341"/>
        <v>12</v>
      </c>
      <c r="E167" s="61">
        <f t="shared" si="321"/>
        <v>2.044</v>
      </c>
      <c r="F167" s="44">
        <f t="shared" si="348"/>
        <v>17.033333333333335</v>
      </c>
      <c r="G167" s="44">
        <f t="shared" si="349"/>
        <v>13.626666666666669</v>
      </c>
      <c r="H167" s="44">
        <f t="shared" si="350"/>
        <v>8.5166666666666675</v>
      </c>
      <c r="I167" s="44">
        <f t="shared" si="326"/>
        <v>8</v>
      </c>
      <c r="J167" s="45">
        <f t="shared" si="336"/>
        <v>-8</v>
      </c>
      <c r="K167" s="87" t="s">
        <v>623</v>
      </c>
      <c r="L167" s="44">
        <f t="shared" ref="L167:N167" si="353">L166</f>
        <v>0.2</v>
      </c>
      <c r="M167" s="44">
        <f t="shared" si="353"/>
        <v>150</v>
      </c>
      <c r="N167" s="44">
        <f t="shared" si="353"/>
        <v>750</v>
      </c>
      <c r="P167" s="38">
        <f t="shared" si="328"/>
        <v>11</v>
      </c>
      <c r="Q167" s="38">
        <f t="shared" si="329"/>
        <v>13</v>
      </c>
      <c r="R167" s="39">
        <f t="shared" si="330"/>
        <v>0.81538426384388818</v>
      </c>
      <c r="S167" s="39">
        <f t="shared" si="331"/>
        <v>0.90555004379283888</v>
      </c>
      <c r="T167" s="39">
        <f t="shared" si="334"/>
        <v>9.0165779948950697E-2</v>
      </c>
      <c r="U167" s="89">
        <f t="shared" si="216"/>
        <v>1.4781275401467328E-3</v>
      </c>
    </row>
    <row r="168" spans="1:21" ht="15.75" thickBot="1" x14ac:dyDescent="0.3">
      <c r="A168" s="41">
        <f t="shared" ref="A168:B168" si="354">A167+1</f>
        <v>158</v>
      </c>
      <c r="B168" s="42">
        <f t="shared" si="354"/>
        <v>158</v>
      </c>
      <c r="C168" s="92" t="str">
        <f t="shared" si="285"/>
        <v>L11X12-352_000_08</v>
      </c>
      <c r="D168" s="43">
        <f t="shared" si="341"/>
        <v>12</v>
      </c>
      <c r="E168" s="61">
        <f t="shared" si="321"/>
        <v>2.044</v>
      </c>
      <c r="F168" s="44">
        <f t="shared" si="348"/>
        <v>17.033333333333335</v>
      </c>
      <c r="G168" s="44">
        <f t="shared" si="349"/>
        <v>13.626666666666669</v>
      </c>
      <c r="H168" s="44">
        <f t="shared" si="350"/>
        <v>8.5166666666666675</v>
      </c>
      <c r="I168" s="44">
        <f t="shared" si="326"/>
        <v>8</v>
      </c>
      <c r="J168" s="45">
        <f t="shared" si="336"/>
        <v>-8</v>
      </c>
      <c r="K168" s="87" t="s">
        <v>624</v>
      </c>
      <c r="L168" s="44">
        <f t="shared" ref="L168:N168" si="355">L167</f>
        <v>0.2</v>
      </c>
      <c r="M168" s="44">
        <f t="shared" si="355"/>
        <v>150</v>
      </c>
      <c r="N168" s="44">
        <f t="shared" si="355"/>
        <v>750</v>
      </c>
      <c r="P168" s="38">
        <f t="shared" si="328"/>
        <v>11</v>
      </c>
      <c r="Q168" s="38">
        <f t="shared" si="329"/>
        <v>13</v>
      </c>
      <c r="R168" s="39">
        <f t="shared" si="330"/>
        <v>0.81538426384388818</v>
      </c>
      <c r="S168" s="39">
        <f t="shared" si="331"/>
        <v>0.90555004379283888</v>
      </c>
      <c r="T168" s="39">
        <f t="shared" si="334"/>
        <v>9.0165779948950697E-2</v>
      </c>
      <c r="U168" s="89">
        <f t="shared" si="216"/>
        <v>1.4781275401467328E-3</v>
      </c>
    </row>
    <row r="169" spans="1:21" ht="15.75" thickBot="1" x14ac:dyDescent="0.3">
      <c r="A169" s="41">
        <f t="shared" ref="A169:B169" si="356">A168+1</f>
        <v>159</v>
      </c>
      <c r="B169" s="42">
        <f t="shared" si="356"/>
        <v>159</v>
      </c>
      <c r="C169" s="92" t="str">
        <f t="shared" si="285"/>
        <v>L11X12-352_000_09</v>
      </c>
      <c r="D169" s="43">
        <f t="shared" si="341"/>
        <v>12</v>
      </c>
      <c r="E169" s="61">
        <f t="shared" si="321"/>
        <v>2.044</v>
      </c>
      <c r="F169" s="44">
        <f t="shared" si="348"/>
        <v>17.033333333333335</v>
      </c>
      <c r="G169" s="44">
        <f t="shared" si="349"/>
        <v>13.626666666666669</v>
      </c>
      <c r="H169" s="44">
        <f t="shared" si="350"/>
        <v>8.5166666666666675</v>
      </c>
      <c r="I169" s="44">
        <f t="shared" si="326"/>
        <v>8</v>
      </c>
      <c r="J169" s="45">
        <f t="shared" si="336"/>
        <v>-8</v>
      </c>
      <c r="K169" s="87" t="s">
        <v>625</v>
      </c>
      <c r="L169" s="44">
        <f t="shared" ref="L169:N169" si="357">L168</f>
        <v>0.2</v>
      </c>
      <c r="M169" s="44">
        <f t="shared" si="357"/>
        <v>150</v>
      </c>
      <c r="N169" s="44">
        <f t="shared" si="357"/>
        <v>750</v>
      </c>
      <c r="P169" s="38">
        <f t="shared" si="328"/>
        <v>11</v>
      </c>
      <c r="Q169" s="38">
        <f t="shared" si="329"/>
        <v>13</v>
      </c>
      <c r="R169" s="39">
        <f t="shared" si="330"/>
        <v>0.81538426384388818</v>
      </c>
      <c r="S169" s="39">
        <f t="shared" si="331"/>
        <v>0.90555004379283888</v>
      </c>
      <c r="T169" s="39">
        <f t="shared" si="334"/>
        <v>9.0165779948950697E-2</v>
      </c>
      <c r="U169" s="89">
        <f t="shared" si="216"/>
        <v>1.4781275401467328E-3</v>
      </c>
    </row>
    <row r="170" spans="1:21" ht="15.75" thickBot="1" x14ac:dyDescent="0.3">
      <c r="A170" s="41">
        <f t="shared" ref="A170:B170" si="358">A169+1</f>
        <v>160</v>
      </c>
      <c r="B170" s="42">
        <f t="shared" si="358"/>
        <v>160</v>
      </c>
      <c r="C170" s="92" t="str">
        <f t="shared" si="285"/>
        <v>L11X12-352_000_10</v>
      </c>
      <c r="D170" s="43">
        <f t="shared" si="341"/>
        <v>12</v>
      </c>
      <c r="E170" s="61">
        <f t="shared" si="321"/>
        <v>2.044</v>
      </c>
      <c r="F170" s="44">
        <f t="shared" si="348"/>
        <v>17.033333333333335</v>
      </c>
      <c r="G170" s="44">
        <f t="shared" si="349"/>
        <v>13.626666666666669</v>
      </c>
      <c r="H170" s="44">
        <f t="shared" si="350"/>
        <v>8.5166666666666675</v>
      </c>
      <c r="I170" s="44">
        <f t="shared" si="326"/>
        <v>8</v>
      </c>
      <c r="J170" s="45">
        <f t="shared" si="336"/>
        <v>-8</v>
      </c>
      <c r="K170" s="87" t="s">
        <v>626</v>
      </c>
      <c r="L170" s="44">
        <f t="shared" ref="L170:N170" si="359">L169</f>
        <v>0.2</v>
      </c>
      <c r="M170" s="44">
        <f t="shared" si="359"/>
        <v>150</v>
      </c>
      <c r="N170" s="44">
        <f t="shared" si="359"/>
        <v>750</v>
      </c>
      <c r="P170" s="38">
        <f t="shared" si="328"/>
        <v>11</v>
      </c>
      <c r="Q170" s="38">
        <f t="shared" si="329"/>
        <v>13</v>
      </c>
      <c r="R170" s="39">
        <f t="shared" si="330"/>
        <v>0.81538426384388818</v>
      </c>
      <c r="S170" s="39">
        <f t="shared" si="331"/>
        <v>0.90555004379283888</v>
      </c>
      <c r="T170" s="39">
        <f t="shared" si="334"/>
        <v>9.0165779948950697E-2</v>
      </c>
      <c r="U170" s="89">
        <f t="shared" ref="U170:U233" si="360">T170/61</f>
        <v>1.4781275401467328E-3</v>
      </c>
    </row>
    <row r="171" spans="1:21" ht="15.75" thickBot="1" x14ac:dyDescent="0.3">
      <c r="A171" s="41">
        <f t="shared" ref="A171:B171" si="361">A170+1</f>
        <v>161</v>
      </c>
      <c r="B171" s="42">
        <f t="shared" si="361"/>
        <v>161</v>
      </c>
      <c r="C171" s="92" t="str">
        <f t="shared" si="285"/>
        <v>L11X12-352_000_11</v>
      </c>
      <c r="D171" s="43">
        <f t="shared" si="341"/>
        <v>12</v>
      </c>
      <c r="E171" s="61">
        <f t="shared" si="321"/>
        <v>2.044</v>
      </c>
      <c r="F171" s="44">
        <f t="shared" si="348"/>
        <v>17.033333333333335</v>
      </c>
      <c r="G171" s="44">
        <f t="shared" si="349"/>
        <v>13.626666666666669</v>
      </c>
      <c r="H171" s="44">
        <f t="shared" si="350"/>
        <v>8.5166666666666675</v>
      </c>
      <c r="I171" s="44">
        <f t="shared" si="326"/>
        <v>8</v>
      </c>
      <c r="J171" s="45">
        <f t="shared" si="336"/>
        <v>-8</v>
      </c>
      <c r="K171" s="87" t="s">
        <v>627</v>
      </c>
      <c r="L171" s="44">
        <f t="shared" ref="L171:N171" si="362">L170</f>
        <v>0.2</v>
      </c>
      <c r="M171" s="44">
        <f t="shared" si="362"/>
        <v>150</v>
      </c>
      <c r="N171" s="44">
        <f t="shared" si="362"/>
        <v>750</v>
      </c>
      <c r="P171" s="38">
        <f t="shared" si="328"/>
        <v>11</v>
      </c>
      <c r="Q171" s="38">
        <f t="shared" si="329"/>
        <v>13</v>
      </c>
      <c r="R171" s="39">
        <f t="shared" si="330"/>
        <v>0.81538426384388818</v>
      </c>
      <c r="S171" s="39">
        <f t="shared" si="331"/>
        <v>0.90555004379283888</v>
      </c>
      <c r="T171" s="39">
        <f t="shared" si="334"/>
        <v>9.0165779948950697E-2</v>
      </c>
      <c r="U171" s="89">
        <f t="shared" si="360"/>
        <v>1.4781275401467328E-3</v>
      </c>
    </row>
    <row r="172" spans="1:21" ht="15.75" thickBot="1" x14ac:dyDescent="0.3">
      <c r="A172" s="41">
        <f t="shared" ref="A172:B172" si="363">A171+1</f>
        <v>162</v>
      </c>
      <c r="B172" s="42">
        <f t="shared" si="363"/>
        <v>162</v>
      </c>
      <c r="C172" s="92" t="str">
        <f t="shared" si="285"/>
        <v>L11X12-352_000_12</v>
      </c>
      <c r="D172" s="43">
        <f t="shared" si="341"/>
        <v>12</v>
      </c>
      <c r="E172" s="61">
        <f t="shared" si="321"/>
        <v>2.044</v>
      </c>
      <c r="F172" s="44">
        <f t="shared" si="348"/>
        <v>17.033333333333335</v>
      </c>
      <c r="G172" s="44">
        <f t="shared" si="349"/>
        <v>13.626666666666669</v>
      </c>
      <c r="H172" s="44">
        <f t="shared" si="350"/>
        <v>8.5166666666666675</v>
      </c>
      <c r="I172" s="44">
        <f t="shared" si="326"/>
        <v>8</v>
      </c>
      <c r="J172" s="45">
        <f t="shared" si="336"/>
        <v>-8</v>
      </c>
      <c r="K172" s="87" t="s">
        <v>628</v>
      </c>
      <c r="L172" s="44">
        <f t="shared" ref="L172:N172" si="364">L171</f>
        <v>0.2</v>
      </c>
      <c r="M172" s="44">
        <f t="shared" si="364"/>
        <v>150</v>
      </c>
      <c r="N172" s="44">
        <f t="shared" si="364"/>
        <v>750</v>
      </c>
      <c r="P172" s="38">
        <f t="shared" si="328"/>
        <v>11</v>
      </c>
      <c r="Q172" s="38">
        <f t="shared" si="329"/>
        <v>13</v>
      </c>
      <c r="R172" s="39">
        <f t="shared" si="330"/>
        <v>0.81538426384388818</v>
      </c>
      <c r="S172" s="39">
        <f t="shared" si="331"/>
        <v>0.90555004379283888</v>
      </c>
      <c r="T172" s="39">
        <f t="shared" si="334"/>
        <v>9.0165779948950697E-2</v>
      </c>
      <c r="U172" s="89">
        <f t="shared" si="360"/>
        <v>1.4781275401467328E-3</v>
      </c>
    </row>
    <row r="173" spans="1:21" ht="15.75" thickBot="1" x14ac:dyDescent="0.3">
      <c r="A173" s="41">
        <f t="shared" ref="A173:B173" si="365">A172+1</f>
        <v>163</v>
      </c>
      <c r="B173" s="42">
        <f t="shared" si="365"/>
        <v>163</v>
      </c>
      <c r="C173" s="92" t="str">
        <f t="shared" si="285"/>
        <v>L11X12-352_000_13</v>
      </c>
      <c r="D173" s="43">
        <f t="shared" si="341"/>
        <v>12</v>
      </c>
      <c r="E173" s="61">
        <f t="shared" si="321"/>
        <v>2.044</v>
      </c>
      <c r="F173" s="44">
        <f t="shared" si="348"/>
        <v>17.033333333333335</v>
      </c>
      <c r="G173" s="44">
        <f t="shared" si="349"/>
        <v>13.626666666666669</v>
      </c>
      <c r="H173" s="44">
        <f t="shared" si="350"/>
        <v>8.5166666666666675</v>
      </c>
      <c r="I173" s="44">
        <f t="shared" si="326"/>
        <v>8</v>
      </c>
      <c r="J173" s="45">
        <f t="shared" si="336"/>
        <v>-8</v>
      </c>
      <c r="K173" s="87" t="s">
        <v>629</v>
      </c>
      <c r="L173" s="44">
        <f t="shared" ref="L173:N173" si="366">L172</f>
        <v>0.2</v>
      </c>
      <c r="M173" s="44">
        <f t="shared" si="366"/>
        <v>150</v>
      </c>
      <c r="N173" s="44">
        <f t="shared" si="366"/>
        <v>750</v>
      </c>
      <c r="P173" s="38">
        <f t="shared" si="328"/>
        <v>11</v>
      </c>
      <c r="Q173" s="38">
        <f t="shared" si="329"/>
        <v>13</v>
      </c>
      <c r="R173" s="39">
        <f t="shared" si="330"/>
        <v>0.81538426384388818</v>
      </c>
      <c r="S173" s="39">
        <f t="shared" si="331"/>
        <v>0.90555004379283888</v>
      </c>
      <c r="T173" s="39">
        <f t="shared" si="334"/>
        <v>9.0165779948950697E-2</v>
      </c>
      <c r="U173" s="89">
        <f t="shared" si="360"/>
        <v>1.4781275401467328E-3</v>
      </c>
    </row>
    <row r="174" spans="1:21" ht="15.75" thickBot="1" x14ac:dyDescent="0.3">
      <c r="A174" s="41">
        <f t="shared" ref="A174:B174" si="367">A173+1</f>
        <v>164</v>
      </c>
      <c r="B174" s="42">
        <f t="shared" si="367"/>
        <v>164</v>
      </c>
      <c r="C174" s="92" t="str">
        <f t="shared" si="285"/>
        <v>L11X12-352_000_14</v>
      </c>
      <c r="D174" s="43">
        <f t="shared" si="341"/>
        <v>12</v>
      </c>
      <c r="E174" s="61">
        <f t="shared" si="321"/>
        <v>2.044</v>
      </c>
      <c r="F174" s="44">
        <f t="shared" si="348"/>
        <v>17.033333333333335</v>
      </c>
      <c r="G174" s="44">
        <f t="shared" si="349"/>
        <v>13.626666666666669</v>
      </c>
      <c r="H174" s="44">
        <f t="shared" si="350"/>
        <v>8.5166666666666675</v>
      </c>
      <c r="I174" s="44">
        <f t="shared" si="326"/>
        <v>8</v>
      </c>
      <c r="J174" s="45">
        <f t="shared" si="336"/>
        <v>-8</v>
      </c>
      <c r="K174" s="87" t="s">
        <v>630</v>
      </c>
      <c r="L174" s="44">
        <f t="shared" ref="L174:N174" si="368">L173</f>
        <v>0.2</v>
      </c>
      <c r="M174" s="44">
        <f t="shared" si="368"/>
        <v>150</v>
      </c>
      <c r="N174" s="44">
        <f t="shared" si="368"/>
        <v>750</v>
      </c>
      <c r="P174" s="38">
        <f t="shared" si="328"/>
        <v>11</v>
      </c>
      <c r="Q174" s="38">
        <f t="shared" si="329"/>
        <v>13</v>
      </c>
      <c r="R174" s="39">
        <f t="shared" si="330"/>
        <v>0.81538426384388818</v>
      </c>
      <c r="S174" s="39">
        <f t="shared" si="331"/>
        <v>0.90555004379283888</v>
      </c>
      <c r="T174" s="39">
        <f t="shared" si="334"/>
        <v>9.0165779948950697E-2</v>
      </c>
      <c r="U174" s="89">
        <f t="shared" si="360"/>
        <v>1.4781275401467328E-3</v>
      </c>
    </row>
    <row r="175" spans="1:21" ht="15.75" thickBot="1" x14ac:dyDescent="0.3">
      <c r="A175" s="41">
        <f t="shared" ref="A175:B175" si="369">A174+1</f>
        <v>165</v>
      </c>
      <c r="B175" s="42">
        <f t="shared" si="369"/>
        <v>165</v>
      </c>
      <c r="C175" s="92" t="str">
        <f t="shared" si="285"/>
        <v>L11X12-352_000_15</v>
      </c>
      <c r="D175" s="43">
        <f t="shared" si="341"/>
        <v>12</v>
      </c>
      <c r="E175" s="61">
        <f t="shared" si="321"/>
        <v>2.044</v>
      </c>
      <c r="F175" s="44">
        <f t="shared" si="348"/>
        <v>17.033333333333335</v>
      </c>
      <c r="G175" s="44">
        <f t="shared" si="349"/>
        <v>13.626666666666669</v>
      </c>
      <c r="H175" s="44">
        <f t="shared" si="350"/>
        <v>8.5166666666666675</v>
      </c>
      <c r="I175" s="44">
        <f t="shared" si="326"/>
        <v>8</v>
      </c>
      <c r="J175" s="45">
        <f t="shared" si="336"/>
        <v>-8</v>
      </c>
      <c r="K175" s="87" t="s">
        <v>631</v>
      </c>
      <c r="L175" s="44">
        <f t="shared" ref="L175:N175" si="370">L174</f>
        <v>0.2</v>
      </c>
      <c r="M175" s="44">
        <f t="shared" si="370"/>
        <v>150</v>
      </c>
      <c r="N175" s="44">
        <f t="shared" si="370"/>
        <v>750</v>
      </c>
      <c r="P175" s="38">
        <f t="shared" si="328"/>
        <v>11</v>
      </c>
      <c r="Q175" s="38">
        <f t="shared" si="329"/>
        <v>13</v>
      </c>
      <c r="R175" s="39">
        <f t="shared" si="330"/>
        <v>0.81538426384388818</v>
      </c>
      <c r="S175" s="39">
        <f t="shared" si="331"/>
        <v>0.90555004379283888</v>
      </c>
      <c r="T175" s="39">
        <f t="shared" si="334"/>
        <v>9.0165779948950697E-2</v>
      </c>
      <c r="U175" s="89">
        <f t="shared" si="360"/>
        <v>1.4781275401467328E-3</v>
      </c>
    </row>
    <row r="176" spans="1:21" ht="15.75" thickBot="1" x14ac:dyDescent="0.3">
      <c r="A176" s="41">
        <f t="shared" ref="A176:B176" si="371">A175+1</f>
        <v>166</v>
      </c>
      <c r="B176" s="42">
        <f t="shared" si="371"/>
        <v>166</v>
      </c>
      <c r="C176" s="92" t="str">
        <f t="shared" si="285"/>
        <v>L11X12-352_000_16</v>
      </c>
      <c r="D176" s="43">
        <f t="shared" si="341"/>
        <v>12</v>
      </c>
      <c r="E176" s="61">
        <f t="shared" si="321"/>
        <v>2.044</v>
      </c>
      <c r="F176" s="44">
        <f t="shared" si="348"/>
        <v>17.033333333333335</v>
      </c>
      <c r="G176" s="44">
        <f t="shared" si="349"/>
        <v>13.626666666666669</v>
      </c>
      <c r="H176" s="44">
        <f t="shared" si="350"/>
        <v>8.5166666666666675</v>
      </c>
      <c r="I176" s="44">
        <f t="shared" si="326"/>
        <v>8</v>
      </c>
      <c r="J176" s="45">
        <f t="shared" si="336"/>
        <v>-8</v>
      </c>
      <c r="K176" s="87" t="s">
        <v>632</v>
      </c>
      <c r="L176" s="44">
        <f t="shared" ref="L176:N176" si="372">L175</f>
        <v>0.2</v>
      </c>
      <c r="M176" s="44">
        <f t="shared" si="372"/>
        <v>150</v>
      </c>
      <c r="N176" s="44">
        <f t="shared" si="372"/>
        <v>750</v>
      </c>
      <c r="P176" s="38">
        <f t="shared" si="328"/>
        <v>11</v>
      </c>
      <c r="Q176" s="38">
        <f t="shared" si="329"/>
        <v>13</v>
      </c>
      <c r="R176" s="39">
        <f t="shared" si="330"/>
        <v>0.81538426384388818</v>
      </c>
      <c r="S176" s="39">
        <f t="shared" si="331"/>
        <v>0.90555004379283888</v>
      </c>
      <c r="T176" s="39">
        <f t="shared" si="334"/>
        <v>9.0165779948950697E-2</v>
      </c>
      <c r="U176" s="89">
        <f t="shared" si="360"/>
        <v>1.4781275401467328E-3</v>
      </c>
    </row>
    <row r="177" spans="1:21" ht="15.75" thickBot="1" x14ac:dyDescent="0.3">
      <c r="A177" s="41">
        <f t="shared" ref="A177:B177" si="373">A176+1</f>
        <v>167</v>
      </c>
      <c r="B177" s="42">
        <f t="shared" si="373"/>
        <v>167</v>
      </c>
      <c r="C177" s="92" t="str">
        <f t="shared" si="285"/>
        <v>L11X12-352_000_17</v>
      </c>
      <c r="D177" s="43">
        <f t="shared" si="341"/>
        <v>12</v>
      </c>
      <c r="E177" s="61">
        <f t="shared" si="321"/>
        <v>2.044</v>
      </c>
      <c r="F177" s="44">
        <f t="shared" si="348"/>
        <v>17.033333333333335</v>
      </c>
      <c r="G177" s="44">
        <f t="shared" si="349"/>
        <v>13.626666666666669</v>
      </c>
      <c r="H177" s="44">
        <f t="shared" si="350"/>
        <v>8.5166666666666675</v>
      </c>
      <c r="I177" s="44">
        <f t="shared" si="326"/>
        <v>8</v>
      </c>
      <c r="J177" s="45">
        <f t="shared" si="336"/>
        <v>-8</v>
      </c>
      <c r="K177" s="87" t="s">
        <v>633</v>
      </c>
      <c r="L177" s="44">
        <f t="shared" ref="L177:N177" si="374">L176</f>
        <v>0.2</v>
      </c>
      <c r="M177" s="44">
        <f t="shared" si="374"/>
        <v>150</v>
      </c>
      <c r="N177" s="44">
        <f t="shared" si="374"/>
        <v>750</v>
      </c>
      <c r="P177" s="38">
        <f t="shared" si="328"/>
        <v>11</v>
      </c>
      <c r="Q177" s="38">
        <f t="shared" si="329"/>
        <v>13</v>
      </c>
      <c r="R177" s="39">
        <f t="shared" si="330"/>
        <v>0.81538426384388818</v>
      </c>
      <c r="S177" s="39">
        <f t="shared" si="331"/>
        <v>0.90555004379283888</v>
      </c>
      <c r="T177" s="39">
        <f t="shared" si="334"/>
        <v>9.0165779948950697E-2</v>
      </c>
      <c r="U177" s="89">
        <f t="shared" si="360"/>
        <v>1.4781275401467328E-3</v>
      </c>
    </row>
    <row r="178" spans="1:21" ht="15.75" thickBot="1" x14ac:dyDescent="0.3">
      <c r="A178" s="41">
        <f t="shared" ref="A178:B178" si="375">A177+1</f>
        <v>168</v>
      </c>
      <c r="B178" s="42">
        <f t="shared" si="375"/>
        <v>168</v>
      </c>
      <c r="C178" s="92" t="str">
        <f t="shared" si="285"/>
        <v>L11X12-352_000_18</v>
      </c>
      <c r="D178" s="43">
        <f t="shared" si="341"/>
        <v>12</v>
      </c>
      <c r="E178" s="61">
        <f t="shared" si="321"/>
        <v>2.044</v>
      </c>
      <c r="F178" s="44">
        <f t="shared" si="348"/>
        <v>17.033333333333335</v>
      </c>
      <c r="G178" s="44">
        <f t="shared" si="349"/>
        <v>13.626666666666669</v>
      </c>
      <c r="H178" s="44">
        <f t="shared" si="350"/>
        <v>8.5166666666666675</v>
      </c>
      <c r="I178" s="44">
        <f t="shared" si="326"/>
        <v>8</v>
      </c>
      <c r="J178" s="45">
        <f t="shared" si="336"/>
        <v>-8</v>
      </c>
      <c r="K178" s="87" t="s">
        <v>634</v>
      </c>
      <c r="L178" s="44">
        <f t="shared" ref="L178:N178" si="376">L177</f>
        <v>0.2</v>
      </c>
      <c r="M178" s="44">
        <f t="shared" si="376"/>
        <v>150</v>
      </c>
      <c r="N178" s="44">
        <f t="shared" si="376"/>
        <v>750</v>
      </c>
      <c r="P178" s="38">
        <f t="shared" si="328"/>
        <v>11</v>
      </c>
      <c r="Q178" s="38">
        <f t="shared" si="329"/>
        <v>13</v>
      </c>
      <c r="R178" s="39">
        <f t="shared" si="330"/>
        <v>0.81538426384388818</v>
      </c>
      <c r="S178" s="39">
        <f t="shared" si="331"/>
        <v>0.90555004379283888</v>
      </c>
      <c r="T178" s="39">
        <f t="shared" si="334"/>
        <v>9.0165779948950697E-2</v>
      </c>
      <c r="U178" s="89">
        <f t="shared" si="360"/>
        <v>1.4781275401467328E-3</v>
      </c>
    </row>
    <row r="179" spans="1:21" ht="15.75" thickBot="1" x14ac:dyDescent="0.3">
      <c r="A179" s="41">
        <f t="shared" ref="A179:B179" si="377">A178+1</f>
        <v>169</v>
      </c>
      <c r="B179" s="42">
        <f t="shared" si="377"/>
        <v>169</v>
      </c>
      <c r="C179" s="92" t="str">
        <f t="shared" si="285"/>
        <v>L11X12-352_000_19</v>
      </c>
      <c r="D179" s="43">
        <f t="shared" si="341"/>
        <v>12</v>
      </c>
      <c r="E179" s="61">
        <f t="shared" si="321"/>
        <v>2.044</v>
      </c>
      <c r="F179" s="44">
        <f t="shared" si="348"/>
        <v>17.033333333333335</v>
      </c>
      <c r="G179" s="44">
        <f t="shared" si="349"/>
        <v>13.626666666666669</v>
      </c>
      <c r="H179" s="44">
        <f t="shared" si="350"/>
        <v>8.5166666666666675</v>
      </c>
      <c r="I179" s="44">
        <f t="shared" si="326"/>
        <v>8</v>
      </c>
      <c r="J179" s="45">
        <f t="shared" si="336"/>
        <v>-8</v>
      </c>
      <c r="K179" s="87" t="s">
        <v>635</v>
      </c>
      <c r="L179" s="44">
        <f t="shared" ref="L179:N179" si="378">L178</f>
        <v>0.2</v>
      </c>
      <c r="M179" s="44">
        <f t="shared" si="378"/>
        <v>150</v>
      </c>
      <c r="N179" s="44">
        <f t="shared" si="378"/>
        <v>750</v>
      </c>
      <c r="P179" s="38">
        <f t="shared" si="328"/>
        <v>11</v>
      </c>
      <c r="Q179" s="38">
        <f t="shared" si="329"/>
        <v>13</v>
      </c>
      <c r="R179" s="39">
        <f t="shared" si="330"/>
        <v>0.81538426384388818</v>
      </c>
      <c r="S179" s="39">
        <f t="shared" si="331"/>
        <v>0.90555004379283888</v>
      </c>
      <c r="T179" s="39">
        <f t="shared" si="334"/>
        <v>9.0165779948950697E-2</v>
      </c>
      <c r="U179" s="89">
        <f t="shared" si="360"/>
        <v>1.4781275401467328E-3</v>
      </c>
    </row>
    <row r="180" spans="1:21" ht="15.75" thickBot="1" x14ac:dyDescent="0.3">
      <c r="A180" s="41">
        <f t="shared" ref="A180:B180" si="379">A179+1</f>
        <v>170</v>
      </c>
      <c r="B180" s="42">
        <f t="shared" si="379"/>
        <v>170</v>
      </c>
      <c r="C180" s="92" t="str">
        <f t="shared" si="285"/>
        <v>L11X12-352_000_20</v>
      </c>
      <c r="D180" s="43">
        <f t="shared" si="341"/>
        <v>12</v>
      </c>
      <c r="E180" s="61">
        <f t="shared" si="321"/>
        <v>2.044</v>
      </c>
      <c r="F180" s="44">
        <f t="shared" si="348"/>
        <v>17.033333333333335</v>
      </c>
      <c r="G180" s="44">
        <f t="shared" si="349"/>
        <v>13.626666666666669</v>
      </c>
      <c r="H180" s="44">
        <f t="shared" si="350"/>
        <v>8.5166666666666675</v>
      </c>
      <c r="I180" s="44">
        <f t="shared" si="326"/>
        <v>8</v>
      </c>
      <c r="J180" s="45">
        <f t="shared" si="336"/>
        <v>-8</v>
      </c>
      <c r="K180" s="87" t="s">
        <v>636</v>
      </c>
      <c r="L180" s="44">
        <f t="shared" ref="L180:N180" si="380">L179</f>
        <v>0.2</v>
      </c>
      <c r="M180" s="44">
        <f t="shared" si="380"/>
        <v>150</v>
      </c>
      <c r="N180" s="44">
        <f t="shared" si="380"/>
        <v>750</v>
      </c>
      <c r="P180" s="38">
        <f t="shared" si="328"/>
        <v>11</v>
      </c>
      <c r="Q180" s="38">
        <f t="shared" si="329"/>
        <v>13</v>
      </c>
      <c r="R180" s="39">
        <f t="shared" si="330"/>
        <v>0.81538426384388818</v>
      </c>
      <c r="S180" s="39">
        <f t="shared" si="331"/>
        <v>0.90555004379283888</v>
      </c>
      <c r="T180" s="39">
        <f t="shared" si="334"/>
        <v>9.0165779948950697E-2</v>
      </c>
      <c r="U180" s="89">
        <f t="shared" si="360"/>
        <v>1.4781275401467328E-3</v>
      </c>
    </row>
    <row r="181" spans="1:21" ht="15.75" thickBot="1" x14ac:dyDescent="0.3">
      <c r="A181" s="41">
        <f t="shared" ref="A181:B181" si="381">A180+1</f>
        <v>171</v>
      </c>
      <c r="B181" s="42">
        <f t="shared" si="381"/>
        <v>171</v>
      </c>
      <c r="C181" s="92" t="str">
        <f t="shared" si="285"/>
        <v>L11X12-000_000_21</v>
      </c>
      <c r="D181" s="43">
        <f t="shared" si="341"/>
        <v>12</v>
      </c>
      <c r="E181" s="61">
        <f t="shared" si="321"/>
        <v>2.044</v>
      </c>
      <c r="F181" s="44">
        <f t="shared" si="348"/>
        <v>17.033333333333335</v>
      </c>
      <c r="G181" s="44">
        <f t="shared" si="349"/>
        <v>13.626666666666669</v>
      </c>
      <c r="H181" s="44">
        <f t="shared" si="350"/>
        <v>8.5166666666666675</v>
      </c>
      <c r="I181" s="44">
        <f t="shared" si="326"/>
        <v>8</v>
      </c>
      <c r="J181" s="45">
        <f t="shared" ref="J181:J200" si="382">yaw_null</f>
        <v>0</v>
      </c>
      <c r="K181" s="87" t="s">
        <v>637</v>
      </c>
      <c r="L181" s="44">
        <f t="shared" ref="L181:N181" si="383">L180</f>
        <v>0.2</v>
      </c>
      <c r="M181" s="44">
        <f t="shared" si="383"/>
        <v>150</v>
      </c>
      <c r="N181" s="44">
        <f t="shared" si="383"/>
        <v>750</v>
      </c>
      <c r="P181" s="38">
        <f t="shared" si="328"/>
        <v>11</v>
      </c>
      <c r="Q181" s="38">
        <f t="shared" si="329"/>
        <v>13</v>
      </c>
      <c r="R181" s="39">
        <f t="shared" si="330"/>
        <v>0.81538426384388818</v>
      </c>
      <c r="S181" s="39">
        <f t="shared" si="331"/>
        <v>0.90555004379283888</v>
      </c>
      <c r="T181" s="39">
        <f t="shared" si="334"/>
        <v>9.0165779948950697E-2</v>
      </c>
      <c r="U181" s="89">
        <f t="shared" si="360"/>
        <v>1.4781275401467328E-3</v>
      </c>
    </row>
    <row r="182" spans="1:21" ht="15.75" thickBot="1" x14ac:dyDescent="0.3">
      <c r="A182" s="41">
        <f t="shared" ref="A182:B182" si="384">A181+1</f>
        <v>172</v>
      </c>
      <c r="B182" s="42">
        <f t="shared" si="384"/>
        <v>172</v>
      </c>
      <c r="C182" s="92" t="str">
        <f t="shared" si="285"/>
        <v>L11X12-000_000_22</v>
      </c>
      <c r="D182" s="43">
        <f t="shared" si="341"/>
        <v>12</v>
      </c>
      <c r="E182" s="61">
        <f t="shared" si="321"/>
        <v>2.044</v>
      </c>
      <c r="F182" s="44">
        <f t="shared" si="348"/>
        <v>17.033333333333335</v>
      </c>
      <c r="G182" s="44">
        <f t="shared" si="349"/>
        <v>13.626666666666669</v>
      </c>
      <c r="H182" s="44">
        <f t="shared" si="350"/>
        <v>8.5166666666666675</v>
      </c>
      <c r="I182" s="44">
        <f t="shared" si="326"/>
        <v>8</v>
      </c>
      <c r="J182" s="45">
        <f t="shared" si="382"/>
        <v>0</v>
      </c>
      <c r="K182" s="87" t="s">
        <v>638</v>
      </c>
      <c r="L182" s="44">
        <f t="shared" ref="L182:N182" si="385">L181</f>
        <v>0.2</v>
      </c>
      <c r="M182" s="44">
        <f t="shared" si="385"/>
        <v>150</v>
      </c>
      <c r="N182" s="44">
        <f t="shared" si="385"/>
        <v>750</v>
      </c>
      <c r="P182" s="38">
        <f t="shared" si="328"/>
        <v>11</v>
      </c>
      <c r="Q182" s="38">
        <f t="shared" si="329"/>
        <v>13</v>
      </c>
      <c r="R182" s="39">
        <f t="shared" si="330"/>
        <v>0.81538426384388818</v>
      </c>
      <c r="S182" s="39">
        <f t="shared" si="331"/>
        <v>0.90555004379283888</v>
      </c>
      <c r="T182" s="39">
        <f t="shared" si="334"/>
        <v>9.0165779948950697E-2</v>
      </c>
      <c r="U182" s="89">
        <f t="shared" si="360"/>
        <v>1.4781275401467328E-3</v>
      </c>
    </row>
    <row r="183" spans="1:21" ht="15.75" thickBot="1" x14ac:dyDescent="0.3">
      <c r="A183" s="41">
        <f t="shared" ref="A183:B183" si="386">A182+1</f>
        <v>173</v>
      </c>
      <c r="B183" s="42">
        <f t="shared" si="386"/>
        <v>173</v>
      </c>
      <c r="C183" s="92" t="str">
        <f t="shared" si="285"/>
        <v>L11X12-000_000_23</v>
      </c>
      <c r="D183" s="43">
        <f t="shared" si="341"/>
        <v>12</v>
      </c>
      <c r="E183" s="61">
        <f t="shared" si="321"/>
        <v>2.044</v>
      </c>
      <c r="F183" s="44">
        <f t="shared" si="348"/>
        <v>17.033333333333335</v>
      </c>
      <c r="G183" s="44">
        <f t="shared" si="349"/>
        <v>13.626666666666669</v>
      </c>
      <c r="H183" s="44">
        <f t="shared" si="350"/>
        <v>8.5166666666666675</v>
      </c>
      <c r="I183" s="44">
        <f t="shared" si="326"/>
        <v>8</v>
      </c>
      <c r="J183" s="45">
        <f t="shared" si="382"/>
        <v>0</v>
      </c>
      <c r="K183" s="87" t="s">
        <v>639</v>
      </c>
      <c r="L183" s="44">
        <f t="shared" ref="L183:N183" si="387">L182</f>
        <v>0.2</v>
      </c>
      <c r="M183" s="44">
        <f t="shared" si="387"/>
        <v>150</v>
      </c>
      <c r="N183" s="44">
        <f t="shared" si="387"/>
        <v>750</v>
      </c>
      <c r="P183" s="38">
        <f t="shared" si="328"/>
        <v>11</v>
      </c>
      <c r="Q183" s="38">
        <f t="shared" si="329"/>
        <v>13</v>
      </c>
      <c r="R183" s="39">
        <f t="shared" si="330"/>
        <v>0.81538426384388818</v>
      </c>
      <c r="S183" s="39">
        <f t="shared" si="331"/>
        <v>0.90555004379283888</v>
      </c>
      <c r="T183" s="39">
        <f t="shared" si="334"/>
        <v>9.0165779948950697E-2</v>
      </c>
      <c r="U183" s="89">
        <f t="shared" si="360"/>
        <v>1.4781275401467328E-3</v>
      </c>
    </row>
    <row r="184" spans="1:21" ht="15.75" thickBot="1" x14ac:dyDescent="0.3">
      <c r="A184" s="41">
        <f t="shared" ref="A184:B184" si="388">A183+1</f>
        <v>174</v>
      </c>
      <c r="B184" s="42">
        <f t="shared" si="388"/>
        <v>174</v>
      </c>
      <c r="C184" s="92" t="str">
        <f t="shared" si="285"/>
        <v>L11X12-000_000_24</v>
      </c>
      <c r="D184" s="43">
        <f t="shared" si="341"/>
        <v>12</v>
      </c>
      <c r="E184" s="61">
        <f t="shared" si="321"/>
        <v>2.044</v>
      </c>
      <c r="F184" s="44">
        <f t="shared" si="348"/>
        <v>17.033333333333335</v>
      </c>
      <c r="G184" s="44">
        <f t="shared" si="349"/>
        <v>13.626666666666669</v>
      </c>
      <c r="H184" s="44">
        <f t="shared" si="350"/>
        <v>8.5166666666666675</v>
      </c>
      <c r="I184" s="44">
        <f t="shared" si="326"/>
        <v>8</v>
      </c>
      <c r="J184" s="45">
        <f t="shared" si="382"/>
        <v>0</v>
      </c>
      <c r="K184" s="87" t="s">
        <v>640</v>
      </c>
      <c r="L184" s="44">
        <f t="shared" ref="L184:N184" si="389">L183</f>
        <v>0.2</v>
      </c>
      <c r="M184" s="44">
        <f t="shared" si="389"/>
        <v>150</v>
      </c>
      <c r="N184" s="44">
        <f t="shared" si="389"/>
        <v>750</v>
      </c>
      <c r="P184" s="38">
        <f t="shared" si="328"/>
        <v>11</v>
      </c>
      <c r="Q184" s="38">
        <f t="shared" si="329"/>
        <v>13</v>
      </c>
      <c r="R184" s="39">
        <f t="shared" si="330"/>
        <v>0.81538426384388818</v>
      </c>
      <c r="S184" s="39">
        <f t="shared" si="331"/>
        <v>0.90555004379283888</v>
      </c>
      <c r="T184" s="39">
        <f t="shared" si="334"/>
        <v>9.0165779948950697E-2</v>
      </c>
      <c r="U184" s="89">
        <f t="shared" si="360"/>
        <v>1.4781275401467328E-3</v>
      </c>
    </row>
    <row r="185" spans="1:21" ht="15.75" thickBot="1" x14ac:dyDescent="0.3">
      <c r="A185" s="41">
        <f t="shared" ref="A185:B185" si="390">A184+1</f>
        <v>175</v>
      </c>
      <c r="B185" s="42">
        <f t="shared" si="390"/>
        <v>175</v>
      </c>
      <c r="C185" s="92" t="str">
        <f t="shared" si="285"/>
        <v>L11X12-000_000_25</v>
      </c>
      <c r="D185" s="43">
        <f t="shared" si="341"/>
        <v>12</v>
      </c>
      <c r="E185" s="61">
        <f t="shared" si="321"/>
        <v>2.044</v>
      </c>
      <c r="F185" s="44">
        <f t="shared" si="348"/>
        <v>17.033333333333335</v>
      </c>
      <c r="G185" s="44">
        <f t="shared" si="349"/>
        <v>13.626666666666669</v>
      </c>
      <c r="H185" s="44">
        <f t="shared" si="350"/>
        <v>8.5166666666666675</v>
      </c>
      <c r="I185" s="44">
        <f t="shared" si="326"/>
        <v>8</v>
      </c>
      <c r="J185" s="45">
        <f t="shared" si="382"/>
        <v>0</v>
      </c>
      <c r="K185" s="87" t="s">
        <v>641</v>
      </c>
      <c r="L185" s="44">
        <f t="shared" ref="L185:N185" si="391">L184</f>
        <v>0.2</v>
      </c>
      <c r="M185" s="44">
        <f t="shared" si="391"/>
        <v>150</v>
      </c>
      <c r="N185" s="44">
        <f t="shared" si="391"/>
        <v>750</v>
      </c>
      <c r="P185" s="38">
        <f t="shared" si="328"/>
        <v>11</v>
      </c>
      <c r="Q185" s="38">
        <f t="shared" si="329"/>
        <v>13</v>
      </c>
      <c r="R185" s="39">
        <f t="shared" si="330"/>
        <v>0.81538426384388818</v>
      </c>
      <c r="S185" s="39">
        <f t="shared" si="331"/>
        <v>0.90555004379283888</v>
      </c>
      <c r="T185" s="39">
        <f t="shared" si="334"/>
        <v>9.0165779948950697E-2</v>
      </c>
      <c r="U185" s="89">
        <f t="shared" si="360"/>
        <v>1.4781275401467328E-3</v>
      </c>
    </row>
    <row r="186" spans="1:21" ht="15.75" thickBot="1" x14ac:dyDescent="0.3">
      <c r="A186" s="41">
        <f t="shared" ref="A186:B186" si="392">A185+1</f>
        <v>176</v>
      </c>
      <c r="B186" s="42">
        <f t="shared" si="392"/>
        <v>176</v>
      </c>
      <c r="C186" s="92" t="str">
        <f t="shared" si="285"/>
        <v>L11X12-000_000_26</v>
      </c>
      <c r="D186" s="43">
        <f t="shared" si="341"/>
        <v>12</v>
      </c>
      <c r="E186" s="61">
        <f t="shared" si="321"/>
        <v>2.044</v>
      </c>
      <c r="F186" s="44">
        <f t="shared" si="348"/>
        <v>17.033333333333335</v>
      </c>
      <c r="G186" s="44">
        <f t="shared" si="349"/>
        <v>13.626666666666669</v>
      </c>
      <c r="H186" s="44">
        <f t="shared" si="350"/>
        <v>8.5166666666666675</v>
      </c>
      <c r="I186" s="44">
        <f t="shared" si="326"/>
        <v>8</v>
      </c>
      <c r="J186" s="45">
        <f t="shared" si="382"/>
        <v>0</v>
      </c>
      <c r="K186" s="87" t="s">
        <v>642</v>
      </c>
      <c r="L186" s="44">
        <f t="shared" ref="L186:N186" si="393">L185</f>
        <v>0.2</v>
      </c>
      <c r="M186" s="44">
        <f t="shared" si="393"/>
        <v>150</v>
      </c>
      <c r="N186" s="44">
        <f t="shared" si="393"/>
        <v>750</v>
      </c>
      <c r="P186" s="38">
        <f t="shared" si="328"/>
        <v>11</v>
      </c>
      <c r="Q186" s="38">
        <f t="shared" si="329"/>
        <v>13</v>
      </c>
      <c r="R186" s="39">
        <f t="shared" si="330"/>
        <v>0.81538426384388818</v>
      </c>
      <c r="S186" s="39">
        <f t="shared" si="331"/>
        <v>0.90555004379283888</v>
      </c>
      <c r="T186" s="39">
        <f t="shared" si="334"/>
        <v>9.0165779948950697E-2</v>
      </c>
      <c r="U186" s="89">
        <f t="shared" si="360"/>
        <v>1.4781275401467328E-3</v>
      </c>
    </row>
    <row r="187" spans="1:21" ht="15.75" thickBot="1" x14ac:dyDescent="0.3">
      <c r="A187" s="41">
        <f t="shared" ref="A187:B187" si="394">A186+1</f>
        <v>177</v>
      </c>
      <c r="B187" s="42">
        <f t="shared" si="394"/>
        <v>177</v>
      </c>
      <c r="C187" s="92" t="str">
        <f t="shared" si="285"/>
        <v>L11X12-000_000_27</v>
      </c>
      <c r="D187" s="43">
        <f t="shared" si="341"/>
        <v>12</v>
      </c>
      <c r="E187" s="61">
        <f t="shared" si="321"/>
        <v>2.044</v>
      </c>
      <c r="F187" s="44">
        <f t="shared" si="348"/>
        <v>17.033333333333335</v>
      </c>
      <c r="G187" s="44">
        <f t="shared" si="349"/>
        <v>13.626666666666669</v>
      </c>
      <c r="H187" s="44">
        <f t="shared" si="350"/>
        <v>8.5166666666666675</v>
      </c>
      <c r="I187" s="44">
        <f t="shared" si="326"/>
        <v>8</v>
      </c>
      <c r="J187" s="45">
        <f t="shared" si="382"/>
        <v>0</v>
      </c>
      <c r="K187" s="87" t="s">
        <v>643</v>
      </c>
      <c r="L187" s="44">
        <f t="shared" ref="L187:N187" si="395">L186</f>
        <v>0.2</v>
      </c>
      <c r="M187" s="44">
        <f t="shared" si="395"/>
        <v>150</v>
      </c>
      <c r="N187" s="44">
        <f t="shared" si="395"/>
        <v>750</v>
      </c>
      <c r="P187" s="38">
        <f t="shared" si="328"/>
        <v>11</v>
      </c>
      <c r="Q187" s="38">
        <f t="shared" si="329"/>
        <v>13</v>
      </c>
      <c r="R187" s="39">
        <f t="shared" si="330"/>
        <v>0.81538426384388818</v>
      </c>
      <c r="S187" s="39">
        <f t="shared" si="331"/>
        <v>0.90555004379283888</v>
      </c>
      <c r="T187" s="39">
        <f t="shared" si="334"/>
        <v>9.0165779948950697E-2</v>
      </c>
      <c r="U187" s="89">
        <f t="shared" si="360"/>
        <v>1.4781275401467328E-3</v>
      </c>
    </row>
    <row r="188" spans="1:21" ht="15.75" thickBot="1" x14ac:dyDescent="0.3">
      <c r="A188" s="41">
        <f t="shared" ref="A188:B188" si="396">A187+1</f>
        <v>178</v>
      </c>
      <c r="B188" s="42">
        <f t="shared" si="396"/>
        <v>178</v>
      </c>
      <c r="C188" s="92" t="str">
        <f t="shared" si="285"/>
        <v>L11X12-000_000_28</v>
      </c>
      <c r="D188" s="43">
        <f t="shared" si="341"/>
        <v>12</v>
      </c>
      <c r="E188" s="61">
        <f t="shared" si="321"/>
        <v>2.044</v>
      </c>
      <c r="F188" s="44">
        <f t="shared" si="348"/>
        <v>17.033333333333335</v>
      </c>
      <c r="G188" s="44">
        <f t="shared" si="349"/>
        <v>13.626666666666669</v>
      </c>
      <c r="H188" s="44">
        <f t="shared" si="350"/>
        <v>8.5166666666666675</v>
      </c>
      <c r="I188" s="44">
        <f t="shared" si="326"/>
        <v>8</v>
      </c>
      <c r="J188" s="45">
        <f t="shared" si="382"/>
        <v>0</v>
      </c>
      <c r="K188" s="87" t="s">
        <v>644</v>
      </c>
      <c r="L188" s="44">
        <f t="shared" ref="L188:N188" si="397">L187</f>
        <v>0.2</v>
      </c>
      <c r="M188" s="44">
        <f t="shared" si="397"/>
        <v>150</v>
      </c>
      <c r="N188" s="44">
        <f t="shared" si="397"/>
        <v>750</v>
      </c>
      <c r="P188" s="38">
        <f t="shared" si="328"/>
        <v>11</v>
      </c>
      <c r="Q188" s="38">
        <f t="shared" si="329"/>
        <v>13</v>
      </c>
      <c r="R188" s="39">
        <f t="shared" si="330"/>
        <v>0.81538426384388818</v>
      </c>
      <c r="S188" s="39">
        <f t="shared" si="331"/>
        <v>0.90555004379283888</v>
      </c>
      <c r="T188" s="39">
        <f t="shared" si="334"/>
        <v>9.0165779948950697E-2</v>
      </c>
      <c r="U188" s="89">
        <f t="shared" si="360"/>
        <v>1.4781275401467328E-3</v>
      </c>
    </row>
    <row r="189" spans="1:21" ht="15.75" thickBot="1" x14ac:dyDescent="0.3">
      <c r="A189" s="41">
        <f t="shared" ref="A189:B189" si="398">A188+1</f>
        <v>179</v>
      </c>
      <c r="B189" s="42">
        <f t="shared" si="398"/>
        <v>179</v>
      </c>
      <c r="C189" s="92" t="str">
        <f t="shared" si="285"/>
        <v>L11X12-000_000_29</v>
      </c>
      <c r="D189" s="43">
        <f t="shared" si="341"/>
        <v>12</v>
      </c>
      <c r="E189" s="61">
        <f t="shared" si="321"/>
        <v>2.044</v>
      </c>
      <c r="F189" s="44">
        <f t="shared" si="348"/>
        <v>17.033333333333335</v>
      </c>
      <c r="G189" s="44">
        <f t="shared" si="349"/>
        <v>13.626666666666669</v>
      </c>
      <c r="H189" s="44">
        <f t="shared" si="350"/>
        <v>8.5166666666666675</v>
      </c>
      <c r="I189" s="44">
        <f t="shared" si="326"/>
        <v>8</v>
      </c>
      <c r="J189" s="45">
        <f t="shared" si="382"/>
        <v>0</v>
      </c>
      <c r="K189" s="87" t="s">
        <v>645</v>
      </c>
      <c r="L189" s="44">
        <f t="shared" ref="L189:N189" si="399">L188</f>
        <v>0.2</v>
      </c>
      <c r="M189" s="44">
        <f t="shared" si="399"/>
        <v>150</v>
      </c>
      <c r="N189" s="44">
        <f t="shared" si="399"/>
        <v>750</v>
      </c>
      <c r="P189" s="38">
        <f t="shared" si="328"/>
        <v>11</v>
      </c>
      <c r="Q189" s="38">
        <f t="shared" si="329"/>
        <v>13</v>
      </c>
      <c r="R189" s="39">
        <f t="shared" si="330"/>
        <v>0.81538426384388818</v>
      </c>
      <c r="S189" s="39">
        <f t="shared" si="331"/>
        <v>0.90555004379283888</v>
      </c>
      <c r="T189" s="39">
        <f t="shared" si="334"/>
        <v>9.0165779948950697E-2</v>
      </c>
      <c r="U189" s="89">
        <f t="shared" si="360"/>
        <v>1.4781275401467328E-3</v>
      </c>
    </row>
    <row r="190" spans="1:21" ht="15.75" thickBot="1" x14ac:dyDescent="0.3">
      <c r="A190" s="41">
        <f t="shared" ref="A190:B190" si="400">A189+1</f>
        <v>180</v>
      </c>
      <c r="B190" s="42">
        <f t="shared" si="400"/>
        <v>180</v>
      </c>
      <c r="C190" s="92" t="str">
        <f t="shared" si="285"/>
        <v>L11X12-000_000_30</v>
      </c>
      <c r="D190" s="43">
        <f t="shared" si="341"/>
        <v>12</v>
      </c>
      <c r="E190" s="61">
        <f t="shared" si="321"/>
        <v>2.044</v>
      </c>
      <c r="F190" s="44">
        <f t="shared" si="348"/>
        <v>17.033333333333335</v>
      </c>
      <c r="G190" s="44">
        <f t="shared" si="349"/>
        <v>13.626666666666669</v>
      </c>
      <c r="H190" s="44">
        <f t="shared" si="350"/>
        <v>8.5166666666666675</v>
      </c>
      <c r="I190" s="44">
        <f t="shared" si="326"/>
        <v>8</v>
      </c>
      <c r="J190" s="45">
        <f t="shared" si="382"/>
        <v>0</v>
      </c>
      <c r="K190" s="87" t="s">
        <v>646</v>
      </c>
      <c r="L190" s="44">
        <f t="shared" ref="L190:N190" si="401">L189</f>
        <v>0.2</v>
      </c>
      <c r="M190" s="44">
        <f t="shared" si="401"/>
        <v>150</v>
      </c>
      <c r="N190" s="44">
        <f t="shared" si="401"/>
        <v>750</v>
      </c>
      <c r="P190" s="38">
        <f t="shared" si="328"/>
        <v>11</v>
      </c>
      <c r="Q190" s="38">
        <f t="shared" si="329"/>
        <v>13</v>
      </c>
      <c r="R190" s="39">
        <f t="shared" si="330"/>
        <v>0.81538426384388818</v>
      </c>
      <c r="S190" s="39">
        <f t="shared" si="331"/>
        <v>0.90555004379283888</v>
      </c>
      <c r="T190" s="39">
        <f t="shared" si="334"/>
        <v>9.0165779948950697E-2</v>
      </c>
      <c r="U190" s="89">
        <f t="shared" si="360"/>
        <v>1.4781275401467328E-3</v>
      </c>
    </row>
    <row r="191" spans="1:21" ht="15.75" thickBot="1" x14ac:dyDescent="0.3">
      <c r="A191" s="41">
        <f t="shared" ref="A191:B191" si="402">A190+1</f>
        <v>181</v>
      </c>
      <c r="B191" s="42">
        <f t="shared" si="402"/>
        <v>181</v>
      </c>
      <c r="C191" s="92" t="str">
        <f t="shared" si="285"/>
        <v>L11X12-000_000_31</v>
      </c>
      <c r="D191" s="43">
        <f t="shared" si="341"/>
        <v>12</v>
      </c>
      <c r="E191" s="61">
        <f t="shared" si="321"/>
        <v>2.044</v>
      </c>
      <c r="F191" s="44">
        <f t="shared" si="348"/>
        <v>17.033333333333335</v>
      </c>
      <c r="G191" s="44">
        <f t="shared" si="349"/>
        <v>13.626666666666669</v>
      </c>
      <c r="H191" s="44">
        <f t="shared" si="350"/>
        <v>8.5166666666666675</v>
      </c>
      <c r="I191" s="44">
        <f t="shared" si="326"/>
        <v>8</v>
      </c>
      <c r="J191" s="45">
        <f t="shared" si="382"/>
        <v>0</v>
      </c>
      <c r="K191" s="87" t="s">
        <v>647</v>
      </c>
      <c r="L191" s="44">
        <f t="shared" ref="L191:N191" si="403">L190</f>
        <v>0.2</v>
      </c>
      <c r="M191" s="44">
        <f t="shared" si="403"/>
        <v>150</v>
      </c>
      <c r="N191" s="44">
        <f t="shared" si="403"/>
        <v>750</v>
      </c>
      <c r="P191" s="38">
        <f t="shared" si="328"/>
        <v>11</v>
      </c>
      <c r="Q191" s="38">
        <f t="shared" si="329"/>
        <v>13</v>
      </c>
      <c r="R191" s="39">
        <f t="shared" si="330"/>
        <v>0.81538426384388818</v>
      </c>
      <c r="S191" s="39">
        <f t="shared" si="331"/>
        <v>0.90555004379283888</v>
      </c>
      <c r="T191" s="39">
        <f t="shared" si="334"/>
        <v>9.0165779948950697E-2</v>
      </c>
      <c r="U191" s="89">
        <f t="shared" si="360"/>
        <v>1.4781275401467328E-3</v>
      </c>
    </row>
    <row r="192" spans="1:21" ht="15.75" thickBot="1" x14ac:dyDescent="0.3">
      <c r="A192" s="41">
        <f t="shared" ref="A192:B192" si="404">A191+1</f>
        <v>182</v>
      </c>
      <c r="B192" s="42">
        <f t="shared" si="404"/>
        <v>182</v>
      </c>
      <c r="C192" s="92" t="str">
        <f t="shared" si="285"/>
        <v>L11X12-000_000_32</v>
      </c>
      <c r="D192" s="43">
        <f t="shared" si="341"/>
        <v>12</v>
      </c>
      <c r="E192" s="61">
        <f t="shared" si="321"/>
        <v>2.044</v>
      </c>
      <c r="F192" s="44">
        <f t="shared" si="348"/>
        <v>17.033333333333335</v>
      </c>
      <c r="G192" s="44">
        <f t="shared" si="349"/>
        <v>13.626666666666669</v>
      </c>
      <c r="H192" s="44">
        <f t="shared" si="350"/>
        <v>8.5166666666666675</v>
      </c>
      <c r="I192" s="44">
        <f t="shared" si="326"/>
        <v>8</v>
      </c>
      <c r="J192" s="45">
        <f t="shared" si="382"/>
        <v>0</v>
      </c>
      <c r="K192" s="87" t="s">
        <v>588</v>
      </c>
      <c r="L192" s="44">
        <f t="shared" ref="L192:N192" si="405">L191</f>
        <v>0.2</v>
      </c>
      <c r="M192" s="44">
        <f t="shared" si="405"/>
        <v>150</v>
      </c>
      <c r="N192" s="44">
        <f t="shared" si="405"/>
        <v>750</v>
      </c>
      <c r="P192" s="38">
        <f t="shared" si="328"/>
        <v>11</v>
      </c>
      <c r="Q192" s="38">
        <f t="shared" si="329"/>
        <v>13</v>
      </c>
      <c r="R192" s="39">
        <f t="shared" si="330"/>
        <v>0.81538426384388818</v>
      </c>
      <c r="S192" s="39">
        <f t="shared" si="331"/>
        <v>0.90555004379283888</v>
      </c>
      <c r="T192" s="39">
        <f t="shared" si="334"/>
        <v>9.0165779948950697E-2</v>
      </c>
      <c r="U192" s="89">
        <f t="shared" si="360"/>
        <v>1.4781275401467328E-3</v>
      </c>
    </row>
    <row r="193" spans="1:21" ht="15.75" thickBot="1" x14ac:dyDescent="0.3">
      <c r="A193" s="41">
        <f t="shared" ref="A193:B193" si="406">A192+1</f>
        <v>183</v>
      </c>
      <c r="B193" s="42">
        <f t="shared" si="406"/>
        <v>183</v>
      </c>
      <c r="C193" s="92" t="str">
        <f t="shared" si="285"/>
        <v>L11X12-000_000_33</v>
      </c>
      <c r="D193" s="43">
        <f t="shared" si="341"/>
        <v>12</v>
      </c>
      <c r="E193" s="61">
        <f t="shared" si="321"/>
        <v>2.044</v>
      </c>
      <c r="F193" s="44">
        <f t="shared" si="348"/>
        <v>17.033333333333335</v>
      </c>
      <c r="G193" s="44">
        <f t="shared" si="349"/>
        <v>13.626666666666669</v>
      </c>
      <c r="H193" s="44">
        <f t="shared" si="350"/>
        <v>8.5166666666666675</v>
      </c>
      <c r="I193" s="44">
        <f t="shared" si="326"/>
        <v>8</v>
      </c>
      <c r="J193" s="45">
        <f t="shared" si="382"/>
        <v>0</v>
      </c>
      <c r="K193" s="87" t="s">
        <v>589</v>
      </c>
      <c r="L193" s="44">
        <f t="shared" ref="L193:N193" si="407">L192</f>
        <v>0.2</v>
      </c>
      <c r="M193" s="44">
        <f t="shared" si="407"/>
        <v>150</v>
      </c>
      <c r="N193" s="44">
        <f t="shared" si="407"/>
        <v>750</v>
      </c>
      <c r="P193" s="38">
        <f t="shared" si="328"/>
        <v>11</v>
      </c>
      <c r="Q193" s="38">
        <f t="shared" si="329"/>
        <v>13</v>
      </c>
      <c r="R193" s="39">
        <f t="shared" si="330"/>
        <v>0.81538426384388818</v>
      </c>
      <c r="S193" s="39">
        <f t="shared" si="331"/>
        <v>0.90555004379283888</v>
      </c>
      <c r="T193" s="39">
        <f t="shared" si="334"/>
        <v>9.0165779948950697E-2</v>
      </c>
      <c r="U193" s="89">
        <f t="shared" si="360"/>
        <v>1.4781275401467328E-3</v>
      </c>
    </row>
    <row r="194" spans="1:21" ht="15.75" thickBot="1" x14ac:dyDescent="0.3">
      <c r="A194" s="41">
        <f t="shared" ref="A194:B194" si="408">A193+1</f>
        <v>184</v>
      </c>
      <c r="B194" s="42">
        <f t="shared" si="408"/>
        <v>184</v>
      </c>
      <c r="C194" s="92" t="str">
        <f t="shared" si="285"/>
        <v>L11X12-000_000_34</v>
      </c>
      <c r="D194" s="43">
        <f t="shared" si="341"/>
        <v>12</v>
      </c>
      <c r="E194" s="61">
        <f t="shared" si="321"/>
        <v>2.044</v>
      </c>
      <c r="F194" s="44">
        <f t="shared" si="348"/>
        <v>17.033333333333335</v>
      </c>
      <c r="G194" s="44">
        <f t="shared" si="349"/>
        <v>13.626666666666669</v>
      </c>
      <c r="H194" s="44">
        <f t="shared" si="350"/>
        <v>8.5166666666666675</v>
      </c>
      <c r="I194" s="44">
        <f t="shared" si="326"/>
        <v>8</v>
      </c>
      <c r="J194" s="45">
        <f t="shared" si="382"/>
        <v>0</v>
      </c>
      <c r="K194" s="87" t="s">
        <v>590</v>
      </c>
      <c r="L194" s="44">
        <f t="shared" ref="L194:N194" si="409">L193</f>
        <v>0.2</v>
      </c>
      <c r="M194" s="44">
        <f t="shared" si="409"/>
        <v>150</v>
      </c>
      <c r="N194" s="44">
        <f t="shared" si="409"/>
        <v>750</v>
      </c>
      <c r="P194" s="38">
        <f t="shared" si="328"/>
        <v>11</v>
      </c>
      <c r="Q194" s="38">
        <f t="shared" si="329"/>
        <v>13</v>
      </c>
      <c r="R194" s="39">
        <f t="shared" si="330"/>
        <v>0.81538426384388818</v>
      </c>
      <c r="S194" s="39">
        <f t="shared" si="331"/>
        <v>0.90555004379283888</v>
      </c>
      <c r="T194" s="39">
        <f t="shared" si="334"/>
        <v>9.0165779948950697E-2</v>
      </c>
      <c r="U194" s="89">
        <f t="shared" si="360"/>
        <v>1.4781275401467328E-3</v>
      </c>
    </row>
    <row r="195" spans="1:21" ht="15.75" thickBot="1" x14ac:dyDescent="0.3">
      <c r="A195" s="41">
        <f t="shared" ref="A195:B195" si="410">A194+1</f>
        <v>185</v>
      </c>
      <c r="B195" s="42">
        <f t="shared" si="410"/>
        <v>185</v>
      </c>
      <c r="C195" s="92" t="str">
        <f t="shared" si="285"/>
        <v>L11X12-000_000_35</v>
      </c>
      <c r="D195" s="43">
        <f t="shared" si="341"/>
        <v>12</v>
      </c>
      <c r="E195" s="61">
        <f t="shared" si="321"/>
        <v>2.044</v>
      </c>
      <c r="F195" s="44">
        <f t="shared" si="348"/>
        <v>17.033333333333335</v>
      </c>
      <c r="G195" s="44">
        <f t="shared" si="349"/>
        <v>13.626666666666669</v>
      </c>
      <c r="H195" s="44">
        <f t="shared" si="350"/>
        <v>8.5166666666666675</v>
      </c>
      <c r="I195" s="44">
        <f t="shared" si="326"/>
        <v>8</v>
      </c>
      <c r="J195" s="45">
        <f t="shared" si="382"/>
        <v>0</v>
      </c>
      <c r="K195" s="87" t="s">
        <v>591</v>
      </c>
      <c r="L195" s="44">
        <f t="shared" ref="L195:N195" si="411">L194</f>
        <v>0.2</v>
      </c>
      <c r="M195" s="44">
        <f t="shared" si="411"/>
        <v>150</v>
      </c>
      <c r="N195" s="44">
        <f t="shared" si="411"/>
        <v>750</v>
      </c>
      <c r="P195" s="38">
        <f t="shared" si="328"/>
        <v>11</v>
      </c>
      <c r="Q195" s="38">
        <f t="shared" si="329"/>
        <v>13</v>
      </c>
      <c r="R195" s="39">
        <f t="shared" si="330"/>
        <v>0.81538426384388818</v>
      </c>
      <c r="S195" s="39">
        <f t="shared" si="331"/>
        <v>0.90555004379283888</v>
      </c>
      <c r="T195" s="39">
        <f t="shared" si="334"/>
        <v>9.0165779948950697E-2</v>
      </c>
      <c r="U195" s="89">
        <f t="shared" si="360"/>
        <v>1.4781275401467328E-3</v>
      </c>
    </row>
    <row r="196" spans="1:21" ht="15.75" thickBot="1" x14ac:dyDescent="0.3">
      <c r="A196" s="41">
        <f t="shared" ref="A196:B196" si="412">A195+1</f>
        <v>186</v>
      </c>
      <c r="B196" s="42">
        <f t="shared" si="412"/>
        <v>186</v>
      </c>
      <c r="C196" s="92" t="str">
        <f t="shared" si="285"/>
        <v>L11X12-000_000_36</v>
      </c>
      <c r="D196" s="43">
        <f t="shared" si="341"/>
        <v>12</v>
      </c>
      <c r="E196" s="61">
        <f t="shared" si="321"/>
        <v>2.044</v>
      </c>
      <c r="F196" s="44">
        <f t="shared" si="348"/>
        <v>17.033333333333335</v>
      </c>
      <c r="G196" s="44">
        <f t="shared" si="349"/>
        <v>13.626666666666669</v>
      </c>
      <c r="H196" s="44">
        <f t="shared" si="350"/>
        <v>8.5166666666666675</v>
      </c>
      <c r="I196" s="44">
        <f t="shared" si="326"/>
        <v>8</v>
      </c>
      <c r="J196" s="45">
        <f t="shared" si="382"/>
        <v>0</v>
      </c>
      <c r="K196" s="87" t="s">
        <v>592</v>
      </c>
      <c r="L196" s="44">
        <f t="shared" ref="L196:N196" si="413">L195</f>
        <v>0.2</v>
      </c>
      <c r="M196" s="44">
        <f t="shared" si="413"/>
        <v>150</v>
      </c>
      <c r="N196" s="44">
        <f t="shared" si="413"/>
        <v>750</v>
      </c>
      <c r="P196" s="38">
        <f t="shared" si="328"/>
        <v>11</v>
      </c>
      <c r="Q196" s="38">
        <f t="shared" si="329"/>
        <v>13</v>
      </c>
      <c r="R196" s="39">
        <f t="shared" si="330"/>
        <v>0.81538426384388818</v>
      </c>
      <c r="S196" s="39">
        <f t="shared" si="331"/>
        <v>0.90555004379283888</v>
      </c>
      <c r="T196" s="39">
        <f t="shared" si="334"/>
        <v>9.0165779948950697E-2</v>
      </c>
      <c r="U196" s="89">
        <f t="shared" si="360"/>
        <v>1.4781275401467328E-3</v>
      </c>
    </row>
    <row r="197" spans="1:21" ht="15.75" thickBot="1" x14ac:dyDescent="0.3">
      <c r="A197" s="41">
        <f t="shared" ref="A197:B197" si="414">A196+1</f>
        <v>187</v>
      </c>
      <c r="B197" s="42">
        <f t="shared" si="414"/>
        <v>187</v>
      </c>
      <c r="C197" s="92" t="str">
        <f t="shared" si="285"/>
        <v>L11X12-000_000_37</v>
      </c>
      <c r="D197" s="43">
        <f t="shared" si="341"/>
        <v>12</v>
      </c>
      <c r="E197" s="61">
        <f t="shared" si="321"/>
        <v>2.044</v>
      </c>
      <c r="F197" s="44">
        <f t="shared" si="348"/>
        <v>17.033333333333335</v>
      </c>
      <c r="G197" s="44">
        <f t="shared" si="349"/>
        <v>13.626666666666669</v>
      </c>
      <c r="H197" s="44">
        <f t="shared" si="350"/>
        <v>8.5166666666666675</v>
      </c>
      <c r="I197" s="44">
        <f t="shared" si="326"/>
        <v>8</v>
      </c>
      <c r="J197" s="45">
        <f t="shared" si="382"/>
        <v>0</v>
      </c>
      <c r="K197" s="87" t="s">
        <v>593</v>
      </c>
      <c r="L197" s="44">
        <f t="shared" ref="L197:N197" si="415">L196</f>
        <v>0.2</v>
      </c>
      <c r="M197" s="44">
        <f t="shared" si="415"/>
        <v>150</v>
      </c>
      <c r="N197" s="44">
        <f t="shared" si="415"/>
        <v>750</v>
      </c>
      <c r="P197" s="38">
        <f t="shared" si="328"/>
        <v>11</v>
      </c>
      <c r="Q197" s="38">
        <f t="shared" si="329"/>
        <v>13</v>
      </c>
      <c r="R197" s="39">
        <f t="shared" si="330"/>
        <v>0.81538426384388818</v>
      </c>
      <c r="S197" s="39">
        <f t="shared" si="331"/>
        <v>0.90555004379283888</v>
      </c>
      <c r="T197" s="39">
        <f t="shared" si="334"/>
        <v>9.0165779948950697E-2</v>
      </c>
      <c r="U197" s="89">
        <f t="shared" si="360"/>
        <v>1.4781275401467328E-3</v>
      </c>
    </row>
    <row r="198" spans="1:21" ht="15.75" thickBot="1" x14ac:dyDescent="0.3">
      <c r="A198" s="41">
        <f t="shared" ref="A198:B198" si="416">A197+1</f>
        <v>188</v>
      </c>
      <c r="B198" s="42">
        <f t="shared" si="416"/>
        <v>188</v>
      </c>
      <c r="C198" s="92" t="str">
        <f t="shared" si="285"/>
        <v>L11X12-000_000_38</v>
      </c>
      <c r="D198" s="43">
        <f t="shared" si="341"/>
        <v>12</v>
      </c>
      <c r="E198" s="61">
        <f t="shared" si="321"/>
        <v>2.044</v>
      </c>
      <c r="F198" s="44">
        <f t="shared" si="348"/>
        <v>17.033333333333335</v>
      </c>
      <c r="G198" s="44">
        <f t="shared" si="349"/>
        <v>13.626666666666669</v>
      </c>
      <c r="H198" s="44">
        <f t="shared" si="350"/>
        <v>8.5166666666666675</v>
      </c>
      <c r="I198" s="44">
        <f t="shared" si="326"/>
        <v>8</v>
      </c>
      <c r="J198" s="45">
        <f t="shared" si="382"/>
        <v>0</v>
      </c>
      <c r="K198" s="87" t="s">
        <v>594</v>
      </c>
      <c r="L198" s="44">
        <f t="shared" ref="L198:N198" si="417">L197</f>
        <v>0.2</v>
      </c>
      <c r="M198" s="44">
        <f t="shared" si="417"/>
        <v>150</v>
      </c>
      <c r="N198" s="44">
        <f t="shared" si="417"/>
        <v>750</v>
      </c>
      <c r="P198" s="38">
        <f t="shared" si="328"/>
        <v>11</v>
      </c>
      <c r="Q198" s="38">
        <f t="shared" si="329"/>
        <v>13</v>
      </c>
      <c r="R198" s="39">
        <f t="shared" si="330"/>
        <v>0.81538426384388818</v>
      </c>
      <c r="S198" s="39">
        <f t="shared" si="331"/>
        <v>0.90555004379283888</v>
      </c>
      <c r="T198" s="39">
        <f t="shared" si="334"/>
        <v>9.0165779948950697E-2</v>
      </c>
      <c r="U198" s="89">
        <f t="shared" si="360"/>
        <v>1.4781275401467328E-3</v>
      </c>
    </row>
    <row r="199" spans="1:21" ht="15.75" thickBot="1" x14ac:dyDescent="0.3">
      <c r="A199" s="41">
        <f t="shared" ref="A199:B199" si="418">A198+1</f>
        <v>189</v>
      </c>
      <c r="B199" s="42">
        <f t="shared" si="418"/>
        <v>189</v>
      </c>
      <c r="C199" s="92" t="str">
        <f t="shared" si="285"/>
        <v>L11X12-000_000_39</v>
      </c>
      <c r="D199" s="43">
        <f t="shared" si="341"/>
        <v>12</v>
      </c>
      <c r="E199" s="61">
        <f t="shared" si="321"/>
        <v>2.044</v>
      </c>
      <c r="F199" s="44">
        <f t="shared" si="348"/>
        <v>17.033333333333335</v>
      </c>
      <c r="G199" s="44">
        <f t="shared" si="349"/>
        <v>13.626666666666669</v>
      </c>
      <c r="H199" s="44">
        <f t="shared" si="350"/>
        <v>8.5166666666666675</v>
      </c>
      <c r="I199" s="44">
        <f t="shared" si="326"/>
        <v>8</v>
      </c>
      <c r="J199" s="45">
        <f t="shared" si="382"/>
        <v>0</v>
      </c>
      <c r="K199" s="87" t="s">
        <v>595</v>
      </c>
      <c r="L199" s="44">
        <f t="shared" ref="L199:N199" si="419">L198</f>
        <v>0.2</v>
      </c>
      <c r="M199" s="44">
        <f t="shared" si="419"/>
        <v>150</v>
      </c>
      <c r="N199" s="44">
        <f t="shared" si="419"/>
        <v>750</v>
      </c>
      <c r="P199" s="38">
        <f t="shared" si="328"/>
        <v>11</v>
      </c>
      <c r="Q199" s="38">
        <f t="shared" si="329"/>
        <v>13</v>
      </c>
      <c r="R199" s="39">
        <f t="shared" si="330"/>
        <v>0.81538426384388818</v>
      </c>
      <c r="S199" s="39">
        <f t="shared" si="331"/>
        <v>0.90555004379283888</v>
      </c>
      <c r="T199" s="39">
        <f t="shared" si="334"/>
        <v>9.0165779948950697E-2</v>
      </c>
      <c r="U199" s="89">
        <f t="shared" si="360"/>
        <v>1.4781275401467328E-3</v>
      </c>
    </row>
    <row r="200" spans="1:21" ht="15.75" thickBot="1" x14ac:dyDescent="0.3">
      <c r="A200" s="41">
        <f t="shared" ref="A200:B200" si="420">A199+1</f>
        <v>190</v>
      </c>
      <c r="B200" s="42">
        <f t="shared" si="420"/>
        <v>190</v>
      </c>
      <c r="C200" s="92" t="str">
        <f t="shared" si="285"/>
        <v>L11X12-000_000_40</v>
      </c>
      <c r="D200" s="43">
        <f t="shared" si="341"/>
        <v>12</v>
      </c>
      <c r="E200" s="61">
        <f t="shared" si="321"/>
        <v>2.044</v>
      </c>
      <c r="F200" s="44">
        <f t="shared" si="348"/>
        <v>17.033333333333335</v>
      </c>
      <c r="G200" s="44">
        <f t="shared" si="349"/>
        <v>13.626666666666669</v>
      </c>
      <c r="H200" s="44">
        <f t="shared" si="350"/>
        <v>8.5166666666666675</v>
      </c>
      <c r="I200" s="44">
        <f t="shared" si="326"/>
        <v>8</v>
      </c>
      <c r="J200" s="45">
        <f t="shared" si="382"/>
        <v>0</v>
      </c>
      <c r="K200" s="87" t="s">
        <v>596</v>
      </c>
      <c r="L200" s="44">
        <f t="shared" ref="L200:N200" si="421">L199</f>
        <v>0.2</v>
      </c>
      <c r="M200" s="44">
        <f t="shared" si="421"/>
        <v>150</v>
      </c>
      <c r="N200" s="44">
        <f t="shared" si="421"/>
        <v>750</v>
      </c>
      <c r="P200" s="38">
        <f t="shared" si="328"/>
        <v>11</v>
      </c>
      <c r="Q200" s="38">
        <f t="shared" si="329"/>
        <v>13</v>
      </c>
      <c r="R200" s="39">
        <f t="shared" si="330"/>
        <v>0.81538426384388818</v>
      </c>
      <c r="S200" s="39">
        <f t="shared" si="331"/>
        <v>0.90555004379283888</v>
      </c>
      <c r="T200" s="39">
        <f t="shared" si="334"/>
        <v>9.0165779948950697E-2</v>
      </c>
      <c r="U200" s="89">
        <f t="shared" si="360"/>
        <v>1.4781275401467328E-3</v>
      </c>
    </row>
    <row r="201" spans="1:21" ht="15.75" thickBot="1" x14ac:dyDescent="0.3">
      <c r="A201" s="41">
        <f t="shared" ref="A201:B201" si="422">A200+1</f>
        <v>191</v>
      </c>
      <c r="B201" s="42">
        <f t="shared" si="422"/>
        <v>191</v>
      </c>
      <c r="C201" s="92" t="str">
        <f t="shared" si="285"/>
        <v>L11X12-008_000_41</v>
      </c>
      <c r="D201" s="43">
        <f t="shared" si="341"/>
        <v>12</v>
      </c>
      <c r="E201" s="61">
        <f t="shared" si="321"/>
        <v>2.044</v>
      </c>
      <c r="F201" s="44">
        <f t="shared" si="348"/>
        <v>17.033333333333335</v>
      </c>
      <c r="G201" s="44">
        <f t="shared" si="349"/>
        <v>13.626666666666669</v>
      </c>
      <c r="H201" s="44">
        <f t="shared" si="350"/>
        <v>8.5166666666666675</v>
      </c>
      <c r="I201" s="44">
        <f t="shared" si="326"/>
        <v>8</v>
      </c>
      <c r="J201" s="45">
        <f t="shared" ref="J201:J220" si="423">yaw_max</f>
        <v>8</v>
      </c>
      <c r="K201" s="87" t="s">
        <v>597</v>
      </c>
      <c r="L201" s="44">
        <f t="shared" ref="L201:N201" si="424">L200</f>
        <v>0.2</v>
      </c>
      <c r="M201" s="44">
        <f t="shared" si="424"/>
        <v>150</v>
      </c>
      <c r="N201" s="44">
        <f t="shared" si="424"/>
        <v>750</v>
      </c>
      <c r="P201" s="38">
        <f t="shared" si="328"/>
        <v>11</v>
      </c>
      <c r="Q201" s="38">
        <f t="shared" si="329"/>
        <v>13</v>
      </c>
      <c r="R201" s="39">
        <f t="shared" si="330"/>
        <v>0.81538426384388818</v>
      </c>
      <c r="S201" s="39">
        <f t="shared" si="331"/>
        <v>0.90555004379283888</v>
      </c>
      <c r="T201" s="39">
        <f t="shared" si="334"/>
        <v>9.0165779948950697E-2</v>
      </c>
      <c r="U201" s="89">
        <f t="shared" si="360"/>
        <v>1.4781275401467328E-3</v>
      </c>
    </row>
    <row r="202" spans="1:21" ht="15.75" thickBot="1" x14ac:dyDescent="0.3">
      <c r="A202" s="41">
        <f t="shared" ref="A202:B202" si="425">A201+1</f>
        <v>192</v>
      </c>
      <c r="B202" s="42">
        <f t="shared" si="425"/>
        <v>192</v>
      </c>
      <c r="C202" s="92" t="str">
        <f t="shared" si="285"/>
        <v>L11X12-008_000_42</v>
      </c>
      <c r="D202" s="43">
        <f t="shared" si="341"/>
        <v>12</v>
      </c>
      <c r="E202" s="61">
        <f t="shared" si="321"/>
        <v>2.044</v>
      </c>
      <c r="F202" s="44">
        <f t="shared" si="348"/>
        <v>17.033333333333335</v>
      </c>
      <c r="G202" s="44">
        <f t="shared" si="349"/>
        <v>13.626666666666669</v>
      </c>
      <c r="H202" s="44">
        <f t="shared" si="350"/>
        <v>8.5166666666666675</v>
      </c>
      <c r="I202" s="44">
        <f t="shared" si="326"/>
        <v>8</v>
      </c>
      <c r="J202" s="45">
        <f t="shared" si="423"/>
        <v>8</v>
      </c>
      <c r="K202" s="87" t="s">
        <v>598</v>
      </c>
      <c r="L202" s="44">
        <f t="shared" ref="L202:N202" si="426">L201</f>
        <v>0.2</v>
      </c>
      <c r="M202" s="44">
        <f t="shared" si="426"/>
        <v>150</v>
      </c>
      <c r="N202" s="44">
        <f t="shared" si="426"/>
        <v>750</v>
      </c>
      <c r="P202" s="38">
        <f t="shared" si="328"/>
        <v>11</v>
      </c>
      <c r="Q202" s="38">
        <f t="shared" si="329"/>
        <v>13</v>
      </c>
      <c r="R202" s="39">
        <f t="shared" si="330"/>
        <v>0.81538426384388818</v>
      </c>
      <c r="S202" s="39">
        <f t="shared" si="331"/>
        <v>0.90555004379283888</v>
      </c>
      <c r="T202" s="39">
        <f t="shared" si="334"/>
        <v>9.0165779948950697E-2</v>
      </c>
      <c r="U202" s="89">
        <f t="shared" si="360"/>
        <v>1.4781275401467328E-3</v>
      </c>
    </row>
    <row r="203" spans="1:21" ht="15.75" thickBot="1" x14ac:dyDescent="0.3">
      <c r="A203" s="41">
        <f t="shared" ref="A203:B203" si="427">A202+1</f>
        <v>193</v>
      </c>
      <c r="B203" s="42">
        <f t="shared" si="427"/>
        <v>193</v>
      </c>
      <c r="C203" s="92" t="str">
        <f t="shared" si="285"/>
        <v>L11X12-008_000_43</v>
      </c>
      <c r="D203" s="43">
        <f t="shared" si="341"/>
        <v>12</v>
      </c>
      <c r="E203" s="61">
        <f t="shared" si="321"/>
        <v>2.044</v>
      </c>
      <c r="F203" s="44">
        <f t="shared" si="348"/>
        <v>17.033333333333335</v>
      </c>
      <c r="G203" s="44">
        <f t="shared" si="349"/>
        <v>13.626666666666669</v>
      </c>
      <c r="H203" s="44">
        <f t="shared" si="350"/>
        <v>8.5166666666666675</v>
      </c>
      <c r="I203" s="44">
        <f t="shared" si="326"/>
        <v>8</v>
      </c>
      <c r="J203" s="45">
        <f t="shared" si="423"/>
        <v>8</v>
      </c>
      <c r="K203" s="87" t="s">
        <v>599</v>
      </c>
      <c r="L203" s="44">
        <f t="shared" ref="L203:N203" si="428">L202</f>
        <v>0.2</v>
      </c>
      <c r="M203" s="44">
        <f t="shared" si="428"/>
        <v>150</v>
      </c>
      <c r="N203" s="44">
        <f t="shared" si="428"/>
        <v>750</v>
      </c>
      <c r="P203" s="38">
        <f t="shared" si="328"/>
        <v>11</v>
      </c>
      <c r="Q203" s="38">
        <f t="shared" si="329"/>
        <v>13</v>
      </c>
      <c r="R203" s="39">
        <f t="shared" si="330"/>
        <v>0.81538426384388818</v>
      </c>
      <c r="S203" s="39">
        <f t="shared" si="331"/>
        <v>0.90555004379283888</v>
      </c>
      <c r="T203" s="39">
        <f t="shared" si="334"/>
        <v>9.0165779948950697E-2</v>
      </c>
      <c r="U203" s="89">
        <f t="shared" si="360"/>
        <v>1.4781275401467328E-3</v>
      </c>
    </row>
    <row r="204" spans="1:21" ht="15.75" thickBot="1" x14ac:dyDescent="0.3">
      <c r="A204" s="41">
        <f t="shared" ref="A204:B204" si="429">A203+1</f>
        <v>194</v>
      </c>
      <c r="B204" s="42">
        <f t="shared" si="429"/>
        <v>194</v>
      </c>
      <c r="C204" s="92" t="str">
        <f t="shared" ref="C204:C267" si="430">TEXT(RIGHT($B$2,LEN($B$2)-3),"L00")&amp;"X"&amp;TEXT(D204,"00")&amp;"-"&amp;IF(J204&lt;0,TEXT(360+J204,"000"),TEXT(J204,"000"))&amp;"_"&amp;"000"&amp;"_"&amp;TEXT(RIGHT(K204,LEN(K204)-FIND("-",K204)),"00")</f>
        <v>L11X12-008_000_44</v>
      </c>
      <c r="D204" s="43">
        <f t="shared" si="341"/>
        <v>12</v>
      </c>
      <c r="E204" s="61">
        <f t="shared" si="321"/>
        <v>2.044</v>
      </c>
      <c r="F204" s="44">
        <f t="shared" si="348"/>
        <v>17.033333333333335</v>
      </c>
      <c r="G204" s="44">
        <f t="shared" si="349"/>
        <v>13.626666666666669</v>
      </c>
      <c r="H204" s="44">
        <f t="shared" si="350"/>
        <v>8.5166666666666675</v>
      </c>
      <c r="I204" s="44">
        <f t="shared" si="326"/>
        <v>8</v>
      </c>
      <c r="J204" s="45">
        <f t="shared" si="423"/>
        <v>8</v>
      </c>
      <c r="K204" s="87" t="s">
        <v>600</v>
      </c>
      <c r="L204" s="44">
        <f t="shared" ref="L204:N204" si="431">L203</f>
        <v>0.2</v>
      </c>
      <c r="M204" s="44">
        <f t="shared" si="431"/>
        <v>150</v>
      </c>
      <c r="N204" s="44">
        <f t="shared" si="431"/>
        <v>750</v>
      </c>
      <c r="P204" s="38">
        <f t="shared" si="328"/>
        <v>11</v>
      </c>
      <c r="Q204" s="38">
        <f t="shared" si="329"/>
        <v>13</v>
      </c>
      <c r="R204" s="39">
        <f t="shared" si="330"/>
        <v>0.81538426384388818</v>
      </c>
      <c r="S204" s="39">
        <f t="shared" si="331"/>
        <v>0.90555004379283888</v>
      </c>
      <c r="T204" s="39">
        <f t="shared" si="334"/>
        <v>9.0165779948950697E-2</v>
      </c>
      <c r="U204" s="89">
        <f t="shared" si="360"/>
        <v>1.4781275401467328E-3</v>
      </c>
    </row>
    <row r="205" spans="1:21" ht="15.75" thickBot="1" x14ac:dyDescent="0.3">
      <c r="A205" s="41">
        <f t="shared" ref="A205:B205" si="432">A204+1</f>
        <v>195</v>
      </c>
      <c r="B205" s="42">
        <f t="shared" si="432"/>
        <v>195</v>
      </c>
      <c r="C205" s="92" t="str">
        <f t="shared" si="430"/>
        <v>L11X12-008_000_45</v>
      </c>
      <c r="D205" s="43">
        <f t="shared" si="341"/>
        <v>12</v>
      </c>
      <c r="E205" s="61">
        <f t="shared" si="321"/>
        <v>2.044</v>
      </c>
      <c r="F205" s="44">
        <f t="shared" si="348"/>
        <v>17.033333333333335</v>
      </c>
      <c r="G205" s="44">
        <f t="shared" si="349"/>
        <v>13.626666666666669</v>
      </c>
      <c r="H205" s="44">
        <f t="shared" si="350"/>
        <v>8.5166666666666675</v>
      </c>
      <c r="I205" s="44">
        <f t="shared" si="326"/>
        <v>8</v>
      </c>
      <c r="J205" s="45">
        <f t="shared" si="423"/>
        <v>8</v>
      </c>
      <c r="K205" s="87" t="s">
        <v>601</v>
      </c>
      <c r="L205" s="44">
        <f t="shared" ref="L205:N205" si="433">L204</f>
        <v>0.2</v>
      </c>
      <c r="M205" s="44">
        <f t="shared" si="433"/>
        <v>150</v>
      </c>
      <c r="N205" s="44">
        <f t="shared" si="433"/>
        <v>750</v>
      </c>
      <c r="P205" s="38">
        <f t="shared" si="328"/>
        <v>11</v>
      </c>
      <c r="Q205" s="38">
        <f t="shared" si="329"/>
        <v>13</v>
      </c>
      <c r="R205" s="39">
        <f t="shared" si="330"/>
        <v>0.81538426384388818</v>
      </c>
      <c r="S205" s="39">
        <f t="shared" si="331"/>
        <v>0.90555004379283888</v>
      </c>
      <c r="T205" s="39">
        <f t="shared" si="334"/>
        <v>9.0165779948950697E-2</v>
      </c>
      <c r="U205" s="89">
        <f t="shared" si="360"/>
        <v>1.4781275401467328E-3</v>
      </c>
    </row>
    <row r="206" spans="1:21" ht="15.75" thickBot="1" x14ac:dyDescent="0.3">
      <c r="A206" s="41">
        <f t="shared" ref="A206:B206" si="434">A205+1</f>
        <v>196</v>
      </c>
      <c r="B206" s="42">
        <f t="shared" si="434"/>
        <v>196</v>
      </c>
      <c r="C206" s="92" t="str">
        <f t="shared" si="430"/>
        <v>L11X12-008_000_46</v>
      </c>
      <c r="D206" s="43">
        <f t="shared" si="341"/>
        <v>12</v>
      </c>
      <c r="E206" s="61">
        <f t="shared" si="321"/>
        <v>2.044</v>
      </c>
      <c r="F206" s="44">
        <f t="shared" si="348"/>
        <v>17.033333333333335</v>
      </c>
      <c r="G206" s="44">
        <f t="shared" si="349"/>
        <v>13.626666666666669</v>
      </c>
      <c r="H206" s="44">
        <f t="shared" si="350"/>
        <v>8.5166666666666675</v>
      </c>
      <c r="I206" s="44">
        <f t="shared" si="326"/>
        <v>8</v>
      </c>
      <c r="J206" s="45">
        <f t="shared" si="423"/>
        <v>8</v>
      </c>
      <c r="K206" s="87" t="s">
        <v>602</v>
      </c>
      <c r="L206" s="44">
        <f t="shared" ref="L206:N206" si="435">L205</f>
        <v>0.2</v>
      </c>
      <c r="M206" s="44">
        <f t="shared" si="435"/>
        <v>150</v>
      </c>
      <c r="N206" s="44">
        <f t="shared" si="435"/>
        <v>750</v>
      </c>
      <c r="P206" s="38">
        <f t="shared" si="328"/>
        <v>11</v>
      </c>
      <c r="Q206" s="38">
        <f t="shared" si="329"/>
        <v>13</v>
      </c>
      <c r="R206" s="39">
        <f t="shared" si="330"/>
        <v>0.81538426384388818</v>
      </c>
      <c r="S206" s="39">
        <f t="shared" si="331"/>
        <v>0.90555004379283888</v>
      </c>
      <c r="T206" s="39">
        <f t="shared" si="334"/>
        <v>9.0165779948950697E-2</v>
      </c>
      <c r="U206" s="89">
        <f t="shared" si="360"/>
        <v>1.4781275401467328E-3</v>
      </c>
    </row>
    <row r="207" spans="1:21" ht="15.75" thickBot="1" x14ac:dyDescent="0.3">
      <c r="A207" s="41">
        <f t="shared" ref="A207:B207" si="436">A206+1</f>
        <v>197</v>
      </c>
      <c r="B207" s="42">
        <f t="shared" si="436"/>
        <v>197</v>
      </c>
      <c r="C207" s="92" t="str">
        <f t="shared" si="430"/>
        <v>L11X12-008_000_47</v>
      </c>
      <c r="D207" s="43">
        <f t="shared" si="341"/>
        <v>12</v>
      </c>
      <c r="E207" s="61">
        <f t="shared" si="321"/>
        <v>2.044</v>
      </c>
      <c r="F207" s="44">
        <f t="shared" si="348"/>
        <v>17.033333333333335</v>
      </c>
      <c r="G207" s="44">
        <f t="shared" si="349"/>
        <v>13.626666666666669</v>
      </c>
      <c r="H207" s="44">
        <f t="shared" si="350"/>
        <v>8.5166666666666675</v>
      </c>
      <c r="I207" s="44">
        <f t="shared" si="326"/>
        <v>8</v>
      </c>
      <c r="J207" s="45">
        <f t="shared" si="423"/>
        <v>8</v>
      </c>
      <c r="K207" s="87" t="s">
        <v>603</v>
      </c>
      <c r="L207" s="44">
        <f t="shared" ref="L207:N207" si="437">L206</f>
        <v>0.2</v>
      </c>
      <c r="M207" s="44">
        <f t="shared" si="437"/>
        <v>150</v>
      </c>
      <c r="N207" s="44">
        <f t="shared" si="437"/>
        <v>750</v>
      </c>
      <c r="P207" s="38">
        <f t="shared" si="328"/>
        <v>11</v>
      </c>
      <c r="Q207" s="38">
        <f t="shared" si="329"/>
        <v>13</v>
      </c>
      <c r="R207" s="39">
        <f t="shared" si="330"/>
        <v>0.81538426384388818</v>
      </c>
      <c r="S207" s="39">
        <f t="shared" si="331"/>
        <v>0.90555004379283888</v>
      </c>
      <c r="T207" s="39">
        <f t="shared" si="334"/>
        <v>9.0165779948950697E-2</v>
      </c>
      <c r="U207" s="89">
        <f t="shared" si="360"/>
        <v>1.4781275401467328E-3</v>
      </c>
    </row>
    <row r="208" spans="1:21" ht="15.75" thickBot="1" x14ac:dyDescent="0.3">
      <c r="A208" s="41">
        <f t="shared" ref="A208:B208" si="438">A207+1</f>
        <v>198</v>
      </c>
      <c r="B208" s="42">
        <f t="shared" si="438"/>
        <v>198</v>
      </c>
      <c r="C208" s="92" t="str">
        <f t="shared" si="430"/>
        <v>L11X12-008_000_48</v>
      </c>
      <c r="D208" s="43">
        <f t="shared" si="341"/>
        <v>12</v>
      </c>
      <c r="E208" s="61">
        <f t="shared" si="321"/>
        <v>2.044</v>
      </c>
      <c r="F208" s="44">
        <f t="shared" si="348"/>
        <v>17.033333333333335</v>
      </c>
      <c r="G208" s="44">
        <f t="shared" si="349"/>
        <v>13.626666666666669</v>
      </c>
      <c r="H208" s="44">
        <f t="shared" si="350"/>
        <v>8.5166666666666675</v>
      </c>
      <c r="I208" s="44">
        <f t="shared" si="326"/>
        <v>8</v>
      </c>
      <c r="J208" s="45">
        <f t="shared" si="423"/>
        <v>8</v>
      </c>
      <c r="K208" s="87" t="s">
        <v>604</v>
      </c>
      <c r="L208" s="44">
        <f t="shared" ref="L208:N208" si="439">L207</f>
        <v>0.2</v>
      </c>
      <c r="M208" s="44">
        <f t="shared" si="439"/>
        <v>150</v>
      </c>
      <c r="N208" s="44">
        <f t="shared" si="439"/>
        <v>750</v>
      </c>
      <c r="P208" s="38">
        <f t="shared" si="328"/>
        <v>11</v>
      </c>
      <c r="Q208" s="38">
        <f t="shared" si="329"/>
        <v>13</v>
      </c>
      <c r="R208" s="39">
        <f t="shared" si="330"/>
        <v>0.81538426384388818</v>
      </c>
      <c r="S208" s="39">
        <f t="shared" si="331"/>
        <v>0.90555004379283888</v>
      </c>
      <c r="T208" s="39">
        <f t="shared" si="334"/>
        <v>9.0165779948950697E-2</v>
      </c>
      <c r="U208" s="89">
        <f t="shared" si="360"/>
        <v>1.4781275401467328E-3</v>
      </c>
    </row>
    <row r="209" spans="1:21" ht="15.75" thickBot="1" x14ac:dyDescent="0.3">
      <c r="A209" s="41">
        <f t="shared" ref="A209:B209" si="440">A208+1</f>
        <v>199</v>
      </c>
      <c r="B209" s="42">
        <f t="shared" si="440"/>
        <v>199</v>
      </c>
      <c r="C209" s="92" t="str">
        <f t="shared" si="430"/>
        <v>L11X12-008_000_49</v>
      </c>
      <c r="D209" s="43">
        <f t="shared" si="341"/>
        <v>12</v>
      </c>
      <c r="E209" s="61">
        <f t="shared" si="321"/>
        <v>2.044</v>
      </c>
      <c r="F209" s="44">
        <f t="shared" si="348"/>
        <v>17.033333333333335</v>
      </c>
      <c r="G209" s="44">
        <f t="shared" si="349"/>
        <v>13.626666666666669</v>
      </c>
      <c r="H209" s="44">
        <f t="shared" si="350"/>
        <v>8.5166666666666675</v>
      </c>
      <c r="I209" s="44">
        <f t="shared" si="326"/>
        <v>8</v>
      </c>
      <c r="J209" s="45">
        <f t="shared" si="423"/>
        <v>8</v>
      </c>
      <c r="K209" s="87" t="s">
        <v>605</v>
      </c>
      <c r="L209" s="44">
        <f t="shared" ref="L209:N209" si="441">L208</f>
        <v>0.2</v>
      </c>
      <c r="M209" s="44">
        <f t="shared" si="441"/>
        <v>150</v>
      </c>
      <c r="N209" s="44">
        <f t="shared" si="441"/>
        <v>750</v>
      </c>
      <c r="P209" s="38">
        <f t="shared" si="328"/>
        <v>11</v>
      </c>
      <c r="Q209" s="38">
        <f t="shared" si="329"/>
        <v>13</v>
      </c>
      <c r="R209" s="39">
        <f t="shared" si="330"/>
        <v>0.81538426384388818</v>
      </c>
      <c r="S209" s="39">
        <f t="shared" si="331"/>
        <v>0.90555004379283888</v>
      </c>
      <c r="T209" s="39">
        <f t="shared" si="334"/>
        <v>9.0165779948950697E-2</v>
      </c>
      <c r="U209" s="89">
        <f t="shared" si="360"/>
        <v>1.4781275401467328E-3</v>
      </c>
    </row>
    <row r="210" spans="1:21" ht="15.75" thickBot="1" x14ac:dyDescent="0.3">
      <c r="A210" s="41">
        <f t="shared" ref="A210:B210" si="442">A209+1</f>
        <v>200</v>
      </c>
      <c r="B210" s="42">
        <f t="shared" si="442"/>
        <v>200</v>
      </c>
      <c r="C210" s="92" t="str">
        <f t="shared" si="430"/>
        <v>L11X12-008_000_50</v>
      </c>
      <c r="D210" s="43">
        <f t="shared" si="341"/>
        <v>12</v>
      </c>
      <c r="E210" s="61">
        <f t="shared" si="321"/>
        <v>2.044</v>
      </c>
      <c r="F210" s="44">
        <f t="shared" si="348"/>
        <v>17.033333333333335</v>
      </c>
      <c r="G210" s="44">
        <f t="shared" si="349"/>
        <v>13.626666666666669</v>
      </c>
      <c r="H210" s="44">
        <f t="shared" si="350"/>
        <v>8.5166666666666675</v>
      </c>
      <c r="I210" s="44">
        <f t="shared" si="326"/>
        <v>8</v>
      </c>
      <c r="J210" s="45">
        <f t="shared" si="423"/>
        <v>8</v>
      </c>
      <c r="K210" s="87" t="s">
        <v>606</v>
      </c>
      <c r="L210" s="44">
        <f t="shared" ref="L210:N210" si="443">L209</f>
        <v>0.2</v>
      </c>
      <c r="M210" s="44">
        <f t="shared" si="443"/>
        <v>150</v>
      </c>
      <c r="N210" s="44">
        <f t="shared" si="443"/>
        <v>750</v>
      </c>
      <c r="P210" s="38">
        <f t="shared" si="328"/>
        <v>11</v>
      </c>
      <c r="Q210" s="38">
        <f t="shared" si="329"/>
        <v>13</v>
      </c>
      <c r="R210" s="39">
        <f t="shared" si="330"/>
        <v>0.81538426384388818</v>
      </c>
      <c r="S210" s="39">
        <f t="shared" si="331"/>
        <v>0.90555004379283888</v>
      </c>
      <c r="T210" s="39">
        <f t="shared" si="334"/>
        <v>9.0165779948950697E-2</v>
      </c>
      <c r="U210" s="89">
        <f t="shared" si="360"/>
        <v>1.4781275401467328E-3</v>
      </c>
    </row>
    <row r="211" spans="1:21" ht="15.75" thickBot="1" x14ac:dyDescent="0.3">
      <c r="A211" s="41">
        <f t="shared" ref="A211:B211" si="444">A210+1</f>
        <v>201</v>
      </c>
      <c r="B211" s="42">
        <f t="shared" si="444"/>
        <v>201</v>
      </c>
      <c r="C211" s="92" t="str">
        <f t="shared" si="430"/>
        <v>L11X12-008_000_51</v>
      </c>
      <c r="D211" s="43">
        <f t="shared" si="341"/>
        <v>12</v>
      </c>
      <c r="E211" s="61">
        <f t="shared" si="321"/>
        <v>2.044</v>
      </c>
      <c r="F211" s="44">
        <f t="shared" si="348"/>
        <v>17.033333333333335</v>
      </c>
      <c r="G211" s="44">
        <f t="shared" si="349"/>
        <v>13.626666666666669</v>
      </c>
      <c r="H211" s="44">
        <f t="shared" si="350"/>
        <v>8.5166666666666675</v>
      </c>
      <c r="I211" s="44">
        <f t="shared" si="326"/>
        <v>8</v>
      </c>
      <c r="J211" s="45">
        <f t="shared" si="423"/>
        <v>8</v>
      </c>
      <c r="K211" s="87" t="s">
        <v>607</v>
      </c>
      <c r="L211" s="44">
        <f t="shared" ref="L211:N211" si="445">L210</f>
        <v>0.2</v>
      </c>
      <c r="M211" s="44">
        <f t="shared" si="445"/>
        <v>150</v>
      </c>
      <c r="N211" s="44">
        <f t="shared" si="445"/>
        <v>750</v>
      </c>
      <c r="P211" s="38">
        <f t="shared" si="328"/>
        <v>11</v>
      </c>
      <c r="Q211" s="38">
        <f t="shared" si="329"/>
        <v>13</v>
      </c>
      <c r="R211" s="39">
        <f t="shared" si="330"/>
        <v>0.81538426384388818</v>
      </c>
      <c r="S211" s="39">
        <f t="shared" si="331"/>
        <v>0.90555004379283888</v>
      </c>
      <c r="T211" s="39">
        <f t="shared" si="334"/>
        <v>9.0165779948950697E-2</v>
      </c>
      <c r="U211" s="89">
        <f t="shared" si="360"/>
        <v>1.4781275401467328E-3</v>
      </c>
    </row>
    <row r="212" spans="1:21" ht="15.75" thickBot="1" x14ac:dyDescent="0.3">
      <c r="A212" s="41">
        <f t="shared" ref="A212:B212" si="446">A211+1</f>
        <v>202</v>
      </c>
      <c r="B212" s="42">
        <f t="shared" si="446"/>
        <v>202</v>
      </c>
      <c r="C212" s="92" t="str">
        <f t="shared" si="430"/>
        <v>L11X12-008_000_52</v>
      </c>
      <c r="D212" s="43">
        <f t="shared" si="341"/>
        <v>12</v>
      </c>
      <c r="E212" s="61">
        <f t="shared" si="321"/>
        <v>2.044</v>
      </c>
      <c r="F212" s="44">
        <f t="shared" si="348"/>
        <v>17.033333333333335</v>
      </c>
      <c r="G212" s="44">
        <f t="shared" si="349"/>
        <v>13.626666666666669</v>
      </c>
      <c r="H212" s="44">
        <f t="shared" si="350"/>
        <v>8.5166666666666675</v>
      </c>
      <c r="I212" s="44">
        <f t="shared" si="326"/>
        <v>8</v>
      </c>
      <c r="J212" s="45">
        <f t="shared" si="423"/>
        <v>8</v>
      </c>
      <c r="K212" s="87" t="s">
        <v>608</v>
      </c>
      <c r="L212" s="44">
        <f t="shared" ref="L212:N212" si="447">L211</f>
        <v>0.2</v>
      </c>
      <c r="M212" s="44">
        <f t="shared" si="447"/>
        <v>150</v>
      </c>
      <c r="N212" s="44">
        <f t="shared" si="447"/>
        <v>750</v>
      </c>
      <c r="P212" s="38">
        <f t="shared" si="328"/>
        <v>11</v>
      </c>
      <c r="Q212" s="38">
        <f t="shared" si="329"/>
        <v>13</v>
      </c>
      <c r="R212" s="39">
        <f t="shared" si="330"/>
        <v>0.81538426384388818</v>
      </c>
      <c r="S212" s="39">
        <f t="shared" si="331"/>
        <v>0.90555004379283888</v>
      </c>
      <c r="T212" s="39">
        <f t="shared" si="334"/>
        <v>9.0165779948950697E-2</v>
      </c>
      <c r="U212" s="89">
        <f t="shared" si="360"/>
        <v>1.4781275401467328E-3</v>
      </c>
    </row>
    <row r="213" spans="1:21" ht="15.75" thickBot="1" x14ac:dyDescent="0.3">
      <c r="A213" s="41">
        <f t="shared" ref="A213:B213" si="448">A212+1</f>
        <v>203</v>
      </c>
      <c r="B213" s="42">
        <f t="shared" si="448"/>
        <v>203</v>
      </c>
      <c r="C213" s="92" t="str">
        <f t="shared" si="430"/>
        <v>L11X12-008_000_53</v>
      </c>
      <c r="D213" s="43">
        <f t="shared" si="341"/>
        <v>12</v>
      </c>
      <c r="E213" s="61">
        <f t="shared" si="321"/>
        <v>2.044</v>
      </c>
      <c r="F213" s="44">
        <f t="shared" si="348"/>
        <v>17.033333333333335</v>
      </c>
      <c r="G213" s="44">
        <f t="shared" si="349"/>
        <v>13.626666666666669</v>
      </c>
      <c r="H213" s="44">
        <f t="shared" si="350"/>
        <v>8.5166666666666675</v>
      </c>
      <c r="I213" s="44">
        <f t="shared" si="326"/>
        <v>8</v>
      </c>
      <c r="J213" s="45">
        <f t="shared" si="423"/>
        <v>8</v>
      </c>
      <c r="K213" s="87" t="s">
        <v>609</v>
      </c>
      <c r="L213" s="44">
        <f t="shared" ref="L213:N213" si="449">L212</f>
        <v>0.2</v>
      </c>
      <c r="M213" s="44">
        <f t="shared" si="449"/>
        <v>150</v>
      </c>
      <c r="N213" s="44">
        <f t="shared" si="449"/>
        <v>750</v>
      </c>
      <c r="P213" s="38">
        <f t="shared" si="328"/>
        <v>11</v>
      </c>
      <c r="Q213" s="38">
        <f t="shared" si="329"/>
        <v>13</v>
      </c>
      <c r="R213" s="39">
        <f t="shared" si="330"/>
        <v>0.81538426384388818</v>
      </c>
      <c r="S213" s="39">
        <f t="shared" si="331"/>
        <v>0.90555004379283888</v>
      </c>
      <c r="T213" s="39">
        <f t="shared" si="334"/>
        <v>9.0165779948950697E-2</v>
      </c>
      <c r="U213" s="89">
        <f t="shared" si="360"/>
        <v>1.4781275401467328E-3</v>
      </c>
    </row>
    <row r="214" spans="1:21" ht="15.75" thickBot="1" x14ac:dyDescent="0.3">
      <c r="A214" s="41">
        <f t="shared" ref="A214:B214" si="450">A213+1</f>
        <v>204</v>
      </c>
      <c r="B214" s="42">
        <f t="shared" si="450"/>
        <v>204</v>
      </c>
      <c r="C214" s="92" t="str">
        <f t="shared" si="430"/>
        <v>L11X12-008_000_54</v>
      </c>
      <c r="D214" s="43">
        <f t="shared" si="341"/>
        <v>12</v>
      </c>
      <c r="E214" s="61">
        <f t="shared" si="321"/>
        <v>2.044</v>
      </c>
      <c r="F214" s="44">
        <f t="shared" si="348"/>
        <v>17.033333333333335</v>
      </c>
      <c r="G214" s="44">
        <f t="shared" si="349"/>
        <v>13.626666666666669</v>
      </c>
      <c r="H214" s="44">
        <f t="shared" si="350"/>
        <v>8.5166666666666675</v>
      </c>
      <c r="I214" s="44">
        <f t="shared" si="326"/>
        <v>8</v>
      </c>
      <c r="J214" s="45">
        <f t="shared" si="423"/>
        <v>8</v>
      </c>
      <c r="K214" s="87" t="s">
        <v>610</v>
      </c>
      <c r="L214" s="44">
        <f t="shared" ref="L214:N214" si="451">L213</f>
        <v>0.2</v>
      </c>
      <c r="M214" s="44">
        <f t="shared" si="451"/>
        <v>150</v>
      </c>
      <c r="N214" s="44">
        <f t="shared" si="451"/>
        <v>750</v>
      </c>
      <c r="P214" s="38">
        <f t="shared" si="328"/>
        <v>11</v>
      </c>
      <c r="Q214" s="38">
        <f t="shared" si="329"/>
        <v>13</v>
      </c>
      <c r="R214" s="39">
        <f t="shared" si="330"/>
        <v>0.81538426384388818</v>
      </c>
      <c r="S214" s="39">
        <f t="shared" si="331"/>
        <v>0.90555004379283888</v>
      </c>
      <c r="T214" s="39">
        <f t="shared" si="334"/>
        <v>9.0165779948950697E-2</v>
      </c>
      <c r="U214" s="89">
        <f t="shared" si="360"/>
        <v>1.4781275401467328E-3</v>
      </c>
    </row>
    <row r="215" spans="1:21" ht="15.75" thickBot="1" x14ac:dyDescent="0.3">
      <c r="A215" s="41">
        <f t="shared" ref="A215:B215" si="452">A214+1</f>
        <v>205</v>
      </c>
      <c r="B215" s="42">
        <f t="shared" si="452"/>
        <v>205</v>
      </c>
      <c r="C215" s="92" t="str">
        <f t="shared" si="430"/>
        <v>L11X12-008_000_55</v>
      </c>
      <c r="D215" s="43">
        <f t="shared" si="341"/>
        <v>12</v>
      </c>
      <c r="E215" s="61">
        <f t="shared" si="321"/>
        <v>2.044</v>
      </c>
      <c r="F215" s="44">
        <f t="shared" si="348"/>
        <v>17.033333333333335</v>
      </c>
      <c r="G215" s="44">
        <f t="shared" si="349"/>
        <v>13.626666666666669</v>
      </c>
      <c r="H215" s="44">
        <f t="shared" si="350"/>
        <v>8.5166666666666675</v>
      </c>
      <c r="I215" s="44">
        <f t="shared" si="326"/>
        <v>8</v>
      </c>
      <c r="J215" s="45">
        <f t="shared" si="423"/>
        <v>8</v>
      </c>
      <c r="K215" s="87" t="s">
        <v>611</v>
      </c>
      <c r="L215" s="44">
        <f t="shared" ref="L215:N215" si="453">L214</f>
        <v>0.2</v>
      </c>
      <c r="M215" s="44">
        <f t="shared" si="453"/>
        <v>150</v>
      </c>
      <c r="N215" s="44">
        <f t="shared" si="453"/>
        <v>750</v>
      </c>
      <c r="P215" s="38">
        <f t="shared" si="328"/>
        <v>11</v>
      </c>
      <c r="Q215" s="38">
        <f t="shared" si="329"/>
        <v>13</v>
      </c>
      <c r="R215" s="39">
        <f t="shared" si="330"/>
        <v>0.81538426384388818</v>
      </c>
      <c r="S215" s="39">
        <f t="shared" si="331"/>
        <v>0.90555004379283888</v>
      </c>
      <c r="T215" s="39">
        <f t="shared" si="334"/>
        <v>9.0165779948950697E-2</v>
      </c>
      <c r="U215" s="89">
        <f t="shared" si="360"/>
        <v>1.4781275401467328E-3</v>
      </c>
    </row>
    <row r="216" spans="1:21" ht="15.75" thickBot="1" x14ac:dyDescent="0.3">
      <c r="A216" s="41">
        <f t="shared" ref="A216:B216" si="454">A215+1</f>
        <v>206</v>
      </c>
      <c r="B216" s="42">
        <f t="shared" si="454"/>
        <v>206</v>
      </c>
      <c r="C216" s="92" t="str">
        <f t="shared" si="430"/>
        <v>L11X12-008_000_56</v>
      </c>
      <c r="D216" s="43">
        <f t="shared" si="341"/>
        <v>12</v>
      </c>
      <c r="E216" s="61">
        <f t="shared" si="321"/>
        <v>2.044</v>
      </c>
      <c r="F216" s="44">
        <f t="shared" si="348"/>
        <v>17.033333333333335</v>
      </c>
      <c r="G216" s="44">
        <f t="shared" si="349"/>
        <v>13.626666666666669</v>
      </c>
      <c r="H216" s="44">
        <f t="shared" si="350"/>
        <v>8.5166666666666675</v>
      </c>
      <c r="I216" s="44">
        <f t="shared" si="326"/>
        <v>8</v>
      </c>
      <c r="J216" s="45">
        <f t="shared" si="423"/>
        <v>8</v>
      </c>
      <c r="K216" s="87" t="s">
        <v>612</v>
      </c>
      <c r="L216" s="44">
        <f t="shared" ref="L216:N216" si="455">L215</f>
        <v>0.2</v>
      </c>
      <c r="M216" s="44">
        <f t="shared" si="455"/>
        <v>150</v>
      </c>
      <c r="N216" s="44">
        <f t="shared" si="455"/>
        <v>750</v>
      </c>
      <c r="P216" s="38">
        <f t="shared" si="328"/>
        <v>11</v>
      </c>
      <c r="Q216" s="38">
        <f t="shared" si="329"/>
        <v>13</v>
      </c>
      <c r="R216" s="39">
        <f t="shared" si="330"/>
        <v>0.81538426384388818</v>
      </c>
      <c r="S216" s="39">
        <f t="shared" si="331"/>
        <v>0.90555004379283888</v>
      </c>
      <c r="T216" s="39">
        <f t="shared" si="334"/>
        <v>9.0165779948950697E-2</v>
      </c>
      <c r="U216" s="89">
        <f t="shared" si="360"/>
        <v>1.4781275401467328E-3</v>
      </c>
    </row>
    <row r="217" spans="1:21" ht="15.75" thickBot="1" x14ac:dyDescent="0.3">
      <c r="A217" s="41">
        <f t="shared" ref="A217:B217" si="456">A216+1</f>
        <v>207</v>
      </c>
      <c r="B217" s="42">
        <f t="shared" si="456"/>
        <v>207</v>
      </c>
      <c r="C217" s="92" t="str">
        <f t="shared" si="430"/>
        <v>L11X12-008_000_57</v>
      </c>
      <c r="D217" s="43">
        <f t="shared" si="341"/>
        <v>12</v>
      </c>
      <c r="E217" s="61">
        <f t="shared" si="321"/>
        <v>2.044</v>
      </c>
      <c r="F217" s="44">
        <f t="shared" si="348"/>
        <v>17.033333333333335</v>
      </c>
      <c r="G217" s="44">
        <f t="shared" si="349"/>
        <v>13.626666666666669</v>
      </c>
      <c r="H217" s="44">
        <f t="shared" si="350"/>
        <v>8.5166666666666675</v>
      </c>
      <c r="I217" s="44">
        <f t="shared" si="326"/>
        <v>8</v>
      </c>
      <c r="J217" s="45">
        <f t="shared" si="423"/>
        <v>8</v>
      </c>
      <c r="K217" s="87" t="s">
        <v>613</v>
      </c>
      <c r="L217" s="44">
        <f t="shared" ref="L217:N217" si="457">L216</f>
        <v>0.2</v>
      </c>
      <c r="M217" s="44">
        <f t="shared" si="457"/>
        <v>150</v>
      </c>
      <c r="N217" s="44">
        <f t="shared" si="457"/>
        <v>750</v>
      </c>
      <c r="P217" s="38">
        <f t="shared" si="328"/>
        <v>11</v>
      </c>
      <c r="Q217" s="38">
        <f t="shared" si="329"/>
        <v>13</v>
      </c>
      <c r="R217" s="39">
        <f t="shared" si="330"/>
        <v>0.81538426384388818</v>
      </c>
      <c r="S217" s="39">
        <f t="shared" si="331"/>
        <v>0.90555004379283888</v>
      </c>
      <c r="T217" s="39">
        <f t="shared" si="334"/>
        <v>9.0165779948950697E-2</v>
      </c>
      <c r="U217" s="89">
        <f t="shared" si="360"/>
        <v>1.4781275401467328E-3</v>
      </c>
    </row>
    <row r="218" spans="1:21" ht="15.75" thickBot="1" x14ac:dyDescent="0.3">
      <c r="A218" s="41">
        <f t="shared" ref="A218:B218" si="458">A217+1</f>
        <v>208</v>
      </c>
      <c r="B218" s="42">
        <f t="shared" si="458"/>
        <v>208</v>
      </c>
      <c r="C218" s="92" t="str">
        <f t="shared" si="430"/>
        <v>L11X12-008_000_58</v>
      </c>
      <c r="D218" s="43">
        <f t="shared" si="341"/>
        <v>12</v>
      </c>
      <c r="E218" s="61">
        <f t="shared" si="321"/>
        <v>2.044</v>
      </c>
      <c r="F218" s="44">
        <f t="shared" si="348"/>
        <v>17.033333333333335</v>
      </c>
      <c r="G218" s="44">
        <f t="shared" si="349"/>
        <v>13.626666666666669</v>
      </c>
      <c r="H218" s="44">
        <f t="shared" si="350"/>
        <v>8.5166666666666675</v>
      </c>
      <c r="I218" s="44">
        <f t="shared" si="326"/>
        <v>8</v>
      </c>
      <c r="J218" s="45">
        <f t="shared" si="423"/>
        <v>8</v>
      </c>
      <c r="K218" s="87" t="s">
        <v>614</v>
      </c>
      <c r="L218" s="44">
        <f t="shared" ref="L218:N218" si="459">L217</f>
        <v>0.2</v>
      </c>
      <c r="M218" s="44">
        <f t="shared" si="459"/>
        <v>150</v>
      </c>
      <c r="N218" s="44">
        <f t="shared" si="459"/>
        <v>750</v>
      </c>
      <c r="P218" s="38">
        <f t="shared" si="328"/>
        <v>11</v>
      </c>
      <c r="Q218" s="38">
        <f t="shared" si="329"/>
        <v>13</v>
      </c>
      <c r="R218" s="39">
        <f t="shared" si="330"/>
        <v>0.81538426384388818</v>
      </c>
      <c r="S218" s="39">
        <f t="shared" si="331"/>
        <v>0.90555004379283888</v>
      </c>
      <c r="T218" s="39">
        <f t="shared" si="334"/>
        <v>9.0165779948950697E-2</v>
      </c>
      <c r="U218" s="89">
        <f t="shared" si="360"/>
        <v>1.4781275401467328E-3</v>
      </c>
    </row>
    <row r="219" spans="1:21" ht="15.75" thickBot="1" x14ac:dyDescent="0.3">
      <c r="A219" s="41">
        <f t="shared" ref="A219:B219" si="460">A218+1</f>
        <v>209</v>
      </c>
      <c r="B219" s="42">
        <f t="shared" si="460"/>
        <v>209</v>
      </c>
      <c r="C219" s="92" t="str">
        <f t="shared" si="430"/>
        <v>L11X12-008_000_59</v>
      </c>
      <c r="D219" s="43">
        <f t="shared" si="341"/>
        <v>12</v>
      </c>
      <c r="E219" s="61">
        <f t="shared" si="321"/>
        <v>2.044</v>
      </c>
      <c r="F219" s="44">
        <f t="shared" si="348"/>
        <v>17.033333333333335</v>
      </c>
      <c r="G219" s="44">
        <f t="shared" si="349"/>
        <v>13.626666666666669</v>
      </c>
      <c r="H219" s="44">
        <f t="shared" si="350"/>
        <v>8.5166666666666675</v>
      </c>
      <c r="I219" s="44">
        <f t="shared" si="326"/>
        <v>8</v>
      </c>
      <c r="J219" s="45">
        <f t="shared" si="423"/>
        <v>8</v>
      </c>
      <c r="K219" s="87" t="s">
        <v>615</v>
      </c>
      <c r="L219" s="44">
        <f t="shared" ref="L219:N219" si="461">L218</f>
        <v>0.2</v>
      </c>
      <c r="M219" s="44">
        <f t="shared" si="461"/>
        <v>150</v>
      </c>
      <c r="N219" s="44">
        <f t="shared" si="461"/>
        <v>750</v>
      </c>
      <c r="P219" s="38">
        <f t="shared" si="328"/>
        <v>11</v>
      </c>
      <c r="Q219" s="38">
        <f t="shared" si="329"/>
        <v>13</v>
      </c>
      <c r="R219" s="39">
        <f t="shared" si="330"/>
        <v>0.81538426384388818</v>
      </c>
      <c r="S219" s="39">
        <f t="shared" si="331"/>
        <v>0.90555004379283888</v>
      </c>
      <c r="T219" s="39">
        <f t="shared" si="334"/>
        <v>9.0165779948950697E-2</v>
      </c>
      <c r="U219" s="89">
        <f t="shared" si="360"/>
        <v>1.4781275401467328E-3</v>
      </c>
    </row>
    <row r="220" spans="1:21" ht="15.75" thickBot="1" x14ac:dyDescent="0.3">
      <c r="A220" s="41">
        <f t="shared" ref="A220:B220" si="462">A219+1</f>
        <v>210</v>
      </c>
      <c r="B220" s="42">
        <f t="shared" si="462"/>
        <v>210</v>
      </c>
      <c r="C220" s="92" t="str">
        <f t="shared" si="430"/>
        <v>L11X12-008_000_60</v>
      </c>
      <c r="D220" s="43">
        <f t="shared" si="341"/>
        <v>12</v>
      </c>
      <c r="E220" s="61">
        <f t="shared" si="321"/>
        <v>2.044</v>
      </c>
      <c r="F220" s="44">
        <f t="shared" si="348"/>
        <v>17.033333333333335</v>
      </c>
      <c r="G220" s="44">
        <f t="shared" si="349"/>
        <v>13.626666666666669</v>
      </c>
      <c r="H220" s="44">
        <f t="shared" si="350"/>
        <v>8.5166666666666675</v>
      </c>
      <c r="I220" s="44">
        <f t="shared" si="326"/>
        <v>8</v>
      </c>
      <c r="J220" s="45">
        <f t="shared" si="423"/>
        <v>8</v>
      </c>
      <c r="K220" s="87" t="s">
        <v>616</v>
      </c>
      <c r="L220" s="44">
        <f t="shared" ref="L220:N220" si="463">L219</f>
        <v>0.2</v>
      </c>
      <c r="M220" s="44">
        <f t="shared" si="463"/>
        <v>150</v>
      </c>
      <c r="N220" s="44">
        <f t="shared" si="463"/>
        <v>750</v>
      </c>
      <c r="P220" s="38">
        <f t="shared" si="328"/>
        <v>11</v>
      </c>
      <c r="Q220" s="38">
        <f t="shared" si="329"/>
        <v>13</v>
      </c>
      <c r="R220" s="39">
        <f t="shared" si="330"/>
        <v>0.81538426384388818</v>
      </c>
      <c r="S220" s="39">
        <f t="shared" si="331"/>
        <v>0.90555004379283888</v>
      </c>
      <c r="T220" s="39">
        <f t="shared" si="334"/>
        <v>9.0165779948950697E-2</v>
      </c>
      <c r="U220" s="89">
        <f t="shared" si="360"/>
        <v>1.4781275401467328E-3</v>
      </c>
    </row>
    <row r="221" spans="1:21" ht="15.75" thickBot="1" x14ac:dyDescent="0.3">
      <c r="A221" s="41">
        <f t="shared" ref="A221:B221" si="464">A220+1</f>
        <v>211</v>
      </c>
      <c r="B221" s="42">
        <f t="shared" si="464"/>
        <v>211</v>
      </c>
      <c r="C221" s="92" t="str">
        <f t="shared" si="430"/>
        <v>L11X14-352_000_01</v>
      </c>
      <c r="D221" s="43">
        <f>D215+v_step</f>
        <v>14</v>
      </c>
      <c r="E221" s="61">
        <f t="shared" ref="E221:E284" si="465">I_ref*(0.75*D221+5.6)</f>
        <v>2.2540000000000004</v>
      </c>
      <c r="F221" s="44">
        <f t="shared" si="348"/>
        <v>16.100000000000001</v>
      </c>
      <c r="G221" s="44">
        <f t="shared" si="349"/>
        <v>12.880000000000003</v>
      </c>
      <c r="H221" s="44">
        <f t="shared" si="350"/>
        <v>8.0500000000000007</v>
      </c>
      <c r="I221" s="44">
        <f t="shared" si="326"/>
        <v>8</v>
      </c>
      <c r="J221" s="45">
        <f t="shared" ref="J221:J240" si="466">yaw_min</f>
        <v>-8</v>
      </c>
      <c r="K221" s="87" t="s">
        <v>648</v>
      </c>
      <c r="L221" s="44">
        <f t="shared" ref="L221:N221" si="467">L220</f>
        <v>0.2</v>
      </c>
      <c r="M221" s="44">
        <f t="shared" si="467"/>
        <v>150</v>
      </c>
      <c r="N221" s="44">
        <f t="shared" si="467"/>
        <v>750</v>
      </c>
      <c r="P221" s="38">
        <f t="shared" si="328"/>
        <v>13</v>
      </c>
      <c r="Q221" s="38">
        <f t="shared" si="329"/>
        <v>15</v>
      </c>
      <c r="R221" s="39">
        <f t="shared" si="330"/>
        <v>0.90555004379283888</v>
      </c>
      <c r="S221" s="39">
        <f t="shared" si="331"/>
        <v>0.9567860817362277</v>
      </c>
      <c r="T221" s="39">
        <f t="shared" si="334"/>
        <v>5.1236037943388824E-2</v>
      </c>
      <c r="U221" s="89">
        <f t="shared" si="360"/>
        <v>8.3993504825227575E-4</v>
      </c>
    </row>
    <row r="222" spans="1:21" ht="15.75" thickBot="1" x14ac:dyDescent="0.3">
      <c r="A222" s="41">
        <f t="shared" ref="A222:B222" si="468">A221+1</f>
        <v>212</v>
      </c>
      <c r="B222" s="42">
        <f t="shared" si="468"/>
        <v>212</v>
      </c>
      <c r="C222" s="92" t="str">
        <f t="shared" si="430"/>
        <v>L11X14-352_000_02</v>
      </c>
      <c r="D222" s="43">
        <f>D221</f>
        <v>14</v>
      </c>
      <c r="E222" s="61">
        <f t="shared" si="465"/>
        <v>2.2540000000000004</v>
      </c>
      <c r="F222" s="44">
        <f t="shared" si="348"/>
        <v>16.100000000000001</v>
      </c>
      <c r="G222" s="44">
        <f t="shared" si="349"/>
        <v>12.880000000000003</v>
      </c>
      <c r="H222" s="44">
        <f t="shared" si="350"/>
        <v>8.0500000000000007</v>
      </c>
      <c r="I222" s="44">
        <f t="shared" si="326"/>
        <v>8</v>
      </c>
      <c r="J222" s="45">
        <f t="shared" si="466"/>
        <v>-8</v>
      </c>
      <c r="K222" s="87" t="s">
        <v>649</v>
      </c>
      <c r="L222" s="44">
        <f t="shared" ref="L222:N222" si="469">L221</f>
        <v>0.2</v>
      </c>
      <c r="M222" s="44">
        <f t="shared" si="469"/>
        <v>150</v>
      </c>
      <c r="N222" s="44">
        <f t="shared" si="469"/>
        <v>750</v>
      </c>
      <c r="P222" s="38">
        <f t="shared" si="328"/>
        <v>13</v>
      </c>
      <c r="Q222" s="38">
        <f t="shared" si="329"/>
        <v>15</v>
      </c>
      <c r="R222" s="39">
        <f t="shared" si="330"/>
        <v>0.90555004379283888</v>
      </c>
      <c r="S222" s="39">
        <f t="shared" si="331"/>
        <v>0.9567860817362277</v>
      </c>
      <c r="T222" s="39">
        <f t="shared" si="334"/>
        <v>5.1236037943388824E-2</v>
      </c>
      <c r="U222" s="89">
        <f t="shared" si="360"/>
        <v>8.3993504825227575E-4</v>
      </c>
    </row>
    <row r="223" spans="1:21" ht="15.75" thickBot="1" x14ac:dyDescent="0.3">
      <c r="A223" s="41">
        <f t="shared" ref="A223:B223" si="470">A222+1</f>
        <v>213</v>
      </c>
      <c r="B223" s="42">
        <f t="shared" si="470"/>
        <v>213</v>
      </c>
      <c r="C223" s="92" t="str">
        <f t="shared" si="430"/>
        <v>L11X14-352_000_03</v>
      </c>
      <c r="D223" s="43">
        <f t="shared" ref="D223:D280" si="471">D222</f>
        <v>14</v>
      </c>
      <c r="E223" s="61">
        <f t="shared" si="465"/>
        <v>2.2540000000000004</v>
      </c>
      <c r="F223" s="44">
        <f t="shared" si="348"/>
        <v>16.100000000000001</v>
      </c>
      <c r="G223" s="44">
        <f t="shared" si="349"/>
        <v>12.880000000000003</v>
      </c>
      <c r="H223" s="44">
        <f t="shared" si="350"/>
        <v>8.0500000000000007</v>
      </c>
      <c r="I223" s="44">
        <f t="shared" ref="I223:I286" si="472">I222</f>
        <v>8</v>
      </c>
      <c r="J223" s="45">
        <f t="shared" si="466"/>
        <v>-8</v>
      </c>
      <c r="K223" s="87" t="s">
        <v>650</v>
      </c>
      <c r="L223" s="44">
        <f t="shared" ref="L223:N223" si="473">L222</f>
        <v>0.2</v>
      </c>
      <c r="M223" s="44">
        <f t="shared" si="473"/>
        <v>150</v>
      </c>
      <c r="N223" s="44">
        <f t="shared" si="473"/>
        <v>750</v>
      </c>
      <c r="P223" s="38">
        <f t="shared" ref="P223:P286" si="474">D223-v_step/2</f>
        <v>13</v>
      </c>
      <c r="Q223" s="38">
        <f t="shared" ref="Q223:Q286" si="475">P223+v_step</f>
        <v>15</v>
      </c>
      <c r="R223" s="39">
        <f t="shared" ref="R223:R286" si="476">IF(wpd="Rayleigh",1-EXP(-PI()*((P223/2/v_ave)^2)),IF(wpd="Weibull",1-EXP(-((P223/weibull_A)^weibull_K))))</f>
        <v>0.90555004379283888</v>
      </c>
      <c r="S223" s="39">
        <f t="shared" ref="S223:S286" si="477">IF(wpd="Rayleigh",1-EXP(-PI()*((Q223/2/v_ave)^2)),IF(wpd="Weibull",1-EXP(-((Q223/weibull_A)^weibull_K))))</f>
        <v>0.9567860817362277</v>
      </c>
      <c r="T223" s="39">
        <f t="shared" si="334"/>
        <v>5.1236037943388824E-2</v>
      </c>
      <c r="U223" s="89">
        <f t="shared" si="360"/>
        <v>8.3993504825227575E-4</v>
      </c>
    </row>
    <row r="224" spans="1:21" ht="15.75" thickBot="1" x14ac:dyDescent="0.3">
      <c r="A224" s="41">
        <f t="shared" ref="A224:B224" si="478">A223+1</f>
        <v>214</v>
      </c>
      <c r="B224" s="42">
        <f t="shared" si="478"/>
        <v>214</v>
      </c>
      <c r="C224" s="92" t="str">
        <f t="shared" si="430"/>
        <v>L11X14-352_000_04</v>
      </c>
      <c r="D224" s="43">
        <f t="shared" si="471"/>
        <v>14</v>
      </c>
      <c r="E224" s="61">
        <f t="shared" si="465"/>
        <v>2.2540000000000004</v>
      </c>
      <c r="F224" s="44">
        <f t="shared" si="348"/>
        <v>16.100000000000001</v>
      </c>
      <c r="G224" s="44">
        <f t="shared" si="349"/>
        <v>12.880000000000003</v>
      </c>
      <c r="H224" s="44">
        <f t="shared" si="350"/>
        <v>8.0500000000000007</v>
      </c>
      <c r="I224" s="44">
        <f t="shared" si="472"/>
        <v>8</v>
      </c>
      <c r="J224" s="45">
        <f t="shared" si="466"/>
        <v>-8</v>
      </c>
      <c r="K224" s="87" t="s">
        <v>651</v>
      </c>
      <c r="L224" s="44">
        <f t="shared" ref="L224:N224" si="479">L223</f>
        <v>0.2</v>
      </c>
      <c r="M224" s="44">
        <f t="shared" si="479"/>
        <v>150</v>
      </c>
      <c r="N224" s="44">
        <f t="shared" si="479"/>
        <v>750</v>
      </c>
      <c r="P224" s="38">
        <f t="shared" si="474"/>
        <v>13</v>
      </c>
      <c r="Q224" s="38">
        <f t="shared" si="475"/>
        <v>15</v>
      </c>
      <c r="R224" s="39">
        <f t="shared" si="476"/>
        <v>0.90555004379283888</v>
      </c>
      <c r="S224" s="39">
        <f t="shared" si="477"/>
        <v>0.9567860817362277</v>
      </c>
      <c r="T224" s="39">
        <f t="shared" ref="T224:T287" si="480">S224-R224</f>
        <v>5.1236037943388824E-2</v>
      </c>
      <c r="U224" s="89">
        <f t="shared" si="360"/>
        <v>8.3993504825227575E-4</v>
      </c>
    </row>
    <row r="225" spans="1:21" ht="15.75" thickBot="1" x14ac:dyDescent="0.3">
      <c r="A225" s="41">
        <f t="shared" ref="A225:B225" si="481">A224+1</f>
        <v>215</v>
      </c>
      <c r="B225" s="42">
        <f t="shared" si="481"/>
        <v>215</v>
      </c>
      <c r="C225" s="92" t="str">
        <f t="shared" si="430"/>
        <v>L11X14-352_000_05</v>
      </c>
      <c r="D225" s="43">
        <f t="shared" si="471"/>
        <v>14</v>
      </c>
      <c r="E225" s="61">
        <f t="shared" si="465"/>
        <v>2.2540000000000004</v>
      </c>
      <c r="F225" s="44">
        <f t="shared" si="348"/>
        <v>16.100000000000001</v>
      </c>
      <c r="G225" s="44">
        <f t="shared" si="349"/>
        <v>12.880000000000003</v>
      </c>
      <c r="H225" s="44">
        <f t="shared" si="350"/>
        <v>8.0500000000000007</v>
      </c>
      <c r="I225" s="44">
        <f t="shared" si="472"/>
        <v>8</v>
      </c>
      <c r="J225" s="45">
        <f t="shared" si="466"/>
        <v>-8</v>
      </c>
      <c r="K225" s="87" t="s">
        <v>652</v>
      </c>
      <c r="L225" s="44">
        <f t="shared" ref="L225:N225" si="482">L224</f>
        <v>0.2</v>
      </c>
      <c r="M225" s="44">
        <f t="shared" si="482"/>
        <v>150</v>
      </c>
      <c r="N225" s="44">
        <f t="shared" si="482"/>
        <v>750</v>
      </c>
      <c r="P225" s="38">
        <f t="shared" si="474"/>
        <v>13</v>
      </c>
      <c r="Q225" s="38">
        <f t="shared" si="475"/>
        <v>15</v>
      </c>
      <c r="R225" s="39">
        <f t="shared" si="476"/>
        <v>0.90555004379283888</v>
      </c>
      <c r="S225" s="39">
        <f t="shared" si="477"/>
        <v>0.9567860817362277</v>
      </c>
      <c r="T225" s="39">
        <f t="shared" si="480"/>
        <v>5.1236037943388824E-2</v>
      </c>
      <c r="U225" s="89">
        <f t="shared" si="360"/>
        <v>8.3993504825227575E-4</v>
      </c>
    </row>
    <row r="226" spans="1:21" ht="15.75" thickBot="1" x14ac:dyDescent="0.3">
      <c r="A226" s="41">
        <f t="shared" ref="A226:B226" si="483">A225+1</f>
        <v>216</v>
      </c>
      <c r="B226" s="42">
        <f t="shared" si="483"/>
        <v>216</v>
      </c>
      <c r="C226" s="92" t="str">
        <f t="shared" si="430"/>
        <v>L11X14-352_000_06</v>
      </c>
      <c r="D226" s="43">
        <f t="shared" si="471"/>
        <v>14</v>
      </c>
      <c r="E226" s="61">
        <f t="shared" si="465"/>
        <v>2.2540000000000004</v>
      </c>
      <c r="F226" s="44">
        <f t="shared" ref="F226:F285" si="484">E226/D226*100</f>
        <v>16.100000000000001</v>
      </c>
      <c r="G226" s="44">
        <f t="shared" ref="G226:G285" si="485">m_ty*F226</f>
        <v>12.880000000000003</v>
      </c>
      <c r="H226" s="44">
        <f t="shared" ref="H226:H285" si="486">m_tz*F226</f>
        <v>8.0500000000000007</v>
      </c>
      <c r="I226" s="44">
        <f t="shared" si="472"/>
        <v>8</v>
      </c>
      <c r="J226" s="45">
        <f t="shared" si="466"/>
        <v>-8</v>
      </c>
      <c r="K226" s="87" t="s">
        <v>653</v>
      </c>
      <c r="L226" s="44">
        <f t="shared" ref="L226:N226" si="487">L225</f>
        <v>0.2</v>
      </c>
      <c r="M226" s="44">
        <f t="shared" si="487"/>
        <v>150</v>
      </c>
      <c r="N226" s="44">
        <f t="shared" si="487"/>
        <v>750</v>
      </c>
      <c r="P226" s="38">
        <f t="shared" si="474"/>
        <v>13</v>
      </c>
      <c r="Q226" s="38">
        <f t="shared" si="475"/>
        <v>15</v>
      </c>
      <c r="R226" s="39">
        <f t="shared" si="476"/>
        <v>0.90555004379283888</v>
      </c>
      <c r="S226" s="39">
        <f t="shared" si="477"/>
        <v>0.9567860817362277</v>
      </c>
      <c r="T226" s="39">
        <f t="shared" si="480"/>
        <v>5.1236037943388824E-2</v>
      </c>
      <c r="U226" s="89">
        <f t="shared" si="360"/>
        <v>8.3993504825227575E-4</v>
      </c>
    </row>
    <row r="227" spans="1:21" ht="15.75" thickBot="1" x14ac:dyDescent="0.3">
      <c r="A227" s="41">
        <f t="shared" ref="A227:B227" si="488">A226+1</f>
        <v>217</v>
      </c>
      <c r="B227" s="42">
        <f t="shared" si="488"/>
        <v>217</v>
      </c>
      <c r="C227" s="92" t="str">
        <f t="shared" si="430"/>
        <v>L11X14-352_000_07</v>
      </c>
      <c r="D227" s="43">
        <f t="shared" si="471"/>
        <v>14</v>
      </c>
      <c r="E227" s="61">
        <f t="shared" si="465"/>
        <v>2.2540000000000004</v>
      </c>
      <c r="F227" s="44">
        <f t="shared" si="484"/>
        <v>16.100000000000001</v>
      </c>
      <c r="G227" s="44">
        <f t="shared" si="485"/>
        <v>12.880000000000003</v>
      </c>
      <c r="H227" s="44">
        <f t="shared" si="486"/>
        <v>8.0500000000000007</v>
      </c>
      <c r="I227" s="44">
        <f t="shared" si="472"/>
        <v>8</v>
      </c>
      <c r="J227" s="45">
        <f t="shared" si="466"/>
        <v>-8</v>
      </c>
      <c r="K227" s="87" t="s">
        <v>654</v>
      </c>
      <c r="L227" s="44">
        <f t="shared" ref="L227:N227" si="489">L226</f>
        <v>0.2</v>
      </c>
      <c r="M227" s="44">
        <f t="shared" si="489"/>
        <v>150</v>
      </c>
      <c r="N227" s="44">
        <f t="shared" si="489"/>
        <v>750</v>
      </c>
      <c r="P227" s="38">
        <f t="shared" si="474"/>
        <v>13</v>
      </c>
      <c r="Q227" s="38">
        <f t="shared" si="475"/>
        <v>15</v>
      </c>
      <c r="R227" s="39">
        <f t="shared" si="476"/>
        <v>0.90555004379283888</v>
      </c>
      <c r="S227" s="39">
        <f t="shared" si="477"/>
        <v>0.9567860817362277</v>
      </c>
      <c r="T227" s="39">
        <f t="shared" si="480"/>
        <v>5.1236037943388824E-2</v>
      </c>
      <c r="U227" s="89">
        <f t="shared" si="360"/>
        <v>8.3993504825227575E-4</v>
      </c>
    </row>
    <row r="228" spans="1:21" ht="15.75" thickBot="1" x14ac:dyDescent="0.3">
      <c r="A228" s="41">
        <f t="shared" ref="A228:B228" si="490">A227+1</f>
        <v>218</v>
      </c>
      <c r="B228" s="42">
        <f t="shared" si="490"/>
        <v>218</v>
      </c>
      <c r="C228" s="92" t="str">
        <f t="shared" si="430"/>
        <v>L11X14-352_000_08</v>
      </c>
      <c r="D228" s="43">
        <f t="shared" si="471"/>
        <v>14</v>
      </c>
      <c r="E228" s="61">
        <f t="shared" si="465"/>
        <v>2.2540000000000004</v>
      </c>
      <c r="F228" s="44">
        <f t="shared" si="484"/>
        <v>16.100000000000001</v>
      </c>
      <c r="G228" s="44">
        <f t="shared" si="485"/>
        <v>12.880000000000003</v>
      </c>
      <c r="H228" s="44">
        <f t="shared" si="486"/>
        <v>8.0500000000000007</v>
      </c>
      <c r="I228" s="44">
        <f t="shared" si="472"/>
        <v>8</v>
      </c>
      <c r="J228" s="45">
        <f t="shared" si="466"/>
        <v>-8</v>
      </c>
      <c r="K228" s="87" t="s">
        <v>655</v>
      </c>
      <c r="L228" s="44">
        <f t="shared" ref="L228:N228" si="491">L227</f>
        <v>0.2</v>
      </c>
      <c r="M228" s="44">
        <f t="shared" si="491"/>
        <v>150</v>
      </c>
      <c r="N228" s="44">
        <f t="shared" si="491"/>
        <v>750</v>
      </c>
      <c r="P228" s="38">
        <f t="shared" si="474"/>
        <v>13</v>
      </c>
      <c r="Q228" s="38">
        <f t="shared" si="475"/>
        <v>15</v>
      </c>
      <c r="R228" s="39">
        <f t="shared" si="476"/>
        <v>0.90555004379283888</v>
      </c>
      <c r="S228" s="39">
        <f t="shared" si="477"/>
        <v>0.9567860817362277</v>
      </c>
      <c r="T228" s="39">
        <f t="shared" si="480"/>
        <v>5.1236037943388824E-2</v>
      </c>
      <c r="U228" s="89">
        <f t="shared" si="360"/>
        <v>8.3993504825227575E-4</v>
      </c>
    </row>
    <row r="229" spans="1:21" ht="15.75" thickBot="1" x14ac:dyDescent="0.3">
      <c r="A229" s="41">
        <f t="shared" ref="A229:B229" si="492">A228+1</f>
        <v>219</v>
      </c>
      <c r="B229" s="42">
        <f t="shared" si="492"/>
        <v>219</v>
      </c>
      <c r="C229" s="92" t="str">
        <f t="shared" si="430"/>
        <v>L11X14-352_000_09</v>
      </c>
      <c r="D229" s="43">
        <f t="shared" si="471"/>
        <v>14</v>
      </c>
      <c r="E229" s="61">
        <f t="shared" si="465"/>
        <v>2.2540000000000004</v>
      </c>
      <c r="F229" s="44">
        <f t="shared" si="484"/>
        <v>16.100000000000001</v>
      </c>
      <c r="G229" s="44">
        <f t="shared" si="485"/>
        <v>12.880000000000003</v>
      </c>
      <c r="H229" s="44">
        <f t="shared" si="486"/>
        <v>8.0500000000000007</v>
      </c>
      <c r="I229" s="44">
        <f t="shared" si="472"/>
        <v>8</v>
      </c>
      <c r="J229" s="45">
        <f t="shared" si="466"/>
        <v>-8</v>
      </c>
      <c r="K229" s="87" t="s">
        <v>656</v>
      </c>
      <c r="L229" s="44">
        <f t="shared" ref="L229:N229" si="493">L228</f>
        <v>0.2</v>
      </c>
      <c r="M229" s="44">
        <f t="shared" si="493"/>
        <v>150</v>
      </c>
      <c r="N229" s="44">
        <f t="shared" si="493"/>
        <v>750</v>
      </c>
      <c r="P229" s="38">
        <f t="shared" si="474"/>
        <v>13</v>
      </c>
      <c r="Q229" s="38">
        <f t="shared" si="475"/>
        <v>15</v>
      </c>
      <c r="R229" s="39">
        <f t="shared" si="476"/>
        <v>0.90555004379283888</v>
      </c>
      <c r="S229" s="39">
        <f t="shared" si="477"/>
        <v>0.9567860817362277</v>
      </c>
      <c r="T229" s="39">
        <f t="shared" si="480"/>
        <v>5.1236037943388824E-2</v>
      </c>
      <c r="U229" s="89">
        <f t="shared" si="360"/>
        <v>8.3993504825227575E-4</v>
      </c>
    </row>
    <row r="230" spans="1:21" ht="15.75" thickBot="1" x14ac:dyDescent="0.3">
      <c r="A230" s="41">
        <f t="shared" ref="A230:B230" si="494">A229+1</f>
        <v>220</v>
      </c>
      <c r="B230" s="42">
        <f t="shared" si="494"/>
        <v>220</v>
      </c>
      <c r="C230" s="92" t="str">
        <f t="shared" si="430"/>
        <v>L11X14-352_000_10</v>
      </c>
      <c r="D230" s="43">
        <f t="shared" si="471"/>
        <v>14</v>
      </c>
      <c r="E230" s="61">
        <f t="shared" si="465"/>
        <v>2.2540000000000004</v>
      </c>
      <c r="F230" s="44">
        <f t="shared" si="484"/>
        <v>16.100000000000001</v>
      </c>
      <c r="G230" s="44">
        <f t="shared" si="485"/>
        <v>12.880000000000003</v>
      </c>
      <c r="H230" s="44">
        <f t="shared" si="486"/>
        <v>8.0500000000000007</v>
      </c>
      <c r="I230" s="44">
        <f t="shared" si="472"/>
        <v>8</v>
      </c>
      <c r="J230" s="45">
        <f t="shared" si="466"/>
        <v>-8</v>
      </c>
      <c r="K230" s="87" t="s">
        <v>657</v>
      </c>
      <c r="L230" s="44">
        <f t="shared" ref="L230:N230" si="495">L229</f>
        <v>0.2</v>
      </c>
      <c r="M230" s="44">
        <f t="shared" si="495"/>
        <v>150</v>
      </c>
      <c r="N230" s="44">
        <f t="shared" si="495"/>
        <v>750</v>
      </c>
      <c r="P230" s="38">
        <f t="shared" si="474"/>
        <v>13</v>
      </c>
      <c r="Q230" s="38">
        <f t="shared" si="475"/>
        <v>15</v>
      </c>
      <c r="R230" s="39">
        <f t="shared" si="476"/>
        <v>0.90555004379283888</v>
      </c>
      <c r="S230" s="39">
        <f t="shared" si="477"/>
        <v>0.9567860817362277</v>
      </c>
      <c r="T230" s="39">
        <f t="shared" si="480"/>
        <v>5.1236037943388824E-2</v>
      </c>
      <c r="U230" s="89">
        <f t="shared" si="360"/>
        <v>8.3993504825227575E-4</v>
      </c>
    </row>
    <row r="231" spans="1:21" ht="15.75" thickBot="1" x14ac:dyDescent="0.3">
      <c r="A231" s="41">
        <f t="shared" ref="A231:B231" si="496">A230+1</f>
        <v>221</v>
      </c>
      <c r="B231" s="42">
        <f t="shared" si="496"/>
        <v>221</v>
      </c>
      <c r="C231" s="92" t="str">
        <f t="shared" si="430"/>
        <v>L11X14-352_000_11</v>
      </c>
      <c r="D231" s="43">
        <f t="shared" si="471"/>
        <v>14</v>
      </c>
      <c r="E231" s="61">
        <f t="shared" si="465"/>
        <v>2.2540000000000004</v>
      </c>
      <c r="F231" s="44">
        <f t="shared" si="484"/>
        <v>16.100000000000001</v>
      </c>
      <c r="G231" s="44">
        <f t="shared" si="485"/>
        <v>12.880000000000003</v>
      </c>
      <c r="H231" s="44">
        <f t="shared" si="486"/>
        <v>8.0500000000000007</v>
      </c>
      <c r="I231" s="44">
        <f t="shared" si="472"/>
        <v>8</v>
      </c>
      <c r="J231" s="45">
        <f t="shared" si="466"/>
        <v>-8</v>
      </c>
      <c r="K231" s="87" t="s">
        <v>658</v>
      </c>
      <c r="L231" s="44">
        <f t="shared" ref="L231:N231" si="497">L230</f>
        <v>0.2</v>
      </c>
      <c r="M231" s="44">
        <f t="shared" si="497"/>
        <v>150</v>
      </c>
      <c r="N231" s="44">
        <f t="shared" si="497"/>
        <v>750</v>
      </c>
      <c r="P231" s="38">
        <f t="shared" si="474"/>
        <v>13</v>
      </c>
      <c r="Q231" s="38">
        <f t="shared" si="475"/>
        <v>15</v>
      </c>
      <c r="R231" s="39">
        <f t="shared" si="476"/>
        <v>0.90555004379283888</v>
      </c>
      <c r="S231" s="39">
        <f t="shared" si="477"/>
        <v>0.9567860817362277</v>
      </c>
      <c r="T231" s="39">
        <f t="shared" si="480"/>
        <v>5.1236037943388824E-2</v>
      </c>
      <c r="U231" s="89">
        <f t="shared" si="360"/>
        <v>8.3993504825227575E-4</v>
      </c>
    </row>
    <row r="232" spans="1:21" ht="15.75" thickBot="1" x14ac:dyDescent="0.3">
      <c r="A232" s="41">
        <f t="shared" ref="A232:B232" si="498">A231+1</f>
        <v>222</v>
      </c>
      <c r="B232" s="42">
        <f t="shared" si="498"/>
        <v>222</v>
      </c>
      <c r="C232" s="92" t="str">
        <f t="shared" si="430"/>
        <v>L11X14-352_000_12</v>
      </c>
      <c r="D232" s="43">
        <f t="shared" si="471"/>
        <v>14</v>
      </c>
      <c r="E232" s="61">
        <f t="shared" si="465"/>
        <v>2.2540000000000004</v>
      </c>
      <c r="F232" s="44">
        <f t="shared" si="484"/>
        <v>16.100000000000001</v>
      </c>
      <c r="G232" s="44">
        <f t="shared" si="485"/>
        <v>12.880000000000003</v>
      </c>
      <c r="H232" s="44">
        <f t="shared" si="486"/>
        <v>8.0500000000000007</v>
      </c>
      <c r="I232" s="44">
        <f t="shared" si="472"/>
        <v>8</v>
      </c>
      <c r="J232" s="45">
        <f t="shared" si="466"/>
        <v>-8</v>
      </c>
      <c r="K232" s="87" t="s">
        <v>659</v>
      </c>
      <c r="L232" s="44">
        <f t="shared" ref="L232:N232" si="499">L231</f>
        <v>0.2</v>
      </c>
      <c r="M232" s="44">
        <f t="shared" si="499"/>
        <v>150</v>
      </c>
      <c r="N232" s="44">
        <f t="shared" si="499"/>
        <v>750</v>
      </c>
      <c r="P232" s="38">
        <f t="shared" si="474"/>
        <v>13</v>
      </c>
      <c r="Q232" s="38">
        <f t="shared" si="475"/>
        <v>15</v>
      </c>
      <c r="R232" s="39">
        <f t="shared" si="476"/>
        <v>0.90555004379283888</v>
      </c>
      <c r="S232" s="39">
        <f t="shared" si="477"/>
        <v>0.9567860817362277</v>
      </c>
      <c r="T232" s="39">
        <f t="shared" si="480"/>
        <v>5.1236037943388824E-2</v>
      </c>
      <c r="U232" s="89">
        <f t="shared" si="360"/>
        <v>8.3993504825227575E-4</v>
      </c>
    </row>
    <row r="233" spans="1:21" ht="15.75" thickBot="1" x14ac:dyDescent="0.3">
      <c r="A233" s="41">
        <f t="shared" ref="A233:B233" si="500">A232+1</f>
        <v>223</v>
      </c>
      <c r="B233" s="42">
        <f t="shared" si="500"/>
        <v>223</v>
      </c>
      <c r="C233" s="92" t="str">
        <f t="shared" si="430"/>
        <v>L11X14-352_000_13</v>
      </c>
      <c r="D233" s="43">
        <f t="shared" si="471"/>
        <v>14</v>
      </c>
      <c r="E233" s="61">
        <f t="shared" si="465"/>
        <v>2.2540000000000004</v>
      </c>
      <c r="F233" s="44">
        <f t="shared" si="484"/>
        <v>16.100000000000001</v>
      </c>
      <c r="G233" s="44">
        <f t="shared" si="485"/>
        <v>12.880000000000003</v>
      </c>
      <c r="H233" s="44">
        <f t="shared" si="486"/>
        <v>8.0500000000000007</v>
      </c>
      <c r="I233" s="44">
        <f t="shared" si="472"/>
        <v>8</v>
      </c>
      <c r="J233" s="45">
        <f t="shared" si="466"/>
        <v>-8</v>
      </c>
      <c r="K233" s="87" t="s">
        <v>660</v>
      </c>
      <c r="L233" s="44">
        <f t="shared" ref="L233:N233" si="501">L232</f>
        <v>0.2</v>
      </c>
      <c r="M233" s="44">
        <f t="shared" si="501"/>
        <v>150</v>
      </c>
      <c r="N233" s="44">
        <f t="shared" si="501"/>
        <v>750</v>
      </c>
      <c r="P233" s="38">
        <f t="shared" si="474"/>
        <v>13</v>
      </c>
      <c r="Q233" s="38">
        <f t="shared" si="475"/>
        <v>15</v>
      </c>
      <c r="R233" s="39">
        <f t="shared" si="476"/>
        <v>0.90555004379283888</v>
      </c>
      <c r="S233" s="39">
        <f t="shared" si="477"/>
        <v>0.9567860817362277</v>
      </c>
      <c r="T233" s="39">
        <f t="shared" si="480"/>
        <v>5.1236037943388824E-2</v>
      </c>
      <c r="U233" s="89">
        <f t="shared" si="360"/>
        <v>8.3993504825227575E-4</v>
      </c>
    </row>
    <row r="234" spans="1:21" ht="15.75" thickBot="1" x14ac:dyDescent="0.3">
      <c r="A234" s="41">
        <f t="shared" ref="A234:B234" si="502">A233+1</f>
        <v>224</v>
      </c>
      <c r="B234" s="42">
        <f t="shared" si="502"/>
        <v>224</v>
      </c>
      <c r="C234" s="92" t="str">
        <f t="shared" si="430"/>
        <v>L11X14-352_000_14</v>
      </c>
      <c r="D234" s="43">
        <f t="shared" si="471"/>
        <v>14</v>
      </c>
      <c r="E234" s="61">
        <f t="shared" si="465"/>
        <v>2.2540000000000004</v>
      </c>
      <c r="F234" s="44">
        <f t="shared" si="484"/>
        <v>16.100000000000001</v>
      </c>
      <c r="G234" s="44">
        <f t="shared" si="485"/>
        <v>12.880000000000003</v>
      </c>
      <c r="H234" s="44">
        <f t="shared" si="486"/>
        <v>8.0500000000000007</v>
      </c>
      <c r="I234" s="44">
        <f t="shared" si="472"/>
        <v>8</v>
      </c>
      <c r="J234" s="45">
        <f t="shared" si="466"/>
        <v>-8</v>
      </c>
      <c r="K234" s="87" t="s">
        <v>661</v>
      </c>
      <c r="L234" s="44">
        <f t="shared" ref="L234:N234" si="503">L233</f>
        <v>0.2</v>
      </c>
      <c r="M234" s="44">
        <f t="shared" si="503"/>
        <v>150</v>
      </c>
      <c r="N234" s="44">
        <f t="shared" si="503"/>
        <v>750</v>
      </c>
      <c r="P234" s="38">
        <f t="shared" si="474"/>
        <v>13</v>
      </c>
      <c r="Q234" s="38">
        <f t="shared" si="475"/>
        <v>15</v>
      </c>
      <c r="R234" s="39">
        <f t="shared" si="476"/>
        <v>0.90555004379283888</v>
      </c>
      <c r="S234" s="39">
        <f t="shared" si="477"/>
        <v>0.9567860817362277</v>
      </c>
      <c r="T234" s="39">
        <f t="shared" si="480"/>
        <v>5.1236037943388824E-2</v>
      </c>
      <c r="U234" s="89">
        <f t="shared" ref="U234:U297" si="504">T234/61</f>
        <v>8.3993504825227575E-4</v>
      </c>
    </row>
    <row r="235" spans="1:21" ht="15.75" thickBot="1" x14ac:dyDescent="0.3">
      <c r="A235" s="41">
        <f t="shared" ref="A235:B235" si="505">A234+1</f>
        <v>225</v>
      </c>
      <c r="B235" s="42">
        <f t="shared" si="505"/>
        <v>225</v>
      </c>
      <c r="C235" s="92" t="str">
        <f t="shared" si="430"/>
        <v>L11X14-352_000_15</v>
      </c>
      <c r="D235" s="43">
        <f t="shared" si="471"/>
        <v>14</v>
      </c>
      <c r="E235" s="61">
        <f t="shared" si="465"/>
        <v>2.2540000000000004</v>
      </c>
      <c r="F235" s="44">
        <f t="shared" si="484"/>
        <v>16.100000000000001</v>
      </c>
      <c r="G235" s="44">
        <f t="shared" si="485"/>
        <v>12.880000000000003</v>
      </c>
      <c r="H235" s="44">
        <f t="shared" si="486"/>
        <v>8.0500000000000007</v>
      </c>
      <c r="I235" s="44">
        <f t="shared" si="472"/>
        <v>8</v>
      </c>
      <c r="J235" s="45">
        <f t="shared" si="466"/>
        <v>-8</v>
      </c>
      <c r="K235" s="87" t="s">
        <v>662</v>
      </c>
      <c r="L235" s="44">
        <f t="shared" ref="L235:N235" si="506">L234</f>
        <v>0.2</v>
      </c>
      <c r="M235" s="44">
        <f t="shared" si="506"/>
        <v>150</v>
      </c>
      <c r="N235" s="44">
        <f t="shared" si="506"/>
        <v>750</v>
      </c>
      <c r="P235" s="38">
        <f t="shared" si="474"/>
        <v>13</v>
      </c>
      <c r="Q235" s="38">
        <f t="shared" si="475"/>
        <v>15</v>
      </c>
      <c r="R235" s="39">
        <f t="shared" si="476"/>
        <v>0.90555004379283888</v>
      </c>
      <c r="S235" s="39">
        <f t="shared" si="477"/>
        <v>0.9567860817362277</v>
      </c>
      <c r="T235" s="39">
        <f t="shared" si="480"/>
        <v>5.1236037943388824E-2</v>
      </c>
      <c r="U235" s="89">
        <f t="shared" si="504"/>
        <v>8.3993504825227575E-4</v>
      </c>
    </row>
    <row r="236" spans="1:21" ht="15.75" thickBot="1" x14ac:dyDescent="0.3">
      <c r="A236" s="41">
        <f t="shared" ref="A236:B236" si="507">A235+1</f>
        <v>226</v>
      </c>
      <c r="B236" s="42">
        <f t="shared" si="507"/>
        <v>226</v>
      </c>
      <c r="C236" s="92" t="str">
        <f t="shared" si="430"/>
        <v>L11X14-352_000_16</v>
      </c>
      <c r="D236" s="43">
        <f t="shared" si="471"/>
        <v>14</v>
      </c>
      <c r="E236" s="61">
        <f t="shared" si="465"/>
        <v>2.2540000000000004</v>
      </c>
      <c r="F236" s="44">
        <f t="shared" si="484"/>
        <v>16.100000000000001</v>
      </c>
      <c r="G236" s="44">
        <f t="shared" si="485"/>
        <v>12.880000000000003</v>
      </c>
      <c r="H236" s="44">
        <f t="shared" si="486"/>
        <v>8.0500000000000007</v>
      </c>
      <c r="I236" s="44">
        <f t="shared" si="472"/>
        <v>8</v>
      </c>
      <c r="J236" s="45">
        <f t="shared" si="466"/>
        <v>-8</v>
      </c>
      <c r="K236" s="87" t="s">
        <v>663</v>
      </c>
      <c r="L236" s="44">
        <f t="shared" ref="L236:N236" si="508">L235</f>
        <v>0.2</v>
      </c>
      <c r="M236" s="44">
        <f t="shared" si="508"/>
        <v>150</v>
      </c>
      <c r="N236" s="44">
        <f t="shared" si="508"/>
        <v>750</v>
      </c>
      <c r="P236" s="38">
        <f t="shared" si="474"/>
        <v>13</v>
      </c>
      <c r="Q236" s="38">
        <f t="shared" si="475"/>
        <v>15</v>
      </c>
      <c r="R236" s="39">
        <f t="shared" si="476"/>
        <v>0.90555004379283888</v>
      </c>
      <c r="S236" s="39">
        <f t="shared" si="477"/>
        <v>0.9567860817362277</v>
      </c>
      <c r="T236" s="39">
        <f t="shared" si="480"/>
        <v>5.1236037943388824E-2</v>
      </c>
      <c r="U236" s="89">
        <f t="shared" si="504"/>
        <v>8.3993504825227575E-4</v>
      </c>
    </row>
    <row r="237" spans="1:21" ht="15.75" thickBot="1" x14ac:dyDescent="0.3">
      <c r="A237" s="41">
        <f t="shared" ref="A237:B237" si="509">A236+1</f>
        <v>227</v>
      </c>
      <c r="B237" s="42">
        <f t="shared" si="509"/>
        <v>227</v>
      </c>
      <c r="C237" s="92" t="str">
        <f t="shared" si="430"/>
        <v>L11X14-352_000_17</v>
      </c>
      <c r="D237" s="43">
        <f t="shared" si="471"/>
        <v>14</v>
      </c>
      <c r="E237" s="61">
        <f t="shared" si="465"/>
        <v>2.2540000000000004</v>
      </c>
      <c r="F237" s="44">
        <f t="shared" si="484"/>
        <v>16.100000000000001</v>
      </c>
      <c r="G237" s="44">
        <f t="shared" si="485"/>
        <v>12.880000000000003</v>
      </c>
      <c r="H237" s="44">
        <f t="shared" si="486"/>
        <v>8.0500000000000007</v>
      </c>
      <c r="I237" s="44">
        <f t="shared" si="472"/>
        <v>8</v>
      </c>
      <c r="J237" s="45">
        <f t="shared" si="466"/>
        <v>-8</v>
      </c>
      <c r="K237" s="87" t="s">
        <v>664</v>
      </c>
      <c r="L237" s="44">
        <f t="shared" ref="L237:N237" si="510">L236</f>
        <v>0.2</v>
      </c>
      <c r="M237" s="44">
        <f t="shared" si="510"/>
        <v>150</v>
      </c>
      <c r="N237" s="44">
        <f t="shared" si="510"/>
        <v>750</v>
      </c>
      <c r="P237" s="38">
        <f t="shared" si="474"/>
        <v>13</v>
      </c>
      <c r="Q237" s="38">
        <f t="shared" si="475"/>
        <v>15</v>
      </c>
      <c r="R237" s="39">
        <f t="shared" si="476"/>
        <v>0.90555004379283888</v>
      </c>
      <c r="S237" s="39">
        <f t="shared" si="477"/>
        <v>0.9567860817362277</v>
      </c>
      <c r="T237" s="39">
        <f t="shared" si="480"/>
        <v>5.1236037943388824E-2</v>
      </c>
      <c r="U237" s="89">
        <f t="shared" si="504"/>
        <v>8.3993504825227575E-4</v>
      </c>
    </row>
    <row r="238" spans="1:21" ht="15.75" thickBot="1" x14ac:dyDescent="0.3">
      <c r="A238" s="41">
        <f t="shared" ref="A238:B238" si="511">A237+1</f>
        <v>228</v>
      </c>
      <c r="B238" s="42">
        <f t="shared" si="511"/>
        <v>228</v>
      </c>
      <c r="C238" s="92" t="str">
        <f t="shared" si="430"/>
        <v>L11X14-352_000_18</v>
      </c>
      <c r="D238" s="43">
        <f t="shared" si="471"/>
        <v>14</v>
      </c>
      <c r="E238" s="61">
        <f t="shared" si="465"/>
        <v>2.2540000000000004</v>
      </c>
      <c r="F238" s="44">
        <f t="shared" si="484"/>
        <v>16.100000000000001</v>
      </c>
      <c r="G238" s="44">
        <f t="shared" si="485"/>
        <v>12.880000000000003</v>
      </c>
      <c r="H238" s="44">
        <f t="shared" si="486"/>
        <v>8.0500000000000007</v>
      </c>
      <c r="I238" s="44">
        <f t="shared" si="472"/>
        <v>8</v>
      </c>
      <c r="J238" s="45">
        <f t="shared" si="466"/>
        <v>-8</v>
      </c>
      <c r="K238" s="87" t="s">
        <v>665</v>
      </c>
      <c r="L238" s="44">
        <f t="shared" ref="L238:N238" si="512">L237</f>
        <v>0.2</v>
      </c>
      <c r="M238" s="44">
        <f t="shared" si="512"/>
        <v>150</v>
      </c>
      <c r="N238" s="44">
        <f t="shared" si="512"/>
        <v>750</v>
      </c>
      <c r="P238" s="38">
        <f t="shared" si="474"/>
        <v>13</v>
      </c>
      <c r="Q238" s="38">
        <f t="shared" si="475"/>
        <v>15</v>
      </c>
      <c r="R238" s="39">
        <f t="shared" si="476"/>
        <v>0.90555004379283888</v>
      </c>
      <c r="S238" s="39">
        <f t="shared" si="477"/>
        <v>0.9567860817362277</v>
      </c>
      <c r="T238" s="39">
        <f t="shared" si="480"/>
        <v>5.1236037943388824E-2</v>
      </c>
      <c r="U238" s="89">
        <f t="shared" si="504"/>
        <v>8.3993504825227575E-4</v>
      </c>
    </row>
    <row r="239" spans="1:21" ht="15.75" thickBot="1" x14ac:dyDescent="0.3">
      <c r="A239" s="41">
        <f t="shared" ref="A239:B239" si="513">A238+1</f>
        <v>229</v>
      </c>
      <c r="B239" s="42">
        <f t="shared" si="513"/>
        <v>229</v>
      </c>
      <c r="C239" s="92" t="str">
        <f t="shared" si="430"/>
        <v>L11X14-352_000_19</v>
      </c>
      <c r="D239" s="43">
        <f t="shared" si="471"/>
        <v>14</v>
      </c>
      <c r="E239" s="61">
        <f t="shared" si="465"/>
        <v>2.2540000000000004</v>
      </c>
      <c r="F239" s="44">
        <f t="shared" si="484"/>
        <v>16.100000000000001</v>
      </c>
      <c r="G239" s="44">
        <f t="shared" si="485"/>
        <v>12.880000000000003</v>
      </c>
      <c r="H239" s="44">
        <f t="shared" si="486"/>
        <v>8.0500000000000007</v>
      </c>
      <c r="I239" s="44">
        <f t="shared" si="472"/>
        <v>8</v>
      </c>
      <c r="J239" s="45">
        <f t="shared" si="466"/>
        <v>-8</v>
      </c>
      <c r="K239" s="87" t="s">
        <v>666</v>
      </c>
      <c r="L239" s="44">
        <f t="shared" ref="L239:N239" si="514">L238</f>
        <v>0.2</v>
      </c>
      <c r="M239" s="44">
        <f t="shared" si="514"/>
        <v>150</v>
      </c>
      <c r="N239" s="44">
        <f t="shared" si="514"/>
        <v>750</v>
      </c>
      <c r="P239" s="38">
        <f t="shared" si="474"/>
        <v>13</v>
      </c>
      <c r="Q239" s="38">
        <f t="shared" si="475"/>
        <v>15</v>
      </c>
      <c r="R239" s="39">
        <f t="shared" si="476"/>
        <v>0.90555004379283888</v>
      </c>
      <c r="S239" s="39">
        <f t="shared" si="477"/>
        <v>0.9567860817362277</v>
      </c>
      <c r="T239" s="39">
        <f t="shared" si="480"/>
        <v>5.1236037943388824E-2</v>
      </c>
      <c r="U239" s="89">
        <f t="shared" si="504"/>
        <v>8.3993504825227575E-4</v>
      </c>
    </row>
    <row r="240" spans="1:21" ht="15.75" thickBot="1" x14ac:dyDescent="0.3">
      <c r="A240" s="41">
        <f t="shared" ref="A240:B240" si="515">A239+1</f>
        <v>230</v>
      </c>
      <c r="B240" s="42">
        <f t="shared" si="515"/>
        <v>230</v>
      </c>
      <c r="C240" s="92" t="str">
        <f t="shared" si="430"/>
        <v>L11X14-352_000_20</v>
      </c>
      <c r="D240" s="43">
        <f t="shared" si="471"/>
        <v>14</v>
      </c>
      <c r="E240" s="61">
        <f t="shared" si="465"/>
        <v>2.2540000000000004</v>
      </c>
      <c r="F240" s="44">
        <f t="shared" si="484"/>
        <v>16.100000000000001</v>
      </c>
      <c r="G240" s="44">
        <f t="shared" si="485"/>
        <v>12.880000000000003</v>
      </c>
      <c r="H240" s="44">
        <f t="shared" si="486"/>
        <v>8.0500000000000007</v>
      </c>
      <c r="I240" s="44">
        <f t="shared" si="472"/>
        <v>8</v>
      </c>
      <c r="J240" s="45">
        <f t="shared" si="466"/>
        <v>-8</v>
      </c>
      <c r="K240" s="87" t="s">
        <v>667</v>
      </c>
      <c r="L240" s="44">
        <f t="shared" ref="L240:N240" si="516">L239</f>
        <v>0.2</v>
      </c>
      <c r="M240" s="44">
        <f t="shared" si="516"/>
        <v>150</v>
      </c>
      <c r="N240" s="44">
        <f t="shared" si="516"/>
        <v>750</v>
      </c>
      <c r="P240" s="38">
        <f t="shared" si="474"/>
        <v>13</v>
      </c>
      <c r="Q240" s="38">
        <f t="shared" si="475"/>
        <v>15</v>
      </c>
      <c r="R240" s="39">
        <f t="shared" si="476"/>
        <v>0.90555004379283888</v>
      </c>
      <c r="S240" s="39">
        <f t="shared" si="477"/>
        <v>0.9567860817362277</v>
      </c>
      <c r="T240" s="39">
        <f t="shared" si="480"/>
        <v>5.1236037943388824E-2</v>
      </c>
      <c r="U240" s="89">
        <f t="shared" si="504"/>
        <v>8.3993504825227575E-4</v>
      </c>
    </row>
    <row r="241" spans="1:21" ht="15.75" thickBot="1" x14ac:dyDescent="0.3">
      <c r="A241" s="41">
        <f t="shared" ref="A241:B241" si="517">A240+1</f>
        <v>231</v>
      </c>
      <c r="B241" s="42">
        <f t="shared" si="517"/>
        <v>231</v>
      </c>
      <c r="C241" s="92" t="str">
        <f t="shared" si="430"/>
        <v>L11X14-000_000_21</v>
      </c>
      <c r="D241" s="43">
        <f t="shared" si="471"/>
        <v>14</v>
      </c>
      <c r="E241" s="61">
        <f t="shared" si="465"/>
        <v>2.2540000000000004</v>
      </c>
      <c r="F241" s="44">
        <f t="shared" si="484"/>
        <v>16.100000000000001</v>
      </c>
      <c r="G241" s="44">
        <f t="shared" si="485"/>
        <v>12.880000000000003</v>
      </c>
      <c r="H241" s="44">
        <f t="shared" si="486"/>
        <v>8.0500000000000007</v>
      </c>
      <c r="I241" s="44">
        <f t="shared" si="472"/>
        <v>8</v>
      </c>
      <c r="J241" s="45">
        <f t="shared" ref="J241:J260" si="518">yaw_null</f>
        <v>0</v>
      </c>
      <c r="K241" s="87" t="s">
        <v>668</v>
      </c>
      <c r="L241" s="44">
        <f t="shared" ref="L241:N241" si="519">L240</f>
        <v>0.2</v>
      </c>
      <c r="M241" s="44">
        <f t="shared" si="519"/>
        <v>150</v>
      </c>
      <c r="N241" s="44">
        <f t="shared" si="519"/>
        <v>750</v>
      </c>
      <c r="P241" s="38">
        <f t="shared" si="474"/>
        <v>13</v>
      </c>
      <c r="Q241" s="38">
        <f t="shared" si="475"/>
        <v>15</v>
      </c>
      <c r="R241" s="39">
        <f t="shared" si="476"/>
        <v>0.90555004379283888</v>
      </c>
      <c r="S241" s="39">
        <f t="shared" si="477"/>
        <v>0.9567860817362277</v>
      </c>
      <c r="T241" s="39">
        <f t="shared" si="480"/>
        <v>5.1236037943388824E-2</v>
      </c>
      <c r="U241" s="89">
        <f t="shared" si="504"/>
        <v>8.3993504825227575E-4</v>
      </c>
    </row>
    <row r="242" spans="1:21" ht="15.75" thickBot="1" x14ac:dyDescent="0.3">
      <c r="A242" s="41">
        <f t="shared" ref="A242:B242" si="520">A241+1</f>
        <v>232</v>
      </c>
      <c r="B242" s="42">
        <f t="shared" si="520"/>
        <v>232</v>
      </c>
      <c r="C242" s="92" t="str">
        <f t="shared" si="430"/>
        <v>L11X14-000_000_22</v>
      </c>
      <c r="D242" s="43">
        <f t="shared" si="471"/>
        <v>14</v>
      </c>
      <c r="E242" s="61">
        <f t="shared" si="465"/>
        <v>2.2540000000000004</v>
      </c>
      <c r="F242" s="44">
        <f t="shared" si="484"/>
        <v>16.100000000000001</v>
      </c>
      <c r="G242" s="44">
        <f t="shared" si="485"/>
        <v>12.880000000000003</v>
      </c>
      <c r="H242" s="44">
        <f t="shared" si="486"/>
        <v>8.0500000000000007</v>
      </c>
      <c r="I242" s="44">
        <f t="shared" si="472"/>
        <v>8</v>
      </c>
      <c r="J242" s="45">
        <f t="shared" si="518"/>
        <v>0</v>
      </c>
      <c r="K242" s="87" t="s">
        <v>669</v>
      </c>
      <c r="L242" s="44">
        <f t="shared" ref="L242:N242" si="521">L241</f>
        <v>0.2</v>
      </c>
      <c r="M242" s="44">
        <f t="shared" si="521"/>
        <v>150</v>
      </c>
      <c r="N242" s="44">
        <f t="shared" si="521"/>
        <v>750</v>
      </c>
      <c r="P242" s="38">
        <f t="shared" si="474"/>
        <v>13</v>
      </c>
      <c r="Q242" s="38">
        <f t="shared" si="475"/>
        <v>15</v>
      </c>
      <c r="R242" s="39">
        <f t="shared" si="476"/>
        <v>0.90555004379283888</v>
      </c>
      <c r="S242" s="39">
        <f t="shared" si="477"/>
        <v>0.9567860817362277</v>
      </c>
      <c r="T242" s="39">
        <f t="shared" si="480"/>
        <v>5.1236037943388824E-2</v>
      </c>
      <c r="U242" s="89">
        <f t="shared" si="504"/>
        <v>8.3993504825227575E-4</v>
      </c>
    </row>
    <row r="243" spans="1:21" ht="15.75" thickBot="1" x14ac:dyDescent="0.3">
      <c r="A243" s="41">
        <f t="shared" ref="A243:B243" si="522">A242+1</f>
        <v>233</v>
      </c>
      <c r="B243" s="42">
        <f t="shared" si="522"/>
        <v>233</v>
      </c>
      <c r="C243" s="92" t="str">
        <f t="shared" si="430"/>
        <v>L11X14-000_000_23</v>
      </c>
      <c r="D243" s="43">
        <f t="shared" si="471"/>
        <v>14</v>
      </c>
      <c r="E243" s="61">
        <f t="shared" si="465"/>
        <v>2.2540000000000004</v>
      </c>
      <c r="F243" s="44">
        <f t="shared" si="484"/>
        <v>16.100000000000001</v>
      </c>
      <c r="G243" s="44">
        <f t="shared" si="485"/>
        <v>12.880000000000003</v>
      </c>
      <c r="H243" s="44">
        <f t="shared" si="486"/>
        <v>8.0500000000000007</v>
      </c>
      <c r="I243" s="44">
        <f t="shared" si="472"/>
        <v>8</v>
      </c>
      <c r="J243" s="45">
        <f t="shared" si="518"/>
        <v>0</v>
      </c>
      <c r="K243" s="87" t="s">
        <v>670</v>
      </c>
      <c r="L243" s="44">
        <f t="shared" ref="L243:N243" si="523">L242</f>
        <v>0.2</v>
      </c>
      <c r="M243" s="44">
        <f t="shared" si="523"/>
        <v>150</v>
      </c>
      <c r="N243" s="44">
        <f t="shared" si="523"/>
        <v>750</v>
      </c>
      <c r="P243" s="38">
        <f t="shared" si="474"/>
        <v>13</v>
      </c>
      <c r="Q243" s="38">
        <f t="shared" si="475"/>
        <v>15</v>
      </c>
      <c r="R243" s="39">
        <f t="shared" si="476"/>
        <v>0.90555004379283888</v>
      </c>
      <c r="S243" s="39">
        <f t="shared" si="477"/>
        <v>0.9567860817362277</v>
      </c>
      <c r="T243" s="39">
        <f t="shared" si="480"/>
        <v>5.1236037943388824E-2</v>
      </c>
      <c r="U243" s="89">
        <f t="shared" si="504"/>
        <v>8.3993504825227575E-4</v>
      </c>
    </row>
    <row r="244" spans="1:21" ht="15.75" thickBot="1" x14ac:dyDescent="0.3">
      <c r="A244" s="41">
        <f t="shared" ref="A244:B244" si="524">A243+1</f>
        <v>234</v>
      </c>
      <c r="B244" s="42">
        <f t="shared" si="524"/>
        <v>234</v>
      </c>
      <c r="C244" s="92" t="str">
        <f t="shared" si="430"/>
        <v>L11X14-000_000_24</v>
      </c>
      <c r="D244" s="43">
        <f t="shared" si="471"/>
        <v>14</v>
      </c>
      <c r="E244" s="61">
        <f t="shared" si="465"/>
        <v>2.2540000000000004</v>
      </c>
      <c r="F244" s="44">
        <f t="shared" si="484"/>
        <v>16.100000000000001</v>
      </c>
      <c r="G244" s="44">
        <f t="shared" si="485"/>
        <v>12.880000000000003</v>
      </c>
      <c r="H244" s="44">
        <f t="shared" si="486"/>
        <v>8.0500000000000007</v>
      </c>
      <c r="I244" s="44">
        <f t="shared" si="472"/>
        <v>8</v>
      </c>
      <c r="J244" s="45">
        <f t="shared" si="518"/>
        <v>0</v>
      </c>
      <c r="K244" s="87" t="s">
        <v>671</v>
      </c>
      <c r="L244" s="44">
        <f t="shared" ref="L244:N244" si="525">L243</f>
        <v>0.2</v>
      </c>
      <c r="M244" s="44">
        <f t="shared" si="525"/>
        <v>150</v>
      </c>
      <c r="N244" s="44">
        <f t="shared" si="525"/>
        <v>750</v>
      </c>
      <c r="P244" s="38">
        <f t="shared" si="474"/>
        <v>13</v>
      </c>
      <c r="Q244" s="38">
        <f t="shared" si="475"/>
        <v>15</v>
      </c>
      <c r="R244" s="39">
        <f t="shared" si="476"/>
        <v>0.90555004379283888</v>
      </c>
      <c r="S244" s="39">
        <f t="shared" si="477"/>
        <v>0.9567860817362277</v>
      </c>
      <c r="T244" s="39">
        <f t="shared" si="480"/>
        <v>5.1236037943388824E-2</v>
      </c>
      <c r="U244" s="89">
        <f t="shared" si="504"/>
        <v>8.3993504825227575E-4</v>
      </c>
    </row>
    <row r="245" spans="1:21" ht="15.75" thickBot="1" x14ac:dyDescent="0.3">
      <c r="A245" s="41">
        <f t="shared" ref="A245:B245" si="526">A244+1</f>
        <v>235</v>
      </c>
      <c r="B245" s="42">
        <f t="shared" si="526"/>
        <v>235</v>
      </c>
      <c r="C245" s="92" t="str">
        <f t="shared" si="430"/>
        <v>L11X14-000_000_25</v>
      </c>
      <c r="D245" s="43">
        <f t="shared" si="471"/>
        <v>14</v>
      </c>
      <c r="E245" s="61">
        <f t="shared" si="465"/>
        <v>2.2540000000000004</v>
      </c>
      <c r="F245" s="44">
        <f t="shared" si="484"/>
        <v>16.100000000000001</v>
      </c>
      <c r="G245" s="44">
        <f t="shared" si="485"/>
        <v>12.880000000000003</v>
      </c>
      <c r="H245" s="44">
        <f t="shared" si="486"/>
        <v>8.0500000000000007</v>
      </c>
      <c r="I245" s="44">
        <f t="shared" si="472"/>
        <v>8</v>
      </c>
      <c r="J245" s="45">
        <f t="shared" si="518"/>
        <v>0</v>
      </c>
      <c r="K245" s="87" t="s">
        <v>672</v>
      </c>
      <c r="L245" s="44">
        <f t="shared" ref="L245:N245" si="527">L244</f>
        <v>0.2</v>
      </c>
      <c r="M245" s="44">
        <f t="shared" si="527"/>
        <v>150</v>
      </c>
      <c r="N245" s="44">
        <f t="shared" si="527"/>
        <v>750</v>
      </c>
      <c r="P245" s="38">
        <f t="shared" si="474"/>
        <v>13</v>
      </c>
      <c r="Q245" s="38">
        <f t="shared" si="475"/>
        <v>15</v>
      </c>
      <c r="R245" s="39">
        <f t="shared" si="476"/>
        <v>0.90555004379283888</v>
      </c>
      <c r="S245" s="39">
        <f t="shared" si="477"/>
        <v>0.9567860817362277</v>
      </c>
      <c r="T245" s="39">
        <f t="shared" si="480"/>
        <v>5.1236037943388824E-2</v>
      </c>
      <c r="U245" s="89">
        <f t="shared" si="504"/>
        <v>8.3993504825227575E-4</v>
      </c>
    </row>
    <row r="246" spans="1:21" ht="15.75" thickBot="1" x14ac:dyDescent="0.3">
      <c r="A246" s="41">
        <f t="shared" ref="A246:B246" si="528">A245+1</f>
        <v>236</v>
      </c>
      <c r="B246" s="42">
        <f t="shared" si="528"/>
        <v>236</v>
      </c>
      <c r="C246" s="92" t="str">
        <f t="shared" si="430"/>
        <v>L11X14-000_000_26</v>
      </c>
      <c r="D246" s="43">
        <f t="shared" si="471"/>
        <v>14</v>
      </c>
      <c r="E246" s="61">
        <f t="shared" si="465"/>
        <v>2.2540000000000004</v>
      </c>
      <c r="F246" s="44">
        <f t="shared" si="484"/>
        <v>16.100000000000001</v>
      </c>
      <c r="G246" s="44">
        <f t="shared" si="485"/>
        <v>12.880000000000003</v>
      </c>
      <c r="H246" s="44">
        <f t="shared" si="486"/>
        <v>8.0500000000000007</v>
      </c>
      <c r="I246" s="44">
        <f t="shared" si="472"/>
        <v>8</v>
      </c>
      <c r="J246" s="45">
        <f t="shared" si="518"/>
        <v>0</v>
      </c>
      <c r="K246" s="87" t="s">
        <v>673</v>
      </c>
      <c r="L246" s="44">
        <f t="shared" ref="L246:N246" si="529">L245</f>
        <v>0.2</v>
      </c>
      <c r="M246" s="44">
        <f t="shared" si="529"/>
        <v>150</v>
      </c>
      <c r="N246" s="44">
        <f t="shared" si="529"/>
        <v>750</v>
      </c>
      <c r="P246" s="38">
        <f t="shared" si="474"/>
        <v>13</v>
      </c>
      <c r="Q246" s="38">
        <f t="shared" si="475"/>
        <v>15</v>
      </c>
      <c r="R246" s="39">
        <f t="shared" si="476"/>
        <v>0.90555004379283888</v>
      </c>
      <c r="S246" s="39">
        <f t="shared" si="477"/>
        <v>0.9567860817362277</v>
      </c>
      <c r="T246" s="39">
        <f t="shared" si="480"/>
        <v>5.1236037943388824E-2</v>
      </c>
      <c r="U246" s="89">
        <f t="shared" si="504"/>
        <v>8.3993504825227575E-4</v>
      </c>
    </row>
    <row r="247" spans="1:21" ht="15.75" thickBot="1" x14ac:dyDescent="0.3">
      <c r="A247" s="41">
        <f t="shared" ref="A247:B247" si="530">A246+1</f>
        <v>237</v>
      </c>
      <c r="B247" s="42">
        <f t="shared" si="530"/>
        <v>237</v>
      </c>
      <c r="C247" s="92" t="str">
        <f t="shared" si="430"/>
        <v>L11X14-000_000_27</v>
      </c>
      <c r="D247" s="43">
        <f t="shared" si="471"/>
        <v>14</v>
      </c>
      <c r="E247" s="61">
        <f t="shared" si="465"/>
        <v>2.2540000000000004</v>
      </c>
      <c r="F247" s="44">
        <f t="shared" si="484"/>
        <v>16.100000000000001</v>
      </c>
      <c r="G247" s="44">
        <f t="shared" si="485"/>
        <v>12.880000000000003</v>
      </c>
      <c r="H247" s="44">
        <f t="shared" si="486"/>
        <v>8.0500000000000007</v>
      </c>
      <c r="I247" s="44">
        <f t="shared" si="472"/>
        <v>8</v>
      </c>
      <c r="J247" s="45">
        <f t="shared" si="518"/>
        <v>0</v>
      </c>
      <c r="K247" s="87" t="s">
        <v>674</v>
      </c>
      <c r="L247" s="44">
        <f t="shared" ref="L247:N247" si="531">L246</f>
        <v>0.2</v>
      </c>
      <c r="M247" s="44">
        <f t="shared" si="531"/>
        <v>150</v>
      </c>
      <c r="N247" s="44">
        <f t="shared" si="531"/>
        <v>750</v>
      </c>
      <c r="P247" s="38">
        <f t="shared" si="474"/>
        <v>13</v>
      </c>
      <c r="Q247" s="38">
        <f t="shared" si="475"/>
        <v>15</v>
      </c>
      <c r="R247" s="39">
        <f t="shared" si="476"/>
        <v>0.90555004379283888</v>
      </c>
      <c r="S247" s="39">
        <f t="shared" si="477"/>
        <v>0.9567860817362277</v>
      </c>
      <c r="T247" s="39">
        <f t="shared" si="480"/>
        <v>5.1236037943388824E-2</v>
      </c>
      <c r="U247" s="89">
        <f t="shared" si="504"/>
        <v>8.3993504825227575E-4</v>
      </c>
    </row>
    <row r="248" spans="1:21" ht="15.75" thickBot="1" x14ac:dyDescent="0.3">
      <c r="A248" s="41">
        <f t="shared" ref="A248:B248" si="532">A247+1</f>
        <v>238</v>
      </c>
      <c r="B248" s="42">
        <f t="shared" si="532"/>
        <v>238</v>
      </c>
      <c r="C248" s="92" t="str">
        <f t="shared" si="430"/>
        <v>L11X14-000_000_28</v>
      </c>
      <c r="D248" s="43">
        <f t="shared" si="471"/>
        <v>14</v>
      </c>
      <c r="E248" s="61">
        <f t="shared" si="465"/>
        <v>2.2540000000000004</v>
      </c>
      <c r="F248" s="44">
        <f t="shared" si="484"/>
        <v>16.100000000000001</v>
      </c>
      <c r="G248" s="44">
        <f t="shared" si="485"/>
        <v>12.880000000000003</v>
      </c>
      <c r="H248" s="44">
        <f t="shared" si="486"/>
        <v>8.0500000000000007</v>
      </c>
      <c r="I248" s="44">
        <f t="shared" si="472"/>
        <v>8</v>
      </c>
      <c r="J248" s="45">
        <f t="shared" si="518"/>
        <v>0</v>
      </c>
      <c r="K248" s="87" t="s">
        <v>675</v>
      </c>
      <c r="L248" s="44">
        <f t="shared" ref="L248:N248" si="533">L247</f>
        <v>0.2</v>
      </c>
      <c r="M248" s="44">
        <f t="shared" si="533"/>
        <v>150</v>
      </c>
      <c r="N248" s="44">
        <f t="shared" si="533"/>
        <v>750</v>
      </c>
      <c r="P248" s="38">
        <f t="shared" si="474"/>
        <v>13</v>
      </c>
      <c r="Q248" s="38">
        <f t="shared" si="475"/>
        <v>15</v>
      </c>
      <c r="R248" s="39">
        <f t="shared" si="476"/>
        <v>0.90555004379283888</v>
      </c>
      <c r="S248" s="39">
        <f t="shared" si="477"/>
        <v>0.9567860817362277</v>
      </c>
      <c r="T248" s="39">
        <f t="shared" si="480"/>
        <v>5.1236037943388824E-2</v>
      </c>
      <c r="U248" s="89">
        <f t="shared" si="504"/>
        <v>8.3993504825227575E-4</v>
      </c>
    </row>
    <row r="249" spans="1:21" ht="15.75" thickBot="1" x14ac:dyDescent="0.3">
      <c r="A249" s="41">
        <f t="shared" ref="A249:B249" si="534">A248+1</f>
        <v>239</v>
      </c>
      <c r="B249" s="42">
        <f t="shared" si="534"/>
        <v>239</v>
      </c>
      <c r="C249" s="92" t="str">
        <f t="shared" si="430"/>
        <v>L11X14-000_000_29</v>
      </c>
      <c r="D249" s="43">
        <f t="shared" si="471"/>
        <v>14</v>
      </c>
      <c r="E249" s="61">
        <f t="shared" si="465"/>
        <v>2.2540000000000004</v>
      </c>
      <c r="F249" s="44">
        <f t="shared" si="484"/>
        <v>16.100000000000001</v>
      </c>
      <c r="G249" s="44">
        <f t="shared" si="485"/>
        <v>12.880000000000003</v>
      </c>
      <c r="H249" s="44">
        <f t="shared" si="486"/>
        <v>8.0500000000000007</v>
      </c>
      <c r="I249" s="44">
        <f t="shared" si="472"/>
        <v>8</v>
      </c>
      <c r="J249" s="45">
        <f t="shared" si="518"/>
        <v>0</v>
      </c>
      <c r="K249" s="87" t="s">
        <v>676</v>
      </c>
      <c r="L249" s="44">
        <f t="shared" ref="L249:N249" si="535">L248</f>
        <v>0.2</v>
      </c>
      <c r="M249" s="44">
        <f t="shared" si="535"/>
        <v>150</v>
      </c>
      <c r="N249" s="44">
        <f t="shared" si="535"/>
        <v>750</v>
      </c>
      <c r="P249" s="38">
        <f t="shared" si="474"/>
        <v>13</v>
      </c>
      <c r="Q249" s="38">
        <f t="shared" si="475"/>
        <v>15</v>
      </c>
      <c r="R249" s="39">
        <f t="shared" si="476"/>
        <v>0.90555004379283888</v>
      </c>
      <c r="S249" s="39">
        <f t="shared" si="477"/>
        <v>0.9567860817362277</v>
      </c>
      <c r="T249" s="39">
        <f t="shared" si="480"/>
        <v>5.1236037943388824E-2</v>
      </c>
      <c r="U249" s="89">
        <f t="shared" si="504"/>
        <v>8.3993504825227575E-4</v>
      </c>
    </row>
    <row r="250" spans="1:21" ht="15.75" thickBot="1" x14ac:dyDescent="0.3">
      <c r="A250" s="41">
        <f t="shared" ref="A250:B250" si="536">A249+1</f>
        <v>240</v>
      </c>
      <c r="B250" s="42">
        <f t="shared" si="536"/>
        <v>240</v>
      </c>
      <c r="C250" s="92" t="str">
        <f t="shared" si="430"/>
        <v>L11X14-000_000_30</v>
      </c>
      <c r="D250" s="43">
        <f t="shared" si="471"/>
        <v>14</v>
      </c>
      <c r="E250" s="61">
        <f t="shared" si="465"/>
        <v>2.2540000000000004</v>
      </c>
      <c r="F250" s="44">
        <f t="shared" si="484"/>
        <v>16.100000000000001</v>
      </c>
      <c r="G250" s="44">
        <f t="shared" si="485"/>
        <v>12.880000000000003</v>
      </c>
      <c r="H250" s="44">
        <f t="shared" si="486"/>
        <v>8.0500000000000007</v>
      </c>
      <c r="I250" s="44">
        <f t="shared" si="472"/>
        <v>8</v>
      </c>
      <c r="J250" s="45">
        <f t="shared" si="518"/>
        <v>0</v>
      </c>
      <c r="K250" s="87" t="s">
        <v>677</v>
      </c>
      <c r="L250" s="44">
        <f t="shared" ref="L250:N250" si="537">L249</f>
        <v>0.2</v>
      </c>
      <c r="M250" s="44">
        <f t="shared" si="537"/>
        <v>150</v>
      </c>
      <c r="N250" s="44">
        <f t="shared" si="537"/>
        <v>750</v>
      </c>
      <c r="P250" s="38">
        <f t="shared" si="474"/>
        <v>13</v>
      </c>
      <c r="Q250" s="38">
        <f t="shared" si="475"/>
        <v>15</v>
      </c>
      <c r="R250" s="39">
        <f t="shared" si="476"/>
        <v>0.90555004379283888</v>
      </c>
      <c r="S250" s="39">
        <f t="shared" si="477"/>
        <v>0.9567860817362277</v>
      </c>
      <c r="T250" s="39">
        <f t="shared" si="480"/>
        <v>5.1236037943388824E-2</v>
      </c>
      <c r="U250" s="89">
        <f t="shared" si="504"/>
        <v>8.3993504825227575E-4</v>
      </c>
    </row>
    <row r="251" spans="1:21" ht="15.75" thickBot="1" x14ac:dyDescent="0.3">
      <c r="A251" s="41">
        <f t="shared" ref="A251:B251" si="538">A250+1</f>
        <v>241</v>
      </c>
      <c r="B251" s="42">
        <f t="shared" si="538"/>
        <v>241</v>
      </c>
      <c r="C251" s="92" t="str">
        <f t="shared" si="430"/>
        <v>L11X14-000_000_31</v>
      </c>
      <c r="D251" s="43">
        <f t="shared" si="471"/>
        <v>14</v>
      </c>
      <c r="E251" s="61">
        <f t="shared" si="465"/>
        <v>2.2540000000000004</v>
      </c>
      <c r="F251" s="44">
        <f t="shared" si="484"/>
        <v>16.100000000000001</v>
      </c>
      <c r="G251" s="44">
        <f t="shared" si="485"/>
        <v>12.880000000000003</v>
      </c>
      <c r="H251" s="44">
        <f t="shared" si="486"/>
        <v>8.0500000000000007</v>
      </c>
      <c r="I251" s="44">
        <f t="shared" si="472"/>
        <v>8</v>
      </c>
      <c r="J251" s="45">
        <f t="shared" si="518"/>
        <v>0</v>
      </c>
      <c r="K251" s="87" t="s">
        <v>678</v>
      </c>
      <c r="L251" s="44">
        <f t="shared" ref="L251:N251" si="539">L250</f>
        <v>0.2</v>
      </c>
      <c r="M251" s="44">
        <f t="shared" si="539"/>
        <v>150</v>
      </c>
      <c r="N251" s="44">
        <f t="shared" si="539"/>
        <v>750</v>
      </c>
      <c r="P251" s="38">
        <f t="shared" si="474"/>
        <v>13</v>
      </c>
      <c r="Q251" s="38">
        <f t="shared" si="475"/>
        <v>15</v>
      </c>
      <c r="R251" s="39">
        <f t="shared" si="476"/>
        <v>0.90555004379283888</v>
      </c>
      <c r="S251" s="39">
        <f t="shared" si="477"/>
        <v>0.9567860817362277</v>
      </c>
      <c r="T251" s="39">
        <f t="shared" si="480"/>
        <v>5.1236037943388824E-2</v>
      </c>
      <c r="U251" s="89">
        <f t="shared" si="504"/>
        <v>8.3993504825227575E-4</v>
      </c>
    </row>
    <row r="252" spans="1:21" ht="15.75" thickBot="1" x14ac:dyDescent="0.3">
      <c r="A252" s="41">
        <f t="shared" ref="A252:B252" si="540">A251+1</f>
        <v>242</v>
      </c>
      <c r="B252" s="42">
        <f t="shared" si="540"/>
        <v>242</v>
      </c>
      <c r="C252" s="92" t="str">
        <f t="shared" si="430"/>
        <v>L11X14-000_000_32</v>
      </c>
      <c r="D252" s="43">
        <f t="shared" si="471"/>
        <v>14</v>
      </c>
      <c r="E252" s="61">
        <f t="shared" si="465"/>
        <v>2.2540000000000004</v>
      </c>
      <c r="F252" s="44">
        <f t="shared" si="484"/>
        <v>16.100000000000001</v>
      </c>
      <c r="G252" s="44">
        <f t="shared" si="485"/>
        <v>12.880000000000003</v>
      </c>
      <c r="H252" s="44">
        <f t="shared" si="486"/>
        <v>8.0500000000000007</v>
      </c>
      <c r="I252" s="44">
        <f t="shared" si="472"/>
        <v>8</v>
      </c>
      <c r="J252" s="45">
        <f t="shared" si="518"/>
        <v>0</v>
      </c>
      <c r="K252" s="87" t="s">
        <v>679</v>
      </c>
      <c r="L252" s="44">
        <f t="shared" ref="L252:N252" si="541">L251</f>
        <v>0.2</v>
      </c>
      <c r="M252" s="44">
        <f t="shared" si="541"/>
        <v>150</v>
      </c>
      <c r="N252" s="44">
        <f t="shared" si="541"/>
        <v>750</v>
      </c>
      <c r="P252" s="38">
        <f t="shared" si="474"/>
        <v>13</v>
      </c>
      <c r="Q252" s="38">
        <f t="shared" si="475"/>
        <v>15</v>
      </c>
      <c r="R252" s="39">
        <f t="shared" si="476"/>
        <v>0.90555004379283888</v>
      </c>
      <c r="S252" s="39">
        <f t="shared" si="477"/>
        <v>0.9567860817362277</v>
      </c>
      <c r="T252" s="39">
        <f t="shared" si="480"/>
        <v>5.1236037943388824E-2</v>
      </c>
      <c r="U252" s="89">
        <f t="shared" si="504"/>
        <v>8.3993504825227575E-4</v>
      </c>
    </row>
    <row r="253" spans="1:21" ht="15.75" thickBot="1" x14ac:dyDescent="0.3">
      <c r="A253" s="41">
        <f t="shared" ref="A253:B253" si="542">A252+1</f>
        <v>243</v>
      </c>
      <c r="B253" s="42">
        <f t="shared" si="542"/>
        <v>243</v>
      </c>
      <c r="C253" s="92" t="str">
        <f t="shared" si="430"/>
        <v>L11X14-000_000_33</v>
      </c>
      <c r="D253" s="43">
        <f t="shared" si="471"/>
        <v>14</v>
      </c>
      <c r="E253" s="61">
        <f t="shared" si="465"/>
        <v>2.2540000000000004</v>
      </c>
      <c r="F253" s="44">
        <f t="shared" si="484"/>
        <v>16.100000000000001</v>
      </c>
      <c r="G253" s="44">
        <f t="shared" si="485"/>
        <v>12.880000000000003</v>
      </c>
      <c r="H253" s="44">
        <f t="shared" si="486"/>
        <v>8.0500000000000007</v>
      </c>
      <c r="I253" s="44">
        <f t="shared" si="472"/>
        <v>8</v>
      </c>
      <c r="J253" s="45">
        <f t="shared" si="518"/>
        <v>0</v>
      </c>
      <c r="K253" s="87" t="s">
        <v>680</v>
      </c>
      <c r="L253" s="44">
        <f t="shared" ref="L253:N253" si="543">L252</f>
        <v>0.2</v>
      </c>
      <c r="M253" s="44">
        <f t="shared" si="543"/>
        <v>150</v>
      </c>
      <c r="N253" s="44">
        <f t="shared" si="543"/>
        <v>750</v>
      </c>
      <c r="P253" s="38">
        <f t="shared" si="474"/>
        <v>13</v>
      </c>
      <c r="Q253" s="38">
        <f t="shared" si="475"/>
        <v>15</v>
      </c>
      <c r="R253" s="39">
        <f t="shared" si="476"/>
        <v>0.90555004379283888</v>
      </c>
      <c r="S253" s="39">
        <f t="shared" si="477"/>
        <v>0.9567860817362277</v>
      </c>
      <c r="T253" s="39">
        <f t="shared" si="480"/>
        <v>5.1236037943388824E-2</v>
      </c>
      <c r="U253" s="89">
        <f t="shared" si="504"/>
        <v>8.3993504825227575E-4</v>
      </c>
    </row>
    <row r="254" spans="1:21" ht="15.75" thickBot="1" x14ac:dyDescent="0.3">
      <c r="A254" s="41">
        <f t="shared" ref="A254:B254" si="544">A253+1</f>
        <v>244</v>
      </c>
      <c r="B254" s="42">
        <f t="shared" si="544"/>
        <v>244</v>
      </c>
      <c r="C254" s="92" t="str">
        <f t="shared" si="430"/>
        <v>L11X14-000_000_34</v>
      </c>
      <c r="D254" s="43">
        <f t="shared" si="471"/>
        <v>14</v>
      </c>
      <c r="E254" s="61">
        <f t="shared" si="465"/>
        <v>2.2540000000000004</v>
      </c>
      <c r="F254" s="44">
        <f t="shared" si="484"/>
        <v>16.100000000000001</v>
      </c>
      <c r="G254" s="44">
        <f t="shared" si="485"/>
        <v>12.880000000000003</v>
      </c>
      <c r="H254" s="44">
        <f t="shared" si="486"/>
        <v>8.0500000000000007</v>
      </c>
      <c r="I254" s="44">
        <f t="shared" si="472"/>
        <v>8</v>
      </c>
      <c r="J254" s="45">
        <f t="shared" si="518"/>
        <v>0</v>
      </c>
      <c r="K254" s="87" t="s">
        <v>681</v>
      </c>
      <c r="L254" s="44">
        <f t="shared" ref="L254:N254" si="545">L253</f>
        <v>0.2</v>
      </c>
      <c r="M254" s="44">
        <f t="shared" si="545"/>
        <v>150</v>
      </c>
      <c r="N254" s="44">
        <f t="shared" si="545"/>
        <v>750</v>
      </c>
      <c r="P254" s="38">
        <f t="shared" si="474"/>
        <v>13</v>
      </c>
      <c r="Q254" s="38">
        <f t="shared" si="475"/>
        <v>15</v>
      </c>
      <c r="R254" s="39">
        <f t="shared" si="476"/>
        <v>0.90555004379283888</v>
      </c>
      <c r="S254" s="39">
        <f t="shared" si="477"/>
        <v>0.9567860817362277</v>
      </c>
      <c r="T254" s="39">
        <f t="shared" si="480"/>
        <v>5.1236037943388824E-2</v>
      </c>
      <c r="U254" s="89">
        <f t="shared" si="504"/>
        <v>8.3993504825227575E-4</v>
      </c>
    </row>
    <row r="255" spans="1:21" ht="15.75" thickBot="1" x14ac:dyDescent="0.3">
      <c r="A255" s="41">
        <f t="shared" ref="A255:B255" si="546">A254+1</f>
        <v>245</v>
      </c>
      <c r="B255" s="42">
        <f t="shared" si="546"/>
        <v>245</v>
      </c>
      <c r="C255" s="92" t="str">
        <f t="shared" si="430"/>
        <v>L11X14-000_000_35</v>
      </c>
      <c r="D255" s="43">
        <f t="shared" si="471"/>
        <v>14</v>
      </c>
      <c r="E255" s="61">
        <f t="shared" si="465"/>
        <v>2.2540000000000004</v>
      </c>
      <c r="F255" s="44">
        <f t="shared" si="484"/>
        <v>16.100000000000001</v>
      </c>
      <c r="G255" s="44">
        <f t="shared" si="485"/>
        <v>12.880000000000003</v>
      </c>
      <c r="H255" s="44">
        <f t="shared" si="486"/>
        <v>8.0500000000000007</v>
      </c>
      <c r="I255" s="44">
        <f t="shared" si="472"/>
        <v>8</v>
      </c>
      <c r="J255" s="45">
        <f t="shared" si="518"/>
        <v>0</v>
      </c>
      <c r="K255" s="87" t="s">
        <v>682</v>
      </c>
      <c r="L255" s="44">
        <f t="shared" ref="L255:N255" si="547">L254</f>
        <v>0.2</v>
      </c>
      <c r="M255" s="44">
        <f t="shared" si="547"/>
        <v>150</v>
      </c>
      <c r="N255" s="44">
        <f t="shared" si="547"/>
        <v>750</v>
      </c>
      <c r="P255" s="38">
        <f t="shared" si="474"/>
        <v>13</v>
      </c>
      <c r="Q255" s="38">
        <f t="shared" si="475"/>
        <v>15</v>
      </c>
      <c r="R255" s="39">
        <f t="shared" si="476"/>
        <v>0.90555004379283888</v>
      </c>
      <c r="S255" s="39">
        <f t="shared" si="477"/>
        <v>0.9567860817362277</v>
      </c>
      <c r="T255" s="39">
        <f t="shared" si="480"/>
        <v>5.1236037943388824E-2</v>
      </c>
      <c r="U255" s="89">
        <f t="shared" si="504"/>
        <v>8.3993504825227575E-4</v>
      </c>
    </row>
    <row r="256" spans="1:21" ht="15.75" thickBot="1" x14ac:dyDescent="0.3">
      <c r="A256" s="41">
        <f t="shared" ref="A256:B256" si="548">A255+1</f>
        <v>246</v>
      </c>
      <c r="B256" s="42">
        <f t="shared" si="548"/>
        <v>246</v>
      </c>
      <c r="C256" s="92" t="str">
        <f t="shared" si="430"/>
        <v>L11X14-000_000_36</v>
      </c>
      <c r="D256" s="43">
        <f t="shared" si="471"/>
        <v>14</v>
      </c>
      <c r="E256" s="61">
        <f t="shared" si="465"/>
        <v>2.2540000000000004</v>
      </c>
      <c r="F256" s="44">
        <f t="shared" si="484"/>
        <v>16.100000000000001</v>
      </c>
      <c r="G256" s="44">
        <f t="shared" si="485"/>
        <v>12.880000000000003</v>
      </c>
      <c r="H256" s="44">
        <f t="shared" si="486"/>
        <v>8.0500000000000007</v>
      </c>
      <c r="I256" s="44">
        <f t="shared" si="472"/>
        <v>8</v>
      </c>
      <c r="J256" s="45">
        <f t="shared" si="518"/>
        <v>0</v>
      </c>
      <c r="K256" s="87" t="s">
        <v>683</v>
      </c>
      <c r="L256" s="44">
        <f t="shared" ref="L256:N256" si="549">L255</f>
        <v>0.2</v>
      </c>
      <c r="M256" s="44">
        <f t="shared" si="549"/>
        <v>150</v>
      </c>
      <c r="N256" s="44">
        <f t="shared" si="549"/>
        <v>750</v>
      </c>
      <c r="P256" s="38">
        <f t="shared" si="474"/>
        <v>13</v>
      </c>
      <c r="Q256" s="38">
        <f t="shared" si="475"/>
        <v>15</v>
      </c>
      <c r="R256" s="39">
        <f t="shared" si="476"/>
        <v>0.90555004379283888</v>
      </c>
      <c r="S256" s="39">
        <f t="shared" si="477"/>
        <v>0.9567860817362277</v>
      </c>
      <c r="T256" s="39">
        <f t="shared" si="480"/>
        <v>5.1236037943388824E-2</v>
      </c>
      <c r="U256" s="89">
        <f t="shared" si="504"/>
        <v>8.3993504825227575E-4</v>
      </c>
    </row>
    <row r="257" spans="1:21" ht="15.75" thickBot="1" x14ac:dyDescent="0.3">
      <c r="A257" s="41">
        <f t="shared" ref="A257:B257" si="550">A256+1</f>
        <v>247</v>
      </c>
      <c r="B257" s="42">
        <f t="shared" si="550"/>
        <v>247</v>
      </c>
      <c r="C257" s="92" t="str">
        <f t="shared" si="430"/>
        <v>L11X14-000_000_37</v>
      </c>
      <c r="D257" s="43">
        <f t="shared" si="471"/>
        <v>14</v>
      </c>
      <c r="E257" s="61">
        <f t="shared" si="465"/>
        <v>2.2540000000000004</v>
      </c>
      <c r="F257" s="44">
        <f t="shared" si="484"/>
        <v>16.100000000000001</v>
      </c>
      <c r="G257" s="44">
        <f t="shared" si="485"/>
        <v>12.880000000000003</v>
      </c>
      <c r="H257" s="44">
        <f t="shared" si="486"/>
        <v>8.0500000000000007</v>
      </c>
      <c r="I257" s="44">
        <f t="shared" si="472"/>
        <v>8</v>
      </c>
      <c r="J257" s="45">
        <f t="shared" si="518"/>
        <v>0</v>
      </c>
      <c r="K257" s="87" t="s">
        <v>684</v>
      </c>
      <c r="L257" s="44">
        <f t="shared" ref="L257:N257" si="551">L256</f>
        <v>0.2</v>
      </c>
      <c r="M257" s="44">
        <f t="shared" si="551"/>
        <v>150</v>
      </c>
      <c r="N257" s="44">
        <f t="shared" si="551"/>
        <v>750</v>
      </c>
      <c r="P257" s="38">
        <f t="shared" si="474"/>
        <v>13</v>
      </c>
      <c r="Q257" s="38">
        <f t="shared" si="475"/>
        <v>15</v>
      </c>
      <c r="R257" s="39">
        <f t="shared" si="476"/>
        <v>0.90555004379283888</v>
      </c>
      <c r="S257" s="39">
        <f t="shared" si="477"/>
        <v>0.9567860817362277</v>
      </c>
      <c r="T257" s="39">
        <f t="shared" si="480"/>
        <v>5.1236037943388824E-2</v>
      </c>
      <c r="U257" s="89">
        <f t="shared" si="504"/>
        <v>8.3993504825227575E-4</v>
      </c>
    </row>
    <row r="258" spans="1:21" ht="15.75" thickBot="1" x14ac:dyDescent="0.3">
      <c r="A258" s="41">
        <f t="shared" ref="A258:B258" si="552">A257+1</f>
        <v>248</v>
      </c>
      <c r="B258" s="42">
        <f t="shared" si="552"/>
        <v>248</v>
      </c>
      <c r="C258" s="92" t="str">
        <f t="shared" si="430"/>
        <v>L11X14-000_000_38</v>
      </c>
      <c r="D258" s="43">
        <f t="shared" si="471"/>
        <v>14</v>
      </c>
      <c r="E258" s="61">
        <f t="shared" si="465"/>
        <v>2.2540000000000004</v>
      </c>
      <c r="F258" s="44">
        <f t="shared" si="484"/>
        <v>16.100000000000001</v>
      </c>
      <c r="G258" s="44">
        <f t="shared" si="485"/>
        <v>12.880000000000003</v>
      </c>
      <c r="H258" s="44">
        <f t="shared" si="486"/>
        <v>8.0500000000000007</v>
      </c>
      <c r="I258" s="44">
        <f t="shared" si="472"/>
        <v>8</v>
      </c>
      <c r="J258" s="45">
        <f t="shared" si="518"/>
        <v>0</v>
      </c>
      <c r="K258" s="87" t="s">
        <v>685</v>
      </c>
      <c r="L258" s="44">
        <f t="shared" ref="L258:N258" si="553">L257</f>
        <v>0.2</v>
      </c>
      <c r="M258" s="44">
        <f t="shared" si="553"/>
        <v>150</v>
      </c>
      <c r="N258" s="44">
        <f t="shared" si="553"/>
        <v>750</v>
      </c>
      <c r="P258" s="38">
        <f t="shared" si="474"/>
        <v>13</v>
      </c>
      <c r="Q258" s="38">
        <f t="shared" si="475"/>
        <v>15</v>
      </c>
      <c r="R258" s="39">
        <f t="shared" si="476"/>
        <v>0.90555004379283888</v>
      </c>
      <c r="S258" s="39">
        <f t="shared" si="477"/>
        <v>0.9567860817362277</v>
      </c>
      <c r="T258" s="39">
        <f t="shared" si="480"/>
        <v>5.1236037943388824E-2</v>
      </c>
      <c r="U258" s="89">
        <f t="shared" si="504"/>
        <v>8.3993504825227575E-4</v>
      </c>
    </row>
    <row r="259" spans="1:21" ht="15.75" thickBot="1" x14ac:dyDescent="0.3">
      <c r="A259" s="41">
        <f t="shared" ref="A259:B259" si="554">A258+1</f>
        <v>249</v>
      </c>
      <c r="B259" s="42">
        <f t="shared" si="554"/>
        <v>249</v>
      </c>
      <c r="C259" s="92" t="str">
        <f t="shared" si="430"/>
        <v>L11X14-000_000_39</v>
      </c>
      <c r="D259" s="43">
        <f t="shared" si="471"/>
        <v>14</v>
      </c>
      <c r="E259" s="61">
        <f t="shared" si="465"/>
        <v>2.2540000000000004</v>
      </c>
      <c r="F259" s="44">
        <f t="shared" si="484"/>
        <v>16.100000000000001</v>
      </c>
      <c r="G259" s="44">
        <f t="shared" si="485"/>
        <v>12.880000000000003</v>
      </c>
      <c r="H259" s="44">
        <f t="shared" si="486"/>
        <v>8.0500000000000007</v>
      </c>
      <c r="I259" s="44">
        <f t="shared" si="472"/>
        <v>8</v>
      </c>
      <c r="J259" s="45">
        <f t="shared" si="518"/>
        <v>0</v>
      </c>
      <c r="K259" s="87" t="s">
        <v>686</v>
      </c>
      <c r="L259" s="44">
        <f t="shared" ref="L259:N259" si="555">L258</f>
        <v>0.2</v>
      </c>
      <c r="M259" s="44">
        <f t="shared" si="555"/>
        <v>150</v>
      </c>
      <c r="N259" s="44">
        <f t="shared" si="555"/>
        <v>750</v>
      </c>
      <c r="P259" s="38">
        <f t="shared" si="474"/>
        <v>13</v>
      </c>
      <c r="Q259" s="38">
        <f t="shared" si="475"/>
        <v>15</v>
      </c>
      <c r="R259" s="39">
        <f t="shared" si="476"/>
        <v>0.90555004379283888</v>
      </c>
      <c r="S259" s="39">
        <f t="shared" si="477"/>
        <v>0.9567860817362277</v>
      </c>
      <c r="T259" s="39">
        <f t="shared" si="480"/>
        <v>5.1236037943388824E-2</v>
      </c>
      <c r="U259" s="89">
        <f t="shared" si="504"/>
        <v>8.3993504825227575E-4</v>
      </c>
    </row>
    <row r="260" spans="1:21" ht="15.75" thickBot="1" x14ac:dyDescent="0.3">
      <c r="A260" s="41">
        <f t="shared" ref="A260:B260" si="556">A259+1</f>
        <v>250</v>
      </c>
      <c r="B260" s="42">
        <f t="shared" si="556"/>
        <v>250</v>
      </c>
      <c r="C260" s="92" t="str">
        <f t="shared" si="430"/>
        <v>L11X14-000_000_40</v>
      </c>
      <c r="D260" s="43">
        <f t="shared" si="471"/>
        <v>14</v>
      </c>
      <c r="E260" s="61">
        <f t="shared" si="465"/>
        <v>2.2540000000000004</v>
      </c>
      <c r="F260" s="44">
        <f t="shared" si="484"/>
        <v>16.100000000000001</v>
      </c>
      <c r="G260" s="44">
        <f t="shared" si="485"/>
        <v>12.880000000000003</v>
      </c>
      <c r="H260" s="44">
        <f t="shared" si="486"/>
        <v>8.0500000000000007</v>
      </c>
      <c r="I260" s="44">
        <f t="shared" si="472"/>
        <v>8</v>
      </c>
      <c r="J260" s="45">
        <f t="shared" si="518"/>
        <v>0</v>
      </c>
      <c r="K260" s="87" t="s">
        <v>687</v>
      </c>
      <c r="L260" s="44">
        <f t="shared" ref="L260:N260" si="557">L259</f>
        <v>0.2</v>
      </c>
      <c r="M260" s="44">
        <f t="shared" si="557"/>
        <v>150</v>
      </c>
      <c r="N260" s="44">
        <f t="shared" si="557"/>
        <v>750</v>
      </c>
      <c r="P260" s="38">
        <f t="shared" si="474"/>
        <v>13</v>
      </c>
      <c r="Q260" s="38">
        <f t="shared" si="475"/>
        <v>15</v>
      </c>
      <c r="R260" s="39">
        <f t="shared" si="476"/>
        <v>0.90555004379283888</v>
      </c>
      <c r="S260" s="39">
        <f t="shared" si="477"/>
        <v>0.9567860817362277</v>
      </c>
      <c r="T260" s="39">
        <f t="shared" si="480"/>
        <v>5.1236037943388824E-2</v>
      </c>
      <c r="U260" s="89">
        <f t="shared" si="504"/>
        <v>8.3993504825227575E-4</v>
      </c>
    </row>
    <row r="261" spans="1:21" ht="15.75" thickBot="1" x14ac:dyDescent="0.3">
      <c r="A261" s="41">
        <f t="shared" ref="A261:B261" si="558">A260+1</f>
        <v>251</v>
      </c>
      <c r="B261" s="42">
        <f t="shared" si="558"/>
        <v>251</v>
      </c>
      <c r="C261" s="92" t="str">
        <f t="shared" si="430"/>
        <v>L11X14-008_000_41</v>
      </c>
      <c r="D261" s="43">
        <f t="shared" si="471"/>
        <v>14</v>
      </c>
      <c r="E261" s="61">
        <f t="shared" si="465"/>
        <v>2.2540000000000004</v>
      </c>
      <c r="F261" s="44">
        <f t="shared" si="484"/>
        <v>16.100000000000001</v>
      </c>
      <c r="G261" s="44">
        <f t="shared" si="485"/>
        <v>12.880000000000003</v>
      </c>
      <c r="H261" s="44">
        <f t="shared" si="486"/>
        <v>8.0500000000000007</v>
      </c>
      <c r="I261" s="44">
        <f t="shared" si="472"/>
        <v>8</v>
      </c>
      <c r="J261" s="45">
        <f t="shared" ref="J261:J280" si="559">yaw_max</f>
        <v>8</v>
      </c>
      <c r="K261" s="87" t="s">
        <v>688</v>
      </c>
      <c r="L261" s="44">
        <f t="shared" ref="L261:N261" si="560">L260</f>
        <v>0.2</v>
      </c>
      <c r="M261" s="44">
        <f t="shared" si="560"/>
        <v>150</v>
      </c>
      <c r="N261" s="44">
        <f t="shared" si="560"/>
        <v>750</v>
      </c>
      <c r="P261" s="38">
        <f t="shared" si="474"/>
        <v>13</v>
      </c>
      <c r="Q261" s="38">
        <f t="shared" si="475"/>
        <v>15</v>
      </c>
      <c r="R261" s="39">
        <f t="shared" si="476"/>
        <v>0.90555004379283888</v>
      </c>
      <c r="S261" s="39">
        <f t="shared" si="477"/>
        <v>0.9567860817362277</v>
      </c>
      <c r="T261" s="39">
        <f t="shared" si="480"/>
        <v>5.1236037943388824E-2</v>
      </c>
      <c r="U261" s="89">
        <f t="shared" si="504"/>
        <v>8.3993504825227575E-4</v>
      </c>
    </row>
    <row r="262" spans="1:21" ht="15.75" thickBot="1" x14ac:dyDescent="0.3">
      <c r="A262" s="41">
        <f t="shared" ref="A262:B262" si="561">A261+1</f>
        <v>252</v>
      </c>
      <c r="B262" s="42">
        <f t="shared" si="561"/>
        <v>252</v>
      </c>
      <c r="C262" s="92" t="str">
        <f t="shared" si="430"/>
        <v>L11X14-008_000_42</v>
      </c>
      <c r="D262" s="43">
        <f t="shared" si="471"/>
        <v>14</v>
      </c>
      <c r="E262" s="61">
        <f t="shared" si="465"/>
        <v>2.2540000000000004</v>
      </c>
      <c r="F262" s="44">
        <f t="shared" si="484"/>
        <v>16.100000000000001</v>
      </c>
      <c r="G262" s="44">
        <f t="shared" si="485"/>
        <v>12.880000000000003</v>
      </c>
      <c r="H262" s="44">
        <f t="shared" si="486"/>
        <v>8.0500000000000007</v>
      </c>
      <c r="I262" s="44">
        <f t="shared" si="472"/>
        <v>8</v>
      </c>
      <c r="J262" s="45">
        <f t="shared" si="559"/>
        <v>8</v>
      </c>
      <c r="K262" s="87" t="s">
        <v>689</v>
      </c>
      <c r="L262" s="44">
        <f t="shared" ref="L262:N262" si="562">L261</f>
        <v>0.2</v>
      </c>
      <c r="M262" s="44">
        <f t="shared" si="562"/>
        <v>150</v>
      </c>
      <c r="N262" s="44">
        <f t="shared" si="562"/>
        <v>750</v>
      </c>
      <c r="P262" s="38">
        <f t="shared" si="474"/>
        <v>13</v>
      </c>
      <c r="Q262" s="38">
        <f t="shared" si="475"/>
        <v>15</v>
      </c>
      <c r="R262" s="39">
        <f t="shared" si="476"/>
        <v>0.90555004379283888</v>
      </c>
      <c r="S262" s="39">
        <f t="shared" si="477"/>
        <v>0.9567860817362277</v>
      </c>
      <c r="T262" s="39">
        <f t="shared" si="480"/>
        <v>5.1236037943388824E-2</v>
      </c>
      <c r="U262" s="89">
        <f t="shared" si="504"/>
        <v>8.3993504825227575E-4</v>
      </c>
    </row>
    <row r="263" spans="1:21" ht="15.75" thickBot="1" x14ac:dyDescent="0.3">
      <c r="A263" s="41">
        <f t="shared" ref="A263:B263" si="563">A262+1</f>
        <v>253</v>
      </c>
      <c r="B263" s="42">
        <f t="shared" si="563"/>
        <v>253</v>
      </c>
      <c r="C263" s="92" t="str">
        <f t="shared" si="430"/>
        <v>L11X14-008_000_43</v>
      </c>
      <c r="D263" s="43">
        <f t="shared" si="471"/>
        <v>14</v>
      </c>
      <c r="E263" s="61">
        <f t="shared" si="465"/>
        <v>2.2540000000000004</v>
      </c>
      <c r="F263" s="44">
        <f t="shared" si="484"/>
        <v>16.100000000000001</v>
      </c>
      <c r="G263" s="44">
        <f t="shared" si="485"/>
        <v>12.880000000000003</v>
      </c>
      <c r="H263" s="44">
        <f t="shared" si="486"/>
        <v>8.0500000000000007</v>
      </c>
      <c r="I263" s="44">
        <f t="shared" si="472"/>
        <v>8</v>
      </c>
      <c r="J263" s="45">
        <f t="shared" si="559"/>
        <v>8</v>
      </c>
      <c r="K263" s="87" t="s">
        <v>690</v>
      </c>
      <c r="L263" s="44">
        <f t="shared" ref="L263:N263" si="564">L262</f>
        <v>0.2</v>
      </c>
      <c r="M263" s="44">
        <f t="shared" si="564"/>
        <v>150</v>
      </c>
      <c r="N263" s="44">
        <f t="shared" si="564"/>
        <v>750</v>
      </c>
      <c r="P263" s="38">
        <f t="shared" si="474"/>
        <v>13</v>
      </c>
      <c r="Q263" s="38">
        <f t="shared" si="475"/>
        <v>15</v>
      </c>
      <c r="R263" s="39">
        <f t="shared" si="476"/>
        <v>0.90555004379283888</v>
      </c>
      <c r="S263" s="39">
        <f t="shared" si="477"/>
        <v>0.9567860817362277</v>
      </c>
      <c r="T263" s="39">
        <f t="shared" si="480"/>
        <v>5.1236037943388824E-2</v>
      </c>
      <c r="U263" s="89">
        <f t="shared" si="504"/>
        <v>8.3993504825227575E-4</v>
      </c>
    </row>
    <row r="264" spans="1:21" ht="15.75" thickBot="1" x14ac:dyDescent="0.3">
      <c r="A264" s="41">
        <f t="shared" ref="A264:B264" si="565">A263+1</f>
        <v>254</v>
      </c>
      <c r="B264" s="42">
        <f t="shared" si="565"/>
        <v>254</v>
      </c>
      <c r="C264" s="92" t="str">
        <f t="shared" si="430"/>
        <v>L11X14-008_000_44</v>
      </c>
      <c r="D264" s="43">
        <f t="shared" si="471"/>
        <v>14</v>
      </c>
      <c r="E264" s="61">
        <f t="shared" si="465"/>
        <v>2.2540000000000004</v>
      </c>
      <c r="F264" s="44">
        <f t="shared" si="484"/>
        <v>16.100000000000001</v>
      </c>
      <c r="G264" s="44">
        <f t="shared" si="485"/>
        <v>12.880000000000003</v>
      </c>
      <c r="H264" s="44">
        <f t="shared" si="486"/>
        <v>8.0500000000000007</v>
      </c>
      <c r="I264" s="44">
        <f t="shared" si="472"/>
        <v>8</v>
      </c>
      <c r="J264" s="45">
        <f t="shared" si="559"/>
        <v>8</v>
      </c>
      <c r="K264" s="87" t="s">
        <v>691</v>
      </c>
      <c r="L264" s="44">
        <f t="shared" ref="L264:N264" si="566">L263</f>
        <v>0.2</v>
      </c>
      <c r="M264" s="44">
        <f t="shared" si="566"/>
        <v>150</v>
      </c>
      <c r="N264" s="44">
        <f t="shared" si="566"/>
        <v>750</v>
      </c>
      <c r="P264" s="38">
        <f t="shared" si="474"/>
        <v>13</v>
      </c>
      <c r="Q264" s="38">
        <f t="shared" si="475"/>
        <v>15</v>
      </c>
      <c r="R264" s="39">
        <f t="shared" si="476"/>
        <v>0.90555004379283888</v>
      </c>
      <c r="S264" s="39">
        <f t="shared" si="477"/>
        <v>0.9567860817362277</v>
      </c>
      <c r="T264" s="39">
        <f t="shared" si="480"/>
        <v>5.1236037943388824E-2</v>
      </c>
      <c r="U264" s="89">
        <f t="shared" si="504"/>
        <v>8.3993504825227575E-4</v>
      </c>
    </row>
    <row r="265" spans="1:21" ht="15.75" thickBot="1" x14ac:dyDescent="0.3">
      <c r="A265" s="41">
        <f t="shared" ref="A265:B265" si="567">A264+1</f>
        <v>255</v>
      </c>
      <c r="B265" s="42">
        <f t="shared" si="567"/>
        <v>255</v>
      </c>
      <c r="C265" s="92" t="str">
        <f t="shared" si="430"/>
        <v>L11X14-008_000_45</v>
      </c>
      <c r="D265" s="43">
        <f t="shared" si="471"/>
        <v>14</v>
      </c>
      <c r="E265" s="61">
        <f t="shared" si="465"/>
        <v>2.2540000000000004</v>
      </c>
      <c r="F265" s="44">
        <f t="shared" si="484"/>
        <v>16.100000000000001</v>
      </c>
      <c r="G265" s="44">
        <f t="shared" si="485"/>
        <v>12.880000000000003</v>
      </c>
      <c r="H265" s="44">
        <f t="shared" si="486"/>
        <v>8.0500000000000007</v>
      </c>
      <c r="I265" s="44">
        <f t="shared" si="472"/>
        <v>8</v>
      </c>
      <c r="J265" s="45">
        <f t="shared" si="559"/>
        <v>8</v>
      </c>
      <c r="K265" s="87" t="s">
        <v>692</v>
      </c>
      <c r="L265" s="44">
        <f t="shared" ref="L265:N265" si="568">L264</f>
        <v>0.2</v>
      </c>
      <c r="M265" s="44">
        <f t="shared" si="568"/>
        <v>150</v>
      </c>
      <c r="N265" s="44">
        <f t="shared" si="568"/>
        <v>750</v>
      </c>
      <c r="P265" s="38">
        <f t="shared" si="474"/>
        <v>13</v>
      </c>
      <c r="Q265" s="38">
        <f t="shared" si="475"/>
        <v>15</v>
      </c>
      <c r="R265" s="39">
        <f t="shared" si="476"/>
        <v>0.90555004379283888</v>
      </c>
      <c r="S265" s="39">
        <f t="shared" si="477"/>
        <v>0.9567860817362277</v>
      </c>
      <c r="T265" s="39">
        <f t="shared" si="480"/>
        <v>5.1236037943388824E-2</v>
      </c>
      <c r="U265" s="89">
        <f t="shared" si="504"/>
        <v>8.3993504825227575E-4</v>
      </c>
    </row>
    <row r="266" spans="1:21" ht="15.75" thickBot="1" x14ac:dyDescent="0.3">
      <c r="A266" s="41">
        <f t="shared" ref="A266:B266" si="569">A265+1</f>
        <v>256</v>
      </c>
      <c r="B266" s="42">
        <f t="shared" si="569"/>
        <v>256</v>
      </c>
      <c r="C266" s="92" t="str">
        <f t="shared" si="430"/>
        <v>L11X14-008_000_46</v>
      </c>
      <c r="D266" s="43">
        <f t="shared" si="471"/>
        <v>14</v>
      </c>
      <c r="E266" s="61">
        <f t="shared" si="465"/>
        <v>2.2540000000000004</v>
      </c>
      <c r="F266" s="44">
        <f t="shared" si="484"/>
        <v>16.100000000000001</v>
      </c>
      <c r="G266" s="44">
        <f t="shared" si="485"/>
        <v>12.880000000000003</v>
      </c>
      <c r="H266" s="44">
        <f t="shared" si="486"/>
        <v>8.0500000000000007</v>
      </c>
      <c r="I266" s="44">
        <f t="shared" si="472"/>
        <v>8</v>
      </c>
      <c r="J266" s="45">
        <f t="shared" si="559"/>
        <v>8</v>
      </c>
      <c r="K266" s="87" t="s">
        <v>693</v>
      </c>
      <c r="L266" s="44">
        <f t="shared" ref="L266:N266" si="570">L265</f>
        <v>0.2</v>
      </c>
      <c r="M266" s="44">
        <f t="shared" si="570"/>
        <v>150</v>
      </c>
      <c r="N266" s="44">
        <f t="shared" si="570"/>
        <v>750</v>
      </c>
      <c r="P266" s="38">
        <f t="shared" si="474"/>
        <v>13</v>
      </c>
      <c r="Q266" s="38">
        <f t="shared" si="475"/>
        <v>15</v>
      </c>
      <c r="R266" s="39">
        <f t="shared" si="476"/>
        <v>0.90555004379283888</v>
      </c>
      <c r="S266" s="39">
        <f t="shared" si="477"/>
        <v>0.9567860817362277</v>
      </c>
      <c r="T266" s="39">
        <f t="shared" si="480"/>
        <v>5.1236037943388824E-2</v>
      </c>
      <c r="U266" s="89">
        <f t="shared" si="504"/>
        <v>8.3993504825227575E-4</v>
      </c>
    </row>
    <row r="267" spans="1:21" ht="15.75" thickBot="1" x14ac:dyDescent="0.3">
      <c r="A267" s="41">
        <f t="shared" ref="A267:B267" si="571">A266+1</f>
        <v>257</v>
      </c>
      <c r="B267" s="42">
        <f t="shared" si="571"/>
        <v>257</v>
      </c>
      <c r="C267" s="92" t="str">
        <f t="shared" si="430"/>
        <v>L11X14-008_000_47</v>
      </c>
      <c r="D267" s="43">
        <f t="shared" si="471"/>
        <v>14</v>
      </c>
      <c r="E267" s="61">
        <f t="shared" si="465"/>
        <v>2.2540000000000004</v>
      </c>
      <c r="F267" s="44">
        <f t="shared" si="484"/>
        <v>16.100000000000001</v>
      </c>
      <c r="G267" s="44">
        <f t="shared" si="485"/>
        <v>12.880000000000003</v>
      </c>
      <c r="H267" s="44">
        <f t="shared" si="486"/>
        <v>8.0500000000000007</v>
      </c>
      <c r="I267" s="44">
        <f t="shared" si="472"/>
        <v>8</v>
      </c>
      <c r="J267" s="45">
        <f t="shared" si="559"/>
        <v>8</v>
      </c>
      <c r="K267" s="87" t="s">
        <v>694</v>
      </c>
      <c r="L267" s="44">
        <f t="shared" ref="L267:N267" si="572">L266</f>
        <v>0.2</v>
      </c>
      <c r="M267" s="44">
        <f t="shared" si="572"/>
        <v>150</v>
      </c>
      <c r="N267" s="44">
        <f t="shared" si="572"/>
        <v>750</v>
      </c>
      <c r="P267" s="38">
        <f t="shared" si="474"/>
        <v>13</v>
      </c>
      <c r="Q267" s="38">
        <f t="shared" si="475"/>
        <v>15</v>
      </c>
      <c r="R267" s="39">
        <f t="shared" si="476"/>
        <v>0.90555004379283888</v>
      </c>
      <c r="S267" s="39">
        <f t="shared" si="477"/>
        <v>0.9567860817362277</v>
      </c>
      <c r="T267" s="39">
        <f t="shared" si="480"/>
        <v>5.1236037943388824E-2</v>
      </c>
      <c r="U267" s="89">
        <f t="shared" si="504"/>
        <v>8.3993504825227575E-4</v>
      </c>
    </row>
    <row r="268" spans="1:21" ht="15.75" thickBot="1" x14ac:dyDescent="0.3">
      <c r="A268" s="41">
        <f t="shared" ref="A268:B268" si="573">A267+1</f>
        <v>258</v>
      </c>
      <c r="B268" s="42">
        <f t="shared" si="573"/>
        <v>258</v>
      </c>
      <c r="C268" s="92" t="str">
        <f t="shared" ref="C268:C331" si="574">TEXT(RIGHT($B$2,LEN($B$2)-3),"L00")&amp;"X"&amp;TEXT(D268,"00")&amp;"-"&amp;IF(J268&lt;0,TEXT(360+J268,"000"),TEXT(J268,"000"))&amp;"_"&amp;"000"&amp;"_"&amp;TEXT(RIGHT(K268,LEN(K268)-FIND("-",K268)),"00")</f>
        <v>L11X14-008_000_48</v>
      </c>
      <c r="D268" s="43">
        <f t="shared" si="471"/>
        <v>14</v>
      </c>
      <c r="E268" s="61">
        <f t="shared" si="465"/>
        <v>2.2540000000000004</v>
      </c>
      <c r="F268" s="44">
        <f t="shared" si="484"/>
        <v>16.100000000000001</v>
      </c>
      <c r="G268" s="44">
        <f t="shared" si="485"/>
        <v>12.880000000000003</v>
      </c>
      <c r="H268" s="44">
        <f t="shared" si="486"/>
        <v>8.0500000000000007</v>
      </c>
      <c r="I268" s="44">
        <f t="shared" si="472"/>
        <v>8</v>
      </c>
      <c r="J268" s="45">
        <f t="shared" si="559"/>
        <v>8</v>
      </c>
      <c r="K268" s="87" t="s">
        <v>695</v>
      </c>
      <c r="L268" s="44">
        <f t="shared" ref="L268:N268" si="575">L267</f>
        <v>0.2</v>
      </c>
      <c r="M268" s="44">
        <f t="shared" si="575"/>
        <v>150</v>
      </c>
      <c r="N268" s="44">
        <f t="shared" si="575"/>
        <v>750</v>
      </c>
      <c r="P268" s="38">
        <f t="shared" si="474"/>
        <v>13</v>
      </c>
      <c r="Q268" s="38">
        <f t="shared" si="475"/>
        <v>15</v>
      </c>
      <c r="R268" s="39">
        <f t="shared" si="476"/>
        <v>0.90555004379283888</v>
      </c>
      <c r="S268" s="39">
        <f t="shared" si="477"/>
        <v>0.9567860817362277</v>
      </c>
      <c r="T268" s="39">
        <f t="shared" si="480"/>
        <v>5.1236037943388824E-2</v>
      </c>
      <c r="U268" s="89">
        <f t="shared" si="504"/>
        <v>8.3993504825227575E-4</v>
      </c>
    </row>
    <row r="269" spans="1:21" ht="15.75" thickBot="1" x14ac:dyDescent="0.3">
      <c r="A269" s="41">
        <f t="shared" ref="A269:B269" si="576">A268+1</f>
        <v>259</v>
      </c>
      <c r="B269" s="42">
        <f t="shared" si="576"/>
        <v>259</v>
      </c>
      <c r="C269" s="92" t="str">
        <f t="shared" si="574"/>
        <v>L11X14-008_000_49</v>
      </c>
      <c r="D269" s="43">
        <f t="shared" si="471"/>
        <v>14</v>
      </c>
      <c r="E269" s="61">
        <f t="shared" si="465"/>
        <v>2.2540000000000004</v>
      </c>
      <c r="F269" s="44">
        <f t="shared" si="484"/>
        <v>16.100000000000001</v>
      </c>
      <c r="G269" s="44">
        <f t="shared" si="485"/>
        <v>12.880000000000003</v>
      </c>
      <c r="H269" s="44">
        <f t="shared" si="486"/>
        <v>8.0500000000000007</v>
      </c>
      <c r="I269" s="44">
        <f t="shared" si="472"/>
        <v>8</v>
      </c>
      <c r="J269" s="45">
        <f t="shared" si="559"/>
        <v>8</v>
      </c>
      <c r="K269" s="87" t="s">
        <v>696</v>
      </c>
      <c r="L269" s="44">
        <f t="shared" ref="L269:N269" si="577">L268</f>
        <v>0.2</v>
      </c>
      <c r="M269" s="44">
        <f t="shared" si="577"/>
        <v>150</v>
      </c>
      <c r="N269" s="44">
        <f t="shared" si="577"/>
        <v>750</v>
      </c>
      <c r="P269" s="38">
        <f t="shared" si="474"/>
        <v>13</v>
      </c>
      <c r="Q269" s="38">
        <f t="shared" si="475"/>
        <v>15</v>
      </c>
      <c r="R269" s="39">
        <f t="shared" si="476"/>
        <v>0.90555004379283888</v>
      </c>
      <c r="S269" s="39">
        <f t="shared" si="477"/>
        <v>0.9567860817362277</v>
      </c>
      <c r="T269" s="39">
        <f t="shared" si="480"/>
        <v>5.1236037943388824E-2</v>
      </c>
      <c r="U269" s="89">
        <f t="shared" si="504"/>
        <v>8.3993504825227575E-4</v>
      </c>
    </row>
    <row r="270" spans="1:21" ht="15.75" thickBot="1" x14ac:dyDescent="0.3">
      <c r="A270" s="41">
        <f t="shared" ref="A270:B270" si="578">A269+1</f>
        <v>260</v>
      </c>
      <c r="B270" s="42">
        <f t="shared" si="578"/>
        <v>260</v>
      </c>
      <c r="C270" s="92" t="str">
        <f t="shared" si="574"/>
        <v>L11X14-008_000_50</v>
      </c>
      <c r="D270" s="43">
        <f t="shared" si="471"/>
        <v>14</v>
      </c>
      <c r="E270" s="61">
        <f t="shared" si="465"/>
        <v>2.2540000000000004</v>
      </c>
      <c r="F270" s="44">
        <f t="shared" si="484"/>
        <v>16.100000000000001</v>
      </c>
      <c r="G270" s="44">
        <f t="shared" si="485"/>
        <v>12.880000000000003</v>
      </c>
      <c r="H270" s="44">
        <f t="shared" si="486"/>
        <v>8.0500000000000007</v>
      </c>
      <c r="I270" s="44">
        <f t="shared" si="472"/>
        <v>8</v>
      </c>
      <c r="J270" s="45">
        <f t="shared" si="559"/>
        <v>8</v>
      </c>
      <c r="K270" s="87" t="s">
        <v>697</v>
      </c>
      <c r="L270" s="44">
        <f t="shared" ref="L270:N270" si="579">L269</f>
        <v>0.2</v>
      </c>
      <c r="M270" s="44">
        <f t="shared" si="579"/>
        <v>150</v>
      </c>
      <c r="N270" s="44">
        <f t="shared" si="579"/>
        <v>750</v>
      </c>
      <c r="P270" s="38">
        <f t="shared" si="474"/>
        <v>13</v>
      </c>
      <c r="Q270" s="38">
        <f t="shared" si="475"/>
        <v>15</v>
      </c>
      <c r="R270" s="39">
        <f t="shared" si="476"/>
        <v>0.90555004379283888</v>
      </c>
      <c r="S270" s="39">
        <f t="shared" si="477"/>
        <v>0.9567860817362277</v>
      </c>
      <c r="T270" s="39">
        <f t="shared" si="480"/>
        <v>5.1236037943388824E-2</v>
      </c>
      <c r="U270" s="89">
        <f t="shared" si="504"/>
        <v>8.3993504825227575E-4</v>
      </c>
    </row>
    <row r="271" spans="1:21" ht="15.75" thickBot="1" x14ac:dyDescent="0.3">
      <c r="A271" s="41">
        <f t="shared" ref="A271:B271" si="580">A270+1</f>
        <v>261</v>
      </c>
      <c r="B271" s="42">
        <f t="shared" si="580"/>
        <v>261</v>
      </c>
      <c r="C271" s="92" t="str">
        <f t="shared" si="574"/>
        <v>L11X14-008_000_51</v>
      </c>
      <c r="D271" s="43">
        <f t="shared" si="471"/>
        <v>14</v>
      </c>
      <c r="E271" s="61">
        <f t="shared" si="465"/>
        <v>2.2540000000000004</v>
      </c>
      <c r="F271" s="44">
        <f t="shared" si="484"/>
        <v>16.100000000000001</v>
      </c>
      <c r="G271" s="44">
        <f t="shared" si="485"/>
        <v>12.880000000000003</v>
      </c>
      <c r="H271" s="44">
        <f t="shared" si="486"/>
        <v>8.0500000000000007</v>
      </c>
      <c r="I271" s="44">
        <f t="shared" si="472"/>
        <v>8</v>
      </c>
      <c r="J271" s="45">
        <f t="shared" si="559"/>
        <v>8</v>
      </c>
      <c r="K271" s="87" t="s">
        <v>698</v>
      </c>
      <c r="L271" s="44">
        <f t="shared" ref="L271:N271" si="581">L270</f>
        <v>0.2</v>
      </c>
      <c r="M271" s="44">
        <f t="shared" si="581"/>
        <v>150</v>
      </c>
      <c r="N271" s="44">
        <f t="shared" si="581"/>
        <v>750</v>
      </c>
      <c r="P271" s="38">
        <f t="shared" si="474"/>
        <v>13</v>
      </c>
      <c r="Q271" s="38">
        <f t="shared" si="475"/>
        <v>15</v>
      </c>
      <c r="R271" s="39">
        <f t="shared" si="476"/>
        <v>0.90555004379283888</v>
      </c>
      <c r="S271" s="39">
        <f t="shared" si="477"/>
        <v>0.9567860817362277</v>
      </c>
      <c r="T271" s="39">
        <f t="shared" si="480"/>
        <v>5.1236037943388824E-2</v>
      </c>
      <c r="U271" s="89">
        <f t="shared" si="504"/>
        <v>8.3993504825227575E-4</v>
      </c>
    </row>
    <row r="272" spans="1:21" ht="15.75" thickBot="1" x14ac:dyDescent="0.3">
      <c r="A272" s="41">
        <f t="shared" ref="A272:B272" si="582">A271+1</f>
        <v>262</v>
      </c>
      <c r="B272" s="42">
        <f t="shared" si="582"/>
        <v>262</v>
      </c>
      <c r="C272" s="92" t="str">
        <f t="shared" si="574"/>
        <v>L11X14-008_000_52</v>
      </c>
      <c r="D272" s="43">
        <f t="shared" si="471"/>
        <v>14</v>
      </c>
      <c r="E272" s="61">
        <f t="shared" si="465"/>
        <v>2.2540000000000004</v>
      </c>
      <c r="F272" s="44">
        <f t="shared" si="484"/>
        <v>16.100000000000001</v>
      </c>
      <c r="G272" s="44">
        <f t="shared" si="485"/>
        <v>12.880000000000003</v>
      </c>
      <c r="H272" s="44">
        <f t="shared" si="486"/>
        <v>8.0500000000000007</v>
      </c>
      <c r="I272" s="44">
        <f t="shared" si="472"/>
        <v>8</v>
      </c>
      <c r="J272" s="45">
        <f t="shared" si="559"/>
        <v>8</v>
      </c>
      <c r="K272" s="87" t="s">
        <v>699</v>
      </c>
      <c r="L272" s="44">
        <f t="shared" ref="L272:N272" si="583">L271</f>
        <v>0.2</v>
      </c>
      <c r="M272" s="44">
        <f t="shared" si="583"/>
        <v>150</v>
      </c>
      <c r="N272" s="44">
        <f t="shared" si="583"/>
        <v>750</v>
      </c>
      <c r="P272" s="38">
        <f t="shared" si="474"/>
        <v>13</v>
      </c>
      <c r="Q272" s="38">
        <f t="shared" si="475"/>
        <v>15</v>
      </c>
      <c r="R272" s="39">
        <f t="shared" si="476"/>
        <v>0.90555004379283888</v>
      </c>
      <c r="S272" s="39">
        <f t="shared" si="477"/>
        <v>0.9567860817362277</v>
      </c>
      <c r="T272" s="39">
        <f t="shared" si="480"/>
        <v>5.1236037943388824E-2</v>
      </c>
      <c r="U272" s="89">
        <f t="shared" si="504"/>
        <v>8.3993504825227575E-4</v>
      </c>
    </row>
    <row r="273" spans="1:21" ht="15.75" thickBot="1" x14ac:dyDescent="0.3">
      <c r="A273" s="41">
        <f t="shared" ref="A273:B273" si="584">A272+1</f>
        <v>263</v>
      </c>
      <c r="B273" s="42">
        <f t="shared" si="584"/>
        <v>263</v>
      </c>
      <c r="C273" s="92" t="str">
        <f t="shared" si="574"/>
        <v>L11X14-008_000_53</v>
      </c>
      <c r="D273" s="43">
        <f t="shared" si="471"/>
        <v>14</v>
      </c>
      <c r="E273" s="61">
        <f t="shared" si="465"/>
        <v>2.2540000000000004</v>
      </c>
      <c r="F273" s="44">
        <f t="shared" si="484"/>
        <v>16.100000000000001</v>
      </c>
      <c r="G273" s="44">
        <f t="shared" si="485"/>
        <v>12.880000000000003</v>
      </c>
      <c r="H273" s="44">
        <f t="shared" si="486"/>
        <v>8.0500000000000007</v>
      </c>
      <c r="I273" s="44">
        <f t="shared" si="472"/>
        <v>8</v>
      </c>
      <c r="J273" s="45">
        <f t="shared" si="559"/>
        <v>8</v>
      </c>
      <c r="K273" s="87" t="s">
        <v>700</v>
      </c>
      <c r="L273" s="44">
        <f t="shared" ref="L273:N273" si="585">L272</f>
        <v>0.2</v>
      </c>
      <c r="M273" s="44">
        <f t="shared" si="585"/>
        <v>150</v>
      </c>
      <c r="N273" s="44">
        <f t="shared" si="585"/>
        <v>750</v>
      </c>
      <c r="P273" s="38">
        <f t="shared" si="474"/>
        <v>13</v>
      </c>
      <c r="Q273" s="38">
        <f t="shared" si="475"/>
        <v>15</v>
      </c>
      <c r="R273" s="39">
        <f t="shared" si="476"/>
        <v>0.90555004379283888</v>
      </c>
      <c r="S273" s="39">
        <f t="shared" si="477"/>
        <v>0.9567860817362277</v>
      </c>
      <c r="T273" s="39">
        <f t="shared" si="480"/>
        <v>5.1236037943388824E-2</v>
      </c>
      <c r="U273" s="89">
        <f t="shared" si="504"/>
        <v>8.3993504825227575E-4</v>
      </c>
    </row>
    <row r="274" spans="1:21" ht="15.75" thickBot="1" x14ac:dyDescent="0.3">
      <c r="A274" s="41">
        <f t="shared" ref="A274:B274" si="586">A273+1</f>
        <v>264</v>
      </c>
      <c r="B274" s="42">
        <f t="shared" si="586"/>
        <v>264</v>
      </c>
      <c r="C274" s="92" t="str">
        <f t="shared" si="574"/>
        <v>L11X14-008_000_54</v>
      </c>
      <c r="D274" s="43">
        <f t="shared" si="471"/>
        <v>14</v>
      </c>
      <c r="E274" s="61">
        <f t="shared" si="465"/>
        <v>2.2540000000000004</v>
      </c>
      <c r="F274" s="44">
        <f t="shared" si="484"/>
        <v>16.100000000000001</v>
      </c>
      <c r="G274" s="44">
        <f t="shared" si="485"/>
        <v>12.880000000000003</v>
      </c>
      <c r="H274" s="44">
        <f t="shared" si="486"/>
        <v>8.0500000000000007</v>
      </c>
      <c r="I274" s="44">
        <f t="shared" si="472"/>
        <v>8</v>
      </c>
      <c r="J274" s="45">
        <f t="shared" si="559"/>
        <v>8</v>
      </c>
      <c r="K274" s="87" t="s">
        <v>701</v>
      </c>
      <c r="L274" s="44">
        <f t="shared" ref="L274:N274" si="587">L273</f>
        <v>0.2</v>
      </c>
      <c r="M274" s="44">
        <f t="shared" si="587"/>
        <v>150</v>
      </c>
      <c r="N274" s="44">
        <f t="shared" si="587"/>
        <v>750</v>
      </c>
      <c r="P274" s="38">
        <f t="shared" si="474"/>
        <v>13</v>
      </c>
      <c r="Q274" s="38">
        <f t="shared" si="475"/>
        <v>15</v>
      </c>
      <c r="R274" s="39">
        <f t="shared" si="476"/>
        <v>0.90555004379283888</v>
      </c>
      <c r="S274" s="39">
        <f t="shared" si="477"/>
        <v>0.9567860817362277</v>
      </c>
      <c r="T274" s="39">
        <f t="shared" si="480"/>
        <v>5.1236037943388824E-2</v>
      </c>
      <c r="U274" s="89">
        <f t="shared" si="504"/>
        <v>8.3993504825227575E-4</v>
      </c>
    </row>
    <row r="275" spans="1:21" ht="15.75" thickBot="1" x14ac:dyDescent="0.3">
      <c r="A275" s="41">
        <f t="shared" ref="A275:B275" si="588">A274+1</f>
        <v>265</v>
      </c>
      <c r="B275" s="42">
        <f t="shared" si="588"/>
        <v>265</v>
      </c>
      <c r="C275" s="92" t="str">
        <f t="shared" si="574"/>
        <v>L11X14-008_000_55</v>
      </c>
      <c r="D275" s="43">
        <f t="shared" si="471"/>
        <v>14</v>
      </c>
      <c r="E275" s="61">
        <f t="shared" si="465"/>
        <v>2.2540000000000004</v>
      </c>
      <c r="F275" s="44">
        <f t="shared" si="484"/>
        <v>16.100000000000001</v>
      </c>
      <c r="G275" s="44">
        <f t="shared" si="485"/>
        <v>12.880000000000003</v>
      </c>
      <c r="H275" s="44">
        <f t="shared" si="486"/>
        <v>8.0500000000000007</v>
      </c>
      <c r="I275" s="44">
        <f t="shared" si="472"/>
        <v>8</v>
      </c>
      <c r="J275" s="45">
        <f t="shared" si="559"/>
        <v>8</v>
      </c>
      <c r="K275" s="87" t="s">
        <v>702</v>
      </c>
      <c r="L275" s="44">
        <f t="shared" ref="L275:N275" si="589">L274</f>
        <v>0.2</v>
      </c>
      <c r="M275" s="44">
        <f t="shared" si="589"/>
        <v>150</v>
      </c>
      <c r="N275" s="44">
        <f t="shared" si="589"/>
        <v>750</v>
      </c>
      <c r="P275" s="38">
        <f t="shared" si="474"/>
        <v>13</v>
      </c>
      <c r="Q275" s="38">
        <f t="shared" si="475"/>
        <v>15</v>
      </c>
      <c r="R275" s="39">
        <f t="shared" si="476"/>
        <v>0.90555004379283888</v>
      </c>
      <c r="S275" s="39">
        <f t="shared" si="477"/>
        <v>0.9567860817362277</v>
      </c>
      <c r="T275" s="39">
        <f t="shared" si="480"/>
        <v>5.1236037943388824E-2</v>
      </c>
      <c r="U275" s="89">
        <f t="shared" si="504"/>
        <v>8.3993504825227575E-4</v>
      </c>
    </row>
    <row r="276" spans="1:21" ht="15.75" thickBot="1" x14ac:dyDescent="0.3">
      <c r="A276" s="41">
        <f t="shared" ref="A276:B276" si="590">A275+1</f>
        <v>266</v>
      </c>
      <c r="B276" s="42">
        <f t="shared" si="590"/>
        <v>266</v>
      </c>
      <c r="C276" s="92" t="str">
        <f t="shared" si="574"/>
        <v>L11X14-008_000_56</v>
      </c>
      <c r="D276" s="43">
        <f t="shared" si="471"/>
        <v>14</v>
      </c>
      <c r="E276" s="61">
        <f t="shared" si="465"/>
        <v>2.2540000000000004</v>
      </c>
      <c r="F276" s="44">
        <f t="shared" si="484"/>
        <v>16.100000000000001</v>
      </c>
      <c r="G276" s="44">
        <f t="shared" si="485"/>
        <v>12.880000000000003</v>
      </c>
      <c r="H276" s="44">
        <f t="shared" si="486"/>
        <v>8.0500000000000007</v>
      </c>
      <c r="I276" s="44">
        <f t="shared" si="472"/>
        <v>8</v>
      </c>
      <c r="J276" s="45">
        <f t="shared" si="559"/>
        <v>8</v>
      </c>
      <c r="K276" s="87" t="s">
        <v>703</v>
      </c>
      <c r="L276" s="44">
        <f t="shared" ref="L276:N276" si="591">L275</f>
        <v>0.2</v>
      </c>
      <c r="M276" s="44">
        <f t="shared" si="591"/>
        <v>150</v>
      </c>
      <c r="N276" s="44">
        <f t="shared" si="591"/>
        <v>750</v>
      </c>
      <c r="P276" s="38">
        <f t="shared" si="474"/>
        <v>13</v>
      </c>
      <c r="Q276" s="38">
        <f t="shared" si="475"/>
        <v>15</v>
      </c>
      <c r="R276" s="39">
        <f t="shared" si="476"/>
        <v>0.90555004379283888</v>
      </c>
      <c r="S276" s="39">
        <f t="shared" si="477"/>
        <v>0.9567860817362277</v>
      </c>
      <c r="T276" s="39">
        <f t="shared" si="480"/>
        <v>5.1236037943388824E-2</v>
      </c>
      <c r="U276" s="89">
        <f t="shared" si="504"/>
        <v>8.3993504825227575E-4</v>
      </c>
    </row>
    <row r="277" spans="1:21" ht="15.75" thickBot="1" x14ac:dyDescent="0.3">
      <c r="A277" s="41">
        <f t="shared" ref="A277:B277" si="592">A276+1</f>
        <v>267</v>
      </c>
      <c r="B277" s="42">
        <f t="shared" si="592"/>
        <v>267</v>
      </c>
      <c r="C277" s="92" t="str">
        <f t="shared" si="574"/>
        <v>L11X14-008_000_57</v>
      </c>
      <c r="D277" s="43">
        <f t="shared" si="471"/>
        <v>14</v>
      </c>
      <c r="E277" s="61">
        <f t="shared" si="465"/>
        <v>2.2540000000000004</v>
      </c>
      <c r="F277" s="44">
        <f t="shared" si="484"/>
        <v>16.100000000000001</v>
      </c>
      <c r="G277" s="44">
        <f t="shared" si="485"/>
        <v>12.880000000000003</v>
      </c>
      <c r="H277" s="44">
        <f t="shared" si="486"/>
        <v>8.0500000000000007</v>
      </c>
      <c r="I277" s="44">
        <f t="shared" si="472"/>
        <v>8</v>
      </c>
      <c r="J277" s="45">
        <f t="shared" si="559"/>
        <v>8</v>
      </c>
      <c r="K277" s="87" t="s">
        <v>704</v>
      </c>
      <c r="L277" s="44">
        <f t="shared" ref="L277:N277" si="593">L276</f>
        <v>0.2</v>
      </c>
      <c r="M277" s="44">
        <f t="shared" si="593"/>
        <v>150</v>
      </c>
      <c r="N277" s="44">
        <f t="shared" si="593"/>
        <v>750</v>
      </c>
      <c r="P277" s="38">
        <f t="shared" si="474"/>
        <v>13</v>
      </c>
      <c r="Q277" s="38">
        <f t="shared" si="475"/>
        <v>15</v>
      </c>
      <c r="R277" s="39">
        <f t="shared" si="476"/>
        <v>0.90555004379283888</v>
      </c>
      <c r="S277" s="39">
        <f t="shared" si="477"/>
        <v>0.9567860817362277</v>
      </c>
      <c r="T277" s="39">
        <f t="shared" si="480"/>
        <v>5.1236037943388824E-2</v>
      </c>
      <c r="U277" s="89">
        <f t="shared" si="504"/>
        <v>8.3993504825227575E-4</v>
      </c>
    </row>
    <row r="278" spans="1:21" ht="15.75" thickBot="1" x14ac:dyDescent="0.3">
      <c r="A278" s="41">
        <f t="shared" ref="A278:B278" si="594">A277+1</f>
        <v>268</v>
      </c>
      <c r="B278" s="42">
        <f t="shared" si="594"/>
        <v>268</v>
      </c>
      <c r="C278" s="92" t="str">
        <f t="shared" si="574"/>
        <v>L11X14-008_000_58</v>
      </c>
      <c r="D278" s="43">
        <f t="shared" si="471"/>
        <v>14</v>
      </c>
      <c r="E278" s="61">
        <f t="shared" si="465"/>
        <v>2.2540000000000004</v>
      </c>
      <c r="F278" s="44">
        <f t="shared" si="484"/>
        <v>16.100000000000001</v>
      </c>
      <c r="G278" s="44">
        <f t="shared" si="485"/>
        <v>12.880000000000003</v>
      </c>
      <c r="H278" s="44">
        <f t="shared" si="486"/>
        <v>8.0500000000000007</v>
      </c>
      <c r="I278" s="44">
        <f t="shared" si="472"/>
        <v>8</v>
      </c>
      <c r="J278" s="45">
        <f t="shared" si="559"/>
        <v>8</v>
      </c>
      <c r="K278" s="87" t="s">
        <v>705</v>
      </c>
      <c r="L278" s="44">
        <f t="shared" ref="L278:N278" si="595">L277</f>
        <v>0.2</v>
      </c>
      <c r="M278" s="44">
        <f t="shared" si="595"/>
        <v>150</v>
      </c>
      <c r="N278" s="44">
        <f t="shared" si="595"/>
        <v>750</v>
      </c>
      <c r="P278" s="38">
        <f t="shared" si="474"/>
        <v>13</v>
      </c>
      <c r="Q278" s="38">
        <f t="shared" si="475"/>
        <v>15</v>
      </c>
      <c r="R278" s="39">
        <f t="shared" si="476"/>
        <v>0.90555004379283888</v>
      </c>
      <c r="S278" s="39">
        <f t="shared" si="477"/>
        <v>0.9567860817362277</v>
      </c>
      <c r="T278" s="39">
        <f t="shared" si="480"/>
        <v>5.1236037943388824E-2</v>
      </c>
      <c r="U278" s="89">
        <f t="shared" si="504"/>
        <v>8.3993504825227575E-4</v>
      </c>
    </row>
    <row r="279" spans="1:21" ht="15.75" thickBot="1" x14ac:dyDescent="0.3">
      <c r="A279" s="41">
        <f t="shared" ref="A279:B279" si="596">A278+1</f>
        <v>269</v>
      </c>
      <c r="B279" s="42">
        <f t="shared" si="596"/>
        <v>269</v>
      </c>
      <c r="C279" s="92" t="str">
        <f t="shared" si="574"/>
        <v>L11X14-008_000_59</v>
      </c>
      <c r="D279" s="43">
        <f t="shared" si="471"/>
        <v>14</v>
      </c>
      <c r="E279" s="61">
        <f t="shared" si="465"/>
        <v>2.2540000000000004</v>
      </c>
      <c r="F279" s="44">
        <f t="shared" si="484"/>
        <v>16.100000000000001</v>
      </c>
      <c r="G279" s="44">
        <f t="shared" si="485"/>
        <v>12.880000000000003</v>
      </c>
      <c r="H279" s="44">
        <f t="shared" si="486"/>
        <v>8.0500000000000007</v>
      </c>
      <c r="I279" s="44">
        <f t="shared" si="472"/>
        <v>8</v>
      </c>
      <c r="J279" s="45">
        <f t="shared" si="559"/>
        <v>8</v>
      </c>
      <c r="K279" s="87" t="s">
        <v>706</v>
      </c>
      <c r="L279" s="44">
        <f t="shared" ref="L279:N279" si="597">L278</f>
        <v>0.2</v>
      </c>
      <c r="M279" s="44">
        <f t="shared" si="597"/>
        <v>150</v>
      </c>
      <c r="N279" s="44">
        <f t="shared" si="597"/>
        <v>750</v>
      </c>
      <c r="P279" s="38">
        <f t="shared" si="474"/>
        <v>13</v>
      </c>
      <c r="Q279" s="38">
        <f t="shared" si="475"/>
        <v>15</v>
      </c>
      <c r="R279" s="39">
        <f t="shared" si="476"/>
        <v>0.90555004379283888</v>
      </c>
      <c r="S279" s="39">
        <f t="shared" si="477"/>
        <v>0.9567860817362277</v>
      </c>
      <c r="T279" s="39">
        <f t="shared" si="480"/>
        <v>5.1236037943388824E-2</v>
      </c>
      <c r="U279" s="89">
        <f t="shared" si="504"/>
        <v>8.3993504825227575E-4</v>
      </c>
    </row>
    <row r="280" spans="1:21" ht="15.75" thickBot="1" x14ac:dyDescent="0.3">
      <c r="A280" s="41">
        <f t="shared" ref="A280:B280" si="598">A279+1</f>
        <v>270</v>
      </c>
      <c r="B280" s="42">
        <f t="shared" si="598"/>
        <v>270</v>
      </c>
      <c r="C280" s="92" t="str">
        <f t="shared" si="574"/>
        <v>L11X14-008_000_60</v>
      </c>
      <c r="D280" s="43">
        <f t="shared" si="471"/>
        <v>14</v>
      </c>
      <c r="E280" s="61">
        <f t="shared" si="465"/>
        <v>2.2540000000000004</v>
      </c>
      <c r="F280" s="44">
        <f t="shared" si="484"/>
        <v>16.100000000000001</v>
      </c>
      <c r="G280" s="44">
        <f t="shared" si="485"/>
        <v>12.880000000000003</v>
      </c>
      <c r="H280" s="44">
        <f t="shared" si="486"/>
        <v>8.0500000000000007</v>
      </c>
      <c r="I280" s="44">
        <f t="shared" si="472"/>
        <v>8</v>
      </c>
      <c r="J280" s="45">
        <f t="shared" si="559"/>
        <v>8</v>
      </c>
      <c r="K280" s="87" t="s">
        <v>707</v>
      </c>
      <c r="L280" s="44">
        <f t="shared" ref="L280:N280" si="599">L279</f>
        <v>0.2</v>
      </c>
      <c r="M280" s="44">
        <f t="shared" si="599"/>
        <v>150</v>
      </c>
      <c r="N280" s="44">
        <f t="shared" si="599"/>
        <v>750</v>
      </c>
      <c r="P280" s="38">
        <f t="shared" si="474"/>
        <v>13</v>
      </c>
      <c r="Q280" s="38">
        <f t="shared" si="475"/>
        <v>15</v>
      </c>
      <c r="R280" s="39">
        <f t="shared" si="476"/>
        <v>0.90555004379283888</v>
      </c>
      <c r="S280" s="39">
        <f t="shared" si="477"/>
        <v>0.9567860817362277</v>
      </c>
      <c r="T280" s="39">
        <f t="shared" si="480"/>
        <v>5.1236037943388824E-2</v>
      </c>
      <c r="U280" s="89">
        <f t="shared" si="504"/>
        <v>8.3993504825227575E-4</v>
      </c>
    </row>
    <row r="281" spans="1:21" ht="15.75" thickBot="1" x14ac:dyDescent="0.3">
      <c r="A281" s="41">
        <f t="shared" ref="A281:B281" si="600">A280+1</f>
        <v>271</v>
      </c>
      <c r="B281" s="42">
        <f t="shared" si="600"/>
        <v>271</v>
      </c>
      <c r="C281" s="92" t="str">
        <f t="shared" si="574"/>
        <v>L11X16-352_000_01</v>
      </c>
      <c r="D281" s="43">
        <f>D275+v_step</f>
        <v>16</v>
      </c>
      <c r="E281" s="61">
        <f t="shared" si="465"/>
        <v>2.4640000000000004</v>
      </c>
      <c r="F281" s="44">
        <f t="shared" si="484"/>
        <v>15.400000000000002</v>
      </c>
      <c r="G281" s="44">
        <f t="shared" si="485"/>
        <v>12.320000000000002</v>
      </c>
      <c r="H281" s="44">
        <f t="shared" si="486"/>
        <v>7.7000000000000011</v>
      </c>
      <c r="I281" s="44">
        <f t="shared" si="472"/>
        <v>8</v>
      </c>
      <c r="J281" s="45">
        <f t="shared" ref="J281:J300" si="601">yaw_min</f>
        <v>-8</v>
      </c>
      <c r="K281" s="87" t="s">
        <v>708</v>
      </c>
      <c r="L281" s="44">
        <f t="shared" ref="L281:N281" si="602">L280</f>
        <v>0.2</v>
      </c>
      <c r="M281" s="44">
        <f t="shared" si="602"/>
        <v>150</v>
      </c>
      <c r="N281" s="44">
        <f t="shared" si="602"/>
        <v>750</v>
      </c>
      <c r="P281" s="38">
        <f t="shared" si="474"/>
        <v>15</v>
      </c>
      <c r="Q281" s="38">
        <f t="shared" si="475"/>
        <v>17</v>
      </c>
      <c r="R281" s="39">
        <f t="shared" si="476"/>
        <v>0.9567860817362277</v>
      </c>
      <c r="S281" s="39">
        <f t="shared" si="477"/>
        <v>0.98231787842897789</v>
      </c>
      <c r="T281" s="39">
        <f t="shared" si="480"/>
        <v>2.5531796692750186E-2</v>
      </c>
      <c r="U281" s="89">
        <f t="shared" si="504"/>
        <v>4.185540441434457E-4</v>
      </c>
    </row>
    <row r="282" spans="1:21" ht="15.75" thickBot="1" x14ac:dyDescent="0.3">
      <c r="A282" s="41">
        <f t="shared" ref="A282:B282" si="603">A281+1</f>
        <v>272</v>
      </c>
      <c r="B282" s="42">
        <f t="shared" si="603"/>
        <v>272</v>
      </c>
      <c r="C282" s="92" t="str">
        <f t="shared" si="574"/>
        <v>L11X16-352_000_02</v>
      </c>
      <c r="D282" s="43">
        <f>D281</f>
        <v>16</v>
      </c>
      <c r="E282" s="61">
        <f t="shared" si="465"/>
        <v>2.4640000000000004</v>
      </c>
      <c r="F282" s="44">
        <f t="shared" si="484"/>
        <v>15.400000000000002</v>
      </c>
      <c r="G282" s="44">
        <f t="shared" si="485"/>
        <v>12.320000000000002</v>
      </c>
      <c r="H282" s="44">
        <f t="shared" si="486"/>
        <v>7.7000000000000011</v>
      </c>
      <c r="I282" s="44">
        <f t="shared" si="472"/>
        <v>8</v>
      </c>
      <c r="J282" s="45">
        <f t="shared" si="601"/>
        <v>-8</v>
      </c>
      <c r="K282" s="87" t="s">
        <v>709</v>
      </c>
      <c r="L282" s="44">
        <f t="shared" ref="L282:N282" si="604">L281</f>
        <v>0.2</v>
      </c>
      <c r="M282" s="44">
        <f t="shared" si="604"/>
        <v>150</v>
      </c>
      <c r="N282" s="44">
        <f t="shared" si="604"/>
        <v>750</v>
      </c>
      <c r="P282" s="38">
        <f t="shared" si="474"/>
        <v>15</v>
      </c>
      <c r="Q282" s="38">
        <f t="shared" si="475"/>
        <v>17</v>
      </c>
      <c r="R282" s="39">
        <f t="shared" si="476"/>
        <v>0.9567860817362277</v>
      </c>
      <c r="S282" s="39">
        <f t="shared" si="477"/>
        <v>0.98231787842897789</v>
      </c>
      <c r="T282" s="39">
        <f t="shared" si="480"/>
        <v>2.5531796692750186E-2</v>
      </c>
      <c r="U282" s="89">
        <f t="shared" si="504"/>
        <v>4.185540441434457E-4</v>
      </c>
    </row>
    <row r="283" spans="1:21" ht="15.75" thickBot="1" x14ac:dyDescent="0.3">
      <c r="A283" s="41">
        <f t="shared" ref="A283:B283" si="605">A282+1</f>
        <v>273</v>
      </c>
      <c r="B283" s="42">
        <f t="shared" si="605"/>
        <v>273</v>
      </c>
      <c r="C283" s="92" t="str">
        <f t="shared" si="574"/>
        <v>L11X16-352_000_03</v>
      </c>
      <c r="D283" s="43">
        <f t="shared" ref="D283:D340" si="606">D282</f>
        <v>16</v>
      </c>
      <c r="E283" s="61">
        <f t="shared" si="465"/>
        <v>2.4640000000000004</v>
      </c>
      <c r="F283" s="44">
        <f t="shared" si="484"/>
        <v>15.400000000000002</v>
      </c>
      <c r="G283" s="44">
        <f t="shared" si="485"/>
        <v>12.320000000000002</v>
      </c>
      <c r="H283" s="44">
        <f t="shared" si="486"/>
        <v>7.7000000000000011</v>
      </c>
      <c r="I283" s="44">
        <f t="shared" si="472"/>
        <v>8</v>
      </c>
      <c r="J283" s="45">
        <f t="shared" si="601"/>
        <v>-8</v>
      </c>
      <c r="K283" s="87" t="s">
        <v>710</v>
      </c>
      <c r="L283" s="44">
        <f t="shared" ref="L283:N283" si="607">L282</f>
        <v>0.2</v>
      </c>
      <c r="M283" s="44">
        <f t="shared" si="607"/>
        <v>150</v>
      </c>
      <c r="N283" s="44">
        <f t="shared" si="607"/>
        <v>750</v>
      </c>
      <c r="P283" s="38">
        <f t="shared" si="474"/>
        <v>15</v>
      </c>
      <c r="Q283" s="38">
        <f t="shared" si="475"/>
        <v>17</v>
      </c>
      <c r="R283" s="39">
        <f t="shared" si="476"/>
        <v>0.9567860817362277</v>
      </c>
      <c r="S283" s="39">
        <f t="shared" si="477"/>
        <v>0.98231787842897789</v>
      </c>
      <c r="T283" s="39">
        <f t="shared" si="480"/>
        <v>2.5531796692750186E-2</v>
      </c>
      <c r="U283" s="89">
        <f t="shared" si="504"/>
        <v>4.185540441434457E-4</v>
      </c>
    </row>
    <row r="284" spans="1:21" ht="15.75" thickBot="1" x14ac:dyDescent="0.3">
      <c r="A284" s="41">
        <f t="shared" ref="A284:B284" si="608">A283+1</f>
        <v>274</v>
      </c>
      <c r="B284" s="42">
        <f t="shared" si="608"/>
        <v>274</v>
      </c>
      <c r="C284" s="92" t="str">
        <f t="shared" si="574"/>
        <v>L11X16-352_000_04</v>
      </c>
      <c r="D284" s="43">
        <f t="shared" si="606"/>
        <v>16</v>
      </c>
      <c r="E284" s="61">
        <f t="shared" si="465"/>
        <v>2.4640000000000004</v>
      </c>
      <c r="F284" s="44">
        <f t="shared" si="484"/>
        <v>15.400000000000002</v>
      </c>
      <c r="G284" s="44">
        <f t="shared" si="485"/>
        <v>12.320000000000002</v>
      </c>
      <c r="H284" s="44">
        <f t="shared" si="486"/>
        <v>7.7000000000000011</v>
      </c>
      <c r="I284" s="44">
        <f t="shared" si="472"/>
        <v>8</v>
      </c>
      <c r="J284" s="45">
        <f t="shared" si="601"/>
        <v>-8</v>
      </c>
      <c r="K284" s="87" t="s">
        <v>711</v>
      </c>
      <c r="L284" s="44">
        <f t="shared" ref="L284:N284" si="609">L283</f>
        <v>0.2</v>
      </c>
      <c r="M284" s="44">
        <f t="shared" si="609"/>
        <v>150</v>
      </c>
      <c r="N284" s="44">
        <f t="shared" si="609"/>
        <v>750</v>
      </c>
      <c r="P284" s="38">
        <f t="shared" si="474"/>
        <v>15</v>
      </c>
      <c r="Q284" s="38">
        <f t="shared" si="475"/>
        <v>17</v>
      </c>
      <c r="R284" s="39">
        <f t="shared" si="476"/>
        <v>0.9567860817362277</v>
      </c>
      <c r="S284" s="39">
        <f t="shared" si="477"/>
        <v>0.98231787842897789</v>
      </c>
      <c r="T284" s="39">
        <f t="shared" si="480"/>
        <v>2.5531796692750186E-2</v>
      </c>
      <c r="U284" s="89">
        <f t="shared" si="504"/>
        <v>4.185540441434457E-4</v>
      </c>
    </row>
    <row r="285" spans="1:21" ht="15.75" thickBot="1" x14ac:dyDescent="0.3">
      <c r="A285" s="41">
        <f t="shared" ref="A285:B285" si="610">A284+1</f>
        <v>275</v>
      </c>
      <c r="B285" s="42">
        <f t="shared" si="610"/>
        <v>275</v>
      </c>
      <c r="C285" s="92" t="str">
        <f t="shared" si="574"/>
        <v>L11X16-352_000_05</v>
      </c>
      <c r="D285" s="43">
        <f t="shared" si="606"/>
        <v>16</v>
      </c>
      <c r="E285" s="61">
        <f t="shared" ref="E285:E348" si="611">I_ref*(0.75*D285+5.6)</f>
        <v>2.4640000000000004</v>
      </c>
      <c r="F285" s="44">
        <f t="shared" si="484"/>
        <v>15.400000000000002</v>
      </c>
      <c r="G285" s="44">
        <f t="shared" si="485"/>
        <v>12.320000000000002</v>
      </c>
      <c r="H285" s="44">
        <f t="shared" si="486"/>
        <v>7.7000000000000011</v>
      </c>
      <c r="I285" s="44">
        <f t="shared" si="472"/>
        <v>8</v>
      </c>
      <c r="J285" s="45">
        <f t="shared" si="601"/>
        <v>-8</v>
      </c>
      <c r="K285" s="87" t="s">
        <v>712</v>
      </c>
      <c r="L285" s="44">
        <f t="shared" ref="L285:N285" si="612">L284</f>
        <v>0.2</v>
      </c>
      <c r="M285" s="44">
        <f t="shared" si="612"/>
        <v>150</v>
      </c>
      <c r="N285" s="44">
        <f t="shared" si="612"/>
        <v>750</v>
      </c>
      <c r="P285" s="38">
        <f t="shared" si="474"/>
        <v>15</v>
      </c>
      <c r="Q285" s="38">
        <f t="shared" si="475"/>
        <v>17</v>
      </c>
      <c r="R285" s="39">
        <f t="shared" si="476"/>
        <v>0.9567860817362277</v>
      </c>
      <c r="S285" s="39">
        <f t="shared" si="477"/>
        <v>0.98231787842897789</v>
      </c>
      <c r="T285" s="39">
        <f t="shared" si="480"/>
        <v>2.5531796692750186E-2</v>
      </c>
      <c r="U285" s="89">
        <f t="shared" si="504"/>
        <v>4.185540441434457E-4</v>
      </c>
    </row>
    <row r="286" spans="1:21" ht="15.75" thickBot="1" x14ac:dyDescent="0.3">
      <c r="A286" s="41">
        <f t="shared" ref="A286:B286" si="613">A285+1</f>
        <v>276</v>
      </c>
      <c r="B286" s="42">
        <f t="shared" si="613"/>
        <v>276</v>
      </c>
      <c r="C286" s="92" t="str">
        <f t="shared" si="574"/>
        <v>L11X16-352_000_06</v>
      </c>
      <c r="D286" s="43">
        <f t="shared" si="606"/>
        <v>16</v>
      </c>
      <c r="E286" s="61">
        <f t="shared" si="611"/>
        <v>2.4640000000000004</v>
      </c>
      <c r="F286" s="44">
        <f t="shared" ref="F286:F345" si="614">E286/D286*100</f>
        <v>15.400000000000002</v>
      </c>
      <c r="G286" s="44">
        <f t="shared" ref="G286:G345" si="615">m_ty*F286</f>
        <v>12.320000000000002</v>
      </c>
      <c r="H286" s="44">
        <f t="shared" ref="H286:H345" si="616">m_tz*F286</f>
        <v>7.7000000000000011</v>
      </c>
      <c r="I286" s="44">
        <f t="shared" si="472"/>
        <v>8</v>
      </c>
      <c r="J286" s="45">
        <f t="shared" si="601"/>
        <v>-8</v>
      </c>
      <c r="K286" s="87" t="s">
        <v>713</v>
      </c>
      <c r="L286" s="44">
        <f t="shared" ref="L286:N286" si="617">L285</f>
        <v>0.2</v>
      </c>
      <c r="M286" s="44">
        <f t="shared" si="617"/>
        <v>150</v>
      </c>
      <c r="N286" s="44">
        <f t="shared" si="617"/>
        <v>750</v>
      </c>
      <c r="P286" s="38">
        <f t="shared" si="474"/>
        <v>15</v>
      </c>
      <c r="Q286" s="38">
        <f t="shared" si="475"/>
        <v>17</v>
      </c>
      <c r="R286" s="39">
        <f t="shared" si="476"/>
        <v>0.9567860817362277</v>
      </c>
      <c r="S286" s="39">
        <f t="shared" si="477"/>
        <v>0.98231787842897789</v>
      </c>
      <c r="T286" s="39">
        <f t="shared" si="480"/>
        <v>2.5531796692750186E-2</v>
      </c>
      <c r="U286" s="89">
        <f t="shared" si="504"/>
        <v>4.185540441434457E-4</v>
      </c>
    </row>
    <row r="287" spans="1:21" ht="15.75" thickBot="1" x14ac:dyDescent="0.3">
      <c r="A287" s="41">
        <f t="shared" ref="A287:B287" si="618">A286+1</f>
        <v>277</v>
      </c>
      <c r="B287" s="42">
        <f t="shared" si="618"/>
        <v>277</v>
      </c>
      <c r="C287" s="92" t="str">
        <f t="shared" si="574"/>
        <v>L11X16-352_000_07</v>
      </c>
      <c r="D287" s="43">
        <f t="shared" si="606"/>
        <v>16</v>
      </c>
      <c r="E287" s="61">
        <f t="shared" si="611"/>
        <v>2.4640000000000004</v>
      </c>
      <c r="F287" s="44">
        <f t="shared" si="614"/>
        <v>15.400000000000002</v>
      </c>
      <c r="G287" s="44">
        <f t="shared" si="615"/>
        <v>12.320000000000002</v>
      </c>
      <c r="H287" s="44">
        <f t="shared" si="616"/>
        <v>7.7000000000000011</v>
      </c>
      <c r="I287" s="44">
        <f t="shared" ref="I287:I350" si="619">I286</f>
        <v>8</v>
      </c>
      <c r="J287" s="45">
        <f t="shared" si="601"/>
        <v>-8</v>
      </c>
      <c r="K287" s="87" t="s">
        <v>714</v>
      </c>
      <c r="L287" s="44">
        <f t="shared" ref="L287:N287" si="620">L286</f>
        <v>0.2</v>
      </c>
      <c r="M287" s="44">
        <f t="shared" si="620"/>
        <v>150</v>
      </c>
      <c r="N287" s="44">
        <f t="shared" si="620"/>
        <v>750</v>
      </c>
      <c r="P287" s="38">
        <f t="shared" ref="P287:P350" si="621">D287-v_step/2</f>
        <v>15</v>
      </c>
      <c r="Q287" s="38">
        <f t="shared" ref="Q287:Q350" si="622">P287+v_step</f>
        <v>17</v>
      </c>
      <c r="R287" s="39">
        <f t="shared" ref="R287:R350" si="623">IF(wpd="Rayleigh",1-EXP(-PI()*((P287/2/v_ave)^2)),IF(wpd="Weibull",1-EXP(-((P287/weibull_A)^weibull_K))))</f>
        <v>0.9567860817362277</v>
      </c>
      <c r="S287" s="39">
        <f t="shared" ref="S287:S350" si="624">IF(wpd="Rayleigh",1-EXP(-PI()*((Q287/2/v_ave)^2)),IF(wpd="Weibull",1-EXP(-((Q287/weibull_A)^weibull_K))))</f>
        <v>0.98231787842897789</v>
      </c>
      <c r="T287" s="39">
        <f t="shared" si="480"/>
        <v>2.5531796692750186E-2</v>
      </c>
      <c r="U287" s="89">
        <f t="shared" si="504"/>
        <v>4.185540441434457E-4</v>
      </c>
    </row>
    <row r="288" spans="1:21" ht="15.75" thickBot="1" x14ac:dyDescent="0.3">
      <c r="A288" s="41">
        <f t="shared" ref="A288:B288" si="625">A287+1</f>
        <v>278</v>
      </c>
      <c r="B288" s="42">
        <f t="shared" si="625"/>
        <v>278</v>
      </c>
      <c r="C288" s="92" t="str">
        <f t="shared" si="574"/>
        <v>L11X16-352_000_08</v>
      </c>
      <c r="D288" s="43">
        <f t="shared" si="606"/>
        <v>16</v>
      </c>
      <c r="E288" s="61">
        <f t="shared" si="611"/>
        <v>2.4640000000000004</v>
      </c>
      <c r="F288" s="44">
        <f t="shared" si="614"/>
        <v>15.400000000000002</v>
      </c>
      <c r="G288" s="44">
        <f t="shared" si="615"/>
        <v>12.320000000000002</v>
      </c>
      <c r="H288" s="44">
        <f t="shared" si="616"/>
        <v>7.7000000000000011</v>
      </c>
      <c r="I288" s="44">
        <f t="shared" si="619"/>
        <v>8</v>
      </c>
      <c r="J288" s="45">
        <f t="shared" si="601"/>
        <v>-8</v>
      </c>
      <c r="K288" s="87" t="s">
        <v>715</v>
      </c>
      <c r="L288" s="44">
        <f t="shared" ref="L288:N288" si="626">L287</f>
        <v>0.2</v>
      </c>
      <c r="M288" s="44">
        <f t="shared" si="626"/>
        <v>150</v>
      </c>
      <c r="N288" s="44">
        <f t="shared" si="626"/>
        <v>750</v>
      </c>
      <c r="P288" s="38">
        <f t="shared" si="621"/>
        <v>15</v>
      </c>
      <c r="Q288" s="38">
        <f t="shared" si="622"/>
        <v>17</v>
      </c>
      <c r="R288" s="39">
        <f t="shared" si="623"/>
        <v>0.9567860817362277</v>
      </c>
      <c r="S288" s="39">
        <f t="shared" si="624"/>
        <v>0.98231787842897789</v>
      </c>
      <c r="T288" s="39">
        <f t="shared" ref="T288:T351" si="627">S288-R288</f>
        <v>2.5531796692750186E-2</v>
      </c>
      <c r="U288" s="89">
        <f t="shared" si="504"/>
        <v>4.185540441434457E-4</v>
      </c>
    </row>
    <row r="289" spans="1:21" ht="15.75" thickBot="1" x14ac:dyDescent="0.3">
      <c r="A289" s="41">
        <f t="shared" ref="A289:B289" si="628">A288+1</f>
        <v>279</v>
      </c>
      <c r="B289" s="42">
        <f t="shared" si="628"/>
        <v>279</v>
      </c>
      <c r="C289" s="92" t="str">
        <f t="shared" si="574"/>
        <v>L11X16-352_000_09</v>
      </c>
      <c r="D289" s="43">
        <f t="shared" si="606"/>
        <v>16</v>
      </c>
      <c r="E289" s="61">
        <f t="shared" si="611"/>
        <v>2.4640000000000004</v>
      </c>
      <c r="F289" s="44">
        <f t="shared" si="614"/>
        <v>15.400000000000002</v>
      </c>
      <c r="G289" s="44">
        <f t="shared" si="615"/>
        <v>12.320000000000002</v>
      </c>
      <c r="H289" s="44">
        <f t="shared" si="616"/>
        <v>7.7000000000000011</v>
      </c>
      <c r="I289" s="44">
        <f t="shared" si="619"/>
        <v>8</v>
      </c>
      <c r="J289" s="45">
        <f t="shared" si="601"/>
        <v>-8</v>
      </c>
      <c r="K289" s="87" t="s">
        <v>716</v>
      </c>
      <c r="L289" s="44">
        <f t="shared" ref="L289:N289" si="629">L288</f>
        <v>0.2</v>
      </c>
      <c r="M289" s="44">
        <f t="shared" si="629"/>
        <v>150</v>
      </c>
      <c r="N289" s="44">
        <f t="shared" si="629"/>
        <v>750</v>
      </c>
      <c r="P289" s="38">
        <f t="shared" si="621"/>
        <v>15</v>
      </c>
      <c r="Q289" s="38">
        <f t="shared" si="622"/>
        <v>17</v>
      </c>
      <c r="R289" s="39">
        <f t="shared" si="623"/>
        <v>0.9567860817362277</v>
      </c>
      <c r="S289" s="39">
        <f t="shared" si="624"/>
        <v>0.98231787842897789</v>
      </c>
      <c r="T289" s="39">
        <f t="shared" si="627"/>
        <v>2.5531796692750186E-2</v>
      </c>
      <c r="U289" s="89">
        <f t="shared" si="504"/>
        <v>4.185540441434457E-4</v>
      </c>
    </row>
    <row r="290" spans="1:21" ht="15.75" thickBot="1" x14ac:dyDescent="0.3">
      <c r="A290" s="41">
        <f t="shared" ref="A290:B290" si="630">A289+1</f>
        <v>280</v>
      </c>
      <c r="B290" s="42">
        <f t="shared" si="630"/>
        <v>280</v>
      </c>
      <c r="C290" s="92" t="str">
        <f t="shared" si="574"/>
        <v>L11X16-352_000_10</v>
      </c>
      <c r="D290" s="43">
        <f t="shared" si="606"/>
        <v>16</v>
      </c>
      <c r="E290" s="61">
        <f t="shared" si="611"/>
        <v>2.4640000000000004</v>
      </c>
      <c r="F290" s="44">
        <f t="shared" si="614"/>
        <v>15.400000000000002</v>
      </c>
      <c r="G290" s="44">
        <f t="shared" si="615"/>
        <v>12.320000000000002</v>
      </c>
      <c r="H290" s="44">
        <f t="shared" si="616"/>
        <v>7.7000000000000011</v>
      </c>
      <c r="I290" s="44">
        <f t="shared" si="619"/>
        <v>8</v>
      </c>
      <c r="J290" s="45">
        <f t="shared" si="601"/>
        <v>-8</v>
      </c>
      <c r="K290" s="87" t="s">
        <v>717</v>
      </c>
      <c r="L290" s="44">
        <f t="shared" ref="L290:N290" si="631">L289</f>
        <v>0.2</v>
      </c>
      <c r="M290" s="44">
        <f t="shared" si="631"/>
        <v>150</v>
      </c>
      <c r="N290" s="44">
        <f t="shared" si="631"/>
        <v>750</v>
      </c>
      <c r="P290" s="38">
        <f t="shared" si="621"/>
        <v>15</v>
      </c>
      <c r="Q290" s="38">
        <f t="shared" si="622"/>
        <v>17</v>
      </c>
      <c r="R290" s="39">
        <f t="shared" si="623"/>
        <v>0.9567860817362277</v>
      </c>
      <c r="S290" s="39">
        <f t="shared" si="624"/>
        <v>0.98231787842897789</v>
      </c>
      <c r="T290" s="39">
        <f t="shared" si="627"/>
        <v>2.5531796692750186E-2</v>
      </c>
      <c r="U290" s="89">
        <f t="shared" si="504"/>
        <v>4.185540441434457E-4</v>
      </c>
    </row>
    <row r="291" spans="1:21" ht="15.75" thickBot="1" x14ac:dyDescent="0.3">
      <c r="A291" s="41">
        <f t="shared" ref="A291:B291" si="632">A290+1</f>
        <v>281</v>
      </c>
      <c r="B291" s="42">
        <f t="shared" si="632"/>
        <v>281</v>
      </c>
      <c r="C291" s="92" t="str">
        <f t="shared" si="574"/>
        <v>L11X16-352_000_11</v>
      </c>
      <c r="D291" s="43">
        <f t="shared" si="606"/>
        <v>16</v>
      </c>
      <c r="E291" s="61">
        <f t="shared" si="611"/>
        <v>2.4640000000000004</v>
      </c>
      <c r="F291" s="44">
        <f t="shared" si="614"/>
        <v>15.400000000000002</v>
      </c>
      <c r="G291" s="44">
        <f t="shared" si="615"/>
        <v>12.320000000000002</v>
      </c>
      <c r="H291" s="44">
        <f t="shared" si="616"/>
        <v>7.7000000000000011</v>
      </c>
      <c r="I291" s="44">
        <f t="shared" si="619"/>
        <v>8</v>
      </c>
      <c r="J291" s="45">
        <f t="shared" si="601"/>
        <v>-8</v>
      </c>
      <c r="K291" s="87" t="s">
        <v>718</v>
      </c>
      <c r="L291" s="44">
        <f t="shared" ref="L291:N291" si="633">L290</f>
        <v>0.2</v>
      </c>
      <c r="M291" s="44">
        <f t="shared" si="633"/>
        <v>150</v>
      </c>
      <c r="N291" s="44">
        <f t="shared" si="633"/>
        <v>750</v>
      </c>
      <c r="P291" s="38">
        <f t="shared" si="621"/>
        <v>15</v>
      </c>
      <c r="Q291" s="38">
        <f t="shared" si="622"/>
        <v>17</v>
      </c>
      <c r="R291" s="39">
        <f t="shared" si="623"/>
        <v>0.9567860817362277</v>
      </c>
      <c r="S291" s="39">
        <f t="shared" si="624"/>
        <v>0.98231787842897789</v>
      </c>
      <c r="T291" s="39">
        <f t="shared" si="627"/>
        <v>2.5531796692750186E-2</v>
      </c>
      <c r="U291" s="89">
        <f t="shared" si="504"/>
        <v>4.185540441434457E-4</v>
      </c>
    </row>
    <row r="292" spans="1:21" ht="15.75" thickBot="1" x14ac:dyDescent="0.3">
      <c r="A292" s="41">
        <f t="shared" ref="A292:B292" si="634">A291+1</f>
        <v>282</v>
      </c>
      <c r="B292" s="42">
        <f t="shared" si="634"/>
        <v>282</v>
      </c>
      <c r="C292" s="92" t="str">
        <f t="shared" si="574"/>
        <v>L11X16-352_000_12</v>
      </c>
      <c r="D292" s="43">
        <f t="shared" si="606"/>
        <v>16</v>
      </c>
      <c r="E292" s="61">
        <f t="shared" si="611"/>
        <v>2.4640000000000004</v>
      </c>
      <c r="F292" s="44">
        <f t="shared" si="614"/>
        <v>15.400000000000002</v>
      </c>
      <c r="G292" s="44">
        <f t="shared" si="615"/>
        <v>12.320000000000002</v>
      </c>
      <c r="H292" s="44">
        <f t="shared" si="616"/>
        <v>7.7000000000000011</v>
      </c>
      <c r="I292" s="44">
        <f t="shared" si="619"/>
        <v>8</v>
      </c>
      <c r="J292" s="45">
        <f t="shared" si="601"/>
        <v>-8</v>
      </c>
      <c r="K292" s="87" t="s">
        <v>719</v>
      </c>
      <c r="L292" s="44">
        <f t="shared" ref="L292:N292" si="635">L291</f>
        <v>0.2</v>
      </c>
      <c r="M292" s="44">
        <f t="shared" si="635"/>
        <v>150</v>
      </c>
      <c r="N292" s="44">
        <f t="shared" si="635"/>
        <v>750</v>
      </c>
      <c r="P292" s="38">
        <f t="shared" si="621"/>
        <v>15</v>
      </c>
      <c r="Q292" s="38">
        <f t="shared" si="622"/>
        <v>17</v>
      </c>
      <c r="R292" s="39">
        <f t="shared" si="623"/>
        <v>0.9567860817362277</v>
      </c>
      <c r="S292" s="39">
        <f t="shared" si="624"/>
        <v>0.98231787842897789</v>
      </c>
      <c r="T292" s="39">
        <f t="shared" si="627"/>
        <v>2.5531796692750186E-2</v>
      </c>
      <c r="U292" s="89">
        <f t="shared" si="504"/>
        <v>4.185540441434457E-4</v>
      </c>
    </row>
    <row r="293" spans="1:21" ht="15.75" thickBot="1" x14ac:dyDescent="0.3">
      <c r="A293" s="41">
        <f t="shared" ref="A293:B293" si="636">A292+1</f>
        <v>283</v>
      </c>
      <c r="B293" s="42">
        <f t="shared" si="636"/>
        <v>283</v>
      </c>
      <c r="C293" s="92" t="str">
        <f t="shared" si="574"/>
        <v>L11X16-352_000_13</v>
      </c>
      <c r="D293" s="43">
        <f t="shared" si="606"/>
        <v>16</v>
      </c>
      <c r="E293" s="61">
        <f t="shared" si="611"/>
        <v>2.4640000000000004</v>
      </c>
      <c r="F293" s="44">
        <f t="shared" si="614"/>
        <v>15.400000000000002</v>
      </c>
      <c r="G293" s="44">
        <f t="shared" si="615"/>
        <v>12.320000000000002</v>
      </c>
      <c r="H293" s="44">
        <f t="shared" si="616"/>
        <v>7.7000000000000011</v>
      </c>
      <c r="I293" s="44">
        <f t="shared" si="619"/>
        <v>8</v>
      </c>
      <c r="J293" s="45">
        <f t="shared" si="601"/>
        <v>-8</v>
      </c>
      <c r="K293" s="87" t="s">
        <v>720</v>
      </c>
      <c r="L293" s="44">
        <f t="shared" ref="L293:N293" si="637">L292</f>
        <v>0.2</v>
      </c>
      <c r="M293" s="44">
        <f t="shared" si="637"/>
        <v>150</v>
      </c>
      <c r="N293" s="44">
        <f t="shared" si="637"/>
        <v>750</v>
      </c>
      <c r="P293" s="38">
        <f t="shared" si="621"/>
        <v>15</v>
      </c>
      <c r="Q293" s="38">
        <f t="shared" si="622"/>
        <v>17</v>
      </c>
      <c r="R293" s="39">
        <f t="shared" si="623"/>
        <v>0.9567860817362277</v>
      </c>
      <c r="S293" s="39">
        <f t="shared" si="624"/>
        <v>0.98231787842897789</v>
      </c>
      <c r="T293" s="39">
        <f t="shared" si="627"/>
        <v>2.5531796692750186E-2</v>
      </c>
      <c r="U293" s="89">
        <f t="shared" si="504"/>
        <v>4.185540441434457E-4</v>
      </c>
    </row>
    <row r="294" spans="1:21" ht="15.75" thickBot="1" x14ac:dyDescent="0.3">
      <c r="A294" s="41">
        <f t="shared" ref="A294:B294" si="638">A293+1</f>
        <v>284</v>
      </c>
      <c r="B294" s="42">
        <f t="shared" si="638"/>
        <v>284</v>
      </c>
      <c r="C294" s="92" t="str">
        <f t="shared" si="574"/>
        <v>L11X16-352_000_14</v>
      </c>
      <c r="D294" s="43">
        <f t="shared" si="606"/>
        <v>16</v>
      </c>
      <c r="E294" s="61">
        <f t="shared" si="611"/>
        <v>2.4640000000000004</v>
      </c>
      <c r="F294" s="44">
        <f t="shared" si="614"/>
        <v>15.400000000000002</v>
      </c>
      <c r="G294" s="44">
        <f t="shared" si="615"/>
        <v>12.320000000000002</v>
      </c>
      <c r="H294" s="44">
        <f t="shared" si="616"/>
        <v>7.7000000000000011</v>
      </c>
      <c r="I294" s="44">
        <f t="shared" si="619"/>
        <v>8</v>
      </c>
      <c r="J294" s="45">
        <f t="shared" si="601"/>
        <v>-8</v>
      </c>
      <c r="K294" s="87" t="s">
        <v>721</v>
      </c>
      <c r="L294" s="44">
        <f t="shared" ref="L294:N294" si="639">L293</f>
        <v>0.2</v>
      </c>
      <c r="M294" s="44">
        <f t="shared" si="639"/>
        <v>150</v>
      </c>
      <c r="N294" s="44">
        <f t="shared" si="639"/>
        <v>750</v>
      </c>
      <c r="P294" s="38">
        <f t="shared" si="621"/>
        <v>15</v>
      </c>
      <c r="Q294" s="38">
        <f t="shared" si="622"/>
        <v>17</v>
      </c>
      <c r="R294" s="39">
        <f t="shared" si="623"/>
        <v>0.9567860817362277</v>
      </c>
      <c r="S294" s="39">
        <f t="shared" si="624"/>
        <v>0.98231787842897789</v>
      </c>
      <c r="T294" s="39">
        <f t="shared" si="627"/>
        <v>2.5531796692750186E-2</v>
      </c>
      <c r="U294" s="89">
        <f t="shared" si="504"/>
        <v>4.185540441434457E-4</v>
      </c>
    </row>
    <row r="295" spans="1:21" ht="15.75" thickBot="1" x14ac:dyDescent="0.3">
      <c r="A295" s="41">
        <f t="shared" ref="A295:B295" si="640">A294+1</f>
        <v>285</v>
      </c>
      <c r="B295" s="42">
        <f t="shared" si="640"/>
        <v>285</v>
      </c>
      <c r="C295" s="92" t="str">
        <f t="shared" si="574"/>
        <v>L11X16-352_000_15</v>
      </c>
      <c r="D295" s="43">
        <f t="shared" si="606"/>
        <v>16</v>
      </c>
      <c r="E295" s="61">
        <f t="shared" si="611"/>
        <v>2.4640000000000004</v>
      </c>
      <c r="F295" s="44">
        <f t="shared" si="614"/>
        <v>15.400000000000002</v>
      </c>
      <c r="G295" s="44">
        <f t="shared" si="615"/>
        <v>12.320000000000002</v>
      </c>
      <c r="H295" s="44">
        <f t="shared" si="616"/>
        <v>7.7000000000000011</v>
      </c>
      <c r="I295" s="44">
        <f t="shared" si="619"/>
        <v>8</v>
      </c>
      <c r="J295" s="45">
        <f t="shared" si="601"/>
        <v>-8</v>
      </c>
      <c r="K295" s="87" t="s">
        <v>722</v>
      </c>
      <c r="L295" s="44">
        <f t="shared" ref="L295:N295" si="641">L294</f>
        <v>0.2</v>
      </c>
      <c r="M295" s="44">
        <f t="shared" si="641"/>
        <v>150</v>
      </c>
      <c r="N295" s="44">
        <f t="shared" si="641"/>
        <v>750</v>
      </c>
      <c r="P295" s="38">
        <f t="shared" si="621"/>
        <v>15</v>
      </c>
      <c r="Q295" s="38">
        <f t="shared" si="622"/>
        <v>17</v>
      </c>
      <c r="R295" s="39">
        <f t="shared" si="623"/>
        <v>0.9567860817362277</v>
      </c>
      <c r="S295" s="39">
        <f t="shared" si="624"/>
        <v>0.98231787842897789</v>
      </c>
      <c r="T295" s="39">
        <f t="shared" si="627"/>
        <v>2.5531796692750186E-2</v>
      </c>
      <c r="U295" s="89">
        <f t="shared" si="504"/>
        <v>4.185540441434457E-4</v>
      </c>
    </row>
    <row r="296" spans="1:21" ht="15.75" thickBot="1" x14ac:dyDescent="0.3">
      <c r="A296" s="41">
        <f t="shared" ref="A296:B296" si="642">A295+1</f>
        <v>286</v>
      </c>
      <c r="B296" s="42">
        <f t="shared" si="642"/>
        <v>286</v>
      </c>
      <c r="C296" s="92" t="str">
        <f t="shared" si="574"/>
        <v>L11X16-352_000_16</v>
      </c>
      <c r="D296" s="43">
        <f t="shared" si="606"/>
        <v>16</v>
      </c>
      <c r="E296" s="61">
        <f t="shared" si="611"/>
        <v>2.4640000000000004</v>
      </c>
      <c r="F296" s="44">
        <f t="shared" si="614"/>
        <v>15.400000000000002</v>
      </c>
      <c r="G296" s="44">
        <f t="shared" si="615"/>
        <v>12.320000000000002</v>
      </c>
      <c r="H296" s="44">
        <f t="shared" si="616"/>
        <v>7.7000000000000011</v>
      </c>
      <c r="I296" s="44">
        <f t="shared" si="619"/>
        <v>8</v>
      </c>
      <c r="J296" s="45">
        <f t="shared" si="601"/>
        <v>-8</v>
      </c>
      <c r="K296" s="87" t="s">
        <v>723</v>
      </c>
      <c r="L296" s="44">
        <f t="shared" ref="L296:N296" si="643">L295</f>
        <v>0.2</v>
      </c>
      <c r="M296" s="44">
        <f t="shared" si="643"/>
        <v>150</v>
      </c>
      <c r="N296" s="44">
        <f t="shared" si="643"/>
        <v>750</v>
      </c>
      <c r="P296" s="38">
        <f t="shared" si="621"/>
        <v>15</v>
      </c>
      <c r="Q296" s="38">
        <f t="shared" si="622"/>
        <v>17</v>
      </c>
      <c r="R296" s="39">
        <f t="shared" si="623"/>
        <v>0.9567860817362277</v>
      </c>
      <c r="S296" s="39">
        <f t="shared" si="624"/>
        <v>0.98231787842897789</v>
      </c>
      <c r="T296" s="39">
        <f t="shared" si="627"/>
        <v>2.5531796692750186E-2</v>
      </c>
      <c r="U296" s="89">
        <f t="shared" si="504"/>
        <v>4.185540441434457E-4</v>
      </c>
    </row>
    <row r="297" spans="1:21" ht="15.75" thickBot="1" x14ac:dyDescent="0.3">
      <c r="A297" s="41">
        <f t="shared" ref="A297:B297" si="644">A296+1</f>
        <v>287</v>
      </c>
      <c r="B297" s="42">
        <f t="shared" si="644"/>
        <v>287</v>
      </c>
      <c r="C297" s="92" t="str">
        <f t="shared" si="574"/>
        <v>L11X16-352_000_17</v>
      </c>
      <c r="D297" s="43">
        <f t="shared" si="606"/>
        <v>16</v>
      </c>
      <c r="E297" s="61">
        <f t="shared" si="611"/>
        <v>2.4640000000000004</v>
      </c>
      <c r="F297" s="44">
        <f t="shared" si="614"/>
        <v>15.400000000000002</v>
      </c>
      <c r="G297" s="44">
        <f t="shared" si="615"/>
        <v>12.320000000000002</v>
      </c>
      <c r="H297" s="44">
        <f t="shared" si="616"/>
        <v>7.7000000000000011</v>
      </c>
      <c r="I297" s="44">
        <f t="shared" si="619"/>
        <v>8</v>
      </c>
      <c r="J297" s="45">
        <f t="shared" si="601"/>
        <v>-8</v>
      </c>
      <c r="K297" s="87" t="s">
        <v>724</v>
      </c>
      <c r="L297" s="44">
        <f t="shared" ref="L297:N297" si="645">L296</f>
        <v>0.2</v>
      </c>
      <c r="M297" s="44">
        <f t="shared" si="645"/>
        <v>150</v>
      </c>
      <c r="N297" s="44">
        <f t="shared" si="645"/>
        <v>750</v>
      </c>
      <c r="P297" s="38">
        <f t="shared" si="621"/>
        <v>15</v>
      </c>
      <c r="Q297" s="38">
        <f t="shared" si="622"/>
        <v>17</v>
      </c>
      <c r="R297" s="39">
        <f t="shared" si="623"/>
        <v>0.9567860817362277</v>
      </c>
      <c r="S297" s="39">
        <f t="shared" si="624"/>
        <v>0.98231787842897789</v>
      </c>
      <c r="T297" s="39">
        <f t="shared" si="627"/>
        <v>2.5531796692750186E-2</v>
      </c>
      <c r="U297" s="89">
        <f t="shared" si="504"/>
        <v>4.185540441434457E-4</v>
      </c>
    </row>
    <row r="298" spans="1:21" ht="15.75" thickBot="1" x14ac:dyDescent="0.3">
      <c r="A298" s="41">
        <f t="shared" ref="A298:B298" si="646">A297+1</f>
        <v>288</v>
      </c>
      <c r="B298" s="42">
        <f t="shared" si="646"/>
        <v>288</v>
      </c>
      <c r="C298" s="92" t="str">
        <f t="shared" si="574"/>
        <v>L11X16-352_000_18</v>
      </c>
      <c r="D298" s="43">
        <f t="shared" si="606"/>
        <v>16</v>
      </c>
      <c r="E298" s="61">
        <f t="shared" si="611"/>
        <v>2.4640000000000004</v>
      </c>
      <c r="F298" s="44">
        <f t="shared" si="614"/>
        <v>15.400000000000002</v>
      </c>
      <c r="G298" s="44">
        <f t="shared" si="615"/>
        <v>12.320000000000002</v>
      </c>
      <c r="H298" s="44">
        <f t="shared" si="616"/>
        <v>7.7000000000000011</v>
      </c>
      <c r="I298" s="44">
        <f t="shared" si="619"/>
        <v>8</v>
      </c>
      <c r="J298" s="45">
        <f t="shared" si="601"/>
        <v>-8</v>
      </c>
      <c r="K298" s="87" t="s">
        <v>725</v>
      </c>
      <c r="L298" s="44">
        <f t="shared" ref="L298:N298" si="647">L297</f>
        <v>0.2</v>
      </c>
      <c r="M298" s="44">
        <f t="shared" si="647"/>
        <v>150</v>
      </c>
      <c r="N298" s="44">
        <f t="shared" si="647"/>
        <v>750</v>
      </c>
      <c r="P298" s="38">
        <f t="shared" si="621"/>
        <v>15</v>
      </c>
      <c r="Q298" s="38">
        <f t="shared" si="622"/>
        <v>17</v>
      </c>
      <c r="R298" s="39">
        <f t="shared" si="623"/>
        <v>0.9567860817362277</v>
      </c>
      <c r="S298" s="39">
        <f t="shared" si="624"/>
        <v>0.98231787842897789</v>
      </c>
      <c r="T298" s="39">
        <f t="shared" si="627"/>
        <v>2.5531796692750186E-2</v>
      </c>
      <c r="U298" s="89">
        <f t="shared" ref="U298:U361" si="648">T298/61</f>
        <v>4.185540441434457E-4</v>
      </c>
    </row>
    <row r="299" spans="1:21" ht="15.75" thickBot="1" x14ac:dyDescent="0.3">
      <c r="A299" s="41">
        <f t="shared" ref="A299:B299" si="649">A298+1</f>
        <v>289</v>
      </c>
      <c r="B299" s="42">
        <f t="shared" si="649"/>
        <v>289</v>
      </c>
      <c r="C299" s="92" t="str">
        <f t="shared" si="574"/>
        <v>L11X16-352_000_19</v>
      </c>
      <c r="D299" s="43">
        <f t="shared" si="606"/>
        <v>16</v>
      </c>
      <c r="E299" s="61">
        <f t="shared" si="611"/>
        <v>2.4640000000000004</v>
      </c>
      <c r="F299" s="44">
        <f t="shared" si="614"/>
        <v>15.400000000000002</v>
      </c>
      <c r="G299" s="44">
        <f t="shared" si="615"/>
        <v>12.320000000000002</v>
      </c>
      <c r="H299" s="44">
        <f t="shared" si="616"/>
        <v>7.7000000000000011</v>
      </c>
      <c r="I299" s="44">
        <f t="shared" si="619"/>
        <v>8</v>
      </c>
      <c r="J299" s="45">
        <f t="shared" si="601"/>
        <v>-8</v>
      </c>
      <c r="K299" s="87" t="s">
        <v>726</v>
      </c>
      <c r="L299" s="44">
        <f t="shared" ref="L299:N299" si="650">L298</f>
        <v>0.2</v>
      </c>
      <c r="M299" s="44">
        <f t="shared" si="650"/>
        <v>150</v>
      </c>
      <c r="N299" s="44">
        <f t="shared" si="650"/>
        <v>750</v>
      </c>
      <c r="P299" s="38">
        <f t="shared" si="621"/>
        <v>15</v>
      </c>
      <c r="Q299" s="38">
        <f t="shared" si="622"/>
        <v>17</v>
      </c>
      <c r="R299" s="39">
        <f t="shared" si="623"/>
        <v>0.9567860817362277</v>
      </c>
      <c r="S299" s="39">
        <f t="shared" si="624"/>
        <v>0.98231787842897789</v>
      </c>
      <c r="T299" s="39">
        <f t="shared" si="627"/>
        <v>2.5531796692750186E-2</v>
      </c>
      <c r="U299" s="89">
        <f t="shared" si="648"/>
        <v>4.185540441434457E-4</v>
      </c>
    </row>
    <row r="300" spans="1:21" ht="15.75" thickBot="1" x14ac:dyDescent="0.3">
      <c r="A300" s="41">
        <f t="shared" ref="A300:B300" si="651">A299+1</f>
        <v>290</v>
      </c>
      <c r="B300" s="42">
        <f t="shared" si="651"/>
        <v>290</v>
      </c>
      <c r="C300" s="92" t="str">
        <f t="shared" si="574"/>
        <v>L11X16-352_000_20</v>
      </c>
      <c r="D300" s="43">
        <f t="shared" si="606"/>
        <v>16</v>
      </c>
      <c r="E300" s="61">
        <f t="shared" si="611"/>
        <v>2.4640000000000004</v>
      </c>
      <c r="F300" s="44">
        <f t="shared" si="614"/>
        <v>15.400000000000002</v>
      </c>
      <c r="G300" s="44">
        <f t="shared" si="615"/>
        <v>12.320000000000002</v>
      </c>
      <c r="H300" s="44">
        <f t="shared" si="616"/>
        <v>7.7000000000000011</v>
      </c>
      <c r="I300" s="44">
        <f t="shared" si="619"/>
        <v>8</v>
      </c>
      <c r="J300" s="45">
        <f t="shared" si="601"/>
        <v>-8</v>
      </c>
      <c r="K300" s="87" t="s">
        <v>727</v>
      </c>
      <c r="L300" s="44">
        <f t="shared" ref="L300:N300" si="652">L299</f>
        <v>0.2</v>
      </c>
      <c r="M300" s="44">
        <f t="shared" si="652"/>
        <v>150</v>
      </c>
      <c r="N300" s="44">
        <f t="shared" si="652"/>
        <v>750</v>
      </c>
      <c r="P300" s="38">
        <f t="shared" si="621"/>
        <v>15</v>
      </c>
      <c r="Q300" s="38">
        <f t="shared" si="622"/>
        <v>17</v>
      </c>
      <c r="R300" s="39">
        <f t="shared" si="623"/>
        <v>0.9567860817362277</v>
      </c>
      <c r="S300" s="39">
        <f t="shared" si="624"/>
        <v>0.98231787842897789</v>
      </c>
      <c r="T300" s="39">
        <f t="shared" si="627"/>
        <v>2.5531796692750186E-2</v>
      </c>
      <c r="U300" s="89">
        <f t="shared" si="648"/>
        <v>4.185540441434457E-4</v>
      </c>
    </row>
    <row r="301" spans="1:21" ht="15.75" thickBot="1" x14ac:dyDescent="0.3">
      <c r="A301" s="41">
        <f t="shared" ref="A301:B301" si="653">A300+1</f>
        <v>291</v>
      </c>
      <c r="B301" s="42">
        <f t="shared" si="653"/>
        <v>291</v>
      </c>
      <c r="C301" s="92" t="str">
        <f t="shared" si="574"/>
        <v>L11X16-000_000_21</v>
      </c>
      <c r="D301" s="43">
        <f t="shared" si="606"/>
        <v>16</v>
      </c>
      <c r="E301" s="61">
        <f t="shared" si="611"/>
        <v>2.4640000000000004</v>
      </c>
      <c r="F301" s="44">
        <f t="shared" si="614"/>
        <v>15.400000000000002</v>
      </c>
      <c r="G301" s="44">
        <f t="shared" si="615"/>
        <v>12.320000000000002</v>
      </c>
      <c r="H301" s="44">
        <f t="shared" si="616"/>
        <v>7.7000000000000011</v>
      </c>
      <c r="I301" s="44">
        <f t="shared" si="619"/>
        <v>8</v>
      </c>
      <c r="J301" s="45">
        <f t="shared" ref="J301:J320" si="654">yaw_null</f>
        <v>0</v>
      </c>
      <c r="K301" s="87" t="s">
        <v>728</v>
      </c>
      <c r="L301" s="44">
        <f t="shared" ref="L301:N301" si="655">L300</f>
        <v>0.2</v>
      </c>
      <c r="M301" s="44">
        <f t="shared" si="655"/>
        <v>150</v>
      </c>
      <c r="N301" s="44">
        <f t="shared" si="655"/>
        <v>750</v>
      </c>
      <c r="P301" s="38">
        <f t="shared" si="621"/>
        <v>15</v>
      </c>
      <c r="Q301" s="38">
        <f t="shared" si="622"/>
        <v>17</v>
      </c>
      <c r="R301" s="39">
        <f t="shared" si="623"/>
        <v>0.9567860817362277</v>
      </c>
      <c r="S301" s="39">
        <f t="shared" si="624"/>
        <v>0.98231787842897789</v>
      </c>
      <c r="T301" s="39">
        <f t="shared" si="627"/>
        <v>2.5531796692750186E-2</v>
      </c>
      <c r="U301" s="89">
        <f t="shared" si="648"/>
        <v>4.185540441434457E-4</v>
      </c>
    </row>
    <row r="302" spans="1:21" ht="15.75" thickBot="1" x14ac:dyDescent="0.3">
      <c r="A302" s="41">
        <f t="shared" ref="A302:B302" si="656">A301+1</f>
        <v>292</v>
      </c>
      <c r="B302" s="42">
        <f t="shared" si="656"/>
        <v>292</v>
      </c>
      <c r="C302" s="92" t="str">
        <f t="shared" si="574"/>
        <v>L11X16-000_000_22</v>
      </c>
      <c r="D302" s="43">
        <f t="shared" si="606"/>
        <v>16</v>
      </c>
      <c r="E302" s="61">
        <f t="shared" si="611"/>
        <v>2.4640000000000004</v>
      </c>
      <c r="F302" s="44">
        <f t="shared" si="614"/>
        <v>15.400000000000002</v>
      </c>
      <c r="G302" s="44">
        <f t="shared" si="615"/>
        <v>12.320000000000002</v>
      </c>
      <c r="H302" s="44">
        <f t="shared" si="616"/>
        <v>7.7000000000000011</v>
      </c>
      <c r="I302" s="44">
        <f t="shared" si="619"/>
        <v>8</v>
      </c>
      <c r="J302" s="45">
        <f t="shared" si="654"/>
        <v>0</v>
      </c>
      <c r="K302" s="87" t="s">
        <v>729</v>
      </c>
      <c r="L302" s="44">
        <f t="shared" ref="L302:N302" si="657">L301</f>
        <v>0.2</v>
      </c>
      <c r="M302" s="44">
        <f t="shared" si="657"/>
        <v>150</v>
      </c>
      <c r="N302" s="44">
        <f t="shared" si="657"/>
        <v>750</v>
      </c>
      <c r="P302" s="38">
        <f t="shared" si="621"/>
        <v>15</v>
      </c>
      <c r="Q302" s="38">
        <f t="shared" si="622"/>
        <v>17</v>
      </c>
      <c r="R302" s="39">
        <f t="shared" si="623"/>
        <v>0.9567860817362277</v>
      </c>
      <c r="S302" s="39">
        <f t="shared" si="624"/>
        <v>0.98231787842897789</v>
      </c>
      <c r="T302" s="39">
        <f t="shared" si="627"/>
        <v>2.5531796692750186E-2</v>
      </c>
      <c r="U302" s="89">
        <f t="shared" si="648"/>
        <v>4.185540441434457E-4</v>
      </c>
    </row>
    <row r="303" spans="1:21" ht="15.75" thickBot="1" x14ac:dyDescent="0.3">
      <c r="A303" s="41">
        <f t="shared" ref="A303:B303" si="658">A302+1</f>
        <v>293</v>
      </c>
      <c r="B303" s="42">
        <f t="shared" si="658"/>
        <v>293</v>
      </c>
      <c r="C303" s="92" t="str">
        <f t="shared" si="574"/>
        <v>L11X16-000_000_23</v>
      </c>
      <c r="D303" s="43">
        <f t="shared" si="606"/>
        <v>16</v>
      </c>
      <c r="E303" s="61">
        <f t="shared" si="611"/>
        <v>2.4640000000000004</v>
      </c>
      <c r="F303" s="44">
        <f t="shared" si="614"/>
        <v>15.400000000000002</v>
      </c>
      <c r="G303" s="44">
        <f t="shared" si="615"/>
        <v>12.320000000000002</v>
      </c>
      <c r="H303" s="44">
        <f t="shared" si="616"/>
        <v>7.7000000000000011</v>
      </c>
      <c r="I303" s="44">
        <f t="shared" si="619"/>
        <v>8</v>
      </c>
      <c r="J303" s="45">
        <f t="shared" si="654"/>
        <v>0</v>
      </c>
      <c r="K303" s="87" t="s">
        <v>730</v>
      </c>
      <c r="L303" s="44">
        <f t="shared" ref="L303:N303" si="659">L302</f>
        <v>0.2</v>
      </c>
      <c r="M303" s="44">
        <f t="shared" si="659"/>
        <v>150</v>
      </c>
      <c r="N303" s="44">
        <f t="shared" si="659"/>
        <v>750</v>
      </c>
      <c r="P303" s="38">
        <f t="shared" si="621"/>
        <v>15</v>
      </c>
      <c r="Q303" s="38">
        <f t="shared" si="622"/>
        <v>17</v>
      </c>
      <c r="R303" s="39">
        <f t="shared" si="623"/>
        <v>0.9567860817362277</v>
      </c>
      <c r="S303" s="39">
        <f t="shared" si="624"/>
        <v>0.98231787842897789</v>
      </c>
      <c r="T303" s="39">
        <f t="shared" si="627"/>
        <v>2.5531796692750186E-2</v>
      </c>
      <c r="U303" s="89">
        <f t="shared" si="648"/>
        <v>4.185540441434457E-4</v>
      </c>
    </row>
    <row r="304" spans="1:21" ht="15.75" thickBot="1" x14ac:dyDescent="0.3">
      <c r="A304" s="41">
        <f t="shared" ref="A304:B304" si="660">A303+1</f>
        <v>294</v>
      </c>
      <c r="B304" s="42">
        <f t="shared" si="660"/>
        <v>294</v>
      </c>
      <c r="C304" s="92" t="str">
        <f t="shared" si="574"/>
        <v>L11X16-000_000_24</v>
      </c>
      <c r="D304" s="43">
        <f t="shared" si="606"/>
        <v>16</v>
      </c>
      <c r="E304" s="61">
        <f t="shared" si="611"/>
        <v>2.4640000000000004</v>
      </c>
      <c r="F304" s="44">
        <f t="shared" si="614"/>
        <v>15.400000000000002</v>
      </c>
      <c r="G304" s="44">
        <f t="shared" si="615"/>
        <v>12.320000000000002</v>
      </c>
      <c r="H304" s="44">
        <f t="shared" si="616"/>
        <v>7.7000000000000011</v>
      </c>
      <c r="I304" s="44">
        <f t="shared" si="619"/>
        <v>8</v>
      </c>
      <c r="J304" s="45">
        <f t="shared" si="654"/>
        <v>0</v>
      </c>
      <c r="K304" s="87" t="s">
        <v>731</v>
      </c>
      <c r="L304" s="44">
        <f t="shared" ref="L304:N304" si="661">L303</f>
        <v>0.2</v>
      </c>
      <c r="M304" s="44">
        <f t="shared" si="661"/>
        <v>150</v>
      </c>
      <c r="N304" s="44">
        <f t="shared" si="661"/>
        <v>750</v>
      </c>
      <c r="P304" s="38">
        <f t="shared" si="621"/>
        <v>15</v>
      </c>
      <c r="Q304" s="38">
        <f t="shared" si="622"/>
        <v>17</v>
      </c>
      <c r="R304" s="39">
        <f t="shared" si="623"/>
        <v>0.9567860817362277</v>
      </c>
      <c r="S304" s="39">
        <f t="shared" si="624"/>
        <v>0.98231787842897789</v>
      </c>
      <c r="T304" s="39">
        <f t="shared" si="627"/>
        <v>2.5531796692750186E-2</v>
      </c>
      <c r="U304" s="89">
        <f t="shared" si="648"/>
        <v>4.185540441434457E-4</v>
      </c>
    </row>
    <row r="305" spans="1:21" ht="15.75" thickBot="1" x14ac:dyDescent="0.3">
      <c r="A305" s="41">
        <f t="shared" ref="A305:B305" si="662">A304+1</f>
        <v>295</v>
      </c>
      <c r="B305" s="42">
        <f t="shared" si="662"/>
        <v>295</v>
      </c>
      <c r="C305" s="92" t="str">
        <f t="shared" si="574"/>
        <v>L11X16-000_000_25</v>
      </c>
      <c r="D305" s="43">
        <f t="shared" si="606"/>
        <v>16</v>
      </c>
      <c r="E305" s="61">
        <f t="shared" si="611"/>
        <v>2.4640000000000004</v>
      </c>
      <c r="F305" s="44">
        <f t="shared" si="614"/>
        <v>15.400000000000002</v>
      </c>
      <c r="G305" s="44">
        <f t="shared" si="615"/>
        <v>12.320000000000002</v>
      </c>
      <c r="H305" s="44">
        <f t="shared" si="616"/>
        <v>7.7000000000000011</v>
      </c>
      <c r="I305" s="44">
        <f t="shared" si="619"/>
        <v>8</v>
      </c>
      <c r="J305" s="45">
        <f t="shared" si="654"/>
        <v>0</v>
      </c>
      <c r="K305" s="87" t="s">
        <v>732</v>
      </c>
      <c r="L305" s="44">
        <f t="shared" ref="L305:N305" si="663">L304</f>
        <v>0.2</v>
      </c>
      <c r="M305" s="44">
        <f t="shared" si="663"/>
        <v>150</v>
      </c>
      <c r="N305" s="44">
        <f t="shared" si="663"/>
        <v>750</v>
      </c>
      <c r="P305" s="38">
        <f t="shared" si="621"/>
        <v>15</v>
      </c>
      <c r="Q305" s="38">
        <f t="shared" si="622"/>
        <v>17</v>
      </c>
      <c r="R305" s="39">
        <f t="shared" si="623"/>
        <v>0.9567860817362277</v>
      </c>
      <c r="S305" s="39">
        <f t="shared" si="624"/>
        <v>0.98231787842897789</v>
      </c>
      <c r="T305" s="39">
        <f t="shared" si="627"/>
        <v>2.5531796692750186E-2</v>
      </c>
      <c r="U305" s="89">
        <f t="shared" si="648"/>
        <v>4.185540441434457E-4</v>
      </c>
    </row>
    <row r="306" spans="1:21" ht="15.75" thickBot="1" x14ac:dyDescent="0.3">
      <c r="A306" s="41">
        <f t="shared" ref="A306:B306" si="664">A305+1</f>
        <v>296</v>
      </c>
      <c r="B306" s="42">
        <f t="shared" si="664"/>
        <v>296</v>
      </c>
      <c r="C306" s="92" t="str">
        <f t="shared" si="574"/>
        <v>L11X16-000_000_26</v>
      </c>
      <c r="D306" s="43">
        <f t="shared" si="606"/>
        <v>16</v>
      </c>
      <c r="E306" s="61">
        <f t="shared" si="611"/>
        <v>2.4640000000000004</v>
      </c>
      <c r="F306" s="44">
        <f t="shared" si="614"/>
        <v>15.400000000000002</v>
      </c>
      <c r="G306" s="44">
        <f t="shared" si="615"/>
        <v>12.320000000000002</v>
      </c>
      <c r="H306" s="44">
        <f t="shared" si="616"/>
        <v>7.7000000000000011</v>
      </c>
      <c r="I306" s="44">
        <f t="shared" si="619"/>
        <v>8</v>
      </c>
      <c r="J306" s="45">
        <f t="shared" si="654"/>
        <v>0</v>
      </c>
      <c r="K306" s="87" t="s">
        <v>733</v>
      </c>
      <c r="L306" s="44">
        <f t="shared" ref="L306:N306" si="665">L305</f>
        <v>0.2</v>
      </c>
      <c r="M306" s="44">
        <f t="shared" si="665"/>
        <v>150</v>
      </c>
      <c r="N306" s="44">
        <f t="shared" si="665"/>
        <v>750</v>
      </c>
      <c r="P306" s="38">
        <f t="shared" si="621"/>
        <v>15</v>
      </c>
      <c r="Q306" s="38">
        <f t="shared" si="622"/>
        <v>17</v>
      </c>
      <c r="R306" s="39">
        <f t="shared" si="623"/>
        <v>0.9567860817362277</v>
      </c>
      <c r="S306" s="39">
        <f t="shared" si="624"/>
        <v>0.98231787842897789</v>
      </c>
      <c r="T306" s="39">
        <f t="shared" si="627"/>
        <v>2.5531796692750186E-2</v>
      </c>
      <c r="U306" s="89">
        <f t="shared" si="648"/>
        <v>4.185540441434457E-4</v>
      </c>
    </row>
    <row r="307" spans="1:21" ht="15.75" thickBot="1" x14ac:dyDescent="0.3">
      <c r="A307" s="41">
        <f t="shared" ref="A307:B307" si="666">A306+1</f>
        <v>297</v>
      </c>
      <c r="B307" s="42">
        <f t="shared" si="666"/>
        <v>297</v>
      </c>
      <c r="C307" s="92" t="str">
        <f t="shared" si="574"/>
        <v>L11X16-000_000_27</v>
      </c>
      <c r="D307" s="43">
        <f t="shared" si="606"/>
        <v>16</v>
      </c>
      <c r="E307" s="61">
        <f t="shared" si="611"/>
        <v>2.4640000000000004</v>
      </c>
      <c r="F307" s="44">
        <f t="shared" si="614"/>
        <v>15.400000000000002</v>
      </c>
      <c r="G307" s="44">
        <f t="shared" si="615"/>
        <v>12.320000000000002</v>
      </c>
      <c r="H307" s="44">
        <f t="shared" si="616"/>
        <v>7.7000000000000011</v>
      </c>
      <c r="I307" s="44">
        <f t="shared" si="619"/>
        <v>8</v>
      </c>
      <c r="J307" s="45">
        <f t="shared" si="654"/>
        <v>0</v>
      </c>
      <c r="K307" s="87" t="s">
        <v>734</v>
      </c>
      <c r="L307" s="44">
        <f t="shared" ref="L307:N307" si="667">L306</f>
        <v>0.2</v>
      </c>
      <c r="M307" s="44">
        <f t="shared" si="667"/>
        <v>150</v>
      </c>
      <c r="N307" s="44">
        <f t="shared" si="667"/>
        <v>750</v>
      </c>
      <c r="P307" s="38">
        <f t="shared" si="621"/>
        <v>15</v>
      </c>
      <c r="Q307" s="38">
        <f t="shared" si="622"/>
        <v>17</v>
      </c>
      <c r="R307" s="39">
        <f t="shared" si="623"/>
        <v>0.9567860817362277</v>
      </c>
      <c r="S307" s="39">
        <f t="shared" si="624"/>
        <v>0.98231787842897789</v>
      </c>
      <c r="T307" s="39">
        <f t="shared" si="627"/>
        <v>2.5531796692750186E-2</v>
      </c>
      <c r="U307" s="89">
        <f t="shared" si="648"/>
        <v>4.185540441434457E-4</v>
      </c>
    </row>
    <row r="308" spans="1:21" ht="15.75" thickBot="1" x14ac:dyDescent="0.3">
      <c r="A308" s="41">
        <f t="shared" ref="A308:B308" si="668">A307+1</f>
        <v>298</v>
      </c>
      <c r="B308" s="42">
        <f t="shared" si="668"/>
        <v>298</v>
      </c>
      <c r="C308" s="92" t="str">
        <f t="shared" si="574"/>
        <v>L11X16-000_000_28</v>
      </c>
      <c r="D308" s="43">
        <f t="shared" si="606"/>
        <v>16</v>
      </c>
      <c r="E308" s="61">
        <f t="shared" si="611"/>
        <v>2.4640000000000004</v>
      </c>
      <c r="F308" s="44">
        <f t="shared" si="614"/>
        <v>15.400000000000002</v>
      </c>
      <c r="G308" s="44">
        <f t="shared" si="615"/>
        <v>12.320000000000002</v>
      </c>
      <c r="H308" s="44">
        <f t="shared" si="616"/>
        <v>7.7000000000000011</v>
      </c>
      <c r="I308" s="44">
        <f t="shared" si="619"/>
        <v>8</v>
      </c>
      <c r="J308" s="45">
        <f t="shared" si="654"/>
        <v>0</v>
      </c>
      <c r="K308" s="87" t="s">
        <v>735</v>
      </c>
      <c r="L308" s="44">
        <f t="shared" ref="L308:N308" si="669">L307</f>
        <v>0.2</v>
      </c>
      <c r="M308" s="44">
        <f t="shared" si="669"/>
        <v>150</v>
      </c>
      <c r="N308" s="44">
        <f t="shared" si="669"/>
        <v>750</v>
      </c>
      <c r="P308" s="38">
        <f t="shared" si="621"/>
        <v>15</v>
      </c>
      <c r="Q308" s="38">
        <f t="shared" si="622"/>
        <v>17</v>
      </c>
      <c r="R308" s="39">
        <f t="shared" si="623"/>
        <v>0.9567860817362277</v>
      </c>
      <c r="S308" s="39">
        <f t="shared" si="624"/>
        <v>0.98231787842897789</v>
      </c>
      <c r="T308" s="39">
        <f t="shared" si="627"/>
        <v>2.5531796692750186E-2</v>
      </c>
      <c r="U308" s="89">
        <f t="shared" si="648"/>
        <v>4.185540441434457E-4</v>
      </c>
    </row>
    <row r="309" spans="1:21" ht="15.75" thickBot="1" x14ac:dyDescent="0.3">
      <c r="A309" s="41">
        <f t="shared" ref="A309:B309" si="670">A308+1</f>
        <v>299</v>
      </c>
      <c r="B309" s="42">
        <f t="shared" si="670"/>
        <v>299</v>
      </c>
      <c r="C309" s="92" t="str">
        <f t="shared" si="574"/>
        <v>L11X16-000_000_29</v>
      </c>
      <c r="D309" s="43">
        <f t="shared" si="606"/>
        <v>16</v>
      </c>
      <c r="E309" s="61">
        <f t="shared" si="611"/>
        <v>2.4640000000000004</v>
      </c>
      <c r="F309" s="44">
        <f t="shared" si="614"/>
        <v>15.400000000000002</v>
      </c>
      <c r="G309" s="44">
        <f t="shared" si="615"/>
        <v>12.320000000000002</v>
      </c>
      <c r="H309" s="44">
        <f t="shared" si="616"/>
        <v>7.7000000000000011</v>
      </c>
      <c r="I309" s="44">
        <f t="shared" si="619"/>
        <v>8</v>
      </c>
      <c r="J309" s="45">
        <f t="shared" si="654"/>
        <v>0</v>
      </c>
      <c r="K309" s="87" t="s">
        <v>736</v>
      </c>
      <c r="L309" s="44">
        <f t="shared" ref="L309:N309" si="671">L308</f>
        <v>0.2</v>
      </c>
      <c r="M309" s="44">
        <f t="shared" si="671"/>
        <v>150</v>
      </c>
      <c r="N309" s="44">
        <f t="shared" si="671"/>
        <v>750</v>
      </c>
      <c r="P309" s="38">
        <f t="shared" si="621"/>
        <v>15</v>
      </c>
      <c r="Q309" s="38">
        <f t="shared" si="622"/>
        <v>17</v>
      </c>
      <c r="R309" s="39">
        <f t="shared" si="623"/>
        <v>0.9567860817362277</v>
      </c>
      <c r="S309" s="39">
        <f t="shared" si="624"/>
        <v>0.98231787842897789</v>
      </c>
      <c r="T309" s="39">
        <f t="shared" si="627"/>
        <v>2.5531796692750186E-2</v>
      </c>
      <c r="U309" s="89">
        <f t="shared" si="648"/>
        <v>4.185540441434457E-4</v>
      </c>
    </row>
    <row r="310" spans="1:21" ht="15.75" thickBot="1" x14ac:dyDescent="0.3">
      <c r="A310" s="41">
        <f t="shared" ref="A310:B310" si="672">A309+1</f>
        <v>300</v>
      </c>
      <c r="B310" s="42">
        <f t="shared" si="672"/>
        <v>300</v>
      </c>
      <c r="C310" s="92" t="str">
        <f t="shared" si="574"/>
        <v>L11X16-000_000_30</v>
      </c>
      <c r="D310" s="43">
        <f t="shared" si="606"/>
        <v>16</v>
      </c>
      <c r="E310" s="61">
        <f t="shared" si="611"/>
        <v>2.4640000000000004</v>
      </c>
      <c r="F310" s="44">
        <f t="shared" si="614"/>
        <v>15.400000000000002</v>
      </c>
      <c r="G310" s="44">
        <f t="shared" si="615"/>
        <v>12.320000000000002</v>
      </c>
      <c r="H310" s="44">
        <f t="shared" si="616"/>
        <v>7.7000000000000011</v>
      </c>
      <c r="I310" s="44">
        <f t="shared" si="619"/>
        <v>8</v>
      </c>
      <c r="J310" s="45">
        <f t="shared" si="654"/>
        <v>0</v>
      </c>
      <c r="K310" s="87" t="s">
        <v>737</v>
      </c>
      <c r="L310" s="44">
        <f t="shared" ref="L310:N310" si="673">L309</f>
        <v>0.2</v>
      </c>
      <c r="M310" s="44">
        <f t="shared" si="673"/>
        <v>150</v>
      </c>
      <c r="N310" s="44">
        <f t="shared" si="673"/>
        <v>750</v>
      </c>
      <c r="P310" s="38">
        <f t="shared" si="621"/>
        <v>15</v>
      </c>
      <c r="Q310" s="38">
        <f t="shared" si="622"/>
        <v>17</v>
      </c>
      <c r="R310" s="39">
        <f t="shared" si="623"/>
        <v>0.9567860817362277</v>
      </c>
      <c r="S310" s="39">
        <f t="shared" si="624"/>
        <v>0.98231787842897789</v>
      </c>
      <c r="T310" s="39">
        <f t="shared" si="627"/>
        <v>2.5531796692750186E-2</v>
      </c>
      <c r="U310" s="89">
        <f t="shared" si="648"/>
        <v>4.185540441434457E-4</v>
      </c>
    </row>
    <row r="311" spans="1:21" ht="15.75" thickBot="1" x14ac:dyDescent="0.3">
      <c r="A311" s="41">
        <f t="shared" ref="A311:B311" si="674">A310+1</f>
        <v>301</v>
      </c>
      <c r="B311" s="42">
        <f t="shared" si="674"/>
        <v>301</v>
      </c>
      <c r="C311" s="92" t="str">
        <f t="shared" si="574"/>
        <v>L11X16-000_000_31</v>
      </c>
      <c r="D311" s="43">
        <f t="shared" si="606"/>
        <v>16</v>
      </c>
      <c r="E311" s="61">
        <f t="shared" si="611"/>
        <v>2.4640000000000004</v>
      </c>
      <c r="F311" s="44">
        <f t="shared" si="614"/>
        <v>15.400000000000002</v>
      </c>
      <c r="G311" s="44">
        <f t="shared" si="615"/>
        <v>12.320000000000002</v>
      </c>
      <c r="H311" s="44">
        <f t="shared" si="616"/>
        <v>7.7000000000000011</v>
      </c>
      <c r="I311" s="44">
        <f t="shared" si="619"/>
        <v>8</v>
      </c>
      <c r="J311" s="45">
        <f t="shared" si="654"/>
        <v>0</v>
      </c>
      <c r="K311" s="87" t="s">
        <v>738</v>
      </c>
      <c r="L311" s="44">
        <f t="shared" ref="L311:N311" si="675">L310</f>
        <v>0.2</v>
      </c>
      <c r="M311" s="44">
        <f t="shared" si="675"/>
        <v>150</v>
      </c>
      <c r="N311" s="44">
        <f t="shared" si="675"/>
        <v>750</v>
      </c>
      <c r="P311" s="38">
        <f t="shared" si="621"/>
        <v>15</v>
      </c>
      <c r="Q311" s="38">
        <f t="shared" si="622"/>
        <v>17</v>
      </c>
      <c r="R311" s="39">
        <f t="shared" si="623"/>
        <v>0.9567860817362277</v>
      </c>
      <c r="S311" s="39">
        <f t="shared" si="624"/>
        <v>0.98231787842897789</v>
      </c>
      <c r="T311" s="39">
        <f t="shared" si="627"/>
        <v>2.5531796692750186E-2</v>
      </c>
      <c r="U311" s="89">
        <f t="shared" si="648"/>
        <v>4.185540441434457E-4</v>
      </c>
    </row>
    <row r="312" spans="1:21" ht="15.75" thickBot="1" x14ac:dyDescent="0.3">
      <c r="A312" s="41">
        <f t="shared" ref="A312:B312" si="676">A311+1</f>
        <v>302</v>
      </c>
      <c r="B312" s="42">
        <f t="shared" si="676"/>
        <v>302</v>
      </c>
      <c r="C312" s="92" t="str">
        <f t="shared" si="574"/>
        <v>L11X16-000_000_32</v>
      </c>
      <c r="D312" s="43">
        <f t="shared" si="606"/>
        <v>16</v>
      </c>
      <c r="E312" s="61">
        <f t="shared" si="611"/>
        <v>2.4640000000000004</v>
      </c>
      <c r="F312" s="44">
        <f t="shared" si="614"/>
        <v>15.400000000000002</v>
      </c>
      <c r="G312" s="44">
        <f t="shared" si="615"/>
        <v>12.320000000000002</v>
      </c>
      <c r="H312" s="44">
        <f t="shared" si="616"/>
        <v>7.7000000000000011</v>
      </c>
      <c r="I312" s="44">
        <f t="shared" si="619"/>
        <v>8</v>
      </c>
      <c r="J312" s="45">
        <f t="shared" si="654"/>
        <v>0</v>
      </c>
      <c r="K312" s="87" t="s">
        <v>739</v>
      </c>
      <c r="L312" s="44">
        <f t="shared" ref="L312:N312" si="677">L311</f>
        <v>0.2</v>
      </c>
      <c r="M312" s="44">
        <f t="shared" si="677"/>
        <v>150</v>
      </c>
      <c r="N312" s="44">
        <f t="shared" si="677"/>
        <v>750</v>
      </c>
      <c r="P312" s="38">
        <f t="shared" si="621"/>
        <v>15</v>
      </c>
      <c r="Q312" s="38">
        <f t="shared" si="622"/>
        <v>17</v>
      </c>
      <c r="R312" s="39">
        <f t="shared" si="623"/>
        <v>0.9567860817362277</v>
      </c>
      <c r="S312" s="39">
        <f t="shared" si="624"/>
        <v>0.98231787842897789</v>
      </c>
      <c r="T312" s="39">
        <f t="shared" si="627"/>
        <v>2.5531796692750186E-2</v>
      </c>
      <c r="U312" s="89">
        <f t="shared" si="648"/>
        <v>4.185540441434457E-4</v>
      </c>
    </row>
    <row r="313" spans="1:21" ht="15.75" thickBot="1" x14ac:dyDescent="0.3">
      <c r="A313" s="41">
        <f t="shared" ref="A313:B313" si="678">A312+1</f>
        <v>303</v>
      </c>
      <c r="B313" s="42">
        <f t="shared" si="678"/>
        <v>303</v>
      </c>
      <c r="C313" s="92" t="str">
        <f t="shared" si="574"/>
        <v>L11X16-000_000_33</v>
      </c>
      <c r="D313" s="43">
        <f t="shared" si="606"/>
        <v>16</v>
      </c>
      <c r="E313" s="61">
        <f t="shared" si="611"/>
        <v>2.4640000000000004</v>
      </c>
      <c r="F313" s="44">
        <f t="shared" si="614"/>
        <v>15.400000000000002</v>
      </c>
      <c r="G313" s="44">
        <f t="shared" si="615"/>
        <v>12.320000000000002</v>
      </c>
      <c r="H313" s="44">
        <f t="shared" si="616"/>
        <v>7.7000000000000011</v>
      </c>
      <c r="I313" s="44">
        <f t="shared" si="619"/>
        <v>8</v>
      </c>
      <c r="J313" s="45">
        <f t="shared" si="654"/>
        <v>0</v>
      </c>
      <c r="K313" s="87" t="s">
        <v>740</v>
      </c>
      <c r="L313" s="44">
        <f t="shared" ref="L313:N313" si="679">L312</f>
        <v>0.2</v>
      </c>
      <c r="M313" s="44">
        <f t="shared" si="679"/>
        <v>150</v>
      </c>
      <c r="N313" s="44">
        <f t="shared" si="679"/>
        <v>750</v>
      </c>
      <c r="P313" s="38">
        <f t="shared" si="621"/>
        <v>15</v>
      </c>
      <c r="Q313" s="38">
        <f t="shared" si="622"/>
        <v>17</v>
      </c>
      <c r="R313" s="39">
        <f t="shared" si="623"/>
        <v>0.9567860817362277</v>
      </c>
      <c r="S313" s="39">
        <f t="shared" si="624"/>
        <v>0.98231787842897789</v>
      </c>
      <c r="T313" s="39">
        <f t="shared" si="627"/>
        <v>2.5531796692750186E-2</v>
      </c>
      <c r="U313" s="89">
        <f t="shared" si="648"/>
        <v>4.185540441434457E-4</v>
      </c>
    </row>
    <row r="314" spans="1:21" ht="15.75" thickBot="1" x14ac:dyDescent="0.3">
      <c r="A314" s="41">
        <f t="shared" ref="A314:B314" si="680">A313+1</f>
        <v>304</v>
      </c>
      <c r="B314" s="42">
        <f t="shared" si="680"/>
        <v>304</v>
      </c>
      <c r="C314" s="92" t="str">
        <f t="shared" si="574"/>
        <v>L11X16-000_000_34</v>
      </c>
      <c r="D314" s="43">
        <f t="shared" si="606"/>
        <v>16</v>
      </c>
      <c r="E314" s="61">
        <f t="shared" si="611"/>
        <v>2.4640000000000004</v>
      </c>
      <c r="F314" s="44">
        <f t="shared" si="614"/>
        <v>15.400000000000002</v>
      </c>
      <c r="G314" s="44">
        <f t="shared" si="615"/>
        <v>12.320000000000002</v>
      </c>
      <c r="H314" s="44">
        <f t="shared" si="616"/>
        <v>7.7000000000000011</v>
      </c>
      <c r="I314" s="44">
        <f t="shared" si="619"/>
        <v>8</v>
      </c>
      <c r="J314" s="45">
        <f t="shared" si="654"/>
        <v>0</v>
      </c>
      <c r="K314" s="87" t="s">
        <v>741</v>
      </c>
      <c r="L314" s="44">
        <f t="shared" ref="L314:N314" si="681">L313</f>
        <v>0.2</v>
      </c>
      <c r="M314" s="44">
        <f t="shared" si="681"/>
        <v>150</v>
      </c>
      <c r="N314" s="44">
        <f t="shared" si="681"/>
        <v>750</v>
      </c>
      <c r="P314" s="38">
        <f t="shared" si="621"/>
        <v>15</v>
      </c>
      <c r="Q314" s="38">
        <f t="shared" si="622"/>
        <v>17</v>
      </c>
      <c r="R314" s="39">
        <f t="shared" si="623"/>
        <v>0.9567860817362277</v>
      </c>
      <c r="S314" s="39">
        <f t="shared" si="624"/>
        <v>0.98231787842897789</v>
      </c>
      <c r="T314" s="39">
        <f t="shared" si="627"/>
        <v>2.5531796692750186E-2</v>
      </c>
      <c r="U314" s="89">
        <f t="shared" si="648"/>
        <v>4.185540441434457E-4</v>
      </c>
    </row>
    <row r="315" spans="1:21" ht="15.75" thickBot="1" x14ac:dyDescent="0.3">
      <c r="A315" s="41">
        <f t="shared" ref="A315:B315" si="682">A314+1</f>
        <v>305</v>
      </c>
      <c r="B315" s="42">
        <f t="shared" si="682"/>
        <v>305</v>
      </c>
      <c r="C315" s="92" t="str">
        <f t="shared" si="574"/>
        <v>L11X16-000_000_35</v>
      </c>
      <c r="D315" s="43">
        <f t="shared" si="606"/>
        <v>16</v>
      </c>
      <c r="E315" s="61">
        <f t="shared" si="611"/>
        <v>2.4640000000000004</v>
      </c>
      <c r="F315" s="44">
        <f t="shared" si="614"/>
        <v>15.400000000000002</v>
      </c>
      <c r="G315" s="44">
        <f t="shared" si="615"/>
        <v>12.320000000000002</v>
      </c>
      <c r="H315" s="44">
        <f t="shared" si="616"/>
        <v>7.7000000000000011</v>
      </c>
      <c r="I315" s="44">
        <f t="shared" si="619"/>
        <v>8</v>
      </c>
      <c r="J315" s="45">
        <f t="shared" si="654"/>
        <v>0</v>
      </c>
      <c r="K315" s="87" t="s">
        <v>742</v>
      </c>
      <c r="L315" s="44">
        <f t="shared" ref="L315:N315" si="683">L314</f>
        <v>0.2</v>
      </c>
      <c r="M315" s="44">
        <f t="shared" si="683"/>
        <v>150</v>
      </c>
      <c r="N315" s="44">
        <f t="shared" si="683"/>
        <v>750</v>
      </c>
      <c r="P315" s="38">
        <f t="shared" si="621"/>
        <v>15</v>
      </c>
      <c r="Q315" s="38">
        <f t="shared" si="622"/>
        <v>17</v>
      </c>
      <c r="R315" s="39">
        <f t="shared" si="623"/>
        <v>0.9567860817362277</v>
      </c>
      <c r="S315" s="39">
        <f t="shared" si="624"/>
        <v>0.98231787842897789</v>
      </c>
      <c r="T315" s="39">
        <f t="shared" si="627"/>
        <v>2.5531796692750186E-2</v>
      </c>
      <c r="U315" s="89">
        <f t="shared" si="648"/>
        <v>4.185540441434457E-4</v>
      </c>
    </row>
    <row r="316" spans="1:21" ht="15.75" thickBot="1" x14ac:dyDescent="0.3">
      <c r="A316" s="41">
        <f t="shared" ref="A316:B316" si="684">A315+1</f>
        <v>306</v>
      </c>
      <c r="B316" s="42">
        <f t="shared" si="684"/>
        <v>306</v>
      </c>
      <c r="C316" s="92" t="str">
        <f t="shared" si="574"/>
        <v>L11X16-000_000_36</v>
      </c>
      <c r="D316" s="43">
        <f t="shared" si="606"/>
        <v>16</v>
      </c>
      <c r="E316" s="61">
        <f t="shared" si="611"/>
        <v>2.4640000000000004</v>
      </c>
      <c r="F316" s="44">
        <f t="shared" si="614"/>
        <v>15.400000000000002</v>
      </c>
      <c r="G316" s="44">
        <f t="shared" si="615"/>
        <v>12.320000000000002</v>
      </c>
      <c r="H316" s="44">
        <f t="shared" si="616"/>
        <v>7.7000000000000011</v>
      </c>
      <c r="I316" s="44">
        <f t="shared" si="619"/>
        <v>8</v>
      </c>
      <c r="J316" s="45">
        <f t="shared" si="654"/>
        <v>0</v>
      </c>
      <c r="K316" s="87" t="s">
        <v>743</v>
      </c>
      <c r="L316" s="44">
        <f t="shared" ref="L316:N316" si="685">L315</f>
        <v>0.2</v>
      </c>
      <c r="M316" s="44">
        <f t="shared" si="685"/>
        <v>150</v>
      </c>
      <c r="N316" s="44">
        <f t="shared" si="685"/>
        <v>750</v>
      </c>
      <c r="P316" s="38">
        <f t="shared" si="621"/>
        <v>15</v>
      </c>
      <c r="Q316" s="38">
        <f t="shared" si="622"/>
        <v>17</v>
      </c>
      <c r="R316" s="39">
        <f t="shared" si="623"/>
        <v>0.9567860817362277</v>
      </c>
      <c r="S316" s="39">
        <f t="shared" si="624"/>
        <v>0.98231787842897789</v>
      </c>
      <c r="T316" s="39">
        <f t="shared" si="627"/>
        <v>2.5531796692750186E-2</v>
      </c>
      <c r="U316" s="89">
        <f t="shared" si="648"/>
        <v>4.185540441434457E-4</v>
      </c>
    </row>
    <row r="317" spans="1:21" ht="15.75" thickBot="1" x14ac:dyDescent="0.3">
      <c r="A317" s="41">
        <f t="shared" ref="A317:B317" si="686">A316+1</f>
        <v>307</v>
      </c>
      <c r="B317" s="42">
        <f t="shared" si="686"/>
        <v>307</v>
      </c>
      <c r="C317" s="92" t="str">
        <f t="shared" si="574"/>
        <v>L11X16-000_000_37</v>
      </c>
      <c r="D317" s="43">
        <f t="shared" si="606"/>
        <v>16</v>
      </c>
      <c r="E317" s="61">
        <f t="shared" si="611"/>
        <v>2.4640000000000004</v>
      </c>
      <c r="F317" s="44">
        <f t="shared" si="614"/>
        <v>15.400000000000002</v>
      </c>
      <c r="G317" s="44">
        <f t="shared" si="615"/>
        <v>12.320000000000002</v>
      </c>
      <c r="H317" s="44">
        <f t="shared" si="616"/>
        <v>7.7000000000000011</v>
      </c>
      <c r="I317" s="44">
        <f t="shared" si="619"/>
        <v>8</v>
      </c>
      <c r="J317" s="45">
        <f t="shared" si="654"/>
        <v>0</v>
      </c>
      <c r="K317" s="87" t="s">
        <v>744</v>
      </c>
      <c r="L317" s="44">
        <f t="shared" ref="L317:N317" si="687">L316</f>
        <v>0.2</v>
      </c>
      <c r="M317" s="44">
        <f t="shared" si="687"/>
        <v>150</v>
      </c>
      <c r="N317" s="44">
        <f t="shared" si="687"/>
        <v>750</v>
      </c>
      <c r="P317" s="38">
        <f t="shared" si="621"/>
        <v>15</v>
      </c>
      <c r="Q317" s="38">
        <f t="shared" si="622"/>
        <v>17</v>
      </c>
      <c r="R317" s="39">
        <f t="shared" si="623"/>
        <v>0.9567860817362277</v>
      </c>
      <c r="S317" s="39">
        <f t="shared" si="624"/>
        <v>0.98231787842897789</v>
      </c>
      <c r="T317" s="39">
        <f t="shared" si="627"/>
        <v>2.5531796692750186E-2</v>
      </c>
      <c r="U317" s="89">
        <f t="shared" si="648"/>
        <v>4.185540441434457E-4</v>
      </c>
    </row>
    <row r="318" spans="1:21" ht="15.75" thickBot="1" x14ac:dyDescent="0.3">
      <c r="A318" s="41">
        <f t="shared" ref="A318:B318" si="688">A317+1</f>
        <v>308</v>
      </c>
      <c r="B318" s="42">
        <f t="shared" si="688"/>
        <v>308</v>
      </c>
      <c r="C318" s="92" t="str">
        <f t="shared" si="574"/>
        <v>L11X16-000_000_38</v>
      </c>
      <c r="D318" s="43">
        <f t="shared" si="606"/>
        <v>16</v>
      </c>
      <c r="E318" s="61">
        <f t="shared" si="611"/>
        <v>2.4640000000000004</v>
      </c>
      <c r="F318" s="44">
        <f t="shared" si="614"/>
        <v>15.400000000000002</v>
      </c>
      <c r="G318" s="44">
        <f t="shared" si="615"/>
        <v>12.320000000000002</v>
      </c>
      <c r="H318" s="44">
        <f t="shared" si="616"/>
        <v>7.7000000000000011</v>
      </c>
      <c r="I318" s="44">
        <f t="shared" si="619"/>
        <v>8</v>
      </c>
      <c r="J318" s="45">
        <f t="shared" si="654"/>
        <v>0</v>
      </c>
      <c r="K318" s="87" t="s">
        <v>745</v>
      </c>
      <c r="L318" s="44">
        <f t="shared" ref="L318:N318" si="689">L317</f>
        <v>0.2</v>
      </c>
      <c r="M318" s="44">
        <f t="shared" si="689"/>
        <v>150</v>
      </c>
      <c r="N318" s="44">
        <f t="shared" si="689"/>
        <v>750</v>
      </c>
      <c r="P318" s="38">
        <f t="shared" si="621"/>
        <v>15</v>
      </c>
      <c r="Q318" s="38">
        <f t="shared" si="622"/>
        <v>17</v>
      </c>
      <c r="R318" s="39">
        <f t="shared" si="623"/>
        <v>0.9567860817362277</v>
      </c>
      <c r="S318" s="39">
        <f t="shared" si="624"/>
        <v>0.98231787842897789</v>
      </c>
      <c r="T318" s="39">
        <f t="shared" si="627"/>
        <v>2.5531796692750186E-2</v>
      </c>
      <c r="U318" s="89">
        <f t="shared" si="648"/>
        <v>4.185540441434457E-4</v>
      </c>
    </row>
    <row r="319" spans="1:21" ht="15.75" thickBot="1" x14ac:dyDescent="0.3">
      <c r="A319" s="41">
        <f t="shared" ref="A319:B319" si="690">A318+1</f>
        <v>309</v>
      </c>
      <c r="B319" s="42">
        <f t="shared" si="690"/>
        <v>309</v>
      </c>
      <c r="C319" s="92" t="str">
        <f t="shared" si="574"/>
        <v>L11X16-000_000_39</v>
      </c>
      <c r="D319" s="43">
        <f t="shared" si="606"/>
        <v>16</v>
      </c>
      <c r="E319" s="61">
        <f t="shared" si="611"/>
        <v>2.4640000000000004</v>
      </c>
      <c r="F319" s="44">
        <f t="shared" si="614"/>
        <v>15.400000000000002</v>
      </c>
      <c r="G319" s="44">
        <f t="shared" si="615"/>
        <v>12.320000000000002</v>
      </c>
      <c r="H319" s="44">
        <f t="shared" si="616"/>
        <v>7.7000000000000011</v>
      </c>
      <c r="I319" s="44">
        <f t="shared" si="619"/>
        <v>8</v>
      </c>
      <c r="J319" s="45">
        <f t="shared" si="654"/>
        <v>0</v>
      </c>
      <c r="K319" s="87" t="s">
        <v>746</v>
      </c>
      <c r="L319" s="44">
        <f t="shared" ref="L319:N319" si="691">L318</f>
        <v>0.2</v>
      </c>
      <c r="M319" s="44">
        <f t="shared" si="691"/>
        <v>150</v>
      </c>
      <c r="N319" s="44">
        <f t="shared" si="691"/>
        <v>750</v>
      </c>
      <c r="P319" s="38">
        <f t="shared" si="621"/>
        <v>15</v>
      </c>
      <c r="Q319" s="38">
        <f t="shared" si="622"/>
        <v>17</v>
      </c>
      <c r="R319" s="39">
        <f t="shared" si="623"/>
        <v>0.9567860817362277</v>
      </c>
      <c r="S319" s="39">
        <f t="shared" si="624"/>
        <v>0.98231787842897789</v>
      </c>
      <c r="T319" s="39">
        <f t="shared" si="627"/>
        <v>2.5531796692750186E-2</v>
      </c>
      <c r="U319" s="89">
        <f t="shared" si="648"/>
        <v>4.185540441434457E-4</v>
      </c>
    </row>
    <row r="320" spans="1:21" ht="15.75" thickBot="1" x14ac:dyDescent="0.3">
      <c r="A320" s="41">
        <f t="shared" ref="A320:B320" si="692">A319+1</f>
        <v>310</v>
      </c>
      <c r="B320" s="42">
        <f t="shared" si="692"/>
        <v>310</v>
      </c>
      <c r="C320" s="92" t="str">
        <f t="shared" si="574"/>
        <v>L11X16-000_000_40</v>
      </c>
      <c r="D320" s="43">
        <f t="shared" si="606"/>
        <v>16</v>
      </c>
      <c r="E320" s="61">
        <f t="shared" si="611"/>
        <v>2.4640000000000004</v>
      </c>
      <c r="F320" s="44">
        <f t="shared" si="614"/>
        <v>15.400000000000002</v>
      </c>
      <c r="G320" s="44">
        <f t="shared" si="615"/>
        <v>12.320000000000002</v>
      </c>
      <c r="H320" s="44">
        <f t="shared" si="616"/>
        <v>7.7000000000000011</v>
      </c>
      <c r="I320" s="44">
        <f t="shared" si="619"/>
        <v>8</v>
      </c>
      <c r="J320" s="45">
        <f t="shared" si="654"/>
        <v>0</v>
      </c>
      <c r="K320" s="87" t="s">
        <v>747</v>
      </c>
      <c r="L320" s="44">
        <f t="shared" ref="L320:N320" si="693">L319</f>
        <v>0.2</v>
      </c>
      <c r="M320" s="44">
        <f t="shared" si="693"/>
        <v>150</v>
      </c>
      <c r="N320" s="44">
        <f t="shared" si="693"/>
        <v>750</v>
      </c>
      <c r="P320" s="38">
        <f t="shared" si="621"/>
        <v>15</v>
      </c>
      <c r="Q320" s="38">
        <f t="shared" si="622"/>
        <v>17</v>
      </c>
      <c r="R320" s="39">
        <f t="shared" si="623"/>
        <v>0.9567860817362277</v>
      </c>
      <c r="S320" s="39">
        <f t="shared" si="624"/>
        <v>0.98231787842897789</v>
      </c>
      <c r="T320" s="39">
        <f t="shared" si="627"/>
        <v>2.5531796692750186E-2</v>
      </c>
      <c r="U320" s="89">
        <f t="shared" si="648"/>
        <v>4.185540441434457E-4</v>
      </c>
    </row>
    <row r="321" spans="1:21" ht="15.75" thickBot="1" x14ac:dyDescent="0.3">
      <c r="A321" s="41">
        <f t="shared" ref="A321:B321" si="694">A320+1</f>
        <v>311</v>
      </c>
      <c r="B321" s="42">
        <f t="shared" si="694"/>
        <v>311</v>
      </c>
      <c r="C321" s="92" t="str">
        <f t="shared" si="574"/>
        <v>L11X16-008_000_41</v>
      </c>
      <c r="D321" s="43">
        <f t="shared" si="606"/>
        <v>16</v>
      </c>
      <c r="E321" s="61">
        <f t="shared" si="611"/>
        <v>2.4640000000000004</v>
      </c>
      <c r="F321" s="44">
        <f t="shared" si="614"/>
        <v>15.400000000000002</v>
      </c>
      <c r="G321" s="44">
        <f t="shared" si="615"/>
        <v>12.320000000000002</v>
      </c>
      <c r="H321" s="44">
        <f t="shared" si="616"/>
        <v>7.7000000000000011</v>
      </c>
      <c r="I321" s="44">
        <f t="shared" si="619"/>
        <v>8</v>
      </c>
      <c r="J321" s="45">
        <f t="shared" ref="J321:J340" si="695">yaw_max</f>
        <v>8</v>
      </c>
      <c r="K321" s="87" t="s">
        <v>748</v>
      </c>
      <c r="L321" s="44">
        <f t="shared" ref="L321:N321" si="696">L320</f>
        <v>0.2</v>
      </c>
      <c r="M321" s="44">
        <f t="shared" si="696"/>
        <v>150</v>
      </c>
      <c r="N321" s="44">
        <f t="shared" si="696"/>
        <v>750</v>
      </c>
      <c r="P321" s="38">
        <f t="shared" si="621"/>
        <v>15</v>
      </c>
      <c r="Q321" s="38">
        <f t="shared" si="622"/>
        <v>17</v>
      </c>
      <c r="R321" s="39">
        <f t="shared" si="623"/>
        <v>0.9567860817362277</v>
      </c>
      <c r="S321" s="39">
        <f t="shared" si="624"/>
        <v>0.98231787842897789</v>
      </c>
      <c r="T321" s="39">
        <f t="shared" si="627"/>
        <v>2.5531796692750186E-2</v>
      </c>
      <c r="U321" s="89">
        <f t="shared" si="648"/>
        <v>4.185540441434457E-4</v>
      </c>
    </row>
    <row r="322" spans="1:21" ht="15.75" thickBot="1" x14ac:dyDescent="0.3">
      <c r="A322" s="41">
        <f t="shared" ref="A322:B322" si="697">A321+1</f>
        <v>312</v>
      </c>
      <c r="B322" s="42">
        <f t="shared" si="697"/>
        <v>312</v>
      </c>
      <c r="C322" s="92" t="str">
        <f t="shared" si="574"/>
        <v>L11X16-008_000_42</v>
      </c>
      <c r="D322" s="43">
        <f t="shared" si="606"/>
        <v>16</v>
      </c>
      <c r="E322" s="61">
        <f t="shared" si="611"/>
        <v>2.4640000000000004</v>
      </c>
      <c r="F322" s="44">
        <f t="shared" si="614"/>
        <v>15.400000000000002</v>
      </c>
      <c r="G322" s="44">
        <f t="shared" si="615"/>
        <v>12.320000000000002</v>
      </c>
      <c r="H322" s="44">
        <f t="shared" si="616"/>
        <v>7.7000000000000011</v>
      </c>
      <c r="I322" s="44">
        <f t="shared" si="619"/>
        <v>8</v>
      </c>
      <c r="J322" s="45">
        <f t="shared" si="695"/>
        <v>8</v>
      </c>
      <c r="K322" s="87" t="s">
        <v>749</v>
      </c>
      <c r="L322" s="44">
        <f t="shared" ref="L322:N322" si="698">L321</f>
        <v>0.2</v>
      </c>
      <c r="M322" s="44">
        <f t="shared" si="698"/>
        <v>150</v>
      </c>
      <c r="N322" s="44">
        <f t="shared" si="698"/>
        <v>750</v>
      </c>
      <c r="P322" s="38">
        <f t="shared" si="621"/>
        <v>15</v>
      </c>
      <c r="Q322" s="38">
        <f t="shared" si="622"/>
        <v>17</v>
      </c>
      <c r="R322" s="39">
        <f t="shared" si="623"/>
        <v>0.9567860817362277</v>
      </c>
      <c r="S322" s="39">
        <f t="shared" si="624"/>
        <v>0.98231787842897789</v>
      </c>
      <c r="T322" s="39">
        <f t="shared" si="627"/>
        <v>2.5531796692750186E-2</v>
      </c>
      <c r="U322" s="89">
        <f t="shared" si="648"/>
        <v>4.185540441434457E-4</v>
      </c>
    </row>
    <row r="323" spans="1:21" ht="15.75" thickBot="1" x14ac:dyDescent="0.3">
      <c r="A323" s="41">
        <f t="shared" ref="A323:B323" si="699">A322+1</f>
        <v>313</v>
      </c>
      <c r="B323" s="42">
        <f t="shared" si="699"/>
        <v>313</v>
      </c>
      <c r="C323" s="92" t="str">
        <f t="shared" si="574"/>
        <v>L11X16-008_000_43</v>
      </c>
      <c r="D323" s="43">
        <f t="shared" si="606"/>
        <v>16</v>
      </c>
      <c r="E323" s="61">
        <f t="shared" si="611"/>
        <v>2.4640000000000004</v>
      </c>
      <c r="F323" s="44">
        <f t="shared" si="614"/>
        <v>15.400000000000002</v>
      </c>
      <c r="G323" s="44">
        <f t="shared" si="615"/>
        <v>12.320000000000002</v>
      </c>
      <c r="H323" s="44">
        <f t="shared" si="616"/>
        <v>7.7000000000000011</v>
      </c>
      <c r="I323" s="44">
        <f t="shared" si="619"/>
        <v>8</v>
      </c>
      <c r="J323" s="45">
        <f t="shared" si="695"/>
        <v>8</v>
      </c>
      <c r="K323" s="87" t="s">
        <v>750</v>
      </c>
      <c r="L323" s="44">
        <f t="shared" ref="L323:N323" si="700">L322</f>
        <v>0.2</v>
      </c>
      <c r="M323" s="44">
        <f t="shared" si="700"/>
        <v>150</v>
      </c>
      <c r="N323" s="44">
        <f t="shared" si="700"/>
        <v>750</v>
      </c>
      <c r="P323" s="38">
        <f t="shared" si="621"/>
        <v>15</v>
      </c>
      <c r="Q323" s="38">
        <f t="shared" si="622"/>
        <v>17</v>
      </c>
      <c r="R323" s="39">
        <f t="shared" si="623"/>
        <v>0.9567860817362277</v>
      </c>
      <c r="S323" s="39">
        <f t="shared" si="624"/>
        <v>0.98231787842897789</v>
      </c>
      <c r="T323" s="39">
        <f t="shared" si="627"/>
        <v>2.5531796692750186E-2</v>
      </c>
      <c r="U323" s="89">
        <f t="shared" si="648"/>
        <v>4.185540441434457E-4</v>
      </c>
    </row>
    <row r="324" spans="1:21" ht="15.75" thickBot="1" x14ac:dyDescent="0.3">
      <c r="A324" s="41">
        <f t="shared" ref="A324:B324" si="701">A323+1</f>
        <v>314</v>
      </c>
      <c r="B324" s="42">
        <f t="shared" si="701"/>
        <v>314</v>
      </c>
      <c r="C324" s="92" t="str">
        <f t="shared" si="574"/>
        <v>L11X16-008_000_44</v>
      </c>
      <c r="D324" s="43">
        <f t="shared" si="606"/>
        <v>16</v>
      </c>
      <c r="E324" s="61">
        <f t="shared" si="611"/>
        <v>2.4640000000000004</v>
      </c>
      <c r="F324" s="44">
        <f t="shared" si="614"/>
        <v>15.400000000000002</v>
      </c>
      <c r="G324" s="44">
        <f t="shared" si="615"/>
        <v>12.320000000000002</v>
      </c>
      <c r="H324" s="44">
        <f t="shared" si="616"/>
        <v>7.7000000000000011</v>
      </c>
      <c r="I324" s="44">
        <f t="shared" si="619"/>
        <v>8</v>
      </c>
      <c r="J324" s="45">
        <f t="shared" si="695"/>
        <v>8</v>
      </c>
      <c r="K324" s="87" t="s">
        <v>751</v>
      </c>
      <c r="L324" s="44">
        <f t="shared" ref="L324:N324" si="702">L323</f>
        <v>0.2</v>
      </c>
      <c r="M324" s="44">
        <f t="shared" si="702"/>
        <v>150</v>
      </c>
      <c r="N324" s="44">
        <f t="shared" si="702"/>
        <v>750</v>
      </c>
      <c r="P324" s="38">
        <f t="shared" si="621"/>
        <v>15</v>
      </c>
      <c r="Q324" s="38">
        <f t="shared" si="622"/>
        <v>17</v>
      </c>
      <c r="R324" s="39">
        <f t="shared" si="623"/>
        <v>0.9567860817362277</v>
      </c>
      <c r="S324" s="39">
        <f t="shared" si="624"/>
        <v>0.98231787842897789</v>
      </c>
      <c r="T324" s="39">
        <f t="shared" si="627"/>
        <v>2.5531796692750186E-2</v>
      </c>
      <c r="U324" s="89">
        <f t="shared" si="648"/>
        <v>4.185540441434457E-4</v>
      </c>
    </row>
    <row r="325" spans="1:21" ht="15.75" thickBot="1" x14ac:dyDescent="0.3">
      <c r="A325" s="41">
        <f t="shared" ref="A325:B325" si="703">A324+1</f>
        <v>315</v>
      </c>
      <c r="B325" s="42">
        <f t="shared" si="703"/>
        <v>315</v>
      </c>
      <c r="C325" s="92" t="str">
        <f t="shared" si="574"/>
        <v>L11X16-008_000_45</v>
      </c>
      <c r="D325" s="43">
        <f t="shared" si="606"/>
        <v>16</v>
      </c>
      <c r="E325" s="61">
        <f t="shared" si="611"/>
        <v>2.4640000000000004</v>
      </c>
      <c r="F325" s="44">
        <f t="shared" si="614"/>
        <v>15.400000000000002</v>
      </c>
      <c r="G325" s="44">
        <f t="shared" si="615"/>
        <v>12.320000000000002</v>
      </c>
      <c r="H325" s="44">
        <f t="shared" si="616"/>
        <v>7.7000000000000011</v>
      </c>
      <c r="I325" s="44">
        <f t="shared" si="619"/>
        <v>8</v>
      </c>
      <c r="J325" s="45">
        <f t="shared" si="695"/>
        <v>8</v>
      </c>
      <c r="K325" s="87" t="s">
        <v>752</v>
      </c>
      <c r="L325" s="44">
        <f t="shared" ref="L325:N325" si="704">L324</f>
        <v>0.2</v>
      </c>
      <c r="M325" s="44">
        <f t="shared" si="704"/>
        <v>150</v>
      </c>
      <c r="N325" s="44">
        <f t="shared" si="704"/>
        <v>750</v>
      </c>
      <c r="P325" s="38">
        <f t="shared" si="621"/>
        <v>15</v>
      </c>
      <c r="Q325" s="38">
        <f t="shared" si="622"/>
        <v>17</v>
      </c>
      <c r="R325" s="39">
        <f t="shared" si="623"/>
        <v>0.9567860817362277</v>
      </c>
      <c r="S325" s="39">
        <f t="shared" si="624"/>
        <v>0.98231787842897789</v>
      </c>
      <c r="T325" s="39">
        <f t="shared" si="627"/>
        <v>2.5531796692750186E-2</v>
      </c>
      <c r="U325" s="89">
        <f t="shared" si="648"/>
        <v>4.185540441434457E-4</v>
      </c>
    </row>
    <row r="326" spans="1:21" ht="15.75" thickBot="1" x14ac:dyDescent="0.3">
      <c r="A326" s="41">
        <f t="shared" ref="A326:B326" si="705">A325+1</f>
        <v>316</v>
      </c>
      <c r="B326" s="42">
        <f t="shared" si="705"/>
        <v>316</v>
      </c>
      <c r="C326" s="92" t="str">
        <f t="shared" si="574"/>
        <v>L11X16-008_000_46</v>
      </c>
      <c r="D326" s="43">
        <f t="shared" si="606"/>
        <v>16</v>
      </c>
      <c r="E326" s="61">
        <f t="shared" si="611"/>
        <v>2.4640000000000004</v>
      </c>
      <c r="F326" s="44">
        <f t="shared" si="614"/>
        <v>15.400000000000002</v>
      </c>
      <c r="G326" s="44">
        <f t="shared" si="615"/>
        <v>12.320000000000002</v>
      </c>
      <c r="H326" s="44">
        <f t="shared" si="616"/>
        <v>7.7000000000000011</v>
      </c>
      <c r="I326" s="44">
        <f t="shared" si="619"/>
        <v>8</v>
      </c>
      <c r="J326" s="45">
        <f t="shared" si="695"/>
        <v>8</v>
      </c>
      <c r="K326" s="87" t="s">
        <v>753</v>
      </c>
      <c r="L326" s="44">
        <f t="shared" ref="L326:N326" si="706">L325</f>
        <v>0.2</v>
      </c>
      <c r="M326" s="44">
        <f t="shared" si="706"/>
        <v>150</v>
      </c>
      <c r="N326" s="44">
        <f t="shared" si="706"/>
        <v>750</v>
      </c>
      <c r="P326" s="38">
        <f t="shared" si="621"/>
        <v>15</v>
      </c>
      <c r="Q326" s="38">
        <f t="shared" si="622"/>
        <v>17</v>
      </c>
      <c r="R326" s="39">
        <f t="shared" si="623"/>
        <v>0.9567860817362277</v>
      </c>
      <c r="S326" s="39">
        <f t="shared" si="624"/>
        <v>0.98231787842897789</v>
      </c>
      <c r="T326" s="39">
        <f t="shared" si="627"/>
        <v>2.5531796692750186E-2</v>
      </c>
      <c r="U326" s="89">
        <f t="shared" si="648"/>
        <v>4.185540441434457E-4</v>
      </c>
    </row>
    <row r="327" spans="1:21" ht="15.75" thickBot="1" x14ac:dyDescent="0.3">
      <c r="A327" s="41">
        <f t="shared" ref="A327:B327" si="707">A326+1</f>
        <v>317</v>
      </c>
      <c r="B327" s="42">
        <f t="shared" si="707"/>
        <v>317</v>
      </c>
      <c r="C327" s="92" t="str">
        <f t="shared" si="574"/>
        <v>L11X16-008_000_47</v>
      </c>
      <c r="D327" s="43">
        <f t="shared" si="606"/>
        <v>16</v>
      </c>
      <c r="E327" s="61">
        <f t="shared" si="611"/>
        <v>2.4640000000000004</v>
      </c>
      <c r="F327" s="44">
        <f t="shared" si="614"/>
        <v>15.400000000000002</v>
      </c>
      <c r="G327" s="44">
        <f t="shared" si="615"/>
        <v>12.320000000000002</v>
      </c>
      <c r="H327" s="44">
        <f t="shared" si="616"/>
        <v>7.7000000000000011</v>
      </c>
      <c r="I327" s="44">
        <f t="shared" si="619"/>
        <v>8</v>
      </c>
      <c r="J327" s="45">
        <f t="shared" si="695"/>
        <v>8</v>
      </c>
      <c r="K327" s="87" t="s">
        <v>754</v>
      </c>
      <c r="L327" s="44">
        <f t="shared" ref="L327:N327" si="708">L326</f>
        <v>0.2</v>
      </c>
      <c r="M327" s="44">
        <f t="shared" si="708"/>
        <v>150</v>
      </c>
      <c r="N327" s="44">
        <f t="shared" si="708"/>
        <v>750</v>
      </c>
      <c r="P327" s="38">
        <f t="shared" si="621"/>
        <v>15</v>
      </c>
      <c r="Q327" s="38">
        <f t="shared" si="622"/>
        <v>17</v>
      </c>
      <c r="R327" s="39">
        <f t="shared" si="623"/>
        <v>0.9567860817362277</v>
      </c>
      <c r="S327" s="39">
        <f t="shared" si="624"/>
        <v>0.98231787842897789</v>
      </c>
      <c r="T327" s="39">
        <f t="shared" si="627"/>
        <v>2.5531796692750186E-2</v>
      </c>
      <c r="U327" s="89">
        <f t="shared" si="648"/>
        <v>4.185540441434457E-4</v>
      </c>
    </row>
    <row r="328" spans="1:21" ht="15.75" thickBot="1" x14ac:dyDescent="0.3">
      <c r="A328" s="41">
        <f t="shared" ref="A328:B328" si="709">A327+1</f>
        <v>318</v>
      </c>
      <c r="B328" s="42">
        <f t="shared" si="709"/>
        <v>318</v>
      </c>
      <c r="C328" s="92" t="str">
        <f t="shared" si="574"/>
        <v>L11X16-008_000_48</v>
      </c>
      <c r="D328" s="43">
        <f t="shared" si="606"/>
        <v>16</v>
      </c>
      <c r="E328" s="61">
        <f t="shared" si="611"/>
        <v>2.4640000000000004</v>
      </c>
      <c r="F328" s="44">
        <f t="shared" si="614"/>
        <v>15.400000000000002</v>
      </c>
      <c r="G328" s="44">
        <f t="shared" si="615"/>
        <v>12.320000000000002</v>
      </c>
      <c r="H328" s="44">
        <f t="shared" si="616"/>
        <v>7.7000000000000011</v>
      </c>
      <c r="I328" s="44">
        <f t="shared" si="619"/>
        <v>8</v>
      </c>
      <c r="J328" s="45">
        <f t="shared" si="695"/>
        <v>8</v>
      </c>
      <c r="K328" s="87" t="s">
        <v>755</v>
      </c>
      <c r="L328" s="44">
        <f t="shared" ref="L328:N328" si="710">L327</f>
        <v>0.2</v>
      </c>
      <c r="M328" s="44">
        <f t="shared" si="710"/>
        <v>150</v>
      </c>
      <c r="N328" s="44">
        <f t="shared" si="710"/>
        <v>750</v>
      </c>
      <c r="P328" s="38">
        <f t="shared" si="621"/>
        <v>15</v>
      </c>
      <c r="Q328" s="38">
        <f t="shared" si="622"/>
        <v>17</v>
      </c>
      <c r="R328" s="39">
        <f t="shared" si="623"/>
        <v>0.9567860817362277</v>
      </c>
      <c r="S328" s="39">
        <f t="shared" si="624"/>
        <v>0.98231787842897789</v>
      </c>
      <c r="T328" s="39">
        <f t="shared" si="627"/>
        <v>2.5531796692750186E-2</v>
      </c>
      <c r="U328" s="89">
        <f t="shared" si="648"/>
        <v>4.185540441434457E-4</v>
      </c>
    </row>
    <row r="329" spans="1:21" ht="15.75" thickBot="1" x14ac:dyDescent="0.3">
      <c r="A329" s="41">
        <f t="shared" ref="A329:B329" si="711">A328+1</f>
        <v>319</v>
      </c>
      <c r="B329" s="42">
        <f t="shared" si="711"/>
        <v>319</v>
      </c>
      <c r="C329" s="92" t="str">
        <f t="shared" si="574"/>
        <v>L11X16-008_000_49</v>
      </c>
      <c r="D329" s="43">
        <f t="shared" si="606"/>
        <v>16</v>
      </c>
      <c r="E329" s="61">
        <f t="shared" si="611"/>
        <v>2.4640000000000004</v>
      </c>
      <c r="F329" s="44">
        <f t="shared" si="614"/>
        <v>15.400000000000002</v>
      </c>
      <c r="G329" s="44">
        <f t="shared" si="615"/>
        <v>12.320000000000002</v>
      </c>
      <c r="H329" s="44">
        <f t="shared" si="616"/>
        <v>7.7000000000000011</v>
      </c>
      <c r="I329" s="44">
        <f t="shared" si="619"/>
        <v>8</v>
      </c>
      <c r="J329" s="45">
        <f t="shared" si="695"/>
        <v>8</v>
      </c>
      <c r="K329" s="87" t="s">
        <v>756</v>
      </c>
      <c r="L329" s="44">
        <f t="shared" ref="L329:N329" si="712">L328</f>
        <v>0.2</v>
      </c>
      <c r="M329" s="44">
        <f t="shared" si="712"/>
        <v>150</v>
      </c>
      <c r="N329" s="44">
        <f t="shared" si="712"/>
        <v>750</v>
      </c>
      <c r="P329" s="38">
        <f t="shared" si="621"/>
        <v>15</v>
      </c>
      <c r="Q329" s="38">
        <f t="shared" si="622"/>
        <v>17</v>
      </c>
      <c r="R329" s="39">
        <f t="shared" si="623"/>
        <v>0.9567860817362277</v>
      </c>
      <c r="S329" s="39">
        <f t="shared" si="624"/>
        <v>0.98231787842897789</v>
      </c>
      <c r="T329" s="39">
        <f t="shared" si="627"/>
        <v>2.5531796692750186E-2</v>
      </c>
      <c r="U329" s="89">
        <f t="shared" si="648"/>
        <v>4.185540441434457E-4</v>
      </c>
    </row>
    <row r="330" spans="1:21" ht="15.75" thickBot="1" x14ac:dyDescent="0.3">
      <c r="A330" s="41">
        <f t="shared" ref="A330:B330" si="713">A329+1</f>
        <v>320</v>
      </c>
      <c r="B330" s="42">
        <f t="shared" si="713"/>
        <v>320</v>
      </c>
      <c r="C330" s="92" t="str">
        <f t="shared" si="574"/>
        <v>L11X16-008_000_50</v>
      </c>
      <c r="D330" s="43">
        <f t="shared" si="606"/>
        <v>16</v>
      </c>
      <c r="E330" s="61">
        <f t="shared" si="611"/>
        <v>2.4640000000000004</v>
      </c>
      <c r="F330" s="44">
        <f t="shared" si="614"/>
        <v>15.400000000000002</v>
      </c>
      <c r="G330" s="44">
        <f t="shared" si="615"/>
        <v>12.320000000000002</v>
      </c>
      <c r="H330" s="44">
        <f t="shared" si="616"/>
        <v>7.7000000000000011</v>
      </c>
      <c r="I330" s="44">
        <f t="shared" si="619"/>
        <v>8</v>
      </c>
      <c r="J330" s="45">
        <f t="shared" si="695"/>
        <v>8</v>
      </c>
      <c r="K330" s="87" t="s">
        <v>757</v>
      </c>
      <c r="L330" s="44">
        <f t="shared" ref="L330:N330" si="714">L329</f>
        <v>0.2</v>
      </c>
      <c r="M330" s="44">
        <f t="shared" si="714"/>
        <v>150</v>
      </c>
      <c r="N330" s="44">
        <f t="shared" si="714"/>
        <v>750</v>
      </c>
      <c r="P330" s="38">
        <f t="shared" si="621"/>
        <v>15</v>
      </c>
      <c r="Q330" s="38">
        <f t="shared" si="622"/>
        <v>17</v>
      </c>
      <c r="R330" s="39">
        <f t="shared" si="623"/>
        <v>0.9567860817362277</v>
      </c>
      <c r="S330" s="39">
        <f t="shared" si="624"/>
        <v>0.98231787842897789</v>
      </c>
      <c r="T330" s="39">
        <f t="shared" si="627"/>
        <v>2.5531796692750186E-2</v>
      </c>
      <c r="U330" s="89">
        <f t="shared" si="648"/>
        <v>4.185540441434457E-4</v>
      </c>
    </row>
    <row r="331" spans="1:21" ht="15.75" thickBot="1" x14ac:dyDescent="0.3">
      <c r="A331" s="41">
        <f t="shared" ref="A331:B331" si="715">A330+1</f>
        <v>321</v>
      </c>
      <c r="B331" s="42">
        <f t="shared" si="715"/>
        <v>321</v>
      </c>
      <c r="C331" s="92" t="str">
        <f t="shared" si="574"/>
        <v>L11X16-008_000_51</v>
      </c>
      <c r="D331" s="43">
        <f t="shared" si="606"/>
        <v>16</v>
      </c>
      <c r="E331" s="61">
        <f t="shared" si="611"/>
        <v>2.4640000000000004</v>
      </c>
      <c r="F331" s="44">
        <f t="shared" si="614"/>
        <v>15.400000000000002</v>
      </c>
      <c r="G331" s="44">
        <f t="shared" si="615"/>
        <v>12.320000000000002</v>
      </c>
      <c r="H331" s="44">
        <f t="shared" si="616"/>
        <v>7.7000000000000011</v>
      </c>
      <c r="I331" s="44">
        <f t="shared" si="619"/>
        <v>8</v>
      </c>
      <c r="J331" s="45">
        <f t="shared" si="695"/>
        <v>8</v>
      </c>
      <c r="K331" s="87" t="s">
        <v>758</v>
      </c>
      <c r="L331" s="44">
        <f t="shared" ref="L331:N331" si="716">L330</f>
        <v>0.2</v>
      </c>
      <c r="M331" s="44">
        <f t="shared" si="716"/>
        <v>150</v>
      </c>
      <c r="N331" s="44">
        <f t="shared" si="716"/>
        <v>750</v>
      </c>
      <c r="P331" s="38">
        <f t="shared" si="621"/>
        <v>15</v>
      </c>
      <c r="Q331" s="38">
        <f t="shared" si="622"/>
        <v>17</v>
      </c>
      <c r="R331" s="39">
        <f t="shared" si="623"/>
        <v>0.9567860817362277</v>
      </c>
      <c r="S331" s="39">
        <f t="shared" si="624"/>
        <v>0.98231787842897789</v>
      </c>
      <c r="T331" s="39">
        <f t="shared" si="627"/>
        <v>2.5531796692750186E-2</v>
      </c>
      <c r="U331" s="89">
        <f t="shared" si="648"/>
        <v>4.185540441434457E-4</v>
      </c>
    </row>
    <row r="332" spans="1:21" ht="15.75" thickBot="1" x14ac:dyDescent="0.3">
      <c r="A332" s="41">
        <f t="shared" ref="A332:B332" si="717">A331+1</f>
        <v>322</v>
      </c>
      <c r="B332" s="42">
        <f t="shared" si="717"/>
        <v>322</v>
      </c>
      <c r="C332" s="92" t="str">
        <f t="shared" ref="C332:C395" si="718">TEXT(RIGHT($B$2,LEN($B$2)-3),"L00")&amp;"X"&amp;TEXT(D332,"00")&amp;"-"&amp;IF(J332&lt;0,TEXT(360+J332,"000"),TEXT(J332,"000"))&amp;"_"&amp;"000"&amp;"_"&amp;TEXT(RIGHT(K332,LEN(K332)-FIND("-",K332)),"00")</f>
        <v>L11X16-008_000_52</v>
      </c>
      <c r="D332" s="43">
        <f t="shared" si="606"/>
        <v>16</v>
      </c>
      <c r="E332" s="61">
        <f t="shared" si="611"/>
        <v>2.4640000000000004</v>
      </c>
      <c r="F332" s="44">
        <f t="shared" si="614"/>
        <v>15.400000000000002</v>
      </c>
      <c r="G332" s="44">
        <f t="shared" si="615"/>
        <v>12.320000000000002</v>
      </c>
      <c r="H332" s="44">
        <f t="shared" si="616"/>
        <v>7.7000000000000011</v>
      </c>
      <c r="I332" s="44">
        <f t="shared" si="619"/>
        <v>8</v>
      </c>
      <c r="J332" s="45">
        <f t="shared" si="695"/>
        <v>8</v>
      </c>
      <c r="K332" s="87" t="s">
        <v>759</v>
      </c>
      <c r="L332" s="44">
        <f t="shared" ref="L332:N332" si="719">L331</f>
        <v>0.2</v>
      </c>
      <c r="M332" s="44">
        <f t="shared" si="719"/>
        <v>150</v>
      </c>
      <c r="N332" s="44">
        <f t="shared" si="719"/>
        <v>750</v>
      </c>
      <c r="P332" s="38">
        <f t="shared" si="621"/>
        <v>15</v>
      </c>
      <c r="Q332" s="38">
        <f t="shared" si="622"/>
        <v>17</v>
      </c>
      <c r="R332" s="39">
        <f t="shared" si="623"/>
        <v>0.9567860817362277</v>
      </c>
      <c r="S332" s="39">
        <f t="shared" si="624"/>
        <v>0.98231787842897789</v>
      </c>
      <c r="T332" s="39">
        <f t="shared" si="627"/>
        <v>2.5531796692750186E-2</v>
      </c>
      <c r="U332" s="89">
        <f t="shared" si="648"/>
        <v>4.185540441434457E-4</v>
      </c>
    </row>
    <row r="333" spans="1:21" ht="15.75" thickBot="1" x14ac:dyDescent="0.3">
      <c r="A333" s="41">
        <f t="shared" ref="A333:B333" si="720">A332+1</f>
        <v>323</v>
      </c>
      <c r="B333" s="42">
        <f t="shared" si="720"/>
        <v>323</v>
      </c>
      <c r="C333" s="92" t="str">
        <f t="shared" si="718"/>
        <v>L11X16-008_000_53</v>
      </c>
      <c r="D333" s="43">
        <f t="shared" si="606"/>
        <v>16</v>
      </c>
      <c r="E333" s="61">
        <f t="shared" si="611"/>
        <v>2.4640000000000004</v>
      </c>
      <c r="F333" s="44">
        <f t="shared" si="614"/>
        <v>15.400000000000002</v>
      </c>
      <c r="G333" s="44">
        <f t="shared" si="615"/>
        <v>12.320000000000002</v>
      </c>
      <c r="H333" s="44">
        <f t="shared" si="616"/>
        <v>7.7000000000000011</v>
      </c>
      <c r="I333" s="44">
        <f t="shared" si="619"/>
        <v>8</v>
      </c>
      <c r="J333" s="45">
        <f t="shared" si="695"/>
        <v>8</v>
      </c>
      <c r="K333" s="87" t="s">
        <v>760</v>
      </c>
      <c r="L333" s="44">
        <f t="shared" ref="L333:N333" si="721">L332</f>
        <v>0.2</v>
      </c>
      <c r="M333" s="44">
        <f t="shared" si="721"/>
        <v>150</v>
      </c>
      <c r="N333" s="44">
        <f t="shared" si="721"/>
        <v>750</v>
      </c>
      <c r="P333" s="38">
        <f t="shared" si="621"/>
        <v>15</v>
      </c>
      <c r="Q333" s="38">
        <f t="shared" si="622"/>
        <v>17</v>
      </c>
      <c r="R333" s="39">
        <f t="shared" si="623"/>
        <v>0.9567860817362277</v>
      </c>
      <c r="S333" s="39">
        <f t="shared" si="624"/>
        <v>0.98231787842897789</v>
      </c>
      <c r="T333" s="39">
        <f t="shared" si="627"/>
        <v>2.5531796692750186E-2</v>
      </c>
      <c r="U333" s="89">
        <f t="shared" si="648"/>
        <v>4.185540441434457E-4</v>
      </c>
    </row>
    <row r="334" spans="1:21" ht="15.75" thickBot="1" x14ac:dyDescent="0.3">
      <c r="A334" s="41">
        <f t="shared" ref="A334:B334" si="722">A333+1</f>
        <v>324</v>
      </c>
      <c r="B334" s="42">
        <f t="shared" si="722"/>
        <v>324</v>
      </c>
      <c r="C334" s="92" t="str">
        <f t="shared" si="718"/>
        <v>L11X16-008_000_54</v>
      </c>
      <c r="D334" s="43">
        <f t="shared" si="606"/>
        <v>16</v>
      </c>
      <c r="E334" s="61">
        <f t="shared" si="611"/>
        <v>2.4640000000000004</v>
      </c>
      <c r="F334" s="44">
        <f t="shared" si="614"/>
        <v>15.400000000000002</v>
      </c>
      <c r="G334" s="44">
        <f t="shared" si="615"/>
        <v>12.320000000000002</v>
      </c>
      <c r="H334" s="44">
        <f t="shared" si="616"/>
        <v>7.7000000000000011</v>
      </c>
      <c r="I334" s="44">
        <f t="shared" si="619"/>
        <v>8</v>
      </c>
      <c r="J334" s="45">
        <f t="shared" si="695"/>
        <v>8</v>
      </c>
      <c r="K334" s="87" t="s">
        <v>761</v>
      </c>
      <c r="L334" s="44">
        <f t="shared" ref="L334:N334" si="723">L333</f>
        <v>0.2</v>
      </c>
      <c r="M334" s="44">
        <f t="shared" si="723"/>
        <v>150</v>
      </c>
      <c r="N334" s="44">
        <f t="shared" si="723"/>
        <v>750</v>
      </c>
      <c r="P334" s="38">
        <f t="shared" si="621"/>
        <v>15</v>
      </c>
      <c r="Q334" s="38">
        <f t="shared" si="622"/>
        <v>17</v>
      </c>
      <c r="R334" s="39">
        <f t="shared" si="623"/>
        <v>0.9567860817362277</v>
      </c>
      <c r="S334" s="39">
        <f t="shared" si="624"/>
        <v>0.98231787842897789</v>
      </c>
      <c r="T334" s="39">
        <f t="shared" si="627"/>
        <v>2.5531796692750186E-2</v>
      </c>
      <c r="U334" s="89">
        <f t="shared" si="648"/>
        <v>4.185540441434457E-4</v>
      </c>
    </row>
    <row r="335" spans="1:21" ht="15.75" thickBot="1" x14ac:dyDescent="0.3">
      <c r="A335" s="41">
        <f t="shared" ref="A335:B335" si="724">A334+1</f>
        <v>325</v>
      </c>
      <c r="B335" s="42">
        <f t="shared" si="724"/>
        <v>325</v>
      </c>
      <c r="C335" s="92" t="str">
        <f t="shared" si="718"/>
        <v>L11X16-008_000_55</v>
      </c>
      <c r="D335" s="43">
        <f t="shared" si="606"/>
        <v>16</v>
      </c>
      <c r="E335" s="61">
        <f t="shared" si="611"/>
        <v>2.4640000000000004</v>
      </c>
      <c r="F335" s="44">
        <f t="shared" si="614"/>
        <v>15.400000000000002</v>
      </c>
      <c r="G335" s="44">
        <f t="shared" si="615"/>
        <v>12.320000000000002</v>
      </c>
      <c r="H335" s="44">
        <f t="shared" si="616"/>
        <v>7.7000000000000011</v>
      </c>
      <c r="I335" s="44">
        <f t="shared" si="619"/>
        <v>8</v>
      </c>
      <c r="J335" s="45">
        <f t="shared" si="695"/>
        <v>8</v>
      </c>
      <c r="K335" s="87" t="s">
        <v>762</v>
      </c>
      <c r="L335" s="44">
        <f t="shared" ref="L335:N335" si="725">L334</f>
        <v>0.2</v>
      </c>
      <c r="M335" s="44">
        <f t="shared" si="725"/>
        <v>150</v>
      </c>
      <c r="N335" s="44">
        <f t="shared" si="725"/>
        <v>750</v>
      </c>
      <c r="P335" s="38">
        <f t="shared" si="621"/>
        <v>15</v>
      </c>
      <c r="Q335" s="38">
        <f t="shared" si="622"/>
        <v>17</v>
      </c>
      <c r="R335" s="39">
        <f t="shared" si="623"/>
        <v>0.9567860817362277</v>
      </c>
      <c r="S335" s="39">
        <f t="shared" si="624"/>
        <v>0.98231787842897789</v>
      </c>
      <c r="T335" s="39">
        <f t="shared" si="627"/>
        <v>2.5531796692750186E-2</v>
      </c>
      <c r="U335" s="89">
        <f t="shared" si="648"/>
        <v>4.185540441434457E-4</v>
      </c>
    </row>
    <row r="336" spans="1:21" ht="15.75" thickBot="1" x14ac:dyDescent="0.3">
      <c r="A336" s="41">
        <f t="shared" ref="A336:B336" si="726">A335+1</f>
        <v>326</v>
      </c>
      <c r="B336" s="42">
        <f t="shared" si="726"/>
        <v>326</v>
      </c>
      <c r="C336" s="92" t="str">
        <f t="shared" si="718"/>
        <v>L11X16-008_000_56</v>
      </c>
      <c r="D336" s="43">
        <f t="shared" si="606"/>
        <v>16</v>
      </c>
      <c r="E336" s="61">
        <f t="shared" si="611"/>
        <v>2.4640000000000004</v>
      </c>
      <c r="F336" s="44">
        <f t="shared" si="614"/>
        <v>15.400000000000002</v>
      </c>
      <c r="G336" s="44">
        <f t="shared" si="615"/>
        <v>12.320000000000002</v>
      </c>
      <c r="H336" s="44">
        <f t="shared" si="616"/>
        <v>7.7000000000000011</v>
      </c>
      <c r="I336" s="44">
        <f t="shared" si="619"/>
        <v>8</v>
      </c>
      <c r="J336" s="45">
        <f t="shared" si="695"/>
        <v>8</v>
      </c>
      <c r="K336" s="87" t="s">
        <v>763</v>
      </c>
      <c r="L336" s="44">
        <f t="shared" ref="L336:N336" si="727">L335</f>
        <v>0.2</v>
      </c>
      <c r="M336" s="44">
        <f t="shared" si="727"/>
        <v>150</v>
      </c>
      <c r="N336" s="44">
        <f t="shared" si="727"/>
        <v>750</v>
      </c>
      <c r="P336" s="38">
        <f t="shared" si="621"/>
        <v>15</v>
      </c>
      <c r="Q336" s="38">
        <f t="shared" si="622"/>
        <v>17</v>
      </c>
      <c r="R336" s="39">
        <f t="shared" si="623"/>
        <v>0.9567860817362277</v>
      </c>
      <c r="S336" s="39">
        <f t="shared" si="624"/>
        <v>0.98231787842897789</v>
      </c>
      <c r="T336" s="39">
        <f t="shared" si="627"/>
        <v>2.5531796692750186E-2</v>
      </c>
      <c r="U336" s="89">
        <f t="shared" si="648"/>
        <v>4.185540441434457E-4</v>
      </c>
    </row>
    <row r="337" spans="1:21" ht="15.75" thickBot="1" x14ac:dyDescent="0.3">
      <c r="A337" s="41">
        <f t="shared" ref="A337:B337" si="728">A336+1</f>
        <v>327</v>
      </c>
      <c r="B337" s="42">
        <f t="shared" si="728"/>
        <v>327</v>
      </c>
      <c r="C337" s="92" t="str">
        <f t="shared" si="718"/>
        <v>L11X16-008_000_57</v>
      </c>
      <c r="D337" s="43">
        <f t="shared" si="606"/>
        <v>16</v>
      </c>
      <c r="E337" s="61">
        <f t="shared" si="611"/>
        <v>2.4640000000000004</v>
      </c>
      <c r="F337" s="44">
        <f t="shared" si="614"/>
        <v>15.400000000000002</v>
      </c>
      <c r="G337" s="44">
        <f t="shared" si="615"/>
        <v>12.320000000000002</v>
      </c>
      <c r="H337" s="44">
        <f t="shared" si="616"/>
        <v>7.7000000000000011</v>
      </c>
      <c r="I337" s="44">
        <f t="shared" si="619"/>
        <v>8</v>
      </c>
      <c r="J337" s="45">
        <f t="shared" si="695"/>
        <v>8</v>
      </c>
      <c r="K337" s="87" t="s">
        <v>764</v>
      </c>
      <c r="L337" s="44">
        <f t="shared" ref="L337:N337" si="729">L336</f>
        <v>0.2</v>
      </c>
      <c r="M337" s="44">
        <f t="shared" si="729"/>
        <v>150</v>
      </c>
      <c r="N337" s="44">
        <f t="shared" si="729"/>
        <v>750</v>
      </c>
      <c r="P337" s="38">
        <f t="shared" si="621"/>
        <v>15</v>
      </c>
      <c r="Q337" s="38">
        <f t="shared" si="622"/>
        <v>17</v>
      </c>
      <c r="R337" s="39">
        <f t="shared" si="623"/>
        <v>0.9567860817362277</v>
      </c>
      <c r="S337" s="39">
        <f t="shared" si="624"/>
        <v>0.98231787842897789</v>
      </c>
      <c r="T337" s="39">
        <f t="shared" si="627"/>
        <v>2.5531796692750186E-2</v>
      </c>
      <c r="U337" s="89">
        <f t="shared" si="648"/>
        <v>4.185540441434457E-4</v>
      </c>
    </row>
    <row r="338" spans="1:21" ht="15.75" thickBot="1" x14ac:dyDescent="0.3">
      <c r="A338" s="41">
        <f t="shared" ref="A338:B338" si="730">A337+1</f>
        <v>328</v>
      </c>
      <c r="B338" s="42">
        <f t="shared" si="730"/>
        <v>328</v>
      </c>
      <c r="C338" s="92" t="str">
        <f t="shared" si="718"/>
        <v>L11X16-008_000_58</v>
      </c>
      <c r="D338" s="43">
        <f t="shared" si="606"/>
        <v>16</v>
      </c>
      <c r="E338" s="61">
        <f t="shared" si="611"/>
        <v>2.4640000000000004</v>
      </c>
      <c r="F338" s="44">
        <f t="shared" si="614"/>
        <v>15.400000000000002</v>
      </c>
      <c r="G338" s="44">
        <f t="shared" si="615"/>
        <v>12.320000000000002</v>
      </c>
      <c r="H338" s="44">
        <f t="shared" si="616"/>
        <v>7.7000000000000011</v>
      </c>
      <c r="I338" s="44">
        <f t="shared" si="619"/>
        <v>8</v>
      </c>
      <c r="J338" s="45">
        <f t="shared" si="695"/>
        <v>8</v>
      </c>
      <c r="K338" s="87" t="s">
        <v>765</v>
      </c>
      <c r="L338" s="44">
        <f t="shared" ref="L338:N338" si="731">L337</f>
        <v>0.2</v>
      </c>
      <c r="M338" s="44">
        <f t="shared" si="731"/>
        <v>150</v>
      </c>
      <c r="N338" s="44">
        <f t="shared" si="731"/>
        <v>750</v>
      </c>
      <c r="P338" s="38">
        <f t="shared" si="621"/>
        <v>15</v>
      </c>
      <c r="Q338" s="38">
        <f t="shared" si="622"/>
        <v>17</v>
      </c>
      <c r="R338" s="39">
        <f t="shared" si="623"/>
        <v>0.9567860817362277</v>
      </c>
      <c r="S338" s="39">
        <f t="shared" si="624"/>
        <v>0.98231787842897789</v>
      </c>
      <c r="T338" s="39">
        <f t="shared" si="627"/>
        <v>2.5531796692750186E-2</v>
      </c>
      <c r="U338" s="89">
        <f t="shared" si="648"/>
        <v>4.185540441434457E-4</v>
      </c>
    </row>
    <row r="339" spans="1:21" ht="15.75" thickBot="1" x14ac:dyDescent="0.3">
      <c r="A339" s="41">
        <f t="shared" ref="A339:B339" si="732">A338+1</f>
        <v>329</v>
      </c>
      <c r="B339" s="42">
        <f t="shared" si="732"/>
        <v>329</v>
      </c>
      <c r="C339" s="92" t="str">
        <f t="shared" si="718"/>
        <v>L11X16-008_000_59</v>
      </c>
      <c r="D339" s="43">
        <f t="shared" si="606"/>
        <v>16</v>
      </c>
      <c r="E339" s="61">
        <f t="shared" si="611"/>
        <v>2.4640000000000004</v>
      </c>
      <c r="F339" s="44">
        <f t="shared" si="614"/>
        <v>15.400000000000002</v>
      </c>
      <c r="G339" s="44">
        <f t="shared" si="615"/>
        <v>12.320000000000002</v>
      </c>
      <c r="H339" s="44">
        <f t="shared" si="616"/>
        <v>7.7000000000000011</v>
      </c>
      <c r="I339" s="44">
        <f t="shared" si="619"/>
        <v>8</v>
      </c>
      <c r="J339" s="45">
        <f t="shared" si="695"/>
        <v>8</v>
      </c>
      <c r="K339" s="87" t="s">
        <v>766</v>
      </c>
      <c r="L339" s="44">
        <f t="shared" ref="L339:N339" si="733">L338</f>
        <v>0.2</v>
      </c>
      <c r="M339" s="44">
        <f t="shared" si="733"/>
        <v>150</v>
      </c>
      <c r="N339" s="44">
        <f t="shared" si="733"/>
        <v>750</v>
      </c>
      <c r="P339" s="38">
        <f t="shared" si="621"/>
        <v>15</v>
      </c>
      <c r="Q339" s="38">
        <f t="shared" si="622"/>
        <v>17</v>
      </c>
      <c r="R339" s="39">
        <f t="shared" si="623"/>
        <v>0.9567860817362277</v>
      </c>
      <c r="S339" s="39">
        <f t="shared" si="624"/>
        <v>0.98231787842897789</v>
      </c>
      <c r="T339" s="39">
        <f t="shared" si="627"/>
        <v>2.5531796692750186E-2</v>
      </c>
      <c r="U339" s="89">
        <f t="shared" si="648"/>
        <v>4.185540441434457E-4</v>
      </c>
    </row>
    <row r="340" spans="1:21" ht="15.75" thickBot="1" x14ac:dyDescent="0.3">
      <c r="A340" s="41">
        <f t="shared" ref="A340:B340" si="734">A339+1</f>
        <v>330</v>
      </c>
      <c r="B340" s="42">
        <f t="shared" si="734"/>
        <v>330</v>
      </c>
      <c r="C340" s="92" t="str">
        <f t="shared" si="718"/>
        <v>L11X16-008_000_60</v>
      </c>
      <c r="D340" s="43">
        <f t="shared" si="606"/>
        <v>16</v>
      </c>
      <c r="E340" s="61">
        <f t="shared" si="611"/>
        <v>2.4640000000000004</v>
      </c>
      <c r="F340" s="44">
        <f t="shared" si="614"/>
        <v>15.400000000000002</v>
      </c>
      <c r="G340" s="44">
        <f t="shared" si="615"/>
        <v>12.320000000000002</v>
      </c>
      <c r="H340" s="44">
        <f t="shared" si="616"/>
        <v>7.7000000000000011</v>
      </c>
      <c r="I340" s="44">
        <f t="shared" si="619"/>
        <v>8</v>
      </c>
      <c r="J340" s="45">
        <f t="shared" si="695"/>
        <v>8</v>
      </c>
      <c r="K340" s="87" t="s">
        <v>767</v>
      </c>
      <c r="L340" s="44">
        <f t="shared" ref="L340:N340" si="735">L339</f>
        <v>0.2</v>
      </c>
      <c r="M340" s="44">
        <f t="shared" si="735"/>
        <v>150</v>
      </c>
      <c r="N340" s="44">
        <f t="shared" si="735"/>
        <v>750</v>
      </c>
      <c r="P340" s="38">
        <f t="shared" si="621"/>
        <v>15</v>
      </c>
      <c r="Q340" s="38">
        <f t="shared" si="622"/>
        <v>17</v>
      </c>
      <c r="R340" s="39">
        <f t="shared" si="623"/>
        <v>0.9567860817362277</v>
      </c>
      <c r="S340" s="39">
        <f t="shared" si="624"/>
        <v>0.98231787842897789</v>
      </c>
      <c r="T340" s="39">
        <f t="shared" si="627"/>
        <v>2.5531796692750186E-2</v>
      </c>
      <c r="U340" s="89">
        <f t="shared" si="648"/>
        <v>4.185540441434457E-4</v>
      </c>
    </row>
    <row r="341" spans="1:21" ht="15.75" thickBot="1" x14ac:dyDescent="0.3">
      <c r="A341" s="41">
        <f t="shared" ref="A341:B341" si="736">A340+1</f>
        <v>331</v>
      </c>
      <c r="B341" s="42">
        <f t="shared" si="736"/>
        <v>331</v>
      </c>
      <c r="C341" s="92" t="str">
        <f t="shared" si="718"/>
        <v>L11X18-352_000_01</v>
      </c>
      <c r="D341" s="43">
        <f>D335+v_step</f>
        <v>18</v>
      </c>
      <c r="E341" s="61">
        <f t="shared" si="611"/>
        <v>2.6740000000000004</v>
      </c>
      <c r="F341" s="44">
        <f t="shared" si="614"/>
        <v>14.855555555555558</v>
      </c>
      <c r="G341" s="44">
        <f t="shared" si="615"/>
        <v>11.884444444444448</v>
      </c>
      <c r="H341" s="44">
        <f t="shared" si="616"/>
        <v>7.4277777777777789</v>
      </c>
      <c r="I341" s="44">
        <f t="shared" si="619"/>
        <v>8</v>
      </c>
      <c r="J341" s="45">
        <f t="shared" ref="J341:J360" si="737">yaw_min</f>
        <v>-8</v>
      </c>
      <c r="K341" s="87" t="s">
        <v>768</v>
      </c>
      <c r="L341" s="44">
        <f t="shared" ref="L341:N341" si="738">L340</f>
        <v>0.2</v>
      </c>
      <c r="M341" s="44">
        <f t="shared" si="738"/>
        <v>150</v>
      </c>
      <c r="N341" s="44">
        <f t="shared" si="738"/>
        <v>750</v>
      </c>
      <c r="P341" s="38">
        <f t="shared" si="621"/>
        <v>17</v>
      </c>
      <c r="Q341" s="38">
        <f t="shared" si="622"/>
        <v>19</v>
      </c>
      <c r="R341" s="39">
        <f t="shared" si="623"/>
        <v>0.98231787842897789</v>
      </c>
      <c r="S341" s="39">
        <f t="shared" si="624"/>
        <v>0.99352955814402111</v>
      </c>
      <c r="T341" s="39">
        <f t="shared" si="627"/>
        <v>1.1211679715043221E-2</v>
      </c>
      <c r="U341" s="89">
        <f t="shared" si="648"/>
        <v>1.8379802811546264E-4</v>
      </c>
    </row>
    <row r="342" spans="1:21" ht="15.75" thickBot="1" x14ac:dyDescent="0.3">
      <c r="A342" s="41">
        <f t="shared" ref="A342:B342" si="739">A341+1</f>
        <v>332</v>
      </c>
      <c r="B342" s="42">
        <f t="shared" si="739"/>
        <v>332</v>
      </c>
      <c r="C342" s="92" t="str">
        <f t="shared" si="718"/>
        <v>L11X18-352_000_02</v>
      </c>
      <c r="D342" s="43">
        <f>D341</f>
        <v>18</v>
      </c>
      <c r="E342" s="61">
        <f t="shared" si="611"/>
        <v>2.6740000000000004</v>
      </c>
      <c r="F342" s="44">
        <f t="shared" si="614"/>
        <v>14.855555555555558</v>
      </c>
      <c r="G342" s="44">
        <f t="shared" si="615"/>
        <v>11.884444444444448</v>
      </c>
      <c r="H342" s="44">
        <f t="shared" si="616"/>
        <v>7.4277777777777789</v>
      </c>
      <c r="I342" s="44">
        <f t="shared" si="619"/>
        <v>8</v>
      </c>
      <c r="J342" s="45">
        <f t="shared" si="737"/>
        <v>-8</v>
      </c>
      <c r="K342" s="87" t="s">
        <v>769</v>
      </c>
      <c r="L342" s="44">
        <f t="shared" ref="L342:N342" si="740">L341</f>
        <v>0.2</v>
      </c>
      <c r="M342" s="44">
        <f t="shared" si="740"/>
        <v>150</v>
      </c>
      <c r="N342" s="44">
        <f t="shared" si="740"/>
        <v>750</v>
      </c>
      <c r="P342" s="38">
        <f t="shared" si="621"/>
        <v>17</v>
      </c>
      <c r="Q342" s="38">
        <f t="shared" si="622"/>
        <v>19</v>
      </c>
      <c r="R342" s="39">
        <f t="shared" si="623"/>
        <v>0.98231787842897789</v>
      </c>
      <c r="S342" s="39">
        <f t="shared" si="624"/>
        <v>0.99352955814402111</v>
      </c>
      <c r="T342" s="39">
        <f t="shared" si="627"/>
        <v>1.1211679715043221E-2</v>
      </c>
      <c r="U342" s="89">
        <f t="shared" si="648"/>
        <v>1.8379802811546264E-4</v>
      </c>
    </row>
    <row r="343" spans="1:21" ht="15.75" thickBot="1" x14ac:dyDescent="0.3">
      <c r="A343" s="41">
        <f t="shared" ref="A343:B343" si="741">A342+1</f>
        <v>333</v>
      </c>
      <c r="B343" s="42">
        <f t="shared" si="741"/>
        <v>333</v>
      </c>
      <c r="C343" s="92" t="str">
        <f t="shared" si="718"/>
        <v>L11X18-352_000_03</v>
      </c>
      <c r="D343" s="43">
        <f t="shared" ref="D343:D400" si="742">D342</f>
        <v>18</v>
      </c>
      <c r="E343" s="61">
        <f t="shared" si="611"/>
        <v>2.6740000000000004</v>
      </c>
      <c r="F343" s="44">
        <f t="shared" si="614"/>
        <v>14.855555555555558</v>
      </c>
      <c r="G343" s="44">
        <f t="shared" si="615"/>
        <v>11.884444444444448</v>
      </c>
      <c r="H343" s="44">
        <f t="shared" si="616"/>
        <v>7.4277777777777789</v>
      </c>
      <c r="I343" s="44">
        <f t="shared" si="619"/>
        <v>8</v>
      </c>
      <c r="J343" s="45">
        <f t="shared" si="737"/>
        <v>-8</v>
      </c>
      <c r="K343" s="87" t="s">
        <v>770</v>
      </c>
      <c r="L343" s="44">
        <f t="shared" ref="L343:N343" si="743">L342</f>
        <v>0.2</v>
      </c>
      <c r="M343" s="44">
        <f t="shared" si="743"/>
        <v>150</v>
      </c>
      <c r="N343" s="44">
        <f t="shared" si="743"/>
        <v>750</v>
      </c>
      <c r="P343" s="38">
        <f t="shared" si="621"/>
        <v>17</v>
      </c>
      <c r="Q343" s="38">
        <f t="shared" si="622"/>
        <v>19</v>
      </c>
      <c r="R343" s="39">
        <f t="shared" si="623"/>
        <v>0.98231787842897789</v>
      </c>
      <c r="S343" s="39">
        <f t="shared" si="624"/>
        <v>0.99352955814402111</v>
      </c>
      <c r="T343" s="39">
        <f t="shared" si="627"/>
        <v>1.1211679715043221E-2</v>
      </c>
      <c r="U343" s="89">
        <f t="shared" si="648"/>
        <v>1.8379802811546264E-4</v>
      </c>
    </row>
    <row r="344" spans="1:21" ht="15.75" thickBot="1" x14ac:dyDescent="0.3">
      <c r="A344" s="41">
        <f t="shared" ref="A344:B344" si="744">A343+1</f>
        <v>334</v>
      </c>
      <c r="B344" s="42">
        <f t="shared" si="744"/>
        <v>334</v>
      </c>
      <c r="C344" s="92" t="str">
        <f t="shared" si="718"/>
        <v>L11X18-352_000_04</v>
      </c>
      <c r="D344" s="43">
        <f t="shared" si="742"/>
        <v>18</v>
      </c>
      <c r="E344" s="61">
        <f t="shared" si="611"/>
        <v>2.6740000000000004</v>
      </c>
      <c r="F344" s="44">
        <f t="shared" si="614"/>
        <v>14.855555555555558</v>
      </c>
      <c r="G344" s="44">
        <f t="shared" si="615"/>
        <v>11.884444444444448</v>
      </c>
      <c r="H344" s="44">
        <f t="shared" si="616"/>
        <v>7.4277777777777789</v>
      </c>
      <c r="I344" s="44">
        <f t="shared" si="619"/>
        <v>8</v>
      </c>
      <c r="J344" s="45">
        <f t="shared" si="737"/>
        <v>-8</v>
      </c>
      <c r="K344" s="87" t="s">
        <v>771</v>
      </c>
      <c r="L344" s="44">
        <f t="shared" ref="L344:N344" si="745">L343</f>
        <v>0.2</v>
      </c>
      <c r="M344" s="44">
        <f t="shared" si="745"/>
        <v>150</v>
      </c>
      <c r="N344" s="44">
        <f t="shared" si="745"/>
        <v>750</v>
      </c>
      <c r="P344" s="38">
        <f t="shared" si="621"/>
        <v>17</v>
      </c>
      <c r="Q344" s="38">
        <f t="shared" si="622"/>
        <v>19</v>
      </c>
      <c r="R344" s="39">
        <f t="shared" si="623"/>
        <v>0.98231787842897789</v>
      </c>
      <c r="S344" s="39">
        <f t="shared" si="624"/>
        <v>0.99352955814402111</v>
      </c>
      <c r="T344" s="39">
        <f t="shared" si="627"/>
        <v>1.1211679715043221E-2</v>
      </c>
      <c r="U344" s="89">
        <f t="shared" si="648"/>
        <v>1.8379802811546264E-4</v>
      </c>
    </row>
    <row r="345" spans="1:21" ht="15.75" thickBot="1" x14ac:dyDescent="0.3">
      <c r="A345" s="41">
        <f t="shared" ref="A345:B345" si="746">A344+1</f>
        <v>335</v>
      </c>
      <c r="B345" s="42">
        <f t="shared" si="746"/>
        <v>335</v>
      </c>
      <c r="C345" s="92" t="str">
        <f t="shared" si="718"/>
        <v>L11X18-352_000_05</v>
      </c>
      <c r="D345" s="43">
        <f t="shared" si="742"/>
        <v>18</v>
      </c>
      <c r="E345" s="61">
        <f t="shared" si="611"/>
        <v>2.6740000000000004</v>
      </c>
      <c r="F345" s="44">
        <f t="shared" si="614"/>
        <v>14.855555555555558</v>
      </c>
      <c r="G345" s="44">
        <f t="shared" si="615"/>
        <v>11.884444444444448</v>
      </c>
      <c r="H345" s="44">
        <f t="shared" si="616"/>
        <v>7.4277777777777789</v>
      </c>
      <c r="I345" s="44">
        <f t="shared" si="619"/>
        <v>8</v>
      </c>
      <c r="J345" s="45">
        <f t="shared" si="737"/>
        <v>-8</v>
      </c>
      <c r="K345" s="87" t="s">
        <v>772</v>
      </c>
      <c r="L345" s="44">
        <f t="shared" ref="L345:N345" si="747">L344</f>
        <v>0.2</v>
      </c>
      <c r="M345" s="44">
        <f t="shared" si="747"/>
        <v>150</v>
      </c>
      <c r="N345" s="44">
        <f t="shared" si="747"/>
        <v>750</v>
      </c>
      <c r="P345" s="38">
        <f t="shared" si="621"/>
        <v>17</v>
      </c>
      <c r="Q345" s="38">
        <f t="shared" si="622"/>
        <v>19</v>
      </c>
      <c r="R345" s="39">
        <f t="shared" si="623"/>
        <v>0.98231787842897789</v>
      </c>
      <c r="S345" s="39">
        <f t="shared" si="624"/>
        <v>0.99352955814402111</v>
      </c>
      <c r="T345" s="39">
        <f t="shared" si="627"/>
        <v>1.1211679715043221E-2</v>
      </c>
      <c r="U345" s="89">
        <f t="shared" si="648"/>
        <v>1.8379802811546264E-4</v>
      </c>
    </row>
    <row r="346" spans="1:21" ht="15.75" thickBot="1" x14ac:dyDescent="0.3">
      <c r="A346" s="41">
        <f t="shared" ref="A346:B346" si="748">A345+1</f>
        <v>336</v>
      </c>
      <c r="B346" s="42">
        <f t="shared" si="748"/>
        <v>336</v>
      </c>
      <c r="C346" s="92" t="str">
        <f t="shared" si="718"/>
        <v>L11X18-352_000_06</v>
      </c>
      <c r="D346" s="43">
        <f t="shared" si="742"/>
        <v>18</v>
      </c>
      <c r="E346" s="61">
        <f t="shared" si="611"/>
        <v>2.6740000000000004</v>
      </c>
      <c r="F346" s="44">
        <f t="shared" ref="F346:F405" si="749">E346/D346*100</f>
        <v>14.855555555555558</v>
      </c>
      <c r="G346" s="44">
        <f t="shared" ref="G346:G405" si="750">m_ty*F346</f>
        <v>11.884444444444448</v>
      </c>
      <c r="H346" s="44">
        <f t="shared" ref="H346:H405" si="751">m_tz*F346</f>
        <v>7.4277777777777789</v>
      </c>
      <c r="I346" s="44">
        <f t="shared" si="619"/>
        <v>8</v>
      </c>
      <c r="J346" s="45">
        <f t="shared" si="737"/>
        <v>-8</v>
      </c>
      <c r="K346" s="87" t="s">
        <v>773</v>
      </c>
      <c r="L346" s="44">
        <f t="shared" ref="L346:N346" si="752">L345</f>
        <v>0.2</v>
      </c>
      <c r="M346" s="44">
        <f t="shared" si="752"/>
        <v>150</v>
      </c>
      <c r="N346" s="44">
        <f t="shared" si="752"/>
        <v>750</v>
      </c>
      <c r="P346" s="38">
        <f t="shared" si="621"/>
        <v>17</v>
      </c>
      <c r="Q346" s="38">
        <f t="shared" si="622"/>
        <v>19</v>
      </c>
      <c r="R346" s="39">
        <f t="shared" si="623"/>
        <v>0.98231787842897789</v>
      </c>
      <c r="S346" s="39">
        <f t="shared" si="624"/>
        <v>0.99352955814402111</v>
      </c>
      <c r="T346" s="39">
        <f t="shared" si="627"/>
        <v>1.1211679715043221E-2</v>
      </c>
      <c r="U346" s="89">
        <f t="shared" si="648"/>
        <v>1.8379802811546264E-4</v>
      </c>
    </row>
    <row r="347" spans="1:21" ht="15.75" thickBot="1" x14ac:dyDescent="0.3">
      <c r="A347" s="41">
        <f t="shared" ref="A347:B347" si="753">A346+1</f>
        <v>337</v>
      </c>
      <c r="B347" s="42">
        <f t="shared" si="753"/>
        <v>337</v>
      </c>
      <c r="C347" s="92" t="str">
        <f t="shared" si="718"/>
        <v>L11X18-352_000_07</v>
      </c>
      <c r="D347" s="43">
        <f t="shared" si="742"/>
        <v>18</v>
      </c>
      <c r="E347" s="61">
        <f t="shared" si="611"/>
        <v>2.6740000000000004</v>
      </c>
      <c r="F347" s="44">
        <f t="shared" si="749"/>
        <v>14.855555555555558</v>
      </c>
      <c r="G347" s="44">
        <f t="shared" si="750"/>
        <v>11.884444444444448</v>
      </c>
      <c r="H347" s="44">
        <f t="shared" si="751"/>
        <v>7.4277777777777789</v>
      </c>
      <c r="I347" s="44">
        <f t="shared" si="619"/>
        <v>8</v>
      </c>
      <c r="J347" s="45">
        <f t="shared" si="737"/>
        <v>-8</v>
      </c>
      <c r="K347" s="87" t="s">
        <v>774</v>
      </c>
      <c r="L347" s="44">
        <f t="shared" ref="L347:N347" si="754">L346</f>
        <v>0.2</v>
      </c>
      <c r="M347" s="44">
        <f t="shared" si="754"/>
        <v>150</v>
      </c>
      <c r="N347" s="44">
        <f t="shared" si="754"/>
        <v>750</v>
      </c>
      <c r="P347" s="38">
        <f t="shared" si="621"/>
        <v>17</v>
      </c>
      <c r="Q347" s="38">
        <f t="shared" si="622"/>
        <v>19</v>
      </c>
      <c r="R347" s="39">
        <f t="shared" si="623"/>
        <v>0.98231787842897789</v>
      </c>
      <c r="S347" s="39">
        <f t="shared" si="624"/>
        <v>0.99352955814402111</v>
      </c>
      <c r="T347" s="39">
        <f t="shared" si="627"/>
        <v>1.1211679715043221E-2</v>
      </c>
      <c r="U347" s="89">
        <f t="shared" si="648"/>
        <v>1.8379802811546264E-4</v>
      </c>
    </row>
    <row r="348" spans="1:21" ht="15.75" thickBot="1" x14ac:dyDescent="0.3">
      <c r="A348" s="41">
        <f t="shared" ref="A348:B348" si="755">A347+1</f>
        <v>338</v>
      </c>
      <c r="B348" s="42">
        <f t="shared" si="755"/>
        <v>338</v>
      </c>
      <c r="C348" s="92" t="str">
        <f t="shared" si="718"/>
        <v>L11X18-352_000_08</v>
      </c>
      <c r="D348" s="43">
        <f t="shared" si="742"/>
        <v>18</v>
      </c>
      <c r="E348" s="61">
        <f t="shared" si="611"/>
        <v>2.6740000000000004</v>
      </c>
      <c r="F348" s="44">
        <f t="shared" si="749"/>
        <v>14.855555555555558</v>
      </c>
      <c r="G348" s="44">
        <f t="shared" si="750"/>
        <v>11.884444444444448</v>
      </c>
      <c r="H348" s="44">
        <f t="shared" si="751"/>
        <v>7.4277777777777789</v>
      </c>
      <c r="I348" s="44">
        <f t="shared" si="619"/>
        <v>8</v>
      </c>
      <c r="J348" s="45">
        <f t="shared" si="737"/>
        <v>-8</v>
      </c>
      <c r="K348" s="87" t="s">
        <v>775</v>
      </c>
      <c r="L348" s="44">
        <f t="shared" ref="L348:N348" si="756">L347</f>
        <v>0.2</v>
      </c>
      <c r="M348" s="44">
        <f t="shared" si="756"/>
        <v>150</v>
      </c>
      <c r="N348" s="44">
        <f t="shared" si="756"/>
        <v>750</v>
      </c>
      <c r="P348" s="38">
        <f t="shared" si="621"/>
        <v>17</v>
      </c>
      <c r="Q348" s="38">
        <f t="shared" si="622"/>
        <v>19</v>
      </c>
      <c r="R348" s="39">
        <f t="shared" si="623"/>
        <v>0.98231787842897789</v>
      </c>
      <c r="S348" s="39">
        <f t="shared" si="624"/>
        <v>0.99352955814402111</v>
      </c>
      <c r="T348" s="39">
        <f t="shared" si="627"/>
        <v>1.1211679715043221E-2</v>
      </c>
      <c r="U348" s="89">
        <f t="shared" si="648"/>
        <v>1.8379802811546264E-4</v>
      </c>
    </row>
    <row r="349" spans="1:21" ht="15.75" thickBot="1" x14ac:dyDescent="0.3">
      <c r="A349" s="41">
        <f t="shared" ref="A349:B349" si="757">A348+1</f>
        <v>339</v>
      </c>
      <c r="B349" s="42">
        <f t="shared" si="757"/>
        <v>339</v>
      </c>
      <c r="C349" s="92" t="str">
        <f t="shared" si="718"/>
        <v>L11X18-352_000_09</v>
      </c>
      <c r="D349" s="43">
        <f t="shared" si="742"/>
        <v>18</v>
      </c>
      <c r="E349" s="61">
        <f t="shared" ref="E349:E412" si="758">I_ref*(0.75*D349+5.6)</f>
        <v>2.6740000000000004</v>
      </c>
      <c r="F349" s="44">
        <f t="shared" si="749"/>
        <v>14.855555555555558</v>
      </c>
      <c r="G349" s="44">
        <f t="shared" si="750"/>
        <v>11.884444444444448</v>
      </c>
      <c r="H349" s="44">
        <f t="shared" si="751"/>
        <v>7.4277777777777789</v>
      </c>
      <c r="I349" s="44">
        <f t="shared" si="619"/>
        <v>8</v>
      </c>
      <c r="J349" s="45">
        <f t="shared" si="737"/>
        <v>-8</v>
      </c>
      <c r="K349" s="87" t="s">
        <v>776</v>
      </c>
      <c r="L349" s="44">
        <f t="shared" ref="L349:N349" si="759">L348</f>
        <v>0.2</v>
      </c>
      <c r="M349" s="44">
        <f t="shared" si="759"/>
        <v>150</v>
      </c>
      <c r="N349" s="44">
        <f t="shared" si="759"/>
        <v>750</v>
      </c>
      <c r="P349" s="38">
        <f t="shared" si="621"/>
        <v>17</v>
      </c>
      <c r="Q349" s="38">
        <f t="shared" si="622"/>
        <v>19</v>
      </c>
      <c r="R349" s="39">
        <f t="shared" si="623"/>
        <v>0.98231787842897789</v>
      </c>
      <c r="S349" s="39">
        <f t="shared" si="624"/>
        <v>0.99352955814402111</v>
      </c>
      <c r="T349" s="39">
        <f t="shared" si="627"/>
        <v>1.1211679715043221E-2</v>
      </c>
      <c r="U349" s="89">
        <f t="shared" si="648"/>
        <v>1.8379802811546264E-4</v>
      </c>
    </row>
    <row r="350" spans="1:21" ht="15.75" thickBot="1" x14ac:dyDescent="0.3">
      <c r="A350" s="41">
        <f t="shared" ref="A350:B350" si="760">A349+1</f>
        <v>340</v>
      </c>
      <c r="B350" s="42">
        <f t="shared" si="760"/>
        <v>340</v>
      </c>
      <c r="C350" s="92" t="str">
        <f t="shared" si="718"/>
        <v>L11X18-352_000_10</v>
      </c>
      <c r="D350" s="43">
        <f t="shared" si="742"/>
        <v>18</v>
      </c>
      <c r="E350" s="61">
        <f t="shared" si="758"/>
        <v>2.6740000000000004</v>
      </c>
      <c r="F350" s="44">
        <f t="shared" si="749"/>
        <v>14.855555555555558</v>
      </c>
      <c r="G350" s="44">
        <f t="shared" si="750"/>
        <v>11.884444444444448</v>
      </c>
      <c r="H350" s="44">
        <f t="shared" si="751"/>
        <v>7.4277777777777789</v>
      </c>
      <c r="I350" s="44">
        <f t="shared" si="619"/>
        <v>8</v>
      </c>
      <c r="J350" s="45">
        <f t="shared" si="737"/>
        <v>-8</v>
      </c>
      <c r="K350" s="87" t="s">
        <v>777</v>
      </c>
      <c r="L350" s="44">
        <f t="shared" ref="L350:N350" si="761">L349</f>
        <v>0.2</v>
      </c>
      <c r="M350" s="44">
        <f t="shared" si="761"/>
        <v>150</v>
      </c>
      <c r="N350" s="44">
        <f t="shared" si="761"/>
        <v>750</v>
      </c>
      <c r="P350" s="38">
        <f t="shared" si="621"/>
        <v>17</v>
      </c>
      <c r="Q350" s="38">
        <f t="shared" si="622"/>
        <v>19</v>
      </c>
      <c r="R350" s="39">
        <f t="shared" si="623"/>
        <v>0.98231787842897789</v>
      </c>
      <c r="S350" s="39">
        <f t="shared" si="624"/>
        <v>0.99352955814402111</v>
      </c>
      <c r="T350" s="39">
        <f t="shared" si="627"/>
        <v>1.1211679715043221E-2</v>
      </c>
      <c r="U350" s="89">
        <f t="shared" si="648"/>
        <v>1.8379802811546264E-4</v>
      </c>
    </row>
    <row r="351" spans="1:21" ht="15.75" thickBot="1" x14ac:dyDescent="0.3">
      <c r="A351" s="41">
        <f t="shared" ref="A351:B351" si="762">A350+1</f>
        <v>341</v>
      </c>
      <c r="B351" s="42">
        <f t="shared" si="762"/>
        <v>341</v>
      </c>
      <c r="C351" s="92" t="str">
        <f t="shared" si="718"/>
        <v>L11X18-352_000_11</v>
      </c>
      <c r="D351" s="43">
        <f t="shared" si="742"/>
        <v>18</v>
      </c>
      <c r="E351" s="61">
        <f t="shared" si="758"/>
        <v>2.6740000000000004</v>
      </c>
      <c r="F351" s="44">
        <f t="shared" si="749"/>
        <v>14.855555555555558</v>
      </c>
      <c r="G351" s="44">
        <f t="shared" si="750"/>
        <v>11.884444444444448</v>
      </c>
      <c r="H351" s="44">
        <f t="shared" si="751"/>
        <v>7.4277777777777789</v>
      </c>
      <c r="I351" s="44">
        <f t="shared" ref="I351:I414" si="763">I350</f>
        <v>8</v>
      </c>
      <c r="J351" s="45">
        <f t="shared" si="737"/>
        <v>-8</v>
      </c>
      <c r="K351" s="87" t="s">
        <v>778</v>
      </c>
      <c r="L351" s="44">
        <f t="shared" ref="L351:N351" si="764">L350</f>
        <v>0.2</v>
      </c>
      <c r="M351" s="44">
        <f t="shared" si="764"/>
        <v>150</v>
      </c>
      <c r="N351" s="44">
        <f t="shared" si="764"/>
        <v>750</v>
      </c>
      <c r="P351" s="38">
        <f t="shared" ref="P351:P414" si="765">D351-v_step/2</f>
        <v>17</v>
      </c>
      <c r="Q351" s="38">
        <f t="shared" ref="Q351:Q414" si="766">P351+v_step</f>
        <v>19</v>
      </c>
      <c r="R351" s="39">
        <f t="shared" ref="R351:R414" si="767">IF(wpd="Rayleigh",1-EXP(-PI()*((P351/2/v_ave)^2)),IF(wpd="Weibull",1-EXP(-((P351/weibull_A)^weibull_K))))</f>
        <v>0.98231787842897789</v>
      </c>
      <c r="S351" s="39">
        <f t="shared" ref="S351:S414" si="768">IF(wpd="Rayleigh",1-EXP(-PI()*((Q351/2/v_ave)^2)),IF(wpd="Weibull",1-EXP(-((Q351/weibull_A)^weibull_K))))</f>
        <v>0.99352955814402111</v>
      </c>
      <c r="T351" s="39">
        <f t="shared" si="627"/>
        <v>1.1211679715043221E-2</v>
      </c>
      <c r="U351" s="89">
        <f t="shared" si="648"/>
        <v>1.8379802811546264E-4</v>
      </c>
    </row>
    <row r="352" spans="1:21" ht="15.75" thickBot="1" x14ac:dyDescent="0.3">
      <c r="A352" s="41">
        <f t="shared" ref="A352:B352" si="769">A351+1</f>
        <v>342</v>
      </c>
      <c r="B352" s="42">
        <f t="shared" si="769"/>
        <v>342</v>
      </c>
      <c r="C352" s="92" t="str">
        <f t="shared" si="718"/>
        <v>L11X18-352_000_12</v>
      </c>
      <c r="D352" s="43">
        <f t="shared" si="742"/>
        <v>18</v>
      </c>
      <c r="E352" s="61">
        <f t="shared" si="758"/>
        <v>2.6740000000000004</v>
      </c>
      <c r="F352" s="44">
        <f t="shared" si="749"/>
        <v>14.855555555555558</v>
      </c>
      <c r="G352" s="44">
        <f t="shared" si="750"/>
        <v>11.884444444444448</v>
      </c>
      <c r="H352" s="44">
        <f t="shared" si="751"/>
        <v>7.4277777777777789</v>
      </c>
      <c r="I352" s="44">
        <f t="shared" si="763"/>
        <v>8</v>
      </c>
      <c r="J352" s="45">
        <f t="shared" si="737"/>
        <v>-8</v>
      </c>
      <c r="K352" s="87" t="s">
        <v>779</v>
      </c>
      <c r="L352" s="44">
        <f t="shared" ref="L352:N352" si="770">L351</f>
        <v>0.2</v>
      </c>
      <c r="M352" s="44">
        <f t="shared" si="770"/>
        <v>150</v>
      </c>
      <c r="N352" s="44">
        <f t="shared" si="770"/>
        <v>750</v>
      </c>
      <c r="P352" s="38">
        <f t="shared" si="765"/>
        <v>17</v>
      </c>
      <c r="Q352" s="38">
        <f t="shared" si="766"/>
        <v>19</v>
      </c>
      <c r="R352" s="39">
        <f t="shared" si="767"/>
        <v>0.98231787842897789</v>
      </c>
      <c r="S352" s="39">
        <f t="shared" si="768"/>
        <v>0.99352955814402111</v>
      </c>
      <c r="T352" s="39">
        <f t="shared" ref="T352:T415" si="771">S352-R352</f>
        <v>1.1211679715043221E-2</v>
      </c>
      <c r="U352" s="89">
        <f t="shared" si="648"/>
        <v>1.8379802811546264E-4</v>
      </c>
    </row>
    <row r="353" spans="1:21" ht="15.75" thickBot="1" x14ac:dyDescent="0.3">
      <c r="A353" s="41">
        <f t="shared" ref="A353:B353" si="772">A352+1</f>
        <v>343</v>
      </c>
      <c r="B353" s="42">
        <f t="shared" si="772"/>
        <v>343</v>
      </c>
      <c r="C353" s="92" t="str">
        <f t="shared" si="718"/>
        <v>L11X18-352_000_13</v>
      </c>
      <c r="D353" s="43">
        <f t="shared" si="742"/>
        <v>18</v>
      </c>
      <c r="E353" s="61">
        <f t="shared" si="758"/>
        <v>2.6740000000000004</v>
      </c>
      <c r="F353" s="44">
        <f t="shared" si="749"/>
        <v>14.855555555555558</v>
      </c>
      <c r="G353" s="44">
        <f t="shared" si="750"/>
        <v>11.884444444444448</v>
      </c>
      <c r="H353" s="44">
        <f t="shared" si="751"/>
        <v>7.4277777777777789</v>
      </c>
      <c r="I353" s="44">
        <f t="shared" si="763"/>
        <v>8</v>
      </c>
      <c r="J353" s="45">
        <f t="shared" si="737"/>
        <v>-8</v>
      </c>
      <c r="K353" s="87" t="s">
        <v>780</v>
      </c>
      <c r="L353" s="44">
        <f t="shared" ref="L353:N353" si="773">L352</f>
        <v>0.2</v>
      </c>
      <c r="M353" s="44">
        <f t="shared" si="773"/>
        <v>150</v>
      </c>
      <c r="N353" s="44">
        <f t="shared" si="773"/>
        <v>750</v>
      </c>
      <c r="P353" s="38">
        <f t="shared" si="765"/>
        <v>17</v>
      </c>
      <c r="Q353" s="38">
        <f t="shared" si="766"/>
        <v>19</v>
      </c>
      <c r="R353" s="39">
        <f t="shared" si="767"/>
        <v>0.98231787842897789</v>
      </c>
      <c r="S353" s="39">
        <f t="shared" si="768"/>
        <v>0.99352955814402111</v>
      </c>
      <c r="T353" s="39">
        <f t="shared" si="771"/>
        <v>1.1211679715043221E-2</v>
      </c>
      <c r="U353" s="89">
        <f t="shared" si="648"/>
        <v>1.8379802811546264E-4</v>
      </c>
    </row>
    <row r="354" spans="1:21" ht="15.75" thickBot="1" x14ac:dyDescent="0.3">
      <c r="A354" s="41">
        <f t="shared" ref="A354:B354" si="774">A353+1</f>
        <v>344</v>
      </c>
      <c r="B354" s="42">
        <f t="shared" si="774"/>
        <v>344</v>
      </c>
      <c r="C354" s="92" t="str">
        <f t="shared" si="718"/>
        <v>L11X18-352_000_14</v>
      </c>
      <c r="D354" s="43">
        <f t="shared" si="742"/>
        <v>18</v>
      </c>
      <c r="E354" s="61">
        <f t="shared" si="758"/>
        <v>2.6740000000000004</v>
      </c>
      <c r="F354" s="44">
        <f t="shared" si="749"/>
        <v>14.855555555555558</v>
      </c>
      <c r="G354" s="44">
        <f t="shared" si="750"/>
        <v>11.884444444444448</v>
      </c>
      <c r="H354" s="44">
        <f t="shared" si="751"/>
        <v>7.4277777777777789</v>
      </c>
      <c r="I354" s="44">
        <f t="shared" si="763"/>
        <v>8</v>
      </c>
      <c r="J354" s="45">
        <f t="shared" si="737"/>
        <v>-8</v>
      </c>
      <c r="K354" s="87" t="s">
        <v>781</v>
      </c>
      <c r="L354" s="44">
        <f t="shared" ref="L354:N354" si="775">L353</f>
        <v>0.2</v>
      </c>
      <c r="M354" s="44">
        <f t="shared" si="775"/>
        <v>150</v>
      </c>
      <c r="N354" s="44">
        <f t="shared" si="775"/>
        <v>750</v>
      </c>
      <c r="P354" s="38">
        <f t="shared" si="765"/>
        <v>17</v>
      </c>
      <c r="Q354" s="38">
        <f t="shared" si="766"/>
        <v>19</v>
      </c>
      <c r="R354" s="39">
        <f t="shared" si="767"/>
        <v>0.98231787842897789</v>
      </c>
      <c r="S354" s="39">
        <f t="shared" si="768"/>
        <v>0.99352955814402111</v>
      </c>
      <c r="T354" s="39">
        <f t="shared" si="771"/>
        <v>1.1211679715043221E-2</v>
      </c>
      <c r="U354" s="89">
        <f t="shared" si="648"/>
        <v>1.8379802811546264E-4</v>
      </c>
    </row>
    <row r="355" spans="1:21" ht="15.75" thickBot="1" x14ac:dyDescent="0.3">
      <c r="A355" s="41">
        <f t="shared" ref="A355:B355" si="776">A354+1</f>
        <v>345</v>
      </c>
      <c r="B355" s="42">
        <f t="shared" si="776"/>
        <v>345</v>
      </c>
      <c r="C355" s="92" t="str">
        <f t="shared" si="718"/>
        <v>L11X18-352_000_15</v>
      </c>
      <c r="D355" s="43">
        <f t="shared" si="742"/>
        <v>18</v>
      </c>
      <c r="E355" s="61">
        <f t="shared" si="758"/>
        <v>2.6740000000000004</v>
      </c>
      <c r="F355" s="44">
        <f t="shared" si="749"/>
        <v>14.855555555555558</v>
      </c>
      <c r="G355" s="44">
        <f t="shared" si="750"/>
        <v>11.884444444444448</v>
      </c>
      <c r="H355" s="44">
        <f t="shared" si="751"/>
        <v>7.4277777777777789</v>
      </c>
      <c r="I355" s="44">
        <f t="shared" si="763"/>
        <v>8</v>
      </c>
      <c r="J355" s="45">
        <f t="shared" si="737"/>
        <v>-8</v>
      </c>
      <c r="K355" s="87" t="s">
        <v>782</v>
      </c>
      <c r="L355" s="44">
        <f t="shared" ref="L355:N355" si="777">L354</f>
        <v>0.2</v>
      </c>
      <c r="M355" s="44">
        <f t="shared" si="777"/>
        <v>150</v>
      </c>
      <c r="N355" s="44">
        <f t="shared" si="777"/>
        <v>750</v>
      </c>
      <c r="P355" s="38">
        <f t="shared" si="765"/>
        <v>17</v>
      </c>
      <c r="Q355" s="38">
        <f t="shared" si="766"/>
        <v>19</v>
      </c>
      <c r="R355" s="39">
        <f t="shared" si="767"/>
        <v>0.98231787842897789</v>
      </c>
      <c r="S355" s="39">
        <f t="shared" si="768"/>
        <v>0.99352955814402111</v>
      </c>
      <c r="T355" s="39">
        <f t="shared" si="771"/>
        <v>1.1211679715043221E-2</v>
      </c>
      <c r="U355" s="89">
        <f t="shared" si="648"/>
        <v>1.8379802811546264E-4</v>
      </c>
    </row>
    <row r="356" spans="1:21" ht="15.75" thickBot="1" x14ac:dyDescent="0.3">
      <c r="A356" s="41">
        <f t="shared" ref="A356:B356" si="778">A355+1</f>
        <v>346</v>
      </c>
      <c r="B356" s="42">
        <f t="shared" si="778"/>
        <v>346</v>
      </c>
      <c r="C356" s="92" t="str">
        <f t="shared" si="718"/>
        <v>L11X18-352_000_16</v>
      </c>
      <c r="D356" s="43">
        <f t="shared" si="742"/>
        <v>18</v>
      </c>
      <c r="E356" s="61">
        <f t="shared" si="758"/>
        <v>2.6740000000000004</v>
      </c>
      <c r="F356" s="44">
        <f t="shared" si="749"/>
        <v>14.855555555555558</v>
      </c>
      <c r="G356" s="44">
        <f t="shared" si="750"/>
        <v>11.884444444444448</v>
      </c>
      <c r="H356" s="44">
        <f t="shared" si="751"/>
        <v>7.4277777777777789</v>
      </c>
      <c r="I356" s="44">
        <f t="shared" si="763"/>
        <v>8</v>
      </c>
      <c r="J356" s="45">
        <f t="shared" si="737"/>
        <v>-8</v>
      </c>
      <c r="K356" s="87" t="s">
        <v>783</v>
      </c>
      <c r="L356" s="44">
        <f t="shared" ref="L356:N356" si="779">L355</f>
        <v>0.2</v>
      </c>
      <c r="M356" s="44">
        <f t="shared" si="779"/>
        <v>150</v>
      </c>
      <c r="N356" s="44">
        <f t="shared" si="779"/>
        <v>750</v>
      </c>
      <c r="P356" s="38">
        <f t="shared" si="765"/>
        <v>17</v>
      </c>
      <c r="Q356" s="38">
        <f t="shared" si="766"/>
        <v>19</v>
      </c>
      <c r="R356" s="39">
        <f t="shared" si="767"/>
        <v>0.98231787842897789</v>
      </c>
      <c r="S356" s="39">
        <f t="shared" si="768"/>
        <v>0.99352955814402111</v>
      </c>
      <c r="T356" s="39">
        <f t="shared" si="771"/>
        <v>1.1211679715043221E-2</v>
      </c>
      <c r="U356" s="89">
        <f t="shared" si="648"/>
        <v>1.8379802811546264E-4</v>
      </c>
    </row>
    <row r="357" spans="1:21" ht="15.75" thickBot="1" x14ac:dyDescent="0.3">
      <c r="A357" s="41">
        <f t="shared" ref="A357:B357" si="780">A356+1</f>
        <v>347</v>
      </c>
      <c r="B357" s="42">
        <f t="shared" si="780"/>
        <v>347</v>
      </c>
      <c r="C357" s="92" t="str">
        <f t="shared" si="718"/>
        <v>L11X18-352_000_17</v>
      </c>
      <c r="D357" s="43">
        <f t="shared" si="742"/>
        <v>18</v>
      </c>
      <c r="E357" s="61">
        <f t="shared" si="758"/>
        <v>2.6740000000000004</v>
      </c>
      <c r="F357" s="44">
        <f t="shared" si="749"/>
        <v>14.855555555555558</v>
      </c>
      <c r="G357" s="44">
        <f t="shared" si="750"/>
        <v>11.884444444444448</v>
      </c>
      <c r="H357" s="44">
        <f t="shared" si="751"/>
        <v>7.4277777777777789</v>
      </c>
      <c r="I357" s="44">
        <f t="shared" si="763"/>
        <v>8</v>
      </c>
      <c r="J357" s="45">
        <f t="shared" si="737"/>
        <v>-8</v>
      </c>
      <c r="K357" s="87" t="s">
        <v>784</v>
      </c>
      <c r="L357" s="44">
        <f t="shared" ref="L357:N357" si="781">L356</f>
        <v>0.2</v>
      </c>
      <c r="M357" s="44">
        <f t="shared" si="781"/>
        <v>150</v>
      </c>
      <c r="N357" s="44">
        <f t="shared" si="781"/>
        <v>750</v>
      </c>
      <c r="P357" s="38">
        <f t="shared" si="765"/>
        <v>17</v>
      </c>
      <c r="Q357" s="38">
        <f t="shared" si="766"/>
        <v>19</v>
      </c>
      <c r="R357" s="39">
        <f t="shared" si="767"/>
        <v>0.98231787842897789</v>
      </c>
      <c r="S357" s="39">
        <f t="shared" si="768"/>
        <v>0.99352955814402111</v>
      </c>
      <c r="T357" s="39">
        <f t="shared" si="771"/>
        <v>1.1211679715043221E-2</v>
      </c>
      <c r="U357" s="89">
        <f t="shared" si="648"/>
        <v>1.8379802811546264E-4</v>
      </c>
    </row>
    <row r="358" spans="1:21" ht="15.75" thickBot="1" x14ac:dyDescent="0.3">
      <c r="A358" s="41">
        <f t="shared" ref="A358:B358" si="782">A357+1</f>
        <v>348</v>
      </c>
      <c r="B358" s="42">
        <f t="shared" si="782"/>
        <v>348</v>
      </c>
      <c r="C358" s="92" t="str">
        <f t="shared" si="718"/>
        <v>L11X18-352_000_18</v>
      </c>
      <c r="D358" s="43">
        <f t="shared" si="742"/>
        <v>18</v>
      </c>
      <c r="E358" s="61">
        <f t="shared" si="758"/>
        <v>2.6740000000000004</v>
      </c>
      <c r="F358" s="44">
        <f t="shared" si="749"/>
        <v>14.855555555555558</v>
      </c>
      <c r="G358" s="44">
        <f t="shared" si="750"/>
        <v>11.884444444444448</v>
      </c>
      <c r="H358" s="44">
        <f t="shared" si="751"/>
        <v>7.4277777777777789</v>
      </c>
      <c r="I358" s="44">
        <f t="shared" si="763"/>
        <v>8</v>
      </c>
      <c r="J358" s="45">
        <f t="shared" si="737"/>
        <v>-8</v>
      </c>
      <c r="K358" s="87" t="s">
        <v>785</v>
      </c>
      <c r="L358" s="44">
        <f t="shared" ref="L358:N358" si="783">L357</f>
        <v>0.2</v>
      </c>
      <c r="M358" s="44">
        <f t="shared" si="783"/>
        <v>150</v>
      </c>
      <c r="N358" s="44">
        <f t="shared" si="783"/>
        <v>750</v>
      </c>
      <c r="P358" s="38">
        <f t="shared" si="765"/>
        <v>17</v>
      </c>
      <c r="Q358" s="38">
        <f t="shared" si="766"/>
        <v>19</v>
      </c>
      <c r="R358" s="39">
        <f t="shared" si="767"/>
        <v>0.98231787842897789</v>
      </c>
      <c r="S358" s="39">
        <f t="shared" si="768"/>
        <v>0.99352955814402111</v>
      </c>
      <c r="T358" s="39">
        <f t="shared" si="771"/>
        <v>1.1211679715043221E-2</v>
      </c>
      <c r="U358" s="89">
        <f t="shared" si="648"/>
        <v>1.8379802811546264E-4</v>
      </c>
    </row>
    <row r="359" spans="1:21" ht="15.75" thickBot="1" x14ac:dyDescent="0.3">
      <c r="A359" s="41">
        <f t="shared" ref="A359:B359" si="784">A358+1</f>
        <v>349</v>
      </c>
      <c r="B359" s="42">
        <f t="shared" si="784"/>
        <v>349</v>
      </c>
      <c r="C359" s="92" t="str">
        <f t="shared" si="718"/>
        <v>L11X18-352_000_19</v>
      </c>
      <c r="D359" s="43">
        <f t="shared" si="742"/>
        <v>18</v>
      </c>
      <c r="E359" s="61">
        <f t="shared" si="758"/>
        <v>2.6740000000000004</v>
      </c>
      <c r="F359" s="44">
        <f t="shared" si="749"/>
        <v>14.855555555555558</v>
      </c>
      <c r="G359" s="44">
        <f t="shared" si="750"/>
        <v>11.884444444444448</v>
      </c>
      <c r="H359" s="44">
        <f t="shared" si="751"/>
        <v>7.4277777777777789</v>
      </c>
      <c r="I359" s="44">
        <f t="shared" si="763"/>
        <v>8</v>
      </c>
      <c r="J359" s="45">
        <f t="shared" si="737"/>
        <v>-8</v>
      </c>
      <c r="K359" s="87" t="s">
        <v>786</v>
      </c>
      <c r="L359" s="44">
        <f t="shared" ref="L359:N359" si="785">L358</f>
        <v>0.2</v>
      </c>
      <c r="M359" s="44">
        <f t="shared" si="785"/>
        <v>150</v>
      </c>
      <c r="N359" s="44">
        <f t="shared" si="785"/>
        <v>750</v>
      </c>
      <c r="P359" s="38">
        <f t="shared" si="765"/>
        <v>17</v>
      </c>
      <c r="Q359" s="38">
        <f t="shared" si="766"/>
        <v>19</v>
      </c>
      <c r="R359" s="39">
        <f t="shared" si="767"/>
        <v>0.98231787842897789</v>
      </c>
      <c r="S359" s="39">
        <f t="shared" si="768"/>
        <v>0.99352955814402111</v>
      </c>
      <c r="T359" s="39">
        <f t="shared" si="771"/>
        <v>1.1211679715043221E-2</v>
      </c>
      <c r="U359" s="89">
        <f t="shared" si="648"/>
        <v>1.8379802811546264E-4</v>
      </c>
    </row>
    <row r="360" spans="1:21" ht="15.75" thickBot="1" x14ac:dyDescent="0.3">
      <c r="A360" s="41">
        <f t="shared" ref="A360:B360" si="786">A359+1</f>
        <v>350</v>
      </c>
      <c r="B360" s="42">
        <f t="shared" si="786"/>
        <v>350</v>
      </c>
      <c r="C360" s="92" t="str">
        <f t="shared" si="718"/>
        <v>L11X18-352_000_20</v>
      </c>
      <c r="D360" s="43">
        <f t="shared" si="742"/>
        <v>18</v>
      </c>
      <c r="E360" s="61">
        <f t="shared" si="758"/>
        <v>2.6740000000000004</v>
      </c>
      <c r="F360" s="44">
        <f t="shared" si="749"/>
        <v>14.855555555555558</v>
      </c>
      <c r="G360" s="44">
        <f t="shared" si="750"/>
        <v>11.884444444444448</v>
      </c>
      <c r="H360" s="44">
        <f t="shared" si="751"/>
        <v>7.4277777777777789</v>
      </c>
      <c r="I360" s="44">
        <f t="shared" si="763"/>
        <v>8</v>
      </c>
      <c r="J360" s="45">
        <f t="shared" si="737"/>
        <v>-8</v>
      </c>
      <c r="K360" s="87" t="s">
        <v>787</v>
      </c>
      <c r="L360" s="44">
        <f t="shared" ref="L360:N360" si="787">L359</f>
        <v>0.2</v>
      </c>
      <c r="M360" s="44">
        <f t="shared" si="787"/>
        <v>150</v>
      </c>
      <c r="N360" s="44">
        <f t="shared" si="787"/>
        <v>750</v>
      </c>
      <c r="P360" s="38">
        <f t="shared" si="765"/>
        <v>17</v>
      </c>
      <c r="Q360" s="38">
        <f t="shared" si="766"/>
        <v>19</v>
      </c>
      <c r="R360" s="39">
        <f t="shared" si="767"/>
        <v>0.98231787842897789</v>
      </c>
      <c r="S360" s="39">
        <f t="shared" si="768"/>
        <v>0.99352955814402111</v>
      </c>
      <c r="T360" s="39">
        <f t="shared" si="771"/>
        <v>1.1211679715043221E-2</v>
      </c>
      <c r="U360" s="89">
        <f t="shared" si="648"/>
        <v>1.8379802811546264E-4</v>
      </c>
    </row>
    <row r="361" spans="1:21" ht="15.75" thickBot="1" x14ac:dyDescent="0.3">
      <c r="A361" s="41">
        <f t="shared" ref="A361:B361" si="788">A360+1</f>
        <v>351</v>
      </c>
      <c r="B361" s="42">
        <f t="shared" si="788"/>
        <v>351</v>
      </c>
      <c r="C361" s="92" t="str">
        <f t="shared" si="718"/>
        <v>L11X18-000_000_21</v>
      </c>
      <c r="D361" s="43">
        <f t="shared" si="742"/>
        <v>18</v>
      </c>
      <c r="E361" s="61">
        <f t="shared" si="758"/>
        <v>2.6740000000000004</v>
      </c>
      <c r="F361" s="44">
        <f t="shared" si="749"/>
        <v>14.855555555555558</v>
      </c>
      <c r="G361" s="44">
        <f t="shared" si="750"/>
        <v>11.884444444444448</v>
      </c>
      <c r="H361" s="44">
        <f t="shared" si="751"/>
        <v>7.4277777777777789</v>
      </c>
      <c r="I361" s="44">
        <f t="shared" si="763"/>
        <v>8</v>
      </c>
      <c r="J361" s="45">
        <f t="shared" ref="J361:J380" si="789">yaw_null</f>
        <v>0</v>
      </c>
      <c r="K361" s="87" t="s">
        <v>788</v>
      </c>
      <c r="L361" s="44">
        <f t="shared" ref="L361:N361" si="790">L360</f>
        <v>0.2</v>
      </c>
      <c r="M361" s="44">
        <f t="shared" si="790"/>
        <v>150</v>
      </c>
      <c r="N361" s="44">
        <f t="shared" si="790"/>
        <v>750</v>
      </c>
      <c r="P361" s="38">
        <f t="shared" si="765"/>
        <v>17</v>
      </c>
      <c r="Q361" s="38">
        <f t="shared" si="766"/>
        <v>19</v>
      </c>
      <c r="R361" s="39">
        <f t="shared" si="767"/>
        <v>0.98231787842897789</v>
      </c>
      <c r="S361" s="39">
        <f t="shared" si="768"/>
        <v>0.99352955814402111</v>
      </c>
      <c r="T361" s="39">
        <f t="shared" si="771"/>
        <v>1.1211679715043221E-2</v>
      </c>
      <c r="U361" s="89">
        <f t="shared" si="648"/>
        <v>1.8379802811546264E-4</v>
      </c>
    </row>
    <row r="362" spans="1:21" ht="15.75" thickBot="1" x14ac:dyDescent="0.3">
      <c r="A362" s="41">
        <f t="shared" ref="A362:B362" si="791">A361+1</f>
        <v>352</v>
      </c>
      <c r="B362" s="42">
        <f t="shared" si="791"/>
        <v>352</v>
      </c>
      <c r="C362" s="92" t="str">
        <f t="shared" si="718"/>
        <v>L11X18-000_000_22</v>
      </c>
      <c r="D362" s="43">
        <f t="shared" si="742"/>
        <v>18</v>
      </c>
      <c r="E362" s="61">
        <f t="shared" si="758"/>
        <v>2.6740000000000004</v>
      </c>
      <c r="F362" s="44">
        <f t="shared" si="749"/>
        <v>14.855555555555558</v>
      </c>
      <c r="G362" s="44">
        <f t="shared" si="750"/>
        <v>11.884444444444448</v>
      </c>
      <c r="H362" s="44">
        <f t="shared" si="751"/>
        <v>7.4277777777777789</v>
      </c>
      <c r="I362" s="44">
        <f t="shared" si="763"/>
        <v>8</v>
      </c>
      <c r="J362" s="45">
        <f t="shared" si="789"/>
        <v>0</v>
      </c>
      <c r="K362" s="87" t="s">
        <v>789</v>
      </c>
      <c r="L362" s="44">
        <f t="shared" ref="L362:N362" si="792">L361</f>
        <v>0.2</v>
      </c>
      <c r="M362" s="44">
        <f t="shared" si="792"/>
        <v>150</v>
      </c>
      <c r="N362" s="44">
        <f t="shared" si="792"/>
        <v>750</v>
      </c>
      <c r="P362" s="38">
        <f t="shared" si="765"/>
        <v>17</v>
      </c>
      <c r="Q362" s="38">
        <f t="shared" si="766"/>
        <v>19</v>
      </c>
      <c r="R362" s="39">
        <f t="shared" si="767"/>
        <v>0.98231787842897789</v>
      </c>
      <c r="S362" s="39">
        <f t="shared" si="768"/>
        <v>0.99352955814402111</v>
      </c>
      <c r="T362" s="39">
        <f t="shared" si="771"/>
        <v>1.1211679715043221E-2</v>
      </c>
      <c r="U362" s="89">
        <f t="shared" ref="U362:U425" si="793">T362/61</f>
        <v>1.8379802811546264E-4</v>
      </c>
    </row>
    <row r="363" spans="1:21" ht="15.75" thickBot="1" x14ac:dyDescent="0.3">
      <c r="A363" s="41">
        <f t="shared" ref="A363:B363" si="794">A362+1</f>
        <v>353</v>
      </c>
      <c r="B363" s="42">
        <f t="shared" si="794"/>
        <v>353</v>
      </c>
      <c r="C363" s="92" t="str">
        <f t="shared" si="718"/>
        <v>L11X18-000_000_23</v>
      </c>
      <c r="D363" s="43">
        <f t="shared" si="742"/>
        <v>18</v>
      </c>
      <c r="E363" s="61">
        <f t="shared" si="758"/>
        <v>2.6740000000000004</v>
      </c>
      <c r="F363" s="44">
        <f t="shared" si="749"/>
        <v>14.855555555555558</v>
      </c>
      <c r="G363" s="44">
        <f t="shared" si="750"/>
        <v>11.884444444444448</v>
      </c>
      <c r="H363" s="44">
        <f t="shared" si="751"/>
        <v>7.4277777777777789</v>
      </c>
      <c r="I363" s="44">
        <f t="shared" si="763"/>
        <v>8</v>
      </c>
      <c r="J363" s="45">
        <f t="shared" si="789"/>
        <v>0</v>
      </c>
      <c r="K363" s="87" t="s">
        <v>790</v>
      </c>
      <c r="L363" s="44">
        <f t="shared" ref="L363:N363" si="795">L362</f>
        <v>0.2</v>
      </c>
      <c r="M363" s="44">
        <f t="shared" si="795"/>
        <v>150</v>
      </c>
      <c r="N363" s="44">
        <f t="shared" si="795"/>
        <v>750</v>
      </c>
      <c r="P363" s="38">
        <f t="shared" si="765"/>
        <v>17</v>
      </c>
      <c r="Q363" s="38">
        <f t="shared" si="766"/>
        <v>19</v>
      </c>
      <c r="R363" s="39">
        <f t="shared" si="767"/>
        <v>0.98231787842897789</v>
      </c>
      <c r="S363" s="39">
        <f t="shared" si="768"/>
        <v>0.99352955814402111</v>
      </c>
      <c r="T363" s="39">
        <f t="shared" si="771"/>
        <v>1.1211679715043221E-2</v>
      </c>
      <c r="U363" s="89">
        <f t="shared" si="793"/>
        <v>1.8379802811546264E-4</v>
      </c>
    </row>
    <row r="364" spans="1:21" ht="15.75" thickBot="1" x14ac:dyDescent="0.3">
      <c r="A364" s="41">
        <f t="shared" ref="A364:B364" si="796">A363+1</f>
        <v>354</v>
      </c>
      <c r="B364" s="42">
        <f t="shared" si="796"/>
        <v>354</v>
      </c>
      <c r="C364" s="92" t="str">
        <f t="shared" si="718"/>
        <v>L11X18-000_000_24</v>
      </c>
      <c r="D364" s="43">
        <f t="shared" si="742"/>
        <v>18</v>
      </c>
      <c r="E364" s="61">
        <f t="shared" si="758"/>
        <v>2.6740000000000004</v>
      </c>
      <c r="F364" s="44">
        <f t="shared" si="749"/>
        <v>14.855555555555558</v>
      </c>
      <c r="G364" s="44">
        <f t="shared" si="750"/>
        <v>11.884444444444448</v>
      </c>
      <c r="H364" s="44">
        <f t="shared" si="751"/>
        <v>7.4277777777777789</v>
      </c>
      <c r="I364" s="44">
        <f t="shared" si="763"/>
        <v>8</v>
      </c>
      <c r="J364" s="45">
        <f t="shared" si="789"/>
        <v>0</v>
      </c>
      <c r="K364" s="87" t="s">
        <v>791</v>
      </c>
      <c r="L364" s="44">
        <f t="shared" ref="L364:N364" si="797">L363</f>
        <v>0.2</v>
      </c>
      <c r="M364" s="44">
        <f t="shared" si="797"/>
        <v>150</v>
      </c>
      <c r="N364" s="44">
        <f t="shared" si="797"/>
        <v>750</v>
      </c>
      <c r="P364" s="38">
        <f t="shared" si="765"/>
        <v>17</v>
      </c>
      <c r="Q364" s="38">
        <f t="shared" si="766"/>
        <v>19</v>
      </c>
      <c r="R364" s="39">
        <f t="shared" si="767"/>
        <v>0.98231787842897789</v>
      </c>
      <c r="S364" s="39">
        <f t="shared" si="768"/>
        <v>0.99352955814402111</v>
      </c>
      <c r="T364" s="39">
        <f t="shared" si="771"/>
        <v>1.1211679715043221E-2</v>
      </c>
      <c r="U364" s="89">
        <f t="shared" si="793"/>
        <v>1.8379802811546264E-4</v>
      </c>
    </row>
    <row r="365" spans="1:21" ht="15.75" thickBot="1" x14ac:dyDescent="0.3">
      <c r="A365" s="41">
        <f t="shared" ref="A365:B365" si="798">A364+1</f>
        <v>355</v>
      </c>
      <c r="B365" s="42">
        <f t="shared" si="798"/>
        <v>355</v>
      </c>
      <c r="C365" s="92" t="str">
        <f t="shared" si="718"/>
        <v>L11X18-000_000_25</v>
      </c>
      <c r="D365" s="43">
        <f t="shared" si="742"/>
        <v>18</v>
      </c>
      <c r="E365" s="61">
        <f t="shared" si="758"/>
        <v>2.6740000000000004</v>
      </c>
      <c r="F365" s="44">
        <f t="shared" si="749"/>
        <v>14.855555555555558</v>
      </c>
      <c r="G365" s="44">
        <f t="shared" si="750"/>
        <v>11.884444444444448</v>
      </c>
      <c r="H365" s="44">
        <f t="shared" si="751"/>
        <v>7.4277777777777789</v>
      </c>
      <c r="I365" s="44">
        <f t="shared" si="763"/>
        <v>8</v>
      </c>
      <c r="J365" s="45">
        <f t="shared" si="789"/>
        <v>0</v>
      </c>
      <c r="K365" s="87" t="s">
        <v>792</v>
      </c>
      <c r="L365" s="44">
        <f t="shared" ref="L365:N365" si="799">L364</f>
        <v>0.2</v>
      </c>
      <c r="M365" s="44">
        <f t="shared" si="799"/>
        <v>150</v>
      </c>
      <c r="N365" s="44">
        <f t="shared" si="799"/>
        <v>750</v>
      </c>
      <c r="P365" s="38">
        <f t="shared" si="765"/>
        <v>17</v>
      </c>
      <c r="Q365" s="38">
        <f t="shared" si="766"/>
        <v>19</v>
      </c>
      <c r="R365" s="39">
        <f t="shared" si="767"/>
        <v>0.98231787842897789</v>
      </c>
      <c r="S365" s="39">
        <f t="shared" si="768"/>
        <v>0.99352955814402111</v>
      </c>
      <c r="T365" s="39">
        <f t="shared" si="771"/>
        <v>1.1211679715043221E-2</v>
      </c>
      <c r="U365" s="89">
        <f t="shared" si="793"/>
        <v>1.8379802811546264E-4</v>
      </c>
    </row>
    <row r="366" spans="1:21" ht="15.75" thickBot="1" x14ac:dyDescent="0.3">
      <c r="A366" s="41">
        <f t="shared" ref="A366:B366" si="800">A365+1</f>
        <v>356</v>
      </c>
      <c r="B366" s="42">
        <f t="shared" si="800"/>
        <v>356</v>
      </c>
      <c r="C366" s="92" t="str">
        <f t="shared" si="718"/>
        <v>L11X18-000_000_26</v>
      </c>
      <c r="D366" s="43">
        <f t="shared" si="742"/>
        <v>18</v>
      </c>
      <c r="E366" s="61">
        <f t="shared" si="758"/>
        <v>2.6740000000000004</v>
      </c>
      <c r="F366" s="44">
        <f t="shared" si="749"/>
        <v>14.855555555555558</v>
      </c>
      <c r="G366" s="44">
        <f t="shared" si="750"/>
        <v>11.884444444444448</v>
      </c>
      <c r="H366" s="44">
        <f t="shared" si="751"/>
        <v>7.4277777777777789</v>
      </c>
      <c r="I366" s="44">
        <f t="shared" si="763"/>
        <v>8</v>
      </c>
      <c r="J366" s="45">
        <f t="shared" si="789"/>
        <v>0</v>
      </c>
      <c r="K366" s="87" t="s">
        <v>793</v>
      </c>
      <c r="L366" s="44">
        <f t="shared" ref="L366:N366" si="801">L365</f>
        <v>0.2</v>
      </c>
      <c r="M366" s="44">
        <f t="shared" si="801"/>
        <v>150</v>
      </c>
      <c r="N366" s="44">
        <f t="shared" si="801"/>
        <v>750</v>
      </c>
      <c r="P366" s="38">
        <f t="shared" si="765"/>
        <v>17</v>
      </c>
      <c r="Q366" s="38">
        <f t="shared" si="766"/>
        <v>19</v>
      </c>
      <c r="R366" s="39">
        <f t="shared" si="767"/>
        <v>0.98231787842897789</v>
      </c>
      <c r="S366" s="39">
        <f t="shared" si="768"/>
        <v>0.99352955814402111</v>
      </c>
      <c r="T366" s="39">
        <f t="shared" si="771"/>
        <v>1.1211679715043221E-2</v>
      </c>
      <c r="U366" s="89">
        <f t="shared" si="793"/>
        <v>1.8379802811546264E-4</v>
      </c>
    </row>
    <row r="367" spans="1:21" ht="15.75" thickBot="1" x14ac:dyDescent="0.3">
      <c r="A367" s="41">
        <f t="shared" ref="A367:B367" si="802">A366+1</f>
        <v>357</v>
      </c>
      <c r="B367" s="42">
        <f t="shared" si="802"/>
        <v>357</v>
      </c>
      <c r="C367" s="92" t="str">
        <f t="shared" si="718"/>
        <v>L11X18-000_000_27</v>
      </c>
      <c r="D367" s="43">
        <f t="shared" si="742"/>
        <v>18</v>
      </c>
      <c r="E367" s="61">
        <f t="shared" si="758"/>
        <v>2.6740000000000004</v>
      </c>
      <c r="F367" s="44">
        <f t="shared" si="749"/>
        <v>14.855555555555558</v>
      </c>
      <c r="G367" s="44">
        <f t="shared" si="750"/>
        <v>11.884444444444448</v>
      </c>
      <c r="H367" s="44">
        <f t="shared" si="751"/>
        <v>7.4277777777777789</v>
      </c>
      <c r="I367" s="44">
        <f t="shared" si="763"/>
        <v>8</v>
      </c>
      <c r="J367" s="45">
        <f t="shared" si="789"/>
        <v>0</v>
      </c>
      <c r="K367" s="87" t="s">
        <v>794</v>
      </c>
      <c r="L367" s="44">
        <f t="shared" ref="L367:N367" si="803">L366</f>
        <v>0.2</v>
      </c>
      <c r="M367" s="44">
        <f t="shared" si="803"/>
        <v>150</v>
      </c>
      <c r="N367" s="44">
        <f t="shared" si="803"/>
        <v>750</v>
      </c>
      <c r="P367" s="38">
        <f t="shared" si="765"/>
        <v>17</v>
      </c>
      <c r="Q367" s="38">
        <f t="shared" si="766"/>
        <v>19</v>
      </c>
      <c r="R367" s="39">
        <f t="shared" si="767"/>
        <v>0.98231787842897789</v>
      </c>
      <c r="S367" s="39">
        <f t="shared" si="768"/>
        <v>0.99352955814402111</v>
      </c>
      <c r="T367" s="39">
        <f t="shared" si="771"/>
        <v>1.1211679715043221E-2</v>
      </c>
      <c r="U367" s="89">
        <f t="shared" si="793"/>
        <v>1.8379802811546264E-4</v>
      </c>
    </row>
    <row r="368" spans="1:21" ht="15.75" thickBot="1" x14ac:dyDescent="0.3">
      <c r="A368" s="41">
        <f t="shared" ref="A368:B368" si="804">A367+1</f>
        <v>358</v>
      </c>
      <c r="B368" s="42">
        <f t="shared" si="804"/>
        <v>358</v>
      </c>
      <c r="C368" s="92" t="str">
        <f t="shared" si="718"/>
        <v>L11X18-000_000_28</v>
      </c>
      <c r="D368" s="43">
        <f t="shared" si="742"/>
        <v>18</v>
      </c>
      <c r="E368" s="61">
        <f t="shared" si="758"/>
        <v>2.6740000000000004</v>
      </c>
      <c r="F368" s="44">
        <f t="shared" si="749"/>
        <v>14.855555555555558</v>
      </c>
      <c r="G368" s="44">
        <f t="shared" si="750"/>
        <v>11.884444444444448</v>
      </c>
      <c r="H368" s="44">
        <f t="shared" si="751"/>
        <v>7.4277777777777789</v>
      </c>
      <c r="I368" s="44">
        <f t="shared" si="763"/>
        <v>8</v>
      </c>
      <c r="J368" s="45">
        <f t="shared" si="789"/>
        <v>0</v>
      </c>
      <c r="K368" s="87" t="s">
        <v>795</v>
      </c>
      <c r="L368" s="44">
        <f t="shared" ref="L368:N368" si="805">L367</f>
        <v>0.2</v>
      </c>
      <c r="M368" s="44">
        <f t="shared" si="805"/>
        <v>150</v>
      </c>
      <c r="N368" s="44">
        <f t="shared" si="805"/>
        <v>750</v>
      </c>
      <c r="P368" s="38">
        <f t="shared" si="765"/>
        <v>17</v>
      </c>
      <c r="Q368" s="38">
        <f t="shared" si="766"/>
        <v>19</v>
      </c>
      <c r="R368" s="39">
        <f t="shared" si="767"/>
        <v>0.98231787842897789</v>
      </c>
      <c r="S368" s="39">
        <f t="shared" si="768"/>
        <v>0.99352955814402111</v>
      </c>
      <c r="T368" s="39">
        <f t="shared" si="771"/>
        <v>1.1211679715043221E-2</v>
      </c>
      <c r="U368" s="89">
        <f t="shared" si="793"/>
        <v>1.8379802811546264E-4</v>
      </c>
    </row>
    <row r="369" spans="1:21" ht="15.75" thickBot="1" x14ac:dyDescent="0.3">
      <c r="A369" s="41">
        <f t="shared" ref="A369:B369" si="806">A368+1</f>
        <v>359</v>
      </c>
      <c r="B369" s="42">
        <f t="shared" si="806"/>
        <v>359</v>
      </c>
      <c r="C369" s="92" t="str">
        <f t="shared" si="718"/>
        <v>L11X18-000_000_29</v>
      </c>
      <c r="D369" s="43">
        <f t="shared" si="742"/>
        <v>18</v>
      </c>
      <c r="E369" s="61">
        <f t="shared" si="758"/>
        <v>2.6740000000000004</v>
      </c>
      <c r="F369" s="44">
        <f t="shared" si="749"/>
        <v>14.855555555555558</v>
      </c>
      <c r="G369" s="44">
        <f t="shared" si="750"/>
        <v>11.884444444444448</v>
      </c>
      <c r="H369" s="44">
        <f t="shared" si="751"/>
        <v>7.4277777777777789</v>
      </c>
      <c r="I369" s="44">
        <f t="shared" si="763"/>
        <v>8</v>
      </c>
      <c r="J369" s="45">
        <f t="shared" si="789"/>
        <v>0</v>
      </c>
      <c r="K369" s="87" t="s">
        <v>796</v>
      </c>
      <c r="L369" s="44">
        <f t="shared" ref="L369:N369" si="807">L368</f>
        <v>0.2</v>
      </c>
      <c r="M369" s="44">
        <f t="shared" si="807"/>
        <v>150</v>
      </c>
      <c r="N369" s="44">
        <f t="shared" si="807"/>
        <v>750</v>
      </c>
      <c r="P369" s="38">
        <f t="shared" si="765"/>
        <v>17</v>
      </c>
      <c r="Q369" s="38">
        <f t="shared" si="766"/>
        <v>19</v>
      </c>
      <c r="R369" s="39">
        <f t="shared" si="767"/>
        <v>0.98231787842897789</v>
      </c>
      <c r="S369" s="39">
        <f t="shared" si="768"/>
        <v>0.99352955814402111</v>
      </c>
      <c r="T369" s="39">
        <f t="shared" si="771"/>
        <v>1.1211679715043221E-2</v>
      </c>
      <c r="U369" s="89">
        <f t="shared" si="793"/>
        <v>1.8379802811546264E-4</v>
      </c>
    </row>
    <row r="370" spans="1:21" ht="15.75" thickBot="1" x14ac:dyDescent="0.3">
      <c r="A370" s="41">
        <f t="shared" ref="A370:B370" si="808">A369+1</f>
        <v>360</v>
      </c>
      <c r="B370" s="42">
        <f t="shared" si="808"/>
        <v>360</v>
      </c>
      <c r="C370" s="92" t="str">
        <f t="shared" si="718"/>
        <v>L11X18-000_000_30</v>
      </c>
      <c r="D370" s="43">
        <f t="shared" si="742"/>
        <v>18</v>
      </c>
      <c r="E370" s="61">
        <f t="shared" si="758"/>
        <v>2.6740000000000004</v>
      </c>
      <c r="F370" s="44">
        <f t="shared" si="749"/>
        <v>14.855555555555558</v>
      </c>
      <c r="G370" s="44">
        <f t="shared" si="750"/>
        <v>11.884444444444448</v>
      </c>
      <c r="H370" s="44">
        <f t="shared" si="751"/>
        <v>7.4277777777777789</v>
      </c>
      <c r="I370" s="44">
        <f t="shared" si="763"/>
        <v>8</v>
      </c>
      <c r="J370" s="45">
        <f t="shared" si="789"/>
        <v>0</v>
      </c>
      <c r="K370" s="87" t="s">
        <v>797</v>
      </c>
      <c r="L370" s="44">
        <f t="shared" ref="L370:N370" si="809">L369</f>
        <v>0.2</v>
      </c>
      <c r="M370" s="44">
        <f t="shared" si="809"/>
        <v>150</v>
      </c>
      <c r="N370" s="44">
        <f t="shared" si="809"/>
        <v>750</v>
      </c>
      <c r="P370" s="38">
        <f t="shared" si="765"/>
        <v>17</v>
      </c>
      <c r="Q370" s="38">
        <f t="shared" si="766"/>
        <v>19</v>
      </c>
      <c r="R370" s="39">
        <f t="shared" si="767"/>
        <v>0.98231787842897789</v>
      </c>
      <c r="S370" s="39">
        <f t="shared" si="768"/>
        <v>0.99352955814402111</v>
      </c>
      <c r="T370" s="39">
        <f t="shared" si="771"/>
        <v>1.1211679715043221E-2</v>
      </c>
      <c r="U370" s="89">
        <f t="shared" si="793"/>
        <v>1.8379802811546264E-4</v>
      </c>
    </row>
    <row r="371" spans="1:21" ht="15.75" thickBot="1" x14ac:dyDescent="0.3">
      <c r="A371" s="41">
        <f t="shared" ref="A371:B371" si="810">A370+1</f>
        <v>361</v>
      </c>
      <c r="B371" s="42">
        <f t="shared" si="810"/>
        <v>361</v>
      </c>
      <c r="C371" s="92" t="str">
        <f t="shared" si="718"/>
        <v>L11X18-000_000_31</v>
      </c>
      <c r="D371" s="43">
        <f t="shared" si="742"/>
        <v>18</v>
      </c>
      <c r="E371" s="61">
        <f t="shared" si="758"/>
        <v>2.6740000000000004</v>
      </c>
      <c r="F371" s="44">
        <f t="shared" si="749"/>
        <v>14.855555555555558</v>
      </c>
      <c r="G371" s="44">
        <f t="shared" si="750"/>
        <v>11.884444444444448</v>
      </c>
      <c r="H371" s="44">
        <f t="shared" si="751"/>
        <v>7.4277777777777789</v>
      </c>
      <c r="I371" s="44">
        <f t="shared" si="763"/>
        <v>8</v>
      </c>
      <c r="J371" s="45">
        <f t="shared" si="789"/>
        <v>0</v>
      </c>
      <c r="K371" s="87" t="s">
        <v>798</v>
      </c>
      <c r="L371" s="44">
        <f t="shared" ref="L371:N371" si="811">L370</f>
        <v>0.2</v>
      </c>
      <c r="M371" s="44">
        <f t="shared" si="811"/>
        <v>150</v>
      </c>
      <c r="N371" s="44">
        <f t="shared" si="811"/>
        <v>750</v>
      </c>
      <c r="P371" s="38">
        <f t="shared" si="765"/>
        <v>17</v>
      </c>
      <c r="Q371" s="38">
        <f t="shared" si="766"/>
        <v>19</v>
      </c>
      <c r="R371" s="39">
        <f t="shared" si="767"/>
        <v>0.98231787842897789</v>
      </c>
      <c r="S371" s="39">
        <f t="shared" si="768"/>
        <v>0.99352955814402111</v>
      </c>
      <c r="T371" s="39">
        <f t="shared" si="771"/>
        <v>1.1211679715043221E-2</v>
      </c>
      <c r="U371" s="89">
        <f t="shared" si="793"/>
        <v>1.8379802811546264E-4</v>
      </c>
    </row>
    <row r="372" spans="1:21" ht="15.75" thickBot="1" x14ac:dyDescent="0.3">
      <c r="A372" s="41">
        <f t="shared" ref="A372:B372" si="812">A371+1</f>
        <v>362</v>
      </c>
      <c r="B372" s="42">
        <f t="shared" si="812"/>
        <v>362</v>
      </c>
      <c r="C372" s="92" t="str">
        <f t="shared" si="718"/>
        <v>L11X18-000_000_32</v>
      </c>
      <c r="D372" s="43">
        <f t="shared" si="742"/>
        <v>18</v>
      </c>
      <c r="E372" s="61">
        <f t="shared" si="758"/>
        <v>2.6740000000000004</v>
      </c>
      <c r="F372" s="44">
        <f t="shared" si="749"/>
        <v>14.855555555555558</v>
      </c>
      <c r="G372" s="44">
        <f t="shared" si="750"/>
        <v>11.884444444444448</v>
      </c>
      <c r="H372" s="44">
        <f t="shared" si="751"/>
        <v>7.4277777777777789</v>
      </c>
      <c r="I372" s="44">
        <f t="shared" si="763"/>
        <v>8</v>
      </c>
      <c r="J372" s="45">
        <f t="shared" si="789"/>
        <v>0</v>
      </c>
      <c r="K372" s="87" t="s">
        <v>799</v>
      </c>
      <c r="L372" s="44">
        <f t="shared" ref="L372:N372" si="813">L371</f>
        <v>0.2</v>
      </c>
      <c r="M372" s="44">
        <f t="shared" si="813"/>
        <v>150</v>
      </c>
      <c r="N372" s="44">
        <f t="shared" si="813"/>
        <v>750</v>
      </c>
      <c r="P372" s="38">
        <f t="shared" si="765"/>
        <v>17</v>
      </c>
      <c r="Q372" s="38">
        <f t="shared" si="766"/>
        <v>19</v>
      </c>
      <c r="R372" s="39">
        <f t="shared" si="767"/>
        <v>0.98231787842897789</v>
      </c>
      <c r="S372" s="39">
        <f t="shared" si="768"/>
        <v>0.99352955814402111</v>
      </c>
      <c r="T372" s="39">
        <f t="shared" si="771"/>
        <v>1.1211679715043221E-2</v>
      </c>
      <c r="U372" s="89">
        <f t="shared" si="793"/>
        <v>1.8379802811546264E-4</v>
      </c>
    </row>
    <row r="373" spans="1:21" ht="15.75" thickBot="1" x14ac:dyDescent="0.3">
      <c r="A373" s="41">
        <f t="shared" ref="A373:B373" si="814">A372+1</f>
        <v>363</v>
      </c>
      <c r="B373" s="42">
        <f t="shared" si="814"/>
        <v>363</v>
      </c>
      <c r="C373" s="92" t="str">
        <f t="shared" si="718"/>
        <v>L11X18-000_000_33</v>
      </c>
      <c r="D373" s="43">
        <f t="shared" si="742"/>
        <v>18</v>
      </c>
      <c r="E373" s="61">
        <f t="shared" si="758"/>
        <v>2.6740000000000004</v>
      </c>
      <c r="F373" s="44">
        <f t="shared" si="749"/>
        <v>14.855555555555558</v>
      </c>
      <c r="G373" s="44">
        <f t="shared" si="750"/>
        <v>11.884444444444448</v>
      </c>
      <c r="H373" s="44">
        <f t="shared" si="751"/>
        <v>7.4277777777777789</v>
      </c>
      <c r="I373" s="44">
        <f t="shared" si="763"/>
        <v>8</v>
      </c>
      <c r="J373" s="45">
        <f t="shared" si="789"/>
        <v>0</v>
      </c>
      <c r="K373" s="87" t="s">
        <v>800</v>
      </c>
      <c r="L373" s="44">
        <f t="shared" ref="L373:N373" si="815">L372</f>
        <v>0.2</v>
      </c>
      <c r="M373" s="44">
        <f t="shared" si="815"/>
        <v>150</v>
      </c>
      <c r="N373" s="44">
        <f t="shared" si="815"/>
        <v>750</v>
      </c>
      <c r="P373" s="38">
        <f t="shared" si="765"/>
        <v>17</v>
      </c>
      <c r="Q373" s="38">
        <f t="shared" si="766"/>
        <v>19</v>
      </c>
      <c r="R373" s="39">
        <f t="shared" si="767"/>
        <v>0.98231787842897789</v>
      </c>
      <c r="S373" s="39">
        <f t="shared" si="768"/>
        <v>0.99352955814402111</v>
      </c>
      <c r="T373" s="39">
        <f t="shared" si="771"/>
        <v>1.1211679715043221E-2</v>
      </c>
      <c r="U373" s="89">
        <f t="shared" si="793"/>
        <v>1.8379802811546264E-4</v>
      </c>
    </row>
    <row r="374" spans="1:21" ht="15.75" thickBot="1" x14ac:dyDescent="0.3">
      <c r="A374" s="41">
        <f t="shared" ref="A374:B374" si="816">A373+1</f>
        <v>364</v>
      </c>
      <c r="B374" s="42">
        <f t="shared" si="816"/>
        <v>364</v>
      </c>
      <c r="C374" s="92" t="str">
        <f t="shared" si="718"/>
        <v>L11X18-000_000_34</v>
      </c>
      <c r="D374" s="43">
        <f t="shared" si="742"/>
        <v>18</v>
      </c>
      <c r="E374" s="61">
        <f t="shared" si="758"/>
        <v>2.6740000000000004</v>
      </c>
      <c r="F374" s="44">
        <f t="shared" si="749"/>
        <v>14.855555555555558</v>
      </c>
      <c r="G374" s="44">
        <f t="shared" si="750"/>
        <v>11.884444444444448</v>
      </c>
      <c r="H374" s="44">
        <f t="shared" si="751"/>
        <v>7.4277777777777789</v>
      </c>
      <c r="I374" s="44">
        <f t="shared" si="763"/>
        <v>8</v>
      </c>
      <c r="J374" s="45">
        <f t="shared" si="789"/>
        <v>0</v>
      </c>
      <c r="K374" s="87" t="s">
        <v>801</v>
      </c>
      <c r="L374" s="44">
        <f t="shared" ref="L374:N374" si="817">L373</f>
        <v>0.2</v>
      </c>
      <c r="M374" s="44">
        <f t="shared" si="817"/>
        <v>150</v>
      </c>
      <c r="N374" s="44">
        <f t="shared" si="817"/>
        <v>750</v>
      </c>
      <c r="P374" s="38">
        <f t="shared" si="765"/>
        <v>17</v>
      </c>
      <c r="Q374" s="38">
        <f t="shared" si="766"/>
        <v>19</v>
      </c>
      <c r="R374" s="39">
        <f t="shared" si="767"/>
        <v>0.98231787842897789</v>
      </c>
      <c r="S374" s="39">
        <f t="shared" si="768"/>
        <v>0.99352955814402111</v>
      </c>
      <c r="T374" s="39">
        <f t="shared" si="771"/>
        <v>1.1211679715043221E-2</v>
      </c>
      <c r="U374" s="89">
        <f t="shared" si="793"/>
        <v>1.8379802811546264E-4</v>
      </c>
    </row>
    <row r="375" spans="1:21" ht="15.75" thickBot="1" x14ac:dyDescent="0.3">
      <c r="A375" s="41">
        <f t="shared" ref="A375:B375" si="818">A374+1</f>
        <v>365</v>
      </c>
      <c r="B375" s="42">
        <f t="shared" si="818"/>
        <v>365</v>
      </c>
      <c r="C375" s="92" t="str">
        <f t="shared" si="718"/>
        <v>L11X18-000_000_35</v>
      </c>
      <c r="D375" s="43">
        <f t="shared" si="742"/>
        <v>18</v>
      </c>
      <c r="E375" s="61">
        <f t="shared" si="758"/>
        <v>2.6740000000000004</v>
      </c>
      <c r="F375" s="44">
        <f t="shared" si="749"/>
        <v>14.855555555555558</v>
      </c>
      <c r="G375" s="44">
        <f t="shared" si="750"/>
        <v>11.884444444444448</v>
      </c>
      <c r="H375" s="44">
        <f t="shared" si="751"/>
        <v>7.4277777777777789</v>
      </c>
      <c r="I375" s="44">
        <f t="shared" si="763"/>
        <v>8</v>
      </c>
      <c r="J375" s="45">
        <f t="shared" si="789"/>
        <v>0</v>
      </c>
      <c r="K375" s="87" t="s">
        <v>802</v>
      </c>
      <c r="L375" s="44">
        <f t="shared" ref="L375:N375" si="819">L374</f>
        <v>0.2</v>
      </c>
      <c r="M375" s="44">
        <f t="shared" si="819"/>
        <v>150</v>
      </c>
      <c r="N375" s="44">
        <f t="shared" si="819"/>
        <v>750</v>
      </c>
      <c r="P375" s="38">
        <f t="shared" si="765"/>
        <v>17</v>
      </c>
      <c r="Q375" s="38">
        <f t="shared" si="766"/>
        <v>19</v>
      </c>
      <c r="R375" s="39">
        <f t="shared" si="767"/>
        <v>0.98231787842897789</v>
      </c>
      <c r="S375" s="39">
        <f t="shared" si="768"/>
        <v>0.99352955814402111</v>
      </c>
      <c r="T375" s="39">
        <f t="shared" si="771"/>
        <v>1.1211679715043221E-2</v>
      </c>
      <c r="U375" s="89">
        <f t="shared" si="793"/>
        <v>1.8379802811546264E-4</v>
      </c>
    </row>
    <row r="376" spans="1:21" ht="15.75" thickBot="1" x14ac:dyDescent="0.3">
      <c r="A376" s="41">
        <f t="shared" ref="A376:B376" si="820">A375+1</f>
        <v>366</v>
      </c>
      <c r="B376" s="42">
        <f t="shared" si="820"/>
        <v>366</v>
      </c>
      <c r="C376" s="92" t="str">
        <f t="shared" si="718"/>
        <v>L11X18-000_000_36</v>
      </c>
      <c r="D376" s="43">
        <f t="shared" si="742"/>
        <v>18</v>
      </c>
      <c r="E376" s="61">
        <f t="shared" si="758"/>
        <v>2.6740000000000004</v>
      </c>
      <c r="F376" s="44">
        <f t="shared" si="749"/>
        <v>14.855555555555558</v>
      </c>
      <c r="G376" s="44">
        <f t="shared" si="750"/>
        <v>11.884444444444448</v>
      </c>
      <c r="H376" s="44">
        <f t="shared" si="751"/>
        <v>7.4277777777777789</v>
      </c>
      <c r="I376" s="44">
        <f t="shared" si="763"/>
        <v>8</v>
      </c>
      <c r="J376" s="45">
        <f t="shared" si="789"/>
        <v>0</v>
      </c>
      <c r="K376" s="87" t="s">
        <v>803</v>
      </c>
      <c r="L376" s="44">
        <f t="shared" ref="L376:N376" si="821">L375</f>
        <v>0.2</v>
      </c>
      <c r="M376" s="44">
        <f t="shared" si="821"/>
        <v>150</v>
      </c>
      <c r="N376" s="44">
        <f t="shared" si="821"/>
        <v>750</v>
      </c>
      <c r="P376" s="38">
        <f t="shared" si="765"/>
        <v>17</v>
      </c>
      <c r="Q376" s="38">
        <f t="shared" si="766"/>
        <v>19</v>
      </c>
      <c r="R376" s="39">
        <f t="shared" si="767"/>
        <v>0.98231787842897789</v>
      </c>
      <c r="S376" s="39">
        <f t="shared" si="768"/>
        <v>0.99352955814402111</v>
      </c>
      <c r="T376" s="39">
        <f t="shared" si="771"/>
        <v>1.1211679715043221E-2</v>
      </c>
      <c r="U376" s="89">
        <f t="shared" si="793"/>
        <v>1.8379802811546264E-4</v>
      </c>
    </row>
    <row r="377" spans="1:21" ht="15.75" thickBot="1" x14ac:dyDescent="0.3">
      <c r="A377" s="41">
        <f t="shared" ref="A377:B377" si="822">A376+1</f>
        <v>367</v>
      </c>
      <c r="B377" s="42">
        <f t="shared" si="822"/>
        <v>367</v>
      </c>
      <c r="C377" s="92" t="str">
        <f t="shared" si="718"/>
        <v>L11X18-000_000_37</v>
      </c>
      <c r="D377" s="43">
        <f t="shared" si="742"/>
        <v>18</v>
      </c>
      <c r="E377" s="61">
        <f t="shared" si="758"/>
        <v>2.6740000000000004</v>
      </c>
      <c r="F377" s="44">
        <f t="shared" si="749"/>
        <v>14.855555555555558</v>
      </c>
      <c r="G377" s="44">
        <f t="shared" si="750"/>
        <v>11.884444444444448</v>
      </c>
      <c r="H377" s="44">
        <f t="shared" si="751"/>
        <v>7.4277777777777789</v>
      </c>
      <c r="I377" s="44">
        <f t="shared" si="763"/>
        <v>8</v>
      </c>
      <c r="J377" s="45">
        <f t="shared" si="789"/>
        <v>0</v>
      </c>
      <c r="K377" s="87" t="s">
        <v>804</v>
      </c>
      <c r="L377" s="44">
        <f t="shared" ref="L377:N377" si="823">L376</f>
        <v>0.2</v>
      </c>
      <c r="M377" s="44">
        <f t="shared" si="823"/>
        <v>150</v>
      </c>
      <c r="N377" s="44">
        <f t="shared" si="823"/>
        <v>750</v>
      </c>
      <c r="P377" s="38">
        <f t="shared" si="765"/>
        <v>17</v>
      </c>
      <c r="Q377" s="38">
        <f t="shared" si="766"/>
        <v>19</v>
      </c>
      <c r="R377" s="39">
        <f t="shared" si="767"/>
        <v>0.98231787842897789</v>
      </c>
      <c r="S377" s="39">
        <f t="shared" si="768"/>
        <v>0.99352955814402111</v>
      </c>
      <c r="T377" s="39">
        <f t="shared" si="771"/>
        <v>1.1211679715043221E-2</v>
      </c>
      <c r="U377" s="89">
        <f t="shared" si="793"/>
        <v>1.8379802811546264E-4</v>
      </c>
    </row>
    <row r="378" spans="1:21" ht="15.75" thickBot="1" x14ac:dyDescent="0.3">
      <c r="A378" s="41">
        <f t="shared" ref="A378:B378" si="824">A377+1</f>
        <v>368</v>
      </c>
      <c r="B378" s="42">
        <f t="shared" si="824"/>
        <v>368</v>
      </c>
      <c r="C378" s="92" t="str">
        <f t="shared" si="718"/>
        <v>L11X18-000_000_38</v>
      </c>
      <c r="D378" s="43">
        <f t="shared" si="742"/>
        <v>18</v>
      </c>
      <c r="E378" s="61">
        <f t="shared" si="758"/>
        <v>2.6740000000000004</v>
      </c>
      <c r="F378" s="44">
        <f t="shared" si="749"/>
        <v>14.855555555555558</v>
      </c>
      <c r="G378" s="44">
        <f t="shared" si="750"/>
        <v>11.884444444444448</v>
      </c>
      <c r="H378" s="44">
        <f t="shared" si="751"/>
        <v>7.4277777777777789</v>
      </c>
      <c r="I378" s="44">
        <f t="shared" si="763"/>
        <v>8</v>
      </c>
      <c r="J378" s="45">
        <f t="shared" si="789"/>
        <v>0</v>
      </c>
      <c r="K378" s="87" t="s">
        <v>805</v>
      </c>
      <c r="L378" s="44">
        <f t="shared" ref="L378:N378" si="825">L377</f>
        <v>0.2</v>
      </c>
      <c r="M378" s="44">
        <f t="shared" si="825"/>
        <v>150</v>
      </c>
      <c r="N378" s="44">
        <f t="shared" si="825"/>
        <v>750</v>
      </c>
      <c r="P378" s="38">
        <f t="shared" si="765"/>
        <v>17</v>
      </c>
      <c r="Q378" s="38">
        <f t="shared" si="766"/>
        <v>19</v>
      </c>
      <c r="R378" s="39">
        <f t="shared" si="767"/>
        <v>0.98231787842897789</v>
      </c>
      <c r="S378" s="39">
        <f t="shared" si="768"/>
        <v>0.99352955814402111</v>
      </c>
      <c r="T378" s="39">
        <f t="shared" si="771"/>
        <v>1.1211679715043221E-2</v>
      </c>
      <c r="U378" s="89">
        <f t="shared" si="793"/>
        <v>1.8379802811546264E-4</v>
      </c>
    </row>
    <row r="379" spans="1:21" ht="15.75" thickBot="1" x14ac:dyDescent="0.3">
      <c r="A379" s="41">
        <f t="shared" ref="A379:B379" si="826">A378+1</f>
        <v>369</v>
      </c>
      <c r="B379" s="42">
        <f t="shared" si="826"/>
        <v>369</v>
      </c>
      <c r="C379" s="92" t="str">
        <f t="shared" si="718"/>
        <v>L11X18-000_000_39</v>
      </c>
      <c r="D379" s="43">
        <f t="shared" si="742"/>
        <v>18</v>
      </c>
      <c r="E379" s="61">
        <f t="shared" si="758"/>
        <v>2.6740000000000004</v>
      </c>
      <c r="F379" s="44">
        <f t="shared" si="749"/>
        <v>14.855555555555558</v>
      </c>
      <c r="G379" s="44">
        <f t="shared" si="750"/>
        <v>11.884444444444448</v>
      </c>
      <c r="H379" s="44">
        <f t="shared" si="751"/>
        <v>7.4277777777777789</v>
      </c>
      <c r="I379" s="44">
        <f t="shared" si="763"/>
        <v>8</v>
      </c>
      <c r="J379" s="45">
        <f t="shared" si="789"/>
        <v>0</v>
      </c>
      <c r="K379" s="87" t="s">
        <v>806</v>
      </c>
      <c r="L379" s="44">
        <f t="shared" ref="L379:N379" si="827">L378</f>
        <v>0.2</v>
      </c>
      <c r="M379" s="44">
        <f t="shared" si="827"/>
        <v>150</v>
      </c>
      <c r="N379" s="44">
        <f t="shared" si="827"/>
        <v>750</v>
      </c>
      <c r="P379" s="38">
        <f t="shared" si="765"/>
        <v>17</v>
      </c>
      <c r="Q379" s="38">
        <f t="shared" si="766"/>
        <v>19</v>
      </c>
      <c r="R379" s="39">
        <f t="shared" si="767"/>
        <v>0.98231787842897789</v>
      </c>
      <c r="S379" s="39">
        <f t="shared" si="768"/>
        <v>0.99352955814402111</v>
      </c>
      <c r="T379" s="39">
        <f t="shared" si="771"/>
        <v>1.1211679715043221E-2</v>
      </c>
      <c r="U379" s="89">
        <f t="shared" si="793"/>
        <v>1.8379802811546264E-4</v>
      </c>
    </row>
    <row r="380" spans="1:21" ht="15.75" thickBot="1" x14ac:dyDescent="0.3">
      <c r="A380" s="41">
        <f t="shared" ref="A380:B380" si="828">A379+1</f>
        <v>370</v>
      </c>
      <c r="B380" s="42">
        <f t="shared" si="828"/>
        <v>370</v>
      </c>
      <c r="C380" s="92" t="str">
        <f t="shared" si="718"/>
        <v>L11X18-000_000_40</v>
      </c>
      <c r="D380" s="43">
        <f t="shared" si="742"/>
        <v>18</v>
      </c>
      <c r="E380" s="61">
        <f t="shared" si="758"/>
        <v>2.6740000000000004</v>
      </c>
      <c r="F380" s="44">
        <f t="shared" si="749"/>
        <v>14.855555555555558</v>
      </c>
      <c r="G380" s="44">
        <f t="shared" si="750"/>
        <v>11.884444444444448</v>
      </c>
      <c r="H380" s="44">
        <f t="shared" si="751"/>
        <v>7.4277777777777789</v>
      </c>
      <c r="I380" s="44">
        <f t="shared" si="763"/>
        <v>8</v>
      </c>
      <c r="J380" s="45">
        <f t="shared" si="789"/>
        <v>0</v>
      </c>
      <c r="K380" s="87" t="s">
        <v>807</v>
      </c>
      <c r="L380" s="44">
        <f t="shared" ref="L380:N380" si="829">L379</f>
        <v>0.2</v>
      </c>
      <c r="M380" s="44">
        <f t="shared" si="829"/>
        <v>150</v>
      </c>
      <c r="N380" s="44">
        <f t="shared" si="829"/>
        <v>750</v>
      </c>
      <c r="P380" s="38">
        <f t="shared" si="765"/>
        <v>17</v>
      </c>
      <c r="Q380" s="38">
        <f t="shared" si="766"/>
        <v>19</v>
      </c>
      <c r="R380" s="39">
        <f t="shared" si="767"/>
        <v>0.98231787842897789</v>
      </c>
      <c r="S380" s="39">
        <f t="shared" si="768"/>
        <v>0.99352955814402111</v>
      </c>
      <c r="T380" s="39">
        <f t="shared" si="771"/>
        <v>1.1211679715043221E-2</v>
      </c>
      <c r="U380" s="89">
        <f t="shared" si="793"/>
        <v>1.8379802811546264E-4</v>
      </c>
    </row>
    <row r="381" spans="1:21" ht="15.75" thickBot="1" x14ac:dyDescent="0.3">
      <c r="A381" s="41">
        <f t="shared" ref="A381:B381" si="830">A380+1</f>
        <v>371</v>
      </c>
      <c r="B381" s="42">
        <f t="shared" si="830"/>
        <v>371</v>
      </c>
      <c r="C381" s="92" t="str">
        <f t="shared" si="718"/>
        <v>L11X18-008_000_41</v>
      </c>
      <c r="D381" s="43">
        <f t="shared" si="742"/>
        <v>18</v>
      </c>
      <c r="E381" s="61">
        <f t="shared" si="758"/>
        <v>2.6740000000000004</v>
      </c>
      <c r="F381" s="44">
        <f t="shared" si="749"/>
        <v>14.855555555555558</v>
      </c>
      <c r="G381" s="44">
        <f t="shared" si="750"/>
        <v>11.884444444444448</v>
      </c>
      <c r="H381" s="44">
        <f t="shared" si="751"/>
        <v>7.4277777777777789</v>
      </c>
      <c r="I381" s="44">
        <f t="shared" si="763"/>
        <v>8</v>
      </c>
      <c r="J381" s="45">
        <f t="shared" ref="J381:J400" si="831">yaw_max</f>
        <v>8</v>
      </c>
      <c r="K381" s="87" t="s">
        <v>808</v>
      </c>
      <c r="L381" s="44">
        <f t="shared" ref="L381:N381" si="832">L380</f>
        <v>0.2</v>
      </c>
      <c r="M381" s="44">
        <f t="shared" si="832"/>
        <v>150</v>
      </c>
      <c r="N381" s="44">
        <f t="shared" si="832"/>
        <v>750</v>
      </c>
      <c r="P381" s="38">
        <f t="shared" si="765"/>
        <v>17</v>
      </c>
      <c r="Q381" s="38">
        <f t="shared" si="766"/>
        <v>19</v>
      </c>
      <c r="R381" s="39">
        <f t="shared" si="767"/>
        <v>0.98231787842897789</v>
      </c>
      <c r="S381" s="39">
        <f t="shared" si="768"/>
        <v>0.99352955814402111</v>
      </c>
      <c r="T381" s="39">
        <f t="shared" si="771"/>
        <v>1.1211679715043221E-2</v>
      </c>
      <c r="U381" s="89">
        <f t="shared" si="793"/>
        <v>1.8379802811546264E-4</v>
      </c>
    </row>
    <row r="382" spans="1:21" ht="15.75" thickBot="1" x14ac:dyDescent="0.3">
      <c r="A382" s="41">
        <f t="shared" ref="A382:B382" si="833">A381+1</f>
        <v>372</v>
      </c>
      <c r="B382" s="42">
        <f t="shared" si="833"/>
        <v>372</v>
      </c>
      <c r="C382" s="92" t="str">
        <f t="shared" si="718"/>
        <v>L11X18-008_000_42</v>
      </c>
      <c r="D382" s="43">
        <f t="shared" si="742"/>
        <v>18</v>
      </c>
      <c r="E382" s="61">
        <f t="shared" si="758"/>
        <v>2.6740000000000004</v>
      </c>
      <c r="F382" s="44">
        <f t="shared" si="749"/>
        <v>14.855555555555558</v>
      </c>
      <c r="G382" s="44">
        <f t="shared" si="750"/>
        <v>11.884444444444448</v>
      </c>
      <c r="H382" s="44">
        <f t="shared" si="751"/>
        <v>7.4277777777777789</v>
      </c>
      <c r="I382" s="44">
        <f t="shared" si="763"/>
        <v>8</v>
      </c>
      <c r="J382" s="45">
        <f t="shared" si="831"/>
        <v>8</v>
      </c>
      <c r="K382" s="87" t="s">
        <v>809</v>
      </c>
      <c r="L382" s="44">
        <f t="shared" ref="L382:N382" si="834">L381</f>
        <v>0.2</v>
      </c>
      <c r="M382" s="44">
        <f t="shared" si="834"/>
        <v>150</v>
      </c>
      <c r="N382" s="44">
        <f t="shared" si="834"/>
        <v>750</v>
      </c>
      <c r="P382" s="38">
        <f t="shared" si="765"/>
        <v>17</v>
      </c>
      <c r="Q382" s="38">
        <f t="shared" si="766"/>
        <v>19</v>
      </c>
      <c r="R382" s="39">
        <f t="shared" si="767"/>
        <v>0.98231787842897789</v>
      </c>
      <c r="S382" s="39">
        <f t="shared" si="768"/>
        <v>0.99352955814402111</v>
      </c>
      <c r="T382" s="39">
        <f t="shared" si="771"/>
        <v>1.1211679715043221E-2</v>
      </c>
      <c r="U382" s="89">
        <f t="shared" si="793"/>
        <v>1.8379802811546264E-4</v>
      </c>
    </row>
    <row r="383" spans="1:21" ht="15.75" thickBot="1" x14ac:dyDescent="0.3">
      <c r="A383" s="41">
        <f t="shared" ref="A383:B383" si="835">A382+1</f>
        <v>373</v>
      </c>
      <c r="B383" s="42">
        <f t="shared" si="835"/>
        <v>373</v>
      </c>
      <c r="C383" s="92" t="str">
        <f t="shared" si="718"/>
        <v>L11X18-008_000_43</v>
      </c>
      <c r="D383" s="43">
        <f t="shared" si="742"/>
        <v>18</v>
      </c>
      <c r="E383" s="61">
        <f t="shared" si="758"/>
        <v>2.6740000000000004</v>
      </c>
      <c r="F383" s="44">
        <f t="shared" si="749"/>
        <v>14.855555555555558</v>
      </c>
      <c r="G383" s="44">
        <f t="shared" si="750"/>
        <v>11.884444444444448</v>
      </c>
      <c r="H383" s="44">
        <f t="shared" si="751"/>
        <v>7.4277777777777789</v>
      </c>
      <c r="I383" s="44">
        <f t="shared" si="763"/>
        <v>8</v>
      </c>
      <c r="J383" s="45">
        <f t="shared" si="831"/>
        <v>8</v>
      </c>
      <c r="K383" s="87" t="s">
        <v>810</v>
      </c>
      <c r="L383" s="44">
        <f t="shared" ref="L383:N383" si="836">L382</f>
        <v>0.2</v>
      </c>
      <c r="M383" s="44">
        <f t="shared" si="836"/>
        <v>150</v>
      </c>
      <c r="N383" s="44">
        <f t="shared" si="836"/>
        <v>750</v>
      </c>
      <c r="P383" s="38">
        <f t="shared" si="765"/>
        <v>17</v>
      </c>
      <c r="Q383" s="38">
        <f t="shared" si="766"/>
        <v>19</v>
      </c>
      <c r="R383" s="39">
        <f t="shared" si="767"/>
        <v>0.98231787842897789</v>
      </c>
      <c r="S383" s="39">
        <f t="shared" si="768"/>
        <v>0.99352955814402111</v>
      </c>
      <c r="T383" s="39">
        <f t="shared" si="771"/>
        <v>1.1211679715043221E-2</v>
      </c>
      <c r="U383" s="89">
        <f t="shared" si="793"/>
        <v>1.8379802811546264E-4</v>
      </c>
    </row>
    <row r="384" spans="1:21" ht="15.75" thickBot="1" x14ac:dyDescent="0.3">
      <c r="A384" s="41">
        <f t="shared" ref="A384:B384" si="837">A383+1</f>
        <v>374</v>
      </c>
      <c r="B384" s="42">
        <f t="shared" si="837"/>
        <v>374</v>
      </c>
      <c r="C384" s="92" t="str">
        <f t="shared" si="718"/>
        <v>L11X18-008_000_44</v>
      </c>
      <c r="D384" s="43">
        <f t="shared" si="742"/>
        <v>18</v>
      </c>
      <c r="E384" s="61">
        <f t="shared" si="758"/>
        <v>2.6740000000000004</v>
      </c>
      <c r="F384" s="44">
        <f t="shared" si="749"/>
        <v>14.855555555555558</v>
      </c>
      <c r="G384" s="44">
        <f t="shared" si="750"/>
        <v>11.884444444444448</v>
      </c>
      <c r="H384" s="44">
        <f t="shared" si="751"/>
        <v>7.4277777777777789</v>
      </c>
      <c r="I384" s="44">
        <f t="shared" si="763"/>
        <v>8</v>
      </c>
      <c r="J384" s="45">
        <f t="shared" si="831"/>
        <v>8</v>
      </c>
      <c r="K384" s="87" t="s">
        <v>811</v>
      </c>
      <c r="L384" s="44">
        <f t="shared" ref="L384:N384" si="838">L383</f>
        <v>0.2</v>
      </c>
      <c r="M384" s="44">
        <f t="shared" si="838"/>
        <v>150</v>
      </c>
      <c r="N384" s="44">
        <f t="shared" si="838"/>
        <v>750</v>
      </c>
      <c r="P384" s="38">
        <f t="shared" si="765"/>
        <v>17</v>
      </c>
      <c r="Q384" s="38">
        <f t="shared" si="766"/>
        <v>19</v>
      </c>
      <c r="R384" s="39">
        <f t="shared" si="767"/>
        <v>0.98231787842897789</v>
      </c>
      <c r="S384" s="39">
        <f t="shared" si="768"/>
        <v>0.99352955814402111</v>
      </c>
      <c r="T384" s="39">
        <f t="shared" si="771"/>
        <v>1.1211679715043221E-2</v>
      </c>
      <c r="U384" s="89">
        <f t="shared" si="793"/>
        <v>1.8379802811546264E-4</v>
      </c>
    </row>
    <row r="385" spans="1:21" ht="15.75" thickBot="1" x14ac:dyDescent="0.3">
      <c r="A385" s="41">
        <f t="shared" ref="A385:B385" si="839">A384+1</f>
        <v>375</v>
      </c>
      <c r="B385" s="42">
        <f t="shared" si="839"/>
        <v>375</v>
      </c>
      <c r="C385" s="92" t="str">
        <f t="shared" si="718"/>
        <v>L11X18-008_000_45</v>
      </c>
      <c r="D385" s="43">
        <f t="shared" si="742"/>
        <v>18</v>
      </c>
      <c r="E385" s="61">
        <f t="shared" si="758"/>
        <v>2.6740000000000004</v>
      </c>
      <c r="F385" s="44">
        <f t="shared" si="749"/>
        <v>14.855555555555558</v>
      </c>
      <c r="G385" s="44">
        <f t="shared" si="750"/>
        <v>11.884444444444448</v>
      </c>
      <c r="H385" s="44">
        <f t="shared" si="751"/>
        <v>7.4277777777777789</v>
      </c>
      <c r="I385" s="44">
        <f t="shared" si="763"/>
        <v>8</v>
      </c>
      <c r="J385" s="45">
        <f t="shared" si="831"/>
        <v>8</v>
      </c>
      <c r="K385" s="87" t="s">
        <v>812</v>
      </c>
      <c r="L385" s="44">
        <f t="shared" ref="L385:N385" si="840">L384</f>
        <v>0.2</v>
      </c>
      <c r="M385" s="44">
        <f t="shared" si="840"/>
        <v>150</v>
      </c>
      <c r="N385" s="44">
        <f t="shared" si="840"/>
        <v>750</v>
      </c>
      <c r="P385" s="38">
        <f t="shared" si="765"/>
        <v>17</v>
      </c>
      <c r="Q385" s="38">
        <f t="shared" si="766"/>
        <v>19</v>
      </c>
      <c r="R385" s="39">
        <f t="shared" si="767"/>
        <v>0.98231787842897789</v>
      </c>
      <c r="S385" s="39">
        <f t="shared" si="768"/>
        <v>0.99352955814402111</v>
      </c>
      <c r="T385" s="39">
        <f t="shared" si="771"/>
        <v>1.1211679715043221E-2</v>
      </c>
      <c r="U385" s="89">
        <f t="shared" si="793"/>
        <v>1.8379802811546264E-4</v>
      </c>
    </row>
    <row r="386" spans="1:21" ht="15.75" thickBot="1" x14ac:dyDescent="0.3">
      <c r="A386" s="41">
        <f t="shared" ref="A386:B386" si="841">A385+1</f>
        <v>376</v>
      </c>
      <c r="B386" s="42">
        <f t="shared" si="841"/>
        <v>376</v>
      </c>
      <c r="C386" s="92" t="str">
        <f t="shared" si="718"/>
        <v>L11X18-008_000_46</v>
      </c>
      <c r="D386" s="43">
        <f t="shared" si="742"/>
        <v>18</v>
      </c>
      <c r="E386" s="61">
        <f t="shared" si="758"/>
        <v>2.6740000000000004</v>
      </c>
      <c r="F386" s="44">
        <f t="shared" si="749"/>
        <v>14.855555555555558</v>
      </c>
      <c r="G386" s="44">
        <f t="shared" si="750"/>
        <v>11.884444444444448</v>
      </c>
      <c r="H386" s="44">
        <f t="shared" si="751"/>
        <v>7.4277777777777789</v>
      </c>
      <c r="I386" s="44">
        <f t="shared" si="763"/>
        <v>8</v>
      </c>
      <c r="J386" s="45">
        <f t="shared" si="831"/>
        <v>8</v>
      </c>
      <c r="K386" s="87" t="s">
        <v>813</v>
      </c>
      <c r="L386" s="44">
        <f t="shared" ref="L386:N386" si="842">L385</f>
        <v>0.2</v>
      </c>
      <c r="M386" s="44">
        <f t="shared" si="842"/>
        <v>150</v>
      </c>
      <c r="N386" s="44">
        <f t="shared" si="842"/>
        <v>750</v>
      </c>
      <c r="P386" s="38">
        <f t="shared" si="765"/>
        <v>17</v>
      </c>
      <c r="Q386" s="38">
        <f t="shared" si="766"/>
        <v>19</v>
      </c>
      <c r="R386" s="39">
        <f t="shared" si="767"/>
        <v>0.98231787842897789</v>
      </c>
      <c r="S386" s="39">
        <f t="shared" si="768"/>
        <v>0.99352955814402111</v>
      </c>
      <c r="T386" s="39">
        <f t="shared" si="771"/>
        <v>1.1211679715043221E-2</v>
      </c>
      <c r="U386" s="89">
        <f t="shared" si="793"/>
        <v>1.8379802811546264E-4</v>
      </c>
    </row>
    <row r="387" spans="1:21" ht="15.75" thickBot="1" x14ac:dyDescent="0.3">
      <c r="A387" s="41">
        <f t="shared" ref="A387:B387" si="843">A386+1</f>
        <v>377</v>
      </c>
      <c r="B387" s="42">
        <f t="shared" si="843"/>
        <v>377</v>
      </c>
      <c r="C387" s="92" t="str">
        <f t="shared" si="718"/>
        <v>L11X18-008_000_47</v>
      </c>
      <c r="D387" s="43">
        <f t="shared" si="742"/>
        <v>18</v>
      </c>
      <c r="E387" s="61">
        <f t="shared" si="758"/>
        <v>2.6740000000000004</v>
      </c>
      <c r="F387" s="44">
        <f t="shared" si="749"/>
        <v>14.855555555555558</v>
      </c>
      <c r="G387" s="44">
        <f t="shared" si="750"/>
        <v>11.884444444444448</v>
      </c>
      <c r="H387" s="44">
        <f t="shared" si="751"/>
        <v>7.4277777777777789</v>
      </c>
      <c r="I387" s="44">
        <f t="shared" si="763"/>
        <v>8</v>
      </c>
      <c r="J387" s="45">
        <f t="shared" si="831"/>
        <v>8</v>
      </c>
      <c r="K387" s="87" t="s">
        <v>814</v>
      </c>
      <c r="L387" s="44">
        <f t="shared" ref="L387:N387" si="844">L386</f>
        <v>0.2</v>
      </c>
      <c r="M387" s="44">
        <f t="shared" si="844"/>
        <v>150</v>
      </c>
      <c r="N387" s="44">
        <f t="shared" si="844"/>
        <v>750</v>
      </c>
      <c r="P387" s="38">
        <f t="shared" si="765"/>
        <v>17</v>
      </c>
      <c r="Q387" s="38">
        <f t="shared" si="766"/>
        <v>19</v>
      </c>
      <c r="R387" s="39">
        <f t="shared" si="767"/>
        <v>0.98231787842897789</v>
      </c>
      <c r="S387" s="39">
        <f t="shared" si="768"/>
        <v>0.99352955814402111</v>
      </c>
      <c r="T387" s="39">
        <f t="shared" si="771"/>
        <v>1.1211679715043221E-2</v>
      </c>
      <c r="U387" s="89">
        <f t="shared" si="793"/>
        <v>1.8379802811546264E-4</v>
      </c>
    </row>
    <row r="388" spans="1:21" ht="15.75" thickBot="1" x14ac:dyDescent="0.3">
      <c r="A388" s="41">
        <f t="shared" ref="A388:B388" si="845">A387+1</f>
        <v>378</v>
      </c>
      <c r="B388" s="42">
        <f t="shared" si="845"/>
        <v>378</v>
      </c>
      <c r="C388" s="92" t="str">
        <f t="shared" si="718"/>
        <v>L11X18-008_000_48</v>
      </c>
      <c r="D388" s="43">
        <f t="shared" si="742"/>
        <v>18</v>
      </c>
      <c r="E388" s="61">
        <f t="shared" si="758"/>
        <v>2.6740000000000004</v>
      </c>
      <c r="F388" s="44">
        <f t="shared" si="749"/>
        <v>14.855555555555558</v>
      </c>
      <c r="G388" s="44">
        <f t="shared" si="750"/>
        <v>11.884444444444448</v>
      </c>
      <c r="H388" s="44">
        <f t="shared" si="751"/>
        <v>7.4277777777777789</v>
      </c>
      <c r="I388" s="44">
        <f t="shared" si="763"/>
        <v>8</v>
      </c>
      <c r="J388" s="45">
        <f t="shared" si="831"/>
        <v>8</v>
      </c>
      <c r="K388" s="87" t="s">
        <v>815</v>
      </c>
      <c r="L388" s="44">
        <f t="shared" ref="L388:N388" si="846">L387</f>
        <v>0.2</v>
      </c>
      <c r="M388" s="44">
        <f t="shared" si="846"/>
        <v>150</v>
      </c>
      <c r="N388" s="44">
        <f t="shared" si="846"/>
        <v>750</v>
      </c>
      <c r="P388" s="38">
        <f t="shared" si="765"/>
        <v>17</v>
      </c>
      <c r="Q388" s="38">
        <f t="shared" si="766"/>
        <v>19</v>
      </c>
      <c r="R388" s="39">
        <f t="shared" si="767"/>
        <v>0.98231787842897789</v>
      </c>
      <c r="S388" s="39">
        <f t="shared" si="768"/>
        <v>0.99352955814402111</v>
      </c>
      <c r="T388" s="39">
        <f t="shared" si="771"/>
        <v>1.1211679715043221E-2</v>
      </c>
      <c r="U388" s="89">
        <f t="shared" si="793"/>
        <v>1.8379802811546264E-4</v>
      </c>
    </row>
    <row r="389" spans="1:21" ht="15.75" thickBot="1" x14ac:dyDescent="0.3">
      <c r="A389" s="41">
        <f t="shared" ref="A389:B389" si="847">A388+1</f>
        <v>379</v>
      </c>
      <c r="B389" s="42">
        <f t="shared" si="847"/>
        <v>379</v>
      </c>
      <c r="C389" s="92" t="str">
        <f t="shared" si="718"/>
        <v>L11X18-008_000_49</v>
      </c>
      <c r="D389" s="43">
        <f t="shared" si="742"/>
        <v>18</v>
      </c>
      <c r="E389" s="61">
        <f t="shared" si="758"/>
        <v>2.6740000000000004</v>
      </c>
      <c r="F389" s="44">
        <f t="shared" si="749"/>
        <v>14.855555555555558</v>
      </c>
      <c r="G389" s="44">
        <f t="shared" si="750"/>
        <v>11.884444444444448</v>
      </c>
      <c r="H389" s="44">
        <f t="shared" si="751"/>
        <v>7.4277777777777789</v>
      </c>
      <c r="I389" s="44">
        <f t="shared" si="763"/>
        <v>8</v>
      </c>
      <c r="J389" s="45">
        <f t="shared" si="831"/>
        <v>8</v>
      </c>
      <c r="K389" s="87" t="s">
        <v>816</v>
      </c>
      <c r="L389" s="44">
        <f t="shared" ref="L389:N389" si="848">L388</f>
        <v>0.2</v>
      </c>
      <c r="M389" s="44">
        <f t="shared" si="848"/>
        <v>150</v>
      </c>
      <c r="N389" s="44">
        <f t="shared" si="848"/>
        <v>750</v>
      </c>
      <c r="P389" s="38">
        <f t="shared" si="765"/>
        <v>17</v>
      </c>
      <c r="Q389" s="38">
        <f t="shared" si="766"/>
        <v>19</v>
      </c>
      <c r="R389" s="39">
        <f t="shared" si="767"/>
        <v>0.98231787842897789</v>
      </c>
      <c r="S389" s="39">
        <f t="shared" si="768"/>
        <v>0.99352955814402111</v>
      </c>
      <c r="T389" s="39">
        <f t="shared" si="771"/>
        <v>1.1211679715043221E-2</v>
      </c>
      <c r="U389" s="89">
        <f t="shared" si="793"/>
        <v>1.8379802811546264E-4</v>
      </c>
    </row>
    <row r="390" spans="1:21" ht="15.75" thickBot="1" x14ac:dyDescent="0.3">
      <c r="A390" s="41">
        <f t="shared" ref="A390:B390" si="849">A389+1</f>
        <v>380</v>
      </c>
      <c r="B390" s="42">
        <f t="shared" si="849"/>
        <v>380</v>
      </c>
      <c r="C390" s="92" t="str">
        <f t="shared" si="718"/>
        <v>L11X18-008_000_50</v>
      </c>
      <c r="D390" s="43">
        <f t="shared" si="742"/>
        <v>18</v>
      </c>
      <c r="E390" s="61">
        <f t="shared" si="758"/>
        <v>2.6740000000000004</v>
      </c>
      <c r="F390" s="44">
        <f t="shared" si="749"/>
        <v>14.855555555555558</v>
      </c>
      <c r="G390" s="44">
        <f t="shared" si="750"/>
        <v>11.884444444444448</v>
      </c>
      <c r="H390" s="44">
        <f t="shared" si="751"/>
        <v>7.4277777777777789</v>
      </c>
      <c r="I390" s="44">
        <f t="shared" si="763"/>
        <v>8</v>
      </c>
      <c r="J390" s="45">
        <f t="shared" si="831"/>
        <v>8</v>
      </c>
      <c r="K390" s="87" t="s">
        <v>817</v>
      </c>
      <c r="L390" s="44">
        <f t="shared" ref="L390:N390" si="850">L389</f>
        <v>0.2</v>
      </c>
      <c r="M390" s="44">
        <f t="shared" si="850"/>
        <v>150</v>
      </c>
      <c r="N390" s="44">
        <f t="shared" si="850"/>
        <v>750</v>
      </c>
      <c r="P390" s="38">
        <f t="shared" si="765"/>
        <v>17</v>
      </c>
      <c r="Q390" s="38">
        <f t="shared" si="766"/>
        <v>19</v>
      </c>
      <c r="R390" s="39">
        <f t="shared" si="767"/>
        <v>0.98231787842897789</v>
      </c>
      <c r="S390" s="39">
        <f t="shared" si="768"/>
        <v>0.99352955814402111</v>
      </c>
      <c r="T390" s="39">
        <f t="shared" si="771"/>
        <v>1.1211679715043221E-2</v>
      </c>
      <c r="U390" s="89">
        <f t="shared" si="793"/>
        <v>1.8379802811546264E-4</v>
      </c>
    </row>
    <row r="391" spans="1:21" ht="15.75" thickBot="1" x14ac:dyDescent="0.3">
      <c r="A391" s="41">
        <f t="shared" ref="A391:B391" si="851">A390+1</f>
        <v>381</v>
      </c>
      <c r="B391" s="42">
        <f t="shared" si="851"/>
        <v>381</v>
      </c>
      <c r="C391" s="92" t="str">
        <f t="shared" si="718"/>
        <v>L11X18-008_000_51</v>
      </c>
      <c r="D391" s="43">
        <f t="shared" si="742"/>
        <v>18</v>
      </c>
      <c r="E391" s="61">
        <f t="shared" si="758"/>
        <v>2.6740000000000004</v>
      </c>
      <c r="F391" s="44">
        <f t="shared" si="749"/>
        <v>14.855555555555558</v>
      </c>
      <c r="G391" s="44">
        <f t="shared" si="750"/>
        <v>11.884444444444448</v>
      </c>
      <c r="H391" s="44">
        <f t="shared" si="751"/>
        <v>7.4277777777777789</v>
      </c>
      <c r="I391" s="44">
        <f t="shared" si="763"/>
        <v>8</v>
      </c>
      <c r="J391" s="45">
        <f t="shared" si="831"/>
        <v>8</v>
      </c>
      <c r="K391" s="87" t="s">
        <v>818</v>
      </c>
      <c r="L391" s="44">
        <f t="shared" ref="L391:N391" si="852">L390</f>
        <v>0.2</v>
      </c>
      <c r="M391" s="44">
        <f t="shared" si="852"/>
        <v>150</v>
      </c>
      <c r="N391" s="44">
        <f t="shared" si="852"/>
        <v>750</v>
      </c>
      <c r="P391" s="38">
        <f t="shared" si="765"/>
        <v>17</v>
      </c>
      <c r="Q391" s="38">
        <f t="shared" si="766"/>
        <v>19</v>
      </c>
      <c r="R391" s="39">
        <f t="shared" si="767"/>
        <v>0.98231787842897789</v>
      </c>
      <c r="S391" s="39">
        <f t="shared" si="768"/>
        <v>0.99352955814402111</v>
      </c>
      <c r="T391" s="39">
        <f t="shared" si="771"/>
        <v>1.1211679715043221E-2</v>
      </c>
      <c r="U391" s="89">
        <f t="shared" si="793"/>
        <v>1.8379802811546264E-4</v>
      </c>
    </row>
    <row r="392" spans="1:21" ht="15.75" thickBot="1" x14ac:dyDescent="0.3">
      <c r="A392" s="41">
        <f t="shared" ref="A392:B392" si="853">A391+1</f>
        <v>382</v>
      </c>
      <c r="B392" s="42">
        <f t="shared" si="853"/>
        <v>382</v>
      </c>
      <c r="C392" s="92" t="str">
        <f t="shared" si="718"/>
        <v>L11X18-008_000_52</v>
      </c>
      <c r="D392" s="43">
        <f t="shared" si="742"/>
        <v>18</v>
      </c>
      <c r="E392" s="61">
        <f t="shared" si="758"/>
        <v>2.6740000000000004</v>
      </c>
      <c r="F392" s="44">
        <f t="shared" si="749"/>
        <v>14.855555555555558</v>
      </c>
      <c r="G392" s="44">
        <f t="shared" si="750"/>
        <v>11.884444444444448</v>
      </c>
      <c r="H392" s="44">
        <f t="shared" si="751"/>
        <v>7.4277777777777789</v>
      </c>
      <c r="I392" s="44">
        <f t="shared" si="763"/>
        <v>8</v>
      </c>
      <c r="J392" s="45">
        <f t="shared" si="831"/>
        <v>8</v>
      </c>
      <c r="K392" s="87" t="s">
        <v>819</v>
      </c>
      <c r="L392" s="44">
        <f t="shared" ref="L392:N392" si="854">L391</f>
        <v>0.2</v>
      </c>
      <c r="M392" s="44">
        <f t="shared" si="854"/>
        <v>150</v>
      </c>
      <c r="N392" s="44">
        <f t="shared" si="854"/>
        <v>750</v>
      </c>
      <c r="P392" s="38">
        <f t="shared" si="765"/>
        <v>17</v>
      </c>
      <c r="Q392" s="38">
        <f t="shared" si="766"/>
        <v>19</v>
      </c>
      <c r="R392" s="39">
        <f t="shared" si="767"/>
        <v>0.98231787842897789</v>
      </c>
      <c r="S392" s="39">
        <f t="shared" si="768"/>
        <v>0.99352955814402111</v>
      </c>
      <c r="T392" s="39">
        <f t="shared" si="771"/>
        <v>1.1211679715043221E-2</v>
      </c>
      <c r="U392" s="89">
        <f t="shared" si="793"/>
        <v>1.8379802811546264E-4</v>
      </c>
    </row>
    <row r="393" spans="1:21" ht="15.75" thickBot="1" x14ac:dyDescent="0.3">
      <c r="A393" s="41">
        <f t="shared" ref="A393:B393" si="855">A392+1</f>
        <v>383</v>
      </c>
      <c r="B393" s="42">
        <f t="shared" si="855"/>
        <v>383</v>
      </c>
      <c r="C393" s="92" t="str">
        <f t="shared" si="718"/>
        <v>L11X18-008_000_53</v>
      </c>
      <c r="D393" s="43">
        <f t="shared" si="742"/>
        <v>18</v>
      </c>
      <c r="E393" s="61">
        <f t="shared" si="758"/>
        <v>2.6740000000000004</v>
      </c>
      <c r="F393" s="44">
        <f t="shared" si="749"/>
        <v>14.855555555555558</v>
      </c>
      <c r="G393" s="44">
        <f t="shared" si="750"/>
        <v>11.884444444444448</v>
      </c>
      <c r="H393" s="44">
        <f t="shared" si="751"/>
        <v>7.4277777777777789</v>
      </c>
      <c r="I393" s="44">
        <f t="shared" si="763"/>
        <v>8</v>
      </c>
      <c r="J393" s="45">
        <f t="shared" si="831"/>
        <v>8</v>
      </c>
      <c r="K393" s="87" t="s">
        <v>820</v>
      </c>
      <c r="L393" s="44">
        <f t="shared" ref="L393:N393" si="856">L392</f>
        <v>0.2</v>
      </c>
      <c r="M393" s="44">
        <f t="shared" si="856"/>
        <v>150</v>
      </c>
      <c r="N393" s="44">
        <f t="shared" si="856"/>
        <v>750</v>
      </c>
      <c r="P393" s="38">
        <f t="shared" si="765"/>
        <v>17</v>
      </c>
      <c r="Q393" s="38">
        <f t="shared" si="766"/>
        <v>19</v>
      </c>
      <c r="R393" s="39">
        <f t="shared" si="767"/>
        <v>0.98231787842897789</v>
      </c>
      <c r="S393" s="39">
        <f t="shared" si="768"/>
        <v>0.99352955814402111</v>
      </c>
      <c r="T393" s="39">
        <f t="shared" si="771"/>
        <v>1.1211679715043221E-2</v>
      </c>
      <c r="U393" s="89">
        <f t="shared" si="793"/>
        <v>1.8379802811546264E-4</v>
      </c>
    </row>
    <row r="394" spans="1:21" ht="15.75" thickBot="1" x14ac:dyDescent="0.3">
      <c r="A394" s="41">
        <f t="shared" ref="A394:B394" si="857">A393+1</f>
        <v>384</v>
      </c>
      <c r="B394" s="42">
        <f t="shared" si="857"/>
        <v>384</v>
      </c>
      <c r="C394" s="92" t="str">
        <f t="shared" si="718"/>
        <v>L11X18-008_000_54</v>
      </c>
      <c r="D394" s="43">
        <f t="shared" si="742"/>
        <v>18</v>
      </c>
      <c r="E394" s="61">
        <f t="shared" si="758"/>
        <v>2.6740000000000004</v>
      </c>
      <c r="F394" s="44">
        <f t="shared" si="749"/>
        <v>14.855555555555558</v>
      </c>
      <c r="G394" s="44">
        <f t="shared" si="750"/>
        <v>11.884444444444448</v>
      </c>
      <c r="H394" s="44">
        <f t="shared" si="751"/>
        <v>7.4277777777777789</v>
      </c>
      <c r="I394" s="44">
        <f t="shared" si="763"/>
        <v>8</v>
      </c>
      <c r="J394" s="45">
        <f t="shared" si="831"/>
        <v>8</v>
      </c>
      <c r="K394" s="87" t="s">
        <v>821</v>
      </c>
      <c r="L394" s="44">
        <f t="shared" ref="L394:N394" si="858">L393</f>
        <v>0.2</v>
      </c>
      <c r="M394" s="44">
        <f t="shared" si="858"/>
        <v>150</v>
      </c>
      <c r="N394" s="44">
        <f t="shared" si="858"/>
        <v>750</v>
      </c>
      <c r="P394" s="38">
        <f t="shared" si="765"/>
        <v>17</v>
      </c>
      <c r="Q394" s="38">
        <f t="shared" si="766"/>
        <v>19</v>
      </c>
      <c r="R394" s="39">
        <f t="shared" si="767"/>
        <v>0.98231787842897789</v>
      </c>
      <c r="S394" s="39">
        <f t="shared" si="768"/>
        <v>0.99352955814402111</v>
      </c>
      <c r="T394" s="39">
        <f t="shared" si="771"/>
        <v>1.1211679715043221E-2</v>
      </c>
      <c r="U394" s="89">
        <f t="shared" si="793"/>
        <v>1.8379802811546264E-4</v>
      </c>
    </row>
    <row r="395" spans="1:21" ht="15.75" thickBot="1" x14ac:dyDescent="0.3">
      <c r="A395" s="41">
        <f t="shared" ref="A395:B395" si="859">A394+1</f>
        <v>385</v>
      </c>
      <c r="B395" s="42">
        <f t="shared" si="859"/>
        <v>385</v>
      </c>
      <c r="C395" s="92" t="str">
        <f t="shared" si="718"/>
        <v>L11X18-008_000_55</v>
      </c>
      <c r="D395" s="43">
        <f t="shared" si="742"/>
        <v>18</v>
      </c>
      <c r="E395" s="61">
        <f t="shared" si="758"/>
        <v>2.6740000000000004</v>
      </c>
      <c r="F395" s="44">
        <f t="shared" si="749"/>
        <v>14.855555555555558</v>
      </c>
      <c r="G395" s="44">
        <f t="shared" si="750"/>
        <v>11.884444444444448</v>
      </c>
      <c r="H395" s="44">
        <f t="shared" si="751"/>
        <v>7.4277777777777789</v>
      </c>
      <c r="I395" s="44">
        <f t="shared" si="763"/>
        <v>8</v>
      </c>
      <c r="J395" s="45">
        <f t="shared" si="831"/>
        <v>8</v>
      </c>
      <c r="K395" s="87" t="s">
        <v>822</v>
      </c>
      <c r="L395" s="44">
        <f t="shared" ref="L395:N395" si="860">L394</f>
        <v>0.2</v>
      </c>
      <c r="M395" s="44">
        <f t="shared" si="860"/>
        <v>150</v>
      </c>
      <c r="N395" s="44">
        <f t="shared" si="860"/>
        <v>750</v>
      </c>
      <c r="P395" s="38">
        <f t="shared" si="765"/>
        <v>17</v>
      </c>
      <c r="Q395" s="38">
        <f t="shared" si="766"/>
        <v>19</v>
      </c>
      <c r="R395" s="39">
        <f t="shared" si="767"/>
        <v>0.98231787842897789</v>
      </c>
      <c r="S395" s="39">
        <f t="shared" si="768"/>
        <v>0.99352955814402111</v>
      </c>
      <c r="T395" s="39">
        <f t="shared" si="771"/>
        <v>1.1211679715043221E-2</v>
      </c>
      <c r="U395" s="89">
        <f t="shared" si="793"/>
        <v>1.8379802811546264E-4</v>
      </c>
    </row>
    <row r="396" spans="1:21" ht="15.75" thickBot="1" x14ac:dyDescent="0.3">
      <c r="A396" s="41">
        <f t="shared" ref="A396:B396" si="861">A395+1</f>
        <v>386</v>
      </c>
      <c r="B396" s="42">
        <f t="shared" si="861"/>
        <v>386</v>
      </c>
      <c r="C396" s="92" t="str">
        <f t="shared" ref="C396:C459" si="862">TEXT(RIGHT($B$2,LEN($B$2)-3),"L00")&amp;"X"&amp;TEXT(D396,"00")&amp;"-"&amp;IF(J396&lt;0,TEXT(360+J396,"000"),TEXT(J396,"000"))&amp;"_"&amp;"000"&amp;"_"&amp;TEXT(RIGHT(K396,LEN(K396)-FIND("-",K396)),"00")</f>
        <v>L11X18-008_000_56</v>
      </c>
      <c r="D396" s="43">
        <f t="shared" si="742"/>
        <v>18</v>
      </c>
      <c r="E396" s="61">
        <f t="shared" si="758"/>
        <v>2.6740000000000004</v>
      </c>
      <c r="F396" s="44">
        <f t="shared" si="749"/>
        <v>14.855555555555558</v>
      </c>
      <c r="G396" s="44">
        <f t="shared" si="750"/>
        <v>11.884444444444448</v>
      </c>
      <c r="H396" s="44">
        <f t="shared" si="751"/>
        <v>7.4277777777777789</v>
      </c>
      <c r="I396" s="44">
        <f t="shared" si="763"/>
        <v>8</v>
      </c>
      <c r="J396" s="45">
        <f t="shared" si="831"/>
        <v>8</v>
      </c>
      <c r="K396" s="87" t="s">
        <v>823</v>
      </c>
      <c r="L396" s="44">
        <f t="shared" ref="L396:N396" si="863">L395</f>
        <v>0.2</v>
      </c>
      <c r="M396" s="44">
        <f t="shared" si="863"/>
        <v>150</v>
      </c>
      <c r="N396" s="44">
        <f t="shared" si="863"/>
        <v>750</v>
      </c>
      <c r="P396" s="38">
        <f t="shared" si="765"/>
        <v>17</v>
      </c>
      <c r="Q396" s="38">
        <f t="shared" si="766"/>
        <v>19</v>
      </c>
      <c r="R396" s="39">
        <f t="shared" si="767"/>
        <v>0.98231787842897789</v>
      </c>
      <c r="S396" s="39">
        <f t="shared" si="768"/>
        <v>0.99352955814402111</v>
      </c>
      <c r="T396" s="39">
        <f t="shared" si="771"/>
        <v>1.1211679715043221E-2</v>
      </c>
      <c r="U396" s="89">
        <f t="shared" si="793"/>
        <v>1.8379802811546264E-4</v>
      </c>
    </row>
    <row r="397" spans="1:21" ht="15.75" thickBot="1" x14ac:dyDescent="0.3">
      <c r="A397" s="41">
        <f t="shared" ref="A397:B397" si="864">A396+1</f>
        <v>387</v>
      </c>
      <c r="B397" s="42">
        <f t="shared" si="864"/>
        <v>387</v>
      </c>
      <c r="C397" s="92" t="str">
        <f t="shared" si="862"/>
        <v>L11X18-008_000_57</v>
      </c>
      <c r="D397" s="43">
        <f t="shared" si="742"/>
        <v>18</v>
      </c>
      <c r="E397" s="61">
        <f t="shared" si="758"/>
        <v>2.6740000000000004</v>
      </c>
      <c r="F397" s="44">
        <f t="shared" si="749"/>
        <v>14.855555555555558</v>
      </c>
      <c r="G397" s="44">
        <f t="shared" si="750"/>
        <v>11.884444444444448</v>
      </c>
      <c r="H397" s="44">
        <f t="shared" si="751"/>
        <v>7.4277777777777789</v>
      </c>
      <c r="I397" s="44">
        <f t="shared" si="763"/>
        <v>8</v>
      </c>
      <c r="J397" s="45">
        <f t="shared" si="831"/>
        <v>8</v>
      </c>
      <c r="K397" s="87" t="s">
        <v>824</v>
      </c>
      <c r="L397" s="44">
        <f t="shared" ref="L397:N397" si="865">L396</f>
        <v>0.2</v>
      </c>
      <c r="M397" s="44">
        <f t="shared" si="865"/>
        <v>150</v>
      </c>
      <c r="N397" s="44">
        <f t="shared" si="865"/>
        <v>750</v>
      </c>
      <c r="P397" s="38">
        <f t="shared" si="765"/>
        <v>17</v>
      </c>
      <c r="Q397" s="38">
        <f t="shared" si="766"/>
        <v>19</v>
      </c>
      <c r="R397" s="39">
        <f t="shared" si="767"/>
        <v>0.98231787842897789</v>
      </c>
      <c r="S397" s="39">
        <f t="shared" si="768"/>
        <v>0.99352955814402111</v>
      </c>
      <c r="T397" s="39">
        <f t="shared" si="771"/>
        <v>1.1211679715043221E-2</v>
      </c>
      <c r="U397" s="89">
        <f t="shared" si="793"/>
        <v>1.8379802811546264E-4</v>
      </c>
    </row>
    <row r="398" spans="1:21" ht="15.75" thickBot="1" x14ac:dyDescent="0.3">
      <c r="A398" s="41">
        <f t="shared" ref="A398:B398" si="866">A397+1</f>
        <v>388</v>
      </c>
      <c r="B398" s="42">
        <f t="shared" si="866"/>
        <v>388</v>
      </c>
      <c r="C398" s="92" t="str">
        <f t="shared" si="862"/>
        <v>L11X18-008_000_58</v>
      </c>
      <c r="D398" s="43">
        <f t="shared" si="742"/>
        <v>18</v>
      </c>
      <c r="E398" s="61">
        <f t="shared" si="758"/>
        <v>2.6740000000000004</v>
      </c>
      <c r="F398" s="44">
        <f t="shared" si="749"/>
        <v>14.855555555555558</v>
      </c>
      <c r="G398" s="44">
        <f t="shared" si="750"/>
        <v>11.884444444444448</v>
      </c>
      <c r="H398" s="44">
        <f t="shared" si="751"/>
        <v>7.4277777777777789</v>
      </c>
      <c r="I398" s="44">
        <f t="shared" si="763"/>
        <v>8</v>
      </c>
      <c r="J398" s="45">
        <f t="shared" si="831"/>
        <v>8</v>
      </c>
      <c r="K398" s="87" t="s">
        <v>825</v>
      </c>
      <c r="L398" s="44">
        <f t="shared" ref="L398:N398" si="867">L397</f>
        <v>0.2</v>
      </c>
      <c r="M398" s="44">
        <f t="shared" si="867"/>
        <v>150</v>
      </c>
      <c r="N398" s="44">
        <f t="shared" si="867"/>
        <v>750</v>
      </c>
      <c r="P398" s="38">
        <f t="shared" si="765"/>
        <v>17</v>
      </c>
      <c r="Q398" s="38">
        <f t="shared" si="766"/>
        <v>19</v>
      </c>
      <c r="R398" s="39">
        <f t="shared" si="767"/>
        <v>0.98231787842897789</v>
      </c>
      <c r="S398" s="39">
        <f t="shared" si="768"/>
        <v>0.99352955814402111</v>
      </c>
      <c r="T398" s="39">
        <f t="shared" si="771"/>
        <v>1.1211679715043221E-2</v>
      </c>
      <c r="U398" s="89">
        <f t="shared" si="793"/>
        <v>1.8379802811546264E-4</v>
      </c>
    </row>
    <row r="399" spans="1:21" ht="15.75" thickBot="1" x14ac:dyDescent="0.3">
      <c r="A399" s="41">
        <f t="shared" ref="A399:B399" si="868">A398+1</f>
        <v>389</v>
      </c>
      <c r="B399" s="42">
        <f t="shared" si="868"/>
        <v>389</v>
      </c>
      <c r="C399" s="92" t="str">
        <f t="shared" si="862"/>
        <v>L11X18-008_000_59</v>
      </c>
      <c r="D399" s="43">
        <f t="shared" si="742"/>
        <v>18</v>
      </c>
      <c r="E399" s="61">
        <f t="shared" si="758"/>
        <v>2.6740000000000004</v>
      </c>
      <c r="F399" s="44">
        <f t="shared" si="749"/>
        <v>14.855555555555558</v>
      </c>
      <c r="G399" s="44">
        <f t="shared" si="750"/>
        <v>11.884444444444448</v>
      </c>
      <c r="H399" s="44">
        <f t="shared" si="751"/>
        <v>7.4277777777777789</v>
      </c>
      <c r="I399" s="44">
        <f t="shared" si="763"/>
        <v>8</v>
      </c>
      <c r="J399" s="45">
        <f t="shared" si="831"/>
        <v>8</v>
      </c>
      <c r="K399" s="87" t="s">
        <v>826</v>
      </c>
      <c r="L399" s="44">
        <f t="shared" ref="L399:N399" si="869">L398</f>
        <v>0.2</v>
      </c>
      <c r="M399" s="44">
        <f t="shared" si="869"/>
        <v>150</v>
      </c>
      <c r="N399" s="44">
        <f t="shared" si="869"/>
        <v>750</v>
      </c>
      <c r="P399" s="38">
        <f t="shared" si="765"/>
        <v>17</v>
      </c>
      <c r="Q399" s="38">
        <f t="shared" si="766"/>
        <v>19</v>
      </c>
      <c r="R399" s="39">
        <f t="shared" si="767"/>
        <v>0.98231787842897789</v>
      </c>
      <c r="S399" s="39">
        <f t="shared" si="768"/>
        <v>0.99352955814402111</v>
      </c>
      <c r="T399" s="39">
        <f t="shared" si="771"/>
        <v>1.1211679715043221E-2</v>
      </c>
      <c r="U399" s="89">
        <f t="shared" si="793"/>
        <v>1.8379802811546264E-4</v>
      </c>
    </row>
    <row r="400" spans="1:21" ht="15.75" thickBot="1" x14ac:dyDescent="0.3">
      <c r="A400" s="41">
        <f t="shared" ref="A400:B400" si="870">A399+1</f>
        <v>390</v>
      </c>
      <c r="B400" s="42">
        <f t="shared" si="870"/>
        <v>390</v>
      </c>
      <c r="C400" s="92" t="str">
        <f t="shared" si="862"/>
        <v>L11X18-008_000_60</v>
      </c>
      <c r="D400" s="43">
        <f t="shared" si="742"/>
        <v>18</v>
      </c>
      <c r="E400" s="61">
        <f t="shared" si="758"/>
        <v>2.6740000000000004</v>
      </c>
      <c r="F400" s="44">
        <f t="shared" si="749"/>
        <v>14.855555555555558</v>
      </c>
      <c r="G400" s="44">
        <f t="shared" si="750"/>
        <v>11.884444444444448</v>
      </c>
      <c r="H400" s="44">
        <f t="shared" si="751"/>
        <v>7.4277777777777789</v>
      </c>
      <c r="I400" s="44">
        <f t="shared" si="763"/>
        <v>8</v>
      </c>
      <c r="J400" s="45">
        <f t="shared" si="831"/>
        <v>8</v>
      </c>
      <c r="K400" s="87" t="s">
        <v>827</v>
      </c>
      <c r="L400" s="44">
        <f t="shared" ref="L400:N400" si="871">L399</f>
        <v>0.2</v>
      </c>
      <c r="M400" s="44">
        <f t="shared" si="871"/>
        <v>150</v>
      </c>
      <c r="N400" s="44">
        <f t="shared" si="871"/>
        <v>750</v>
      </c>
      <c r="P400" s="38">
        <f t="shared" si="765"/>
        <v>17</v>
      </c>
      <c r="Q400" s="38">
        <f t="shared" si="766"/>
        <v>19</v>
      </c>
      <c r="R400" s="39">
        <f t="shared" si="767"/>
        <v>0.98231787842897789</v>
      </c>
      <c r="S400" s="39">
        <f t="shared" si="768"/>
        <v>0.99352955814402111</v>
      </c>
      <c r="T400" s="39">
        <f t="shared" si="771"/>
        <v>1.1211679715043221E-2</v>
      </c>
      <c r="U400" s="89">
        <f t="shared" si="793"/>
        <v>1.8379802811546264E-4</v>
      </c>
    </row>
    <row r="401" spans="1:21" ht="15.75" thickBot="1" x14ac:dyDescent="0.3">
      <c r="A401" s="41">
        <f t="shared" ref="A401:B401" si="872">A400+1</f>
        <v>391</v>
      </c>
      <c r="B401" s="42">
        <f t="shared" si="872"/>
        <v>391</v>
      </c>
      <c r="C401" s="92" t="str">
        <f t="shared" si="862"/>
        <v>L11X20-352_000_01</v>
      </c>
      <c r="D401" s="43">
        <f>D395+v_step</f>
        <v>20</v>
      </c>
      <c r="E401" s="61">
        <f t="shared" si="758"/>
        <v>2.8840000000000003</v>
      </c>
      <c r="F401" s="44">
        <f t="shared" si="749"/>
        <v>14.420000000000002</v>
      </c>
      <c r="G401" s="44">
        <f t="shared" si="750"/>
        <v>11.536000000000001</v>
      </c>
      <c r="H401" s="44">
        <f t="shared" si="751"/>
        <v>7.2100000000000009</v>
      </c>
      <c r="I401" s="44">
        <f t="shared" si="763"/>
        <v>8</v>
      </c>
      <c r="J401" s="45">
        <f t="shared" ref="J401:J420" si="873">yaw_min</f>
        <v>-8</v>
      </c>
      <c r="K401" s="87" t="s">
        <v>828</v>
      </c>
      <c r="L401" s="44">
        <f t="shared" ref="L401:N401" si="874">L400</f>
        <v>0.2</v>
      </c>
      <c r="M401" s="44">
        <f t="shared" si="874"/>
        <v>150</v>
      </c>
      <c r="N401" s="44">
        <f t="shared" si="874"/>
        <v>750</v>
      </c>
      <c r="P401" s="38">
        <f t="shared" si="765"/>
        <v>19</v>
      </c>
      <c r="Q401" s="38">
        <f t="shared" si="766"/>
        <v>21</v>
      </c>
      <c r="R401" s="39">
        <f t="shared" si="767"/>
        <v>0.99352955814402111</v>
      </c>
      <c r="S401" s="39">
        <f t="shared" si="768"/>
        <v>0.99788250522936717</v>
      </c>
      <c r="T401" s="39">
        <f t="shared" si="771"/>
        <v>4.3529470853460595E-3</v>
      </c>
      <c r="U401" s="89">
        <f t="shared" si="793"/>
        <v>7.1359788284361633E-5</v>
      </c>
    </row>
    <row r="402" spans="1:21" ht="15.75" thickBot="1" x14ac:dyDescent="0.3">
      <c r="A402" s="41">
        <f t="shared" ref="A402:B402" si="875">A401+1</f>
        <v>392</v>
      </c>
      <c r="B402" s="42">
        <f t="shared" si="875"/>
        <v>392</v>
      </c>
      <c r="C402" s="92" t="str">
        <f t="shared" si="862"/>
        <v>L11X20-352_000_02</v>
      </c>
      <c r="D402" s="43">
        <f>D401</f>
        <v>20</v>
      </c>
      <c r="E402" s="61">
        <f t="shared" si="758"/>
        <v>2.8840000000000003</v>
      </c>
      <c r="F402" s="44">
        <f t="shared" si="749"/>
        <v>14.420000000000002</v>
      </c>
      <c r="G402" s="44">
        <f t="shared" si="750"/>
        <v>11.536000000000001</v>
      </c>
      <c r="H402" s="44">
        <f t="shared" si="751"/>
        <v>7.2100000000000009</v>
      </c>
      <c r="I402" s="44">
        <f t="shared" si="763"/>
        <v>8</v>
      </c>
      <c r="J402" s="45">
        <f t="shared" si="873"/>
        <v>-8</v>
      </c>
      <c r="K402" s="87" t="s">
        <v>829</v>
      </c>
      <c r="L402" s="44">
        <f t="shared" ref="L402:N402" si="876">L401</f>
        <v>0.2</v>
      </c>
      <c r="M402" s="44">
        <f t="shared" si="876"/>
        <v>150</v>
      </c>
      <c r="N402" s="44">
        <f t="shared" si="876"/>
        <v>750</v>
      </c>
      <c r="P402" s="38">
        <f t="shared" si="765"/>
        <v>19</v>
      </c>
      <c r="Q402" s="38">
        <f t="shared" si="766"/>
        <v>21</v>
      </c>
      <c r="R402" s="39">
        <f t="shared" si="767"/>
        <v>0.99352955814402111</v>
      </c>
      <c r="S402" s="39">
        <f t="shared" si="768"/>
        <v>0.99788250522936717</v>
      </c>
      <c r="T402" s="39">
        <f t="shared" si="771"/>
        <v>4.3529470853460595E-3</v>
      </c>
      <c r="U402" s="89">
        <f t="shared" si="793"/>
        <v>7.1359788284361633E-5</v>
      </c>
    </row>
    <row r="403" spans="1:21" ht="15.75" thickBot="1" x14ac:dyDescent="0.3">
      <c r="A403" s="41">
        <f t="shared" ref="A403:B403" si="877">A402+1</f>
        <v>393</v>
      </c>
      <c r="B403" s="42">
        <f t="shared" si="877"/>
        <v>393</v>
      </c>
      <c r="C403" s="92" t="str">
        <f t="shared" si="862"/>
        <v>L11X20-352_000_03</v>
      </c>
      <c r="D403" s="43">
        <f t="shared" ref="D403:D460" si="878">D402</f>
        <v>20</v>
      </c>
      <c r="E403" s="61">
        <f t="shared" si="758"/>
        <v>2.8840000000000003</v>
      </c>
      <c r="F403" s="44">
        <f t="shared" si="749"/>
        <v>14.420000000000002</v>
      </c>
      <c r="G403" s="44">
        <f t="shared" si="750"/>
        <v>11.536000000000001</v>
      </c>
      <c r="H403" s="44">
        <f t="shared" si="751"/>
        <v>7.2100000000000009</v>
      </c>
      <c r="I403" s="44">
        <f t="shared" si="763"/>
        <v>8</v>
      </c>
      <c r="J403" s="45">
        <f t="shared" si="873"/>
        <v>-8</v>
      </c>
      <c r="K403" s="87" t="s">
        <v>830</v>
      </c>
      <c r="L403" s="44">
        <f t="shared" ref="L403:N403" si="879">L402</f>
        <v>0.2</v>
      </c>
      <c r="M403" s="44">
        <f t="shared" si="879"/>
        <v>150</v>
      </c>
      <c r="N403" s="44">
        <f t="shared" si="879"/>
        <v>750</v>
      </c>
      <c r="P403" s="38">
        <f t="shared" si="765"/>
        <v>19</v>
      </c>
      <c r="Q403" s="38">
        <f t="shared" si="766"/>
        <v>21</v>
      </c>
      <c r="R403" s="39">
        <f t="shared" si="767"/>
        <v>0.99352955814402111</v>
      </c>
      <c r="S403" s="39">
        <f t="shared" si="768"/>
        <v>0.99788250522936717</v>
      </c>
      <c r="T403" s="39">
        <f t="shared" si="771"/>
        <v>4.3529470853460595E-3</v>
      </c>
      <c r="U403" s="89">
        <f t="shared" si="793"/>
        <v>7.1359788284361633E-5</v>
      </c>
    </row>
    <row r="404" spans="1:21" ht="15.75" thickBot="1" x14ac:dyDescent="0.3">
      <c r="A404" s="41">
        <f t="shared" ref="A404:B404" si="880">A403+1</f>
        <v>394</v>
      </c>
      <c r="B404" s="42">
        <f t="shared" si="880"/>
        <v>394</v>
      </c>
      <c r="C404" s="92" t="str">
        <f t="shared" si="862"/>
        <v>L11X20-352_000_04</v>
      </c>
      <c r="D404" s="43">
        <f t="shared" si="878"/>
        <v>20</v>
      </c>
      <c r="E404" s="61">
        <f t="shared" si="758"/>
        <v>2.8840000000000003</v>
      </c>
      <c r="F404" s="44">
        <f t="shared" si="749"/>
        <v>14.420000000000002</v>
      </c>
      <c r="G404" s="44">
        <f t="shared" si="750"/>
        <v>11.536000000000001</v>
      </c>
      <c r="H404" s="44">
        <f t="shared" si="751"/>
        <v>7.2100000000000009</v>
      </c>
      <c r="I404" s="44">
        <f t="shared" si="763"/>
        <v>8</v>
      </c>
      <c r="J404" s="45">
        <f t="shared" si="873"/>
        <v>-8</v>
      </c>
      <c r="K404" s="87" t="s">
        <v>831</v>
      </c>
      <c r="L404" s="44">
        <f t="shared" ref="L404:N404" si="881">L403</f>
        <v>0.2</v>
      </c>
      <c r="M404" s="44">
        <f t="shared" si="881"/>
        <v>150</v>
      </c>
      <c r="N404" s="44">
        <f t="shared" si="881"/>
        <v>750</v>
      </c>
      <c r="P404" s="38">
        <f t="shared" si="765"/>
        <v>19</v>
      </c>
      <c r="Q404" s="38">
        <f t="shared" si="766"/>
        <v>21</v>
      </c>
      <c r="R404" s="39">
        <f t="shared" si="767"/>
        <v>0.99352955814402111</v>
      </c>
      <c r="S404" s="39">
        <f t="shared" si="768"/>
        <v>0.99788250522936717</v>
      </c>
      <c r="T404" s="39">
        <f t="shared" si="771"/>
        <v>4.3529470853460595E-3</v>
      </c>
      <c r="U404" s="89">
        <f t="shared" si="793"/>
        <v>7.1359788284361633E-5</v>
      </c>
    </row>
    <row r="405" spans="1:21" ht="15.75" thickBot="1" x14ac:dyDescent="0.3">
      <c r="A405" s="41">
        <f t="shared" ref="A405:B405" si="882">A404+1</f>
        <v>395</v>
      </c>
      <c r="B405" s="42">
        <f t="shared" si="882"/>
        <v>395</v>
      </c>
      <c r="C405" s="92" t="str">
        <f t="shared" si="862"/>
        <v>L11X20-352_000_05</v>
      </c>
      <c r="D405" s="43">
        <f t="shared" si="878"/>
        <v>20</v>
      </c>
      <c r="E405" s="61">
        <f t="shared" si="758"/>
        <v>2.8840000000000003</v>
      </c>
      <c r="F405" s="44">
        <f t="shared" si="749"/>
        <v>14.420000000000002</v>
      </c>
      <c r="G405" s="44">
        <f t="shared" si="750"/>
        <v>11.536000000000001</v>
      </c>
      <c r="H405" s="44">
        <f t="shared" si="751"/>
        <v>7.2100000000000009</v>
      </c>
      <c r="I405" s="44">
        <f t="shared" si="763"/>
        <v>8</v>
      </c>
      <c r="J405" s="45">
        <f t="shared" si="873"/>
        <v>-8</v>
      </c>
      <c r="K405" s="87" t="s">
        <v>832</v>
      </c>
      <c r="L405" s="44">
        <f t="shared" ref="L405:N405" si="883">L404</f>
        <v>0.2</v>
      </c>
      <c r="M405" s="44">
        <f t="shared" si="883"/>
        <v>150</v>
      </c>
      <c r="N405" s="44">
        <f t="shared" si="883"/>
        <v>750</v>
      </c>
      <c r="P405" s="38">
        <f t="shared" si="765"/>
        <v>19</v>
      </c>
      <c r="Q405" s="38">
        <f t="shared" si="766"/>
        <v>21</v>
      </c>
      <c r="R405" s="39">
        <f t="shared" si="767"/>
        <v>0.99352955814402111</v>
      </c>
      <c r="S405" s="39">
        <f t="shared" si="768"/>
        <v>0.99788250522936717</v>
      </c>
      <c r="T405" s="39">
        <f t="shared" si="771"/>
        <v>4.3529470853460595E-3</v>
      </c>
      <c r="U405" s="89">
        <f t="shared" si="793"/>
        <v>7.1359788284361633E-5</v>
      </c>
    </row>
    <row r="406" spans="1:21" ht="15.75" thickBot="1" x14ac:dyDescent="0.3">
      <c r="A406" s="41">
        <f t="shared" ref="A406:B406" si="884">A405+1</f>
        <v>396</v>
      </c>
      <c r="B406" s="42">
        <f t="shared" si="884"/>
        <v>396</v>
      </c>
      <c r="C406" s="92" t="str">
        <f t="shared" si="862"/>
        <v>L11X20-352_000_06</v>
      </c>
      <c r="D406" s="43">
        <f t="shared" si="878"/>
        <v>20</v>
      </c>
      <c r="E406" s="61">
        <f t="shared" si="758"/>
        <v>2.8840000000000003</v>
      </c>
      <c r="F406" s="44">
        <f t="shared" ref="F406:F465" si="885">E406/D406*100</f>
        <v>14.420000000000002</v>
      </c>
      <c r="G406" s="44">
        <f t="shared" ref="G406:G465" si="886">m_ty*F406</f>
        <v>11.536000000000001</v>
      </c>
      <c r="H406" s="44">
        <f t="shared" ref="H406:H465" si="887">m_tz*F406</f>
        <v>7.2100000000000009</v>
      </c>
      <c r="I406" s="44">
        <f t="shared" si="763"/>
        <v>8</v>
      </c>
      <c r="J406" s="45">
        <f t="shared" si="873"/>
        <v>-8</v>
      </c>
      <c r="K406" s="87" t="s">
        <v>833</v>
      </c>
      <c r="L406" s="44">
        <f t="shared" ref="L406:N406" si="888">L405</f>
        <v>0.2</v>
      </c>
      <c r="M406" s="44">
        <f t="shared" si="888"/>
        <v>150</v>
      </c>
      <c r="N406" s="44">
        <f t="shared" si="888"/>
        <v>750</v>
      </c>
      <c r="P406" s="38">
        <f t="shared" si="765"/>
        <v>19</v>
      </c>
      <c r="Q406" s="38">
        <f t="shared" si="766"/>
        <v>21</v>
      </c>
      <c r="R406" s="39">
        <f t="shared" si="767"/>
        <v>0.99352955814402111</v>
      </c>
      <c r="S406" s="39">
        <f t="shared" si="768"/>
        <v>0.99788250522936717</v>
      </c>
      <c r="T406" s="39">
        <f t="shared" si="771"/>
        <v>4.3529470853460595E-3</v>
      </c>
      <c r="U406" s="89">
        <f t="shared" si="793"/>
        <v>7.1359788284361633E-5</v>
      </c>
    </row>
    <row r="407" spans="1:21" ht="15.75" thickBot="1" x14ac:dyDescent="0.3">
      <c r="A407" s="41">
        <f t="shared" ref="A407:B407" si="889">A406+1</f>
        <v>397</v>
      </c>
      <c r="B407" s="42">
        <f t="shared" si="889"/>
        <v>397</v>
      </c>
      <c r="C407" s="92" t="str">
        <f t="shared" si="862"/>
        <v>L11X20-352_000_07</v>
      </c>
      <c r="D407" s="43">
        <f t="shared" si="878"/>
        <v>20</v>
      </c>
      <c r="E407" s="61">
        <f t="shared" si="758"/>
        <v>2.8840000000000003</v>
      </c>
      <c r="F407" s="44">
        <f t="shared" si="885"/>
        <v>14.420000000000002</v>
      </c>
      <c r="G407" s="44">
        <f t="shared" si="886"/>
        <v>11.536000000000001</v>
      </c>
      <c r="H407" s="44">
        <f t="shared" si="887"/>
        <v>7.2100000000000009</v>
      </c>
      <c r="I407" s="44">
        <f t="shared" si="763"/>
        <v>8</v>
      </c>
      <c r="J407" s="45">
        <f t="shared" si="873"/>
        <v>-8</v>
      </c>
      <c r="K407" s="87" t="s">
        <v>834</v>
      </c>
      <c r="L407" s="44">
        <f t="shared" ref="L407:N407" si="890">L406</f>
        <v>0.2</v>
      </c>
      <c r="M407" s="44">
        <f t="shared" si="890"/>
        <v>150</v>
      </c>
      <c r="N407" s="44">
        <f t="shared" si="890"/>
        <v>750</v>
      </c>
      <c r="P407" s="38">
        <f t="shared" si="765"/>
        <v>19</v>
      </c>
      <c r="Q407" s="38">
        <f t="shared" si="766"/>
        <v>21</v>
      </c>
      <c r="R407" s="39">
        <f t="shared" si="767"/>
        <v>0.99352955814402111</v>
      </c>
      <c r="S407" s="39">
        <f t="shared" si="768"/>
        <v>0.99788250522936717</v>
      </c>
      <c r="T407" s="39">
        <f t="shared" si="771"/>
        <v>4.3529470853460595E-3</v>
      </c>
      <c r="U407" s="89">
        <f t="shared" si="793"/>
        <v>7.1359788284361633E-5</v>
      </c>
    </row>
    <row r="408" spans="1:21" ht="15.75" thickBot="1" x14ac:dyDescent="0.3">
      <c r="A408" s="41">
        <f t="shared" ref="A408:B408" si="891">A407+1</f>
        <v>398</v>
      </c>
      <c r="B408" s="42">
        <f t="shared" si="891"/>
        <v>398</v>
      </c>
      <c r="C408" s="92" t="str">
        <f t="shared" si="862"/>
        <v>L11X20-352_000_08</v>
      </c>
      <c r="D408" s="43">
        <f t="shared" si="878"/>
        <v>20</v>
      </c>
      <c r="E408" s="61">
        <f t="shared" si="758"/>
        <v>2.8840000000000003</v>
      </c>
      <c r="F408" s="44">
        <f t="shared" si="885"/>
        <v>14.420000000000002</v>
      </c>
      <c r="G408" s="44">
        <f t="shared" si="886"/>
        <v>11.536000000000001</v>
      </c>
      <c r="H408" s="44">
        <f t="shared" si="887"/>
        <v>7.2100000000000009</v>
      </c>
      <c r="I408" s="44">
        <f t="shared" si="763"/>
        <v>8</v>
      </c>
      <c r="J408" s="45">
        <f t="shared" si="873"/>
        <v>-8</v>
      </c>
      <c r="K408" s="87" t="s">
        <v>835</v>
      </c>
      <c r="L408" s="44">
        <f t="shared" ref="L408:N408" si="892">L407</f>
        <v>0.2</v>
      </c>
      <c r="M408" s="44">
        <f t="shared" si="892"/>
        <v>150</v>
      </c>
      <c r="N408" s="44">
        <f t="shared" si="892"/>
        <v>750</v>
      </c>
      <c r="P408" s="38">
        <f t="shared" si="765"/>
        <v>19</v>
      </c>
      <c r="Q408" s="38">
        <f t="shared" si="766"/>
        <v>21</v>
      </c>
      <c r="R408" s="39">
        <f t="shared" si="767"/>
        <v>0.99352955814402111</v>
      </c>
      <c r="S408" s="39">
        <f t="shared" si="768"/>
        <v>0.99788250522936717</v>
      </c>
      <c r="T408" s="39">
        <f t="shared" si="771"/>
        <v>4.3529470853460595E-3</v>
      </c>
      <c r="U408" s="89">
        <f t="shared" si="793"/>
        <v>7.1359788284361633E-5</v>
      </c>
    </row>
    <row r="409" spans="1:21" ht="15.75" thickBot="1" x14ac:dyDescent="0.3">
      <c r="A409" s="41">
        <f t="shared" ref="A409:B409" si="893">A408+1</f>
        <v>399</v>
      </c>
      <c r="B409" s="42">
        <f t="shared" si="893"/>
        <v>399</v>
      </c>
      <c r="C409" s="92" t="str">
        <f t="shared" si="862"/>
        <v>L11X20-352_000_09</v>
      </c>
      <c r="D409" s="43">
        <f t="shared" si="878"/>
        <v>20</v>
      </c>
      <c r="E409" s="61">
        <f t="shared" si="758"/>
        <v>2.8840000000000003</v>
      </c>
      <c r="F409" s="44">
        <f t="shared" si="885"/>
        <v>14.420000000000002</v>
      </c>
      <c r="G409" s="44">
        <f t="shared" si="886"/>
        <v>11.536000000000001</v>
      </c>
      <c r="H409" s="44">
        <f t="shared" si="887"/>
        <v>7.2100000000000009</v>
      </c>
      <c r="I409" s="44">
        <f t="shared" si="763"/>
        <v>8</v>
      </c>
      <c r="J409" s="45">
        <f t="shared" si="873"/>
        <v>-8</v>
      </c>
      <c r="K409" s="87" t="s">
        <v>836</v>
      </c>
      <c r="L409" s="44">
        <f t="shared" ref="L409:N409" si="894">L408</f>
        <v>0.2</v>
      </c>
      <c r="M409" s="44">
        <f t="shared" si="894"/>
        <v>150</v>
      </c>
      <c r="N409" s="44">
        <f t="shared" si="894"/>
        <v>750</v>
      </c>
      <c r="P409" s="38">
        <f t="shared" si="765"/>
        <v>19</v>
      </c>
      <c r="Q409" s="38">
        <f t="shared" si="766"/>
        <v>21</v>
      </c>
      <c r="R409" s="39">
        <f t="shared" si="767"/>
        <v>0.99352955814402111</v>
      </c>
      <c r="S409" s="39">
        <f t="shared" si="768"/>
        <v>0.99788250522936717</v>
      </c>
      <c r="T409" s="39">
        <f t="shared" si="771"/>
        <v>4.3529470853460595E-3</v>
      </c>
      <c r="U409" s="89">
        <f t="shared" si="793"/>
        <v>7.1359788284361633E-5</v>
      </c>
    </row>
    <row r="410" spans="1:21" ht="15.75" thickBot="1" x14ac:dyDescent="0.3">
      <c r="A410" s="41">
        <f t="shared" ref="A410:B410" si="895">A409+1</f>
        <v>400</v>
      </c>
      <c r="B410" s="42">
        <f t="shared" si="895"/>
        <v>400</v>
      </c>
      <c r="C410" s="92" t="str">
        <f t="shared" si="862"/>
        <v>L11X20-352_000_10</v>
      </c>
      <c r="D410" s="43">
        <f t="shared" si="878"/>
        <v>20</v>
      </c>
      <c r="E410" s="61">
        <f t="shared" si="758"/>
        <v>2.8840000000000003</v>
      </c>
      <c r="F410" s="44">
        <f t="shared" si="885"/>
        <v>14.420000000000002</v>
      </c>
      <c r="G410" s="44">
        <f t="shared" si="886"/>
        <v>11.536000000000001</v>
      </c>
      <c r="H410" s="44">
        <f t="shared" si="887"/>
        <v>7.2100000000000009</v>
      </c>
      <c r="I410" s="44">
        <f t="shared" si="763"/>
        <v>8</v>
      </c>
      <c r="J410" s="45">
        <f t="shared" si="873"/>
        <v>-8</v>
      </c>
      <c r="K410" s="87" t="s">
        <v>837</v>
      </c>
      <c r="L410" s="44">
        <f t="shared" ref="L410:N410" si="896">L409</f>
        <v>0.2</v>
      </c>
      <c r="M410" s="44">
        <f t="shared" si="896"/>
        <v>150</v>
      </c>
      <c r="N410" s="44">
        <f t="shared" si="896"/>
        <v>750</v>
      </c>
      <c r="P410" s="38">
        <f t="shared" si="765"/>
        <v>19</v>
      </c>
      <c r="Q410" s="38">
        <f t="shared" si="766"/>
        <v>21</v>
      </c>
      <c r="R410" s="39">
        <f t="shared" si="767"/>
        <v>0.99352955814402111</v>
      </c>
      <c r="S410" s="39">
        <f t="shared" si="768"/>
        <v>0.99788250522936717</v>
      </c>
      <c r="T410" s="39">
        <f t="shared" si="771"/>
        <v>4.3529470853460595E-3</v>
      </c>
      <c r="U410" s="89">
        <f t="shared" si="793"/>
        <v>7.1359788284361633E-5</v>
      </c>
    </row>
    <row r="411" spans="1:21" ht="15.75" thickBot="1" x14ac:dyDescent="0.3">
      <c r="A411" s="41">
        <f t="shared" ref="A411:B411" si="897">A410+1</f>
        <v>401</v>
      </c>
      <c r="B411" s="42">
        <f t="shared" si="897"/>
        <v>401</v>
      </c>
      <c r="C411" s="92" t="str">
        <f t="shared" si="862"/>
        <v>L11X20-352_000_11</v>
      </c>
      <c r="D411" s="43">
        <f t="shared" si="878"/>
        <v>20</v>
      </c>
      <c r="E411" s="61">
        <f t="shared" si="758"/>
        <v>2.8840000000000003</v>
      </c>
      <c r="F411" s="44">
        <f t="shared" si="885"/>
        <v>14.420000000000002</v>
      </c>
      <c r="G411" s="44">
        <f t="shared" si="886"/>
        <v>11.536000000000001</v>
      </c>
      <c r="H411" s="44">
        <f t="shared" si="887"/>
        <v>7.2100000000000009</v>
      </c>
      <c r="I411" s="44">
        <f t="shared" si="763"/>
        <v>8</v>
      </c>
      <c r="J411" s="45">
        <f t="shared" si="873"/>
        <v>-8</v>
      </c>
      <c r="K411" s="87" t="s">
        <v>838</v>
      </c>
      <c r="L411" s="44">
        <f t="shared" ref="L411:N411" si="898">L410</f>
        <v>0.2</v>
      </c>
      <c r="M411" s="44">
        <f t="shared" si="898"/>
        <v>150</v>
      </c>
      <c r="N411" s="44">
        <f t="shared" si="898"/>
        <v>750</v>
      </c>
      <c r="P411" s="38">
        <f t="shared" si="765"/>
        <v>19</v>
      </c>
      <c r="Q411" s="38">
        <f t="shared" si="766"/>
        <v>21</v>
      </c>
      <c r="R411" s="39">
        <f t="shared" si="767"/>
        <v>0.99352955814402111</v>
      </c>
      <c r="S411" s="39">
        <f t="shared" si="768"/>
        <v>0.99788250522936717</v>
      </c>
      <c r="T411" s="39">
        <f t="shared" si="771"/>
        <v>4.3529470853460595E-3</v>
      </c>
      <c r="U411" s="89">
        <f t="shared" si="793"/>
        <v>7.1359788284361633E-5</v>
      </c>
    </row>
    <row r="412" spans="1:21" ht="15.75" thickBot="1" x14ac:dyDescent="0.3">
      <c r="A412" s="41">
        <f t="shared" ref="A412:B412" si="899">A411+1</f>
        <v>402</v>
      </c>
      <c r="B412" s="42">
        <f t="shared" si="899"/>
        <v>402</v>
      </c>
      <c r="C412" s="92" t="str">
        <f t="shared" si="862"/>
        <v>L11X20-352_000_12</v>
      </c>
      <c r="D412" s="43">
        <f t="shared" si="878"/>
        <v>20</v>
      </c>
      <c r="E412" s="61">
        <f t="shared" si="758"/>
        <v>2.8840000000000003</v>
      </c>
      <c r="F412" s="44">
        <f t="shared" si="885"/>
        <v>14.420000000000002</v>
      </c>
      <c r="G412" s="44">
        <f t="shared" si="886"/>
        <v>11.536000000000001</v>
      </c>
      <c r="H412" s="44">
        <f t="shared" si="887"/>
        <v>7.2100000000000009</v>
      </c>
      <c r="I412" s="44">
        <f t="shared" si="763"/>
        <v>8</v>
      </c>
      <c r="J412" s="45">
        <f t="shared" si="873"/>
        <v>-8</v>
      </c>
      <c r="K412" s="87" t="s">
        <v>839</v>
      </c>
      <c r="L412" s="44">
        <f t="shared" ref="L412:N412" si="900">L411</f>
        <v>0.2</v>
      </c>
      <c r="M412" s="44">
        <f t="shared" si="900"/>
        <v>150</v>
      </c>
      <c r="N412" s="44">
        <f t="shared" si="900"/>
        <v>750</v>
      </c>
      <c r="P412" s="38">
        <f t="shared" si="765"/>
        <v>19</v>
      </c>
      <c r="Q412" s="38">
        <f t="shared" si="766"/>
        <v>21</v>
      </c>
      <c r="R412" s="39">
        <f t="shared" si="767"/>
        <v>0.99352955814402111</v>
      </c>
      <c r="S412" s="39">
        <f t="shared" si="768"/>
        <v>0.99788250522936717</v>
      </c>
      <c r="T412" s="39">
        <f t="shared" si="771"/>
        <v>4.3529470853460595E-3</v>
      </c>
      <c r="U412" s="89">
        <f t="shared" si="793"/>
        <v>7.1359788284361633E-5</v>
      </c>
    </row>
    <row r="413" spans="1:21" ht="15.75" thickBot="1" x14ac:dyDescent="0.3">
      <c r="A413" s="41">
        <f t="shared" ref="A413:B413" si="901">A412+1</f>
        <v>403</v>
      </c>
      <c r="B413" s="42">
        <f t="shared" si="901"/>
        <v>403</v>
      </c>
      <c r="C413" s="92" t="str">
        <f t="shared" si="862"/>
        <v>L11X20-352_000_13</v>
      </c>
      <c r="D413" s="43">
        <f t="shared" si="878"/>
        <v>20</v>
      </c>
      <c r="E413" s="61">
        <f t="shared" ref="E413:E472" si="902">I_ref*(0.75*D413+5.6)</f>
        <v>2.8840000000000003</v>
      </c>
      <c r="F413" s="44">
        <f t="shared" si="885"/>
        <v>14.420000000000002</v>
      </c>
      <c r="G413" s="44">
        <f t="shared" si="886"/>
        <v>11.536000000000001</v>
      </c>
      <c r="H413" s="44">
        <f t="shared" si="887"/>
        <v>7.2100000000000009</v>
      </c>
      <c r="I413" s="44">
        <f t="shared" si="763"/>
        <v>8</v>
      </c>
      <c r="J413" s="45">
        <f t="shared" si="873"/>
        <v>-8</v>
      </c>
      <c r="K413" s="87" t="s">
        <v>840</v>
      </c>
      <c r="L413" s="44">
        <f t="shared" ref="L413:N413" si="903">L412</f>
        <v>0.2</v>
      </c>
      <c r="M413" s="44">
        <f t="shared" si="903"/>
        <v>150</v>
      </c>
      <c r="N413" s="44">
        <f t="shared" si="903"/>
        <v>750</v>
      </c>
      <c r="P413" s="38">
        <f t="shared" si="765"/>
        <v>19</v>
      </c>
      <c r="Q413" s="38">
        <f t="shared" si="766"/>
        <v>21</v>
      </c>
      <c r="R413" s="39">
        <f t="shared" si="767"/>
        <v>0.99352955814402111</v>
      </c>
      <c r="S413" s="39">
        <f t="shared" si="768"/>
        <v>0.99788250522936717</v>
      </c>
      <c r="T413" s="39">
        <f t="shared" si="771"/>
        <v>4.3529470853460595E-3</v>
      </c>
      <c r="U413" s="89">
        <f t="shared" si="793"/>
        <v>7.1359788284361633E-5</v>
      </c>
    </row>
    <row r="414" spans="1:21" ht="15.75" thickBot="1" x14ac:dyDescent="0.3">
      <c r="A414" s="41">
        <f t="shared" ref="A414:B414" si="904">A413+1</f>
        <v>404</v>
      </c>
      <c r="B414" s="42">
        <f t="shared" si="904"/>
        <v>404</v>
      </c>
      <c r="C414" s="92" t="str">
        <f t="shared" si="862"/>
        <v>L11X20-352_000_14</v>
      </c>
      <c r="D414" s="43">
        <f t="shared" si="878"/>
        <v>20</v>
      </c>
      <c r="E414" s="61">
        <f t="shared" si="902"/>
        <v>2.8840000000000003</v>
      </c>
      <c r="F414" s="44">
        <f t="shared" si="885"/>
        <v>14.420000000000002</v>
      </c>
      <c r="G414" s="44">
        <f t="shared" si="886"/>
        <v>11.536000000000001</v>
      </c>
      <c r="H414" s="44">
        <f t="shared" si="887"/>
        <v>7.2100000000000009</v>
      </c>
      <c r="I414" s="44">
        <f t="shared" si="763"/>
        <v>8</v>
      </c>
      <c r="J414" s="45">
        <f t="shared" si="873"/>
        <v>-8</v>
      </c>
      <c r="K414" s="87" t="s">
        <v>841</v>
      </c>
      <c r="L414" s="44">
        <f t="shared" ref="L414:N414" si="905">L413</f>
        <v>0.2</v>
      </c>
      <c r="M414" s="44">
        <f t="shared" si="905"/>
        <v>150</v>
      </c>
      <c r="N414" s="44">
        <f t="shared" si="905"/>
        <v>750</v>
      </c>
      <c r="P414" s="38">
        <f t="shared" si="765"/>
        <v>19</v>
      </c>
      <c r="Q414" s="38">
        <f t="shared" si="766"/>
        <v>21</v>
      </c>
      <c r="R414" s="39">
        <f t="shared" si="767"/>
        <v>0.99352955814402111</v>
      </c>
      <c r="S414" s="39">
        <f t="shared" si="768"/>
        <v>0.99788250522936717</v>
      </c>
      <c r="T414" s="39">
        <f t="shared" si="771"/>
        <v>4.3529470853460595E-3</v>
      </c>
      <c r="U414" s="89">
        <f t="shared" si="793"/>
        <v>7.1359788284361633E-5</v>
      </c>
    </row>
    <row r="415" spans="1:21" ht="15.75" thickBot="1" x14ac:dyDescent="0.3">
      <c r="A415" s="41">
        <f t="shared" ref="A415:B415" si="906">A414+1</f>
        <v>405</v>
      </c>
      <c r="B415" s="42">
        <f t="shared" si="906"/>
        <v>405</v>
      </c>
      <c r="C415" s="92" t="str">
        <f t="shared" si="862"/>
        <v>L11X20-352_000_15</v>
      </c>
      <c r="D415" s="43">
        <f t="shared" si="878"/>
        <v>20</v>
      </c>
      <c r="E415" s="61">
        <f t="shared" si="902"/>
        <v>2.8840000000000003</v>
      </c>
      <c r="F415" s="44">
        <f t="shared" si="885"/>
        <v>14.420000000000002</v>
      </c>
      <c r="G415" s="44">
        <f t="shared" si="886"/>
        <v>11.536000000000001</v>
      </c>
      <c r="H415" s="44">
        <f t="shared" si="887"/>
        <v>7.2100000000000009</v>
      </c>
      <c r="I415" s="44">
        <f t="shared" ref="I415:I478" si="907">I414</f>
        <v>8</v>
      </c>
      <c r="J415" s="45">
        <f t="shared" si="873"/>
        <v>-8</v>
      </c>
      <c r="K415" s="87" t="s">
        <v>842</v>
      </c>
      <c r="L415" s="44">
        <f t="shared" ref="L415:N415" si="908">L414</f>
        <v>0.2</v>
      </c>
      <c r="M415" s="44">
        <f t="shared" si="908"/>
        <v>150</v>
      </c>
      <c r="N415" s="44">
        <f t="shared" si="908"/>
        <v>750</v>
      </c>
      <c r="P415" s="38">
        <f t="shared" ref="P415:P474" si="909">D415-v_step/2</f>
        <v>19</v>
      </c>
      <c r="Q415" s="38">
        <f t="shared" ref="Q415:Q474" si="910">P415+v_step</f>
        <v>21</v>
      </c>
      <c r="R415" s="39">
        <f t="shared" ref="R415:R474" si="911">IF(wpd="Rayleigh",1-EXP(-PI()*((P415/2/v_ave)^2)),IF(wpd="Weibull",1-EXP(-((P415/weibull_A)^weibull_K))))</f>
        <v>0.99352955814402111</v>
      </c>
      <c r="S415" s="39">
        <f t="shared" ref="S415:S474" si="912">IF(wpd="Rayleigh",1-EXP(-PI()*((Q415/2/v_ave)^2)),IF(wpd="Weibull",1-EXP(-((Q415/weibull_A)^weibull_K))))</f>
        <v>0.99788250522936717</v>
      </c>
      <c r="T415" s="39">
        <f t="shared" si="771"/>
        <v>4.3529470853460595E-3</v>
      </c>
      <c r="U415" s="89">
        <f t="shared" si="793"/>
        <v>7.1359788284361633E-5</v>
      </c>
    </row>
    <row r="416" spans="1:21" ht="15.75" thickBot="1" x14ac:dyDescent="0.3">
      <c r="A416" s="41">
        <f t="shared" ref="A416:B416" si="913">A415+1</f>
        <v>406</v>
      </c>
      <c r="B416" s="42">
        <f t="shared" si="913"/>
        <v>406</v>
      </c>
      <c r="C416" s="92" t="str">
        <f t="shared" si="862"/>
        <v>L11X20-352_000_16</v>
      </c>
      <c r="D416" s="43">
        <f t="shared" si="878"/>
        <v>20</v>
      </c>
      <c r="E416" s="61">
        <f t="shared" si="902"/>
        <v>2.8840000000000003</v>
      </c>
      <c r="F416" s="44">
        <f t="shared" si="885"/>
        <v>14.420000000000002</v>
      </c>
      <c r="G416" s="44">
        <f t="shared" si="886"/>
        <v>11.536000000000001</v>
      </c>
      <c r="H416" s="44">
        <f t="shared" si="887"/>
        <v>7.2100000000000009</v>
      </c>
      <c r="I416" s="44">
        <f t="shared" si="907"/>
        <v>8</v>
      </c>
      <c r="J416" s="45">
        <f t="shared" si="873"/>
        <v>-8</v>
      </c>
      <c r="K416" s="87" t="s">
        <v>843</v>
      </c>
      <c r="L416" s="44">
        <f t="shared" ref="L416:N416" si="914">L415</f>
        <v>0.2</v>
      </c>
      <c r="M416" s="44">
        <f t="shared" si="914"/>
        <v>150</v>
      </c>
      <c r="N416" s="44">
        <f t="shared" si="914"/>
        <v>750</v>
      </c>
      <c r="P416" s="38">
        <f t="shared" si="909"/>
        <v>19</v>
      </c>
      <c r="Q416" s="38">
        <f t="shared" si="910"/>
        <v>21</v>
      </c>
      <c r="R416" s="39">
        <f t="shared" si="911"/>
        <v>0.99352955814402111</v>
      </c>
      <c r="S416" s="39">
        <f t="shared" si="912"/>
        <v>0.99788250522936717</v>
      </c>
      <c r="T416" s="39">
        <f t="shared" ref="T416:T475" si="915">S416-R416</f>
        <v>4.3529470853460595E-3</v>
      </c>
      <c r="U416" s="89">
        <f t="shared" si="793"/>
        <v>7.1359788284361633E-5</v>
      </c>
    </row>
    <row r="417" spans="1:21" ht="15.75" thickBot="1" x14ac:dyDescent="0.3">
      <c r="A417" s="41">
        <f t="shared" ref="A417:B417" si="916">A416+1</f>
        <v>407</v>
      </c>
      <c r="B417" s="42">
        <f t="shared" si="916"/>
        <v>407</v>
      </c>
      <c r="C417" s="92" t="str">
        <f t="shared" si="862"/>
        <v>L11X20-352_000_17</v>
      </c>
      <c r="D417" s="43">
        <f t="shared" si="878"/>
        <v>20</v>
      </c>
      <c r="E417" s="61">
        <f t="shared" si="902"/>
        <v>2.8840000000000003</v>
      </c>
      <c r="F417" s="44">
        <f t="shared" si="885"/>
        <v>14.420000000000002</v>
      </c>
      <c r="G417" s="44">
        <f t="shared" si="886"/>
        <v>11.536000000000001</v>
      </c>
      <c r="H417" s="44">
        <f t="shared" si="887"/>
        <v>7.2100000000000009</v>
      </c>
      <c r="I417" s="44">
        <f t="shared" si="907"/>
        <v>8</v>
      </c>
      <c r="J417" s="45">
        <f t="shared" si="873"/>
        <v>-8</v>
      </c>
      <c r="K417" s="87" t="s">
        <v>844</v>
      </c>
      <c r="L417" s="44">
        <f t="shared" ref="L417:N417" si="917">L416</f>
        <v>0.2</v>
      </c>
      <c r="M417" s="44">
        <f t="shared" si="917"/>
        <v>150</v>
      </c>
      <c r="N417" s="44">
        <f t="shared" si="917"/>
        <v>750</v>
      </c>
      <c r="P417" s="38">
        <f t="shared" si="909"/>
        <v>19</v>
      </c>
      <c r="Q417" s="38">
        <f t="shared" si="910"/>
        <v>21</v>
      </c>
      <c r="R417" s="39">
        <f t="shared" si="911"/>
        <v>0.99352955814402111</v>
      </c>
      <c r="S417" s="39">
        <f t="shared" si="912"/>
        <v>0.99788250522936717</v>
      </c>
      <c r="T417" s="39">
        <f t="shared" si="915"/>
        <v>4.3529470853460595E-3</v>
      </c>
      <c r="U417" s="89">
        <f t="shared" si="793"/>
        <v>7.1359788284361633E-5</v>
      </c>
    </row>
    <row r="418" spans="1:21" ht="15.75" thickBot="1" x14ac:dyDescent="0.3">
      <c r="A418" s="41">
        <f t="shared" ref="A418:B418" si="918">A417+1</f>
        <v>408</v>
      </c>
      <c r="B418" s="42">
        <f t="shared" si="918"/>
        <v>408</v>
      </c>
      <c r="C418" s="92" t="str">
        <f t="shared" si="862"/>
        <v>L11X20-352_000_18</v>
      </c>
      <c r="D418" s="43">
        <f t="shared" si="878"/>
        <v>20</v>
      </c>
      <c r="E418" s="61">
        <f t="shared" si="902"/>
        <v>2.8840000000000003</v>
      </c>
      <c r="F418" s="44">
        <f t="shared" si="885"/>
        <v>14.420000000000002</v>
      </c>
      <c r="G418" s="44">
        <f t="shared" si="886"/>
        <v>11.536000000000001</v>
      </c>
      <c r="H418" s="44">
        <f t="shared" si="887"/>
        <v>7.2100000000000009</v>
      </c>
      <c r="I418" s="44">
        <f t="shared" si="907"/>
        <v>8</v>
      </c>
      <c r="J418" s="45">
        <f t="shared" si="873"/>
        <v>-8</v>
      </c>
      <c r="K418" s="87" t="s">
        <v>845</v>
      </c>
      <c r="L418" s="44">
        <f t="shared" ref="L418:N418" si="919">L417</f>
        <v>0.2</v>
      </c>
      <c r="M418" s="44">
        <f t="shared" si="919"/>
        <v>150</v>
      </c>
      <c r="N418" s="44">
        <f t="shared" si="919"/>
        <v>750</v>
      </c>
      <c r="P418" s="38">
        <f t="shared" si="909"/>
        <v>19</v>
      </c>
      <c r="Q418" s="38">
        <f t="shared" si="910"/>
        <v>21</v>
      </c>
      <c r="R418" s="39">
        <f t="shared" si="911"/>
        <v>0.99352955814402111</v>
      </c>
      <c r="S418" s="39">
        <f t="shared" si="912"/>
        <v>0.99788250522936717</v>
      </c>
      <c r="T418" s="39">
        <f t="shared" si="915"/>
        <v>4.3529470853460595E-3</v>
      </c>
      <c r="U418" s="89">
        <f t="shared" si="793"/>
        <v>7.1359788284361633E-5</v>
      </c>
    </row>
    <row r="419" spans="1:21" ht="15.75" thickBot="1" x14ac:dyDescent="0.3">
      <c r="A419" s="41">
        <f t="shared" ref="A419:B419" si="920">A418+1</f>
        <v>409</v>
      </c>
      <c r="B419" s="42">
        <f t="shared" si="920"/>
        <v>409</v>
      </c>
      <c r="C419" s="92" t="str">
        <f t="shared" si="862"/>
        <v>L11X20-352_000_19</v>
      </c>
      <c r="D419" s="43">
        <f t="shared" si="878"/>
        <v>20</v>
      </c>
      <c r="E419" s="61">
        <f t="shared" si="902"/>
        <v>2.8840000000000003</v>
      </c>
      <c r="F419" s="44">
        <f t="shared" si="885"/>
        <v>14.420000000000002</v>
      </c>
      <c r="G419" s="44">
        <f t="shared" si="886"/>
        <v>11.536000000000001</v>
      </c>
      <c r="H419" s="44">
        <f t="shared" si="887"/>
        <v>7.2100000000000009</v>
      </c>
      <c r="I419" s="44">
        <f t="shared" si="907"/>
        <v>8</v>
      </c>
      <c r="J419" s="45">
        <f t="shared" si="873"/>
        <v>-8</v>
      </c>
      <c r="K419" s="87" t="s">
        <v>846</v>
      </c>
      <c r="L419" s="44">
        <f t="shared" ref="L419:N419" si="921">L418</f>
        <v>0.2</v>
      </c>
      <c r="M419" s="44">
        <f t="shared" si="921"/>
        <v>150</v>
      </c>
      <c r="N419" s="44">
        <f t="shared" si="921"/>
        <v>750</v>
      </c>
      <c r="P419" s="38">
        <f t="shared" si="909"/>
        <v>19</v>
      </c>
      <c r="Q419" s="38">
        <f t="shared" si="910"/>
        <v>21</v>
      </c>
      <c r="R419" s="39">
        <f t="shared" si="911"/>
        <v>0.99352955814402111</v>
      </c>
      <c r="S419" s="39">
        <f t="shared" si="912"/>
        <v>0.99788250522936717</v>
      </c>
      <c r="T419" s="39">
        <f t="shared" si="915"/>
        <v>4.3529470853460595E-3</v>
      </c>
      <c r="U419" s="89">
        <f t="shared" si="793"/>
        <v>7.1359788284361633E-5</v>
      </c>
    </row>
    <row r="420" spans="1:21" ht="15.75" thickBot="1" x14ac:dyDescent="0.3">
      <c r="A420" s="41">
        <f t="shared" ref="A420:B420" si="922">A419+1</f>
        <v>410</v>
      </c>
      <c r="B420" s="42">
        <f t="shared" si="922"/>
        <v>410</v>
      </c>
      <c r="C420" s="92" t="str">
        <f t="shared" si="862"/>
        <v>L11X20-352_000_20</v>
      </c>
      <c r="D420" s="43">
        <f t="shared" si="878"/>
        <v>20</v>
      </c>
      <c r="E420" s="61">
        <f t="shared" si="902"/>
        <v>2.8840000000000003</v>
      </c>
      <c r="F420" s="44">
        <f t="shared" si="885"/>
        <v>14.420000000000002</v>
      </c>
      <c r="G420" s="44">
        <f t="shared" si="886"/>
        <v>11.536000000000001</v>
      </c>
      <c r="H420" s="44">
        <f t="shared" si="887"/>
        <v>7.2100000000000009</v>
      </c>
      <c r="I420" s="44">
        <f t="shared" si="907"/>
        <v>8</v>
      </c>
      <c r="J420" s="45">
        <f t="shared" si="873"/>
        <v>-8</v>
      </c>
      <c r="K420" s="87" t="s">
        <v>847</v>
      </c>
      <c r="L420" s="44">
        <f t="shared" ref="L420:N420" si="923">L419</f>
        <v>0.2</v>
      </c>
      <c r="M420" s="44">
        <f t="shared" si="923"/>
        <v>150</v>
      </c>
      <c r="N420" s="44">
        <f t="shared" si="923"/>
        <v>750</v>
      </c>
      <c r="P420" s="38">
        <f t="shared" si="909"/>
        <v>19</v>
      </c>
      <c r="Q420" s="38">
        <f t="shared" si="910"/>
        <v>21</v>
      </c>
      <c r="R420" s="39">
        <f t="shared" si="911"/>
        <v>0.99352955814402111</v>
      </c>
      <c r="S420" s="39">
        <f t="shared" si="912"/>
        <v>0.99788250522936717</v>
      </c>
      <c r="T420" s="39">
        <f t="shared" si="915"/>
        <v>4.3529470853460595E-3</v>
      </c>
      <c r="U420" s="89">
        <f t="shared" si="793"/>
        <v>7.1359788284361633E-5</v>
      </c>
    </row>
    <row r="421" spans="1:21" ht="15.75" thickBot="1" x14ac:dyDescent="0.3">
      <c r="A421" s="41">
        <f t="shared" ref="A421:B421" si="924">A420+1</f>
        <v>411</v>
      </c>
      <c r="B421" s="42">
        <f t="shared" si="924"/>
        <v>411</v>
      </c>
      <c r="C421" s="92" t="str">
        <f t="shared" si="862"/>
        <v>L11X20-000_000_21</v>
      </c>
      <c r="D421" s="43">
        <f t="shared" si="878"/>
        <v>20</v>
      </c>
      <c r="E421" s="61">
        <f t="shared" si="902"/>
        <v>2.8840000000000003</v>
      </c>
      <c r="F421" s="44">
        <f t="shared" si="885"/>
        <v>14.420000000000002</v>
      </c>
      <c r="G421" s="44">
        <f t="shared" si="886"/>
        <v>11.536000000000001</v>
      </c>
      <c r="H421" s="44">
        <f t="shared" si="887"/>
        <v>7.2100000000000009</v>
      </c>
      <c r="I421" s="44">
        <f t="shared" si="907"/>
        <v>8</v>
      </c>
      <c r="J421" s="45">
        <f t="shared" ref="J421:J440" si="925">yaw_null</f>
        <v>0</v>
      </c>
      <c r="K421" s="87" t="s">
        <v>848</v>
      </c>
      <c r="L421" s="44">
        <f t="shared" ref="L421:N421" si="926">L420</f>
        <v>0.2</v>
      </c>
      <c r="M421" s="44">
        <f t="shared" si="926"/>
        <v>150</v>
      </c>
      <c r="N421" s="44">
        <f t="shared" si="926"/>
        <v>750</v>
      </c>
      <c r="P421" s="38">
        <f t="shared" si="909"/>
        <v>19</v>
      </c>
      <c r="Q421" s="38">
        <f t="shared" si="910"/>
        <v>21</v>
      </c>
      <c r="R421" s="39">
        <f t="shared" si="911"/>
        <v>0.99352955814402111</v>
      </c>
      <c r="S421" s="39">
        <f t="shared" si="912"/>
        <v>0.99788250522936717</v>
      </c>
      <c r="T421" s="39">
        <f t="shared" si="915"/>
        <v>4.3529470853460595E-3</v>
      </c>
      <c r="U421" s="89">
        <f t="shared" si="793"/>
        <v>7.1359788284361633E-5</v>
      </c>
    </row>
    <row r="422" spans="1:21" ht="15.75" thickBot="1" x14ac:dyDescent="0.3">
      <c r="A422" s="41">
        <f t="shared" ref="A422:B422" si="927">A421+1</f>
        <v>412</v>
      </c>
      <c r="B422" s="42">
        <f t="shared" si="927"/>
        <v>412</v>
      </c>
      <c r="C422" s="92" t="str">
        <f t="shared" si="862"/>
        <v>L11X20-000_000_22</v>
      </c>
      <c r="D422" s="43">
        <f t="shared" si="878"/>
        <v>20</v>
      </c>
      <c r="E422" s="61">
        <f t="shared" si="902"/>
        <v>2.8840000000000003</v>
      </c>
      <c r="F422" s="44">
        <f t="shared" si="885"/>
        <v>14.420000000000002</v>
      </c>
      <c r="G422" s="44">
        <f t="shared" si="886"/>
        <v>11.536000000000001</v>
      </c>
      <c r="H422" s="44">
        <f t="shared" si="887"/>
        <v>7.2100000000000009</v>
      </c>
      <c r="I422" s="44">
        <f t="shared" si="907"/>
        <v>8</v>
      </c>
      <c r="J422" s="45">
        <f t="shared" si="925"/>
        <v>0</v>
      </c>
      <c r="K422" s="87" t="s">
        <v>849</v>
      </c>
      <c r="L422" s="44">
        <f t="shared" ref="L422:N422" si="928">L421</f>
        <v>0.2</v>
      </c>
      <c r="M422" s="44">
        <f t="shared" si="928"/>
        <v>150</v>
      </c>
      <c r="N422" s="44">
        <f t="shared" si="928"/>
        <v>750</v>
      </c>
      <c r="P422" s="38">
        <f t="shared" si="909"/>
        <v>19</v>
      </c>
      <c r="Q422" s="38">
        <f t="shared" si="910"/>
        <v>21</v>
      </c>
      <c r="R422" s="39">
        <f t="shared" si="911"/>
        <v>0.99352955814402111</v>
      </c>
      <c r="S422" s="39">
        <f t="shared" si="912"/>
        <v>0.99788250522936717</v>
      </c>
      <c r="T422" s="39">
        <f t="shared" si="915"/>
        <v>4.3529470853460595E-3</v>
      </c>
      <c r="U422" s="89">
        <f t="shared" si="793"/>
        <v>7.1359788284361633E-5</v>
      </c>
    </row>
    <row r="423" spans="1:21" ht="15.75" thickBot="1" x14ac:dyDescent="0.3">
      <c r="A423" s="41">
        <f t="shared" ref="A423:B423" si="929">A422+1</f>
        <v>413</v>
      </c>
      <c r="B423" s="42">
        <f t="shared" si="929"/>
        <v>413</v>
      </c>
      <c r="C423" s="92" t="str">
        <f t="shared" si="862"/>
        <v>L11X20-000_000_23</v>
      </c>
      <c r="D423" s="43">
        <f t="shared" si="878"/>
        <v>20</v>
      </c>
      <c r="E423" s="61">
        <f t="shared" si="902"/>
        <v>2.8840000000000003</v>
      </c>
      <c r="F423" s="44">
        <f t="shared" si="885"/>
        <v>14.420000000000002</v>
      </c>
      <c r="G423" s="44">
        <f t="shared" si="886"/>
        <v>11.536000000000001</v>
      </c>
      <c r="H423" s="44">
        <f t="shared" si="887"/>
        <v>7.2100000000000009</v>
      </c>
      <c r="I423" s="44">
        <f t="shared" si="907"/>
        <v>8</v>
      </c>
      <c r="J423" s="45">
        <f t="shared" si="925"/>
        <v>0</v>
      </c>
      <c r="K423" s="87" t="s">
        <v>850</v>
      </c>
      <c r="L423" s="44">
        <f t="shared" ref="L423:N423" si="930">L422</f>
        <v>0.2</v>
      </c>
      <c r="M423" s="44">
        <f t="shared" si="930"/>
        <v>150</v>
      </c>
      <c r="N423" s="44">
        <f t="shared" si="930"/>
        <v>750</v>
      </c>
      <c r="P423" s="38">
        <f t="shared" si="909"/>
        <v>19</v>
      </c>
      <c r="Q423" s="38">
        <f t="shared" si="910"/>
        <v>21</v>
      </c>
      <c r="R423" s="39">
        <f t="shared" si="911"/>
        <v>0.99352955814402111</v>
      </c>
      <c r="S423" s="39">
        <f t="shared" si="912"/>
        <v>0.99788250522936717</v>
      </c>
      <c r="T423" s="39">
        <f t="shared" si="915"/>
        <v>4.3529470853460595E-3</v>
      </c>
      <c r="U423" s="89">
        <f t="shared" si="793"/>
        <v>7.1359788284361633E-5</v>
      </c>
    </row>
    <row r="424" spans="1:21" ht="15.75" thickBot="1" x14ac:dyDescent="0.3">
      <c r="A424" s="41">
        <f t="shared" ref="A424:B424" si="931">A423+1</f>
        <v>414</v>
      </c>
      <c r="B424" s="42">
        <f t="shared" si="931"/>
        <v>414</v>
      </c>
      <c r="C424" s="92" t="str">
        <f t="shared" si="862"/>
        <v>L11X20-000_000_24</v>
      </c>
      <c r="D424" s="43">
        <f t="shared" si="878"/>
        <v>20</v>
      </c>
      <c r="E424" s="61">
        <f t="shared" si="902"/>
        <v>2.8840000000000003</v>
      </c>
      <c r="F424" s="44">
        <f t="shared" si="885"/>
        <v>14.420000000000002</v>
      </c>
      <c r="G424" s="44">
        <f t="shared" si="886"/>
        <v>11.536000000000001</v>
      </c>
      <c r="H424" s="44">
        <f t="shared" si="887"/>
        <v>7.2100000000000009</v>
      </c>
      <c r="I424" s="44">
        <f t="shared" si="907"/>
        <v>8</v>
      </c>
      <c r="J424" s="45">
        <f t="shared" si="925"/>
        <v>0</v>
      </c>
      <c r="K424" s="87" t="s">
        <v>851</v>
      </c>
      <c r="L424" s="44">
        <f t="shared" ref="L424:N424" si="932">L423</f>
        <v>0.2</v>
      </c>
      <c r="M424" s="44">
        <f t="shared" si="932"/>
        <v>150</v>
      </c>
      <c r="N424" s="44">
        <f t="shared" si="932"/>
        <v>750</v>
      </c>
      <c r="P424" s="38">
        <f t="shared" si="909"/>
        <v>19</v>
      </c>
      <c r="Q424" s="38">
        <f t="shared" si="910"/>
        <v>21</v>
      </c>
      <c r="R424" s="39">
        <f t="shared" si="911"/>
        <v>0.99352955814402111</v>
      </c>
      <c r="S424" s="39">
        <f t="shared" si="912"/>
        <v>0.99788250522936717</v>
      </c>
      <c r="T424" s="39">
        <f t="shared" si="915"/>
        <v>4.3529470853460595E-3</v>
      </c>
      <c r="U424" s="89">
        <f t="shared" si="793"/>
        <v>7.1359788284361633E-5</v>
      </c>
    </row>
    <row r="425" spans="1:21" ht="15.75" thickBot="1" x14ac:dyDescent="0.3">
      <c r="A425" s="41">
        <f t="shared" ref="A425:B425" si="933">A424+1</f>
        <v>415</v>
      </c>
      <c r="B425" s="42">
        <f t="shared" si="933"/>
        <v>415</v>
      </c>
      <c r="C425" s="92" t="str">
        <f t="shared" si="862"/>
        <v>L11X20-000_000_25</v>
      </c>
      <c r="D425" s="43">
        <f t="shared" si="878"/>
        <v>20</v>
      </c>
      <c r="E425" s="61">
        <f t="shared" si="902"/>
        <v>2.8840000000000003</v>
      </c>
      <c r="F425" s="44">
        <f t="shared" si="885"/>
        <v>14.420000000000002</v>
      </c>
      <c r="G425" s="44">
        <f t="shared" si="886"/>
        <v>11.536000000000001</v>
      </c>
      <c r="H425" s="44">
        <f t="shared" si="887"/>
        <v>7.2100000000000009</v>
      </c>
      <c r="I425" s="44">
        <f t="shared" si="907"/>
        <v>8</v>
      </c>
      <c r="J425" s="45">
        <f t="shared" si="925"/>
        <v>0</v>
      </c>
      <c r="K425" s="87" t="s">
        <v>852</v>
      </c>
      <c r="L425" s="44">
        <f t="shared" ref="L425:N425" si="934">L424</f>
        <v>0.2</v>
      </c>
      <c r="M425" s="44">
        <f t="shared" si="934"/>
        <v>150</v>
      </c>
      <c r="N425" s="44">
        <f t="shared" si="934"/>
        <v>750</v>
      </c>
      <c r="P425" s="38">
        <f t="shared" si="909"/>
        <v>19</v>
      </c>
      <c r="Q425" s="38">
        <f t="shared" si="910"/>
        <v>21</v>
      </c>
      <c r="R425" s="39">
        <f t="shared" si="911"/>
        <v>0.99352955814402111</v>
      </c>
      <c r="S425" s="39">
        <f t="shared" si="912"/>
        <v>0.99788250522936717</v>
      </c>
      <c r="T425" s="39">
        <f t="shared" si="915"/>
        <v>4.3529470853460595E-3</v>
      </c>
      <c r="U425" s="89">
        <f t="shared" si="793"/>
        <v>7.1359788284361633E-5</v>
      </c>
    </row>
    <row r="426" spans="1:21" ht="15.75" thickBot="1" x14ac:dyDescent="0.3">
      <c r="A426" s="41">
        <f t="shared" ref="A426:B426" si="935">A425+1</f>
        <v>416</v>
      </c>
      <c r="B426" s="42">
        <f t="shared" si="935"/>
        <v>416</v>
      </c>
      <c r="C426" s="92" t="str">
        <f t="shared" si="862"/>
        <v>L11X20-000_000_26</v>
      </c>
      <c r="D426" s="43">
        <f t="shared" si="878"/>
        <v>20</v>
      </c>
      <c r="E426" s="61">
        <f t="shared" si="902"/>
        <v>2.8840000000000003</v>
      </c>
      <c r="F426" s="44">
        <f t="shared" si="885"/>
        <v>14.420000000000002</v>
      </c>
      <c r="G426" s="44">
        <f t="shared" si="886"/>
        <v>11.536000000000001</v>
      </c>
      <c r="H426" s="44">
        <f t="shared" si="887"/>
        <v>7.2100000000000009</v>
      </c>
      <c r="I426" s="44">
        <f t="shared" si="907"/>
        <v>8</v>
      </c>
      <c r="J426" s="45">
        <f t="shared" si="925"/>
        <v>0</v>
      </c>
      <c r="K426" s="87" t="s">
        <v>853</v>
      </c>
      <c r="L426" s="44">
        <f t="shared" ref="L426:N426" si="936">L425</f>
        <v>0.2</v>
      </c>
      <c r="M426" s="44">
        <f t="shared" si="936"/>
        <v>150</v>
      </c>
      <c r="N426" s="44">
        <f t="shared" si="936"/>
        <v>750</v>
      </c>
      <c r="P426" s="38">
        <f t="shared" si="909"/>
        <v>19</v>
      </c>
      <c r="Q426" s="38">
        <f t="shared" si="910"/>
        <v>21</v>
      </c>
      <c r="R426" s="39">
        <f t="shared" si="911"/>
        <v>0.99352955814402111</v>
      </c>
      <c r="S426" s="39">
        <f t="shared" si="912"/>
        <v>0.99788250522936717</v>
      </c>
      <c r="T426" s="39">
        <f t="shared" si="915"/>
        <v>4.3529470853460595E-3</v>
      </c>
      <c r="U426" s="89">
        <f t="shared" ref="U426:U485" si="937">T426/61</f>
        <v>7.1359788284361633E-5</v>
      </c>
    </row>
    <row r="427" spans="1:21" ht="15.75" thickBot="1" x14ac:dyDescent="0.3">
      <c r="A427" s="41">
        <f t="shared" ref="A427:B427" si="938">A426+1</f>
        <v>417</v>
      </c>
      <c r="B427" s="42">
        <f t="shared" si="938"/>
        <v>417</v>
      </c>
      <c r="C427" s="92" t="str">
        <f t="shared" si="862"/>
        <v>L11X20-000_000_27</v>
      </c>
      <c r="D427" s="43">
        <f t="shared" si="878"/>
        <v>20</v>
      </c>
      <c r="E427" s="61">
        <f t="shared" si="902"/>
        <v>2.8840000000000003</v>
      </c>
      <c r="F427" s="44">
        <f t="shared" si="885"/>
        <v>14.420000000000002</v>
      </c>
      <c r="G427" s="44">
        <f t="shared" si="886"/>
        <v>11.536000000000001</v>
      </c>
      <c r="H427" s="44">
        <f t="shared" si="887"/>
        <v>7.2100000000000009</v>
      </c>
      <c r="I427" s="44">
        <f t="shared" si="907"/>
        <v>8</v>
      </c>
      <c r="J427" s="45">
        <f t="shared" si="925"/>
        <v>0</v>
      </c>
      <c r="K427" s="87" t="s">
        <v>854</v>
      </c>
      <c r="L427" s="44">
        <f t="shared" ref="L427:N427" si="939">L426</f>
        <v>0.2</v>
      </c>
      <c r="M427" s="44">
        <f t="shared" si="939"/>
        <v>150</v>
      </c>
      <c r="N427" s="44">
        <f t="shared" si="939"/>
        <v>750</v>
      </c>
      <c r="P427" s="38">
        <f t="shared" si="909"/>
        <v>19</v>
      </c>
      <c r="Q427" s="38">
        <f t="shared" si="910"/>
        <v>21</v>
      </c>
      <c r="R427" s="39">
        <f t="shared" si="911"/>
        <v>0.99352955814402111</v>
      </c>
      <c r="S427" s="39">
        <f t="shared" si="912"/>
        <v>0.99788250522936717</v>
      </c>
      <c r="T427" s="39">
        <f t="shared" si="915"/>
        <v>4.3529470853460595E-3</v>
      </c>
      <c r="U427" s="89">
        <f t="shared" si="937"/>
        <v>7.1359788284361633E-5</v>
      </c>
    </row>
    <row r="428" spans="1:21" ht="15.75" thickBot="1" x14ac:dyDescent="0.3">
      <c r="A428" s="41">
        <f t="shared" ref="A428:B428" si="940">A427+1</f>
        <v>418</v>
      </c>
      <c r="B428" s="42">
        <f t="shared" si="940"/>
        <v>418</v>
      </c>
      <c r="C428" s="92" t="str">
        <f t="shared" si="862"/>
        <v>L11X20-000_000_28</v>
      </c>
      <c r="D428" s="43">
        <f t="shared" si="878"/>
        <v>20</v>
      </c>
      <c r="E428" s="61">
        <f t="shared" si="902"/>
        <v>2.8840000000000003</v>
      </c>
      <c r="F428" s="44">
        <f t="shared" si="885"/>
        <v>14.420000000000002</v>
      </c>
      <c r="G428" s="44">
        <f t="shared" si="886"/>
        <v>11.536000000000001</v>
      </c>
      <c r="H428" s="44">
        <f t="shared" si="887"/>
        <v>7.2100000000000009</v>
      </c>
      <c r="I428" s="44">
        <f t="shared" si="907"/>
        <v>8</v>
      </c>
      <c r="J428" s="45">
        <f t="shared" si="925"/>
        <v>0</v>
      </c>
      <c r="K428" s="87" t="s">
        <v>855</v>
      </c>
      <c r="L428" s="44">
        <f t="shared" ref="L428:N428" si="941">L427</f>
        <v>0.2</v>
      </c>
      <c r="M428" s="44">
        <f t="shared" si="941"/>
        <v>150</v>
      </c>
      <c r="N428" s="44">
        <f t="shared" si="941"/>
        <v>750</v>
      </c>
      <c r="P428" s="38">
        <f t="shared" si="909"/>
        <v>19</v>
      </c>
      <c r="Q428" s="38">
        <f t="shared" si="910"/>
        <v>21</v>
      </c>
      <c r="R428" s="39">
        <f t="shared" si="911"/>
        <v>0.99352955814402111</v>
      </c>
      <c r="S428" s="39">
        <f t="shared" si="912"/>
        <v>0.99788250522936717</v>
      </c>
      <c r="T428" s="39">
        <f t="shared" si="915"/>
        <v>4.3529470853460595E-3</v>
      </c>
      <c r="U428" s="89">
        <f t="shared" si="937"/>
        <v>7.1359788284361633E-5</v>
      </c>
    </row>
    <row r="429" spans="1:21" ht="15.75" thickBot="1" x14ac:dyDescent="0.3">
      <c r="A429" s="41">
        <f t="shared" ref="A429:B429" si="942">A428+1</f>
        <v>419</v>
      </c>
      <c r="B429" s="42">
        <f t="shared" si="942"/>
        <v>419</v>
      </c>
      <c r="C429" s="92" t="str">
        <f t="shared" si="862"/>
        <v>L11X20-000_000_29</v>
      </c>
      <c r="D429" s="43">
        <f t="shared" si="878"/>
        <v>20</v>
      </c>
      <c r="E429" s="61">
        <f t="shared" si="902"/>
        <v>2.8840000000000003</v>
      </c>
      <c r="F429" s="44">
        <f t="shared" si="885"/>
        <v>14.420000000000002</v>
      </c>
      <c r="G429" s="44">
        <f t="shared" si="886"/>
        <v>11.536000000000001</v>
      </c>
      <c r="H429" s="44">
        <f t="shared" si="887"/>
        <v>7.2100000000000009</v>
      </c>
      <c r="I429" s="44">
        <f t="shared" si="907"/>
        <v>8</v>
      </c>
      <c r="J429" s="45">
        <f t="shared" si="925"/>
        <v>0</v>
      </c>
      <c r="K429" s="87" t="s">
        <v>856</v>
      </c>
      <c r="L429" s="44">
        <f t="shared" ref="L429:N429" si="943">L428</f>
        <v>0.2</v>
      </c>
      <c r="M429" s="44">
        <f t="shared" si="943"/>
        <v>150</v>
      </c>
      <c r="N429" s="44">
        <f t="shared" si="943"/>
        <v>750</v>
      </c>
      <c r="P429" s="38">
        <f t="shared" si="909"/>
        <v>19</v>
      </c>
      <c r="Q429" s="38">
        <f t="shared" si="910"/>
        <v>21</v>
      </c>
      <c r="R429" s="39">
        <f t="shared" si="911"/>
        <v>0.99352955814402111</v>
      </c>
      <c r="S429" s="39">
        <f t="shared" si="912"/>
        <v>0.99788250522936717</v>
      </c>
      <c r="T429" s="39">
        <f t="shared" si="915"/>
        <v>4.3529470853460595E-3</v>
      </c>
      <c r="U429" s="89">
        <f t="shared" si="937"/>
        <v>7.1359788284361633E-5</v>
      </c>
    </row>
    <row r="430" spans="1:21" ht="15.75" thickBot="1" x14ac:dyDescent="0.3">
      <c r="A430" s="41">
        <f t="shared" ref="A430:B430" si="944">A429+1</f>
        <v>420</v>
      </c>
      <c r="B430" s="42">
        <f t="shared" si="944"/>
        <v>420</v>
      </c>
      <c r="C430" s="92" t="str">
        <f t="shared" si="862"/>
        <v>L11X20-000_000_30</v>
      </c>
      <c r="D430" s="43">
        <f t="shared" si="878"/>
        <v>20</v>
      </c>
      <c r="E430" s="61">
        <f t="shared" si="902"/>
        <v>2.8840000000000003</v>
      </c>
      <c r="F430" s="44">
        <f t="shared" si="885"/>
        <v>14.420000000000002</v>
      </c>
      <c r="G430" s="44">
        <f t="shared" si="886"/>
        <v>11.536000000000001</v>
      </c>
      <c r="H430" s="44">
        <f t="shared" si="887"/>
        <v>7.2100000000000009</v>
      </c>
      <c r="I430" s="44">
        <f t="shared" si="907"/>
        <v>8</v>
      </c>
      <c r="J430" s="45">
        <f t="shared" si="925"/>
        <v>0</v>
      </c>
      <c r="K430" s="87" t="s">
        <v>857</v>
      </c>
      <c r="L430" s="44">
        <f t="shared" ref="L430:N430" si="945">L429</f>
        <v>0.2</v>
      </c>
      <c r="M430" s="44">
        <f t="shared" si="945"/>
        <v>150</v>
      </c>
      <c r="N430" s="44">
        <f t="shared" si="945"/>
        <v>750</v>
      </c>
      <c r="P430" s="38">
        <f t="shared" si="909"/>
        <v>19</v>
      </c>
      <c r="Q430" s="38">
        <f t="shared" si="910"/>
        <v>21</v>
      </c>
      <c r="R430" s="39">
        <f t="shared" si="911"/>
        <v>0.99352955814402111</v>
      </c>
      <c r="S430" s="39">
        <f t="shared" si="912"/>
        <v>0.99788250522936717</v>
      </c>
      <c r="T430" s="39">
        <f t="shared" si="915"/>
        <v>4.3529470853460595E-3</v>
      </c>
      <c r="U430" s="89">
        <f t="shared" si="937"/>
        <v>7.1359788284361633E-5</v>
      </c>
    </row>
    <row r="431" spans="1:21" ht="15.75" thickBot="1" x14ac:dyDescent="0.3">
      <c r="A431" s="41">
        <f t="shared" ref="A431:B431" si="946">A430+1</f>
        <v>421</v>
      </c>
      <c r="B431" s="42">
        <f t="shared" si="946"/>
        <v>421</v>
      </c>
      <c r="C431" s="92" t="str">
        <f t="shared" si="862"/>
        <v>L11X20-000_000_31</v>
      </c>
      <c r="D431" s="43">
        <f t="shared" si="878"/>
        <v>20</v>
      </c>
      <c r="E431" s="61">
        <f t="shared" si="902"/>
        <v>2.8840000000000003</v>
      </c>
      <c r="F431" s="44">
        <f t="shared" si="885"/>
        <v>14.420000000000002</v>
      </c>
      <c r="G431" s="44">
        <f t="shared" si="886"/>
        <v>11.536000000000001</v>
      </c>
      <c r="H431" s="44">
        <f t="shared" si="887"/>
        <v>7.2100000000000009</v>
      </c>
      <c r="I431" s="44">
        <f t="shared" si="907"/>
        <v>8</v>
      </c>
      <c r="J431" s="45">
        <f t="shared" si="925"/>
        <v>0</v>
      </c>
      <c r="K431" s="87" t="s">
        <v>858</v>
      </c>
      <c r="L431" s="44">
        <f t="shared" ref="L431:N431" si="947">L430</f>
        <v>0.2</v>
      </c>
      <c r="M431" s="44">
        <f t="shared" si="947"/>
        <v>150</v>
      </c>
      <c r="N431" s="44">
        <f t="shared" si="947"/>
        <v>750</v>
      </c>
      <c r="P431" s="38">
        <f t="shared" si="909"/>
        <v>19</v>
      </c>
      <c r="Q431" s="38">
        <f t="shared" si="910"/>
        <v>21</v>
      </c>
      <c r="R431" s="39">
        <f t="shared" si="911"/>
        <v>0.99352955814402111</v>
      </c>
      <c r="S431" s="39">
        <f t="shared" si="912"/>
        <v>0.99788250522936717</v>
      </c>
      <c r="T431" s="39">
        <f t="shared" si="915"/>
        <v>4.3529470853460595E-3</v>
      </c>
      <c r="U431" s="89">
        <f t="shared" si="937"/>
        <v>7.1359788284361633E-5</v>
      </c>
    </row>
    <row r="432" spans="1:21" ht="15.75" thickBot="1" x14ac:dyDescent="0.3">
      <c r="A432" s="41">
        <f t="shared" ref="A432:B432" si="948">A431+1</f>
        <v>422</v>
      </c>
      <c r="B432" s="42">
        <f t="shared" si="948"/>
        <v>422</v>
      </c>
      <c r="C432" s="92" t="str">
        <f t="shared" si="862"/>
        <v>L11X20-000_000_32</v>
      </c>
      <c r="D432" s="43">
        <f t="shared" si="878"/>
        <v>20</v>
      </c>
      <c r="E432" s="61">
        <f t="shared" si="902"/>
        <v>2.8840000000000003</v>
      </c>
      <c r="F432" s="44">
        <f t="shared" si="885"/>
        <v>14.420000000000002</v>
      </c>
      <c r="G432" s="44">
        <f t="shared" si="886"/>
        <v>11.536000000000001</v>
      </c>
      <c r="H432" s="44">
        <f t="shared" si="887"/>
        <v>7.2100000000000009</v>
      </c>
      <c r="I432" s="44">
        <f t="shared" si="907"/>
        <v>8</v>
      </c>
      <c r="J432" s="45">
        <f t="shared" si="925"/>
        <v>0</v>
      </c>
      <c r="K432" s="87" t="s">
        <v>859</v>
      </c>
      <c r="L432" s="44">
        <f t="shared" ref="L432:N432" si="949">L431</f>
        <v>0.2</v>
      </c>
      <c r="M432" s="44">
        <f t="shared" si="949"/>
        <v>150</v>
      </c>
      <c r="N432" s="44">
        <f t="shared" si="949"/>
        <v>750</v>
      </c>
      <c r="P432" s="38">
        <f t="shared" si="909"/>
        <v>19</v>
      </c>
      <c r="Q432" s="38">
        <f t="shared" si="910"/>
        <v>21</v>
      </c>
      <c r="R432" s="39">
        <f t="shared" si="911"/>
        <v>0.99352955814402111</v>
      </c>
      <c r="S432" s="39">
        <f t="shared" si="912"/>
        <v>0.99788250522936717</v>
      </c>
      <c r="T432" s="39">
        <f t="shared" si="915"/>
        <v>4.3529470853460595E-3</v>
      </c>
      <c r="U432" s="89">
        <f t="shared" si="937"/>
        <v>7.1359788284361633E-5</v>
      </c>
    </row>
    <row r="433" spans="1:21" ht="15.75" thickBot="1" x14ac:dyDescent="0.3">
      <c r="A433" s="41">
        <f t="shared" ref="A433:B433" si="950">A432+1</f>
        <v>423</v>
      </c>
      <c r="B433" s="42">
        <f t="shared" si="950"/>
        <v>423</v>
      </c>
      <c r="C433" s="92" t="str">
        <f t="shared" si="862"/>
        <v>L11X20-000_000_33</v>
      </c>
      <c r="D433" s="43">
        <f t="shared" si="878"/>
        <v>20</v>
      </c>
      <c r="E433" s="61">
        <f t="shared" si="902"/>
        <v>2.8840000000000003</v>
      </c>
      <c r="F433" s="44">
        <f t="shared" si="885"/>
        <v>14.420000000000002</v>
      </c>
      <c r="G433" s="44">
        <f t="shared" si="886"/>
        <v>11.536000000000001</v>
      </c>
      <c r="H433" s="44">
        <f t="shared" si="887"/>
        <v>7.2100000000000009</v>
      </c>
      <c r="I433" s="44">
        <f t="shared" si="907"/>
        <v>8</v>
      </c>
      <c r="J433" s="45">
        <f t="shared" si="925"/>
        <v>0</v>
      </c>
      <c r="K433" s="87" t="s">
        <v>860</v>
      </c>
      <c r="L433" s="44">
        <f t="shared" ref="L433:N433" si="951">L432</f>
        <v>0.2</v>
      </c>
      <c r="M433" s="44">
        <f t="shared" si="951"/>
        <v>150</v>
      </c>
      <c r="N433" s="44">
        <f t="shared" si="951"/>
        <v>750</v>
      </c>
      <c r="P433" s="38">
        <f t="shared" si="909"/>
        <v>19</v>
      </c>
      <c r="Q433" s="38">
        <f t="shared" si="910"/>
        <v>21</v>
      </c>
      <c r="R433" s="39">
        <f t="shared" si="911"/>
        <v>0.99352955814402111</v>
      </c>
      <c r="S433" s="39">
        <f t="shared" si="912"/>
        <v>0.99788250522936717</v>
      </c>
      <c r="T433" s="39">
        <f t="shared" si="915"/>
        <v>4.3529470853460595E-3</v>
      </c>
      <c r="U433" s="89">
        <f t="shared" si="937"/>
        <v>7.1359788284361633E-5</v>
      </c>
    </row>
    <row r="434" spans="1:21" ht="15.75" thickBot="1" x14ac:dyDescent="0.3">
      <c r="A434" s="41">
        <f t="shared" ref="A434:B434" si="952">A433+1</f>
        <v>424</v>
      </c>
      <c r="B434" s="42">
        <f t="shared" si="952"/>
        <v>424</v>
      </c>
      <c r="C434" s="92" t="str">
        <f t="shared" si="862"/>
        <v>L11X20-000_000_34</v>
      </c>
      <c r="D434" s="43">
        <f t="shared" si="878"/>
        <v>20</v>
      </c>
      <c r="E434" s="61">
        <f t="shared" si="902"/>
        <v>2.8840000000000003</v>
      </c>
      <c r="F434" s="44">
        <f t="shared" si="885"/>
        <v>14.420000000000002</v>
      </c>
      <c r="G434" s="44">
        <f t="shared" si="886"/>
        <v>11.536000000000001</v>
      </c>
      <c r="H434" s="44">
        <f t="shared" si="887"/>
        <v>7.2100000000000009</v>
      </c>
      <c r="I434" s="44">
        <f t="shared" si="907"/>
        <v>8</v>
      </c>
      <c r="J434" s="45">
        <f t="shared" si="925"/>
        <v>0</v>
      </c>
      <c r="K434" s="87" t="s">
        <v>861</v>
      </c>
      <c r="L434" s="44">
        <f t="shared" ref="L434:N434" si="953">L433</f>
        <v>0.2</v>
      </c>
      <c r="M434" s="44">
        <f t="shared" si="953"/>
        <v>150</v>
      </c>
      <c r="N434" s="44">
        <f t="shared" si="953"/>
        <v>750</v>
      </c>
      <c r="P434" s="38">
        <f t="shared" si="909"/>
        <v>19</v>
      </c>
      <c r="Q434" s="38">
        <f t="shared" si="910"/>
        <v>21</v>
      </c>
      <c r="R434" s="39">
        <f t="shared" si="911"/>
        <v>0.99352955814402111</v>
      </c>
      <c r="S434" s="39">
        <f t="shared" si="912"/>
        <v>0.99788250522936717</v>
      </c>
      <c r="T434" s="39">
        <f t="shared" si="915"/>
        <v>4.3529470853460595E-3</v>
      </c>
      <c r="U434" s="89">
        <f t="shared" si="937"/>
        <v>7.1359788284361633E-5</v>
      </c>
    </row>
    <row r="435" spans="1:21" ht="15.75" thickBot="1" x14ac:dyDescent="0.3">
      <c r="A435" s="41">
        <f t="shared" ref="A435:B435" si="954">A434+1</f>
        <v>425</v>
      </c>
      <c r="B435" s="42">
        <f t="shared" si="954"/>
        <v>425</v>
      </c>
      <c r="C435" s="92" t="str">
        <f t="shared" si="862"/>
        <v>L11X20-000_000_35</v>
      </c>
      <c r="D435" s="43">
        <f t="shared" si="878"/>
        <v>20</v>
      </c>
      <c r="E435" s="61">
        <f t="shared" si="902"/>
        <v>2.8840000000000003</v>
      </c>
      <c r="F435" s="44">
        <f t="shared" si="885"/>
        <v>14.420000000000002</v>
      </c>
      <c r="G435" s="44">
        <f t="shared" si="886"/>
        <v>11.536000000000001</v>
      </c>
      <c r="H435" s="44">
        <f t="shared" si="887"/>
        <v>7.2100000000000009</v>
      </c>
      <c r="I435" s="44">
        <f t="shared" si="907"/>
        <v>8</v>
      </c>
      <c r="J435" s="45">
        <f t="shared" si="925"/>
        <v>0</v>
      </c>
      <c r="K435" s="87" t="s">
        <v>862</v>
      </c>
      <c r="L435" s="44">
        <f t="shared" ref="L435:N435" si="955">L434</f>
        <v>0.2</v>
      </c>
      <c r="M435" s="44">
        <f t="shared" si="955"/>
        <v>150</v>
      </c>
      <c r="N435" s="44">
        <f t="shared" si="955"/>
        <v>750</v>
      </c>
      <c r="P435" s="38">
        <f t="shared" si="909"/>
        <v>19</v>
      </c>
      <c r="Q435" s="38">
        <f t="shared" si="910"/>
        <v>21</v>
      </c>
      <c r="R435" s="39">
        <f t="shared" si="911"/>
        <v>0.99352955814402111</v>
      </c>
      <c r="S435" s="39">
        <f t="shared" si="912"/>
        <v>0.99788250522936717</v>
      </c>
      <c r="T435" s="39">
        <f t="shared" si="915"/>
        <v>4.3529470853460595E-3</v>
      </c>
      <c r="U435" s="89">
        <f t="shared" si="937"/>
        <v>7.1359788284361633E-5</v>
      </c>
    </row>
    <row r="436" spans="1:21" ht="15.75" thickBot="1" x14ac:dyDescent="0.3">
      <c r="A436" s="41">
        <f t="shared" ref="A436:B436" si="956">A435+1</f>
        <v>426</v>
      </c>
      <c r="B436" s="42">
        <f t="shared" si="956"/>
        <v>426</v>
      </c>
      <c r="C436" s="92" t="str">
        <f t="shared" si="862"/>
        <v>L11X20-000_000_36</v>
      </c>
      <c r="D436" s="43">
        <f t="shared" si="878"/>
        <v>20</v>
      </c>
      <c r="E436" s="61">
        <f t="shared" si="902"/>
        <v>2.8840000000000003</v>
      </c>
      <c r="F436" s="44">
        <f t="shared" si="885"/>
        <v>14.420000000000002</v>
      </c>
      <c r="G436" s="44">
        <f t="shared" si="886"/>
        <v>11.536000000000001</v>
      </c>
      <c r="H436" s="44">
        <f t="shared" si="887"/>
        <v>7.2100000000000009</v>
      </c>
      <c r="I436" s="44">
        <f t="shared" si="907"/>
        <v>8</v>
      </c>
      <c r="J436" s="45">
        <f t="shared" si="925"/>
        <v>0</v>
      </c>
      <c r="K436" s="87" t="s">
        <v>863</v>
      </c>
      <c r="L436" s="44">
        <f t="shared" ref="L436:N436" si="957">L435</f>
        <v>0.2</v>
      </c>
      <c r="M436" s="44">
        <f t="shared" si="957"/>
        <v>150</v>
      </c>
      <c r="N436" s="44">
        <f t="shared" si="957"/>
        <v>750</v>
      </c>
      <c r="P436" s="38">
        <f t="shared" si="909"/>
        <v>19</v>
      </c>
      <c r="Q436" s="38">
        <f t="shared" si="910"/>
        <v>21</v>
      </c>
      <c r="R436" s="39">
        <f t="shared" si="911"/>
        <v>0.99352955814402111</v>
      </c>
      <c r="S436" s="39">
        <f t="shared" si="912"/>
        <v>0.99788250522936717</v>
      </c>
      <c r="T436" s="39">
        <f t="shared" si="915"/>
        <v>4.3529470853460595E-3</v>
      </c>
      <c r="U436" s="89">
        <f t="shared" si="937"/>
        <v>7.1359788284361633E-5</v>
      </c>
    </row>
    <row r="437" spans="1:21" ht="15.75" thickBot="1" x14ac:dyDescent="0.3">
      <c r="A437" s="41">
        <f t="shared" ref="A437:B437" si="958">A436+1</f>
        <v>427</v>
      </c>
      <c r="B437" s="42">
        <f t="shared" si="958"/>
        <v>427</v>
      </c>
      <c r="C437" s="92" t="str">
        <f t="shared" si="862"/>
        <v>L11X20-000_000_37</v>
      </c>
      <c r="D437" s="43">
        <f t="shared" si="878"/>
        <v>20</v>
      </c>
      <c r="E437" s="61">
        <f t="shared" si="902"/>
        <v>2.8840000000000003</v>
      </c>
      <c r="F437" s="44">
        <f t="shared" si="885"/>
        <v>14.420000000000002</v>
      </c>
      <c r="G437" s="44">
        <f t="shared" si="886"/>
        <v>11.536000000000001</v>
      </c>
      <c r="H437" s="44">
        <f t="shared" si="887"/>
        <v>7.2100000000000009</v>
      </c>
      <c r="I437" s="44">
        <f t="shared" si="907"/>
        <v>8</v>
      </c>
      <c r="J437" s="45">
        <f t="shared" si="925"/>
        <v>0</v>
      </c>
      <c r="K437" s="87" t="s">
        <v>864</v>
      </c>
      <c r="L437" s="44">
        <f t="shared" ref="L437:N437" si="959">L436</f>
        <v>0.2</v>
      </c>
      <c r="M437" s="44">
        <f t="shared" si="959"/>
        <v>150</v>
      </c>
      <c r="N437" s="44">
        <f t="shared" si="959"/>
        <v>750</v>
      </c>
      <c r="P437" s="38">
        <f t="shared" si="909"/>
        <v>19</v>
      </c>
      <c r="Q437" s="38">
        <f t="shared" si="910"/>
        <v>21</v>
      </c>
      <c r="R437" s="39">
        <f t="shared" si="911"/>
        <v>0.99352955814402111</v>
      </c>
      <c r="S437" s="39">
        <f t="shared" si="912"/>
        <v>0.99788250522936717</v>
      </c>
      <c r="T437" s="39">
        <f t="shared" si="915"/>
        <v>4.3529470853460595E-3</v>
      </c>
      <c r="U437" s="89">
        <f t="shared" si="937"/>
        <v>7.1359788284361633E-5</v>
      </c>
    </row>
    <row r="438" spans="1:21" ht="15.75" thickBot="1" x14ac:dyDescent="0.3">
      <c r="A438" s="41">
        <f t="shared" ref="A438:B438" si="960">A437+1</f>
        <v>428</v>
      </c>
      <c r="B438" s="42">
        <f t="shared" si="960"/>
        <v>428</v>
      </c>
      <c r="C438" s="92" t="str">
        <f t="shared" si="862"/>
        <v>L11X20-000_000_38</v>
      </c>
      <c r="D438" s="43">
        <f t="shared" si="878"/>
        <v>20</v>
      </c>
      <c r="E438" s="61">
        <f t="shared" si="902"/>
        <v>2.8840000000000003</v>
      </c>
      <c r="F438" s="44">
        <f t="shared" si="885"/>
        <v>14.420000000000002</v>
      </c>
      <c r="G438" s="44">
        <f t="shared" si="886"/>
        <v>11.536000000000001</v>
      </c>
      <c r="H438" s="44">
        <f t="shared" si="887"/>
        <v>7.2100000000000009</v>
      </c>
      <c r="I438" s="44">
        <f t="shared" si="907"/>
        <v>8</v>
      </c>
      <c r="J438" s="45">
        <f t="shared" si="925"/>
        <v>0</v>
      </c>
      <c r="K438" s="87" t="s">
        <v>865</v>
      </c>
      <c r="L438" s="44">
        <f t="shared" ref="L438:N438" si="961">L437</f>
        <v>0.2</v>
      </c>
      <c r="M438" s="44">
        <f t="shared" si="961"/>
        <v>150</v>
      </c>
      <c r="N438" s="44">
        <f t="shared" si="961"/>
        <v>750</v>
      </c>
      <c r="P438" s="38">
        <f t="shared" si="909"/>
        <v>19</v>
      </c>
      <c r="Q438" s="38">
        <f t="shared" si="910"/>
        <v>21</v>
      </c>
      <c r="R438" s="39">
        <f t="shared" si="911"/>
        <v>0.99352955814402111</v>
      </c>
      <c r="S438" s="39">
        <f t="shared" si="912"/>
        <v>0.99788250522936717</v>
      </c>
      <c r="T438" s="39">
        <f t="shared" si="915"/>
        <v>4.3529470853460595E-3</v>
      </c>
      <c r="U438" s="89">
        <f t="shared" si="937"/>
        <v>7.1359788284361633E-5</v>
      </c>
    </row>
    <row r="439" spans="1:21" ht="15.75" thickBot="1" x14ac:dyDescent="0.3">
      <c r="A439" s="41">
        <f t="shared" ref="A439:B439" si="962">A438+1</f>
        <v>429</v>
      </c>
      <c r="B439" s="42">
        <f t="shared" si="962"/>
        <v>429</v>
      </c>
      <c r="C439" s="92" t="str">
        <f t="shared" si="862"/>
        <v>L11X20-000_000_39</v>
      </c>
      <c r="D439" s="43">
        <f t="shared" si="878"/>
        <v>20</v>
      </c>
      <c r="E439" s="61">
        <f t="shared" si="902"/>
        <v>2.8840000000000003</v>
      </c>
      <c r="F439" s="44">
        <f t="shared" si="885"/>
        <v>14.420000000000002</v>
      </c>
      <c r="G439" s="44">
        <f t="shared" si="886"/>
        <v>11.536000000000001</v>
      </c>
      <c r="H439" s="44">
        <f t="shared" si="887"/>
        <v>7.2100000000000009</v>
      </c>
      <c r="I439" s="44">
        <f t="shared" si="907"/>
        <v>8</v>
      </c>
      <c r="J439" s="45">
        <f t="shared" si="925"/>
        <v>0</v>
      </c>
      <c r="K439" s="87" t="s">
        <v>866</v>
      </c>
      <c r="L439" s="44">
        <f t="shared" ref="L439:N439" si="963">L438</f>
        <v>0.2</v>
      </c>
      <c r="M439" s="44">
        <f t="shared" si="963"/>
        <v>150</v>
      </c>
      <c r="N439" s="44">
        <f t="shared" si="963"/>
        <v>750</v>
      </c>
      <c r="P439" s="38">
        <f t="shared" si="909"/>
        <v>19</v>
      </c>
      <c r="Q439" s="38">
        <f t="shared" si="910"/>
        <v>21</v>
      </c>
      <c r="R439" s="39">
        <f t="shared" si="911"/>
        <v>0.99352955814402111</v>
      </c>
      <c r="S439" s="39">
        <f t="shared" si="912"/>
        <v>0.99788250522936717</v>
      </c>
      <c r="T439" s="39">
        <f t="shared" si="915"/>
        <v>4.3529470853460595E-3</v>
      </c>
      <c r="U439" s="89">
        <f t="shared" si="937"/>
        <v>7.1359788284361633E-5</v>
      </c>
    </row>
    <row r="440" spans="1:21" ht="15.75" thickBot="1" x14ac:dyDescent="0.3">
      <c r="A440" s="41">
        <f t="shared" ref="A440:B440" si="964">A439+1</f>
        <v>430</v>
      </c>
      <c r="B440" s="42">
        <f t="shared" si="964"/>
        <v>430</v>
      </c>
      <c r="C440" s="92" t="str">
        <f t="shared" si="862"/>
        <v>L11X20-000_000_40</v>
      </c>
      <c r="D440" s="43">
        <f t="shared" si="878"/>
        <v>20</v>
      </c>
      <c r="E440" s="61">
        <f t="shared" si="902"/>
        <v>2.8840000000000003</v>
      </c>
      <c r="F440" s="44">
        <f t="shared" si="885"/>
        <v>14.420000000000002</v>
      </c>
      <c r="G440" s="44">
        <f t="shared" si="886"/>
        <v>11.536000000000001</v>
      </c>
      <c r="H440" s="44">
        <f t="shared" si="887"/>
        <v>7.2100000000000009</v>
      </c>
      <c r="I440" s="44">
        <f t="shared" si="907"/>
        <v>8</v>
      </c>
      <c r="J440" s="45">
        <f t="shared" si="925"/>
        <v>0</v>
      </c>
      <c r="K440" s="87" t="s">
        <v>867</v>
      </c>
      <c r="L440" s="44">
        <f t="shared" ref="L440:N440" si="965">L439</f>
        <v>0.2</v>
      </c>
      <c r="M440" s="44">
        <f t="shared" si="965"/>
        <v>150</v>
      </c>
      <c r="N440" s="44">
        <f t="shared" si="965"/>
        <v>750</v>
      </c>
      <c r="P440" s="38">
        <f t="shared" si="909"/>
        <v>19</v>
      </c>
      <c r="Q440" s="38">
        <f t="shared" si="910"/>
        <v>21</v>
      </c>
      <c r="R440" s="39">
        <f t="shared" si="911"/>
        <v>0.99352955814402111</v>
      </c>
      <c r="S440" s="39">
        <f t="shared" si="912"/>
        <v>0.99788250522936717</v>
      </c>
      <c r="T440" s="39">
        <f t="shared" si="915"/>
        <v>4.3529470853460595E-3</v>
      </c>
      <c r="U440" s="89">
        <f t="shared" si="937"/>
        <v>7.1359788284361633E-5</v>
      </c>
    </row>
    <row r="441" spans="1:21" ht="15.75" thickBot="1" x14ac:dyDescent="0.3">
      <c r="A441" s="41">
        <f t="shared" ref="A441:B441" si="966">A440+1</f>
        <v>431</v>
      </c>
      <c r="B441" s="42">
        <f t="shared" si="966"/>
        <v>431</v>
      </c>
      <c r="C441" s="92" t="str">
        <f t="shared" si="862"/>
        <v>L11X20-008_000_41</v>
      </c>
      <c r="D441" s="43">
        <f t="shared" si="878"/>
        <v>20</v>
      </c>
      <c r="E441" s="61">
        <f t="shared" si="902"/>
        <v>2.8840000000000003</v>
      </c>
      <c r="F441" s="44">
        <f t="shared" si="885"/>
        <v>14.420000000000002</v>
      </c>
      <c r="G441" s="44">
        <f t="shared" si="886"/>
        <v>11.536000000000001</v>
      </c>
      <c r="H441" s="44">
        <f t="shared" si="887"/>
        <v>7.2100000000000009</v>
      </c>
      <c r="I441" s="44">
        <f t="shared" si="907"/>
        <v>8</v>
      </c>
      <c r="J441" s="45">
        <f t="shared" ref="J441:J460" si="967">yaw_max</f>
        <v>8</v>
      </c>
      <c r="K441" s="87" t="s">
        <v>868</v>
      </c>
      <c r="L441" s="44">
        <f t="shared" ref="L441:N441" si="968">L440</f>
        <v>0.2</v>
      </c>
      <c r="M441" s="44">
        <f t="shared" si="968"/>
        <v>150</v>
      </c>
      <c r="N441" s="44">
        <f t="shared" si="968"/>
        <v>750</v>
      </c>
      <c r="P441" s="38">
        <f t="shared" si="909"/>
        <v>19</v>
      </c>
      <c r="Q441" s="38">
        <f t="shared" si="910"/>
        <v>21</v>
      </c>
      <c r="R441" s="39">
        <f t="shared" si="911"/>
        <v>0.99352955814402111</v>
      </c>
      <c r="S441" s="39">
        <f t="shared" si="912"/>
        <v>0.99788250522936717</v>
      </c>
      <c r="T441" s="39">
        <f t="shared" si="915"/>
        <v>4.3529470853460595E-3</v>
      </c>
      <c r="U441" s="89">
        <f t="shared" si="937"/>
        <v>7.1359788284361633E-5</v>
      </c>
    </row>
    <row r="442" spans="1:21" ht="15.75" thickBot="1" x14ac:dyDescent="0.3">
      <c r="A442" s="41">
        <f t="shared" ref="A442:B442" si="969">A441+1</f>
        <v>432</v>
      </c>
      <c r="B442" s="42">
        <f t="shared" si="969"/>
        <v>432</v>
      </c>
      <c r="C442" s="92" t="str">
        <f t="shared" si="862"/>
        <v>L11X20-008_000_42</v>
      </c>
      <c r="D442" s="43">
        <f t="shared" si="878"/>
        <v>20</v>
      </c>
      <c r="E442" s="61">
        <f t="shared" si="902"/>
        <v>2.8840000000000003</v>
      </c>
      <c r="F442" s="44">
        <f t="shared" si="885"/>
        <v>14.420000000000002</v>
      </c>
      <c r="G442" s="44">
        <f t="shared" si="886"/>
        <v>11.536000000000001</v>
      </c>
      <c r="H442" s="44">
        <f t="shared" si="887"/>
        <v>7.2100000000000009</v>
      </c>
      <c r="I442" s="44">
        <f t="shared" si="907"/>
        <v>8</v>
      </c>
      <c r="J442" s="45">
        <f t="shared" si="967"/>
        <v>8</v>
      </c>
      <c r="K442" s="87" t="s">
        <v>869</v>
      </c>
      <c r="L442" s="44">
        <f t="shared" ref="L442:N442" si="970">L441</f>
        <v>0.2</v>
      </c>
      <c r="M442" s="44">
        <f t="shared" si="970"/>
        <v>150</v>
      </c>
      <c r="N442" s="44">
        <f t="shared" si="970"/>
        <v>750</v>
      </c>
      <c r="P442" s="38">
        <f t="shared" si="909"/>
        <v>19</v>
      </c>
      <c r="Q442" s="38">
        <f t="shared" si="910"/>
        <v>21</v>
      </c>
      <c r="R442" s="39">
        <f t="shared" si="911"/>
        <v>0.99352955814402111</v>
      </c>
      <c r="S442" s="39">
        <f t="shared" si="912"/>
        <v>0.99788250522936717</v>
      </c>
      <c r="T442" s="39">
        <f t="shared" si="915"/>
        <v>4.3529470853460595E-3</v>
      </c>
      <c r="U442" s="89">
        <f t="shared" si="937"/>
        <v>7.1359788284361633E-5</v>
      </c>
    </row>
    <row r="443" spans="1:21" ht="15.75" thickBot="1" x14ac:dyDescent="0.3">
      <c r="A443" s="41">
        <f t="shared" ref="A443:B443" si="971">A442+1</f>
        <v>433</v>
      </c>
      <c r="B443" s="42">
        <f t="shared" si="971"/>
        <v>433</v>
      </c>
      <c r="C443" s="92" t="str">
        <f t="shared" si="862"/>
        <v>L11X20-008_000_43</v>
      </c>
      <c r="D443" s="43">
        <f t="shared" si="878"/>
        <v>20</v>
      </c>
      <c r="E443" s="61">
        <f t="shared" si="902"/>
        <v>2.8840000000000003</v>
      </c>
      <c r="F443" s="44">
        <f t="shared" si="885"/>
        <v>14.420000000000002</v>
      </c>
      <c r="G443" s="44">
        <f t="shared" si="886"/>
        <v>11.536000000000001</v>
      </c>
      <c r="H443" s="44">
        <f t="shared" si="887"/>
        <v>7.2100000000000009</v>
      </c>
      <c r="I443" s="44">
        <f t="shared" si="907"/>
        <v>8</v>
      </c>
      <c r="J443" s="45">
        <f t="shared" si="967"/>
        <v>8</v>
      </c>
      <c r="K443" s="87" t="s">
        <v>870</v>
      </c>
      <c r="L443" s="44">
        <f t="shared" ref="L443:N443" si="972">L442</f>
        <v>0.2</v>
      </c>
      <c r="M443" s="44">
        <f t="shared" si="972"/>
        <v>150</v>
      </c>
      <c r="N443" s="44">
        <f t="shared" si="972"/>
        <v>750</v>
      </c>
      <c r="P443" s="38">
        <f t="shared" si="909"/>
        <v>19</v>
      </c>
      <c r="Q443" s="38">
        <f t="shared" si="910"/>
        <v>21</v>
      </c>
      <c r="R443" s="39">
        <f t="shared" si="911"/>
        <v>0.99352955814402111</v>
      </c>
      <c r="S443" s="39">
        <f t="shared" si="912"/>
        <v>0.99788250522936717</v>
      </c>
      <c r="T443" s="39">
        <f t="shared" si="915"/>
        <v>4.3529470853460595E-3</v>
      </c>
      <c r="U443" s="89">
        <f t="shared" si="937"/>
        <v>7.1359788284361633E-5</v>
      </c>
    </row>
    <row r="444" spans="1:21" ht="15.75" thickBot="1" x14ac:dyDescent="0.3">
      <c r="A444" s="41">
        <f t="shared" ref="A444:B444" si="973">A443+1</f>
        <v>434</v>
      </c>
      <c r="B444" s="42">
        <f t="shared" si="973"/>
        <v>434</v>
      </c>
      <c r="C444" s="92" t="str">
        <f t="shared" si="862"/>
        <v>L11X20-008_000_44</v>
      </c>
      <c r="D444" s="43">
        <f t="shared" si="878"/>
        <v>20</v>
      </c>
      <c r="E444" s="61">
        <f t="shared" si="902"/>
        <v>2.8840000000000003</v>
      </c>
      <c r="F444" s="44">
        <f t="shared" si="885"/>
        <v>14.420000000000002</v>
      </c>
      <c r="G444" s="44">
        <f t="shared" si="886"/>
        <v>11.536000000000001</v>
      </c>
      <c r="H444" s="44">
        <f t="shared" si="887"/>
        <v>7.2100000000000009</v>
      </c>
      <c r="I444" s="44">
        <f t="shared" si="907"/>
        <v>8</v>
      </c>
      <c r="J444" s="45">
        <f t="shared" si="967"/>
        <v>8</v>
      </c>
      <c r="K444" s="87" t="s">
        <v>871</v>
      </c>
      <c r="L444" s="44">
        <f t="shared" ref="L444:N444" si="974">L443</f>
        <v>0.2</v>
      </c>
      <c r="M444" s="44">
        <f t="shared" si="974"/>
        <v>150</v>
      </c>
      <c r="N444" s="44">
        <f t="shared" si="974"/>
        <v>750</v>
      </c>
      <c r="P444" s="38">
        <f t="shared" si="909"/>
        <v>19</v>
      </c>
      <c r="Q444" s="38">
        <f t="shared" si="910"/>
        <v>21</v>
      </c>
      <c r="R444" s="39">
        <f t="shared" si="911"/>
        <v>0.99352955814402111</v>
      </c>
      <c r="S444" s="39">
        <f t="shared" si="912"/>
        <v>0.99788250522936717</v>
      </c>
      <c r="T444" s="39">
        <f t="shared" si="915"/>
        <v>4.3529470853460595E-3</v>
      </c>
      <c r="U444" s="89">
        <f t="shared" si="937"/>
        <v>7.1359788284361633E-5</v>
      </c>
    </row>
    <row r="445" spans="1:21" ht="15.75" thickBot="1" x14ac:dyDescent="0.3">
      <c r="A445" s="41">
        <f t="shared" ref="A445:B445" si="975">A444+1</f>
        <v>435</v>
      </c>
      <c r="B445" s="42">
        <f t="shared" si="975"/>
        <v>435</v>
      </c>
      <c r="C445" s="92" t="str">
        <f t="shared" si="862"/>
        <v>L11X20-008_000_45</v>
      </c>
      <c r="D445" s="43">
        <f t="shared" si="878"/>
        <v>20</v>
      </c>
      <c r="E445" s="61">
        <f t="shared" si="902"/>
        <v>2.8840000000000003</v>
      </c>
      <c r="F445" s="44">
        <f t="shared" si="885"/>
        <v>14.420000000000002</v>
      </c>
      <c r="G445" s="44">
        <f t="shared" si="886"/>
        <v>11.536000000000001</v>
      </c>
      <c r="H445" s="44">
        <f t="shared" si="887"/>
        <v>7.2100000000000009</v>
      </c>
      <c r="I445" s="44">
        <f t="shared" si="907"/>
        <v>8</v>
      </c>
      <c r="J445" s="45">
        <f t="shared" si="967"/>
        <v>8</v>
      </c>
      <c r="K445" s="87" t="s">
        <v>872</v>
      </c>
      <c r="L445" s="44">
        <f t="shared" ref="L445:N445" si="976">L444</f>
        <v>0.2</v>
      </c>
      <c r="M445" s="44">
        <f t="shared" si="976"/>
        <v>150</v>
      </c>
      <c r="N445" s="44">
        <f t="shared" si="976"/>
        <v>750</v>
      </c>
      <c r="P445" s="38">
        <f t="shared" si="909"/>
        <v>19</v>
      </c>
      <c r="Q445" s="38">
        <f t="shared" si="910"/>
        <v>21</v>
      </c>
      <c r="R445" s="39">
        <f t="shared" si="911"/>
        <v>0.99352955814402111</v>
      </c>
      <c r="S445" s="39">
        <f t="shared" si="912"/>
        <v>0.99788250522936717</v>
      </c>
      <c r="T445" s="39">
        <f t="shared" si="915"/>
        <v>4.3529470853460595E-3</v>
      </c>
      <c r="U445" s="89">
        <f t="shared" si="937"/>
        <v>7.1359788284361633E-5</v>
      </c>
    </row>
    <row r="446" spans="1:21" ht="15.75" thickBot="1" x14ac:dyDescent="0.3">
      <c r="A446" s="41">
        <f t="shared" ref="A446:B446" si="977">A445+1</f>
        <v>436</v>
      </c>
      <c r="B446" s="42">
        <f t="shared" si="977"/>
        <v>436</v>
      </c>
      <c r="C446" s="92" t="str">
        <f t="shared" si="862"/>
        <v>L11X20-008_000_46</v>
      </c>
      <c r="D446" s="43">
        <f t="shared" si="878"/>
        <v>20</v>
      </c>
      <c r="E446" s="61">
        <f t="shared" si="902"/>
        <v>2.8840000000000003</v>
      </c>
      <c r="F446" s="44">
        <f t="shared" si="885"/>
        <v>14.420000000000002</v>
      </c>
      <c r="G446" s="44">
        <f t="shared" si="886"/>
        <v>11.536000000000001</v>
      </c>
      <c r="H446" s="44">
        <f t="shared" si="887"/>
        <v>7.2100000000000009</v>
      </c>
      <c r="I446" s="44">
        <f t="shared" si="907"/>
        <v>8</v>
      </c>
      <c r="J446" s="45">
        <f t="shared" si="967"/>
        <v>8</v>
      </c>
      <c r="K446" s="87" t="s">
        <v>873</v>
      </c>
      <c r="L446" s="44">
        <f t="shared" ref="L446:N446" si="978">L445</f>
        <v>0.2</v>
      </c>
      <c r="M446" s="44">
        <f t="shared" si="978"/>
        <v>150</v>
      </c>
      <c r="N446" s="44">
        <f t="shared" si="978"/>
        <v>750</v>
      </c>
      <c r="P446" s="38">
        <f t="shared" si="909"/>
        <v>19</v>
      </c>
      <c r="Q446" s="38">
        <f t="shared" si="910"/>
        <v>21</v>
      </c>
      <c r="R446" s="39">
        <f t="shared" si="911"/>
        <v>0.99352955814402111</v>
      </c>
      <c r="S446" s="39">
        <f t="shared" si="912"/>
        <v>0.99788250522936717</v>
      </c>
      <c r="T446" s="39">
        <f t="shared" si="915"/>
        <v>4.3529470853460595E-3</v>
      </c>
      <c r="U446" s="89">
        <f t="shared" si="937"/>
        <v>7.1359788284361633E-5</v>
      </c>
    </row>
    <row r="447" spans="1:21" ht="15.75" thickBot="1" x14ac:dyDescent="0.3">
      <c r="A447" s="41">
        <f t="shared" ref="A447:B447" si="979">A446+1</f>
        <v>437</v>
      </c>
      <c r="B447" s="42">
        <f t="shared" si="979"/>
        <v>437</v>
      </c>
      <c r="C447" s="92" t="str">
        <f t="shared" si="862"/>
        <v>L11X20-008_000_47</v>
      </c>
      <c r="D447" s="43">
        <f t="shared" si="878"/>
        <v>20</v>
      </c>
      <c r="E447" s="61">
        <f t="shared" si="902"/>
        <v>2.8840000000000003</v>
      </c>
      <c r="F447" s="44">
        <f t="shared" si="885"/>
        <v>14.420000000000002</v>
      </c>
      <c r="G447" s="44">
        <f t="shared" si="886"/>
        <v>11.536000000000001</v>
      </c>
      <c r="H447" s="44">
        <f t="shared" si="887"/>
        <v>7.2100000000000009</v>
      </c>
      <c r="I447" s="44">
        <f t="shared" si="907"/>
        <v>8</v>
      </c>
      <c r="J447" s="45">
        <f t="shared" si="967"/>
        <v>8</v>
      </c>
      <c r="K447" s="87" t="s">
        <v>874</v>
      </c>
      <c r="L447" s="44">
        <f t="shared" ref="L447:N447" si="980">L446</f>
        <v>0.2</v>
      </c>
      <c r="M447" s="44">
        <f t="shared" si="980"/>
        <v>150</v>
      </c>
      <c r="N447" s="44">
        <f t="shared" si="980"/>
        <v>750</v>
      </c>
      <c r="P447" s="38">
        <f t="shared" si="909"/>
        <v>19</v>
      </c>
      <c r="Q447" s="38">
        <f t="shared" si="910"/>
        <v>21</v>
      </c>
      <c r="R447" s="39">
        <f t="shared" si="911"/>
        <v>0.99352955814402111</v>
      </c>
      <c r="S447" s="39">
        <f t="shared" si="912"/>
        <v>0.99788250522936717</v>
      </c>
      <c r="T447" s="39">
        <f t="shared" si="915"/>
        <v>4.3529470853460595E-3</v>
      </c>
      <c r="U447" s="89">
        <f t="shared" si="937"/>
        <v>7.1359788284361633E-5</v>
      </c>
    </row>
    <row r="448" spans="1:21" ht="15.75" thickBot="1" x14ac:dyDescent="0.3">
      <c r="A448" s="41">
        <f t="shared" ref="A448:B448" si="981">A447+1</f>
        <v>438</v>
      </c>
      <c r="B448" s="42">
        <f t="shared" si="981"/>
        <v>438</v>
      </c>
      <c r="C448" s="92" t="str">
        <f t="shared" si="862"/>
        <v>L11X20-008_000_48</v>
      </c>
      <c r="D448" s="43">
        <f t="shared" si="878"/>
        <v>20</v>
      </c>
      <c r="E448" s="61">
        <f t="shared" si="902"/>
        <v>2.8840000000000003</v>
      </c>
      <c r="F448" s="44">
        <f t="shared" si="885"/>
        <v>14.420000000000002</v>
      </c>
      <c r="G448" s="44">
        <f t="shared" si="886"/>
        <v>11.536000000000001</v>
      </c>
      <c r="H448" s="44">
        <f t="shared" si="887"/>
        <v>7.2100000000000009</v>
      </c>
      <c r="I448" s="44">
        <f t="shared" si="907"/>
        <v>8</v>
      </c>
      <c r="J448" s="45">
        <f t="shared" si="967"/>
        <v>8</v>
      </c>
      <c r="K448" s="87" t="s">
        <v>875</v>
      </c>
      <c r="L448" s="44">
        <f t="shared" ref="L448:N448" si="982">L447</f>
        <v>0.2</v>
      </c>
      <c r="M448" s="44">
        <f t="shared" si="982"/>
        <v>150</v>
      </c>
      <c r="N448" s="44">
        <f t="shared" si="982"/>
        <v>750</v>
      </c>
      <c r="P448" s="38">
        <f t="shared" si="909"/>
        <v>19</v>
      </c>
      <c r="Q448" s="38">
        <f t="shared" si="910"/>
        <v>21</v>
      </c>
      <c r="R448" s="39">
        <f t="shared" si="911"/>
        <v>0.99352955814402111</v>
      </c>
      <c r="S448" s="39">
        <f t="shared" si="912"/>
        <v>0.99788250522936717</v>
      </c>
      <c r="T448" s="39">
        <f t="shared" si="915"/>
        <v>4.3529470853460595E-3</v>
      </c>
      <c r="U448" s="89">
        <f t="shared" si="937"/>
        <v>7.1359788284361633E-5</v>
      </c>
    </row>
    <row r="449" spans="1:21" ht="15.75" thickBot="1" x14ac:dyDescent="0.3">
      <c r="A449" s="41">
        <f t="shared" ref="A449:B449" si="983">A448+1</f>
        <v>439</v>
      </c>
      <c r="B449" s="42">
        <f t="shared" si="983"/>
        <v>439</v>
      </c>
      <c r="C449" s="92" t="str">
        <f t="shared" si="862"/>
        <v>L11X20-008_000_49</v>
      </c>
      <c r="D449" s="43">
        <f t="shared" si="878"/>
        <v>20</v>
      </c>
      <c r="E449" s="61">
        <f t="shared" si="902"/>
        <v>2.8840000000000003</v>
      </c>
      <c r="F449" s="44">
        <f t="shared" si="885"/>
        <v>14.420000000000002</v>
      </c>
      <c r="G449" s="44">
        <f t="shared" si="886"/>
        <v>11.536000000000001</v>
      </c>
      <c r="H449" s="44">
        <f t="shared" si="887"/>
        <v>7.2100000000000009</v>
      </c>
      <c r="I449" s="44">
        <f t="shared" si="907"/>
        <v>8</v>
      </c>
      <c r="J449" s="45">
        <f t="shared" si="967"/>
        <v>8</v>
      </c>
      <c r="K449" s="87" t="s">
        <v>876</v>
      </c>
      <c r="L449" s="44">
        <f t="shared" ref="L449:N449" si="984">L448</f>
        <v>0.2</v>
      </c>
      <c r="M449" s="44">
        <f t="shared" si="984"/>
        <v>150</v>
      </c>
      <c r="N449" s="44">
        <f t="shared" si="984"/>
        <v>750</v>
      </c>
      <c r="P449" s="38">
        <f t="shared" si="909"/>
        <v>19</v>
      </c>
      <c r="Q449" s="38">
        <f t="shared" si="910"/>
        <v>21</v>
      </c>
      <c r="R449" s="39">
        <f t="shared" si="911"/>
        <v>0.99352955814402111</v>
      </c>
      <c r="S449" s="39">
        <f t="shared" si="912"/>
        <v>0.99788250522936717</v>
      </c>
      <c r="T449" s="39">
        <f t="shared" si="915"/>
        <v>4.3529470853460595E-3</v>
      </c>
      <c r="U449" s="89">
        <f t="shared" si="937"/>
        <v>7.1359788284361633E-5</v>
      </c>
    </row>
    <row r="450" spans="1:21" ht="15.75" thickBot="1" x14ac:dyDescent="0.3">
      <c r="A450" s="41">
        <f t="shared" ref="A450:B450" si="985">A449+1</f>
        <v>440</v>
      </c>
      <c r="B450" s="42">
        <f t="shared" si="985"/>
        <v>440</v>
      </c>
      <c r="C450" s="92" t="str">
        <f t="shared" si="862"/>
        <v>L11X20-008_000_50</v>
      </c>
      <c r="D450" s="43">
        <f t="shared" si="878"/>
        <v>20</v>
      </c>
      <c r="E450" s="61">
        <f t="shared" si="902"/>
        <v>2.8840000000000003</v>
      </c>
      <c r="F450" s="44">
        <f t="shared" si="885"/>
        <v>14.420000000000002</v>
      </c>
      <c r="G450" s="44">
        <f t="shared" si="886"/>
        <v>11.536000000000001</v>
      </c>
      <c r="H450" s="44">
        <f t="shared" si="887"/>
        <v>7.2100000000000009</v>
      </c>
      <c r="I450" s="44">
        <f t="shared" si="907"/>
        <v>8</v>
      </c>
      <c r="J450" s="45">
        <f t="shared" si="967"/>
        <v>8</v>
      </c>
      <c r="K450" s="87" t="s">
        <v>877</v>
      </c>
      <c r="L450" s="44">
        <f t="shared" ref="L450:N450" si="986">L449</f>
        <v>0.2</v>
      </c>
      <c r="M450" s="44">
        <f t="shared" si="986"/>
        <v>150</v>
      </c>
      <c r="N450" s="44">
        <f t="shared" si="986"/>
        <v>750</v>
      </c>
      <c r="P450" s="38">
        <f t="shared" si="909"/>
        <v>19</v>
      </c>
      <c r="Q450" s="38">
        <f t="shared" si="910"/>
        <v>21</v>
      </c>
      <c r="R450" s="39">
        <f t="shared" si="911"/>
        <v>0.99352955814402111</v>
      </c>
      <c r="S450" s="39">
        <f t="shared" si="912"/>
        <v>0.99788250522936717</v>
      </c>
      <c r="T450" s="39">
        <f t="shared" si="915"/>
        <v>4.3529470853460595E-3</v>
      </c>
      <c r="U450" s="89">
        <f t="shared" si="937"/>
        <v>7.1359788284361633E-5</v>
      </c>
    </row>
    <row r="451" spans="1:21" ht="15.75" thickBot="1" x14ac:dyDescent="0.3">
      <c r="A451" s="41">
        <f t="shared" ref="A451:B451" si="987">A450+1</f>
        <v>441</v>
      </c>
      <c r="B451" s="42">
        <f t="shared" si="987"/>
        <v>441</v>
      </c>
      <c r="C451" s="92" t="str">
        <f t="shared" si="862"/>
        <v>L11X20-008_000_51</v>
      </c>
      <c r="D451" s="43">
        <f t="shared" si="878"/>
        <v>20</v>
      </c>
      <c r="E451" s="61">
        <f t="shared" si="902"/>
        <v>2.8840000000000003</v>
      </c>
      <c r="F451" s="44">
        <f t="shared" si="885"/>
        <v>14.420000000000002</v>
      </c>
      <c r="G451" s="44">
        <f t="shared" si="886"/>
        <v>11.536000000000001</v>
      </c>
      <c r="H451" s="44">
        <f t="shared" si="887"/>
        <v>7.2100000000000009</v>
      </c>
      <c r="I451" s="44">
        <f t="shared" si="907"/>
        <v>8</v>
      </c>
      <c r="J451" s="45">
        <f t="shared" si="967"/>
        <v>8</v>
      </c>
      <c r="K451" s="87" t="s">
        <v>878</v>
      </c>
      <c r="L451" s="44">
        <f t="shared" ref="L451:N451" si="988">L450</f>
        <v>0.2</v>
      </c>
      <c r="M451" s="44">
        <f t="shared" si="988"/>
        <v>150</v>
      </c>
      <c r="N451" s="44">
        <f t="shared" si="988"/>
        <v>750</v>
      </c>
      <c r="P451" s="38">
        <f t="shared" si="909"/>
        <v>19</v>
      </c>
      <c r="Q451" s="38">
        <f t="shared" si="910"/>
        <v>21</v>
      </c>
      <c r="R451" s="39">
        <f t="shared" si="911"/>
        <v>0.99352955814402111</v>
      </c>
      <c r="S451" s="39">
        <f t="shared" si="912"/>
        <v>0.99788250522936717</v>
      </c>
      <c r="T451" s="39">
        <f t="shared" si="915"/>
        <v>4.3529470853460595E-3</v>
      </c>
      <c r="U451" s="89">
        <f t="shared" si="937"/>
        <v>7.1359788284361633E-5</v>
      </c>
    </row>
    <row r="452" spans="1:21" ht="15.75" thickBot="1" x14ac:dyDescent="0.3">
      <c r="A452" s="41">
        <f t="shared" ref="A452:B452" si="989">A451+1</f>
        <v>442</v>
      </c>
      <c r="B452" s="42">
        <f t="shared" si="989"/>
        <v>442</v>
      </c>
      <c r="C452" s="92" t="str">
        <f t="shared" si="862"/>
        <v>L11X20-008_000_52</v>
      </c>
      <c r="D452" s="43">
        <f t="shared" si="878"/>
        <v>20</v>
      </c>
      <c r="E452" s="61">
        <f t="shared" si="902"/>
        <v>2.8840000000000003</v>
      </c>
      <c r="F452" s="44">
        <f t="shared" si="885"/>
        <v>14.420000000000002</v>
      </c>
      <c r="G452" s="44">
        <f t="shared" si="886"/>
        <v>11.536000000000001</v>
      </c>
      <c r="H452" s="44">
        <f t="shared" si="887"/>
        <v>7.2100000000000009</v>
      </c>
      <c r="I452" s="44">
        <f t="shared" si="907"/>
        <v>8</v>
      </c>
      <c r="J452" s="45">
        <f t="shared" si="967"/>
        <v>8</v>
      </c>
      <c r="K452" s="87" t="s">
        <v>879</v>
      </c>
      <c r="L452" s="44">
        <f t="shared" ref="L452:N452" si="990">L451</f>
        <v>0.2</v>
      </c>
      <c r="M452" s="44">
        <f t="shared" si="990"/>
        <v>150</v>
      </c>
      <c r="N452" s="44">
        <f t="shared" si="990"/>
        <v>750</v>
      </c>
      <c r="P452" s="38">
        <f t="shared" si="909"/>
        <v>19</v>
      </c>
      <c r="Q452" s="38">
        <f t="shared" si="910"/>
        <v>21</v>
      </c>
      <c r="R452" s="39">
        <f t="shared" si="911"/>
        <v>0.99352955814402111</v>
      </c>
      <c r="S452" s="39">
        <f t="shared" si="912"/>
        <v>0.99788250522936717</v>
      </c>
      <c r="T452" s="39">
        <f t="shared" si="915"/>
        <v>4.3529470853460595E-3</v>
      </c>
      <c r="U452" s="89">
        <f t="shared" si="937"/>
        <v>7.1359788284361633E-5</v>
      </c>
    </row>
    <row r="453" spans="1:21" ht="15.75" thickBot="1" x14ac:dyDescent="0.3">
      <c r="A453" s="41">
        <f t="shared" ref="A453:B453" si="991">A452+1</f>
        <v>443</v>
      </c>
      <c r="B453" s="42">
        <f t="shared" si="991"/>
        <v>443</v>
      </c>
      <c r="C453" s="92" t="str">
        <f t="shared" si="862"/>
        <v>L11X20-008_000_53</v>
      </c>
      <c r="D453" s="43">
        <f t="shared" si="878"/>
        <v>20</v>
      </c>
      <c r="E453" s="61">
        <f t="shared" si="902"/>
        <v>2.8840000000000003</v>
      </c>
      <c r="F453" s="44">
        <f t="shared" si="885"/>
        <v>14.420000000000002</v>
      </c>
      <c r="G453" s="44">
        <f t="shared" si="886"/>
        <v>11.536000000000001</v>
      </c>
      <c r="H453" s="44">
        <f t="shared" si="887"/>
        <v>7.2100000000000009</v>
      </c>
      <c r="I453" s="44">
        <f t="shared" si="907"/>
        <v>8</v>
      </c>
      <c r="J453" s="45">
        <f t="shared" si="967"/>
        <v>8</v>
      </c>
      <c r="K453" s="87" t="s">
        <v>880</v>
      </c>
      <c r="L453" s="44">
        <f t="shared" ref="L453:N453" si="992">L452</f>
        <v>0.2</v>
      </c>
      <c r="M453" s="44">
        <f t="shared" si="992"/>
        <v>150</v>
      </c>
      <c r="N453" s="44">
        <f t="shared" si="992"/>
        <v>750</v>
      </c>
      <c r="P453" s="38">
        <f t="shared" si="909"/>
        <v>19</v>
      </c>
      <c r="Q453" s="38">
        <f t="shared" si="910"/>
        <v>21</v>
      </c>
      <c r="R453" s="39">
        <f t="shared" si="911"/>
        <v>0.99352955814402111</v>
      </c>
      <c r="S453" s="39">
        <f t="shared" si="912"/>
        <v>0.99788250522936717</v>
      </c>
      <c r="T453" s="39">
        <f t="shared" si="915"/>
        <v>4.3529470853460595E-3</v>
      </c>
      <c r="U453" s="89">
        <f t="shared" si="937"/>
        <v>7.1359788284361633E-5</v>
      </c>
    </row>
    <row r="454" spans="1:21" ht="15.75" thickBot="1" x14ac:dyDescent="0.3">
      <c r="A454" s="41">
        <f t="shared" ref="A454:B454" si="993">A453+1</f>
        <v>444</v>
      </c>
      <c r="B454" s="42">
        <f t="shared" si="993"/>
        <v>444</v>
      </c>
      <c r="C454" s="92" t="str">
        <f t="shared" si="862"/>
        <v>L11X20-008_000_54</v>
      </c>
      <c r="D454" s="43">
        <f t="shared" si="878"/>
        <v>20</v>
      </c>
      <c r="E454" s="61">
        <f t="shared" si="902"/>
        <v>2.8840000000000003</v>
      </c>
      <c r="F454" s="44">
        <f t="shared" si="885"/>
        <v>14.420000000000002</v>
      </c>
      <c r="G454" s="44">
        <f t="shared" si="886"/>
        <v>11.536000000000001</v>
      </c>
      <c r="H454" s="44">
        <f t="shared" si="887"/>
        <v>7.2100000000000009</v>
      </c>
      <c r="I454" s="44">
        <f t="shared" si="907"/>
        <v>8</v>
      </c>
      <c r="J454" s="45">
        <f t="shared" si="967"/>
        <v>8</v>
      </c>
      <c r="K454" s="87" t="s">
        <v>881</v>
      </c>
      <c r="L454" s="44">
        <f t="shared" ref="L454:N454" si="994">L453</f>
        <v>0.2</v>
      </c>
      <c r="M454" s="44">
        <f t="shared" si="994"/>
        <v>150</v>
      </c>
      <c r="N454" s="44">
        <f t="shared" si="994"/>
        <v>750</v>
      </c>
      <c r="P454" s="38">
        <f t="shared" si="909"/>
        <v>19</v>
      </c>
      <c r="Q454" s="38">
        <f t="shared" si="910"/>
        <v>21</v>
      </c>
      <c r="R454" s="39">
        <f t="shared" si="911"/>
        <v>0.99352955814402111</v>
      </c>
      <c r="S454" s="39">
        <f t="shared" si="912"/>
        <v>0.99788250522936717</v>
      </c>
      <c r="T454" s="39">
        <f t="shared" si="915"/>
        <v>4.3529470853460595E-3</v>
      </c>
      <c r="U454" s="89">
        <f t="shared" si="937"/>
        <v>7.1359788284361633E-5</v>
      </c>
    </row>
    <row r="455" spans="1:21" ht="15.75" thickBot="1" x14ac:dyDescent="0.3">
      <c r="A455" s="41">
        <f t="shared" ref="A455:B455" si="995">A454+1</f>
        <v>445</v>
      </c>
      <c r="B455" s="42">
        <f t="shared" si="995"/>
        <v>445</v>
      </c>
      <c r="C455" s="92" t="str">
        <f t="shared" si="862"/>
        <v>L11X20-008_000_55</v>
      </c>
      <c r="D455" s="43">
        <f t="shared" si="878"/>
        <v>20</v>
      </c>
      <c r="E455" s="61">
        <f t="shared" si="902"/>
        <v>2.8840000000000003</v>
      </c>
      <c r="F455" s="44">
        <f t="shared" si="885"/>
        <v>14.420000000000002</v>
      </c>
      <c r="G455" s="44">
        <f t="shared" si="886"/>
        <v>11.536000000000001</v>
      </c>
      <c r="H455" s="44">
        <f t="shared" si="887"/>
        <v>7.2100000000000009</v>
      </c>
      <c r="I455" s="44">
        <f t="shared" si="907"/>
        <v>8</v>
      </c>
      <c r="J455" s="45">
        <f t="shared" si="967"/>
        <v>8</v>
      </c>
      <c r="K455" s="87" t="s">
        <v>882</v>
      </c>
      <c r="L455" s="44">
        <f t="shared" ref="L455:N455" si="996">L454</f>
        <v>0.2</v>
      </c>
      <c r="M455" s="44">
        <f t="shared" si="996"/>
        <v>150</v>
      </c>
      <c r="N455" s="44">
        <f t="shared" si="996"/>
        <v>750</v>
      </c>
      <c r="P455" s="38">
        <f t="shared" si="909"/>
        <v>19</v>
      </c>
      <c r="Q455" s="38">
        <f t="shared" si="910"/>
        <v>21</v>
      </c>
      <c r="R455" s="39">
        <f t="shared" si="911"/>
        <v>0.99352955814402111</v>
      </c>
      <c r="S455" s="39">
        <f t="shared" si="912"/>
        <v>0.99788250522936717</v>
      </c>
      <c r="T455" s="39">
        <f t="shared" si="915"/>
        <v>4.3529470853460595E-3</v>
      </c>
      <c r="U455" s="89">
        <f t="shared" si="937"/>
        <v>7.1359788284361633E-5</v>
      </c>
    </row>
    <row r="456" spans="1:21" ht="15.75" thickBot="1" x14ac:dyDescent="0.3">
      <c r="A456" s="41">
        <f t="shared" ref="A456:B456" si="997">A455+1</f>
        <v>446</v>
      </c>
      <c r="B456" s="42">
        <f t="shared" si="997"/>
        <v>446</v>
      </c>
      <c r="C456" s="92" t="str">
        <f t="shared" si="862"/>
        <v>L11X20-008_000_56</v>
      </c>
      <c r="D456" s="43">
        <f t="shared" si="878"/>
        <v>20</v>
      </c>
      <c r="E456" s="61">
        <f t="shared" si="902"/>
        <v>2.8840000000000003</v>
      </c>
      <c r="F456" s="44">
        <f t="shared" si="885"/>
        <v>14.420000000000002</v>
      </c>
      <c r="G456" s="44">
        <f t="shared" si="886"/>
        <v>11.536000000000001</v>
      </c>
      <c r="H456" s="44">
        <f t="shared" si="887"/>
        <v>7.2100000000000009</v>
      </c>
      <c r="I456" s="44">
        <f t="shared" si="907"/>
        <v>8</v>
      </c>
      <c r="J456" s="45">
        <f t="shared" si="967"/>
        <v>8</v>
      </c>
      <c r="K456" s="87" t="s">
        <v>883</v>
      </c>
      <c r="L456" s="44">
        <f t="shared" ref="L456:N456" si="998">L455</f>
        <v>0.2</v>
      </c>
      <c r="M456" s="44">
        <f t="shared" si="998"/>
        <v>150</v>
      </c>
      <c r="N456" s="44">
        <f t="shared" si="998"/>
        <v>750</v>
      </c>
      <c r="P456" s="38">
        <f t="shared" si="909"/>
        <v>19</v>
      </c>
      <c r="Q456" s="38">
        <f t="shared" si="910"/>
        <v>21</v>
      </c>
      <c r="R456" s="39">
        <f t="shared" si="911"/>
        <v>0.99352955814402111</v>
      </c>
      <c r="S456" s="39">
        <f t="shared" si="912"/>
        <v>0.99788250522936717</v>
      </c>
      <c r="T456" s="39">
        <f t="shared" si="915"/>
        <v>4.3529470853460595E-3</v>
      </c>
      <c r="U456" s="89">
        <f t="shared" si="937"/>
        <v>7.1359788284361633E-5</v>
      </c>
    </row>
    <row r="457" spans="1:21" ht="15.75" thickBot="1" x14ac:dyDescent="0.3">
      <c r="A457" s="41">
        <f t="shared" ref="A457:B457" si="999">A456+1</f>
        <v>447</v>
      </c>
      <c r="B457" s="42">
        <f t="shared" si="999"/>
        <v>447</v>
      </c>
      <c r="C457" s="92" t="str">
        <f t="shared" si="862"/>
        <v>L11X20-008_000_57</v>
      </c>
      <c r="D457" s="43">
        <f t="shared" si="878"/>
        <v>20</v>
      </c>
      <c r="E457" s="61">
        <f t="shared" si="902"/>
        <v>2.8840000000000003</v>
      </c>
      <c r="F457" s="44">
        <f t="shared" si="885"/>
        <v>14.420000000000002</v>
      </c>
      <c r="G457" s="44">
        <f t="shared" si="886"/>
        <v>11.536000000000001</v>
      </c>
      <c r="H457" s="44">
        <f t="shared" si="887"/>
        <v>7.2100000000000009</v>
      </c>
      <c r="I457" s="44">
        <f t="shared" si="907"/>
        <v>8</v>
      </c>
      <c r="J457" s="45">
        <f t="shared" si="967"/>
        <v>8</v>
      </c>
      <c r="K457" s="87" t="s">
        <v>884</v>
      </c>
      <c r="L457" s="44">
        <f t="shared" ref="L457:N457" si="1000">L456</f>
        <v>0.2</v>
      </c>
      <c r="M457" s="44">
        <f t="shared" si="1000"/>
        <v>150</v>
      </c>
      <c r="N457" s="44">
        <f t="shared" si="1000"/>
        <v>750</v>
      </c>
      <c r="P457" s="38">
        <f t="shared" si="909"/>
        <v>19</v>
      </c>
      <c r="Q457" s="38">
        <f t="shared" si="910"/>
        <v>21</v>
      </c>
      <c r="R457" s="39">
        <f t="shared" si="911"/>
        <v>0.99352955814402111</v>
      </c>
      <c r="S457" s="39">
        <f t="shared" si="912"/>
        <v>0.99788250522936717</v>
      </c>
      <c r="T457" s="39">
        <f t="shared" si="915"/>
        <v>4.3529470853460595E-3</v>
      </c>
      <c r="U457" s="89">
        <f t="shared" si="937"/>
        <v>7.1359788284361633E-5</v>
      </c>
    </row>
    <row r="458" spans="1:21" ht="15.75" thickBot="1" x14ac:dyDescent="0.3">
      <c r="A458" s="41">
        <f t="shared" ref="A458:B458" si="1001">A457+1</f>
        <v>448</v>
      </c>
      <c r="B458" s="42">
        <f t="shared" si="1001"/>
        <v>448</v>
      </c>
      <c r="C458" s="92" t="str">
        <f t="shared" si="862"/>
        <v>L11X20-008_000_58</v>
      </c>
      <c r="D458" s="43">
        <f t="shared" si="878"/>
        <v>20</v>
      </c>
      <c r="E458" s="61">
        <f t="shared" si="902"/>
        <v>2.8840000000000003</v>
      </c>
      <c r="F458" s="44">
        <f t="shared" si="885"/>
        <v>14.420000000000002</v>
      </c>
      <c r="G458" s="44">
        <f t="shared" si="886"/>
        <v>11.536000000000001</v>
      </c>
      <c r="H458" s="44">
        <f t="shared" si="887"/>
        <v>7.2100000000000009</v>
      </c>
      <c r="I458" s="44">
        <f t="shared" si="907"/>
        <v>8</v>
      </c>
      <c r="J458" s="45">
        <f t="shared" si="967"/>
        <v>8</v>
      </c>
      <c r="K458" s="87" t="s">
        <v>885</v>
      </c>
      <c r="L458" s="44">
        <f t="shared" ref="L458:N458" si="1002">L457</f>
        <v>0.2</v>
      </c>
      <c r="M458" s="44">
        <f t="shared" si="1002"/>
        <v>150</v>
      </c>
      <c r="N458" s="44">
        <f t="shared" si="1002"/>
        <v>750</v>
      </c>
      <c r="P458" s="38">
        <f t="shared" si="909"/>
        <v>19</v>
      </c>
      <c r="Q458" s="38">
        <f t="shared" si="910"/>
        <v>21</v>
      </c>
      <c r="R458" s="39">
        <f t="shared" si="911"/>
        <v>0.99352955814402111</v>
      </c>
      <c r="S458" s="39">
        <f t="shared" si="912"/>
        <v>0.99788250522936717</v>
      </c>
      <c r="T458" s="39">
        <f t="shared" si="915"/>
        <v>4.3529470853460595E-3</v>
      </c>
      <c r="U458" s="89">
        <f t="shared" si="937"/>
        <v>7.1359788284361633E-5</v>
      </c>
    </row>
    <row r="459" spans="1:21" ht="15.75" thickBot="1" x14ac:dyDescent="0.3">
      <c r="A459" s="41">
        <f t="shared" ref="A459:B459" si="1003">A458+1</f>
        <v>449</v>
      </c>
      <c r="B459" s="42">
        <f t="shared" si="1003"/>
        <v>449</v>
      </c>
      <c r="C459" s="92" t="str">
        <f t="shared" si="862"/>
        <v>L11X20-008_000_59</v>
      </c>
      <c r="D459" s="43">
        <f t="shared" si="878"/>
        <v>20</v>
      </c>
      <c r="E459" s="61">
        <f t="shared" si="902"/>
        <v>2.8840000000000003</v>
      </c>
      <c r="F459" s="44">
        <f t="shared" si="885"/>
        <v>14.420000000000002</v>
      </c>
      <c r="G459" s="44">
        <f t="shared" si="886"/>
        <v>11.536000000000001</v>
      </c>
      <c r="H459" s="44">
        <f t="shared" si="887"/>
        <v>7.2100000000000009</v>
      </c>
      <c r="I459" s="44">
        <f t="shared" si="907"/>
        <v>8</v>
      </c>
      <c r="J459" s="45">
        <f t="shared" si="967"/>
        <v>8</v>
      </c>
      <c r="K459" s="87" t="s">
        <v>886</v>
      </c>
      <c r="L459" s="44">
        <f t="shared" ref="L459:N459" si="1004">L458</f>
        <v>0.2</v>
      </c>
      <c r="M459" s="44">
        <f t="shared" si="1004"/>
        <v>150</v>
      </c>
      <c r="N459" s="44">
        <f t="shared" si="1004"/>
        <v>750</v>
      </c>
      <c r="P459" s="38">
        <f t="shared" si="909"/>
        <v>19</v>
      </c>
      <c r="Q459" s="38">
        <f t="shared" si="910"/>
        <v>21</v>
      </c>
      <c r="R459" s="39">
        <f t="shared" si="911"/>
        <v>0.99352955814402111</v>
      </c>
      <c r="S459" s="39">
        <f t="shared" si="912"/>
        <v>0.99788250522936717</v>
      </c>
      <c r="T459" s="39">
        <f t="shared" si="915"/>
        <v>4.3529470853460595E-3</v>
      </c>
      <c r="U459" s="89">
        <f t="shared" si="937"/>
        <v>7.1359788284361633E-5</v>
      </c>
    </row>
    <row r="460" spans="1:21" ht="15.75" thickBot="1" x14ac:dyDescent="0.3">
      <c r="A460" s="41">
        <f t="shared" ref="A460:B460" si="1005">A459+1</f>
        <v>450</v>
      </c>
      <c r="B460" s="42">
        <f t="shared" si="1005"/>
        <v>450</v>
      </c>
      <c r="C460" s="92" t="str">
        <f t="shared" ref="C460:C523" si="1006">TEXT(RIGHT($B$2,LEN($B$2)-3),"L00")&amp;"X"&amp;TEXT(D460,"00")&amp;"-"&amp;IF(J460&lt;0,TEXT(360+J460,"000"),TEXT(J460,"000"))&amp;"_"&amp;"000"&amp;"_"&amp;TEXT(RIGHT(K460,LEN(K460)-FIND("-",K460)),"00")</f>
        <v>L11X20-008_000_60</v>
      </c>
      <c r="D460" s="43">
        <f t="shared" si="878"/>
        <v>20</v>
      </c>
      <c r="E460" s="61">
        <f t="shared" si="902"/>
        <v>2.8840000000000003</v>
      </c>
      <c r="F460" s="44">
        <f t="shared" si="885"/>
        <v>14.420000000000002</v>
      </c>
      <c r="G460" s="44">
        <f t="shared" si="886"/>
        <v>11.536000000000001</v>
      </c>
      <c r="H460" s="44">
        <f t="shared" si="887"/>
        <v>7.2100000000000009</v>
      </c>
      <c r="I460" s="44">
        <f t="shared" si="907"/>
        <v>8</v>
      </c>
      <c r="J460" s="45">
        <f t="shared" si="967"/>
        <v>8</v>
      </c>
      <c r="K460" s="87" t="s">
        <v>887</v>
      </c>
      <c r="L460" s="44">
        <f t="shared" ref="L460:N460" si="1007">L459</f>
        <v>0.2</v>
      </c>
      <c r="M460" s="44">
        <f t="shared" si="1007"/>
        <v>150</v>
      </c>
      <c r="N460" s="44">
        <f t="shared" si="1007"/>
        <v>750</v>
      </c>
      <c r="P460" s="38">
        <f t="shared" si="909"/>
        <v>19</v>
      </c>
      <c r="Q460" s="38">
        <f t="shared" si="910"/>
        <v>21</v>
      </c>
      <c r="R460" s="39">
        <f t="shared" si="911"/>
        <v>0.99352955814402111</v>
      </c>
      <c r="S460" s="39">
        <f t="shared" si="912"/>
        <v>0.99788250522936717</v>
      </c>
      <c r="T460" s="39">
        <f t="shared" si="915"/>
        <v>4.3529470853460595E-3</v>
      </c>
      <c r="U460" s="89">
        <f t="shared" si="937"/>
        <v>7.1359788284361633E-5</v>
      </c>
    </row>
    <row r="461" spans="1:21" s="163" customFormat="1" ht="15.75" thickBot="1" x14ac:dyDescent="0.3">
      <c r="A461" s="167">
        <f t="shared" ref="A461:B461" si="1008">A460+1</f>
        <v>451</v>
      </c>
      <c r="B461" s="168">
        <f t="shared" si="1008"/>
        <v>451</v>
      </c>
      <c r="C461" s="92" t="str">
        <f t="shared" si="1006"/>
        <v>L11X22-352_000_01</v>
      </c>
      <c r="D461" s="169">
        <f>D455+v_step</f>
        <v>22</v>
      </c>
      <c r="E461" s="173">
        <f t="shared" si="902"/>
        <v>3.0940000000000003</v>
      </c>
      <c r="F461" s="170">
        <f t="shared" si="885"/>
        <v>14.063636363636364</v>
      </c>
      <c r="G461" s="170">
        <f t="shared" si="886"/>
        <v>11.250909090909092</v>
      </c>
      <c r="H461" s="170">
        <f t="shared" si="887"/>
        <v>7.0318181818181822</v>
      </c>
      <c r="I461" s="170">
        <f t="shared" si="907"/>
        <v>8</v>
      </c>
      <c r="J461" s="171">
        <f t="shared" ref="J461:J480" si="1009">yaw_min</f>
        <v>-8</v>
      </c>
      <c r="K461" s="87" t="s">
        <v>3716</v>
      </c>
      <c r="L461" s="170">
        <f t="shared" ref="L461:N461" si="1010">L460</f>
        <v>0.2</v>
      </c>
      <c r="M461" s="170">
        <f t="shared" si="1010"/>
        <v>150</v>
      </c>
      <c r="N461" s="170">
        <f t="shared" si="1010"/>
        <v>750</v>
      </c>
      <c r="P461" s="38">
        <f t="shared" si="909"/>
        <v>21</v>
      </c>
      <c r="Q461" s="38">
        <f t="shared" si="910"/>
        <v>23</v>
      </c>
      <c r="R461" s="39">
        <f t="shared" si="911"/>
        <v>0.99788250522936717</v>
      </c>
      <c r="S461" s="39">
        <f t="shared" si="912"/>
        <v>0.99938027417435915</v>
      </c>
      <c r="T461" s="39">
        <f t="shared" si="915"/>
        <v>1.497768944991984E-3</v>
      </c>
      <c r="U461" s="89">
        <f t="shared" si="937"/>
        <v>2.4553589262163671E-5</v>
      </c>
    </row>
    <row r="462" spans="1:21" s="163" customFormat="1" ht="15.75" thickBot="1" x14ac:dyDescent="0.3">
      <c r="A462" s="167">
        <f t="shared" ref="A462:B462" si="1011">A461+1</f>
        <v>452</v>
      </c>
      <c r="B462" s="168">
        <f t="shared" si="1011"/>
        <v>452</v>
      </c>
      <c r="C462" s="92" t="str">
        <f t="shared" si="1006"/>
        <v>L11X22-352_000_02</v>
      </c>
      <c r="D462" s="169">
        <f>D461</f>
        <v>22</v>
      </c>
      <c r="E462" s="173">
        <f t="shared" si="902"/>
        <v>3.0940000000000003</v>
      </c>
      <c r="F462" s="170">
        <f t="shared" si="885"/>
        <v>14.063636363636364</v>
      </c>
      <c r="G462" s="170">
        <f t="shared" si="886"/>
        <v>11.250909090909092</v>
      </c>
      <c r="H462" s="170">
        <f t="shared" si="887"/>
        <v>7.0318181818181822</v>
      </c>
      <c r="I462" s="170">
        <f t="shared" si="907"/>
        <v>8</v>
      </c>
      <c r="J462" s="171">
        <f t="shared" si="1009"/>
        <v>-8</v>
      </c>
      <c r="K462" s="87" t="s">
        <v>3717</v>
      </c>
      <c r="L462" s="170">
        <f t="shared" ref="L462:N462" si="1012">L461</f>
        <v>0.2</v>
      </c>
      <c r="M462" s="170">
        <f t="shared" si="1012"/>
        <v>150</v>
      </c>
      <c r="N462" s="170">
        <f t="shared" si="1012"/>
        <v>750</v>
      </c>
      <c r="P462" s="38">
        <f t="shared" si="909"/>
        <v>21</v>
      </c>
      <c r="Q462" s="38">
        <f t="shared" si="910"/>
        <v>23</v>
      </c>
      <c r="R462" s="39">
        <f t="shared" si="911"/>
        <v>0.99788250522936717</v>
      </c>
      <c r="S462" s="39">
        <f t="shared" si="912"/>
        <v>0.99938027417435915</v>
      </c>
      <c r="T462" s="39">
        <f t="shared" si="915"/>
        <v>1.497768944991984E-3</v>
      </c>
      <c r="U462" s="89">
        <f t="shared" si="937"/>
        <v>2.4553589262163671E-5</v>
      </c>
    </row>
    <row r="463" spans="1:21" s="163" customFormat="1" ht="15.75" thickBot="1" x14ac:dyDescent="0.3">
      <c r="A463" s="167">
        <f t="shared" ref="A463:B463" si="1013">A462+1</f>
        <v>453</v>
      </c>
      <c r="B463" s="168">
        <f t="shared" si="1013"/>
        <v>453</v>
      </c>
      <c r="C463" s="92" t="str">
        <f t="shared" si="1006"/>
        <v>L11X22-352_000_03</v>
      </c>
      <c r="D463" s="169">
        <f t="shared" ref="D463:D520" si="1014">D462</f>
        <v>22</v>
      </c>
      <c r="E463" s="173">
        <f t="shared" si="902"/>
        <v>3.0940000000000003</v>
      </c>
      <c r="F463" s="170">
        <f t="shared" si="885"/>
        <v>14.063636363636364</v>
      </c>
      <c r="G463" s="170">
        <f t="shared" si="886"/>
        <v>11.250909090909092</v>
      </c>
      <c r="H463" s="170">
        <f t="shared" si="887"/>
        <v>7.0318181818181822</v>
      </c>
      <c r="I463" s="170">
        <f t="shared" si="907"/>
        <v>8</v>
      </c>
      <c r="J463" s="171">
        <f t="shared" si="1009"/>
        <v>-8</v>
      </c>
      <c r="K463" s="87" t="s">
        <v>3718</v>
      </c>
      <c r="L463" s="170">
        <f t="shared" ref="L463:N463" si="1015">L462</f>
        <v>0.2</v>
      </c>
      <c r="M463" s="170">
        <f t="shared" si="1015"/>
        <v>150</v>
      </c>
      <c r="N463" s="170">
        <f t="shared" si="1015"/>
        <v>750</v>
      </c>
      <c r="P463" s="38">
        <f t="shared" si="909"/>
        <v>21</v>
      </c>
      <c r="Q463" s="38">
        <f t="shared" si="910"/>
        <v>23</v>
      </c>
      <c r="R463" s="39">
        <f t="shared" si="911"/>
        <v>0.99788250522936717</v>
      </c>
      <c r="S463" s="39">
        <f t="shared" si="912"/>
        <v>0.99938027417435915</v>
      </c>
      <c r="T463" s="39">
        <f t="shared" si="915"/>
        <v>1.497768944991984E-3</v>
      </c>
      <c r="U463" s="89">
        <f t="shared" si="937"/>
        <v>2.4553589262163671E-5</v>
      </c>
    </row>
    <row r="464" spans="1:21" s="163" customFormat="1" ht="15.75" thickBot="1" x14ac:dyDescent="0.3">
      <c r="A464" s="167">
        <f t="shared" ref="A464:B464" si="1016">A463+1</f>
        <v>454</v>
      </c>
      <c r="B464" s="168">
        <f t="shared" si="1016"/>
        <v>454</v>
      </c>
      <c r="C464" s="92" t="str">
        <f t="shared" si="1006"/>
        <v>L11X22-352_000_04</v>
      </c>
      <c r="D464" s="169">
        <f t="shared" si="1014"/>
        <v>22</v>
      </c>
      <c r="E464" s="173">
        <f t="shared" si="902"/>
        <v>3.0940000000000003</v>
      </c>
      <c r="F464" s="170">
        <f t="shared" si="885"/>
        <v>14.063636363636364</v>
      </c>
      <c r="G464" s="170">
        <f t="shared" si="886"/>
        <v>11.250909090909092</v>
      </c>
      <c r="H464" s="170">
        <f t="shared" si="887"/>
        <v>7.0318181818181822</v>
      </c>
      <c r="I464" s="170">
        <f t="shared" si="907"/>
        <v>8</v>
      </c>
      <c r="J464" s="171">
        <f t="shared" si="1009"/>
        <v>-8</v>
      </c>
      <c r="K464" s="87" t="s">
        <v>3719</v>
      </c>
      <c r="L464" s="170">
        <f t="shared" ref="L464:N464" si="1017">L463</f>
        <v>0.2</v>
      </c>
      <c r="M464" s="170">
        <f t="shared" si="1017"/>
        <v>150</v>
      </c>
      <c r="N464" s="170">
        <f t="shared" si="1017"/>
        <v>750</v>
      </c>
      <c r="P464" s="38">
        <f t="shared" si="909"/>
        <v>21</v>
      </c>
      <c r="Q464" s="38">
        <f t="shared" si="910"/>
        <v>23</v>
      </c>
      <c r="R464" s="39">
        <f t="shared" si="911"/>
        <v>0.99788250522936717</v>
      </c>
      <c r="S464" s="39">
        <f t="shared" si="912"/>
        <v>0.99938027417435915</v>
      </c>
      <c r="T464" s="39">
        <f t="shared" si="915"/>
        <v>1.497768944991984E-3</v>
      </c>
      <c r="U464" s="89">
        <f t="shared" si="937"/>
        <v>2.4553589262163671E-5</v>
      </c>
    </row>
    <row r="465" spans="1:21" s="163" customFormat="1" ht="15.75" thickBot="1" x14ac:dyDescent="0.3">
      <c r="A465" s="167">
        <f t="shared" ref="A465:B465" si="1018">A464+1</f>
        <v>455</v>
      </c>
      <c r="B465" s="168">
        <f t="shared" si="1018"/>
        <v>455</v>
      </c>
      <c r="C465" s="92" t="str">
        <f t="shared" si="1006"/>
        <v>L11X22-352_000_05</v>
      </c>
      <c r="D465" s="169">
        <f t="shared" si="1014"/>
        <v>22</v>
      </c>
      <c r="E465" s="173">
        <f t="shared" si="902"/>
        <v>3.0940000000000003</v>
      </c>
      <c r="F465" s="170">
        <f t="shared" si="885"/>
        <v>14.063636363636364</v>
      </c>
      <c r="G465" s="170">
        <f t="shared" si="886"/>
        <v>11.250909090909092</v>
      </c>
      <c r="H465" s="170">
        <f t="shared" si="887"/>
        <v>7.0318181818181822</v>
      </c>
      <c r="I465" s="170">
        <f t="shared" si="907"/>
        <v>8</v>
      </c>
      <c r="J465" s="171">
        <f t="shared" si="1009"/>
        <v>-8</v>
      </c>
      <c r="K465" s="87" t="s">
        <v>3720</v>
      </c>
      <c r="L465" s="170">
        <f t="shared" ref="L465:N465" si="1019">L464</f>
        <v>0.2</v>
      </c>
      <c r="M465" s="170">
        <f t="shared" si="1019"/>
        <v>150</v>
      </c>
      <c r="N465" s="170">
        <f t="shared" si="1019"/>
        <v>750</v>
      </c>
      <c r="P465" s="38">
        <f t="shared" si="909"/>
        <v>21</v>
      </c>
      <c r="Q465" s="38">
        <f t="shared" si="910"/>
        <v>23</v>
      </c>
      <c r="R465" s="39">
        <f t="shared" si="911"/>
        <v>0.99788250522936717</v>
      </c>
      <c r="S465" s="39">
        <f t="shared" si="912"/>
        <v>0.99938027417435915</v>
      </c>
      <c r="T465" s="39">
        <f t="shared" si="915"/>
        <v>1.497768944991984E-3</v>
      </c>
      <c r="U465" s="89">
        <f t="shared" si="937"/>
        <v>2.4553589262163671E-5</v>
      </c>
    </row>
    <row r="466" spans="1:21" s="163" customFormat="1" ht="15.75" thickBot="1" x14ac:dyDescent="0.3">
      <c r="A466" s="167">
        <f t="shared" ref="A466:B466" si="1020">A465+1</f>
        <v>456</v>
      </c>
      <c r="B466" s="168">
        <f t="shared" si="1020"/>
        <v>456</v>
      </c>
      <c r="C466" s="92" t="str">
        <f t="shared" si="1006"/>
        <v>L11X22-352_000_06</v>
      </c>
      <c r="D466" s="169">
        <f t="shared" si="1014"/>
        <v>22</v>
      </c>
      <c r="E466" s="173">
        <f t="shared" si="902"/>
        <v>3.0940000000000003</v>
      </c>
      <c r="F466" s="170">
        <f t="shared" ref="F466:F529" si="1021">E466/D466*100</f>
        <v>14.063636363636364</v>
      </c>
      <c r="G466" s="170">
        <f t="shared" ref="G466:G529" si="1022">m_ty*F466</f>
        <v>11.250909090909092</v>
      </c>
      <c r="H466" s="170">
        <f t="shared" ref="H466:H529" si="1023">m_tz*F466</f>
        <v>7.0318181818181822</v>
      </c>
      <c r="I466" s="170">
        <f t="shared" si="907"/>
        <v>8</v>
      </c>
      <c r="J466" s="171">
        <f t="shared" si="1009"/>
        <v>-8</v>
      </c>
      <c r="K466" s="87" t="s">
        <v>3721</v>
      </c>
      <c r="L466" s="170">
        <f t="shared" ref="L466:N466" si="1024">L465</f>
        <v>0.2</v>
      </c>
      <c r="M466" s="170">
        <f t="shared" si="1024"/>
        <v>150</v>
      </c>
      <c r="N466" s="170">
        <f t="shared" si="1024"/>
        <v>750</v>
      </c>
      <c r="P466" s="38">
        <f t="shared" si="909"/>
        <v>21</v>
      </c>
      <c r="Q466" s="38">
        <f t="shared" si="910"/>
        <v>23</v>
      </c>
      <c r="R466" s="39">
        <f t="shared" si="911"/>
        <v>0.99788250522936717</v>
      </c>
      <c r="S466" s="39">
        <f t="shared" si="912"/>
        <v>0.99938027417435915</v>
      </c>
      <c r="T466" s="39">
        <f t="shared" si="915"/>
        <v>1.497768944991984E-3</v>
      </c>
      <c r="U466" s="89">
        <f t="shared" si="937"/>
        <v>2.4553589262163671E-5</v>
      </c>
    </row>
    <row r="467" spans="1:21" s="163" customFormat="1" ht="15.75" thickBot="1" x14ac:dyDescent="0.3">
      <c r="A467" s="167">
        <f t="shared" ref="A467:B467" si="1025">A466+1</f>
        <v>457</v>
      </c>
      <c r="B467" s="168">
        <f t="shared" si="1025"/>
        <v>457</v>
      </c>
      <c r="C467" s="92" t="str">
        <f t="shared" si="1006"/>
        <v>L11X22-352_000_07</v>
      </c>
      <c r="D467" s="169">
        <f t="shared" si="1014"/>
        <v>22</v>
      </c>
      <c r="E467" s="173">
        <f t="shared" si="902"/>
        <v>3.0940000000000003</v>
      </c>
      <c r="F467" s="170">
        <f t="shared" si="1021"/>
        <v>14.063636363636364</v>
      </c>
      <c r="G467" s="170">
        <f t="shared" si="1022"/>
        <v>11.250909090909092</v>
      </c>
      <c r="H467" s="170">
        <f t="shared" si="1023"/>
        <v>7.0318181818181822</v>
      </c>
      <c r="I467" s="170">
        <f t="shared" si="907"/>
        <v>8</v>
      </c>
      <c r="J467" s="171">
        <f t="shared" si="1009"/>
        <v>-8</v>
      </c>
      <c r="K467" s="87" t="s">
        <v>3722</v>
      </c>
      <c r="L467" s="170">
        <f t="shared" ref="L467:N467" si="1026">L466</f>
        <v>0.2</v>
      </c>
      <c r="M467" s="170">
        <f t="shared" si="1026"/>
        <v>150</v>
      </c>
      <c r="N467" s="170">
        <f t="shared" si="1026"/>
        <v>750</v>
      </c>
      <c r="P467" s="38">
        <f t="shared" si="909"/>
        <v>21</v>
      </c>
      <c r="Q467" s="38">
        <f t="shared" si="910"/>
        <v>23</v>
      </c>
      <c r="R467" s="39">
        <f t="shared" si="911"/>
        <v>0.99788250522936717</v>
      </c>
      <c r="S467" s="39">
        <f t="shared" si="912"/>
        <v>0.99938027417435915</v>
      </c>
      <c r="T467" s="39">
        <f t="shared" si="915"/>
        <v>1.497768944991984E-3</v>
      </c>
      <c r="U467" s="89">
        <f t="shared" si="937"/>
        <v>2.4553589262163671E-5</v>
      </c>
    </row>
    <row r="468" spans="1:21" s="163" customFormat="1" ht="15.75" thickBot="1" x14ac:dyDescent="0.3">
      <c r="A468" s="167">
        <f t="shared" ref="A468:B468" si="1027">A467+1</f>
        <v>458</v>
      </c>
      <c r="B468" s="168">
        <f t="shared" si="1027"/>
        <v>458</v>
      </c>
      <c r="C468" s="92" t="str">
        <f t="shared" si="1006"/>
        <v>L11X22-352_000_08</v>
      </c>
      <c r="D468" s="169">
        <f t="shared" si="1014"/>
        <v>22</v>
      </c>
      <c r="E468" s="173">
        <f t="shared" si="902"/>
        <v>3.0940000000000003</v>
      </c>
      <c r="F468" s="170">
        <f t="shared" si="1021"/>
        <v>14.063636363636364</v>
      </c>
      <c r="G468" s="170">
        <f t="shared" si="1022"/>
        <v>11.250909090909092</v>
      </c>
      <c r="H468" s="170">
        <f t="shared" si="1023"/>
        <v>7.0318181818181822</v>
      </c>
      <c r="I468" s="170">
        <f t="shared" si="907"/>
        <v>8</v>
      </c>
      <c r="J468" s="171">
        <f t="shared" si="1009"/>
        <v>-8</v>
      </c>
      <c r="K468" s="87" t="s">
        <v>3723</v>
      </c>
      <c r="L468" s="170">
        <f t="shared" ref="L468:N468" si="1028">L467</f>
        <v>0.2</v>
      </c>
      <c r="M468" s="170">
        <f t="shared" si="1028"/>
        <v>150</v>
      </c>
      <c r="N468" s="170">
        <f t="shared" si="1028"/>
        <v>750</v>
      </c>
      <c r="P468" s="38">
        <f t="shared" si="909"/>
        <v>21</v>
      </c>
      <c r="Q468" s="38">
        <f t="shared" si="910"/>
        <v>23</v>
      </c>
      <c r="R468" s="39">
        <f t="shared" si="911"/>
        <v>0.99788250522936717</v>
      </c>
      <c r="S468" s="39">
        <f t="shared" si="912"/>
        <v>0.99938027417435915</v>
      </c>
      <c r="T468" s="39">
        <f t="shared" si="915"/>
        <v>1.497768944991984E-3</v>
      </c>
      <c r="U468" s="89">
        <f t="shared" si="937"/>
        <v>2.4553589262163671E-5</v>
      </c>
    </row>
    <row r="469" spans="1:21" s="163" customFormat="1" ht="15.75" thickBot="1" x14ac:dyDescent="0.3">
      <c r="A469" s="167">
        <f t="shared" ref="A469:B469" si="1029">A468+1</f>
        <v>459</v>
      </c>
      <c r="B469" s="168">
        <f t="shared" si="1029"/>
        <v>459</v>
      </c>
      <c r="C469" s="92" t="str">
        <f t="shared" si="1006"/>
        <v>L11X22-352_000_09</v>
      </c>
      <c r="D469" s="169">
        <f t="shared" si="1014"/>
        <v>22</v>
      </c>
      <c r="E469" s="173">
        <f t="shared" si="902"/>
        <v>3.0940000000000003</v>
      </c>
      <c r="F469" s="170">
        <f t="shared" si="1021"/>
        <v>14.063636363636364</v>
      </c>
      <c r="G469" s="170">
        <f t="shared" si="1022"/>
        <v>11.250909090909092</v>
      </c>
      <c r="H469" s="170">
        <f t="shared" si="1023"/>
        <v>7.0318181818181822</v>
      </c>
      <c r="I469" s="170">
        <f t="shared" si="907"/>
        <v>8</v>
      </c>
      <c r="J469" s="171">
        <f t="shared" si="1009"/>
        <v>-8</v>
      </c>
      <c r="K469" s="87" t="s">
        <v>3724</v>
      </c>
      <c r="L469" s="170">
        <f t="shared" ref="L469:N469" si="1030">L468</f>
        <v>0.2</v>
      </c>
      <c r="M469" s="170">
        <f t="shared" si="1030"/>
        <v>150</v>
      </c>
      <c r="N469" s="170">
        <f t="shared" si="1030"/>
        <v>750</v>
      </c>
      <c r="P469" s="38">
        <f t="shared" si="909"/>
        <v>21</v>
      </c>
      <c r="Q469" s="38">
        <f t="shared" si="910"/>
        <v>23</v>
      </c>
      <c r="R469" s="39">
        <f t="shared" si="911"/>
        <v>0.99788250522936717</v>
      </c>
      <c r="S469" s="39">
        <f t="shared" si="912"/>
        <v>0.99938027417435915</v>
      </c>
      <c r="T469" s="39">
        <f t="shared" si="915"/>
        <v>1.497768944991984E-3</v>
      </c>
      <c r="U469" s="89">
        <f t="shared" si="937"/>
        <v>2.4553589262163671E-5</v>
      </c>
    </row>
    <row r="470" spans="1:21" s="163" customFormat="1" ht="15.75" thickBot="1" x14ac:dyDescent="0.3">
      <c r="A470" s="167">
        <f t="shared" ref="A470:B470" si="1031">A469+1</f>
        <v>460</v>
      </c>
      <c r="B470" s="168">
        <f t="shared" si="1031"/>
        <v>460</v>
      </c>
      <c r="C470" s="92" t="str">
        <f t="shared" si="1006"/>
        <v>L11X22-352_000_10</v>
      </c>
      <c r="D470" s="169">
        <f t="shared" si="1014"/>
        <v>22</v>
      </c>
      <c r="E470" s="173">
        <f t="shared" si="902"/>
        <v>3.0940000000000003</v>
      </c>
      <c r="F470" s="170">
        <f t="shared" si="1021"/>
        <v>14.063636363636364</v>
      </c>
      <c r="G470" s="170">
        <f t="shared" si="1022"/>
        <v>11.250909090909092</v>
      </c>
      <c r="H470" s="170">
        <f t="shared" si="1023"/>
        <v>7.0318181818181822</v>
      </c>
      <c r="I470" s="170">
        <f t="shared" si="907"/>
        <v>8</v>
      </c>
      <c r="J470" s="171">
        <f t="shared" si="1009"/>
        <v>-8</v>
      </c>
      <c r="K470" s="87" t="s">
        <v>3725</v>
      </c>
      <c r="L470" s="170">
        <f t="shared" ref="L470:N470" si="1032">L469</f>
        <v>0.2</v>
      </c>
      <c r="M470" s="170">
        <f t="shared" si="1032"/>
        <v>150</v>
      </c>
      <c r="N470" s="170">
        <f t="shared" si="1032"/>
        <v>750</v>
      </c>
      <c r="P470" s="38">
        <f t="shared" si="909"/>
        <v>21</v>
      </c>
      <c r="Q470" s="38">
        <f t="shared" si="910"/>
        <v>23</v>
      </c>
      <c r="R470" s="39">
        <f t="shared" si="911"/>
        <v>0.99788250522936717</v>
      </c>
      <c r="S470" s="39">
        <f t="shared" si="912"/>
        <v>0.99938027417435915</v>
      </c>
      <c r="T470" s="39">
        <f t="shared" si="915"/>
        <v>1.497768944991984E-3</v>
      </c>
      <c r="U470" s="89">
        <f t="shared" si="937"/>
        <v>2.4553589262163671E-5</v>
      </c>
    </row>
    <row r="471" spans="1:21" s="163" customFormat="1" ht="15.75" thickBot="1" x14ac:dyDescent="0.3">
      <c r="A471" s="167">
        <f t="shared" ref="A471:B471" si="1033">A470+1</f>
        <v>461</v>
      </c>
      <c r="B471" s="168">
        <f t="shared" si="1033"/>
        <v>461</v>
      </c>
      <c r="C471" s="92" t="str">
        <f t="shared" si="1006"/>
        <v>L11X22-352_000_11</v>
      </c>
      <c r="D471" s="169">
        <f t="shared" si="1014"/>
        <v>22</v>
      </c>
      <c r="E471" s="173">
        <f t="shared" si="902"/>
        <v>3.0940000000000003</v>
      </c>
      <c r="F471" s="170">
        <f t="shared" si="1021"/>
        <v>14.063636363636364</v>
      </c>
      <c r="G471" s="170">
        <f t="shared" si="1022"/>
        <v>11.250909090909092</v>
      </c>
      <c r="H471" s="170">
        <f t="shared" si="1023"/>
        <v>7.0318181818181822</v>
      </c>
      <c r="I471" s="170">
        <f t="shared" si="907"/>
        <v>8</v>
      </c>
      <c r="J471" s="171">
        <f t="shared" si="1009"/>
        <v>-8</v>
      </c>
      <c r="K471" s="87" t="s">
        <v>3726</v>
      </c>
      <c r="L471" s="170">
        <f t="shared" ref="L471:N471" si="1034">L470</f>
        <v>0.2</v>
      </c>
      <c r="M471" s="170">
        <f t="shared" si="1034"/>
        <v>150</v>
      </c>
      <c r="N471" s="170">
        <f t="shared" si="1034"/>
        <v>750</v>
      </c>
      <c r="P471" s="38">
        <f t="shared" si="909"/>
        <v>21</v>
      </c>
      <c r="Q471" s="38">
        <f t="shared" si="910"/>
        <v>23</v>
      </c>
      <c r="R471" s="39">
        <f t="shared" si="911"/>
        <v>0.99788250522936717</v>
      </c>
      <c r="S471" s="39">
        <f t="shared" si="912"/>
        <v>0.99938027417435915</v>
      </c>
      <c r="T471" s="39">
        <f t="shared" si="915"/>
        <v>1.497768944991984E-3</v>
      </c>
      <c r="U471" s="89">
        <f t="shared" si="937"/>
        <v>2.4553589262163671E-5</v>
      </c>
    </row>
    <row r="472" spans="1:21" s="163" customFormat="1" ht="15.75" thickBot="1" x14ac:dyDescent="0.3">
      <c r="A472" s="167">
        <f t="shared" ref="A472:B472" si="1035">A471+1</f>
        <v>462</v>
      </c>
      <c r="B472" s="168">
        <f t="shared" si="1035"/>
        <v>462</v>
      </c>
      <c r="C472" s="92" t="str">
        <f t="shared" si="1006"/>
        <v>L11X22-352_000_12</v>
      </c>
      <c r="D472" s="169">
        <f t="shared" si="1014"/>
        <v>22</v>
      </c>
      <c r="E472" s="173">
        <f t="shared" si="902"/>
        <v>3.0940000000000003</v>
      </c>
      <c r="F472" s="170">
        <f t="shared" si="1021"/>
        <v>14.063636363636364</v>
      </c>
      <c r="G472" s="170">
        <f t="shared" si="1022"/>
        <v>11.250909090909092</v>
      </c>
      <c r="H472" s="170">
        <f t="shared" si="1023"/>
        <v>7.0318181818181822</v>
      </c>
      <c r="I472" s="170">
        <f t="shared" si="907"/>
        <v>8</v>
      </c>
      <c r="J472" s="171">
        <f t="shared" si="1009"/>
        <v>-8</v>
      </c>
      <c r="K472" s="87" t="s">
        <v>3727</v>
      </c>
      <c r="L472" s="170">
        <f t="shared" ref="L472:N472" si="1036">L471</f>
        <v>0.2</v>
      </c>
      <c r="M472" s="170">
        <f t="shared" si="1036"/>
        <v>150</v>
      </c>
      <c r="N472" s="170">
        <f t="shared" si="1036"/>
        <v>750</v>
      </c>
      <c r="P472" s="38">
        <f t="shared" si="909"/>
        <v>21</v>
      </c>
      <c r="Q472" s="38">
        <f t="shared" si="910"/>
        <v>23</v>
      </c>
      <c r="R472" s="39">
        <f t="shared" si="911"/>
        <v>0.99788250522936717</v>
      </c>
      <c r="S472" s="39">
        <f t="shared" si="912"/>
        <v>0.99938027417435915</v>
      </c>
      <c r="T472" s="39">
        <f t="shared" si="915"/>
        <v>1.497768944991984E-3</v>
      </c>
      <c r="U472" s="89">
        <f t="shared" si="937"/>
        <v>2.4553589262163671E-5</v>
      </c>
    </row>
    <row r="473" spans="1:21" s="163" customFormat="1" ht="15.75" thickBot="1" x14ac:dyDescent="0.3">
      <c r="A473" s="167">
        <f t="shared" ref="A473:B473" si="1037">A472+1</f>
        <v>463</v>
      </c>
      <c r="B473" s="168">
        <f t="shared" si="1037"/>
        <v>463</v>
      </c>
      <c r="C473" s="92" t="str">
        <f t="shared" si="1006"/>
        <v>L11X22-352_000_13</v>
      </c>
      <c r="D473" s="169">
        <f t="shared" si="1014"/>
        <v>22</v>
      </c>
      <c r="E473" s="173">
        <f t="shared" ref="E473:E536" si="1038">I_ref*(0.75*D473+5.6)</f>
        <v>3.0940000000000003</v>
      </c>
      <c r="F473" s="170">
        <f t="shared" si="1021"/>
        <v>14.063636363636364</v>
      </c>
      <c r="G473" s="170">
        <f t="shared" si="1022"/>
        <v>11.250909090909092</v>
      </c>
      <c r="H473" s="170">
        <f t="shared" si="1023"/>
        <v>7.0318181818181822</v>
      </c>
      <c r="I473" s="170">
        <f t="shared" si="907"/>
        <v>8</v>
      </c>
      <c r="J473" s="171">
        <f t="shared" si="1009"/>
        <v>-8</v>
      </c>
      <c r="K473" s="87" t="s">
        <v>3728</v>
      </c>
      <c r="L473" s="170">
        <f t="shared" ref="L473:N473" si="1039">L472</f>
        <v>0.2</v>
      </c>
      <c r="M473" s="170">
        <f t="shared" si="1039"/>
        <v>150</v>
      </c>
      <c r="N473" s="170">
        <f t="shared" si="1039"/>
        <v>750</v>
      </c>
      <c r="P473" s="38">
        <f t="shared" si="909"/>
        <v>21</v>
      </c>
      <c r="Q473" s="38">
        <f t="shared" si="910"/>
        <v>23</v>
      </c>
      <c r="R473" s="39">
        <f t="shared" si="911"/>
        <v>0.99788250522936717</v>
      </c>
      <c r="S473" s="39">
        <f t="shared" si="912"/>
        <v>0.99938027417435915</v>
      </c>
      <c r="T473" s="39">
        <f t="shared" si="915"/>
        <v>1.497768944991984E-3</v>
      </c>
      <c r="U473" s="89">
        <f t="shared" si="937"/>
        <v>2.4553589262163671E-5</v>
      </c>
    </row>
    <row r="474" spans="1:21" s="163" customFormat="1" ht="15.75" thickBot="1" x14ac:dyDescent="0.3">
      <c r="A474" s="167">
        <f t="shared" ref="A474:B474" si="1040">A473+1</f>
        <v>464</v>
      </c>
      <c r="B474" s="168">
        <f t="shared" si="1040"/>
        <v>464</v>
      </c>
      <c r="C474" s="92" t="str">
        <f t="shared" si="1006"/>
        <v>L11X22-352_000_14</v>
      </c>
      <c r="D474" s="169">
        <f t="shared" si="1014"/>
        <v>22</v>
      </c>
      <c r="E474" s="173">
        <f t="shared" si="1038"/>
        <v>3.0940000000000003</v>
      </c>
      <c r="F474" s="170">
        <f t="shared" si="1021"/>
        <v>14.063636363636364</v>
      </c>
      <c r="G474" s="170">
        <f t="shared" si="1022"/>
        <v>11.250909090909092</v>
      </c>
      <c r="H474" s="170">
        <f t="shared" si="1023"/>
        <v>7.0318181818181822</v>
      </c>
      <c r="I474" s="170">
        <f t="shared" si="907"/>
        <v>8</v>
      </c>
      <c r="J474" s="171">
        <f t="shared" si="1009"/>
        <v>-8</v>
      </c>
      <c r="K474" s="87" t="s">
        <v>3729</v>
      </c>
      <c r="L474" s="170">
        <f t="shared" ref="L474:N474" si="1041">L473</f>
        <v>0.2</v>
      </c>
      <c r="M474" s="170">
        <f t="shared" si="1041"/>
        <v>150</v>
      </c>
      <c r="N474" s="170">
        <f t="shared" si="1041"/>
        <v>750</v>
      </c>
      <c r="P474" s="38">
        <f t="shared" si="909"/>
        <v>21</v>
      </c>
      <c r="Q474" s="38">
        <f t="shared" si="910"/>
        <v>23</v>
      </c>
      <c r="R474" s="39">
        <f t="shared" si="911"/>
        <v>0.99788250522936717</v>
      </c>
      <c r="S474" s="39">
        <f t="shared" si="912"/>
        <v>0.99938027417435915</v>
      </c>
      <c r="T474" s="39">
        <f t="shared" si="915"/>
        <v>1.497768944991984E-3</v>
      </c>
      <c r="U474" s="89">
        <f t="shared" si="937"/>
        <v>2.4553589262163671E-5</v>
      </c>
    </row>
    <row r="475" spans="1:21" s="163" customFormat="1" ht="15.75" thickBot="1" x14ac:dyDescent="0.3">
      <c r="A475" s="167">
        <f t="shared" ref="A475:B475" si="1042">A474+1</f>
        <v>465</v>
      </c>
      <c r="B475" s="168">
        <f t="shared" si="1042"/>
        <v>465</v>
      </c>
      <c r="C475" s="92" t="str">
        <f t="shared" si="1006"/>
        <v>L11X22-352_000_15</v>
      </c>
      <c r="D475" s="169">
        <f t="shared" si="1014"/>
        <v>22</v>
      </c>
      <c r="E475" s="173">
        <f t="shared" si="1038"/>
        <v>3.0940000000000003</v>
      </c>
      <c r="F475" s="170">
        <f t="shared" si="1021"/>
        <v>14.063636363636364</v>
      </c>
      <c r="G475" s="170">
        <f t="shared" si="1022"/>
        <v>11.250909090909092</v>
      </c>
      <c r="H475" s="170">
        <f t="shared" si="1023"/>
        <v>7.0318181818181822</v>
      </c>
      <c r="I475" s="170">
        <f t="shared" si="907"/>
        <v>8</v>
      </c>
      <c r="J475" s="171">
        <f t="shared" si="1009"/>
        <v>-8</v>
      </c>
      <c r="K475" s="87" t="s">
        <v>3730</v>
      </c>
      <c r="L475" s="170">
        <f t="shared" ref="L475:N475" si="1043">L474</f>
        <v>0.2</v>
      </c>
      <c r="M475" s="170">
        <f t="shared" si="1043"/>
        <v>150</v>
      </c>
      <c r="N475" s="170">
        <f t="shared" si="1043"/>
        <v>750</v>
      </c>
      <c r="P475" s="38">
        <f t="shared" ref="P475:P538" si="1044">D475-v_step/2</f>
        <v>21</v>
      </c>
      <c r="Q475" s="38">
        <f t="shared" ref="Q475:Q520" si="1045">P475+v_step</f>
        <v>23</v>
      </c>
      <c r="R475" s="39">
        <f t="shared" ref="R475:R538" si="1046">IF(wpd="Rayleigh",1-EXP(-PI()*((P475/2/v_ave)^2)),IF(wpd="Weibull",1-EXP(-((P475/weibull_A)^weibull_K))))</f>
        <v>0.99788250522936717</v>
      </c>
      <c r="S475" s="39">
        <f t="shared" ref="S475:S538" si="1047">IF(wpd="Rayleigh",1-EXP(-PI()*((Q475/2/v_ave)^2)),IF(wpd="Weibull",1-EXP(-((Q475/weibull_A)^weibull_K))))</f>
        <v>0.99938027417435915</v>
      </c>
      <c r="T475" s="39">
        <f t="shared" si="915"/>
        <v>1.497768944991984E-3</v>
      </c>
      <c r="U475" s="89">
        <f t="shared" si="937"/>
        <v>2.4553589262163671E-5</v>
      </c>
    </row>
    <row r="476" spans="1:21" s="163" customFormat="1" ht="15.75" thickBot="1" x14ac:dyDescent="0.3">
      <c r="A476" s="167">
        <f t="shared" ref="A476:B476" si="1048">A475+1</f>
        <v>466</v>
      </c>
      <c r="B476" s="168">
        <f t="shared" si="1048"/>
        <v>466</v>
      </c>
      <c r="C476" s="92" t="str">
        <f t="shared" si="1006"/>
        <v>L11X22-352_000_16</v>
      </c>
      <c r="D476" s="169">
        <f t="shared" si="1014"/>
        <v>22</v>
      </c>
      <c r="E476" s="173">
        <f t="shared" si="1038"/>
        <v>3.0940000000000003</v>
      </c>
      <c r="F476" s="170">
        <f t="shared" si="1021"/>
        <v>14.063636363636364</v>
      </c>
      <c r="G476" s="170">
        <f t="shared" si="1022"/>
        <v>11.250909090909092</v>
      </c>
      <c r="H476" s="170">
        <f t="shared" si="1023"/>
        <v>7.0318181818181822</v>
      </c>
      <c r="I476" s="170">
        <f t="shared" si="907"/>
        <v>8</v>
      </c>
      <c r="J476" s="171">
        <f t="shared" si="1009"/>
        <v>-8</v>
      </c>
      <c r="K476" s="87" t="s">
        <v>3731</v>
      </c>
      <c r="L476" s="170">
        <f t="shared" ref="L476:N476" si="1049">L475</f>
        <v>0.2</v>
      </c>
      <c r="M476" s="170">
        <f t="shared" si="1049"/>
        <v>150</v>
      </c>
      <c r="N476" s="170">
        <f t="shared" si="1049"/>
        <v>750</v>
      </c>
      <c r="P476" s="38">
        <f t="shared" si="1044"/>
        <v>21</v>
      </c>
      <c r="Q476" s="38">
        <f t="shared" si="1045"/>
        <v>23</v>
      </c>
      <c r="R476" s="39">
        <f t="shared" si="1046"/>
        <v>0.99788250522936717</v>
      </c>
      <c r="S476" s="39">
        <f t="shared" si="1047"/>
        <v>0.99938027417435915</v>
      </c>
      <c r="T476" s="39">
        <f t="shared" ref="T476:T539" si="1050">S476-R476</f>
        <v>1.497768944991984E-3</v>
      </c>
      <c r="U476" s="89">
        <f t="shared" si="937"/>
        <v>2.4553589262163671E-5</v>
      </c>
    </row>
    <row r="477" spans="1:21" s="163" customFormat="1" ht="15.75" thickBot="1" x14ac:dyDescent="0.3">
      <c r="A477" s="167">
        <f t="shared" ref="A477:B477" si="1051">A476+1</f>
        <v>467</v>
      </c>
      <c r="B477" s="168">
        <f t="shared" si="1051"/>
        <v>467</v>
      </c>
      <c r="C477" s="92" t="str">
        <f t="shared" si="1006"/>
        <v>L11X22-352_000_17</v>
      </c>
      <c r="D477" s="169">
        <f t="shared" si="1014"/>
        <v>22</v>
      </c>
      <c r="E477" s="173">
        <f t="shared" si="1038"/>
        <v>3.0940000000000003</v>
      </c>
      <c r="F477" s="170">
        <f t="shared" si="1021"/>
        <v>14.063636363636364</v>
      </c>
      <c r="G477" s="170">
        <f t="shared" si="1022"/>
        <v>11.250909090909092</v>
      </c>
      <c r="H477" s="170">
        <f t="shared" si="1023"/>
        <v>7.0318181818181822</v>
      </c>
      <c r="I477" s="170">
        <f t="shared" si="907"/>
        <v>8</v>
      </c>
      <c r="J477" s="171">
        <f t="shared" si="1009"/>
        <v>-8</v>
      </c>
      <c r="K477" s="87" t="s">
        <v>3732</v>
      </c>
      <c r="L477" s="170">
        <f t="shared" ref="L477:N477" si="1052">L476</f>
        <v>0.2</v>
      </c>
      <c r="M477" s="170">
        <f t="shared" si="1052"/>
        <v>150</v>
      </c>
      <c r="N477" s="170">
        <f t="shared" si="1052"/>
        <v>750</v>
      </c>
      <c r="P477" s="38">
        <f t="shared" si="1044"/>
        <v>21</v>
      </c>
      <c r="Q477" s="38">
        <f t="shared" si="1045"/>
        <v>23</v>
      </c>
      <c r="R477" s="39">
        <f t="shared" si="1046"/>
        <v>0.99788250522936717</v>
      </c>
      <c r="S477" s="39">
        <f t="shared" si="1047"/>
        <v>0.99938027417435915</v>
      </c>
      <c r="T477" s="39">
        <f t="shared" si="1050"/>
        <v>1.497768944991984E-3</v>
      </c>
      <c r="U477" s="89">
        <f t="shared" si="937"/>
        <v>2.4553589262163671E-5</v>
      </c>
    </row>
    <row r="478" spans="1:21" s="163" customFormat="1" ht="15.75" thickBot="1" x14ac:dyDescent="0.3">
      <c r="A478" s="167">
        <f t="shared" ref="A478:B478" si="1053">A477+1</f>
        <v>468</v>
      </c>
      <c r="B478" s="168">
        <f t="shared" si="1053"/>
        <v>468</v>
      </c>
      <c r="C478" s="92" t="str">
        <f t="shared" si="1006"/>
        <v>L11X22-352_000_18</v>
      </c>
      <c r="D478" s="169">
        <f t="shared" si="1014"/>
        <v>22</v>
      </c>
      <c r="E478" s="173">
        <f t="shared" si="1038"/>
        <v>3.0940000000000003</v>
      </c>
      <c r="F478" s="170">
        <f t="shared" si="1021"/>
        <v>14.063636363636364</v>
      </c>
      <c r="G478" s="170">
        <f t="shared" si="1022"/>
        <v>11.250909090909092</v>
      </c>
      <c r="H478" s="170">
        <f t="shared" si="1023"/>
        <v>7.0318181818181822</v>
      </c>
      <c r="I478" s="170">
        <f t="shared" si="907"/>
        <v>8</v>
      </c>
      <c r="J478" s="171">
        <f t="shared" si="1009"/>
        <v>-8</v>
      </c>
      <c r="K478" s="87" t="s">
        <v>3733</v>
      </c>
      <c r="L478" s="170">
        <f t="shared" ref="L478:N478" si="1054">L477</f>
        <v>0.2</v>
      </c>
      <c r="M478" s="170">
        <f t="shared" si="1054"/>
        <v>150</v>
      </c>
      <c r="N478" s="170">
        <f t="shared" si="1054"/>
        <v>750</v>
      </c>
      <c r="P478" s="38">
        <f t="shared" si="1044"/>
        <v>21</v>
      </c>
      <c r="Q478" s="38">
        <f t="shared" si="1045"/>
        <v>23</v>
      </c>
      <c r="R478" s="39">
        <f t="shared" si="1046"/>
        <v>0.99788250522936717</v>
      </c>
      <c r="S478" s="39">
        <f t="shared" si="1047"/>
        <v>0.99938027417435915</v>
      </c>
      <c r="T478" s="39">
        <f t="shared" si="1050"/>
        <v>1.497768944991984E-3</v>
      </c>
      <c r="U478" s="89">
        <f t="shared" si="937"/>
        <v>2.4553589262163671E-5</v>
      </c>
    </row>
    <row r="479" spans="1:21" s="163" customFormat="1" ht="15.75" thickBot="1" x14ac:dyDescent="0.3">
      <c r="A479" s="167">
        <f t="shared" ref="A479:B479" si="1055">A478+1</f>
        <v>469</v>
      </c>
      <c r="B479" s="168">
        <f t="shared" si="1055"/>
        <v>469</v>
      </c>
      <c r="C479" s="92" t="str">
        <f t="shared" si="1006"/>
        <v>L11X22-352_000_19</v>
      </c>
      <c r="D479" s="169">
        <f t="shared" si="1014"/>
        <v>22</v>
      </c>
      <c r="E479" s="173">
        <f t="shared" si="1038"/>
        <v>3.0940000000000003</v>
      </c>
      <c r="F479" s="170">
        <f t="shared" si="1021"/>
        <v>14.063636363636364</v>
      </c>
      <c r="G479" s="170">
        <f t="shared" si="1022"/>
        <v>11.250909090909092</v>
      </c>
      <c r="H479" s="170">
        <f t="shared" si="1023"/>
        <v>7.0318181818181822</v>
      </c>
      <c r="I479" s="170">
        <f t="shared" ref="I479:I542" si="1056">I478</f>
        <v>8</v>
      </c>
      <c r="J479" s="171">
        <f t="shared" si="1009"/>
        <v>-8</v>
      </c>
      <c r="K479" s="87" t="s">
        <v>3734</v>
      </c>
      <c r="L479" s="170">
        <f t="shared" ref="L479:N479" si="1057">L478</f>
        <v>0.2</v>
      </c>
      <c r="M479" s="170">
        <f t="shared" si="1057"/>
        <v>150</v>
      </c>
      <c r="N479" s="170">
        <f t="shared" si="1057"/>
        <v>750</v>
      </c>
      <c r="P479" s="38">
        <f t="shared" si="1044"/>
        <v>21</v>
      </c>
      <c r="Q479" s="38">
        <f t="shared" si="1045"/>
        <v>23</v>
      </c>
      <c r="R479" s="39">
        <f t="shared" si="1046"/>
        <v>0.99788250522936717</v>
      </c>
      <c r="S479" s="39">
        <f t="shared" si="1047"/>
        <v>0.99938027417435915</v>
      </c>
      <c r="T479" s="39">
        <f t="shared" si="1050"/>
        <v>1.497768944991984E-3</v>
      </c>
      <c r="U479" s="89">
        <f t="shared" si="937"/>
        <v>2.4553589262163671E-5</v>
      </c>
    </row>
    <row r="480" spans="1:21" s="163" customFormat="1" ht="15.75" thickBot="1" x14ac:dyDescent="0.3">
      <c r="A480" s="167">
        <f t="shared" ref="A480:B480" si="1058">A479+1</f>
        <v>470</v>
      </c>
      <c r="B480" s="168">
        <f t="shared" si="1058"/>
        <v>470</v>
      </c>
      <c r="C480" s="92" t="str">
        <f t="shared" si="1006"/>
        <v>L11X22-352_000_20</v>
      </c>
      <c r="D480" s="169">
        <f t="shared" si="1014"/>
        <v>22</v>
      </c>
      <c r="E480" s="173">
        <f t="shared" si="1038"/>
        <v>3.0940000000000003</v>
      </c>
      <c r="F480" s="170">
        <f t="shared" si="1021"/>
        <v>14.063636363636364</v>
      </c>
      <c r="G480" s="170">
        <f t="shared" si="1022"/>
        <v>11.250909090909092</v>
      </c>
      <c r="H480" s="170">
        <f t="shared" si="1023"/>
        <v>7.0318181818181822</v>
      </c>
      <c r="I480" s="170">
        <f t="shared" si="1056"/>
        <v>8</v>
      </c>
      <c r="J480" s="171">
        <f t="shared" si="1009"/>
        <v>-8</v>
      </c>
      <c r="K480" s="87" t="s">
        <v>3735</v>
      </c>
      <c r="L480" s="170">
        <f t="shared" ref="L480:N480" si="1059">L479</f>
        <v>0.2</v>
      </c>
      <c r="M480" s="170">
        <f t="shared" si="1059"/>
        <v>150</v>
      </c>
      <c r="N480" s="170">
        <f t="shared" si="1059"/>
        <v>750</v>
      </c>
      <c r="P480" s="38">
        <f t="shared" si="1044"/>
        <v>21</v>
      </c>
      <c r="Q480" s="38">
        <f t="shared" si="1045"/>
        <v>23</v>
      </c>
      <c r="R480" s="39">
        <f t="shared" si="1046"/>
        <v>0.99788250522936717</v>
      </c>
      <c r="S480" s="39">
        <f t="shared" si="1047"/>
        <v>0.99938027417435915</v>
      </c>
      <c r="T480" s="39">
        <f t="shared" si="1050"/>
        <v>1.497768944991984E-3</v>
      </c>
      <c r="U480" s="89">
        <f t="shared" si="937"/>
        <v>2.4553589262163671E-5</v>
      </c>
    </row>
    <row r="481" spans="1:21" s="163" customFormat="1" ht="15.75" thickBot="1" x14ac:dyDescent="0.3">
      <c r="A481" s="167">
        <f t="shared" ref="A481:B481" si="1060">A480+1</f>
        <v>471</v>
      </c>
      <c r="B481" s="168">
        <f t="shared" si="1060"/>
        <v>471</v>
      </c>
      <c r="C481" s="92" t="str">
        <f t="shared" si="1006"/>
        <v>L11X22-000_000_21</v>
      </c>
      <c r="D481" s="169">
        <f t="shared" si="1014"/>
        <v>22</v>
      </c>
      <c r="E481" s="173">
        <f t="shared" si="1038"/>
        <v>3.0940000000000003</v>
      </c>
      <c r="F481" s="170">
        <f t="shared" si="1021"/>
        <v>14.063636363636364</v>
      </c>
      <c r="G481" s="170">
        <f t="shared" si="1022"/>
        <v>11.250909090909092</v>
      </c>
      <c r="H481" s="170">
        <f t="shared" si="1023"/>
        <v>7.0318181818181822</v>
      </c>
      <c r="I481" s="170">
        <f t="shared" si="1056"/>
        <v>8</v>
      </c>
      <c r="J481" s="171">
        <f t="shared" ref="J481:J500" si="1061">yaw_null</f>
        <v>0</v>
      </c>
      <c r="K481" s="87" t="s">
        <v>3736</v>
      </c>
      <c r="L481" s="170">
        <f t="shared" ref="L481:N481" si="1062">L480</f>
        <v>0.2</v>
      </c>
      <c r="M481" s="170">
        <f t="shared" si="1062"/>
        <v>150</v>
      </c>
      <c r="N481" s="170">
        <f t="shared" si="1062"/>
        <v>750</v>
      </c>
      <c r="P481" s="38">
        <f t="shared" si="1044"/>
        <v>21</v>
      </c>
      <c r="Q481" s="38">
        <f t="shared" si="1045"/>
        <v>23</v>
      </c>
      <c r="R481" s="39">
        <f t="shared" si="1046"/>
        <v>0.99788250522936717</v>
      </c>
      <c r="S481" s="39">
        <f t="shared" si="1047"/>
        <v>0.99938027417435915</v>
      </c>
      <c r="T481" s="39">
        <f t="shared" si="1050"/>
        <v>1.497768944991984E-3</v>
      </c>
      <c r="U481" s="89">
        <f t="shared" si="937"/>
        <v>2.4553589262163671E-5</v>
      </c>
    </row>
    <row r="482" spans="1:21" s="163" customFormat="1" ht="15.75" thickBot="1" x14ac:dyDescent="0.3">
      <c r="A482" s="167">
        <f t="shared" ref="A482:B482" si="1063">A481+1</f>
        <v>472</v>
      </c>
      <c r="B482" s="168">
        <f t="shared" si="1063"/>
        <v>472</v>
      </c>
      <c r="C482" s="92" t="str">
        <f t="shared" si="1006"/>
        <v>L11X22-000_000_22</v>
      </c>
      <c r="D482" s="169">
        <f t="shared" si="1014"/>
        <v>22</v>
      </c>
      <c r="E482" s="173">
        <f t="shared" si="1038"/>
        <v>3.0940000000000003</v>
      </c>
      <c r="F482" s="170">
        <f t="shared" si="1021"/>
        <v>14.063636363636364</v>
      </c>
      <c r="G482" s="170">
        <f t="shared" si="1022"/>
        <v>11.250909090909092</v>
      </c>
      <c r="H482" s="170">
        <f t="shared" si="1023"/>
        <v>7.0318181818181822</v>
      </c>
      <c r="I482" s="170">
        <f t="shared" si="1056"/>
        <v>8</v>
      </c>
      <c r="J482" s="171">
        <f t="shared" si="1061"/>
        <v>0</v>
      </c>
      <c r="K482" s="87" t="s">
        <v>3737</v>
      </c>
      <c r="L482" s="170">
        <f t="shared" ref="L482:N482" si="1064">L481</f>
        <v>0.2</v>
      </c>
      <c r="M482" s="170">
        <f t="shared" si="1064"/>
        <v>150</v>
      </c>
      <c r="N482" s="170">
        <f t="shared" si="1064"/>
        <v>750</v>
      </c>
      <c r="P482" s="38">
        <f t="shared" si="1044"/>
        <v>21</v>
      </c>
      <c r="Q482" s="38">
        <f t="shared" si="1045"/>
        <v>23</v>
      </c>
      <c r="R482" s="39">
        <f t="shared" si="1046"/>
        <v>0.99788250522936717</v>
      </c>
      <c r="S482" s="39">
        <f t="shared" si="1047"/>
        <v>0.99938027417435915</v>
      </c>
      <c r="T482" s="39">
        <f t="shared" si="1050"/>
        <v>1.497768944991984E-3</v>
      </c>
      <c r="U482" s="89">
        <f t="shared" si="937"/>
        <v>2.4553589262163671E-5</v>
      </c>
    </row>
    <row r="483" spans="1:21" s="163" customFormat="1" ht="15.75" thickBot="1" x14ac:dyDescent="0.3">
      <c r="A483" s="167">
        <f t="shared" ref="A483:B483" si="1065">A482+1</f>
        <v>473</v>
      </c>
      <c r="B483" s="168">
        <f t="shared" si="1065"/>
        <v>473</v>
      </c>
      <c r="C483" s="92" t="str">
        <f t="shared" si="1006"/>
        <v>L11X22-000_000_23</v>
      </c>
      <c r="D483" s="169">
        <f t="shared" si="1014"/>
        <v>22</v>
      </c>
      <c r="E483" s="173">
        <f t="shared" si="1038"/>
        <v>3.0940000000000003</v>
      </c>
      <c r="F483" s="170">
        <f t="shared" si="1021"/>
        <v>14.063636363636364</v>
      </c>
      <c r="G483" s="170">
        <f t="shared" si="1022"/>
        <v>11.250909090909092</v>
      </c>
      <c r="H483" s="170">
        <f t="shared" si="1023"/>
        <v>7.0318181818181822</v>
      </c>
      <c r="I483" s="170">
        <f t="shared" si="1056"/>
        <v>8</v>
      </c>
      <c r="J483" s="171">
        <f t="shared" si="1061"/>
        <v>0</v>
      </c>
      <c r="K483" s="87" t="s">
        <v>3738</v>
      </c>
      <c r="L483" s="170">
        <f t="shared" ref="L483:N483" si="1066">L482</f>
        <v>0.2</v>
      </c>
      <c r="M483" s="170">
        <f t="shared" si="1066"/>
        <v>150</v>
      </c>
      <c r="N483" s="170">
        <f t="shared" si="1066"/>
        <v>750</v>
      </c>
      <c r="P483" s="38">
        <f t="shared" si="1044"/>
        <v>21</v>
      </c>
      <c r="Q483" s="38">
        <f t="shared" si="1045"/>
        <v>23</v>
      </c>
      <c r="R483" s="39">
        <f t="shared" si="1046"/>
        <v>0.99788250522936717</v>
      </c>
      <c r="S483" s="39">
        <f t="shared" si="1047"/>
        <v>0.99938027417435915</v>
      </c>
      <c r="T483" s="39">
        <f t="shared" si="1050"/>
        <v>1.497768944991984E-3</v>
      </c>
      <c r="U483" s="89">
        <f t="shared" si="937"/>
        <v>2.4553589262163671E-5</v>
      </c>
    </row>
    <row r="484" spans="1:21" s="163" customFormat="1" ht="15.75" thickBot="1" x14ac:dyDescent="0.3">
      <c r="A484" s="167">
        <f t="shared" ref="A484:B484" si="1067">A483+1</f>
        <v>474</v>
      </c>
      <c r="B484" s="168">
        <f t="shared" si="1067"/>
        <v>474</v>
      </c>
      <c r="C484" s="92" t="str">
        <f t="shared" si="1006"/>
        <v>L11X22-000_000_24</v>
      </c>
      <c r="D484" s="169">
        <f t="shared" si="1014"/>
        <v>22</v>
      </c>
      <c r="E484" s="173">
        <f t="shared" si="1038"/>
        <v>3.0940000000000003</v>
      </c>
      <c r="F484" s="170">
        <f t="shared" si="1021"/>
        <v>14.063636363636364</v>
      </c>
      <c r="G484" s="170">
        <f t="shared" si="1022"/>
        <v>11.250909090909092</v>
      </c>
      <c r="H484" s="170">
        <f t="shared" si="1023"/>
        <v>7.0318181818181822</v>
      </c>
      <c r="I484" s="170">
        <f t="shared" si="1056"/>
        <v>8</v>
      </c>
      <c r="J484" s="171">
        <f t="shared" si="1061"/>
        <v>0</v>
      </c>
      <c r="K484" s="87" t="s">
        <v>3739</v>
      </c>
      <c r="L484" s="170">
        <f t="shared" ref="L484:N484" si="1068">L483</f>
        <v>0.2</v>
      </c>
      <c r="M484" s="170">
        <f t="shared" si="1068"/>
        <v>150</v>
      </c>
      <c r="N484" s="170">
        <f t="shared" si="1068"/>
        <v>750</v>
      </c>
      <c r="P484" s="38">
        <f t="shared" si="1044"/>
        <v>21</v>
      </c>
      <c r="Q484" s="38">
        <f t="shared" si="1045"/>
        <v>23</v>
      </c>
      <c r="R484" s="39">
        <f t="shared" si="1046"/>
        <v>0.99788250522936717</v>
      </c>
      <c r="S484" s="39">
        <f t="shared" si="1047"/>
        <v>0.99938027417435915</v>
      </c>
      <c r="T484" s="39">
        <f t="shared" si="1050"/>
        <v>1.497768944991984E-3</v>
      </c>
      <c r="U484" s="89">
        <f t="shared" si="937"/>
        <v>2.4553589262163671E-5</v>
      </c>
    </row>
    <row r="485" spans="1:21" s="163" customFormat="1" ht="15.75" thickBot="1" x14ac:dyDescent="0.3">
      <c r="A485" s="167">
        <f t="shared" ref="A485:B485" si="1069">A484+1</f>
        <v>475</v>
      </c>
      <c r="B485" s="168">
        <f t="shared" si="1069"/>
        <v>475</v>
      </c>
      <c r="C485" s="92" t="str">
        <f t="shared" si="1006"/>
        <v>L11X22-000_000_25</v>
      </c>
      <c r="D485" s="169">
        <f t="shared" si="1014"/>
        <v>22</v>
      </c>
      <c r="E485" s="173">
        <f t="shared" si="1038"/>
        <v>3.0940000000000003</v>
      </c>
      <c r="F485" s="170">
        <f t="shared" si="1021"/>
        <v>14.063636363636364</v>
      </c>
      <c r="G485" s="170">
        <f t="shared" si="1022"/>
        <v>11.250909090909092</v>
      </c>
      <c r="H485" s="170">
        <f t="shared" si="1023"/>
        <v>7.0318181818181822</v>
      </c>
      <c r="I485" s="170">
        <f t="shared" si="1056"/>
        <v>8</v>
      </c>
      <c r="J485" s="171">
        <f t="shared" si="1061"/>
        <v>0</v>
      </c>
      <c r="K485" s="87" t="s">
        <v>3740</v>
      </c>
      <c r="L485" s="170">
        <f t="shared" ref="L485:N485" si="1070">L484</f>
        <v>0.2</v>
      </c>
      <c r="M485" s="170">
        <f t="shared" si="1070"/>
        <v>150</v>
      </c>
      <c r="N485" s="170">
        <f t="shared" si="1070"/>
        <v>750</v>
      </c>
      <c r="P485" s="38">
        <f t="shared" si="1044"/>
        <v>21</v>
      </c>
      <c r="Q485" s="38">
        <f t="shared" si="1045"/>
        <v>23</v>
      </c>
      <c r="R485" s="39">
        <f t="shared" si="1046"/>
        <v>0.99788250522936717</v>
      </c>
      <c r="S485" s="39">
        <f t="shared" si="1047"/>
        <v>0.99938027417435915</v>
      </c>
      <c r="T485" s="39">
        <f t="shared" si="1050"/>
        <v>1.497768944991984E-3</v>
      </c>
      <c r="U485" s="89">
        <f t="shared" si="937"/>
        <v>2.4553589262163671E-5</v>
      </c>
    </row>
    <row r="486" spans="1:21" s="163" customFormat="1" ht="15.75" thickBot="1" x14ac:dyDescent="0.3">
      <c r="A486" s="167">
        <f t="shared" ref="A486:B486" si="1071">A485+1</f>
        <v>476</v>
      </c>
      <c r="B486" s="168">
        <f t="shared" si="1071"/>
        <v>476</v>
      </c>
      <c r="C486" s="92" t="str">
        <f t="shared" si="1006"/>
        <v>L11X22-000_000_26</v>
      </c>
      <c r="D486" s="169">
        <f t="shared" si="1014"/>
        <v>22</v>
      </c>
      <c r="E486" s="173">
        <f t="shared" si="1038"/>
        <v>3.0940000000000003</v>
      </c>
      <c r="F486" s="170">
        <f t="shared" si="1021"/>
        <v>14.063636363636364</v>
      </c>
      <c r="G486" s="170">
        <f t="shared" si="1022"/>
        <v>11.250909090909092</v>
      </c>
      <c r="H486" s="170">
        <f t="shared" si="1023"/>
        <v>7.0318181818181822</v>
      </c>
      <c r="I486" s="170">
        <f t="shared" si="1056"/>
        <v>8</v>
      </c>
      <c r="J486" s="171">
        <f t="shared" si="1061"/>
        <v>0</v>
      </c>
      <c r="K486" s="87" t="s">
        <v>3741</v>
      </c>
      <c r="L486" s="170">
        <f t="shared" ref="L486:N486" si="1072">L485</f>
        <v>0.2</v>
      </c>
      <c r="M486" s="170">
        <f t="shared" si="1072"/>
        <v>150</v>
      </c>
      <c r="N486" s="170">
        <f t="shared" si="1072"/>
        <v>750</v>
      </c>
      <c r="P486" s="38">
        <f t="shared" si="1044"/>
        <v>21</v>
      </c>
      <c r="Q486" s="38">
        <f t="shared" si="1045"/>
        <v>23</v>
      </c>
      <c r="R486" s="39">
        <f t="shared" si="1046"/>
        <v>0.99788250522936717</v>
      </c>
      <c r="S486" s="39">
        <f t="shared" si="1047"/>
        <v>0.99938027417435915</v>
      </c>
      <c r="T486" s="39">
        <f t="shared" si="1050"/>
        <v>1.497768944991984E-3</v>
      </c>
      <c r="U486" s="89">
        <f t="shared" ref="U486:U549" si="1073">T486/61</f>
        <v>2.4553589262163671E-5</v>
      </c>
    </row>
    <row r="487" spans="1:21" s="163" customFormat="1" ht="15.75" thickBot="1" x14ac:dyDescent="0.3">
      <c r="A487" s="167">
        <f t="shared" ref="A487:B487" si="1074">A486+1</f>
        <v>477</v>
      </c>
      <c r="B487" s="168">
        <f t="shared" si="1074"/>
        <v>477</v>
      </c>
      <c r="C487" s="92" t="str">
        <f t="shared" si="1006"/>
        <v>L11X22-000_000_27</v>
      </c>
      <c r="D487" s="169">
        <f t="shared" si="1014"/>
        <v>22</v>
      </c>
      <c r="E487" s="173">
        <f t="shared" si="1038"/>
        <v>3.0940000000000003</v>
      </c>
      <c r="F487" s="170">
        <f t="shared" si="1021"/>
        <v>14.063636363636364</v>
      </c>
      <c r="G487" s="170">
        <f t="shared" si="1022"/>
        <v>11.250909090909092</v>
      </c>
      <c r="H487" s="170">
        <f t="shared" si="1023"/>
        <v>7.0318181818181822</v>
      </c>
      <c r="I487" s="170">
        <f t="shared" si="1056"/>
        <v>8</v>
      </c>
      <c r="J487" s="171">
        <f t="shared" si="1061"/>
        <v>0</v>
      </c>
      <c r="K487" s="87" t="s">
        <v>3742</v>
      </c>
      <c r="L487" s="170">
        <f t="shared" ref="L487:N487" si="1075">L486</f>
        <v>0.2</v>
      </c>
      <c r="M487" s="170">
        <f t="shared" si="1075"/>
        <v>150</v>
      </c>
      <c r="N487" s="170">
        <f t="shared" si="1075"/>
        <v>750</v>
      </c>
      <c r="P487" s="38">
        <f t="shared" si="1044"/>
        <v>21</v>
      </c>
      <c r="Q487" s="38">
        <f t="shared" si="1045"/>
        <v>23</v>
      </c>
      <c r="R487" s="39">
        <f t="shared" si="1046"/>
        <v>0.99788250522936717</v>
      </c>
      <c r="S487" s="39">
        <f t="shared" si="1047"/>
        <v>0.99938027417435915</v>
      </c>
      <c r="T487" s="39">
        <f t="shared" si="1050"/>
        <v>1.497768944991984E-3</v>
      </c>
      <c r="U487" s="89">
        <f t="shared" si="1073"/>
        <v>2.4553589262163671E-5</v>
      </c>
    </row>
    <row r="488" spans="1:21" s="163" customFormat="1" ht="15.75" thickBot="1" x14ac:dyDescent="0.3">
      <c r="A488" s="167">
        <f t="shared" ref="A488:B488" si="1076">A487+1</f>
        <v>478</v>
      </c>
      <c r="B488" s="168">
        <f t="shared" si="1076"/>
        <v>478</v>
      </c>
      <c r="C488" s="92" t="str">
        <f t="shared" si="1006"/>
        <v>L11X22-000_000_28</v>
      </c>
      <c r="D488" s="169">
        <f t="shared" si="1014"/>
        <v>22</v>
      </c>
      <c r="E488" s="173">
        <f t="shared" si="1038"/>
        <v>3.0940000000000003</v>
      </c>
      <c r="F488" s="170">
        <f t="shared" si="1021"/>
        <v>14.063636363636364</v>
      </c>
      <c r="G488" s="170">
        <f t="shared" si="1022"/>
        <v>11.250909090909092</v>
      </c>
      <c r="H488" s="170">
        <f t="shared" si="1023"/>
        <v>7.0318181818181822</v>
      </c>
      <c r="I488" s="170">
        <f t="shared" si="1056"/>
        <v>8</v>
      </c>
      <c r="J488" s="171">
        <f t="shared" si="1061"/>
        <v>0</v>
      </c>
      <c r="K488" s="87" t="s">
        <v>3743</v>
      </c>
      <c r="L488" s="170">
        <f t="shared" ref="L488:N488" si="1077">L487</f>
        <v>0.2</v>
      </c>
      <c r="M488" s="170">
        <f t="shared" si="1077"/>
        <v>150</v>
      </c>
      <c r="N488" s="170">
        <f t="shared" si="1077"/>
        <v>750</v>
      </c>
      <c r="P488" s="38">
        <f t="shared" si="1044"/>
        <v>21</v>
      </c>
      <c r="Q488" s="38">
        <f t="shared" si="1045"/>
        <v>23</v>
      </c>
      <c r="R488" s="39">
        <f t="shared" si="1046"/>
        <v>0.99788250522936717</v>
      </c>
      <c r="S488" s="39">
        <f t="shared" si="1047"/>
        <v>0.99938027417435915</v>
      </c>
      <c r="T488" s="39">
        <f t="shared" si="1050"/>
        <v>1.497768944991984E-3</v>
      </c>
      <c r="U488" s="89">
        <f t="shared" si="1073"/>
        <v>2.4553589262163671E-5</v>
      </c>
    </row>
    <row r="489" spans="1:21" s="163" customFormat="1" ht="15.75" thickBot="1" x14ac:dyDescent="0.3">
      <c r="A489" s="167">
        <f t="shared" ref="A489:B489" si="1078">A488+1</f>
        <v>479</v>
      </c>
      <c r="B489" s="168">
        <f t="shared" si="1078"/>
        <v>479</v>
      </c>
      <c r="C489" s="92" t="str">
        <f t="shared" si="1006"/>
        <v>L11X22-000_000_29</v>
      </c>
      <c r="D489" s="169">
        <f t="shared" si="1014"/>
        <v>22</v>
      </c>
      <c r="E489" s="173">
        <f t="shared" si="1038"/>
        <v>3.0940000000000003</v>
      </c>
      <c r="F489" s="170">
        <f t="shared" si="1021"/>
        <v>14.063636363636364</v>
      </c>
      <c r="G489" s="170">
        <f t="shared" si="1022"/>
        <v>11.250909090909092</v>
      </c>
      <c r="H489" s="170">
        <f t="shared" si="1023"/>
        <v>7.0318181818181822</v>
      </c>
      <c r="I489" s="170">
        <f t="shared" si="1056"/>
        <v>8</v>
      </c>
      <c r="J489" s="171">
        <f t="shared" si="1061"/>
        <v>0</v>
      </c>
      <c r="K489" s="87" t="s">
        <v>3744</v>
      </c>
      <c r="L489" s="170">
        <f t="shared" ref="L489:N489" si="1079">L488</f>
        <v>0.2</v>
      </c>
      <c r="M489" s="170">
        <f t="shared" si="1079"/>
        <v>150</v>
      </c>
      <c r="N489" s="170">
        <f t="shared" si="1079"/>
        <v>750</v>
      </c>
      <c r="P489" s="38">
        <f t="shared" si="1044"/>
        <v>21</v>
      </c>
      <c r="Q489" s="38">
        <f t="shared" si="1045"/>
        <v>23</v>
      </c>
      <c r="R489" s="39">
        <f t="shared" si="1046"/>
        <v>0.99788250522936717</v>
      </c>
      <c r="S489" s="39">
        <f t="shared" si="1047"/>
        <v>0.99938027417435915</v>
      </c>
      <c r="T489" s="39">
        <f t="shared" si="1050"/>
        <v>1.497768944991984E-3</v>
      </c>
      <c r="U489" s="89">
        <f t="shared" si="1073"/>
        <v>2.4553589262163671E-5</v>
      </c>
    </row>
    <row r="490" spans="1:21" s="163" customFormat="1" ht="15.75" thickBot="1" x14ac:dyDescent="0.3">
      <c r="A490" s="167">
        <f t="shared" ref="A490:B490" si="1080">A489+1</f>
        <v>480</v>
      </c>
      <c r="B490" s="168">
        <f t="shared" si="1080"/>
        <v>480</v>
      </c>
      <c r="C490" s="92" t="str">
        <f t="shared" si="1006"/>
        <v>L11X22-000_000_30</v>
      </c>
      <c r="D490" s="169">
        <f t="shared" si="1014"/>
        <v>22</v>
      </c>
      <c r="E490" s="173">
        <f t="shared" si="1038"/>
        <v>3.0940000000000003</v>
      </c>
      <c r="F490" s="170">
        <f t="shared" si="1021"/>
        <v>14.063636363636364</v>
      </c>
      <c r="G490" s="170">
        <f t="shared" si="1022"/>
        <v>11.250909090909092</v>
      </c>
      <c r="H490" s="170">
        <f t="shared" si="1023"/>
        <v>7.0318181818181822</v>
      </c>
      <c r="I490" s="170">
        <f t="shared" si="1056"/>
        <v>8</v>
      </c>
      <c r="J490" s="171">
        <f t="shared" si="1061"/>
        <v>0</v>
      </c>
      <c r="K490" s="87" t="s">
        <v>3745</v>
      </c>
      <c r="L490" s="170">
        <f t="shared" ref="L490:N490" si="1081">L489</f>
        <v>0.2</v>
      </c>
      <c r="M490" s="170">
        <f t="shared" si="1081"/>
        <v>150</v>
      </c>
      <c r="N490" s="170">
        <f t="shared" si="1081"/>
        <v>750</v>
      </c>
      <c r="P490" s="38">
        <f t="shared" si="1044"/>
        <v>21</v>
      </c>
      <c r="Q490" s="38">
        <f t="shared" si="1045"/>
        <v>23</v>
      </c>
      <c r="R490" s="39">
        <f t="shared" si="1046"/>
        <v>0.99788250522936717</v>
      </c>
      <c r="S490" s="39">
        <f t="shared" si="1047"/>
        <v>0.99938027417435915</v>
      </c>
      <c r="T490" s="39">
        <f t="shared" si="1050"/>
        <v>1.497768944991984E-3</v>
      </c>
      <c r="U490" s="89">
        <f t="shared" si="1073"/>
        <v>2.4553589262163671E-5</v>
      </c>
    </row>
    <row r="491" spans="1:21" s="163" customFormat="1" ht="15.75" thickBot="1" x14ac:dyDescent="0.3">
      <c r="A491" s="167">
        <f t="shared" ref="A491:B491" si="1082">A490+1</f>
        <v>481</v>
      </c>
      <c r="B491" s="168">
        <f t="shared" si="1082"/>
        <v>481</v>
      </c>
      <c r="C491" s="92" t="str">
        <f t="shared" si="1006"/>
        <v>L11X22-000_000_31</v>
      </c>
      <c r="D491" s="169">
        <f t="shared" si="1014"/>
        <v>22</v>
      </c>
      <c r="E491" s="173">
        <f t="shared" si="1038"/>
        <v>3.0940000000000003</v>
      </c>
      <c r="F491" s="170">
        <f t="shared" si="1021"/>
        <v>14.063636363636364</v>
      </c>
      <c r="G491" s="170">
        <f t="shared" si="1022"/>
        <v>11.250909090909092</v>
      </c>
      <c r="H491" s="170">
        <f t="shared" si="1023"/>
        <v>7.0318181818181822</v>
      </c>
      <c r="I491" s="170">
        <f t="shared" si="1056"/>
        <v>8</v>
      </c>
      <c r="J491" s="171">
        <f t="shared" si="1061"/>
        <v>0</v>
      </c>
      <c r="K491" s="87" t="s">
        <v>3746</v>
      </c>
      <c r="L491" s="170">
        <f t="shared" ref="L491:N491" si="1083">L490</f>
        <v>0.2</v>
      </c>
      <c r="M491" s="170">
        <f t="shared" si="1083"/>
        <v>150</v>
      </c>
      <c r="N491" s="170">
        <f t="shared" si="1083"/>
        <v>750</v>
      </c>
      <c r="P491" s="38">
        <f t="shared" si="1044"/>
        <v>21</v>
      </c>
      <c r="Q491" s="38">
        <f t="shared" si="1045"/>
        <v>23</v>
      </c>
      <c r="R491" s="39">
        <f t="shared" si="1046"/>
        <v>0.99788250522936717</v>
      </c>
      <c r="S491" s="39">
        <f t="shared" si="1047"/>
        <v>0.99938027417435915</v>
      </c>
      <c r="T491" s="39">
        <f t="shared" si="1050"/>
        <v>1.497768944991984E-3</v>
      </c>
      <c r="U491" s="89">
        <f t="shared" si="1073"/>
        <v>2.4553589262163671E-5</v>
      </c>
    </row>
    <row r="492" spans="1:21" s="163" customFormat="1" ht="15.75" thickBot="1" x14ac:dyDescent="0.3">
      <c r="A492" s="167">
        <f t="shared" ref="A492:B492" si="1084">A491+1</f>
        <v>482</v>
      </c>
      <c r="B492" s="168">
        <f t="shared" si="1084"/>
        <v>482</v>
      </c>
      <c r="C492" s="92" t="str">
        <f t="shared" si="1006"/>
        <v>L11X22-000_000_32</v>
      </c>
      <c r="D492" s="169">
        <f t="shared" si="1014"/>
        <v>22</v>
      </c>
      <c r="E492" s="173">
        <f t="shared" si="1038"/>
        <v>3.0940000000000003</v>
      </c>
      <c r="F492" s="170">
        <f t="shared" si="1021"/>
        <v>14.063636363636364</v>
      </c>
      <c r="G492" s="170">
        <f t="shared" si="1022"/>
        <v>11.250909090909092</v>
      </c>
      <c r="H492" s="170">
        <f t="shared" si="1023"/>
        <v>7.0318181818181822</v>
      </c>
      <c r="I492" s="170">
        <f t="shared" si="1056"/>
        <v>8</v>
      </c>
      <c r="J492" s="171">
        <f t="shared" si="1061"/>
        <v>0</v>
      </c>
      <c r="K492" s="87" t="s">
        <v>3747</v>
      </c>
      <c r="L492" s="170">
        <f t="shared" ref="L492:N492" si="1085">L491</f>
        <v>0.2</v>
      </c>
      <c r="M492" s="170">
        <f t="shared" si="1085"/>
        <v>150</v>
      </c>
      <c r="N492" s="170">
        <f t="shared" si="1085"/>
        <v>750</v>
      </c>
      <c r="P492" s="38">
        <f t="shared" si="1044"/>
        <v>21</v>
      </c>
      <c r="Q492" s="38">
        <f t="shared" si="1045"/>
        <v>23</v>
      </c>
      <c r="R492" s="39">
        <f t="shared" si="1046"/>
        <v>0.99788250522936717</v>
      </c>
      <c r="S492" s="39">
        <f t="shared" si="1047"/>
        <v>0.99938027417435915</v>
      </c>
      <c r="T492" s="39">
        <f t="shared" si="1050"/>
        <v>1.497768944991984E-3</v>
      </c>
      <c r="U492" s="89">
        <f t="shared" si="1073"/>
        <v>2.4553589262163671E-5</v>
      </c>
    </row>
    <row r="493" spans="1:21" s="163" customFormat="1" ht="15.75" thickBot="1" x14ac:dyDescent="0.3">
      <c r="A493" s="167">
        <f t="shared" ref="A493:B493" si="1086">A492+1</f>
        <v>483</v>
      </c>
      <c r="B493" s="168">
        <f t="shared" si="1086"/>
        <v>483</v>
      </c>
      <c r="C493" s="92" t="str">
        <f t="shared" si="1006"/>
        <v>L11X22-000_000_33</v>
      </c>
      <c r="D493" s="169">
        <f t="shared" si="1014"/>
        <v>22</v>
      </c>
      <c r="E493" s="173">
        <f t="shared" si="1038"/>
        <v>3.0940000000000003</v>
      </c>
      <c r="F493" s="170">
        <f t="shared" si="1021"/>
        <v>14.063636363636364</v>
      </c>
      <c r="G493" s="170">
        <f t="shared" si="1022"/>
        <v>11.250909090909092</v>
      </c>
      <c r="H493" s="170">
        <f t="shared" si="1023"/>
        <v>7.0318181818181822</v>
      </c>
      <c r="I493" s="170">
        <f t="shared" si="1056"/>
        <v>8</v>
      </c>
      <c r="J493" s="171">
        <f t="shared" si="1061"/>
        <v>0</v>
      </c>
      <c r="K493" s="87" t="s">
        <v>3748</v>
      </c>
      <c r="L493" s="170">
        <f t="shared" ref="L493:N493" si="1087">L492</f>
        <v>0.2</v>
      </c>
      <c r="M493" s="170">
        <f t="shared" si="1087"/>
        <v>150</v>
      </c>
      <c r="N493" s="170">
        <f t="shared" si="1087"/>
        <v>750</v>
      </c>
      <c r="P493" s="38">
        <f t="shared" si="1044"/>
        <v>21</v>
      </c>
      <c r="Q493" s="38">
        <f t="shared" si="1045"/>
        <v>23</v>
      </c>
      <c r="R493" s="39">
        <f t="shared" si="1046"/>
        <v>0.99788250522936717</v>
      </c>
      <c r="S493" s="39">
        <f t="shared" si="1047"/>
        <v>0.99938027417435915</v>
      </c>
      <c r="T493" s="39">
        <f t="shared" si="1050"/>
        <v>1.497768944991984E-3</v>
      </c>
      <c r="U493" s="89">
        <f t="shared" si="1073"/>
        <v>2.4553589262163671E-5</v>
      </c>
    </row>
    <row r="494" spans="1:21" s="163" customFormat="1" ht="15.75" thickBot="1" x14ac:dyDescent="0.3">
      <c r="A494" s="167">
        <f t="shared" ref="A494:B494" si="1088">A493+1</f>
        <v>484</v>
      </c>
      <c r="B494" s="168">
        <f t="shared" si="1088"/>
        <v>484</v>
      </c>
      <c r="C494" s="92" t="str">
        <f t="shared" si="1006"/>
        <v>L11X22-000_000_34</v>
      </c>
      <c r="D494" s="169">
        <f t="shared" si="1014"/>
        <v>22</v>
      </c>
      <c r="E494" s="173">
        <f t="shared" si="1038"/>
        <v>3.0940000000000003</v>
      </c>
      <c r="F494" s="170">
        <f t="shared" si="1021"/>
        <v>14.063636363636364</v>
      </c>
      <c r="G494" s="170">
        <f t="shared" si="1022"/>
        <v>11.250909090909092</v>
      </c>
      <c r="H494" s="170">
        <f t="shared" si="1023"/>
        <v>7.0318181818181822</v>
      </c>
      <c r="I494" s="170">
        <f t="shared" si="1056"/>
        <v>8</v>
      </c>
      <c r="J494" s="171">
        <f t="shared" si="1061"/>
        <v>0</v>
      </c>
      <c r="K494" s="87" t="s">
        <v>3749</v>
      </c>
      <c r="L494" s="170">
        <f t="shared" ref="L494:N494" si="1089">L493</f>
        <v>0.2</v>
      </c>
      <c r="M494" s="170">
        <f t="shared" si="1089"/>
        <v>150</v>
      </c>
      <c r="N494" s="170">
        <f t="shared" si="1089"/>
        <v>750</v>
      </c>
      <c r="P494" s="38">
        <f t="shared" si="1044"/>
        <v>21</v>
      </c>
      <c r="Q494" s="38">
        <f t="shared" si="1045"/>
        <v>23</v>
      </c>
      <c r="R494" s="39">
        <f t="shared" si="1046"/>
        <v>0.99788250522936717</v>
      </c>
      <c r="S494" s="39">
        <f t="shared" si="1047"/>
        <v>0.99938027417435915</v>
      </c>
      <c r="T494" s="39">
        <f t="shared" si="1050"/>
        <v>1.497768944991984E-3</v>
      </c>
      <c r="U494" s="89">
        <f t="shared" si="1073"/>
        <v>2.4553589262163671E-5</v>
      </c>
    </row>
    <row r="495" spans="1:21" s="163" customFormat="1" ht="15.75" thickBot="1" x14ac:dyDescent="0.3">
      <c r="A495" s="167">
        <f t="shared" ref="A495:B495" si="1090">A494+1</f>
        <v>485</v>
      </c>
      <c r="B495" s="168">
        <f t="shared" si="1090"/>
        <v>485</v>
      </c>
      <c r="C495" s="92" t="str">
        <f t="shared" si="1006"/>
        <v>L11X22-000_000_35</v>
      </c>
      <c r="D495" s="169">
        <f t="shared" si="1014"/>
        <v>22</v>
      </c>
      <c r="E495" s="173">
        <f t="shared" si="1038"/>
        <v>3.0940000000000003</v>
      </c>
      <c r="F495" s="170">
        <f t="shared" si="1021"/>
        <v>14.063636363636364</v>
      </c>
      <c r="G495" s="170">
        <f t="shared" si="1022"/>
        <v>11.250909090909092</v>
      </c>
      <c r="H495" s="170">
        <f t="shared" si="1023"/>
        <v>7.0318181818181822</v>
      </c>
      <c r="I495" s="170">
        <f t="shared" si="1056"/>
        <v>8</v>
      </c>
      <c r="J495" s="171">
        <f t="shared" si="1061"/>
        <v>0</v>
      </c>
      <c r="K495" s="87" t="s">
        <v>3750</v>
      </c>
      <c r="L495" s="170">
        <f t="shared" ref="L495:N495" si="1091">L494</f>
        <v>0.2</v>
      </c>
      <c r="M495" s="170">
        <f t="shared" si="1091"/>
        <v>150</v>
      </c>
      <c r="N495" s="170">
        <f t="shared" si="1091"/>
        <v>750</v>
      </c>
      <c r="P495" s="38">
        <f t="shared" si="1044"/>
        <v>21</v>
      </c>
      <c r="Q495" s="38">
        <f t="shared" si="1045"/>
        <v>23</v>
      </c>
      <c r="R495" s="39">
        <f t="shared" si="1046"/>
        <v>0.99788250522936717</v>
      </c>
      <c r="S495" s="39">
        <f t="shared" si="1047"/>
        <v>0.99938027417435915</v>
      </c>
      <c r="T495" s="39">
        <f t="shared" si="1050"/>
        <v>1.497768944991984E-3</v>
      </c>
      <c r="U495" s="89">
        <f t="shared" si="1073"/>
        <v>2.4553589262163671E-5</v>
      </c>
    </row>
    <row r="496" spans="1:21" s="163" customFormat="1" ht="15.75" thickBot="1" x14ac:dyDescent="0.3">
      <c r="A496" s="167">
        <f t="shared" ref="A496:B496" si="1092">A495+1</f>
        <v>486</v>
      </c>
      <c r="B496" s="168">
        <f t="shared" si="1092"/>
        <v>486</v>
      </c>
      <c r="C496" s="92" t="str">
        <f t="shared" si="1006"/>
        <v>L11X22-000_000_36</v>
      </c>
      <c r="D496" s="169">
        <f t="shared" si="1014"/>
        <v>22</v>
      </c>
      <c r="E496" s="173">
        <f t="shared" si="1038"/>
        <v>3.0940000000000003</v>
      </c>
      <c r="F496" s="170">
        <f t="shared" si="1021"/>
        <v>14.063636363636364</v>
      </c>
      <c r="G496" s="170">
        <f t="shared" si="1022"/>
        <v>11.250909090909092</v>
      </c>
      <c r="H496" s="170">
        <f t="shared" si="1023"/>
        <v>7.0318181818181822</v>
      </c>
      <c r="I496" s="170">
        <f t="shared" si="1056"/>
        <v>8</v>
      </c>
      <c r="J496" s="171">
        <f t="shared" si="1061"/>
        <v>0</v>
      </c>
      <c r="K496" s="87" t="s">
        <v>3751</v>
      </c>
      <c r="L496" s="170">
        <f t="shared" ref="L496:N496" si="1093">L495</f>
        <v>0.2</v>
      </c>
      <c r="M496" s="170">
        <f t="shared" si="1093"/>
        <v>150</v>
      </c>
      <c r="N496" s="170">
        <f t="shared" si="1093"/>
        <v>750</v>
      </c>
      <c r="P496" s="38">
        <f t="shared" si="1044"/>
        <v>21</v>
      </c>
      <c r="Q496" s="38">
        <f t="shared" si="1045"/>
        <v>23</v>
      </c>
      <c r="R496" s="39">
        <f t="shared" si="1046"/>
        <v>0.99788250522936717</v>
      </c>
      <c r="S496" s="39">
        <f t="shared" si="1047"/>
        <v>0.99938027417435915</v>
      </c>
      <c r="T496" s="39">
        <f t="shared" si="1050"/>
        <v>1.497768944991984E-3</v>
      </c>
      <c r="U496" s="89">
        <f t="shared" si="1073"/>
        <v>2.4553589262163671E-5</v>
      </c>
    </row>
    <row r="497" spans="1:21" s="163" customFormat="1" ht="15.75" thickBot="1" x14ac:dyDescent="0.3">
      <c r="A497" s="167">
        <f t="shared" ref="A497:B497" si="1094">A496+1</f>
        <v>487</v>
      </c>
      <c r="B497" s="168">
        <f t="shared" si="1094"/>
        <v>487</v>
      </c>
      <c r="C497" s="92" t="str">
        <f t="shared" si="1006"/>
        <v>L11X22-000_000_37</v>
      </c>
      <c r="D497" s="169">
        <f t="shared" si="1014"/>
        <v>22</v>
      </c>
      <c r="E497" s="173">
        <f t="shared" si="1038"/>
        <v>3.0940000000000003</v>
      </c>
      <c r="F497" s="170">
        <f t="shared" si="1021"/>
        <v>14.063636363636364</v>
      </c>
      <c r="G497" s="170">
        <f t="shared" si="1022"/>
        <v>11.250909090909092</v>
      </c>
      <c r="H497" s="170">
        <f t="shared" si="1023"/>
        <v>7.0318181818181822</v>
      </c>
      <c r="I497" s="170">
        <f t="shared" si="1056"/>
        <v>8</v>
      </c>
      <c r="J497" s="171">
        <f t="shared" si="1061"/>
        <v>0</v>
      </c>
      <c r="K497" s="87" t="s">
        <v>3752</v>
      </c>
      <c r="L497" s="170">
        <f t="shared" ref="L497:N497" si="1095">L496</f>
        <v>0.2</v>
      </c>
      <c r="M497" s="170">
        <f t="shared" si="1095"/>
        <v>150</v>
      </c>
      <c r="N497" s="170">
        <f t="shared" si="1095"/>
        <v>750</v>
      </c>
      <c r="P497" s="38">
        <f t="shared" si="1044"/>
        <v>21</v>
      </c>
      <c r="Q497" s="38">
        <f t="shared" si="1045"/>
        <v>23</v>
      </c>
      <c r="R497" s="39">
        <f t="shared" si="1046"/>
        <v>0.99788250522936717</v>
      </c>
      <c r="S497" s="39">
        <f t="shared" si="1047"/>
        <v>0.99938027417435915</v>
      </c>
      <c r="T497" s="39">
        <f t="shared" si="1050"/>
        <v>1.497768944991984E-3</v>
      </c>
      <c r="U497" s="89">
        <f t="shared" si="1073"/>
        <v>2.4553589262163671E-5</v>
      </c>
    </row>
    <row r="498" spans="1:21" s="163" customFormat="1" ht="15.75" thickBot="1" x14ac:dyDescent="0.3">
      <c r="A498" s="167">
        <f t="shared" ref="A498:B498" si="1096">A497+1</f>
        <v>488</v>
      </c>
      <c r="B498" s="168">
        <f t="shared" si="1096"/>
        <v>488</v>
      </c>
      <c r="C498" s="92" t="str">
        <f t="shared" si="1006"/>
        <v>L11X22-000_000_38</v>
      </c>
      <c r="D498" s="169">
        <f t="shared" si="1014"/>
        <v>22</v>
      </c>
      <c r="E498" s="173">
        <f t="shared" si="1038"/>
        <v>3.0940000000000003</v>
      </c>
      <c r="F498" s="170">
        <f t="shared" si="1021"/>
        <v>14.063636363636364</v>
      </c>
      <c r="G498" s="170">
        <f t="shared" si="1022"/>
        <v>11.250909090909092</v>
      </c>
      <c r="H498" s="170">
        <f t="shared" si="1023"/>
        <v>7.0318181818181822</v>
      </c>
      <c r="I498" s="170">
        <f t="shared" si="1056"/>
        <v>8</v>
      </c>
      <c r="J498" s="171">
        <f t="shared" si="1061"/>
        <v>0</v>
      </c>
      <c r="K498" s="87" t="s">
        <v>3753</v>
      </c>
      <c r="L498" s="170">
        <f t="shared" ref="L498:N498" si="1097">L497</f>
        <v>0.2</v>
      </c>
      <c r="M498" s="170">
        <f t="shared" si="1097"/>
        <v>150</v>
      </c>
      <c r="N498" s="170">
        <f t="shared" si="1097"/>
        <v>750</v>
      </c>
      <c r="P498" s="38">
        <f t="shared" si="1044"/>
        <v>21</v>
      </c>
      <c r="Q498" s="38">
        <f t="shared" si="1045"/>
        <v>23</v>
      </c>
      <c r="R498" s="39">
        <f t="shared" si="1046"/>
        <v>0.99788250522936717</v>
      </c>
      <c r="S498" s="39">
        <f t="shared" si="1047"/>
        <v>0.99938027417435915</v>
      </c>
      <c r="T498" s="39">
        <f t="shared" si="1050"/>
        <v>1.497768944991984E-3</v>
      </c>
      <c r="U498" s="89">
        <f t="shared" si="1073"/>
        <v>2.4553589262163671E-5</v>
      </c>
    </row>
    <row r="499" spans="1:21" s="163" customFormat="1" ht="15.75" thickBot="1" x14ac:dyDescent="0.3">
      <c r="A499" s="167">
        <f t="shared" ref="A499:B499" si="1098">A498+1</f>
        <v>489</v>
      </c>
      <c r="B499" s="168">
        <f t="shared" si="1098"/>
        <v>489</v>
      </c>
      <c r="C499" s="92" t="str">
        <f t="shared" si="1006"/>
        <v>L11X22-000_000_39</v>
      </c>
      <c r="D499" s="169">
        <f t="shared" si="1014"/>
        <v>22</v>
      </c>
      <c r="E499" s="173">
        <f t="shared" si="1038"/>
        <v>3.0940000000000003</v>
      </c>
      <c r="F499" s="170">
        <f t="shared" si="1021"/>
        <v>14.063636363636364</v>
      </c>
      <c r="G499" s="170">
        <f t="shared" si="1022"/>
        <v>11.250909090909092</v>
      </c>
      <c r="H499" s="170">
        <f t="shared" si="1023"/>
        <v>7.0318181818181822</v>
      </c>
      <c r="I499" s="170">
        <f t="shared" si="1056"/>
        <v>8</v>
      </c>
      <c r="J499" s="171">
        <f t="shared" si="1061"/>
        <v>0</v>
      </c>
      <c r="K499" s="87" t="s">
        <v>3754</v>
      </c>
      <c r="L499" s="170">
        <f t="shared" ref="L499:N499" si="1099">L498</f>
        <v>0.2</v>
      </c>
      <c r="M499" s="170">
        <f t="shared" si="1099"/>
        <v>150</v>
      </c>
      <c r="N499" s="170">
        <f t="shared" si="1099"/>
        <v>750</v>
      </c>
      <c r="P499" s="38">
        <f t="shared" si="1044"/>
        <v>21</v>
      </c>
      <c r="Q499" s="38">
        <f t="shared" si="1045"/>
        <v>23</v>
      </c>
      <c r="R499" s="39">
        <f t="shared" si="1046"/>
        <v>0.99788250522936717</v>
      </c>
      <c r="S499" s="39">
        <f t="shared" si="1047"/>
        <v>0.99938027417435915</v>
      </c>
      <c r="T499" s="39">
        <f t="shared" si="1050"/>
        <v>1.497768944991984E-3</v>
      </c>
      <c r="U499" s="89">
        <f t="shared" si="1073"/>
        <v>2.4553589262163671E-5</v>
      </c>
    </row>
    <row r="500" spans="1:21" s="163" customFormat="1" ht="15.75" thickBot="1" x14ac:dyDescent="0.3">
      <c r="A500" s="167">
        <f t="shared" ref="A500:B500" si="1100">A499+1</f>
        <v>490</v>
      </c>
      <c r="B500" s="168">
        <f t="shared" si="1100"/>
        <v>490</v>
      </c>
      <c r="C500" s="92" t="str">
        <f t="shared" si="1006"/>
        <v>L11X22-000_000_40</v>
      </c>
      <c r="D500" s="169">
        <f t="shared" si="1014"/>
        <v>22</v>
      </c>
      <c r="E500" s="173">
        <f t="shared" si="1038"/>
        <v>3.0940000000000003</v>
      </c>
      <c r="F500" s="170">
        <f t="shared" si="1021"/>
        <v>14.063636363636364</v>
      </c>
      <c r="G500" s="170">
        <f t="shared" si="1022"/>
        <v>11.250909090909092</v>
      </c>
      <c r="H500" s="170">
        <f t="shared" si="1023"/>
        <v>7.0318181818181822</v>
      </c>
      <c r="I500" s="170">
        <f t="shared" si="1056"/>
        <v>8</v>
      </c>
      <c r="J500" s="171">
        <f t="shared" si="1061"/>
        <v>0</v>
      </c>
      <c r="K500" s="87" t="s">
        <v>3755</v>
      </c>
      <c r="L500" s="170">
        <f t="shared" ref="L500:N500" si="1101">L499</f>
        <v>0.2</v>
      </c>
      <c r="M500" s="170">
        <f t="shared" si="1101"/>
        <v>150</v>
      </c>
      <c r="N500" s="170">
        <f t="shared" si="1101"/>
        <v>750</v>
      </c>
      <c r="P500" s="38">
        <f t="shared" si="1044"/>
        <v>21</v>
      </c>
      <c r="Q500" s="38">
        <f t="shared" si="1045"/>
        <v>23</v>
      </c>
      <c r="R500" s="39">
        <f t="shared" si="1046"/>
        <v>0.99788250522936717</v>
      </c>
      <c r="S500" s="39">
        <f t="shared" si="1047"/>
        <v>0.99938027417435915</v>
      </c>
      <c r="T500" s="39">
        <f t="shared" si="1050"/>
        <v>1.497768944991984E-3</v>
      </c>
      <c r="U500" s="89">
        <f t="shared" si="1073"/>
        <v>2.4553589262163671E-5</v>
      </c>
    </row>
    <row r="501" spans="1:21" s="163" customFormat="1" ht="15.75" thickBot="1" x14ac:dyDescent="0.3">
      <c r="A501" s="167">
        <f t="shared" ref="A501:B501" si="1102">A500+1</f>
        <v>491</v>
      </c>
      <c r="B501" s="168">
        <f t="shared" si="1102"/>
        <v>491</v>
      </c>
      <c r="C501" s="92" t="str">
        <f t="shared" si="1006"/>
        <v>L11X22-008_000_41</v>
      </c>
      <c r="D501" s="169">
        <f t="shared" si="1014"/>
        <v>22</v>
      </c>
      <c r="E501" s="173">
        <f t="shared" si="1038"/>
        <v>3.0940000000000003</v>
      </c>
      <c r="F501" s="170">
        <f t="shared" si="1021"/>
        <v>14.063636363636364</v>
      </c>
      <c r="G501" s="170">
        <f t="shared" si="1022"/>
        <v>11.250909090909092</v>
      </c>
      <c r="H501" s="170">
        <f t="shared" si="1023"/>
        <v>7.0318181818181822</v>
      </c>
      <c r="I501" s="170">
        <f t="shared" si="1056"/>
        <v>8</v>
      </c>
      <c r="J501" s="171">
        <f t="shared" ref="J501:J520" si="1103">yaw_max</f>
        <v>8</v>
      </c>
      <c r="K501" s="87" t="s">
        <v>3756</v>
      </c>
      <c r="L501" s="170">
        <f t="shared" ref="L501:N501" si="1104">L500</f>
        <v>0.2</v>
      </c>
      <c r="M501" s="170">
        <f t="shared" si="1104"/>
        <v>150</v>
      </c>
      <c r="N501" s="170">
        <f t="shared" si="1104"/>
        <v>750</v>
      </c>
      <c r="P501" s="38">
        <f t="shared" si="1044"/>
        <v>21</v>
      </c>
      <c r="Q501" s="38">
        <f t="shared" si="1045"/>
        <v>23</v>
      </c>
      <c r="R501" s="39">
        <f t="shared" si="1046"/>
        <v>0.99788250522936717</v>
      </c>
      <c r="S501" s="39">
        <f t="shared" si="1047"/>
        <v>0.99938027417435915</v>
      </c>
      <c r="T501" s="39">
        <f t="shared" si="1050"/>
        <v>1.497768944991984E-3</v>
      </c>
      <c r="U501" s="89">
        <f t="shared" si="1073"/>
        <v>2.4553589262163671E-5</v>
      </c>
    </row>
    <row r="502" spans="1:21" s="163" customFormat="1" ht="15.75" thickBot="1" x14ac:dyDescent="0.3">
      <c r="A502" s="167">
        <f t="shared" ref="A502:B502" si="1105">A501+1</f>
        <v>492</v>
      </c>
      <c r="B502" s="168">
        <f t="shared" si="1105"/>
        <v>492</v>
      </c>
      <c r="C502" s="92" t="str">
        <f t="shared" si="1006"/>
        <v>L11X22-008_000_42</v>
      </c>
      <c r="D502" s="169">
        <f t="shared" si="1014"/>
        <v>22</v>
      </c>
      <c r="E502" s="173">
        <f t="shared" si="1038"/>
        <v>3.0940000000000003</v>
      </c>
      <c r="F502" s="170">
        <f t="shared" si="1021"/>
        <v>14.063636363636364</v>
      </c>
      <c r="G502" s="170">
        <f t="shared" si="1022"/>
        <v>11.250909090909092</v>
      </c>
      <c r="H502" s="170">
        <f t="shared" si="1023"/>
        <v>7.0318181818181822</v>
      </c>
      <c r="I502" s="170">
        <f t="shared" si="1056"/>
        <v>8</v>
      </c>
      <c r="J502" s="171">
        <f t="shared" si="1103"/>
        <v>8</v>
      </c>
      <c r="K502" s="87" t="s">
        <v>3757</v>
      </c>
      <c r="L502" s="170">
        <f t="shared" ref="L502:N502" si="1106">L501</f>
        <v>0.2</v>
      </c>
      <c r="M502" s="170">
        <f t="shared" si="1106"/>
        <v>150</v>
      </c>
      <c r="N502" s="170">
        <f t="shared" si="1106"/>
        <v>750</v>
      </c>
      <c r="P502" s="38">
        <f t="shared" si="1044"/>
        <v>21</v>
      </c>
      <c r="Q502" s="38">
        <f t="shared" si="1045"/>
        <v>23</v>
      </c>
      <c r="R502" s="39">
        <f t="shared" si="1046"/>
        <v>0.99788250522936717</v>
      </c>
      <c r="S502" s="39">
        <f t="shared" si="1047"/>
        <v>0.99938027417435915</v>
      </c>
      <c r="T502" s="39">
        <f t="shared" si="1050"/>
        <v>1.497768944991984E-3</v>
      </c>
      <c r="U502" s="89">
        <f t="shared" si="1073"/>
        <v>2.4553589262163671E-5</v>
      </c>
    </row>
    <row r="503" spans="1:21" s="163" customFormat="1" ht="15.75" thickBot="1" x14ac:dyDescent="0.3">
      <c r="A503" s="167">
        <f t="shared" ref="A503:B503" si="1107">A502+1</f>
        <v>493</v>
      </c>
      <c r="B503" s="168">
        <f t="shared" si="1107"/>
        <v>493</v>
      </c>
      <c r="C503" s="92" t="str">
        <f t="shared" si="1006"/>
        <v>L11X22-008_000_43</v>
      </c>
      <c r="D503" s="169">
        <f t="shared" si="1014"/>
        <v>22</v>
      </c>
      <c r="E503" s="173">
        <f t="shared" si="1038"/>
        <v>3.0940000000000003</v>
      </c>
      <c r="F503" s="170">
        <f t="shared" si="1021"/>
        <v>14.063636363636364</v>
      </c>
      <c r="G503" s="170">
        <f t="shared" si="1022"/>
        <v>11.250909090909092</v>
      </c>
      <c r="H503" s="170">
        <f t="shared" si="1023"/>
        <v>7.0318181818181822</v>
      </c>
      <c r="I503" s="170">
        <f t="shared" si="1056"/>
        <v>8</v>
      </c>
      <c r="J503" s="171">
        <f t="shared" si="1103"/>
        <v>8</v>
      </c>
      <c r="K503" s="87" t="s">
        <v>3758</v>
      </c>
      <c r="L503" s="170">
        <f t="shared" ref="L503:N503" si="1108">L502</f>
        <v>0.2</v>
      </c>
      <c r="M503" s="170">
        <f t="shared" si="1108"/>
        <v>150</v>
      </c>
      <c r="N503" s="170">
        <f t="shared" si="1108"/>
        <v>750</v>
      </c>
      <c r="P503" s="38">
        <f t="shared" si="1044"/>
        <v>21</v>
      </c>
      <c r="Q503" s="38">
        <f t="shared" si="1045"/>
        <v>23</v>
      </c>
      <c r="R503" s="39">
        <f t="shared" si="1046"/>
        <v>0.99788250522936717</v>
      </c>
      <c r="S503" s="39">
        <f t="shared" si="1047"/>
        <v>0.99938027417435915</v>
      </c>
      <c r="T503" s="39">
        <f t="shared" si="1050"/>
        <v>1.497768944991984E-3</v>
      </c>
      <c r="U503" s="89">
        <f t="shared" si="1073"/>
        <v>2.4553589262163671E-5</v>
      </c>
    </row>
    <row r="504" spans="1:21" s="163" customFormat="1" ht="15.75" thickBot="1" x14ac:dyDescent="0.3">
      <c r="A504" s="167">
        <f t="shared" ref="A504:B504" si="1109">A503+1</f>
        <v>494</v>
      </c>
      <c r="B504" s="168">
        <f t="shared" si="1109"/>
        <v>494</v>
      </c>
      <c r="C504" s="92" t="str">
        <f t="shared" si="1006"/>
        <v>L11X22-008_000_44</v>
      </c>
      <c r="D504" s="169">
        <f t="shared" si="1014"/>
        <v>22</v>
      </c>
      <c r="E504" s="173">
        <f t="shared" si="1038"/>
        <v>3.0940000000000003</v>
      </c>
      <c r="F504" s="170">
        <f t="shared" si="1021"/>
        <v>14.063636363636364</v>
      </c>
      <c r="G504" s="170">
        <f t="shared" si="1022"/>
        <v>11.250909090909092</v>
      </c>
      <c r="H504" s="170">
        <f t="shared" si="1023"/>
        <v>7.0318181818181822</v>
      </c>
      <c r="I504" s="170">
        <f t="shared" si="1056"/>
        <v>8</v>
      </c>
      <c r="J504" s="171">
        <f t="shared" si="1103"/>
        <v>8</v>
      </c>
      <c r="K504" s="87" t="s">
        <v>3759</v>
      </c>
      <c r="L504" s="170">
        <f t="shared" ref="L504:N504" si="1110">L503</f>
        <v>0.2</v>
      </c>
      <c r="M504" s="170">
        <f t="shared" si="1110"/>
        <v>150</v>
      </c>
      <c r="N504" s="170">
        <f t="shared" si="1110"/>
        <v>750</v>
      </c>
      <c r="P504" s="38">
        <f t="shared" si="1044"/>
        <v>21</v>
      </c>
      <c r="Q504" s="38">
        <f t="shared" si="1045"/>
        <v>23</v>
      </c>
      <c r="R504" s="39">
        <f t="shared" si="1046"/>
        <v>0.99788250522936717</v>
      </c>
      <c r="S504" s="39">
        <f t="shared" si="1047"/>
        <v>0.99938027417435915</v>
      </c>
      <c r="T504" s="39">
        <f t="shared" si="1050"/>
        <v>1.497768944991984E-3</v>
      </c>
      <c r="U504" s="89">
        <f t="shared" si="1073"/>
        <v>2.4553589262163671E-5</v>
      </c>
    </row>
    <row r="505" spans="1:21" s="163" customFormat="1" ht="15.75" thickBot="1" x14ac:dyDescent="0.3">
      <c r="A505" s="167">
        <f t="shared" ref="A505:B505" si="1111">A504+1</f>
        <v>495</v>
      </c>
      <c r="B505" s="168">
        <f t="shared" si="1111"/>
        <v>495</v>
      </c>
      <c r="C505" s="92" t="str">
        <f t="shared" si="1006"/>
        <v>L11X22-008_000_45</v>
      </c>
      <c r="D505" s="169">
        <f t="shared" si="1014"/>
        <v>22</v>
      </c>
      <c r="E505" s="173">
        <f t="shared" si="1038"/>
        <v>3.0940000000000003</v>
      </c>
      <c r="F505" s="170">
        <f t="shared" si="1021"/>
        <v>14.063636363636364</v>
      </c>
      <c r="G505" s="170">
        <f t="shared" si="1022"/>
        <v>11.250909090909092</v>
      </c>
      <c r="H505" s="170">
        <f t="shared" si="1023"/>
        <v>7.0318181818181822</v>
      </c>
      <c r="I505" s="170">
        <f t="shared" si="1056"/>
        <v>8</v>
      </c>
      <c r="J505" s="171">
        <f t="shared" si="1103"/>
        <v>8</v>
      </c>
      <c r="K505" s="87" t="s">
        <v>3760</v>
      </c>
      <c r="L505" s="170">
        <f t="shared" ref="L505:N505" si="1112">L504</f>
        <v>0.2</v>
      </c>
      <c r="M505" s="170">
        <f t="shared" si="1112"/>
        <v>150</v>
      </c>
      <c r="N505" s="170">
        <f t="shared" si="1112"/>
        <v>750</v>
      </c>
      <c r="P505" s="38">
        <f t="shared" si="1044"/>
        <v>21</v>
      </c>
      <c r="Q505" s="38">
        <f t="shared" si="1045"/>
        <v>23</v>
      </c>
      <c r="R505" s="39">
        <f t="shared" si="1046"/>
        <v>0.99788250522936717</v>
      </c>
      <c r="S505" s="39">
        <f t="shared" si="1047"/>
        <v>0.99938027417435915</v>
      </c>
      <c r="T505" s="39">
        <f t="shared" si="1050"/>
        <v>1.497768944991984E-3</v>
      </c>
      <c r="U505" s="89">
        <f t="shared" si="1073"/>
        <v>2.4553589262163671E-5</v>
      </c>
    </row>
    <row r="506" spans="1:21" s="163" customFormat="1" ht="15.75" thickBot="1" x14ac:dyDescent="0.3">
      <c r="A506" s="167">
        <f t="shared" ref="A506:B506" si="1113">A505+1</f>
        <v>496</v>
      </c>
      <c r="B506" s="168">
        <f t="shared" si="1113"/>
        <v>496</v>
      </c>
      <c r="C506" s="92" t="str">
        <f t="shared" si="1006"/>
        <v>L11X22-008_000_46</v>
      </c>
      <c r="D506" s="169">
        <f t="shared" si="1014"/>
        <v>22</v>
      </c>
      <c r="E506" s="173">
        <f t="shared" si="1038"/>
        <v>3.0940000000000003</v>
      </c>
      <c r="F506" s="170">
        <f t="shared" si="1021"/>
        <v>14.063636363636364</v>
      </c>
      <c r="G506" s="170">
        <f t="shared" si="1022"/>
        <v>11.250909090909092</v>
      </c>
      <c r="H506" s="170">
        <f t="shared" si="1023"/>
        <v>7.0318181818181822</v>
      </c>
      <c r="I506" s="170">
        <f t="shared" si="1056"/>
        <v>8</v>
      </c>
      <c r="J506" s="171">
        <f t="shared" si="1103"/>
        <v>8</v>
      </c>
      <c r="K506" s="87" t="s">
        <v>3761</v>
      </c>
      <c r="L506" s="170">
        <f t="shared" ref="L506:N506" si="1114">L505</f>
        <v>0.2</v>
      </c>
      <c r="M506" s="170">
        <f t="shared" si="1114"/>
        <v>150</v>
      </c>
      <c r="N506" s="170">
        <f t="shared" si="1114"/>
        <v>750</v>
      </c>
      <c r="P506" s="38">
        <f t="shared" si="1044"/>
        <v>21</v>
      </c>
      <c r="Q506" s="38">
        <f t="shared" si="1045"/>
        <v>23</v>
      </c>
      <c r="R506" s="39">
        <f t="shared" si="1046"/>
        <v>0.99788250522936717</v>
      </c>
      <c r="S506" s="39">
        <f t="shared" si="1047"/>
        <v>0.99938027417435915</v>
      </c>
      <c r="T506" s="39">
        <f t="shared" si="1050"/>
        <v>1.497768944991984E-3</v>
      </c>
      <c r="U506" s="89">
        <f t="shared" si="1073"/>
        <v>2.4553589262163671E-5</v>
      </c>
    </row>
    <row r="507" spans="1:21" s="163" customFormat="1" ht="15.75" thickBot="1" x14ac:dyDescent="0.3">
      <c r="A507" s="167">
        <f t="shared" ref="A507:B507" si="1115">A506+1</f>
        <v>497</v>
      </c>
      <c r="B507" s="168">
        <f t="shared" si="1115"/>
        <v>497</v>
      </c>
      <c r="C507" s="92" t="str">
        <f t="shared" si="1006"/>
        <v>L11X22-008_000_47</v>
      </c>
      <c r="D507" s="169">
        <f t="shared" si="1014"/>
        <v>22</v>
      </c>
      <c r="E507" s="173">
        <f t="shared" si="1038"/>
        <v>3.0940000000000003</v>
      </c>
      <c r="F507" s="170">
        <f t="shared" si="1021"/>
        <v>14.063636363636364</v>
      </c>
      <c r="G507" s="170">
        <f t="shared" si="1022"/>
        <v>11.250909090909092</v>
      </c>
      <c r="H507" s="170">
        <f t="shared" si="1023"/>
        <v>7.0318181818181822</v>
      </c>
      <c r="I507" s="170">
        <f t="shared" si="1056"/>
        <v>8</v>
      </c>
      <c r="J507" s="171">
        <f t="shared" si="1103"/>
        <v>8</v>
      </c>
      <c r="K507" s="87" t="s">
        <v>3762</v>
      </c>
      <c r="L507" s="170">
        <f t="shared" ref="L507:N507" si="1116">L506</f>
        <v>0.2</v>
      </c>
      <c r="M507" s="170">
        <f t="shared" si="1116"/>
        <v>150</v>
      </c>
      <c r="N507" s="170">
        <f t="shared" si="1116"/>
        <v>750</v>
      </c>
      <c r="P507" s="38">
        <f t="shared" si="1044"/>
        <v>21</v>
      </c>
      <c r="Q507" s="38">
        <f t="shared" si="1045"/>
        <v>23</v>
      </c>
      <c r="R507" s="39">
        <f t="shared" si="1046"/>
        <v>0.99788250522936717</v>
      </c>
      <c r="S507" s="39">
        <f t="shared" si="1047"/>
        <v>0.99938027417435915</v>
      </c>
      <c r="T507" s="39">
        <f t="shared" si="1050"/>
        <v>1.497768944991984E-3</v>
      </c>
      <c r="U507" s="89">
        <f t="shared" si="1073"/>
        <v>2.4553589262163671E-5</v>
      </c>
    </row>
    <row r="508" spans="1:21" s="163" customFormat="1" ht="15.75" thickBot="1" x14ac:dyDescent="0.3">
      <c r="A508" s="167">
        <f t="shared" ref="A508:B508" si="1117">A507+1</f>
        <v>498</v>
      </c>
      <c r="B508" s="168">
        <f t="shared" si="1117"/>
        <v>498</v>
      </c>
      <c r="C508" s="92" t="str">
        <f t="shared" si="1006"/>
        <v>L11X22-008_000_48</v>
      </c>
      <c r="D508" s="169">
        <f t="shared" si="1014"/>
        <v>22</v>
      </c>
      <c r="E508" s="173">
        <f t="shared" si="1038"/>
        <v>3.0940000000000003</v>
      </c>
      <c r="F508" s="170">
        <f t="shared" si="1021"/>
        <v>14.063636363636364</v>
      </c>
      <c r="G508" s="170">
        <f t="shared" si="1022"/>
        <v>11.250909090909092</v>
      </c>
      <c r="H508" s="170">
        <f t="shared" si="1023"/>
        <v>7.0318181818181822</v>
      </c>
      <c r="I508" s="170">
        <f t="shared" si="1056"/>
        <v>8</v>
      </c>
      <c r="J508" s="171">
        <f t="shared" si="1103"/>
        <v>8</v>
      </c>
      <c r="K508" s="87" t="s">
        <v>3763</v>
      </c>
      <c r="L508" s="170">
        <f t="shared" ref="L508:N508" si="1118">L507</f>
        <v>0.2</v>
      </c>
      <c r="M508" s="170">
        <f t="shared" si="1118"/>
        <v>150</v>
      </c>
      <c r="N508" s="170">
        <f t="shared" si="1118"/>
        <v>750</v>
      </c>
      <c r="P508" s="38">
        <f t="shared" si="1044"/>
        <v>21</v>
      </c>
      <c r="Q508" s="38">
        <f t="shared" si="1045"/>
        <v>23</v>
      </c>
      <c r="R508" s="39">
        <f t="shared" si="1046"/>
        <v>0.99788250522936717</v>
      </c>
      <c r="S508" s="39">
        <f t="shared" si="1047"/>
        <v>0.99938027417435915</v>
      </c>
      <c r="T508" s="39">
        <f t="shared" si="1050"/>
        <v>1.497768944991984E-3</v>
      </c>
      <c r="U508" s="89">
        <f t="shared" si="1073"/>
        <v>2.4553589262163671E-5</v>
      </c>
    </row>
    <row r="509" spans="1:21" s="163" customFormat="1" ht="15.75" thickBot="1" x14ac:dyDescent="0.3">
      <c r="A509" s="167">
        <f t="shared" ref="A509:B509" si="1119">A508+1</f>
        <v>499</v>
      </c>
      <c r="B509" s="168">
        <f t="shared" si="1119"/>
        <v>499</v>
      </c>
      <c r="C509" s="92" t="str">
        <f t="shared" si="1006"/>
        <v>L11X22-008_000_49</v>
      </c>
      <c r="D509" s="169">
        <f t="shared" si="1014"/>
        <v>22</v>
      </c>
      <c r="E509" s="173">
        <f t="shared" si="1038"/>
        <v>3.0940000000000003</v>
      </c>
      <c r="F509" s="170">
        <f t="shared" si="1021"/>
        <v>14.063636363636364</v>
      </c>
      <c r="G509" s="170">
        <f t="shared" si="1022"/>
        <v>11.250909090909092</v>
      </c>
      <c r="H509" s="170">
        <f t="shared" si="1023"/>
        <v>7.0318181818181822</v>
      </c>
      <c r="I509" s="170">
        <f t="shared" si="1056"/>
        <v>8</v>
      </c>
      <c r="J509" s="171">
        <f t="shared" si="1103"/>
        <v>8</v>
      </c>
      <c r="K509" s="87" t="s">
        <v>3764</v>
      </c>
      <c r="L509" s="170">
        <f t="shared" ref="L509:N509" si="1120">L508</f>
        <v>0.2</v>
      </c>
      <c r="M509" s="170">
        <f t="shared" si="1120"/>
        <v>150</v>
      </c>
      <c r="N509" s="170">
        <f t="shared" si="1120"/>
        <v>750</v>
      </c>
      <c r="P509" s="38">
        <f t="shared" si="1044"/>
        <v>21</v>
      </c>
      <c r="Q509" s="38">
        <f t="shared" si="1045"/>
        <v>23</v>
      </c>
      <c r="R509" s="39">
        <f t="shared" si="1046"/>
        <v>0.99788250522936717</v>
      </c>
      <c r="S509" s="39">
        <f t="shared" si="1047"/>
        <v>0.99938027417435915</v>
      </c>
      <c r="T509" s="39">
        <f t="shared" si="1050"/>
        <v>1.497768944991984E-3</v>
      </c>
      <c r="U509" s="89">
        <f t="shared" si="1073"/>
        <v>2.4553589262163671E-5</v>
      </c>
    </row>
    <row r="510" spans="1:21" s="163" customFormat="1" ht="15.75" thickBot="1" x14ac:dyDescent="0.3">
      <c r="A510" s="167">
        <f t="shared" ref="A510:B510" si="1121">A509+1</f>
        <v>500</v>
      </c>
      <c r="B510" s="168">
        <f t="shared" si="1121"/>
        <v>500</v>
      </c>
      <c r="C510" s="92" t="str">
        <f t="shared" si="1006"/>
        <v>L11X22-008_000_50</v>
      </c>
      <c r="D510" s="169">
        <f t="shared" si="1014"/>
        <v>22</v>
      </c>
      <c r="E510" s="173">
        <f t="shared" si="1038"/>
        <v>3.0940000000000003</v>
      </c>
      <c r="F510" s="170">
        <f t="shared" si="1021"/>
        <v>14.063636363636364</v>
      </c>
      <c r="G510" s="170">
        <f t="shared" si="1022"/>
        <v>11.250909090909092</v>
      </c>
      <c r="H510" s="170">
        <f t="shared" si="1023"/>
        <v>7.0318181818181822</v>
      </c>
      <c r="I510" s="170">
        <f t="shared" si="1056"/>
        <v>8</v>
      </c>
      <c r="J510" s="171">
        <f t="shared" si="1103"/>
        <v>8</v>
      </c>
      <c r="K510" s="87" t="s">
        <v>3765</v>
      </c>
      <c r="L510" s="170">
        <f t="shared" ref="L510:N510" si="1122">L509</f>
        <v>0.2</v>
      </c>
      <c r="M510" s="170">
        <f t="shared" si="1122"/>
        <v>150</v>
      </c>
      <c r="N510" s="170">
        <f t="shared" si="1122"/>
        <v>750</v>
      </c>
      <c r="P510" s="38">
        <f t="shared" si="1044"/>
        <v>21</v>
      </c>
      <c r="Q510" s="38">
        <f t="shared" si="1045"/>
        <v>23</v>
      </c>
      <c r="R510" s="39">
        <f t="shared" si="1046"/>
        <v>0.99788250522936717</v>
      </c>
      <c r="S510" s="39">
        <f t="shared" si="1047"/>
        <v>0.99938027417435915</v>
      </c>
      <c r="T510" s="39">
        <f t="shared" si="1050"/>
        <v>1.497768944991984E-3</v>
      </c>
      <c r="U510" s="89">
        <f t="shared" si="1073"/>
        <v>2.4553589262163671E-5</v>
      </c>
    </row>
    <row r="511" spans="1:21" s="163" customFormat="1" ht="15.75" thickBot="1" x14ac:dyDescent="0.3">
      <c r="A511" s="167">
        <f t="shared" ref="A511:B511" si="1123">A510+1</f>
        <v>501</v>
      </c>
      <c r="B511" s="168">
        <f t="shared" si="1123"/>
        <v>501</v>
      </c>
      <c r="C511" s="92" t="str">
        <f t="shared" si="1006"/>
        <v>L11X22-008_000_51</v>
      </c>
      <c r="D511" s="169">
        <f t="shared" si="1014"/>
        <v>22</v>
      </c>
      <c r="E511" s="173">
        <f t="shared" si="1038"/>
        <v>3.0940000000000003</v>
      </c>
      <c r="F511" s="170">
        <f t="shared" si="1021"/>
        <v>14.063636363636364</v>
      </c>
      <c r="G511" s="170">
        <f t="shared" si="1022"/>
        <v>11.250909090909092</v>
      </c>
      <c r="H511" s="170">
        <f t="shared" si="1023"/>
        <v>7.0318181818181822</v>
      </c>
      <c r="I511" s="170">
        <f t="shared" si="1056"/>
        <v>8</v>
      </c>
      <c r="J511" s="171">
        <f t="shared" si="1103"/>
        <v>8</v>
      </c>
      <c r="K511" s="87" t="s">
        <v>3766</v>
      </c>
      <c r="L511" s="170">
        <f t="shared" ref="L511:N511" si="1124">L510</f>
        <v>0.2</v>
      </c>
      <c r="M511" s="170">
        <f t="shared" si="1124"/>
        <v>150</v>
      </c>
      <c r="N511" s="170">
        <f t="shared" si="1124"/>
        <v>750</v>
      </c>
      <c r="P511" s="38">
        <f t="shared" si="1044"/>
        <v>21</v>
      </c>
      <c r="Q511" s="38">
        <f t="shared" si="1045"/>
        <v>23</v>
      </c>
      <c r="R511" s="39">
        <f t="shared" si="1046"/>
        <v>0.99788250522936717</v>
      </c>
      <c r="S511" s="39">
        <f t="shared" si="1047"/>
        <v>0.99938027417435915</v>
      </c>
      <c r="T511" s="39">
        <f t="shared" si="1050"/>
        <v>1.497768944991984E-3</v>
      </c>
      <c r="U511" s="89">
        <f t="shared" si="1073"/>
        <v>2.4553589262163671E-5</v>
      </c>
    </row>
    <row r="512" spans="1:21" s="163" customFormat="1" ht="15.75" thickBot="1" x14ac:dyDescent="0.3">
      <c r="A512" s="167">
        <f t="shared" ref="A512:B512" si="1125">A511+1</f>
        <v>502</v>
      </c>
      <c r="B512" s="168">
        <f t="shared" si="1125"/>
        <v>502</v>
      </c>
      <c r="C512" s="92" t="str">
        <f t="shared" si="1006"/>
        <v>L11X22-008_000_52</v>
      </c>
      <c r="D512" s="169">
        <f t="shared" si="1014"/>
        <v>22</v>
      </c>
      <c r="E512" s="173">
        <f t="shared" si="1038"/>
        <v>3.0940000000000003</v>
      </c>
      <c r="F512" s="170">
        <f t="shared" si="1021"/>
        <v>14.063636363636364</v>
      </c>
      <c r="G512" s="170">
        <f t="shared" si="1022"/>
        <v>11.250909090909092</v>
      </c>
      <c r="H512" s="170">
        <f t="shared" si="1023"/>
        <v>7.0318181818181822</v>
      </c>
      <c r="I512" s="170">
        <f t="shared" si="1056"/>
        <v>8</v>
      </c>
      <c r="J512" s="171">
        <f t="shared" si="1103"/>
        <v>8</v>
      </c>
      <c r="K512" s="87" t="s">
        <v>3767</v>
      </c>
      <c r="L512" s="170">
        <f t="shared" ref="L512:N512" si="1126">L511</f>
        <v>0.2</v>
      </c>
      <c r="M512" s="170">
        <f t="shared" si="1126"/>
        <v>150</v>
      </c>
      <c r="N512" s="170">
        <f t="shared" si="1126"/>
        <v>750</v>
      </c>
      <c r="P512" s="38">
        <f t="shared" si="1044"/>
        <v>21</v>
      </c>
      <c r="Q512" s="38">
        <f t="shared" si="1045"/>
        <v>23</v>
      </c>
      <c r="R512" s="39">
        <f t="shared" si="1046"/>
        <v>0.99788250522936717</v>
      </c>
      <c r="S512" s="39">
        <f t="shared" si="1047"/>
        <v>0.99938027417435915</v>
      </c>
      <c r="T512" s="39">
        <f t="shared" si="1050"/>
        <v>1.497768944991984E-3</v>
      </c>
      <c r="U512" s="89">
        <f t="shared" si="1073"/>
        <v>2.4553589262163671E-5</v>
      </c>
    </row>
    <row r="513" spans="1:21" s="163" customFormat="1" ht="15.75" thickBot="1" x14ac:dyDescent="0.3">
      <c r="A513" s="167">
        <f t="shared" ref="A513:B513" si="1127">A512+1</f>
        <v>503</v>
      </c>
      <c r="B513" s="168">
        <f t="shared" si="1127"/>
        <v>503</v>
      </c>
      <c r="C513" s="92" t="str">
        <f t="shared" si="1006"/>
        <v>L11X22-008_000_53</v>
      </c>
      <c r="D513" s="169">
        <f t="shared" si="1014"/>
        <v>22</v>
      </c>
      <c r="E513" s="173">
        <f t="shared" si="1038"/>
        <v>3.0940000000000003</v>
      </c>
      <c r="F513" s="170">
        <f t="shared" si="1021"/>
        <v>14.063636363636364</v>
      </c>
      <c r="G513" s="170">
        <f t="shared" si="1022"/>
        <v>11.250909090909092</v>
      </c>
      <c r="H513" s="170">
        <f t="shared" si="1023"/>
        <v>7.0318181818181822</v>
      </c>
      <c r="I513" s="170">
        <f t="shared" si="1056"/>
        <v>8</v>
      </c>
      <c r="J513" s="171">
        <f t="shared" si="1103"/>
        <v>8</v>
      </c>
      <c r="K513" s="87" t="s">
        <v>3768</v>
      </c>
      <c r="L513" s="170">
        <f t="shared" ref="L513:N513" si="1128">L512</f>
        <v>0.2</v>
      </c>
      <c r="M513" s="170">
        <f t="shared" si="1128"/>
        <v>150</v>
      </c>
      <c r="N513" s="170">
        <f t="shared" si="1128"/>
        <v>750</v>
      </c>
      <c r="P513" s="38">
        <f t="shared" si="1044"/>
        <v>21</v>
      </c>
      <c r="Q513" s="38">
        <f t="shared" si="1045"/>
        <v>23</v>
      </c>
      <c r="R513" s="39">
        <f t="shared" si="1046"/>
        <v>0.99788250522936717</v>
      </c>
      <c r="S513" s="39">
        <f t="shared" si="1047"/>
        <v>0.99938027417435915</v>
      </c>
      <c r="T513" s="39">
        <f t="shared" si="1050"/>
        <v>1.497768944991984E-3</v>
      </c>
      <c r="U513" s="89">
        <f t="shared" si="1073"/>
        <v>2.4553589262163671E-5</v>
      </c>
    </row>
    <row r="514" spans="1:21" s="163" customFormat="1" ht="15.75" thickBot="1" x14ac:dyDescent="0.3">
      <c r="A514" s="167">
        <f t="shared" ref="A514:B514" si="1129">A513+1</f>
        <v>504</v>
      </c>
      <c r="B514" s="168">
        <f t="shared" si="1129"/>
        <v>504</v>
      </c>
      <c r="C514" s="92" t="str">
        <f t="shared" si="1006"/>
        <v>L11X22-008_000_54</v>
      </c>
      <c r="D514" s="169">
        <f t="shared" si="1014"/>
        <v>22</v>
      </c>
      <c r="E514" s="173">
        <f t="shared" si="1038"/>
        <v>3.0940000000000003</v>
      </c>
      <c r="F514" s="170">
        <f t="shared" si="1021"/>
        <v>14.063636363636364</v>
      </c>
      <c r="G514" s="170">
        <f t="shared" si="1022"/>
        <v>11.250909090909092</v>
      </c>
      <c r="H514" s="170">
        <f t="shared" si="1023"/>
        <v>7.0318181818181822</v>
      </c>
      <c r="I514" s="170">
        <f t="shared" si="1056"/>
        <v>8</v>
      </c>
      <c r="J514" s="171">
        <f t="shared" si="1103"/>
        <v>8</v>
      </c>
      <c r="K514" s="87" t="s">
        <v>3769</v>
      </c>
      <c r="L514" s="170">
        <f t="shared" ref="L514:N514" si="1130">L513</f>
        <v>0.2</v>
      </c>
      <c r="M514" s="170">
        <f t="shared" si="1130"/>
        <v>150</v>
      </c>
      <c r="N514" s="170">
        <f t="shared" si="1130"/>
        <v>750</v>
      </c>
      <c r="P514" s="38">
        <f t="shared" si="1044"/>
        <v>21</v>
      </c>
      <c r="Q514" s="38">
        <f t="shared" si="1045"/>
        <v>23</v>
      </c>
      <c r="R514" s="39">
        <f t="shared" si="1046"/>
        <v>0.99788250522936717</v>
      </c>
      <c r="S514" s="39">
        <f t="shared" si="1047"/>
        <v>0.99938027417435915</v>
      </c>
      <c r="T514" s="39">
        <f t="shared" si="1050"/>
        <v>1.497768944991984E-3</v>
      </c>
      <c r="U514" s="89">
        <f t="shared" si="1073"/>
        <v>2.4553589262163671E-5</v>
      </c>
    </row>
    <row r="515" spans="1:21" s="163" customFormat="1" ht="15.75" thickBot="1" x14ac:dyDescent="0.3">
      <c r="A515" s="167">
        <f t="shared" ref="A515:B515" si="1131">A514+1</f>
        <v>505</v>
      </c>
      <c r="B515" s="168">
        <f t="shared" si="1131"/>
        <v>505</v>
      </c>
      <c r="C515" s="92" t="str">
        <f t="shared" si="1006"/>
        <v>L11X22-008_000_55</v>
      </c>
      <c r="D515" s="169">
        <f t="shared" si="1014"/>
        <v>22</v>
      </c>
      <c r="E515" s="173">
        <f t="shared" si="1038"/>
        <v>3.0940000000000003</v>
      </c>
      <c r="F515" s="170">
        <f t="shared" si="1021"/>
        <v>14.063636363636364</v>
      </c>
      <c r="G515" s="170">
        <f t="shared" si="1022"/>
        <v>11.250909090909092</v>
      </c>
      <c r="H515" s="170">
        <f t="shared" si="1023"/>
        <v>7.0318181818181822</v>
      </c>
      <c r="I515" s="170">
        <f t="shared" si="1056"/>
        <v>8</v>
      </c>
      <c r="J515" s="171">
        <f t="shared" si="1103"/>
        <v>8</v>
      </c>
      <c r="K515" s="87" t="s">
        <v>3770</v>
      </c>
      <c r="L515" s="170">
        <f t="shared" ref="L515:N515" si="1132">L514</f>
        <v>0.2</v>
      </c>
      <c r="M515" s="170">
        <f t="shared" si="1132"/>
        <v>150</v>
      </c>
      <c r="N515" s="170">
        <f t="shared" si="1132"/>
        <v>750</v>
      </c>
      <c r="P515" s="38">
        <f t="shared" si="1044"/>
        <v>21</v>
      </c>
      <c r="Q515" s="38">
        <f t="shared" si="1045"/>
        <v>23</v>
      </c>
      <c r="R515" s="39">
        <f t="shared" si="1046"/>
        <v>0.99788250522936717</v>
      </c>
      <c r="S515" s="39">
        <f t="shared" si="1047"/>
        <v>0.99938027417435915</v>
      </c>
      <c r="T515" s="39">
        <f t="shared" si="1050"/>
        <v>1.497768944991984E-3</v>
      </c>
      <c r="U515" s="89">
        <f t="shared" si="1073"/>
        <v>2.4553589262163671E-5</v>
      </c>
    </row>
    <row r="516" spans="1:21" s="163" customFormat="1" ht="15.75" thickBot="1" x14ac:dyDescent="0.3">
      <c r="A516" s="167">
        <f t="shared" ref="A516:B516" si="1133">A515+1</f>
        <v>506</v>
      </c>
      <c r="B516" s="168">
        <f t="shared" si="1133"/>
        <v>506</v>
      </c>
      <c r="C516" s="92" t="str">
        <f t="shared" si="1006"/>
        <v>L11X22-008_000_56</v>
      </c>
      <c r="D516" s="169">
        <f t="shared" si="1014"/>
        <v>22</v>
      </c>
      <c r="E516" s="173">
        <f t="shared" si="1038"/>
        <v>3.0940000000000003</v>
      </c>
      <c r="F516" s="170">
        <f t="shared" si="1021"/>
        <v>14.063636363636364</v>
      </c>
      <c r="G516" s="170">
        <f t="shared" si="1022"/>
        <v>11.250909090909092</v>
      </c>
      <c r="H516" s="170">
        <f t="shared" si="1023"/>
        <v>7.0318181818181822</v>
      </c>
      <c r="I516" s="170">
        <f t="shared" si="1056"/>
        <v>8</v>
      </c>
      <c r="J516" s="171">
        <f t="shared" si="1103"/>
        <v>8</v>
      </c>
      <c r="K516" s="87" t="s">
        <v>3771</v>
      </c>
      <c r="L516" s="170">
        <f t="shared" ref="L516:N516" si="1134">L515</f>
        <v>0.2</v>
      </c>
      <c r="M516" s="170">
        <f t="shared" si="1134"/>
        <v>150</v>
      </c>
      <c r="N516" s="170">
        <f t="shared" si="1134"/>
        <v>750</v>
      </c>
      <c r="P516" s="38">
        <f t="shared" si="1044"/>
        <v>21</v>
      </c>
      <c r="Q516" s="38">
        <f t="shared" si="1045"/>
        <v>23</v>
      </c>
      <c r="R516" s="39">
        <f t="shared" si="1046"/>
        <v>0.99788250522936717</v>
      </c>
      <c r="S516" s="39">
        <f t="shared" si="1047"/>
        <v>0.99938027417435915</v>
      </c>
      <c r="T516" s="39">
        <f t="shared" si="1050"/>
        <v>1.497768944991984E-3</v>
      </c>
      <c r="U516" s="89">
        <f t="shared" si="1073"/>
        <v>2.4553589262163671E-5</v>
      </c>
    </row>
    <row r="517" spans="1:21" s="163" customFormat="1" ht="15.75" thickBot="1" x14ac:dyDescent="0.3">
      <c r="A517" s="167">
        <f t="shared" ref="A517:B517" si="1135">A516+1</f>
        <v>507</v>
      </c>
      <c r="B517" s="168">
        <f t="shared" si="1135"/>
        <v>507</v>
      </c>
      <c r="C517" s="92" t="str">
        <f t="shared" si="1006"/>
        <v>L11X22-008_000_57</v>
      </c>
      <c r="D517" s="169">
        <f t="shared" si="1014"/>
        <v>22</v>
      </c>
      <c r="E517" s="173">
        <f t="shared" si="1038"/>
        <v>3.0940000000000003</v>
      </c>
      <c r="F517" s="170">
        <f t="shared" si="1021"/>
        <v>14.063636363636364</v>
      </c>
      <c r="G517" s="170">
        <f t="shared" si="1022"/>
        <v>11.250909090909092</v>
      </c>
      <c r="H517" s="170">
        <f t="shared" si="1023"/>
        <v>7.0318181818181822</v>
      </c>
      <c r="I517" s="170">
        <f t="shared" si="1056"/>
        <v>8</v>
      </c>
      <c r="J517" s="171">
        <f t="shared" si="1103"/>
        <v>8</v>
      </c>
      <c r="K517" s="87" t="s">
        <v>3772</v>
      </c>
      <c r="L517" s="170">
        <f t="shared" ref="L517:N517" si="1136">L516</f>
        <v>0.2</v>
      </c>
      <c r="M517" s="170">
        <f t="shared" si="1136"/>
        <v>150</v>
      </c>
      <c r="N517" s="170">
        <f t="shared" si="1136"/>
        <v>750</v>
      </c>
      <c r="P517" s="38">
        <f t="shared" si="1044"/>
        <v>21</v>
      </c>
      <c r="Q517" s="38">
        <f t="shared" si="1045"/>
        <v>23</v>
      </c>
      <c r="R517" s="39">
        <f t="shared" si="1046"/>
        <v>0.99788250522936717</v>
      </c>
      <c r="S517" s="39">
        <f t="shared" si="1047"/>
        <v>0.99938027417435915</v>
      </c>
      <c r="T517" s="39">
        <f t="shared" si="1050"/>
        <v>1.497768944991984E-3</v>
      </c>
      <c r="U517" s="89">
        <f t="shared" si="1073"/>
        <v>2.4553589262163671E-5</v>
      </c>
    </row>
    <row r="518" spans="1:21" s="163" customFormat="1" ht="15.75" thickBot="1" x14ac:dyDescent="0.3">
      <c r="A518" s="167">
        <f t="shared" ref="A518:B518" si="1137">A517+1</f>
        <v>508</v>
      </c>
      <c r="B518" s="168">
        <f t="shared" si="1137"/>
        <v>508</v>
      </c>
      <c r="C518" s="92" t="str">
        <f t="shared" si="1006"/>
        <v>L11X22-008_000_58</v>
      </c>
      <c r="D518" s="169">
        <f t="shared" si="1014"/>
        <v>22</v>
      </c>
      <c r="E518" s="173">
        <f t="shared" si="1038"/>
        <v>3.0940000000000003</v>
      </c>
      <c r="F518" s="170">
        <f t="shared" si="1021"/>
        <v>14.063636363636364</v>
      </c>
      <c r="G518" s="170">
        <f t="shared" si="1022"/>
        <v>11.250909090909092</v>
      </c>
      <c r="H518" s="170">
        <f t="shared" si="1023"/>
        <v>7.0318181818181822</v>
      </c>
      <c r="I518" s="170">
        <f t="shared" si="1056"/>
        <v>8</v>
      </c>
      <c r="J518" s="171">
        <f t="shared" si="1103"/>
        <v>8</v>
      </c>
      <c r="K518" s="87" t="s">
        <v>3773</v>
      </c>
      <c r="L518" s="170">
        <f t="shared" ref="L518:N518" si="1138">L517</f>
        <v>0.2</v>
      </c>
      <c r="M518" s="170">
        <f t="shared" si="1138"/>
        <v>150</v>
      </c>
      <c r="N518" s="170">
        <f t="shared" si="1138"/>
        <v>750</v>
      </c>
      <c r="P518" s="38">
        <f t="shared" si="1044"/>
        <v>21</v>
      </c>
      <c r="Q518" s="38">
        <f t="shared" si="1045"/>
        <v>23</v>
      </c>
      <c r="R518" s="39">
        <f t="shared" si="1046"/>
        <v>0.99788250522936717</v>
      </c>
      <c r="S518" s="39">
        <f t="shared" si="1047"/>
        <v>0.99938027417435915</v>
      </c>
      <c r="T518" s="39">
        <f t="shared" si="1050"/>
        <v>1.497768944991984E-3</v>
      </c>
      <c r="U518" s="89">
        <f t="shared" si="1073"/>
        <v>2.4553589262163671E-5</v>
      </c>
    </row>
    <row r="519" spans="1:21" s="163" customFormat="1" ht="15.75" thickBot="1" x14ac:dyDescent="0.3">
      <c r="A519" s="167">
        <f t="shared" ref="A519:B519" si="1139">A518+1</f>
        <v>509</v>
      </c>
      <c r="B519" s="168">
        <f t="shared" si="1139"/>
        <v>509</v>
      </c>
      <c r="C519" s="92" t="str">
        <f t="shared" si="1006"/>
        <v>L11X22-008_000_59</v>
      </c>
      <c r="D519" s="169">
        <f t="shared" si="1014"/>
        <v>22</v>
      </c>
      <c r="E519" s="173">
        <f t="shared" si="1038"/>
        <v>3.0940000000000003</v>
      </c>
      <c r="F519" s="170">
        <f t="shared" si="1021"/>
        <v>14.063636363636364</v>
      </c>
      <c r="G519" s="170">
        <f t="shared" si="1022"/>
        <v>11.250909090909092</v>
      </c>
      <c r="H519" s="170">
        <f t="shared" si="1023"/>
        <v>7.0318181818181822</v>
      </c>
      <c r="I519" s="170">
        <f t="shared" si="1056"/>
        <v>8</v>
      </c>
      <c r="J519" s="171">
        <f t="shared" si="1103"/>
        <v>8</v>
      </c>
      <c r="K519" s="87" t="s">
        <v>3774</v>
      </c>
      <c r="L519" s="170">
        <f t="shared" ref="L519:N519" si="1140">L518</f>
        <v>0.2</v>
      </c>
      <c r="M519" s="170">
        <f t="shared" si="1140"/>
        <v>150</v>
      </c>
      <c r="N519" s="170">
        <f t="shared" si="1140"/>
        <v>750</v>
      </c>
      <c r="P519" s="38">
        <f t="shared" si="1044"/>
        <v>21</v>
      </c>
      <c r="Q519" s="38">
        <f t="shared" si="1045"/>
        <v>23</v>
      </c>
      <c r="R519" s="39">
        <f t="shared" si="1046"/>
        <v>0.99788250522936717</v>
      </c>
      <c r="S519" s="39">
        <f t="shared" si="1047"/>
        <v>0.99938027417435915</v>
      </c>
      <c r="T519" s="39">
        <f t="shared" si="1050"/>
        <v>1.497768944991984E-3</v>
      </c>
      <c r="U519" s="89">
        <f t="shared" si="1073"/>
        <v>2.4553589262163671E-5</v>
      </c>
    </row>
    <row r="520" spans="1:21" s="163" customFormat="1" ht="15.75" thickBot="1" x14ac:dyDescent="0.3">
      <c r="A520" s="167">
        <f t="shared" ref="A520:B520" si="1141">A519+1</f>
        <v>510</v>
      </c>
      <c r="B520" s="168">
        <f t="shared" si="1141"/>
        <v>510</v>
      </c>
      <c r="C520" s="92" t="str">
        <f t="shared" si="1006"/>
        <v>L11X22-008_000_60</v>
      </c>
      <c r="D520" s="169">
        <f t="shared" si="1014"/>
        <v>22</v>
      </c>
      <c r="E520" s="173">
        <f t="shared" si="1038"/>
        <v>3.0940000000000003</v>
      </c>
      <c r="F520" s="170">
        <f t="shared" si="1021"/>
        <v>14.063636363636364</v>
      </c>
      <c r="G520" s="170">
        <f t="shared" si="1022"/>
        <v>11.250909090909092</v>
      </c>
      <c r="H520" s="170">
        <f t="shared" si="1023"/>
        <v>7.0318181818181822</v>
      </c>
      <c r="I520" s="170">
        <f t="shared" si="1056"/>
        <v>8</v>
      </c>
      <c r="J520" s="171">
        <f t="shared" si="1103"/>
        <v>8</v>
      </c>
      <c r="K520" s="87" t="s">
        <v>3775</v>
      </c>
      <c r="L520" s="170">
        <f t="shared" ref="L520:N520" si="1142">L519</f>
        <v>0.2</v>
      </c>
      <c r="M520" s="170">
        <f t="shared" si="1142"/>
        <v>150</v>
      </c>
      <c r="N520" s="170">
        <f t="shared" si="1142"/>
        <v>750</v>
      </c>
      <c r="P520" s="38">
        <f t="shared" si="1044"/>
        <v>21</v>
      </c>
      <c r="Q520" s="38">
        <f t="shared" si="1045"/>
        <v>23</v>
      </c>
      <c r="R520" s="39">
        <f t="shared" si="1046"/>
        <v>0.99788250522936717</v>
      </c>
      <c r="S520" s="39">
        <f t="shared" si="1047"/>
        <v>0.99938027417435915</v>
      </c>
      <c r="T520" s="39">
        <f t="shared" si="1050"/>
        <v>1.497768944991984E-3</v>
      </c>
      <c r="U520" s="89">
        <f t="shared" si="1073"/>
        <v>2.4553589262163671E-5</v>
      </c>
    </row>
    <row r="521" spans="1:21" s="163" customFormat="1" ht="15.75" thickBot="1" x14ac:dyDescent="0.3">
      <c r="A521" s="167">
        <f t="shared" ref="A521:B521" si="1143">A520+1</f>
        <v>511</v>
      </c>
      <c r="B521" s="168">
        <f t="shared" si="1143"/>
        <v>511</v>
      </c>
      <c r="C521" s="92" t="str">
        <f t="shared" si="1006"/>
        <v>L11X24-352_000_01</v>
      </c>
      <c r="D521" s="231">
        <f>v_out-1</f>
        <v>24</v>
      </c>
      <c r="E521" s="173">
        <f t="shared" si="1038"/>
        <v>3.3040000000000007</v>
      </c>
      <c r="F521" s="170">
        <f t="shared" si="1021"/>
        <v>13.766666666666669</v>
      </c>
      <c r="G521" s="170">
        <f t="shared" si="1022"/>
        <v>11.013333333333335</v>
      </c>
      <c r="H521" s="170">
        <f t="shared" si="1023"/>
        <v>6.8833333333333346</v>
      </c>
      <c r="I521" s="170">
        <f t="shared" si="1056"/>
        <v>8</v>
      </c>
      <c r="J521" s="171">
        <f t="shared" ref="J521:J540" si="1144">yaw_min</f>
        <v>-8</v>
      </c>
      <c r="K521" s="87" t="s">
        <v>3776</v>
      </c>
      <c r="L521" s="170">
        <f t="shared" ref="L521:N521" si="1145">L520</f>
        <v>0.2</v>
      </c>
      <c r="M521" s="170">
        <f t="shared" si="1145"/>
        <v>150</v>
      </c>
      <c r="N521" s="170">
        <f t="shared" si="1145"/>
        <v>750</v>
      </c>
      <c r="P521" s="38">
        <f t="shared" si="1044"/>
        <v>23</v>
      </c>
      <c r="Q521" s="38">
        <f t="shared" ref="Q521:Q552" si="1146">P521+v_step-1</f>
        <v>24</v>
      </c>
      <c r="R521" s="39">
        <f t="shared" si="1046"/>
        <v>0.99938027417435915</v>
      </c>
      <c r="S521" s="39">
        <f t="shared" si="1047"/>
        <v>0.99967848848331109</v>
      </c>
      <c r="T521" s="39">
        <f t="shared" si="1050"/>
        <v>2.9821430895193846E-4</v>
      </c>
      <c r="U521" s="89">
        <f t="shared" si="1073"/>
        <v>4.8887591631465323E-6</v>
      </c>
    </row>
    <row r="522" spans="1:21" s="163" customFormat="1" ht="15.75" thickBot="1" x14ac:dyDescent="0.3">
      <c r="A522" s="167">
        <f t="shared" ref="A522:B522" si="1147">A521+1</f>
        <v>512</v>
      </c>
      <c r="B522" s="168">
        <f t="shared" si="1147"/>
        <v>512</v>
      </c>
      <c r="C522" s="92" t="str">
        <f t="shared" si="1006"/>
        <v>L11X24-352_000_02</v>
      </c>
      <c r="D522" s="169">
        <f>D521</f>
        <v>24</v>
      </c>
      <c r="E522" s="173">
        <f t="shared" si="1038"/>
        <v>3.3040000000000007</v>
      </c>
      <c r="F522" s="170">
        <f t="shared" si="1021"/>
        <v>13.766666666666669</v>
      </c>
      <c r="G522" s="170">
        <f t="shared" si="1022"/>
        <v>11.013333333333335</v>
      </c>
      <c r="H522" s="170">
        <f t="shared" si="1023"/>
        <v>6.8833333333333346</v>
      </c>
      <c r="I522" s="170">
        <f t="shared" si="1056"/>
        <v>8</v>
      </c>
      <c r="J522" s="171">
        <f t="shared" si="1144"/>
        <v>-8</v>
      </c>
      <c r="K522" s="87" t="s">
        <v>3777</v>
      </c>
      <c r="L522" s="170">
        <f t="shared" ref="L522:N522" si="1148">L521</f>
        <v>0.2</v>
      </c>
      <c r="M522" s="170">
        <f t="shared" si="1148"/>
        <v>150</v>
      </c>
      <c r="N522" s="170">
        <f t="shared" si="1148"/>
        <v>750</v>
      </c>
      <c r="P522" s="38">
        <f t="shared" si="1044"/>
        <v>23</v>
      </c>
      <c r="Q522" s="38">
        <f t="shared" si="1146"/>
        <v>24</v>
      </c>
      <c r="R522" s="39">
        <f t="shared" si="1046"/>
        <v>0.99938027417435915</v>
      </c>
      <c r="S522" s="39">
        <f t="shared" si="1047"/>
        <v>0.99967848848331109</v>
      </c>
      <c r="T522" s="39">
        <f t="shared" si="1050"/>
        <v>2.9821430895193846E-4</v>
      </c>
      <c r="U522" s="89">
        <f t="shared" si="1073"/>
        <v>4.8887591631465323E-6</v>
      </c>
    </row>
    <row r="523" spans="1:21" s="163" customFormat="1" ht="15.75" thickBot="1" x14ac:dyDescent="0.3">
      <c r="A523" s="167">
        <f t="shared" ref="A523:B523" si="1149">A522+1</f>
        <v>513</v>
      </c>
      <c r="B523" s="168">
        <f t="shared" si="1149"/>
        <v>513</v>
      </c>
      <c r="C523" s="92" t="str">
        <f t="shared" si="1006"/>
        <v>L11X24-352_000_03</v>
      </c>
      <c r="D523" s="169">
        <f t="shared" ref="D523:D580" si="1150">D522</f>
        <v>24</v>
      </c>
      <c r="E523" s="173">
        <f t="shared" si="1038"/>
        <v>3.3040000000000007</v>
      </c>
      <c r="F523" s="170">
        <f t="shared" si="1021"/>
        <v>13.766666666666669</v>
      </c>
      <c r="G523" s="170">
        <f t="shared" si="1022"/>
        <v>11.013333333333335</v>
      </c>
      <c r="H523" s="170">
        <f t="shared" si="1023"/>
        <v>6.8833333333333346</v>
      </c>
      <c r="I523" s="170">
        <f t="shared" si="1056"/>
        <v>8</v>
      </c>
      <c r="J523" s="171">
        <f t="shared" si="1144"/>
        <v>-8</v>
      </c>
      <c r="K523" s="87" t="s">
        <v>3778</v>
      </c>
      <c r="L523" s="170">
        <f t="shared" ref="L523:N523" si="1151">L522</f>
        <v>0.2</v>
      </c>
      <c r="M523" s="170">
        <f t="shared" si="1151"/>
        <v>150</v>
      </c>
      <c r="N523" s="170">
        <f t="shared" si="1151"/>
        <v>750</v>
      </c>
      <c r="P523" s="38">
        <f t="shared" si="1044"/>
        <v>23</v>
      </c>
      <c r="Q523" s="38">
        <f t="shared" si="1146"/>
        <v>24</v>
      </c>
      <c r="R523" s="39">
        <f t="shared" si="1046"/>
        <v>0.99938027417435915</v>
      </c>
      <c r="S523" s="39">
        <f t="shared" si="1047"/>
        <v>0.99967848848331109</v>
      </c>
      <c r="T523" s="39">
        <f t="shared" si="1050"/>
        <v>2.9821430895193846E-4</v>
      </c>
      <c r="U523" s="89">
        <f t="shared" si="1073"/>
        <v>4.8887591631465323E-6</v>
      </c>
    </row>
    <row r="524" spans="1:21" s="163" customFormat="1" ht="15.75" thickBot="1" x14ac:dyDescent="0.3">
      <c r="A524" s="167">
        <f t="shared" ref="A524:B524" si="1152">A523+1</f>
        <v>514</v>
      </c>
      <c r="B524" s="168">
        <f t="shared" si="1152"/>
        <v>514</v>
      </c>
      <c r="C524" s="92" t="str">
        <f t="shared" ref="C524:C583" si="1153">TEXT(RIGHT($B$2,LEN($B$2)-3),"L00")&amp;"X"&amp;TEXT(D524,"00")&amp;"-"&amp;IF(J524&lt;0,TEXT(360+J524,"000"),TEXT(J524,"000"))&amp;"_"&amp;"000"&amp;"_"&amp;TEXT(RIGHT(K524,LEN(K524)-FIND("-",K524)),"00")</f>
        <v>L11X24-352_000_04</v>
      </c>
      <c r="D524" s="169">
        <f t="shared" si="1150"/>
        <v>24</v>
      </c>
      <c r="E524" s="173">
        <f t="shared" si="1038"/>
        <v>3.3040000000000007</v>
      </c>
      <c r="F524" s="170">
        <f t="shared" si="1021"/>
        <v>13.766666666666669</v>
      </c>
      <c r="G524" s="170">
        <f t="shared" si="1022"/>
        <v>11.013333333333335</v>
      </c>
      <c r="H524" s="170">
        <f t="shared" si="1023"/>
        <v>6.8833333333333346</v>
      </c>
      <c r="I524" s="170">
        <f t="shared" si="1056"/>
        <v>8</v>
      </c>
      <c r="J524" s="171">
        <f t="shared" si="1144"/>
        <v>-8</v>
      </c>
      <c r="K524" s="87" t="s">
        <v>3779</v>
      </c>
      <c r="L524" s="170">
        <f t="shared" ref="L524:N524" si="1154">L523</f>
        <v>0.2</v>
      </c>
      <c r="M524" s="170">
        <f t="shared" si="1154"/>
        <v>150</v>
      </c>
      <c r="N524" s="170">
        <f t="shared" si="1154"/>
        <v>750</v>
      </c>
      <c r="P524" s="38">
        <f t="shared" si="1044"/>
        <v>23</v>
      </c>
      <c r="Q524" s="38">
        <f t="shared" si="1146"/>
        <v>24</v>
      </c>
      <c r="R524" s="39">
        <f t="shared" si="1046"/>
        <v>0.99938027417435915</v>
      </c>
      <c r="S524" s="39">
        <f t="shared" si="1047"/>
        <v>0.99967848848331109</v>
      </c>
      <c r="T524" s="39">
        <f t="shared" si="1050"/>
        <v>2.9821430895193846E-4</v>
      </c>
      <c r="U524" s="89">
        <f t="shared" si="1073"/>
        <v>4.8887591631465323E-6</v>
      </c>
    </row>
    <row r="525" spans="1:21" s="163" customFormat="1" ht="15.75" thickBot="1" x14ac:dyDescent="0.3">
      <c r="A525" s="167">
        <f t="shared" ref="A525:B525" si="1155">A524+1</f>
        <v>515</v>
      </c>
      <c r="B525" s="168">
        <f t="shared" si="1155"/>
        <v>515</v>
      </c>
      <c r="C525" s="92" t="str">
        <f t="shared" si="1153"/>
        <v>L11X24-352_000_05</v>
      </c>
      <c r="D525" s="169">
        <f t="shared" si="1150"/>
        <v>24</v>
      </c>
      <c r="E525" s="173">
        <f t="shared" si="1038"/>
        <v>3.3040000000000007</v>
      </c>
      <c r="F525" s="170">
        <f t="shared" si="1021"/>
        <v>13.766666666666669</v>
      </c>
      <c r="G525" s="170">
        <f t="shared" si="1022"/>
        <v>11.013333333333335</v>
      </c>
      <c r="H525" s="170">
        <f t="shared" si="1023"/>
        <v>6.8833333333333346</v>
      </c>
      <c r="I525" s="170">
        <f t="shared" si="1056"/>
        <v>8</v>
      </c>
      <c r="J525" s="171">
        <f t="shared" si="1144"/>
        <v>-8</v>
      </c>
      <c r="K525" s="87" t="s">
        <v>3780</v>
      </c>
      <c r="L525" s="170">
        <f t="shared" ref="L525:N525" si="1156">L524</f>
        <v>0.2</v>
      </c>
      <c r="M525" s="170">
        <f t="shared" si="1156"/>
        <v>150</v>
      </c>
      <c r="N525" s="170">
        <f t="shared" si="1156"/>
        <v>750</v>
      </c>
      <c r="P525" s="38">
        <f t="shared" si="1044"/>
        <v>23</v>
      </c>
      <c r="Q525" s="38">
        <f t="shared" si="1146"/>
        <v>24</v>
      </c>
      <c r="R525" s="39">
        <f t="shared" si="1046"/>
        <v>0.99938027417435915</v>
      </c>
      <c r="S525" s="39">
        <f t="shared" si="1047"/>
        <v>0.99967848848331109</v>
      </c>
      <c r="T525" s="39">
        <f t="shared" si="1050"/>
        <v>2.9821430895193846E-4</v>
      </c>
      <c r="U525" s="89">
        <f t="shared" si="1073"/>
        <v>4.8887591631465323E-6</v>
      </c>
    </row>
    <row r="526" spans="1:21" s="163" customFormat="1" ht="15.75" thickBot="1" x14ac:dyDescent="0.3">
      <c r="A526" s="167">
        <f t="shared" ref="A526:B526" si="1157">A525+1</f>
        <v>516</v>
      </c>
      <c r="B526" s="168">
        <f t="shared" si="1157"/>
        <v>516</v>
      </c>
      <c r="C526" s="92" t="str">
        <f t="shared" si="1153"/>
        <v>L11X24-352_000_06</v>
      </c>
      <c r="D526" s="169">
        <f t="shared" si="1150"/>
        <v>24</v>
      </c>
      <c r="E526" s="173">
        <f t="shared" si="1038"/>
        <v>3.3040000000000007</v>
      </c>
      <c r="F526" s="170">
        <f t="shared" si="1021"/>
        <v>13.766666666666669</v>
      </c>
      <c r="G526" s="170">
        <f t="shared" si="1022"/>
        <v>11.013333333333335</v>
      </c>
      <c r="H526" s="170">
        <f t="shared" si="1023"/>
        <v>6.8833333333333346</v>
      </c>
      <c r="I526" s="170">
        <f t="shared" si="1056"/>
        <v>8</v>
      </c>
      <c r="J526" s="171">
        <f t="shared" si="1144"/>
        <v>-8</v>
      </c>
      <c r="K526" s="87" t="s">
        <v>3781</v>
      </c>
      <c r="L526" s="170">
        <f t="shared" ref="L526:N526" si="1158">L525</f>
        <v>0.2</v>
      </c>
      <c r="M526" s="170">
        <f t="shared" si="1158"/>
        <v>150</v>
      </c>
      <c r="N526" s="170">
        <f t="shared" si="1158"/>
        <v>750</v>
      </c>
      <c r="P526" s="38">
        <f t="shared" si="1044"/>
        <v>23</v>
      </c>
      <c r="Q526" s="38">
        <f t="shared" si="1146"/>
        <v>24</v>
      </c>
      <c r="R526" s="39">
        <f t="shared" si="1046"/>
        <v>0.99938027417435915</v>
      </c>
      <c r="S526" s="39">
        <f t="shared" si="1047"/>
        <v>0.99967848848331109</v>
      </c>
      <c r="T526" s="39">
        <f t="shared" si="1050"/>
        <v>2.9821430895193846E-4</v>
      </c>
      <c r="U526" s="89">
        <f t="shared" si="1073"/>
        <v>4.8887591631465323E-6</v>
      </c>
    </row>
    <row r="527" spans="1:21" s="163" customFormat="1" ht="15.75" thickBot="1" x14ac:dyDescent="0.3">
      <c r="A527" s="167">
        <f t="shared" ref="A527:B527" si="1159">A526+1</f>
        <v>517</v>
      </c>
      <c r="B527" s="168">
        <f t="shared" si="1159"/>
        <v>517</v>
      </c>
      <c r="C527" s="92" t="str">
        <f t="shared" si="1153"/>
        <v>L11X24-352_000_07</v>
      </c>
      <c r="D527" s="169">
        <f t="shared" si="1150"/>
        <v>24</v>
      </c>
      <c r="E527" s="173">
        <f t="shared" si="1038"/>
        <v>3.3040000000000007</v>
      </c>
      <c r="F527" s="170">
        <f t="shared" si="1021"/>
        <v>13.766666666666669</v>
      </c>
      <c r="G527" s="170">
        <f t="shared" si="1022"/>
        <v>11.013333333333335</v>
      </c>
      <c r="H527" s="170">
        <f t="shared" si="1023"/>
        <v>6.8833333333333346</v>
      </c>
      <c r="I527" s="170">
        <f t="shared" si="1056"/>
        <v>8</v>
      </c>
      <c r="J527" s="171">
        <f t="shared" si="1144"/>
        <v>-8</v>
      </c>
      <c r="K527" s="87" t="s">
        <v>3782</v>
      </c>
      <c r="L527" s="170">
        <f t="shared" ref="L527:N527" si="1160">L526</f>
        <v>0.2</v>
      </c>
      <c r="M527" s="170">
        <f t="shared" si="1160"/>
        <v>150</v>
      </c>
      <c r="N527" s="170">
        <f t="shared" si="1160"/>
        <v>750</v>
      </c>
      <c r="P527" s="38">
        <f t="shared" si="1044"/>
        <v>23</v>
      </c>
      <c r="Q527" s="38">
        <f t="shared" si="1146"/>
        <v>24</v>
      </c>
      <c r="R527" s="39">
        <f t="shared" si="1046"/>
        <v>0.99938027417435915</v>
      </c>
      <c r="S527" s="39">
        <f t="shared" si="1047"/>
        <v>0.99967848848331109</v>
      </c>
      <c r="T527" s="39">
        <f t="shared" si="1050"/>
        <v>2.9821430895193846E-4</v>
      </c>
      <c r="U527" s="89">
        <f t="shared" si="1073"/>
        <v>4.8887591631465323E-6</v>
      </c>
    </row>
    <row r="528" spans="1:21" s="163" customFormat="1" ht="15.75" thickBot="1" x14ac:dyDescent="0.3">
      <c r="A528" s="167">
        <f t="shared" ref="A528:B528" si="1161">A527+1</f>
        <v>518</v>
      </c>
      <c r="B528" s="168">
        <f t="shared" si="1161"/>
        <v>518</v>
      </c>
      <c r="C528" s="92" t="str">
        <f t="shared" si="1153"/>
        <v>L11X24-352_000_08</v>
      </c>
      <c r="D528" s="169">
        <f t="shared" si="1150"/>
        <v>24</v>
      </c>
      <c r="E528" s="173">
        <f t="shared" si="1038"/>
        <v>3.3040000000000007</v>
      </c>
      <c r="F528" s="170">
        <f t="shared" si="1021"/>
        <v>13.766666666666669</v>
      </c>
      <c r="G528" s="170">
        <f t="shared" si="1022"/>
        <v>11.013333333333335</v>
      </c>
      <c r="H528" s="170">
        <f t="shared" si="1023"/>
        <v>6.8833333333333346</v>
      </c>
      <c r="I528" s="170">
        <f t="shared" si="1056"/>
        <v>8</v>
      </c>
      <c r="J528" s="171">
        <f t="shared" si="1144"/>
        <v>-8</v>
      </c>
      <c r="K528" s="87" t="s">
        <v>3783</v>
      </c>
      <c r="L528" s="170">
        <f t="shared" ref="L528:N528" si="1162">L527</f>
        <v>0.2</v>
      </c>
      <c r="M528" s="170">
        <f t="shared" si="1162"/>
        <v>150</v>
      </c>
      <c r="N528" s="170">
        <f t="shared" si="1162"/>
        <v>750</v>
      </c>
      <c r="P528" s="38">
        <f t="shared" si="1044"/>
        <v>23</v>
      </c>
      <c r="Q528" s="38">
        <f t="shared" si="1146"/>
        <v>24</v>
      </c>
      <c r="R528" s="39">
        <f t="shared" si="1046"/>
        <v>0.99938027417435915</v>
      </c>
      <c r="S528" s="39">
        <f t="shared" si="1047"/>
        <v>0.99967848848331109</v>
      </c>
      <c r="T528" s="39">
        <f t="shared" si="1050"/>
        <v>2.9821430895193846E-4</v>
      </c>
      <c r="U528" s="89">
        <f t="shared" si="1073"/>
        <v>4.8887591631465323E-6</v>
      </c>
    </row>
    <row r="529" spans="1:21" s="163" customFormat="1" ht="15.75" thickBot="1" x14ac:dyDescent="0.3">
      <c r="A529" s="167">
        <f t="shared" ref="A529:B529" si="1163">A528+1</f>
        <v>519</v>
      </c>
      <c r="B529" s="168">
        <f t="shared" si="1163"/>
        <v>519</v>
      </c>
      <c r="C529" s="92" t="str">
        <f t="shared" si="1153"/>
        <v>L11X24-352_000_09</v>
      </c>
      <c r="D529" s="169">
        <f t="shared" si="1150"/>
        <v>24</v>
      </c>
      <c r="E529" s="173">
        <f t="shared" si="1038"/>
        <v>3.3040000000000007</v>
      </c>
      <c r="F529" s="170">
        <f t="shared" si="1021"/>
        <v>13.766666666666669</v>
      </c>
      <c r="G529" s="170">
        <f t="shared" si="1022"/>
        <v>11.013333333333335</v>
      </c>
      <c r="H529" s="170">
        <f t="shared" si="1023"/>
        <v>6.8833333333333346</v>
      </c>
      <c r="I529" s="170">
        <f t="shared" si="1056"/>
        <v>8</v>
      </c>
      <c r="J529" s="171">
        <f t="shared" si="1144"/>
        <v>-8</v>
      </c>
      <c r="K529" s="87" t="s">
        <v>3784</v>
      </c>
      <c r="L529" s="170">
        <f t="shared" ref="L529:N529" si="1164">L528</f>
        <v>0.2</v>
      </c>
      <c r="M529" s="170">
        <f t="shared" si="1164"/>
        <v>150</v>
      </c>
      <c r="N529" s="170">
        <f t="shared" si="1164"/>
        <v>750</v>
      </c>
      <c r="P529" s="38">
        <f t="shared" si="1044"/>
        <v>23</v>
      </c>
      <c r="Q529" s="38">
        <f t="shared" si="1146"/>
        <v>24</v>
      </c>
      <c r="R529" s="39">
        <f t="shared" si="1046"/>
        <v>0.99938027417435915</v>
      </c>
      <c r="S529" s="39">
        <f t="shared" si="1047"/>
        <v>0.99967848848331109</v>
      </c>
      <c r="T529" s="39">
        <f t="shared" si="1050"/>
        <v>2.9821430895193846E-4</v>
      </c>
      <c r="U529" s="89">
        <f t="shared" si="1073"/>
        <v>4.8887591631465323E-6</v>
      </c>
    </row>
    <row r="530" spans="1:21" s="163" customFormat="1" ht="15.75" thickBot="1" x14ac:dyDescent="0.3">
      <c r="A530" s="167">
        <f t="shared" ref="A530:B530" si="1165">A529+1</f>
        <v>520</v>
      </c>
      <c r="B530" s="168">
        <f t="shared" si="1165"/>
        <v>520</v>
      </c>
      <c r="C530" s="92" t="str">
        <f t="shared" si="1153"/>
        <v>L11X24-352_000_10</v>
      </c>
      <c r="D530" s="169">
        <f t="shared" si="1150"/>
        <v>24</v>
      </c>
      <c r="E530" s="173">
        <f t="shared" si="1038"/>
        <v>3.3040000000000007</v>
      </c>
      <c r="F530" s="170">
        <f t="shared" ref="F530:F589" si="1166">E530/D530*100</f>
        <v>13.766666666666669</v>
      </c>
      <c r="G530" s="170">
        <f t="shared" ref="G530:G589" si="1167">m_ty*F530</f>
        <v>11.013333333333335</v>
      </c>
      <c r="H530" s="170">
        <f t="shared" ref="H530:H589" si="1168">m_tz*F530</f>
        <v>6.8833333333333346</v>
      </c>
      <c r="I530" s="170">
        <f t="shared" si="1056"/>
        <v>8</v>
      </c>
      <c r="J530" s="171">
        <f t="shared" si="1144"/>
        <v>-8</v>
      </c>
      <c r="K530" s="87" t="s">
        <v>3785</v>
      </c>
      <c r="L530" s="170">
        <f t="shared" ref="L530:N530" si="1169">L529</f>
        <v>0.2</v>
      </c>
      <c r="M530" s="170">
        <f t="shared" si="1169"/>
        <v>150</v>
      </c>
      <c r="N530" s="170">
        <f t="shared" si="1169"/>
        <v>750</v>
      </c>
      <c r="P530" s="38">
        <f t="shared" si="1044"/>
        <v>23</v>
      </c>
      <c r="Q530" s="38">
        <f t="shared" si="1146"/>
        <v>24</v>
      </c>
      <c r="R530" s="39">
        <f t="shared" si="1046"/>
        <v>0.99938027417435915</v>
      </c>
      <c r="S530" s="39">
        <f t="shared" si="1047"/>
        <v>0.99967848848331109</v>
      </c>
      <c r="T530" s="39">
        <f t="shared" si="1050"/>
        <v>2.9821430895193846E-4</v>
      </c>
      <c r="U530" s="89">
        <f t="shared" si="1073"/>
        <v>4.8887591631465323E-6</v>
      </c>
    </row>
    <row r="531" spans="1:21" s="163" customFormat="1" ht="15.75" thickBot="1" x14ac:dyDescent="0.3">
      <c r="A531" s="167">
        <f t="shared" ref="A531:B531" si="1170">A530+1</f>
        <v>521</v>
      </c>
      <c r="B531" s="168">
        <f t="shared" si="1170"/>
        <v>521</v>
      </c>
      <c r="C531" s="92" t="str">
        <f t="shared" si="1153"/>
        <v>L11X24-352_000_11</v>
      </c>
      <c r="D531" s="169">
        <f t="shared" si="1150"/>
        <v>24</v>
      </c>
      <c r="E531" s="173">
        <f t="shared" si="1038"/>
        <v>3.3040000000000007</v>
      </c>
      <c r="F531" s="170">
        <f t="shared" si="1166"/>
        <v>13.766666666666669</v>
      </c>
      <c r="G531" s="170">
        <f t="shared" si="1167"/>
        <v>11.013333333333335</v>
      </c>
      <c r="H531" s="170">
        <f t="shared" si="1168"/>
        <v>6.8833333333333346</v>
      </c>
      <c r="I531" s="170">
        <f t="shared" si="1056"/>
        <v>8</v>
      </c>
      <c r="J531" s="171">
        <f t="shared" si="1144"/>
        <v>-8</v>
      </c>
      <c r="K531" s="87" t="s">
        <v>3786</v>
      </c>
      <c r="L531" s="170">
        <f t="shared" ref="L531:N531" si="1171">L530</f>
        <v>0.2</v>
      </c>
      <c r="M531" s="170">
        <f t="shared" si="1171"/>
        <v>150</v>
      </c>
      <c r="N531" s="170">
        <f t="shared" si="1171"/>
        <v>750</v>
      </c>
      <c r="P531" s="38">
        <f t="shared" si="1044"/>
        <v>23</v>
      </c>
      <c r="Q531" s="38">
        <f t="shared" si="1146"/>
        <v>24</v>
      </c>
      <c r="R531" s="39">
        <f t="shared" si="1046"/>
        <v>0.99938027417435915</v>
      </c>
      <c r="S531" s="39">
        <f t="shared" si="1047"/>
        <v>0.99967848848331109</v>
      </c>
      <c r="T531" s="39">
        <f t="shared" si="1050"/>
        <v>2.9821430895193846E-4</v>
      </c>
      <c r="U531" s="89">
        <f t="shared" si="1073"/>
        <v>4.8887591631465323E-6</v>
      </c>
    </row>
    <row r="532" spans="1:21" s="163" customFormat="1" ht="15.75" thickBot="1" x14ac:dyDescent="0.3">
      <c r="A532" s="167">
        <f t="shared" ref="A532:B532" si="1172">A531+1</f>
        <v>522</v>
      </c>
      <c r="B532" s="168">
        <f t="shared" si="1172"/>
        <v>522</v>
      </c>
      <c r="C532" s="92" t="str">
        <f t="shared" si="1153"/>
        <v>L11X24-352_000_12</v>
      </c>
      <c r="D532" s="169">
        <f t="shared" si="1150"/>
        <v>24</v>
      </c>
      <c r="E532" s="173">
        <f t="shared" si="1038"/>
        <v>3.3040000000000007</v>
      </c>
      <c r="F532" s="170">
        <f t="shared" si="1166"/>
        <v>13.766666666666669</v>
      </c>
      <c r="G532" s="170">
        <f t="shared" si="1167"/>
        <v>11.013333333333335</v>
      </c>
      <c r="H532" s="170">
        <f t="shared" si="1168"/>
        <v>6.8833333333333346</v>
      </c>
      <c r="I532" s="170">
        <f t="shared" si="1056"/>
        <v>8</v>
      </c>
      <c r="J532" s="171">
        <f t="shared" si="1144"/>
        <v>-8</v>
      </c>
      <c r="K532" s="87" t="s">
        <v>3787</v>
      </c>
      <c r="L532" s="170">
        <f t="shared" ref="L532:N532" si="1173">L531</f>
        <v>0.2</v>
      </c>
      <c r="M532" s="170">
        <f t="shared" si="1173"/>
        <v>150</v>
      </c>
      <c r="N532" s="170">
        <f t="shared" si="1173"/>
        <v>750</v>
      </c>
      <c r="P532" s="38">
        <f t="shared" si="1044"/>
        <v>23</v>
      </c>
      <c r="Q532" s="38">
        <f t="shared" si="1146"/>
        <v>24</v>
      </c>
      <c r="R532" s="39">
        <f t="shared" si="1046"/>
        <v>0.99938027417435915</v>
      </c>
      <c r="S532" s="39">
        <f t="shared" si="1047"/>
        <v>0.99967848848331109</v>
      </c>
      <c r="T532" s="39">
        <f t="shared" si="1050"/>
        <v>2.9821430895193846E-4</v>
      </c>
      <c r="U532" s="89">
        <f t="shared" si="1073"/>
        <v>4.8887591631465323E-6</v>
      </c>
    </row>
    <row r="533" spans="1:21" s="163" customFormat="1" ht="15.75" thickBot="1" x14ac:dyDescent="0.3">
      <c r="A533" s="167">
        <f t="shared" ref="A533:B533" si="1174">A532+1</f>
        <v>523</v>
      </c>
      <c r="B533" s="168">
        <f t="shared" si="1174"/>
        <v>523</v>
      </c>
      <c r="C533" s="92" t="str">
        <f t="shared" si="1153"/>
        <v>L11X24-352_000_13</v>
      </c>
      <c r="D533" s="169">
        <f t="shared" si="1150"/>
        <v>24</v>
      </c>
      <c r="E533" s="173">
        <f t="shared" si="1038"/>
        <v>3.3040000000000007</v>
      </c>
      <c r="F533" s="170">
        <f t="shared" si="1166"/>
        <v>13.766666666666669</v>
      </c>
      <c r="G533" s="170">
        <f t="shared" si="1167"/>
        <v>11.013333333333335</v>
      </c>
      <c r="H533" s="170">
        <f t="shared" si="1168"/>
        <v>6.8833333333333346</v>
      </c>
      <c r="I533" s="170">
        <f t="shared" si="1056"/>
        <v>8</v>
      </c>
      <c r="J533" s="171">
        <f t="shared" si="1144"/>
        <v>-8</v>
      </c>
      <c r="K533" s="87" t="s">
        <v>3788</v>
      </c>
      <c r="L533" s="170">
        <f t="shared" ref="L533:N533" si="1175">L532</f>
        <v>0.2</v>
      </c>
      <c r="M533" s="170">
        <f t="shared" si="1175"/>
        <v>150</v>
      </c>
      <c r="N533" s="170">
        <f t="shared" si="1175"/>
        <v>750</v>
      </c>
      <c r="P533" s="38">
        <f t="shared" si="1044"/>
        <v>23</v>
      </c>
      <c r="Q533" s="38">
        <f t="shared" si="1146"/>
        <v>24</v>
      </c>
      <c r="R533" s="39">
        <f t="shared" si="1046"/>
        <v>0.99938027417435915</v>
      </c>
      <c r="S533" s="39">
        <f t="shared" si="1047"/>
        <v>0.99967848848331109</v>
      </c>
      <c r="T533" s="39">
        <f t="shared" si="1050"/>
        <v>2.9821430895193846E-4</v>
      </c>
      <c r="U533" s="89">
        <f t="shared" si="1073"/>
        <v>4.8887591631465323E-6</v>
      </c>
    </row>
    <row r="534" spans="1:21" s="163" customFormat="1" ht="15.75" thickBot="1" x14ac:dyDescent="0.3">
      <c r="A534" s="167">
        <f t="shared" ref="A534:B534" si="1176">A533+1</f>
        <v>524</v>
      </c>
      <c r="B534" s="168">
        <f t="shared" si="1176"/>
        <v>524</v>
      </c>
      <c r="C534" s="92" t="str">
        <f t="shared" si="1153"/>
        <v>L11X24-352_000_14</v>
      </c>
      <c r="D534" s="169">
        <f t="shared" si="1150"/>
        <v>24</v>
      </c>
      <c r="E534" s="173">
        <f t="shared" si="1038"/>
        <v>3.3040000000000007</v>
      </c>
      <c r="F534" s="170">
        <f t="shared" si="1166"/>
        <v>13.766666666666669</v>
      </c>
      <c r="G534" s="170">
        <f t="shared" si="1167"/>
        <v>11.013333333333335</v>
      </c>
      <c r="H534" s="170">
        <f t="shared" si="1168"/>
        <v>6.8833333333333346</v>
      </c>
      <c r="I534" s="170">
        <f t="shared" si="1056"/>
        <v>8</v>
      </c>
      <c r="J534" s="171">
        <f t="shared" si="1144"/>
        <v>-8</v>
      </c>
      <c r="K534" s="87" t="s">
        <v>3789</v>
      </c>
      <c r="L534" s="170">
        <f t="shared" ref="L534:N534" si="1177">L533</f>
        <v>0.2</v>
      </c>
      <c r="M534" s="170">
        <f t="shared" si="1177"/>
        <v>150</v>
      </c>
      <c r="N534" s="170">
        <f t="shared" si="1177"/>
        <v>750</v>
      </c>
      <c r="P534" s="38">
        <f t="shared" si="1044"/>
        <v>23</v>
      </c>
      <c r="Q534" s="38">
        <f t="shared" si="1146"/>
        <v>24</v>
      </c>
      <c r="R534" s="39">
        <f t="shared" si="1046"/>
        <v>0.99938027417435915</v>
      </c>
      <c r="S534" s="39">
        <f t="shared" si="1047"/>
        <v>0.99967848848331109</v>
      </c>
      <c r="T534" s="39">
        <f t="shared" si="1050"/>
        <v>2.9821430895193846E-4</v>
      </c>
      <c r="U534" s="89">
        <f t="shared" si="1073"/>
        <v>4.8887591631465323E-6</v>
      </c>
    </row>
    <row r="535" spans="1:21" s="163" customFormat="1" ht="15.75" thickBot="1" x14ac:dyDescent="0.3">
      <c r="A535" s="167">
        <f t="shared" ref="A535:B535" si="1178">A534+1</f>
        <v>525</v>
      </c>
      <c r="B535" s="168">
        <f t="shared" si="1178"/>
        <v>525</v>
      </c>
      <c r="C535" s="92" t="str">
        <f t="shared" si="1153"/>
        <v>L11X24-352_000_15</v>
      </c>
      <c r="D535" s="169">
        <f t="shared" si="1150"/>
        <v>24</v>
      </c>
      <c r="E535" s="173">
        <f t="shared" si="1038"/>
        <v>3.3040000000000007</v>
      </c>
      <c r="F535" s="170">
        <f t="shared" si="1166"/>
        <v>13.766666666666669</v>
      </c>
      <c r="G535" s="170">
        <f t="shared" si="1167"/>
        <v>11.013333333333335</v>
      </c>
      <c r="H535" s="170">
        <f t="shared" si="1168"/>
        <v>6.8833333333333346</v>
      </c>
      <c r="I535" s="170">
        <f t="shared" si="1056"/>
        <v>8</v>
      </c>
      <c r="J535" s="171">
        <f t="shared" si="1144"/>
        <v>-8</v>
      </c>
      <c r="K535" s="87" t="s">
        <v>3790</v>
      </c>
      <c r="L535" s="170">
        <f t="shared" ref="L535:N535" si="1179">L534</f>
        <v>0.2</v>
      </c>
      <c r="M535" s="170">
        <f t="shared" si="1179"/>
        <v>150</v>
      </c>
      <c r="N535" s="170">
        <f t="shared" si="1179"/>
        <v>750</v>
      </c>
      <c r="P535" s="38">
        <f t="shared" si="1044"/>
        <v>23</v>
      </c>
      <c r="Q535" s="38">
        <f t="shared" si="1146"/>
        <v>24</v>
      </c>
      <c r="R535" s="39">
        <f t="shared" si="1046"/>
        <v>0.99938027417435915</v>
      </c>
      <c r="S535" s="39">
        <f t="shared" si="1047"/>
        <v>0.99967848848331109</v>
      </c>
      <c r="T535" s="39">
        <f t="shared" si="1050"/>
        <v>2.9821430895193846E-4</v>
      </c>
      <c r="U535" s="89">
        <f t="shared" si="1073"/>
        <v>4.8887591631465323E-6</v>
      </c>
    </row>
    <row r="536" spans="1:21" s="163" customFormat="1" ht="15.75" thickBot="1" x14ac:dyDescent="0.3">
      <c r="A536" s="167">
        <f t="shared" ref="A536:B536" si="1180">A535+1</f>
        <v>526</v>
      </c>
      <c r="B536" s="168">
        <f t="shared" si="1180"/>
        <v>526</v>
      </c>
      <c r="C536" s="92" t="str">
        <f t="shared" si="1153"/>
        <v>L11X24-352_000_16</v>
      </c>
      <c r="D536" s="169">
        <f t="shared" si="1150"/>
        <v>24</v>
      </c>
      <c r="E536" s="173">
        <f t="shared" si="1038"/>
        <v>3.3040000000000007</v>
      </c>
      <c r="F536" s="170">
        <f t="shared" si="1166"/>
        <v>13.766666666666669</v>
      </c>
      <c r="G536" s="170">
        <f t="shared" si="1167"/>
        <v>11.013333333333335</v>
      </c>
      <c r="H536" s="170">
        <f t="shared" si="1168"/>
        <v>6.8833333333333346</v>
      </c>
      <c r="I536" s="170">
        <f t="shared" si="1056"/>
        <v>8</v>
      </c>
      <c r="J536" s="171">
        <f t="shared" si="1144"/>
        <v>-8</v>
      </c>
      <c r="K536" s="87" t="s">
        <v>3791</v>
      </c>
      <c r="L536" s="170">
        <f t="shared" ref="L536:N536" si="1181">L535</f>
        <v>0.2</v>
      </c>
      <c r="M536" s="170">
        <f t="shared" si="1181"/>
        <v>150</v>
      </c>
      <c r="N536" s="170">
        <f t="shared" si="1181"/>
        <v>750</v>
      </c>
      <c r="P536" s="38">
        <f t="shared" si="1044"/>
        <v>23</v>
      </c>
      <c r="Q536" s="38">
        <f t="shared" si="1146"/>
        <v>24</v>
      </c>
      <c r="R536" s="39">
        <f t="shared" si="1046"/>
        <v>0.99938027417435915</v>
      </c>
      <c r="S536" s="39">
        <f t="shared" si="1047"/>
        <v>0.99967848848331109</v>
      </c>
      <c r="T536" s="39">
        <f t="shared" si="1050"/>
        <v>2.9821430895193846E-4</v>
      </c>
      <c r="U536" s="89">
        <f t="shared" si="1073"/>
        <v>4.8887591631465323E-6</v>
      </c>
    </row>
    <row r="537" spans="1:21" s="163" customFormat="1" ht="15.75" thickBot="1" x14ac:dyDescent="0.3">
      <c r="A537" s="167">
        <f t="shared" ref="A537:B537" si="1182">A536+1</f>
        <v>527</v>
      </c>
      <c r="B537" s="168">
        <f t="shared" si="1182"/>
        <v>527</v>
      </c>
      <c r="C537" s="92" t="str">
        <f t="shared" si="1153"/>
        <v>L11X24-352_000_17</v>
      </c>
      <c r="D537" s="169">
        <f t="shared" si="1150"/>
        <v>24</v>
      </c>
      <c r="E537" s="173">
        <f t="shared" ref="E537:E596" si="1183">I_ref*(0.75*D537+5.6)</f>
        <v>3.3040000000000007</v>
      </c>
      <c r="F537" s="170">
        <f t="shared" si="1166"/>
        <v>13.766666666666669</v>
      </c>
      <c r="G537" s="170">
        <f t="shared" si="1167"/>
        <v>11.013333333333335</v>
      </c>
      <c r="H537" s="170">
        <f t="shared" si="1168"/>
        <v>6.8833333333333346</v>
      </c>
      <c r="I537" s="170">
        <f t="shared" si="1056"/>
        <v>8</v>
      </c>
      <c r="J537" s="171">
        <f t="shared" si="1144"/>
        <v>-8</v>
      </c>
      <c r="K537" s="87" t="s">
        <v>3792</v>
      </c>
      <c r="L537" s="170">
        <f t="shared" ref="L537:N537" si="1184">L536</f>
        <v>0.2</v>
      </c>
      <c r="M537" s="170">
        <f t="shared" si="1184"/>
        <v>150</v>
      </c>
      <c r="N537" s="170">
        <f t="shared" si="1184"/>
        <v>750</v>
      </c>
      <c r="P537" s="38">
        <f t="shared" si="1044"/>
        <v>23</v>
      </c>
      <c r="Q537" s="38">
        <f t="shared" si="1146"/>
        <v>24</v>
      </c>
      <c r="R537" s="39">
        <f t="shared" si="1046"/>
        <v>0.99938027417435915</v>
      </c>
      <c r="S537" s="39">
        <f t="shared" si="1047"/>
        <v>0.99967848848331109</v>
      </c>
      <c r="T537" s="39">
        <f t="shared" si="1050"/>
        <v>2.9821430895193846E-4</v>
      </c>
      <c r="U537" s="89">
        <f t="shared" si="1073"/>
        <v>4.8887591631465323E-6</v>
      </c>
    </row>
    <row r="538" spans="1:21" s="163" customFormat="1" ht="15.75" thickBot="1" x14ac:dyDescent="0.3">
      <c r="A538" s="167">
        <f t="shared" ref="A538:B538" si="1185">A537+1</f>
        <v>528</v>
      </c>
      <c r="B538" s="168">
        <f t="shared" si="1185"/>
        <v>528</v>
      </c>
      <c r="C538" s="92" t="str">
        <f t="shared" si="1153"/>
        <v>L11X24-352_000_18</v>
      </c>
      <c r="D538" s="169">
        <f t="shared" si="1150"/>
        <v>24</v>
      </c>
      <c r="E538" s="173">
        <f t="shared" si="1183"/>
        <v>3.3040000000000007</v>
      </c>
      <c r="F538" s="170">
        <f t="shared" si="1166"/>
        <v>13.766666666666669</v>
      </c>
      <c r="G538" s="170">
        <f t="shared" si="1167"/>
        <v>11.013333333333335</v>
      </c>
      <c r="H538" s="170">
        <f t="shared" si="1168"/>
        <v>6.8833333333333346</v>
      </c>
      <c r="I538" s="170">
        <f t="shared" si="1056"/>
        <v>8</v>
      </c>
      <c r="J538" s="171">
        <f t="shared" si="1144"/>
        <v>-8</v>
      </c>
      <c r="K538" s="87" t="s">
        <v>3793</v>
      </c>
      <c r="L538" s="170">
        <f t="shared" ref="L538:N538" si="1186">L537</f>
        <v>0.2</v>
      </c>
      <c r="M538" s="170">
        <f t="shared" si="1186"/>
        <v>150</v>
      </c>
      <c r="N538" s="170">
        <f t="shared" si="1186"/>
        <v>750</v>
      </c>
      <c r="P538" s="38">
        <f t="shared" si="1044"/>
        <v>23</v>
      </c>
      <c r="Q538" s="38">
        <f t="shared" si="1146"/>
        <v>24</v>
      </c>
      <c r="R538" s="39">
        <f t="shared" si="1046"/>
        <v>0.99938027417435915</v>
      </c>
      <c r="S538" s="39">
        <f t="shared" si="1047"/>
        <v>0.99967848848331109</v>
      </c>
      <c r="T538" s="39">
        <f t="shared" si="1050"/>
        <v>2.9821430895193846E-4</v>
      </c>
      <c r="U538" s="89">
        <f t="shared" si="1073"/>
        <v>4.8887591631465323E-6</v>
      </c>
    </row>
    <row r="539" spans="1:21" s="163" customFormat="1" ht="15.75" thickBot="1" x14ac:dyDescent="0.3">
      <c r="A539" s="167">
        <f t="shared" ref="A539:B539" si="1187">A538+1</f>
        <v>529</v>
      </c>
      <c r="B539" s="168">
        <f t="shared" si="1187"/>
        <v>529</v>
      </c>
      <c r="C539" s="92" t="str">
        <f t="shared" si="1153"/>
        <v>L11X24-352_000_19</v>
      </c>
      <c r="D539" s="169">
        <f t="shared" si="1150"/>
        <v>24</v>
      </c>
      <c r="E539" s="173">
        <f t="shared" si="1183"/>
        <v>3.3040000000000007</v>
      </c>
      <c r="F539" s="170">
        <f t="shared" si="1166"/>
        <v>13.766666666666669</v>
      </c>
      <c r="G539" s="170">
        <f t="shared" si="1167"/>
        <v>11.013333333333335</v>
      </c>
      <c r="H539" s="170">
        <f t="shared" si="1168"/>
        <v>6.8833333333333346</v>
      </c>
      <c r="I539" s="170">
        <f t="shared" si="1056"/>
        <v>8</v>
      </c>
      <c r="J539" s="171">
        <f t="shared" si="1144"/>
        <v>-8</v>
      </c>
      <c r="K539" s="87" t="s">
        <v>3794</v>
      </c>
      <c r="L539" s="170">
        <f t="shared" ref="L539:N539" si="1188">L538</f>
        <v>0.2</v>
      </c>
      <c r="M539" s="170">
        <f t="shared" si="1188"/>
        <v>150</v>
      </c>
      <c r="N539" s="170">
        <f t="shared" si="1188"/>
        <v>750</v>
      </c>
      <c r="P539" s="38">
        <f t="shared" ref="P539:P598" si="1189">D539-v_step/2</f>
        <v>23</v>
      </c>
      <c r="Q539" s="38">
        <f t="shared" si="1146"/>
        <v>24</v>
      </c>
      <c r="R539" s="39">
        <f t="shared" ref="R539:R598" si="1190">IF(wpd="Rayleigh",1-EXP(-PI()*((P539/2/v_ave)^2)),IF(wpd="Weibull",1-EXP(-((P539/weibull_A)^weibull_K))))</f>
        <v>0.99938027417435915</v>
      </c>
      <c r="S539" s="39">
        <f t="shared" ref="S539:S598" si="1191">IF(wpd="Rayleigh",1-EXP(-PI()*((Q539/2/v_ave)^2)),IF(wpd="Weibull",1-EXP(-((Q539/weibull_A)^weibull_K))))</f>
        <v>0.99967848848331109</v>
      </c>
      <c r="T539" s="39">
        <f t="shared" si="1050"/>
        <v>2.9821430895193846E-4</v>
      </c>
      <c r="U539" s="89">
        <f t="shared" si="1073"/>
        <v>4.8887591631465323E-6</v>
      </c>
    </row>
    <row r="540" spans="1:21" s="163" customFormat="1" ht="15.75" thickBot="1" x14ac:dyDescent="0.3">
      <c r="A540" s="167">
        <f t="shared" ref="A540:B540" si="1192">A539+1</f>
        <v>530</v>
      </c>
      <c r="B540" s="168">
        <f t="shared" si="1192"/>
        <v>530</v>
      </c>
      <c r="C540" s="92" t="str">
        <f t="shared" si="1153"/>
        <v>L11X24-352_000_20</v>
      </c>
      <c r="D540" s="169">
        <f t="shared" si="1150"/>
        <v>24</v>
      </c>
      <c r="E540" s="173">
        <f t="shared" si="1183"/>
        <v>3.3040000000000007</v>
      </c>
      <c r="F540" s="170">
        <f t="shared" si="1166"/>
        <v>13.766666666666669</v>
      </c>
      <c r="G540" s="170">
        <f t="shared" si="1167"/>
        <v>11.013333333333335</v>
      </c>
      <c r="H540" s="170">
        <f t="shared" si="1168"/>
        <v>6.8833333333333346</v>
      </c>
      <c r="I540" s="170">
        <f t="shared" si="1056"/>
        <v>8</v>
      </c>
      <c r="J540" s="171">
        <f t="shared" si="1144"/>
        <v>-8</v>
      </c>
      <c r="K540" s="87" t="s">
        <v>3795</v>
      </c>
      <c r="L540" s="170">
        <f t="shared" ref="L540:N540" si="1193">L539</f>
        <v>0.2</v>
      </c>
      <c r="M540" s="170">
        <f t="shared" si="1193"/>
        <v>150</v>
      </c>
      <c r="N540" s="170">
        <f t="shared" si="1193"/>
        <v>750</v>
      </c>
      <c r="P540" s="38">
        <f t="shared" si="1189"/>
        <v>23</v>
      </c>
      <c r="Q540" s="38">
        <f t="shared" si="1146"/>
        <v>24</v>
      </c>
      <c r="R540" s="39">
        <f t="shared" si="1190"/>
        <v>0.99938027417435915</v>
      </c>
      <c r="S540" s="39">
        <f t="shared" si="1191"/>
        <v>0.99967848848331109</v>
      </c>
      <c r="T540" s="39">
        <f t="shared" ref="T540:T599" si="1194">S540-R540</f>
        <v>2.9821430895193846E-4</v>
      </c>
      <c r="U540" s="89">
        <f t="shared" si="1073"/>
        <v>4.8887591631465323E-6</v>
      </c>
    </row>
    <row r="541" spans="1:21" s="163" customFormat="1" ht="15.75" thickBot="1" x14ac:dyDescent="0.3">
      <c r="A541" s="167">
        <f t="shared" ref="A541:B541" si="1195">A540+1</f>
        <v>531</v>
      </c>
      <c r="B541" s="168">
        <f t="shared" si="1195"/>
        <v>531</v>
      </c>
      <c r="C541" s="92" t="str">
        <f t="shared" si="1153"/>
        <v>L11X24-000_000_21</v>
      </c>
      <c r="D541" s="169">
        <f t="shared" si="1150"/>
        <v>24</v>
      </c>
      <c r="E541" s="173">
        <f t="shared" si="1183"/>
        <v>3.3040000000000007</v>
      </c>
      <c r="F541" s="170">
        <f t="shared" si="1166"/>
        <v>13.766666666666669</v>
      </c>
      <c r="G541" s="170">
        <f t="shared" si="1167"/>
        <v>11.013333333333335</v>
      </c>
      <c r="H541" s="170">
        <f t="shared" si="1168"/>
        <v>6.8833333333333346</v>
      </c>
      <c r="I541" s="170">
        <f t="shared" si="1056"/>
        <v>8</v>
      </c>
      <c r="J541" s="171">
        <f t="shared" ref="J541:J560" si="1196">yaw_null</f>
        <v>0</v>
      </c>
      <c r="K541" s="87" t="s">
        <v>3796</v>
      </c>
      <c r="L541" s="170">
        <f t="shared" ref="L541:N541" si="1197">L540</f>
        <v>0.2</v>
      </c>
      <c r="M541" s="170">
        <f t="shared" si="1197"/>
        <v>150</v>
      </c>
      <c r="N541" s="170">
        <f t="shared" si="1197"/>
        <v>750</v>
      </c>
      <c r="P541" s="38">
        <f t="shared" si="1189"/>
        <v>23</v>
      </c>
      <c r="Q541" s="38">
        <f t="shared" si="1146"/>
        <v>24</v>
      </c>
      <c r="R541" s="39">
        <f t="shared" si="1190"/>
        <v>0.99938027417435915</v>
      </c>
      <c r="S541" s="39">
        <f t="shared" si="1191"/>
        <v>0.99967848848331109</v>
      </c>
      <c r="T541" s="39">
        <f t="shared" si="1194"/>
        <v>2.9821430895193846E-4</v>
      </c>
      <c r="U541" s="89">
        <f t="shared" si="1073"/>
        <v>4.8887591631465323E-6</v>
      </c>
    </row>
    <row r="542" spans="1:21" s="163" customFormat="1" ht="15.75" thickBot="1" x14ac:dyDescent="0.3">
      <c r="A542" s="167">
        <f t="shared" ref="A542:B542" si="1198">A541+1</f>
        <v>532</v>
      </c>
      <c r="B542" s="168">
        <f t="shared" si="1198"/>
        <v>532</v>
      </c>
      <c r="C542" s="92" t="str">
        <f t="shared" si="1153"/>
        <v>L11X24-000_000_22</v>
      </c>
      <c r="D542" s="169">
        <f t="shared" si="1150"/>
        <v>24</v>
      </c>
      <c r="E542" s="173">
        <f t="shared" si="1183"/>
        <v>3.3040000000000007</v>
      </c>
      <c r="F542" s="170">
        <f t="shared" si="1166"/>
        <v>13.766666666666669</v>
      </c>
      <c r="G542" s="170">
        <f t="shared" si="1167"/>
        <v>11.013333333333335</v>
      </c>
      <c r="H542" s="170">
        <f t="shared" si="1168"/>
        <v>6.8833333333333346</v>
      </c>
      <c r="I542" s="170">
        <f t="shared" si="1056"/>
        <v>8</v>
      </c>
      <c r="J542" s="171">
        <f t="shared" si="1196"/>
        <v>0</v>
      </c>
      <c r="K542" s="87" t="s">
        <v>3797</v>
      </c>
      <c r="L542" s="170">
        <f t="shared" ref="L542:N542" si="1199">L541</f>
        <v>0.2</v>
      </c>
      <c r="M542" s="170">
        <f t="shared" si="1199"/>
        <v>150</v>
      </c>
      <c r="N542" s="170">
        <f t="shared" si="1199"/>
        <v>750</v>
      </c>
      <c r="P542" s="38">
        <f t="shared" si="1189"/>
        <v>23</v>
      </c>
      <c r="Q542" s="38">
        <f t="shared" si="1146"/>
        <v>24</v>
      </c>
      <c r="R542" s="39">
        <f t="shared" si="1190"/>
        <v>0.99938027417435915</v>
      </c>
      <c r="S542" s="39">
        <f t="shared" si="1191"/>
        <v>0.99967848848331109</v>
      </c>
      <c r="T542" s="39">
        <f t="shared" si="1194"/>
        <v>2.9821430895193846E-4</v>
      </c>
      <c r="U542" s="89">
        <f t="shared" si="1073"/>
        <v>4.8887591631465323E-6</v>
      </c>
    </row>
    <row r="543" spans="1:21" s="163" customFormat="1" ht="15.75" thickBot="1" x14ac:dyDescent="0.3">
      <c r="A543" s="167">
        <f t="shared" ref="A543:B543" si="1200">A542+1</f>
        <v>533</v>
      </c>
      <c r="B543" s="168">
        <f t="shared" si="1200"/>
        <v>533</v>
      </c>
      <c r="C543" s="92" t="str">
        <f t="shared" si="1153"/>
        <v>L11X24-000_000_23</v>
      </c>
      <c r="D543" s="169">
        <f t="shared" si="1150"/>
        <v>24</v>
      </c>
      <c r="E543" s="173">
        <f t="shared" si="1183"/>
        <v>3.3040000000000007</v>
      </c>
      <c r="F543" s="170">
        <f t="shared" si="1166"/>
        <v>13.766666666666669</v>
      </c>
      <c r="G543" s="170">
        <f t="shared" si="1167"/>
        <v>11.013333333333335</v>
      </c>
      <c r="H543" s="170">
        <f t="shared" si="1168"/>
        <v>6.8833333333333346</v>
      </c>
      <c r="I543" s="170">
        <f t="shared" ref="I543:I606" si="1201">I542</f>
        <v>8</v>
      </c>
      <c r="J543" s="171">
        <f t="shared" si="1196"/>
        <v>0</v>
      </c>
      <c r="K543" s="87" t="s">
        <v>3798</v>
      </c>
      <c r="L543" s="170">
        <f t="shared" ref="L543:N543" si="1202">L542</f>
        <v>0.2</v>
      </c>
      <c r="M543" s="170">
        <f t="shared" si="1202"/>
        <v>150</v>
      </c>
      <c r="N543" s="170">
        <f t="shared" si="1202"/>
        <v>750</v>
      </c>
      <c r="P543" s="38">
        <f t="shared" si="1189"/>
        <v>23</v>
      </c>
      <c r="Q543" s="38">
        <f t="shared" si="1146"/>
        <v>24</v>
      </c>
      <c r="R543" s="39">
        <f t="shared" si="1190"/>
        <v>0.99938027417435915</v>
      </c>
      <c r="S543" s="39">
        <f t="shared" si="1191"/>
        <v>0.99967848848331109</v>
      </c>
      <c r="T543" s="39">
        <f t="shared" si="1194"/>
        <v>2.9821430895193846E-4</v>
      </c>
      <c r="U543" s="89">
        <f t="shared" si="1073"/>
        <v>4.8887591631465323E-6</v>
      </c>
    </row>
    <row r="544" spans="1:21" s="163" customFormat="1" ht="15.75" thickBot="1" x14ac:dyDescent="0.3">
      <c r="A544" s="167">
        <f t="shared" ref="A544:B544" si="1203">A543+1</f>
        <v>534</v>
      </c>
      <c r="B544" s="168">
        <f t="shared" si="1203"/>
        <v>534</v>
      </c>
      <c r="C544" s="92" t="str">
        <f t="shared" si="1153"/>
        <v>L11X24-000_000_24</v>
      </c>
      <c r="D544" s="169">
        <f t="shared" si="1150"/>
        <v>24</v>
      </c>
      <c r="E544" s="173">
        <f t="shared" si="1183"/>
        <v>3.3040000000000007</v>
      </c>
      <c r="F544" s="170">
        <f t="shared" si="1166"/>
        <v>13.766666666666669</v>
      </c>
      <c r="G544" s="170">
        <f t="shared" si="1167"/>
        <v>11.013333333333335</v>
      </c>
      <c r="H544" s="170">
        <f t="shared" si="1168"/>
        <v>6.8833333333333346</v>
      </c>
      <c r="I544" s="170">
        <f t="shared" si="1201"/>
        <v>8</v>
      </c>
      <c r="J544" s="171">
        <f t="shared" si="1196"/>
        <v>0</v>
      </c>
      <c r="K544" s="87" t="s">
        <v>3799</v>
      </c>
      <c r="L544" s="170">
        <f t="shared" ref="L544:N544" si="1204">L543</f>
        <v>0.2</v>
      </c>
      <c r="M544" s="170">
        <f t="shared" si="1204"/>
        <v>150</v>
      </c>
      <c r="N544" s="170">
        <f t="shared" si="1204"/>
        <v>750</v>
      </c>
      <c r="P544" s="38">
        <f t="shared" si="1189"/>
        <v>23</v>
      </c>
      <c r="Q544" s="38">
        <f t="shared" si="1146"/>
        <v>24</v>
      </c>
      <c r="R544" s="39">
        <f t="shared" si="1190"/>
        <v>0.99938027417435915</v>
      </c>
      <c r="S544" s="39">
        <f t="shared" si="1191"/>
        <v>0.99967848848331109</v>
      </c>
      <c r="T544" s="39">
        <f t="shared" si="1194"/>
        <v>2.9821430895193846E-4</v>
      </c>
      <c r="U544" s="89">
        <f t="shared" si="1073"/>
        <v>4.8887591631465323E-6</v>
      </c>
    </row>
    <row r="545" spans="1:21" s="163" customFormat="1" ht="15.75" thickBot="1" x14ac:dyDescent="0.3">
      <c r="A545" s="167">
        <f t="shared" ref="A545:B545" si="1205">A544+1</f>
        <v>535</v>
      </c>
      <c r="B545" s="168">
        <f t="shared" si="1205"/>
        <v>535</v>
      </c>
      <c r="C545" s="92" t="str">
        <f t="shared" si="1153"/>
        <v>L11X24-000_000_25</v>
      </c>
      <c r="D545" s="169">
        <f t="shared" si="1150"/>
        <v>24</v>
      </c>
      <c r="E545" s="173">
        <f t="shared" si="1183"/>
        <v>3.3040000000000007</v>
      </c>
      <c r="F545" s="170">
        <f t="shared" si="1166"/>
        <v>13.766666666666669</v>
      </c>
      <c r="G545" s="170">
        <f t="shared" si="1167"/>
        <v>11.013333333333335</v>
      </c>
      <c r="H545" s="170">
        <f t="shared" si="1168"/>
        <v>6.8833333333333346</v>
      </c>
      <c r="I545" s="170">
        <f t="shared" si="1201"/>
        <v>8</v>
      </c>
      <c r="J545" s="171">
        <f t="shared" si="1196"/>
        <v>0</v>
      </c>
      <c r="K545" s="87" t="s">
        <v>3800</v>
      </c>
      <c r="L545" s="170">
        <f t="shared" ref="L545:N545" si="1206">L544</f>
        <v>0.2</v>
      </c>
      <c r="M545" s="170">
        <f t="shared" si="1206"/>
        <v>150</v>
      </c>
      <c r="N545" s="170">
        <f t="shared" si="1206"/>
        <v>750</v>
      </c>
      <c r="P545" s="38">
        <f t="shared" si="1189"/>
        <v>23</v>
      </c>
      <c r="Q545" s="38">
        <f t="shared" si="1146"/>
        <v>24</v>
      </c>
      <c r="R545" s="39">
        <f t="shared" si="1190"/>
        <v>0.99938027417435915</v>
      </c>
      <c r="S545" s="39">
        <f t="shared" si="1191"/>
        <v>0.99967848848331109</v>
      </c>
      <c r="T545" s="39">
        <f t="shared" si="1194"/>
        <v>2.9821430895193846E-4</v>
      </c>
      <c r="U545" s="89">
        <f t="shared" si="1073"/>
        <v>4.8887591631465323E-6</v>
      </c>
    </row>
    <row r="546" spans="1:21" s="163" customFormat="1" ht="15.75" thickBot="1" x14ac:dyDescent="0.3">
      <c r="A546" s="167">
        <f t="shared" ref="A546:B546" si="1207">A545+1</f>
        <v>536</v>
      </c>
      <c r="B546" s="168">
        <f t="shared" si="1207"/>
        <v>536</v>
      </c>
      <c r="C546" s="92" t="str">
        <f t="shared" si="1153"/>
        <v>L11X24-000_000_26</v>
      </c>
      <c r="D546" s="169">
        <f t="shared" si="1150"/>
        <v>24</v>
      </c>
      <c r="E546" s="173">
        <f t="shared" si="1183"/>
        <v>3.3040000000000007</v>
      </c>
      <c r="F546" s="170">
        <f t="shared" si="1166"/>
        <v>13.766666666666669</v>
      </c>
      <c r="G546" s="170">
        <f t="shared" si="1167"/>
        <v>11.013333333333335</v>
      </c>
      <c r="H546" s="170">
        <f t="shared" si="1168"/>
        <v>6.8833333333333346</v>
      </c>
      <c r="I546" s="170">
        <f t="shared" si="1201"/>
        <v>8</v>
      </c>
      <c r="J546" s="171">
        <f t="shared" si="1196"/>
        <v>0</v>
      </c>
      <c r="K546" s="87" t="s">
        <v>3801</v>
      </c>
      <c r="L546" s="170">
        <f t="shared" ref="L546:N546" si="1208">L545</f>
        <v>0.2</v>
      </c>
      <c r="M546" s="170">
        <f t="shared" si="1208"/>
        <v>150</v>
      </c>
      <c r="N546" s="170">
        <f t="shared" si="1208"/>
        <v>750</v>
      </c>
      <c r="P546" s="38">
        <f t="shared" si="1189"/>
        <v>23</v>
      </c>
      <c r="Q546" s="38">
        <f t="shared" si="1146"/>
        <v>24</v>
      </c>
      <c r="R546" s="39">
        <f t="shared" si="1190"/>
        <v>0.99938027417435915</v>
      </c>
      <c r="S546" s="39">
        <f t="shared" si="1191"/>
        <v>0.99967848848331109</v>
      </c>
      <c r="T546" s="39">
        <f t="shared" si="1194"/>
        <v>2.9821430895193846E-4</v>
      </c>
      <c r="U546" s="89">
        <f t="shared" si="1073"/>
        <v>4.8887591631465323E-6</v>
      </c>
    </row>
    <row r="547" spans="1:21" s="163" customFormat="1" ht="15.75" thickBot="1" x14ac:dyDescent="0.3">
      <c r="A547" s="167">
        <f t="shared" ref="A547:B547" si="1209">A546+1</f>
        <v>537</v>
      </c>
      <c r="B547" s="168">
        <f t="shared" si="1209"/>
        <v>537</v>
      </c>
      <c r="C547" s="92" t="str">
        <f t="shared" si="1153"/>
        <v>L11X24-000_000_27</v>
      </c>
      <c r="D547" s="169">
        <f t="shared" si="1150"/>
        <v>24</v>
      </c>
      <c r="E547" s="173">
        <f t="shared" si="1183"/>
        <v>3.3040000000000007</v>
      </c>
      <c r="F547" s="170">
        <f t="shared" si="1166"/>
        <v>13.766666666666669</v>
      </c>
      <c r="G547" s="170">
        <f t="shared" si="1167"/>
        <v>11.013333333333335</v>
      </c>
      <c r="H547" s="170">
        <f t="shared" si="1168"/>
        <v>6.8833333333333346</v>
      </c>
      <c r="I547" s="170">
        <f t="shared" si="1201"/>
        <v>8</v>
      </c>
      <c r="J547" s="171">
        <f t="shared" si="1196"/>
        <v>0</v>
      </c>
      <c r="K547" s="87" t="s">
        <v>3802</v>
      </c>
      <c r="L547" s="170">
        <f t="shared" ref="L547:N547" si="1210">L546</f>
        <v>0.2</v>
      </c>
      <c r="M547" s="170">
        <f t="shared" si="1210"/>
        <v>150</v>
      </c>
      <c r="N547" s="170">
        <f t="shared" si="1210"/>
        <v>750</v>
      </c>
      <c r="P547" s="38">
        <f t="shared" si="1189"/>
        <v>23</v>
      </c>
      <c r="Q547" s="38">
        <f t="shared" si="1146"/>
        <v>24</v>
      </c>
      <c r="R547" s="39">
        <f t="shared" si="1190"/>
        <v>0.99938027417435915</v>
      </c>
      <c r="S547" s="39">
        <f t="shared" si="1191"/>
        <v>0.99967848848331109</v>
      </c>
      <c r="T547" s="39">
        <f t="shared" si="1194"/>
        <v>2.9821430895193846E-4</v>
      </c>
      <c r="U547" s="89">
        <f t="shared" si="1073"/>
        <v>4.8887591631465323E-6</v>
      </c>
    </row>
    <row r="548" spans="1:21" s="163" customFormat="1" ht="15.75" thickBot="1" x14ac:dyDescent="0.3">
      <c r="A548" s="167">
        <f t="shared" ref="A548:B548" si="1211">A547+1</f>
        <v>538</v>
      </c>
      <c r="B548" s="168">
        <f t="shared" si="1211"/>
        <v>538</v>
      </c>
      <c r="C548" s="92" t="str">
        <f t="shared" si="1153"/>
        <v>L11X24-000_000_28</v>
      </c>
      <c r="D548" s="169">
        <f t="shared" si="1150"/>
        <v>24</v>
      </c>
      <c r="E548" s="173">
        <f t="shared" si="1183"/>
        <v>3.3040000000000007</v>
      </c>
      <c r="F548" s="170">
        <f t="shared" si="1166"/>
        <v>13.766666666666669</v>
      </c>
      <c r="G548" s="170">
        <f t="shared" si="1167"/>
        <v>11.013333333333335</v>
      </c>
      <c r="H548" s="170">
        <f t="shared" si="1168"/>
        <v>6.8833333333333346</v>
      </c>
      <c r="I548" s="170">
        <f t="shared" si="1201"/>
        <v>8</v>
      </c>
      <c r="J548" s="171">
        <f t="shared" si="1196"/>
        <v>0</v>
      </c>
      <c r="K548" s="87" t="s">
        <v>3803</v>
      </c>
      <c r="L548" s="170">
        <f t="shared" ref="L548:N548" si="1212">L547</f>
        <v>0.2</v>
      </c>
      <c r="M548" s="170">
        <f t="shared" si="1212"/>
        <v>150</v>
      </c>
      <c r="N548" s="170">
        <f t="shared" si="1212"/>
        <v>750</v>
      </c>
      <c r="P548" s="38">
        <f t="shared" si="1189"/>
        <v>23</v>
      </c>
      <c r="Q548" s="38">
        <f t="shared" si="1146"/>
        <v>24</v>
      </c>
      <c r="R548" s="39">
        <f t="shared" si="1190"/>
        <v>0.99938027417435915</v>
      </c>
      <c r="S548" s="39">
        <f t="shared" si="1191"/>
        <v>0.99967848848331109</v>
      </c>
      <c r="T548" s="39">
        <f t="shared" si="1194"/>
        <v>2.9821430895193846E-4</v>
      </c>
      <c r="U548" s="89">
        <f t="shared" si="1073"/>
        <v>4.8887591631465323E-6</v>
      </c>
    </row>
    <row r="549" spans="1:21" s="163" customFormat="1" ht="15.75" thickBot="1" x14ac:dyDescent="0.3">
      <c r="A549" s="167">
        <f t="shared" ref="A549:B549" si="1213">A548+1</f>
        <v>539</v>
      </c>
      <c r="B549" s="168">
        <f t="shared" si="1213"/>
        <v>539</v>
      </c>
      <c r="C549" s="92" t="str">
        <f t="shared" si="1153"/>
        <v>L11X24-000_000_29</v>
      </c>
      <c r="D549" s="169">
        <f t="shared" si="1150"/>
        <v>24</v>
      </c>
      <c r="E549" s="173">
        <f t="shared" si="1183"/>
        <v>3.3040000000000007</v>
      </c>
      <c r="F549" s="170">
        <f t="shared" si="1166"/>
        <v>13.766666666666669</v>
      </c>
      <c r="G549" s="170">
        <f t="shared" si="1167"/>
        <v>11.013333333333335</v>
      </c>
      <c r="H549" s="170">
        <f t="shared" si="1168"/>
        <v>6.8833333333333346</v>
      </c>
      <c r="I549" s="170">
        <f t="shared" si="1201"/>
        <v>8</v>
      </c>
      <c r="J549" s="171">
        <f t="shared" si="1196"/>
        <v>0</v>
      </c>
      <c r="K549" s="87" t="s">
        <v>3804</v>
      </c>
      <c r="L549" s="170">
        <f t="shared" ref="L549:N549" si="1214">L548</f>
        <v>0.2</v>
      </c>
      <c r="M549" s="170">
        <f t="shared" si="1214"/>
        <v>150</v>
      </c>
      <c r="N549" s="170">
        <f t="shared" si="1214"/>
        <v>750</v>
      </c>
      <c r="P549" s="38">
        <f t="shared" si="1189"/>
        <v>23</v>
      </c>
      <c r="Q549" s="38">
        <f t="shared" si="1146"/>
        <v>24</v>
      </c>
      <c r="R549" s="39">
        <f t="shared" si="1190"/>
        <v>0.99938027417435915</v>
      </c>
      <c r="S549" s="39">
        <f t="shared" si="1191"/>
        <v>0.99967848848331109</v>
      </c>
      <c r="T549" s="39">
        <f t="shared" si="1194"/>
        <v>2.9821430895193846E-4</v>
      </c>
      <c r="U549" s="89">
        <f t="shared" si="1073"/>
        <v>4.8887591631465323E-6</v>
      </c>
    </row>
    <row r="550" spans="1:21" s="163" customFormat="1" ht="15.75" thickBot="1" x14ac:dyDescent="0.3">
      <c r="A550" s="167">
        <f t="shared" ref="A550:B550" si="1215">A549+1</f>
        <v>540</v>
      </c>
      <c r="B550" s="168">
        <f t="shared" si="1215"/>
        <v>540</v>
      </c>
      <c r="C550" s="92" t="str">
        <f t="shared" si="1153"/>
        <v>L11X24-000_000_30</v>
      </c>
      <c r="D550" s="169">
        <f t="shared" si="1150"/>
        <v>24</v>
      </c>
      <c r="E550" s="173">
        <f t="shared" si="1183"/>
        <v>3.3040000000000007</v>
      </c>
      <c r="F550" s="170">
        <f t="shared" si="1166"/>
        <v>13.766666666666669</v>
      </c>
      <c r="G550" s="170">
        <f t="shared" si="1167"/>
        <v>11.013333333333335</v>
      </c>
      <c r="H550" s="170">
        <f t="shared" si="1168"/>
        <v>6.8833333333333346</v>
      </c>
      <c r="I550" s="170">
        <f t="shared" si="1201"/>
        <v>8</v>
      </c>
      <c r="J550" s="171">
        <f t="shared" si="1196"/>
        <v>0</v>
      </c>
      <c r="K550" s="87" t="s">
        <v>3805</v>
      </c>
      <c r="L550" s="170">
        <f t="shared" ref="L550:N550" si="1216">L549</f>
        <v>0.2</v>
      </c>
      <c r="M550" s="170">
        <f t="shared" si="1216"/>
        <v>150</v>
      </c>
      <c r="N550" s="170">
        <f t="shared" si="1216"/>
        <v>750</v>
      </c>
      <c r="P550" s="38">
        <f t="shared" si="1189"/>
        <v>23</v>
      </c>
      <c r="Q550" s="38">
        <f t="shared" si="1146"/>
        <v>24</v>
      </c>
      <c r="R550" s="39">
        <f t="shared" si="1190"/>
        <v>0.99938027417435915</v>
      </c>
      <c r="S550" s="39">
        <f t="shared" si="1191"/>
        <v>0.99967848848331109</v>
      </c>
      <c r="T550" s="39">
        <f t="shared" si="1194"/>
        <v>2.9821430895193846E-4</v>
      </c>
      <c r="U550" s="89">
        <f t="shared" ref="U550:U609" si="1217">T550/61</f>
        <v>4.8887591631465323E-6</v>
      </c>
    </row>
    <row r="551" spans="1:21" s="163" customFormat="1" ht="15.75" thickBot="1" x14ac:dyDescent="0.3">
      <c r="A551" s="167">
        <f t="shared" ref="A551:B551" si="1218">A550+1</f>
        <v>541</v>
      </c>
      <c r="B551" s="168">
        <f t="shared" si="1218"/>
        <v>541</v>
      </c>
      <c r="C551" s="92" t="str">
        <f t="shared" si="1153"/>
        <v>L11X24-000_000_31</v>
      </c>
      <c r="D551" s="169">
        <f t="shared" si="1150"/>
        <v>24</v>
      </c>
      <c r="E551" s="173">
        <f t="shared" si="1183"/>
        <v>3.3040000000000007</v>
      </c>
      <c r="F551" s="170">
        <f t="shared" si="1166"/>
        <v>13.766666666666669</v>
      </c>
      <c r="G551" s="170">
        <f t="shared" si="1167"/>
        <v>11.013333333333335</v>
      </c>
      <c r="H551" s="170">
        <f t="shared" si="1168"/>
        <v>6.8833333333333346</v>
      </c>
      <c r="I551" s="170">
        <f t="shared" si="1201"/>
        <v>8</v>
      </c>
      <c r="J551" s="171">
        <f t="shared" si="1196"/>
        <v>0</v>
      </c>
      <c r="K551" s="87" t="s">
        <v>3806</v>
      </c>
      <c r="L551" s="170">
        <f t="shared" ref="L551:N551" si="1219">L550</f>
        <v>0.2</v>
      </c>
      <c r="M551" s="170">
        <f t="shared" si="1219"/>
        <v>150</v>
      </c>
      <c r="N551" s="170">
        <f t="shared" si="1219"/>
        <v>750</v>
      </c>
      <c r="P551" s="38">
        <f t="shared" si="1189"/>
        <v>23</v>
      </c>
      <c r="Q551" s="38">
        <f t="shared" si="1146"/>
        <v>24</v>
      </c>
      <c r="R551" s="39">
        <f t="shared" si="1190"/>
        <v>0.99938027417435915</v>
      </c>
      <c r="S551" s="39">
        <f t="shared" si="1191"/>
        <v>0.99967848848331109</v>
      </c>
      <c r="T551" s="39">
        <f t="shared" si="1194"/>
        <v>2.9821430895193846E-4</v>
      </c>
      <c r="U551" s="89">
        <f t="shared" si="1217"/>
        <v>4.8887591631465323E-6</v>
      </c>
    </row>
    <row r="552" spans="1:21" s="163" customFormat="1" ht="15.75" thickBot="1" x14ac:dyDescent="0.3">
      <c r="A552" s="167">
        <f t="shared" ref="A552:B552" si="1220">A551+1</f>
        <v>542</v>
      </c>
      <c r="B552" s="168">
        <f t="shared" si="1220"/>
        <v>542</v>
      </c>
      <c r="C552" s="92" t="str">
        <f t="shared" si="1153"/>
        <v>L11X24-000_000_32</v>
      </c>
      <c r="D552" s="169">
        <f t="shared" si="1150"/>
        <v>24</v>
      </c>
      <c r="E552" s="173">
        <f t="shared" si="1183"/>
        <v>3.3040000000000007</v>
      </c>
      <c r="F552" s="170">
        <f t="shared" si="1166"/>
        <v>13.766666666666669</v>
      </c>
      <c r="G552" s="170">
        <f t="shared" si="1167"/>
        <v>11.013333333333335</v>
      </c>
      <c r="H552" s="170">
        <f t="shared" si="1168"/>
        <v>6.8833333333333346</v>
      </c>
      <c r="I552" s="170">
        <f t="shared" si="1201"/>
        <v>8</v>
      </c>
      <c r="J552" s="171">
        <f t="shared" si="1196"/>
        <v>0</v>
      </c>
      <c r="K552" s="87" t="s">
        <v>3807</v>
      </c>
      <c r="L552" s="170">
        <f t="shared" ref="L552:N552" si="1221">L551</f>
        <v>0.2</v>
      </c>
      <c r="M552" s="170">
        <f t="shared" si="1221"/>
        <v>150</v>
      </c>
      <c r="N552" s="170">
        <f t="shared" si="1221"/>
        <v>750</v>
      </c>
      <c r="P552" s="38">
        <f t="shared" si="1189"/>
        <v>23</v>
      </c>
      <c r="Q552" s="38">
        <f t="shared" si="1146"/>
        <v>24</v>
      </c>
      <c r="R552" s="39">
        <f t="shared" si="1190"/>
        <v>0.99938027417435915</v>
      </c>
      <c r="S552" s="39">
        <f t="shared" si="1191"/>
        <v>0.99967848848331109</v>
      </c>
      <c r="T552" s="39">
        <f t="shared" si="1194"/>
        <v>2.9821430895193846E-4</v>
      </c>
      <c r="U552" s="89">
        <f t="shared" si="1217"/>
        <v>4.8887591631465323E-6</v>
      </c>
    </row>
    <row r="553" spans="1:21" s="163" customFormat="1" ht="15.75" thickBot="1" x14ac:dyDescent="0.3">
      <c r="A553" s="167">
        <f t="shared" ref="A553:B553" si="1222">A552+1</f>
        <v>543</v>
      </c>
      <c r="B553" s="168">
        <f t="shared" si="1222"/>
        <v>543</v>
      </c>
      <c r="C553" s="92" t="str">
        <f t="shared" si="1153"/>
        <v>L11X24-000_000_33</v>
      </c>
      <c r="D553" s="169">
        <f t="shared" si="1150"/>
        <v>24</v>
      </c>
      <c r="E553" s="173">
        <f t="shared" si="1183"/>
        <v>3.3040000000000007</v>
      </c>
      <c r="F553" s="170">
        <f t="shared" si="1166"/>
        <v>13.766666666666669</v>
      </c>
      <c r="G553" s="170">
        <f t="shared" si="1167"/>
        <v>11.013333333333335</v>
      </c>
      <c r="H553" s="170">
        <f t="shared" si="1168"/>
        <v>6.8833333333333346</v>
      </c>
      <c r="I553" s="170">
        <f t="shared" si="1201"/>
        <v>8</v>
      </c>
      <c r="J553" s="171">
        <f t="shared" si="1196"/>
        <v>0</v>
      </c>
      <c r="K553" s="87" t="s">
        <v>3808</v>
      </c>
      <c r="L553" s="170">
        <f t="shared" ref="L553:N553" si="1223">L552</f>
        <v>0.2</v>
      </c>
      <c r="M553" s="170">
        <f t="shared" si="1223"/>
        <v>150</v>
      </c>
      <c r="N553" s="170">
        <f t="shared" si="1223"/>
        <v>750</v>
      </c>
      <c r="P553" s="38">
        <f t="shared" si="1189"/>
        <v>23</v>
      </c>
      <c r="Q553" s="38">
        <f t="shared" ref="Q553:Q584" si="1224">P553+v_step-1</f>
        <v>24</v>
      </c>
      <c r="R553" s="39">
        <f t="shared" si="1190"/>
        <v>0.99938027417435915</v>
      </c>
      <c r="S553" s="39">
        <f t="shared" si="1191"/>
        <v>0.99967848848331109</v>
      </c>
      <c r="T553" s="39">
        <f t="shared" si="1194"/>
        <v>2.9821430895193846E-4</v>
      </c>
      <c r="U553" s="89">
        <f t="shared" si="1217"/>
        <v>4.8887591631465323E-6</v>
      </c>
    </row>
    <row r="554" spans="1:21" s="163" customFormat="1" ht="15.75" thickBot="1" x14ac:dyDescent="0.3">
      <c r="A554" s="167">
        <f t="shared" ref="A554:B554" si="1225">A553+1</f>
        <v>544</v>
      </c>
      <c r="B554" s="168">
        <f t="shared" si="1225"/>
        <v>544</v>
      </c>
      <c r="C554" s="92" t="str">
        <f t="shared" si="1153"/>
        <v>L11X24-000_000_34</v>
      </c>
      <c r="D554" s="169">
        <f t="shared" si="1150"/>
        <v>24</v>
      </c>
      <c r="E554" s="173">
        <f t="shared" si="1183"/>
        <v>3.3040000000000007</v>
      </c>
      <c r="F554" s="170">
        <f t="shared" si="1166"/>
        <v>13.766666666666669</v>
      </c>
      <c r="G554" s="170">
        <f t="shared" si="1167"/>
        <v>11.013333333333335</v>
      </c>
      <c r="H554" s="170">
        <f t="shared" si="1168"/>
        <v>6.8833333333333346</v>
      </c>
      <c r="I554" s="170">
        <f t="shared" si="1201"/>
        <v>8</v>
      </c>
      <c r="J554" s="171">
        <f t="shared" si="1196"/>
        <v>0</v>
      </c>
      <c r="K554" s="87" t="s">
        <v>3809</v>
      </c>
      <c r="L554" s="170">
        <f t="shared" ref="L554:N554" si="1226">L553</f>
        <v>0.2</v>
      </c>
      <c r="M554" s="170">
        <f t="shared" si="1226"/>
        <v>150</v>
      </c>
      <c r="N554" s="170">
        <f t="shared" si="1226"/>
        <v>750</v>
      </c>
      <c r="P554" s="38">
        <f t="shared" si="1189"/>
        <v>23</v>
      </c>
      <c r="Q554" s="38">
        <f t="shared" si="1224"/>
        <v>24</v>
      </c>
      <c r="R554" s="39">
        <f t="shared" si="1190"/>
        <v>0.99938027417435915</v>
      </c>
      <c r="S554" s="39">
        <f t="shared" si="1191"/>
        <v>0.99967848848331109</v>
      </c>
      <c r="T554" s="39">
        <f t="shared" si="1194"/>
        <v>2.9821430895193846E-4</v>
      </c>
      <c r="U554" s="89">
        <f t="shared" si="1217"/>
        <v>4.8887591631465323E-6</v>
      </c>
    </row>
    <row r="555" spans="1:21" s="163" customFormat="1" ht="15.75" thickBot="1" x14ac:dyDescent="0.3">
      <c r="A555" s="167">
        <f t="shared" ref="A555:B555" si="1227">A554+1</f>
        <v>545</v>
      </c>
      <c r="B555" s="168">
        <f t="shared" si="1227"/>
        <v>545</v>
      </c>
      <c r="C555" s="92" t="str">
        <f t="shared" si="1153"/>
        <v>L11X24-000_000_35</v>
      </c>
      <c r="D555" s="169">
        <f t="shared" si="1150"/>
        <v>24</v>
      </c>
      <c r="E555" s="173">
        <f t="shared" si="1183"/>
        <v>3.3040000000000007</v>
      </c>
      <c r="F555" s="170">
        <f t="shared" si="1166"/>
        <v>13.766666666666669</v>
      </c>
      <c r="G555" s="170">
        <f t="shared" si="1167"/>
        <v>11.013333333333335</v>
      </c>
      <c r="H555" s="170">
        <f t="shared" si="1168"/>
        <v>6.8833333333333346</v>
      </c>
      <c r="I555" s="170">
        <f t="shared" si="1201"/>
        <v>8</v>
      </c>
      <c r="J555" s="171">
        <f t="shared" si="1196"/>
        <v>0</v>
      </c>
      <c r="K555" s="87" t="s">
        <v>3810</v>
      </c>
      <c r="L555" s="170">
        <f t="shared" ref="L555:N555" si="1228">L554</f>
        <v>0.2</v>
      </c>
      <c r="M555" s="170">
        <f t="shared" si="1228"/>
        <v>150</v>
      </c>
      <c r="N555" s="170">
        <f t="shared" si="1228"/>
        <v>750</v>
      </c>
      <c r="P555" s="38">
        <f t="shared" si="1189"/>
        <v>23</v>
      </c>
      <c r="Q555" s="38">
        <f t="shared" si="1224"/>
        <v>24</v>
      </c>
      <c r="R555" s="39">
        <f t="shared" si="1190"/>
        <v>0.99938027417435915</v>
      </c>
      <c r="S555" s="39">
        <f t="shared" si="1191"/>
        <v>0.99967848848331109</v>
      </c>
      <c r="T555" s="39">
        <f t="shared" si="1194"/>
        <v>2.9821430895193846E-4</v>
      </c>
      <c r="U555" s="89">
        <f t="shared" si="1217"/>
        <v>4.8887591631465323E-6</v>
      </c>
    </row>
    <row r="556" spans="1:21" s="163" customFormat="1" ht="15.75" thickBot="1" x14ac:dyDescent="0.3">
      <c r="A556" s="167">
        <f t="shared" ref="A556:B556" si="1229">A555+1</f>
        <v>546</v>
      </c>
      <c r="B556" s="168">
        <f t="shared" si="1229"/>
        <v>546</v>
      </c>
      <c r="C556" s="92" t="str">
        <f t="shared" si="1153"/>
        <v>L11X24-000_000_36</v>
      </c>
      <c r="D556" s="169">
        <f t="shared" si="1150"/>
        <v>24</v>
      </c>
      <c r="E556" s="173">
        <f t="shared" si="1183"/>
        <v>3.3040000000000007</v>
      </c>
      <c r="F556" s="170">
        <f t="shared" si="1166"/>
        <v>13.766666666666669</v>
      </c>
      <c r="G556" s="170">
        <f t="shared" si="1167"/>
        <v>11.013333333333335</v>
      </c>
      <c r="H556" s="170">
        <f t="shared" si="1168"/>
        <v>6.8833333333333346</v>
      </c>
      <c r="I556" s="170">
        <f t="shared" si="1201"/>
        <v>8</v>
      </c>
      <c r="J556" s="171">
        <f t="shared" si="1196"/>
        <v>0</v>
      </c>
      <c r="K556" s="87" t="s">
        <v>3811</v>
      </c>
      <c r="L556" s="170">
        <f t="shared" ref="L556:N556" si="1230">L555</f>
        <v>0.2</v>
      </c>
      <c r="M556" s="170">
        <f t="shared" si="1230"/>
        <v>150</v>
      </c>
      <c r="N556" s="170">
        <f t="shared" si="1230"/>
        <v>750</v>
      </c>
      <c r="P556" s="38">
        <f t="shared" si="1189"/>
        <v>23</v>
      </c>
      <c r="Q556" s="38">
        <f t="shared" si="1224"/>
        <v>24</v>
      </c>
      <c r="R556" s="39">
        <f t="shared" si="1190"/>
        <v>0.99938027417435915</v>
      </c>
      <c r="S556" s="39">
        <f t="shared" si="1191"/>
        <v>0.99967848848331109</v>
      </c>
      <c r="T556" s="39">
        <f t="shared" si="1194"/>
        <v>2.9821430895193846E-4</v>
      </c>
      <c r="U556" s="89">
        <f t="shared" si="1217"/>
        <v>4.8887591631465323E-6</v>
      </c>
    </row>
    <row r="557" spans="1:21" s="163" customFormat="1" ht="15.75" thickBot="1" x14ac:dyDescent="0.3">
      <c r="A557" s="167">
        <f t="shared" ref="A557:B557" si="1231">A556+1</f>
        <v>547</v>
      </c>
      <c r="B557" s="168">
        <f t="shared" si="1231"/>
        <v>547</v>
      </c>
      <c r="C557" s="92" t="str">
        <f t="shared" si="1153"/>
        <v>L11X24-000_000_37</v>
      </c>
      <c r="D557" s="169">
        <f t="shared" si="1150"/>
        <v>24</v>
      </c>
      <c r="E557" s="173">
        <f t="shared" si="1183"/>
        <v>3.3040000000000007</v>
      </c>
      <c r="F557" s="170">
        <f t="shared" si="1166"/>
        <v>13.766666666666669</v>
      </c>
      <c r="G557" s="170">
        <f t="shared" si="1167"/>
        <v>11.013333333333335</v>
      </c>
      <c r="H557" s="170">
        <f t="shared" si="1168"/>
        <v>6.8833333333333346</v>
      </c>
      <c r="I557" s="170">
        <f t="shared" si="1201"/>
        <v>8</v>
      </c>
      <c r="J557" s="171">
        <f t="shared" si="1196"/>
        <v>0</v>
      </c>
      <c r="K557" s="87" t="s">
        <v>3812</v>
      </c>
      <c r="L557" s="170">
        <f t="shared" ref="L557:N557" si="1232">L556</f>
        <v>0.2</v>
      </c>
      <c r="M557" s="170">
        <f t="shared" si="1232"/>
        <v>150</v>
      </c>
      <c r="N557" s="170">
        <f t="shared" si="1232"/>
        <v>750</v>
      </c>
      <c r="P557" s="38">
        <f t="shared" si="1189"/>
        <v>23</v>
      </c>
      <c r="Q557" s="38">
        <f t="shared" si="1224"/>
        <v>24</v>
      </c>
      <c r="R557" s="39">
        <f t="shared" si="1190"/>
        <v>0.99938027417435915</v>
      </c>
      <c r="S557" s="39">
        <f t="shared" si="1191"/>
        <v>0.99967848848331109</v>
      </c>
      <c r="T557" s="39">
        <f t="shared" si="1194"/>
        <v>2.9821430895193846E-4</v>
      </c>
      <c r="U557" s="89">
        <f t="shared" si="1217"/>
        <v>4.8887591631465323E-6</v>
      </c>
    </row>
    <row r="558" spans="1:21" s="163" customFormat="1" ht="15.75" thickBot="1" x14ac:dyDescent="0.3">
      <c r="A558" s="167">
        <f t="shared" ref="A558:B558" si="1233">A557+1</f>
        <v>548</v>
      </c>
      <c r="B558" s="168">
        <f t="shared" si="1233"/>
        <v>548</v>
      </c>
      <c r="C558" s="92" t="str">
        <f t="shared" si="1153"/>
        <v>L11X24-000_000_38</v>
      </c>
      <c r="D558" s="169">
        <f t="shared" si="1150"/>
        <v>24</v>
      </c>
      <c r="E558" s="173">
        <f t="shared" si="1183"/>
        <v>3.3040000000000007</v>
      </c>
      <c r="F558" s="170">
        <f t="shared" si="1166"/>
        <v>13.766666666666669</v>
      </c>
      <c r="G558" s="170">
        <f t="shared" si="1167"/>
        <v>11.013333333333335</v>
      </c>
      <c r="H558" s="170">
        <f t="shared" si="1168"/>
        <v>6.8833333333333346</v>
      </c>
      <c r="I558" s="170">
        <f t="shared" si="1201"/>
        <v>8</v>
      </c>
      <c r="J558" s="171">
        <f t="shared" si="1196"/>
        <v>0</v>
      </c>
      <c r="K558" s="87" t="s">
        <v>3813</v>
      </c>
      <c r="L558" s="170">
        <f t="shared" ref="L558:N558" si="1234">L557</f>
        <v>0.2</v>
      </c>
      <c r="M558" s="170">
        <f t="shared" si="1234"/>
        <v>150</v>
      </c>
      <c r="N558" s="170">
        <f t="shared" si="1234"/>
        <v>750</v>
      </c>
      <c r="P558" s="38">
        <f t="shared" si="1189"/>
        <v>23</v>
      </c>
      <c r="Q558" s="38">
        <f t="shared" si="1224"/>
        <v>24</v>
      </c>
      <c r="R558" s="39">
        <f t="shared" si="1190"/>
        <v>0.99938027417435915</v>
      </c>
      <c r="S558" s="39">
        <f t="shared" si="1191"/>
        <v>0.99967848848331109</v>
      </c>
      <c r="T558" s="39">
        <f t="shared" si="1194"/>
        <v>2.9821430895193846E-4</v>
      </c>
      <c r="U558" s="89">
        <f t="shared" si="1217"/>
        <v>4.8887591631465323E-6</v>
      </c>
    </row>
    <row r="559" spans="1:21" s="163" customFormat="1" ht="15.75" thickBot="1" x14ac:dyDescent="0.3">
      <c r="A559" s="167">
        <f t="shared" ref="A559:B559" si="1235">A558+1</f>
        <v>549</v>
      </c>
      <c r="B559" s="168">
        <f t="shared" si="1235"/>
        <v>549</v>
      </c>
      <c r="C559" s="92" t="str">
        <f t="shared" si="1153"/>
        <v>L11X24-000_000_39</v>
      </c>
      <c r="D559" s="169">
        <f t="shared" si="1150"/>
        <v>24</v>
      </c>
      <c r="E559" s="173">
        <f t="shared" si="1183"/>
        <v>3.3040000000000007</v>
      </c>
      <c r="F559" s="170">
        <f t="shared" si="1166"/>
        <v>13.766666666666669</v>
      </c>
      <c r="G559" s="170">
        <f t="shared" si="1167"/>
        <v>11.013333333333335</v>
      </c>
      <c r="H559" s="170">
        <f t="shared" si="1168"/>
        <v>6.8833333333333346</v>
      </c>
      <c r="I559" s="170">
        <f t="shared" si="1201"/>
        <v>8</v>
      </c>
      <c r="J559" s="171">
        <f t="shared" si="1196"/>
        <v>0</v>
      </c>
      <c r="K559" s="87" t="s">
        <v>3814</v>
      </c>
      <c r="L559" s="170">
        <f t="shared" ref="L559:N559" si="1236">L558</f>
        <v>0.2</v>
      </c>
      <c r="M559" s="170">
        <f t="shared" si="1236"/>
        <v>150</v>
      </c>
      <c r="N559" s="170">
        <f t="shared" si="1236"/>
        <v>750</v>
      </c>
      <c r="P559" s="38">
        <f t="shared" si="1189"/>
        <v>23</v>
      </c>
      <c r="Q559" s="38">
        <f t="shared" si="1224"/>
        <v>24</v>
      </c>
      <c r="R559" s="39">
        <f t="shared" si="1190"/>
        <v>0.99938027417435915</v>
      </c>
      <c r="S559" s="39">
        <f t="shared" si="1191"/>
        <v>0.99967848848331109</v>
      </c>
      <c r="T559" s="39">
        <f t="shared" si="1194"/>
        <v>2.9821430895193846E-4</v>
      </c>
      <c r="U559" s="89">
        <f t="shared" si="1217"/>
        <v>4.8887591631465323E-6</v>
      </c>
    </row>
    <row r="560" spans="1:21" s="163" customFormat="1" ht="15.75" thickBot="1" x14ac:dyDescent="0.3">
      <c r="A560" s="167">
        <f t="shared" ref="A560:B560" si="1237">A559+1</f>
        <v>550</v>
      </c>
      <c r="B560" s="168">
        <f t="shared" si="1237"/>
        <v>550</v>
      </c>
      <c r="C560" s="92" t="str">
        <f t="shared" si="1153"/>
        <v>L11X24-000_000_40</v>
      </c>
      <c r="D560" s="169">
        <f t="shared" si="1150"/>
        <v>24</v>
      </c>
      <c r="E560" s="173">
        <f t="shared" si="1183"/>
        <v>3.3040000000000007</v>
      </c>
      <c r="F560" s="170">
        <f t="shared" si="1166"/>
        <v>13.766666666666669</v>
      </c>
      <c r="G560" s="170">
        <f t="shared" si="1167"/>
        <v>11.013333333333335</v>
      </c>
      <c r="H560" s="170">
        <f t="shared" si="1168"/>
        <v>6.8833333333333346</v>
      </c>
      <c r="I560" s="170">
        <f t="shared" si="1201"/>
        <v>8</v>
      </c>
      <c r="J560" s="171">
        <f t="shared" si="1196"/>
        <v>0</v>
      </c>
      <c r="K560" s="87" t="s">
        <v>3815</v>
      </c>
      <c r="L560" s="170">
        <f t="shared" ref="L560:N560" si="1238">L559</f>
        <v>0.2</v>
      </c>
      <c r="M560" s="170">
        <f t="shared" si="1238"/>
        <v>150</v>
      </c>
      <c r="N560" s="170">
        <f t="shared" si="1238"/>
        <v>750</v>
      </c>
      <c r="P560" s="38">
        <f t="shared" si="1189"/>
        <v>23</v>
      </c>
      <c r="Q560" s="38">
        <f t="shared" si="1224"/>
        <v>24</v>
      </c>
      <c r="R560" s="39">
        <f t="shared" si="1190"/>
        <v>0.99938027417435915</v>
      </c>
      <c r="S560" s="39">
        <f t="shared" si="1191"/>
        <v>0.99967848848331109</v>
      </c>
      <c r="T560" s="39">
        <f t="shared" si="1194"/>
        <v>2.9821430895193846E-4</v>
      </c>
      <c r="U560" s="89">
        <f t="shared" si="1217"/>
        <v>4.8887591631465323E-6</v>
      </c>
    </row>
    <row r="561" spans="1:21" s="163" customFormat="1" ht="15.75" thickBot="1" x14ac:dyDescent="0.3">
      <c r="A561" s="167">
        <f t="shared" ref="A561:B561" si="1239">A560+1</f>
        <v>551</v>
      </c>
      <c r="B561" s="168">
        <f t="shared" si="1239"/>
        <v>551</v>
      </c>
      <c r="C561" s="92" t="str">
        <f t="shared" si="1153"/>
        <v>L11X24-008_000_41</v>
      </c>
      <c r="D561" s="169">
        <f t="shared" si="1150"/>
        <v>24</v>
      </c>
      <c r="E561" s="173">
        <f t="shared" si="1183"/>
        <v>3.3040000000000007</v>
      </c>
      <c r="F561" s="170">
        <f t="shared" si="1166"/>
        <v>13.766666666666669</v>
      </c>
      <c r="G561" s="170">
        <f t="shared" si="1167"/>
        <v>11.013333333333335</v>
      </c>
      <c r="H561" s="170">
        <f t="shared" si="1168"/>
        <v>6.8833333333333346</v>
      </c>
      <c r="I561" s="170">
        <f t="shared" si="1201"/>
        <v>8</v>
      </c>
      <c r="J561" s="171">
        <f t="shared" ref="J561:J580" si="1240">yaw_max</f>
        <v>8</v>
      </c>
      <c r="K561" s="87" t="s">
        <v>3816</v>
      </c>
      <c r="L561" s="170">
        <f t="shared" ref="L561:N561" si="1241">L560</f>
        <v>0.2</v>
      </c>
      <c r="M561" s="170">
        <f t="shared" si="1241"/>
        <v>150</v>
      </c>
      <c r="N561" s="170">
        <f t="shared" si="1241"/>
        <v>750</v>
      </c>
      <c r="P561" s="38">
        <f t="shared" si="1189"/>
        <v>23</v>
      </c>
      <c r="Q561" s="38">
        <f t="shared" si="1224"/>
        <v>24</v>
      </c>
      <c r="R561" s="39">
        <f t="shared" si="1190"/>
        <v>0.99938027417435915</v>
      </c>
      <c r="S561" s="39">
        <f t="shared" si="1191"/>
        <v>0.99967848848331109</v>
      </c>
      <c r="T561" s="39">
        <f t="shared" si="1194"/>
        <v>2.9821430895193846E-4</v>
      </c>
      <c r="U561" s="89">
        <f t="shared" si="1217"/>
        <v>4.8887591631465323E-6</v>
      </c>
    </row>
    <row r="562" spans="1:21" s="163" customFormat="1" ht="15.75" thickBot="1" x14ac:dyDescent="0.3">
      <c r="A562" s="167">
        <f t="shared" ref="A562:B562" si="1242">A561+1</f>
        <v>552</v>
      </c>
      <c r="B562" s="168">
        <f t="shared" si="1242"/>
        <v>552</v>
      </c>
      <c r="C562" s="92" t="str">
        <f t="shared" si="1153"/>
        <v>L11X24-008_000_42</v>
      </c>
      <c r="D562" s="169">
        <f t="shared" si="1150"/>
        <v>24</v>
      </c>
      <c r="E562" s="173">
        <f t="shared" si="1183"/>
        <v>3.3040000000000007</v>
      </c>
      <c r="F562" s="170">
        <f t="shared" si="1166"/>
        <v>13.766666666666669</v>
      </c>
      <c r="G562" s="170">
        <f t="shared" si="1167"/>
        <v>11.013333333333335</v>
      </c>
      <c r="H562" s="170">
        <f t="shared" si="1168"/>
        <v>6.8833333333333346</v>
      </c>
      <c r="I562" s="170">
        <f t="shared" si="1201"/>
        <v>8</v>
      </c>
      <c r="J562" s="171">
        <f t="shared" si="1240"/>
        <v>8</v>
      </c>
      <c r="K562" s="87" t="s">
        <v>3817</v>
      </c>
      <c r="L562" s="170">
        <f t="shared" ref="L562:N562" si="1243">L561</f>
        <v>0.2</v>
      </c>
      <c r="M562" s="170">
        <f t="shared" si="1243"/>
        <v>150</v>
      </c>
      <c r="N562" s="170">
        <f t="shared" si="1243"/>
        <v>750</v>
      </c>
      <c r="P562" s="38">
        <f t="shared" si="1189"/>
        <v>23</v>
      </c>
      <c r="Q562" s="38">
        <f t="shared" si="1224"/>
        <v>24</v>
      </c>
      <c r="R562" s="39">
        <f t="shared" si="1190"/>
        <v>0.99938027417435915</v>
      </c>
      <c r="S562" s="39">
        <f t="shared" si="1191"/>
        <v>0.99967848848331109</v>
      </c>
      <c r="T562" s="39">
        <f t="shared" si="1194"/>
        <v>2.9821430895193846E-4</v>
      </c>
      <c r="U562" s="89">
        <f t="shared" si="1217"/>
        <v>4.8887591631465323E-6</v>
      </c>
    </row>
    <row r="563" spans="1:21" s="163" customFormat="1" ht="15.75" thickBot="1" x14ac:dyDescent="0.3">
      <c r="A563" s="167">
        <f t="shared" ref="A563:B563" si="1244">A562+1</f>
        <v>553</v>
      </c>
      <c r="B563" s="168">
        <f t="shared" si="1244"/>
        <v>553</v>
      </c>
      <c r="C563" s="92" t="str">
        <f t="shared" si="1153"/>
        <v>L11X24-008_000_43</v>
      </c>
      <c r="D563" s="169">
        <f t="shared" si="1150"/>
        <v>24</v>
      </c>
      <c r="E563" s="173">
        <f t="shared" si="1183"/>
        <v>3.3040000000000007</v>
      </c>
      <c r="F563" s="170">
        <f t="shared" si="1166"/>
        <v>13.766666666666669</v>
      </c>
      <c r="G563" s="170">
        <f t="shared" si="1167"/>
        <v>11.013333333333335</v>
      </c>
      <c r="H563" s="170">
        <f t="shared" si="1168"/>
        <v>6.8833333333333346</v>
      </c>
      <c r="I563" s="170">
        <f t="shared" si="1201"/>
        <v>8</v>
      </c>
      <c r="J563" s="171">
        <f t="shared" si="1240"/>
        <v>8</v>
      </c>
      <c r="K563" s="87" t="s">
        <v>3818</v>
      </c>
      <c r="L563" s="170">
        <f t="shared" ref="L563:N563" si="1245">L562</f>
        <v>0.2</v>
      </c>
      <c r="M563" s="170">
        <f t="shared" si="1245"/>
        <v>150</v>
      </c>
      <c r="N563" s="170">
        <f t="shared" si="1245"/>
        <v>750</v>
      </c>
      <c r="P563" s="38">
        <f t="shared" si="1189"/>
        <v>23</v>
      </c>
      <c r="Q563" s="38">
        <f t="shared" si="1224"/>
        <v>24</v>
      </c>
      <c r="R563" s="39">
        <f t="shared" si="1190"/>
        <v>0.99938027417435915</v>
      </c>
      <c r="S563" s="39">
        <f t="shared" si="1191"/>
        <v>0.99967848848331109</v>
      </c>
      <c r="T563" s="39">
        <f t="shared" si="1194"/>
        <v>2.9821430895193846E-4</v>
      </c>
      <c r="U563" s="89">
        <f t="shared" si="1217"/>
        <v>4.8887591631465323E-6</v>
      </c>
    </row>
    <row r="564" spans="1:21" s="163" customFormat="1" ht="15.75" thickBot="1" x14ac:dyDescent="0.3">
      <c r="A564" s="167">
        <f t="shared" ref="A564:B564" si="1246">A563+1</f>
        <v>554</v>
      </c>
      <c r="B564" s="168">
        <f t="shared" si="1246"/>
        <v>554</v>
      </c>
      <c r="C564" s="92" t="str">
        <f t="shared" si="1153"/>
        <v>L11X24-008_000_44</v>
      </c>
      <c r="D564" s="169">
        <f t="shared" si="1150"/>
        <v>24</v>
      </c>
      <c r="E564" s="173">
        <f t="shared" si="1183"/>
        <v>3.3040000000000007</v>
      </c>
      <c r="F564" s="170">
        <f t="shared" si="1166"/>
        <v>13.766666666666669</v>
      </c>
      <c r="G564" s="170">
        <f t="shared" si="1167"/>
        <v>11.013333333333335</v>
      </c>
      <c r="H564" s="170">
        <f t="shared" si="1168"/>
        <v>6.8833333333333346</v>
      </c>
      <c r="I564" s="170">
        <f t="shared" si="1201"/>
        <v>8</v>
      </c>
      <c r="J564" s="171">
        <f t="shared" si="1240"/>
        <v>8</v>
      </c>
      <c r="K564" s="87" t="s">
        <v>3819</v>
      </c>
      <c r="L564" s="170">
        <f t="shared" ref="L564:N564" si="1247">L563</f>
        <v>0.2</v>
      </c>
      <c r="M564" s="170">
        <f t="shared" si="1247"/>
        <v>150</v>
      </c>
      <c r="N564" s="170">
        <f t="shared" si="1247"/>
        <v>750</v>
      </c>
      <c r="P564" s="38">
        <f t="shared" si="1189"/>
        <v>23</v>
      </c>
      <c r="Q564" s="38">
        <f t="shared" si="1224"/>
        <v>24</v>
      </c>
      <c r="R564" s="39">
        <f t="shared" si="1190"/>
        <v>0.99938027417435915</v>
      </c>
      <c r="S564" s="39">
        <f t="shared" si="1191"/>
        <v>0.99967848848331109</v>
      </c>
      <c r="T564" s="39">
        <f t="shared" si="1194"/>
        <v>2.9821430895193846E-4</v>
      </c>
      <c r="U564" s="89">
        <f t="shared" si="1217"/>
        <v>4.8887591631465323E-6</v>
      </c>
    </row>
    <row r="565" spans="1:21" s="163" customFormat="1" ht="15.75" thickBot="1" x14ac:dyDescent="0.3">
      <c r="A565" s="167">
        <f t="shared" ref="A565:B565" si="1248">A564+1</f>
        <v>555</v>
      </c>
      <c r="B565" s="168">
        <f t="shared" si="1248"/>
        <v>555</v>
      </c>
      <c r="C565" s="92" t="str">
        <f t="shared" si="1153"/>
        <v>L11X24-008_000_45</v>
      </c>
      <c r="D565" s="169">
        <f t="shared" si="1150"/>
        <v>24</v>
      </c>
      <c r="E565" s="173">
        <f t="shared" si="1183"/>
        <v>3.3040000000000007</v>
      </c>
      <c r="F565" s="170">
        <f t="shared" si="1166"/>
        <v>13.766666666666669</v>
      </c>
      <c r="G565" s="170">
        <f t="shared" si="1167"/>
        <v>11.013333333333335</v>
      </c>
      <c r="H565" s="170">
        <f t="shared" si="1168"/>
        <v>6.8833333333333346</v>
      </c>
      <c r="I565" s="170">
        <f t="shared" si="1201"/>
        <v>8</v>
      </c>
      <c r="J565" s="171">
        <f t="shared" si="1240"/>
        <v>8</v>
      </c>
      <c r="K565" s="87" t="s">
        <v>3820</v>
      </c>
      <c r="L565" s="170">
        <f t="shared" ref="L565:N565" si="1249">L564</f>
        <v>0.2</v>
      </c>
      <c r="M565" s="170">
        <f t="shared" si="1249"/>
        <v>150</v>
      </c>
      <c r="N565" s="170">
        <f t="shared" si="1249"/>
        <v>750</v>
      </c>
      <c r="P565" s="38">
        <f t="shared" si="1189"/>
        <v>23</v>
      </c>
      <c r="Q565" s="38">
        <f t="shared" si="1224"/>
        <v>24</v>
      </c>
      <c r="R565" s="39">
        <f t="shared" si="1190"/>
        <v>0.99938027417435915</v>
      </c>
      <c r="S565" s="39">
        <f t="shared" si="1191"/>
        <v>0.99967848848331109</v>
      </c>
      <c r="T565" s="39">
        <f t="shared" si="1194"/>
        <v>2.9821430895193846E-4</v>
      </c>
      <c r="U565" s="89">
        <f t="shared" si="1217"/>
        <v>4.8887591631465323E-6</v>
      </c>
    </row>
    <row r="566" spans="1:21" s="163" customFormat="1" ht="15.75" thickBot="1" x14ac:dyDescent="0.3">
      <c r="A566" s="167">
        <f t="shared" ref="A566:B566" si="1250">A565+1</f>
        <v>556</v>
      </c>
      <c r="B566" s="168">
        <f t="shared" si="1250"/>
        <v>556</v>
      </c>
      <c r="C566" s="92" t="str">
        <f t="shared" si="1153"/>
        <v>L11X24-008_000_46</v>
      </c>
      <c r="D566" s="169">
        <f t="shared" si="1150"/>
        <v>24</v>
      </c>
      <c r="E566" s="173">
        <f t="shared" si="1183"/>
        <v>3.3040000000000007</v>
      </c>
      <c r="F566" s="170">
        <f t="shared" si="1166"/>
        <v>13.766666666666669</v>
      </c>
      <c r="G566" s="170">
        <f t="shared" si="1167"/>
        <v>11.013333333333335</v>
      </c>
      <c r="H566" s="170">
        <f t="shared" si="1168"/>
        <v>6.8833333333333346</v>
      </c>
      <c r="I566" s="170">
        <f t="shared" si="1201"/>
        <v>8</v>
      </c>
      <c r="J566" s="171">
        <f t="shared" si="1240"/>
        <v>8</v>
      </c>
      <c r="K566" s="87" t="s">
        <v>3821</v>
      </c>
      <c r="L566" s="170">
        <f t="shared" ref="L566:N566" si="1251">L565</f>
        <v>0.2</v>
      </c>
      <c r="M566" s="170">
        <f t="shared" si="1251"/>
        <v>150</v>
      </c>
      <c r="N566" s="170">
        <f t="shared" si="1251"/>
        <v>750</v>
      </c>
      <c r="P566" s="38">
        <f t="shared" si="1189"/>
        <v>23</v>
      </c>
      <c r="Q566" s="38">
        <f t="shared" si="1224"/>
        <v>24</v>
      </c>
      <c r="R566" s="39">
        <f t="shared" si="1190"/>
        <v>0.99938027417435915</v>
      </c>
      <c r="S566" s="39">
        <f t="shared" si="1191"/>
        <v>0.99967848848331109</v>
      </c>
      <c r="T566" s="39">
        <f t="shared" si="1194"/>
        <v>2.9821430895193846E-4</v>
      </c>
      <c r="U566" s="89">
        <f t="shared" si="1217"/>
        <v>4.8887591631465323E-6</v>
      </c>
    </row>
    <row r="567" spans="1:21" s="163" customFormat="1" ht="15.75" thickBot="1" x14ac:dyDescent="0.3">
      <c r="A567" s="167">
        <f t="shared" ref="A567:B567" si="1252">A566+1</f>
        <v>557</v>
      </c>
      <c r="B567" s="168">
        <f t="shared" si="1252"/>
        <v>557</v>
      </c>
      <c r="C567" s="92" t="str">
        <f t="shared" si="1153"/>
        <v>L11X24-008_000_47</v>
      </c>
      <c r="D567" s="169">
        <f t="shared" si="1150"/>
        <v>24</v>
      </c>
      <c r="E567" s="173">
        <f t="shared" si="1183"/>
        <v>3.3040000000000007</v>
      </c>
      <c r="F567" s="170">
        <f t="shared" si="1166"/>
        <v>13.766666666666669</v>
      </c>
      <c r="G567" s="170">
        <f t="shared" si="1167"/>
        <v>11.013333333333335</v>
      </c>
      <c r="H567" s="170">
        <f t="shared" si="1168"/>
        <v>6.8833333333333346</v>
      </c>
      <c r="I567" s="170">
        <f t="shared" si="1201"/>
        <v>8</v>
      </c>
      <c r="J567" s="171">
        <f t="shared" si="1240"/>
        <v>8</v>
      </c>
      <c r="K567" s="87" t="s">
        <v>3822</v>
      </c>
      <c r="L567" s="170">
        <f t="shared" ref="L567:N567" si="1253">L566</f>
        <v>0.2</v>
      </c>
      <c r="M567" s="170">
        <f t="shared" si="1253"/>
        <v>150</v>
      </c>
      <c r="N567" s="170">
        <f t="shared" si="1253"/>
        <v>750</v>
      </c>
      <c r="P567" s="38">
        <f t="shared" si="1189"/>
        <v>23</v>
      </c>
      <c r="Q567" s="38">
        <f t="shared" si="1224"/>
        <v>24</v>
      </c>
      <c r="R567" s="39">
        <f t="shared" si="1190"/>
        <v>0.99938027417435915</v>
      </c>
      <c r="S567" s="39">
        <f t="shared" si="1191"/>
        <v>0.99967848848331109</v>
      </c>
      <c r="T567" s="39">
        <f t="shared" si="1194"/>
        <v>2.9821430895193846E-4</v>
      </c>
      <c r="U567" s="89">
        <f t="shared" si="1217"/>
        <v>4.8887591631465323E-6</v>
      </c>
    </row>
    <row r="568" spans="1:21" s="163" customFormat="1" ht="15.75" thickBot="1" x14ac:dyDescent="0.3">
      <c r="A568" s="167">
        <f t="shared" ref="A568:B568" si="1254">A567+1</f>
        <v>558</v>
      </c>
      <c r="B568" s="168">
        <f t="shared" si="1254"/>
        <v>558</v>
      </c>
      <c r="C568" s="92" t="str">
        <f t="shared" si="1153"/>
        <v>L11X24-008_000_48</v>
      </c>
      <c r="D568" s="169">
        <f t="shared" si="1150"/>
        <v>24</v>
      </c>
      <c r="E568" s="173">
        <f t="shared" si="1183"/>
        <v>3.3040000000000007</v>
      </c>
      <c r="F568" s="170">
        <f t="shared" si="1166"/>
        <v>13.766666666666669</v>
      </c>
      <c r="G568" s="170">
        <f t="shared" si="1167"/>
        <v>11.013333333333335</v>
      </c>
      <c r="H568" s="170">
        <f t="shared" si="1168"/>
        <v>6.8833333333333346</v>
      </c>
      <c r="I568" s="170">
        <f t="shared" si="1201"/>
        <v>8</v>
      </c>
      <c r="J568" s="171">
        <f t="shared" si="1240"/>
        <v>8</v>
      </c>
      <c r="K568" s="87" t="s">
        <v>3823</v>
      </c>
      <c r="L568" s="170">
        <f t="shared" ref="L568:N568" si="1255">L567</f>
        <v>0.2</v>
      </c>
      <c r="M568" s="170">
        <f t="shared" si="1255"/>
        <v>150</v>
      </c>
      <c r="N568" s="170">
        <f t="shared" si="1255"/>
        <v>750</v>
      </c>
      <c r="P568" s="38">
        <f t="shared" si="1189"/>
        <v>23</v>
      </c>
      <c r="Q568" s="38">
        <f t="shared" si="1224"/>
        <v>24</v>
      </c>
      <c r="R568" s="39">
        <f t="shared" si="1190"/>
        <v>0.99938027417435915</v>
      </c>
      <c r="S568" s="39">
        <f t="shared" si="1191"/>
        <v>0.99967848848331109</v>
      </c>
      <c r="T568" s="39">
        <f t="shared" si="1194"/>
        <v>2.9821430895193846E-4</v>
      </c>
      <c r="U568" s="89">
        <f t="shared" si="1217"/>
        <v>4.8887591631465323E-6</v>
      </c>
    </row>
    <row r="569" spans="1:21" s="163" customFormat="1" ht="15.75" thickBot="1" x14ac:dyDescent="0.3">
      <c r="A569" s="167">
        <f t="shared" ref="A569:B569" si="1256">A568+1</f>
        <v>559</v>
      </c>
      <c r="B569" s="168">
        <f t="shared" si="1256"/>
        <v>559</v>
      </c>
      <c r="C569" s="92" t="str">
        <f t="shared" si="1153"/>
        <v>L11X24-008_000_49</v>
      </c>
      <c r="D569" s="169">
        <f t="shared" si="1150"/>
        <v>24</v>
      </c>
      <c r="E569" s="173">
        <f t="shared" si="1183"/>
        <v>3.3040000000000007</v>
      </c>
      <c r="F569" s="170">
        <f t="shared" si="1166"/>
        <v>13.766666666666669</v>
      </c>
      <c r="G569" s="170">
        <f t="shared" si="1167"/>
        <v>11.013333333333335</v>
      </c>
      <c r="H569" s="170">
        <f t="shared" si="1168"/>
        <v>6.8833333333333346</v>
      </c>
      <c r="I569" s="170">
        <f t="shared" si="1201"/>
        <v>8</v>
      </c>
      <c r="J569" s="171">
        <f t="shared" si="1240"/>
        <v>8</v>
      </c>
      <c r="K569" s="87" t="s">
        <v>3824</v>
      </c>
      <c r="L569" s="170">
        <f t="shared" ref="L569:N569" si="1257">L568</f>
        <v>0.2</v>
      </c>
      <c r="M569" s="170">
        <f t="shared" si="1257"/>
        <v>150</v>
      </c>
      <c r="N569" s="170">
        <f t="shared" si="1257"/>
        <v>750</v>
      </c>
      <c r="P569" s="38">
        <f t="shared" si="1189"/>
        <v>23</v>
      </c>
      <c r="Q569" s="38">
        <f t="shared" si="1224"/>
        <v>24</v>
      </c>
      <c r="R569" s="39">
        <f t="shared" si="1190"/>
        <v>0.99938027417435915</v>
      </c>
      <c r="S569" s="39">
        <f t="shared" si="1191"/>
        <v>0.99967848848331109</v>
      </c>
      <c r="T569" s="39">
        <f t="shared" si="1194"/>
        <v>2.9821430895193846E-4</v>
      </c>
      <c r="U569" s="89">
        <f t="shared" si="1217"/>
        <v>4.8887591631465323E-6</v>
      </c>
    </row>
    <row r="570" spans="1:21" s="163" customFormat="1" ht="15.75" thickBot="1" x14ac:dyDescent="0.3">
      <c r="A570" s="167">
        <f t="shared" ref="A570:B570" si="1258">A569+1</f>
        <v>560</v>
      </c>
      <c r="B570" s="168">
        <f t="shared" si="1258"/>
        <v>560</v>
      </c>
      <c r="C570" s="92" t="str">
        <f t="shared" si="1153"/>
        <v>L11X24-008_000_50</v>
      </c>
      <c r="D570" s="169">
        <f t="shared" si="1150"/>
        <v>24</v>
      </c>
      <c r="E570" s="173">
        <f t="shared" si="1183"/>
        <v>3.3040000000000007</v>
      </c>
      <c r="F570" s="170">
        <f t="shared" si="1166"/>
        <v>13.766666666666669</v>
      </c>
      <c r="G570" s="170">
        <f t="shared" si="1167"/>
        <v>11.013333333333335</v>
      </c>
      <c r="H570" s="170">
        <f t="shared" si="1168"/>
        <v>6.8833333333333346</v>
      </c>
      <c r="I570" s="170">
        <f t="shared" si="1201"/>
        <v>8</v>
      </c>
      <c r="J570" s="171">
        <f t="shared" si="1240"/>
        <v>8</v>
      </c>
      <c r="K570" s="87" t="s">
        <v>3825</v>
      </c>
      <c r="L570" s="170">
        <f t="shared" ref="L570:N570" si="1259">L569</f>
        <v>0.2</v>
      </c>
      <c r="M570" s="170">
        <f t="shared" si="1259"/>
        <v>150</v>
      </c>
      <c r="N570" s="170">
        <f t="shared" si="1259"/>
        <v>750</v>
      </c>
      <c r="P570" s="38">
        <f t="shared" si="1189"/>
        <v>23</v>
      </c>
      <c r="Q570" s="38">
        <f t="shared" si="1224"/>
        <v>24</v>
      </c>
      <c r="R570" s="39">
        <f t="shared" si="1190"/>
        <v>0.99938027417435915</v>
      </c>
      <c r="S570" s="39">
        <f t="shared" si="1191"/>
        <v>0.99967848848331109</v>
      </c>
      <c r="T570" s="39">
        <f t="shared" si="1194"/>
        <v>2.9821430895193846E-4</v>
      </c>
      <c r="U570" s="89">
        <f t="shared" si="1217"/>
        <v>4.8887591631465323E-6</v>
      </c>
    </row>
    <row r="571" spans="1:21" s="163" customFormat="1" ht="15.75" thickBot="1" x14ac:dyDescent="0.3">
      <c r="A571" s="167">
        <f t="shared" ref="A571:B571" si="1260">A570+1</f>
        <v>561</v>
      </c>
      <c r="B571" s="168">
        <f t="shared" si="1260"/>
        <v>561</v>
      </c>
      <c r="C571" s="92" t="str">
        <f t="shared" si="1153"/>
        <v>L11X24-008_000_51</v>
      </c>
      <c r="D571" s="169">
        <f t="shared" si="1150"/>
        <v>24</v>
      </c>
      <c r="E571" s="173">
        <f t="shared" si="1183"/>
        <v>3.3040000000000007</v>
      </c>
      <c r="F571" s="170">
        <f t="shared" si="1166"/>
        <v>13.766666666666669</v>
      </c>
      <c r="G571" s="170">
        <f t="shared" si="1167"/>
        <v>11.013333333333335</v>
      </c>
      <c r="H571" s="170">
        <f t="shared" si="1168"/>
        <v>6.8833333333333346</v>
      </c>
      <c r="I571" s="170">
        <f t="shared" si="1201"/>
        <v>8</v>
      </c>
      <c r="J571" s="171">
        <f t="shared" si="1240"/>
        <v>8</v>
      </c>
      <c r="K571" s="87" t="s">
        <v>3826</v>
      </c>
      <c r="L571" s="170">
        <f t="shared" ref="L571:N571" si="1261">L570</f>
        <v>0.2</v>
      </c>
      <c r="M571" s="170">
        <f t="shared" si="1261"/>
        <v>150</v>
      </c>
      <c r="N571" s="170">
        <f t="shared" si="1261"/>
        <v>750</v>
      </c>
      <c r="P571" s="38">
        <f t="shared" si="1189"/>
        <v>23</v>
      </c>
      <c r="Q571" s="38">
        <f t="shared" si="1224"/>
        <v>24</v>
      </c>
      <c r="R571" s="39">
        <f t="shared" si="1190"/>
        <v>0.99938027417435915</v>
      </c>
      <c r="S571" s="39">
        <f t="shared" si="1191"/>
        <v>0.99967848848331109</v>
      </c>
      <c r="T571" s="39">
        <f t="shared" si="1194"/>
        <v>2.9821430895193846E-4</v>
      </c>
      <c r="U571" s="89">
        <f t="shared" si="1217"/>
        <v>4.8887591631465323E-6</v>
      </c>
    </row>
    <row r="572" spans="1:21" s="163" customFormat="1" ht="15.75" thickBot="1" x14ac:dyDescent="0.3">
      <c r="A572" s="167">
        <f t="shared" ref="A572:B572" si="1262">A571+1</f>
        <v>562</v>
      </c>
      <c r="B572" s="168">
        <f t="shared" si="1262"/>
        <v>562</v>
      </c>
      <c r="C572" s="92" t="str">
        <f t="shared" si="1153"/>
        <v>L11X24-008_000_52</v>
      </c>
      <c r="D572" s="169">
        <f t="shared" si="1150"/>
        <v>24</v>
      </c>
      <c r="E572" s="173">
        <f t="shared" si="1183"/>
        <v>3.3040000000000007</v>
      </c>
      <c r="F572" s="170">
        <f t="shared" si="1166"/>
        <v>13.766666666666669</v>
      </c>
      <c r="G572" s="170">
        <f t="shared" si="1167"/>
        <v>11.013333333333335</v>
      </c>
      <c r="H572" s="170">
        <f t="shared" si="1168"/>
        <v>6.8833333333333346</v>
      </c>
      <c r="I572" s="170">
        <f t="shared" si="1201"/>
        <v>8</v>
      </c>
      <c r="J572" s="171">
        <f t="shared" si="1240"/>
        <v>8</v>
      </c>
      <c r="K572" s="87" t="s">
        <v>3827</v>
      </c>
      <c r="L572" s="170">
        <f t="shared" ref="L572:N572" si="1263">L571</f>
        <v>0.2</v>
      </c>
      <c r="M572" s="170">
        <f t="shared" si="1263"/>
        <v>150</v>
      </c>
      <c r="N572" s="170">
        <f t="shared" si="1263"/>
        <v>750</v>
      </c>
      <c r="P572" s="38">
        <f t="shared" si="1189"/>
        <v>23</v>
      </c>
      <c r="Q572" s="38">
        <f t="shared" si="1224"/>
        <v>24</v>
      </c>
      <c r="R572" s="39">
        <f t="shared" si="1190"/>
        <v>0.99938027417435915</v>
      </c>
      <c r="S572" s="39">
        <f t="shared" si="1191"/>
        <v>0.99967848848331109</v>
      </c>
      <c r="T572" s="39">
        <f t="shared" si="1194"/>
        <v>2.9821430895193846E-4</v>
      </c>
      <c r="U572" s="89">
        <f t="shared" si="1217"/>
        <v>4.8887591631465323E-6</v>
      </c>
    </row>
    <row r="573" spans="1:21" s="163" customFormat="1" ht="15.75" thickBot="1" x14ac:dyDescent="0.3">
      <c r="A573" s="167">
        <f t="shared" ref="A573:B573" si="1264">A572+1</f>
        <v>563</v>
      </c>
      <c r="B573" s="168">
        <f t="shared" si="1264"/>
        <v>563</v>
      </c>
      <c r="C573" s="92" t="str">
        <f t="shared" si="1153"/>
        <v>L11X24-008_000_53</v>
      </c>
      <c r="D573" s="169">
        <f t="shared" si="1150"/>
        <v>24</v>
      </c>
      <c r="E573" s="173">
        <f t="shared" si="1183"/>
        <v>3.3040000000000007</v>
      </c>
      <c r="F573" s="170">
        <f t="shared" si="1166"/>
        <v>13.766666666666669</v>
      </c>
      <c r="G573" s="170">
        <f t="shared" si="1167"/>
        <v>11.013333333333335</v>
      </c>
      <c r="H573" s="170">
        <f t="shared" si="1168"/>
        <v>6.8833333333333346</v>
      </c>
      <c r="I573" s="170">
        <f t="shared" si="1201"/>
        <v>8</v>
      </c>
      <c r="J573" s="171">
        <f t="shared" si="1240"/>
        <v>8</v>
      </c>
      <c r="K573" s="87" t="s">
        <v>3828</v>
      </c>
      <c r="L573" s="170">
        <f t="shared" ref="L573:N573" si="1265">L572</f>
        <v>0.2</v>
      </c>
      <c r="M573" s="170">
        <f t="shared" si="1265"/>
        <v>150</v>
      </c>
      <c r="N573" s="170">
        <f t="shared" si="1265"/>
        <v>750</v>
      </c>
      <c r="P573" s="38">
        <f t="shared" si="1189"/>
        <v>23</v>
      </c>
      <c r="Q573" s="38">
        <f t="shared" si="1224"/>
        <v>24</v>
      </c>
      <c r="R573" s="39">
        <f t="shared" si="1190"/>
        <v>0.99938027417435915</v>
      </c>
      <c r="S573" s="39">
        <f t="shared" si="1191"/>
        <v>0.99967848848331109</v>
      </c>
      <c r="T573" s="39">
        <f t="shared" si="1194"/>
        <v>2.9821430895193846E-4</v>
      </c>
      <c r="U573" s="89">
        <f t="shared" si="1217"/>
        <v>4.8887591631465323E-6</v>
      </c>
    </row>
    <row r="574" spans="1:21" s="163" customFormat="1" ht="15.75" thickBot="1" x14ac:dyDescent="0.3">
      <c r="A574" s="167">
        <f t="shared" ref="A574:B574" si="1266">A573+1</f>
        <v>564</v>
      </c>
      <c r="B574" s="168">
        <f t="shared" si="1266"/>
        <v>564</v>
      </c>
      <c r="C574" s="92" t="str">
        <f t="shared" si="1153"/>
        <v>L11X24-008_000_54</v>
      </c>
      <c r="D574" s="169">
        <f t="shared" si="1150"/>
        <v>24</v>
      </c>
      <c r="E574" s="173">
        <f t="shared" si="1183"/>
        <v>3.3040000000000007</v>
      </c>
      <c r="F574" s="170">
        <f t="shared" si="1166"/>
        <v>13.766666666666669</v>
      </c>
      <c r="G574" s="170">
        <f t="shared" si="1167"/>
        <v>11.013333333333335</v>
      </c>
      <c r="H574" s="170">
        <f t="shared" si="1168"/>
        <v>6.8833333333333346</v>
      </c>
      <c r="I574" s="170">
        <f t="shared" si="1201"/>
        <v>8</v>
      </c>
      <c r="J574" s="171">
        <f t="shared" si="1240"/>
        <v>8</v>
      </c>
      <c r="K574" s="87" t="s">
        <v>3829</v>
      </c>
      <c r="L574" s="170">
        <f t="shared" ref="L574:N574" si="1267">L573</f>
        <v>0.2</v>
      </c>
      <c r="M574" s="170">
        <f t="shared" si="1267"/>
        <v>150</v>
      </c>
      <c r="N574" s="170">
        <f t="shared" si="1267"/>
        <v>750</v>
      </c>
      <c r="P574" s="38">
        <f t="shared" si="1189"/>
        <v>23</v>
      </c>
      <c r="Q574" s="38">
        <f t="shared" si="1224"/>
        <v>24</v>
      </c>
      <c r="R574" s="39">
        <f t="shared" si="1190"/>
        <v>0.99938027417435915</v>
      </c>
      <c r="S574" s="39">
        <f t="shared" si="1191"/>
        <v>0.99967848848331109</v>
      </c>
      <c r="T574" s="39">
        <f t="shared" si="1194"/>
        <v>2.9821430895193846E-4</v>
      </c>
      <c r="U574" s="89">
        <f t="shared" si="1217"/>
        <v>4.8887591631465323E-6</v>
      </c>
    </row>
    <row r="575" spans="1:21" s="163" customFormat="1" ht="15.75" thickBot="1" x14ac:dyDescent="0.3">
      <c r="A575" s="167">
        <f t="shared" ref="A575:B575" si="1268">A574+1</f>
        <v>565</v>
      </c>
      <c r="B575" s="168">
        <f t="shared" si="1268"/>
        <v>565</v>
      </c>
      <c r="C575" s="92" t="str">
        <f t="shared" si="1153"/>
        <v>L11X24-008_000_55</v>
      </c>
      <c r="D575" s="169">
        <f t="shared" si="1150"/>
        <v>24</v>
      </c>
      <c r="E575" s="173">
        <f t="shared" si="1183"/>
        <v>3.3040000000000007</v>
      </c>
      <c r="F575" s="170">
        <f t="shared" si="1166"/>
        <v>13.766666666666669</v>
      </c>
      <c r="G575" s="170">
        <f t="shared" si="1167"/>
        <v>11.013333333333335</v>
      </c>
      <c r="H575" s="170">
        <f t="shared" si="1168"/>
        <v>6.8833333333333346</v>
      </c>
      <c r="I575" s="170">
        <f t="shared" si="1201"/>
        <v>8</v>
      </c>
      <c r="J575" s="171">
        <f t="shared" si="1240"/>
        <v>8</v>
      </c>
      <c r="K575" s="87" t="s">
        <v>3830</v>
      </c>
      <c r="L575" s="170">
        <f t="shared" ref="L575:N575" si="1269">L574</f>
        <v>0.2</v>
      </c>
      <c r="M575" s="170">
        <f t="shared" si="1269"/>
        <v>150</v>
      </c>
      <c r="N575" s="170">
        <f t="shared" si="1269"/>
        <v>750</v>
      </c>
      <c r="P575" s="38">
        <f t="shared" si="1189"/>
        <v>23</v>
      </c>
      <c r="Q575" s="38">
        <f t="shared" si="1224"/>
        <v>24</v>
      </c>
      <c r="R575" s="39">
        <f t="shared" si="1190"/>
        <v>0.99938027417435915</v>
      </c>
      <c r="S575" s="39">
        <f t="shared" si="1191"/>
        <v>0.99967848848331109</v>
      </c>
      <c r="T575" s="39">
        <f t="shared" si="1194"/>
        <v>2.9821430895193846E-4</v>
      </c>
      <c r="U575" s="89">
        <f t="shared" si="1217"/>
        <v>4.8887591631465323E-6</v>
      </c>
    </row>
    <row r="576" spans="1:21" s="163" customFormat="1" ht="15.75" thickBot="1" x14ac:dyDescent="0.3">
      <c r="A576" s="167">
        <f t="shared" ref="A576:B576" si="1270">A575+1</f>
        <v>566</v>
      </c>
      <c r="B576" s="168">
        <f t="shared" si="1270"/>
        <v>566</v>
      </c>
      <c r="C576" s="92" t="str">
        <f t="shared" si="1153"/>
        <v>L11X24-008_000_56</v>
      </c>
      <c r="D576" s="169">
        <f t="shared" si="1150"/>
        <v>24</v>
      </c>
      <c r="E576" s="173">
        <f t="shared" si="1183"/>
        <v>3.3040000000000007</v>
      </c>
      <c r="F576" s="170">
        <f t="shared" si="1166"/>
        <v>13.766666666666669</v>
      </c>
      <c r="G576" s="170">
        <f t="shared" si="1167"/>
        <v>11.013333333333335</v>
      </c>
      <c r="H576" s="170">
        <f t="shared" si="1168"/>
        <v>6.8833333333333346</v>
      </c>
      <c r="I576" s="170">
        <f t="shared" si="1201"/>
        <v>8</v>
      </c>
      <c r="J576" s="171">
        <f t="shared" si="1240"/>
        <v>8</v>
      </c>
      <c r="K576" s="87" t="s">
        <v>3831</v>
      </c>
      <c r="L576" s="170">
        <f t="shared" ref="L576:N576" si="1271">L575</f>
        <v>0.2</v>
      </c>
      <c r="M576" s="170">
        <f t="shared" si="1271"/>
        <v>150</v>
      </c>
      <c r="N576" s="170">
        <f t="shared" si="1271"/>
        <v>750</v>
      </c>
      <c r="P576" s="38">
        <f t="shared" si="1189"/>
        <v>23</v>
      </c>
      <c r="Q576" s="38">
        <f t="shared" si="1224"/>
        <v>24</v>
      </c>
      <c r="R576" s="39">
        <f t="shared" si="1190"/>
        <v>0.99938027417435915</v>
      </c>
      <c r="S576" s="39">
        <f t="shared" si="1191"/>
        <v>0.99967848848331109</v>
      </c>
      <c r="T576" s="39">
        <f t="shared" si="1194"/>
        <v>2.9821430895193846E-4</v>
      </c>
      <c r="U576" s="89">
        <f t="shared" si="1217"/>
        <v>4.8887591631465323E-6</v>
      </c>
    </row>
    <row r="577" spans="1:21" s="163" customFormat="1" ht="15.75" thickBot="1" x14ac:dyDescent="0.3">
      <c r="A577" s="167">
        <f t="shared" ref="A577:B577" si="1272">A576+1</f>
        <v>567</v>
      </c>
      <c r="B577" s="168">
        <f t="shared" si="1272"/>
        <v>567</v>
      </c>
      <c r="C577" s="92" t="str">
        <f t="shared" si="1153"/>
        <v>L11X24-008_000_57</v>
      </c>
      <c r="D577" s="169">
        <f t="shared" si="1150"/>
        <v>24</v>
      </c>
      <c r="E577" s="173">
        <f t="shared" si="1183"/>
        <v>3.3040000000000007</v>
      </c>
      <c r="F577" s="170">
        <f t="shared" si="1166"/>
        <v>13.766666666666669</v>
      </c>
      <c r="G577" s="170">
        <f t="shared" si="1167"/>
        <v>11.013333333333335</v>
      </c>
      <c r="H577" s="170">
        <f t="shared" si="1168"/>
        <v>6.8833333333333346</v>
      </c>
      <c r="I577" s="170">
        <f t="shared" si="1201"/>
        <v>8</v>
      </c>
      <c r="J577" s="171">
        <f t="shared" si="1240"/>
        <v>8</v>
      </c>
      <c r="K577" s="87" t="s">
        <v>3832</v>
      </c>
      <c r="L577" s="170">
        <f t="shared" ref="L577:N577" si="1273">L576</f>
        <v>0.2</v>
      </c>
      <c r="M577" s="170">
        <f t="shared" si="1273"/>
        <v>150</v>
      </c>
      <c r="N577" s="170">
        <f t="shared" si="1273"/>
        <v>750</v>
      </c>
      <c r="P577" s="38">
        <f t="shared" si="1189"/>
        <v>23</v>
      </c>
      <c r="Q577" s="38">
        <f t="shared" si="1224"/>
        <v>24</v>
      </c>
      <c r="R577" s="39">
        <f t="shared" si="1190"/>
        <v>0.99938027417435915</v>
      </c>
      <c r="S577" s="39">
        <f t="shared" si="1191"/>
        <v>0.99967848848331109</v>
      </c>
      <c r="T577" s="39">
        <f t="shared" si="1194"/>
        <v>2.9821430895193846E-4</v>
      </c>
      <c r="U577" s="89">
        <f t="shared" si="1217"/>
        <v>4.8887591631465323E-6</v>
      </c>
    </row>
    <row r="578" spans="1:21" s="163" customFormat="1" ht="15.75" thickBot="1" x14ac:dyDescent="0.3">
      <c r="A578" s="167">
        <f t="shared" ref="A578:B578" si="1274">A577+1</f>
        <v>568</v>
      </c>
      <c r="B578" s="168">
        <f t="shared" si="1274"/>
        <v>568</v>
      </c>
      <c r="C578" s="92" t="str">
        <f t="shared" si="1153"/>
        <v>L11X24-008_000_58</v>
      </c>
      <c r="D578" s="169">
        <f t="shared" si="1150"/>
        <v>24</v>
      </c>
      <c r="E578" s="173">
        <f t="shared" si="1183"/>
        <v>3.3040000000000007</v>
      </c>
      <c r="F578" s="170">
        <f t="shared" si="1166"/>
        <v>13.766666666666669</v>
      </c>
      <c r="G578" s="170">
        <f t="shared" si="1167"/>
        <v>11.013333333333335</v>
      </c>
      <c r="H578" s="170">
        <f t="shared" si="1168"/>
        <v>6.8833333333333346</v>
      </c>
      <c r="I578" s="170">
        <f t="shared" si="1201"/>
        <v>8</v>
      </c>
      <c r="J578" s="171">
        <f t="shared" si="1240"/>
        <v>8</v>
      </c>
      <c r="K578" s="87" t="s">
        <v>3833</v>
      </c>
      <c r="L578" s="170">
        <f t="shared" ref="L578:N578" si="1275">L577</f>
        <v>0.2</v>
      </c>
      <c r="M578" s="170">
        <f t="shared" si="1275"/>
        <v>150</v>
      </c>
      <c r="N578" s="170">
        <f t="shared" si="1275"/>
        <v>750</v>
      </c>
      <c r="P578" s="38">
        <f t="shared" si="1189"/>
        <v>23</v>
      </c>
      <c r="Q578" s="38">
        <f t="shared" si="1224"/>
        <v>24</v>
      </c>
      <c r="R578" s="39">
        <f t="shared" si="1190"/>
        <v>0.99938027417435915</v>
      </c>
      <c r="S578" s="39">
        <f t="shared" si="1191"/>
        <v>0.99967848848331109</v>
      </c>
      <c r="T578" s="39">
        <f t="shared" si="1194"/>
        <v>2.9821430895193846E-4</v>
      </c>
      <c r="U578" s="89">
        <f t="shared" si="1217"/>
        <v>4.8887591631465323E-6</v>
      </c>
    </row>
    <row r="579" spans="1:21" s="163" customFormat="1" ht="15.75" thickBot="1" x14ac:dyDescent="0.3">
      <c r="A579" s="167">
        <f t="shared" ref="A579:B579" si="1276">A578+1</f>
        <v>569</v>
      </c>
      <c r="B579" s="168">
        <f t="shared" si="1276"/>
        <v>569</v>
      </c>
      <c r="C579" s="92" t="str">
        <f t="shared" si="1153"/>
        <v>L11X24-008_000_59</v>
      </c>
      <c r="D579" s="169">
        <f t="shared" si="1150"/>
        <v>24</v>
      </c>
      <c r="E579" s="173">
        <f t="shared" si="1183"/>
        <v>3.3040000000000007</v>
      </c>
      <c r="F579" s="170">
        <f t="shared" si="1166"/>
        <v>13.766666666666669</v>
      </c>
      <c r="G579" s="170">
        <f t="shared" si="1167"/>
        <v>11.013333333333335</v>
      </c>
      <c r="H579" s="170">
        <f t="shared" si="1168"/>
        <v>6.8833333333333346</v>
      </c>
      <c r="I579" s="170">
        <f t="shared" si="1201"/>
        <v>8</v>
      </c>
      <c r="J579" s="171">
        <f t="shared" si="1240"/>
        <v>8</v>
      </c>
      <c r="K579" s="87" t="s">
        <v>3834</v>
      </c>
      <c r="L579" s="170">
        <f t="shared" ref="L579:N579" si="1277">L578</f>
        <v>0.2</v>
      </c>
      <c r="M579" s="170">
        <f t="shared" si="1277"/>
        <v>150</v>
      </c>
      <c r="N579" s="170">
        <f t="shared" si="1277"/>
        <v>750</v>
      </c>
      <c r="P579" s="38">
        <f t="shared" si="1189"/>
        <v>23</v>
      </c>
      <c r="Q579" s="38">
        <f t="shared" si="1224"/>
        <v>24</v>
      </c>
      <c r="R579" s="39">
        <f t="shared" si="1190"/>
        <v>0.99938027417435915</v>
      </c>
      <c r="S579" s="39">
        <f t="shared" si="1191"/>
        <v>0.99967848848331109</v>
      </c>
      <c r="T579" s="39">
        <f t="shared" si="1194"/>
        <v>2.9821430895193846E-4</v>
      </c>
      <c r="U579" s="89">
        <f t="shared" si="1217"/>
        <v>4.8887591631465323E-6</v>
      </c>
    </row>
    <row r="580" spans="1:21" s="163" customFormat="1" ht="15.75" thickBot="1" x14ac:dyDescent="0.3">
      <c r="A580" s="167">
        <f t="shared" ref="A580:B580" si="1278">A579+1</f>
        <v>570</v>
      </c>
      <c r="B580" s="168">
        <f t="shared" si="1278"/>
        <v>570</v>
      </c>
      <c r="C580" s="92" t="str">
        <f t="shared" si="1153"/>
        <v>L11X24-008_000_60</v>
      </c>
      <c r="D580" s="169">
        <f t="shared" si="1150"/>
        <v>24</v>
      </c>
      <c r="E580" s="173">
        <f t="shared" si="1183"/>
        <v>3.3040000000000007</v>
      </c>
      <c r="F580" s="170">
        <f t="shared" si="1166"/>
        <v>13.766666666666669</v>
      </c>
      <c r="G580" s="170">
        <f t="shared" si="1167"/>
        <v>11.013333333333335</v>
      </c>
      <c r="H580" s="170">
        <f t="shared" si="1168"/>
        <v>6.8833333333333346</v>
      </c>
      <c r="I580" s="170">
        <f t="shared" si="1201"/>
        <v>8</v>
      </c>
      <c r="J580" s="171">
        <f t="shared" si="1240"/>
        <v>8</v>
      </c>
      <c r="K580" s="87" t="s">
        <v>3835</v>
      </c>
      <c r="L580" s="170">
        <f t="shared" ref="L580:N580" si="1279">L579</f>
        <v>0.2</v>
      </c>
      <c r="M580" s="170">
        <f t="shared" si="1279"/>
        <v>150</v>
      </c>
      <c r="N580" s="170">
        <f t="shared" si="1279"/>
        <v>750</v>
      </c>
      <c r="P580" s="38">
        <f t="shared" si="1189"/>
        <v>23</v>
      </c>
      <c r="Q580" s="38">
        <f t="shared" si="1224"/>
        <v>24</v>
      </c>
      <c r="R580" s="39">
        <f t="shared" si="1190"/>
        <v>0.99938027417435915</v>
      </c>
      <c r="S580" s="39">
        <f t="shared" si="1191"/>
        <v>0.99967848848331109</v>
      </c>
      <c r="T580" s="39">
        <f t="shared" si="1194"/>
        <v>2.9821430895193846E-4</v>
      </c>
      <c r="U580" s="89">
        <f t="shared" si="1217"/>
        <v>4.8887591631465323E-6</v>
      </c>
    </row>
    <row r="581" spans="1:21" ht="15.75" thickBot="1" x14ac:dyDescent="0.3">
      <c r="A581" s="229">
        <f t="shared" ref="A581:B581" si="1280">A580+1</f>
        <v>571</v>
      </c>
      <c r="B581" s="230">
        <f t="shared" si="1280"/>
        <v>571</v>
      </c>
      <c r="C581" s="92" t="str">
        <f t="shared" si="1153"/>
        <v>L11X25-352_000_01</v>
      </c>
      <c r="D581" s="231">
        <f>v_out</f>
        <v>25</v>
      </c>
      <c r="E581" s="239">
        <f t="shared" si="1183"/>
        <v>3.4090000000000007</v>
      </c>
      <c r="F581" s="232">
        <f t="shared" si="1166"/>
        <v>13.636000000000003</v>
      </c>
      <c r="G581" s="232">
        <f t="shared" si="1167"/>
        <v>10.908800000000003</v>
      </c>
      <c r="H581" s="232">
        <f t="shared" si="1168"/>
        <v>6.8180000000000014</v>
      </c>
      <c r="I581" s="232">
        <f t="shared" si="1201"/>
        <v>8</v>
      </c>
      <c r="J581" s="233">
        <f t="shared" ref="J581:J600" si="1281">yaw_min</f>
        <v>-8</v>
      </c>
      <c r="K581" s="87" t="s">
        <v>3925</v>
      </c>
      <c r="L581" s="232">
        <f t="shared" ref="L581:N581" si="1282">L580</f>
        <v>0.2</v>
      </c>
      <c r="M581" s="232">
        <f t="shared" si="1282"/>
        <v>150</v>
      </c>
      <c r="N581" s="232">
        <f t="shared" si="1282"/>
        <v>750</v>
      </c>
      <c r="O581" s="217"/>
      <c r="P581" s="38">
        <f t="shared" si="1189"/>
        <v>24</v>
      </c>
      <c r="Q581" s="38">
        <f t="shared" si="1224"/>
        <v>25</v>
      </c>
      <c r="R581" s="39">
        <f t="shared" si="1190"/>
        <v>0.99967848848331109</v>
      </c>
      <c r="S581" s="39">
        <f t="shared" si="1191"/>
        <v>0.99983779445975174</v>
      </c>
      <c r="T581" s="39">
        <f t="shared" si="1194"/>
        <v>1.5930597644064903E-4</v>
      </c>
      <c r="U581" s="89">
        <f t="shared" si="1217"/>
        <v>2.6115733842729349E-6</v>
      </c>
    </row>
    <row r="582" spans="1:21" ht="15.75" thickBot="1" x14ac:dyDescent="0.3">
      <c r="A582" s="229">
        <f t="shared" ref="A582:B582" si="1283">A581+1</f>
        <v>572</v>
      </c>
      <c r="B582" s="230">
        <f t="shared" si="1283"/>
        <v>572</v>
      </c>
      <c r="C582" s="92" t="str">
        <f t="shared" si="1153"/>
        <v>L11X25-352_000_02</v>
      </c>
      <c r="D582" s="231">
        <f>D581</f>
        <v>25</v>
      </c>
      <c r="E582" s="239">
        <f t="shared" si="1183"/>
        <v>3.4090000000000007</v>
      </c>
      <c r="F582" s="232">
        <f t="shared" si="1166"/>
        <v>13.636000000000003</v>
      </c>
      <c r="G582" s="232">
        <f t="shared" si="1167"/>
        <v>10.908800000000003</v>
      </c>
      <c r="H582" s="232">
        <f t="shared" si="1168"/>
        <v>6.8180000000000014</v>
      </c>
      <c r="I582" s="232">
        <f t="shared" si="1201"/>
        <v>8</v>
      </c>
      <c r="J582" s="233">
        <f t="shared" si="1281"/>
        <v>-8</v>
      </c>
      <c r="K582" s="87" t="s">
        <v>3926</v>
      </c>
      <c r="L582" s="232">
        <f t="shared" ref="L582:N582" si="1284">L581</f>
        <v>0.2</v>
      </c>
      <c r="M582" s="232">
        <f t="shared" si="1284"/>
        <v>150</v>
      </c>
      <c r="N582" s="232">
        <f t="shared" si="1284"/>
        <v>750</v>
      </c>
      <c r="O582" s="217"/>
      <c r="P582" s="38">
        <f t="shared" si="1189"/>
        <v>24</v>
      </c>
      <c r="Q582" s="38">
        <f t="shared" si="1224"/>
        <v>25</v>
      </c>
      <c r="R582" s="39">
        <f t="shared" si="1190"/>
        <v>0.99967848848331109</v>
      </c>
      <c r="S582" s="39">
        <f t="shared" si="1191"/>
        <v>0.99983779445975174</v>
      </c>
      <c r="T582" s="39">
        <f t="shared" si="1194"/>
        <v>1.5930597644064903E-4</v>
      </c>
      <c r="U582" s="89">
        <f t="shared" si="1217"/>
        <v>2.6115733842729349E-6</v>
      </c>
    </row>
    <row r="583" spans="1:21" ht="15.75" thickBot="1" x14ac:dyDescent="0.3">
      <c r="A583" s="229">
        <f t="shared" ref="A583:B583" si="1285">A582+1</f>
        <v>573</v>
      </c>
      <c r="B583" s="230">
        <f t="shared" si="1285"/>
        <v>573</v>
      </c>
      <c r="C583" s="92" t="str">
        <f t="shared" si="1153"/>
        <v>L11X25-352_000_03</v>
      </c>
      <c r="D583" s="231">
        <f t="shared" ref="D583:D640" si="1286">D582</f>
        <v>25</v>
      </c>
      <c r="E583" s="239">
        <f t="shared" si="1183"/>
        <v>3.4090000000000007</v>
      </c>
      <c r="F583" s="232">
        <f t="shared" si="1166"/>
        <v>13.636000000000003</v>
      </c>
      <c r="G583" s="232">
        <f t="shared" si="1167"/>
        <v>10.908800000000003</v>
      </c>
      <c r="H583" s="232">
        <f t="shared" si="1168"/>
        <v>6.8180000000000014</v>
      </c>
      <c r="I583" s="232">
        <f t="shared" si="1201"/>
        <v>8</v>
      </c>
      <c r="J583" s="233">
        <f t="shared" si="1281"/>
        <v>-8</v>
      </c>
      <c r="K583" s="87" t="s">
        <v>3867</v>
      </c>
      <c r="L583" s="232">
        <f t="shared" ref="L583:N583" si="1287">L582</f>
        <v>0.2</v>
      </c>
      <c r="M583" s="232">
        <f t="shared" si="1287"/>
        <v>150</v>
      </c>
      <c r="N583" s="232">
        <f t="shared" si="1287"/>
        <v>750</v>
      </c>
      <c r="O583" s="217"/>
      <c r="P583" s="38">
        <f t="shared" si="1189"/>
        <v>24</v>
      </c>
      <c r="Q583" s="38">
        <f t="shared" si="1224"/>
        <v>25</v>
      </c>
      <c r="R583" s="39">
        <f t="shared" si="1190"/>
        <v>0.99967848848331109</v>
      </c>
      <c r="S583" s="39">
        <f t="shared" si="1191"/>
        <v>0.99983779445975174</v>
      </c>
      <c r="T583" s="39">
        <f t="shared" si="1194"/>
        <v>1.5930597644064903E-4</v>
      </c>
      <c r="U583" s="89">
        <f t="shared" si="1217"/>
        <v>2.6115733842729349E-6</v>
      </c>
    </row>
    <row r="584" spans="1:21" ht="15.75" thickBot="1" x14ac:dyDescent="0.3">
      <c r="A584" s="229">
        <f t="shared" ref="A584:B584" si="1288">A583+1</f>
        <v>574</v>
      </c>
      <c r="B584" s="230">
        <f t="shared" si="1288"/>
        <v>574</v>
      </c>
      <c r="C584" s="92" t="str">
        <f t="shared" ref="C584:C640" si="1289">TEXT(RIGHT($B$2,LEN($B$2)-3),"L00")&amp;"X"&amp;TEXT(D584,"00")&amp;"-"&amp;IF(J584&lt;0,TEXT(360+J584,"000"),TEXT(J584,"000"))&amp;"_"&amp;"000"&amp;"_"&amp;TEXT(RIGHT(K584,LEN(K584)-FIND("-",K584)),"00")</f>
        <v>L11X25-352_000_04</v>
      </c>
      <c r="D584" s="231">
        <f t="shared" si="1286"/>
        <v>25</v>
      </c>
      <c r="E584" s="239">
        <f t="shared" si="1183"/>
        <v>3.4090000000000007</v>
      </c>
      <c r="F584" s="232">
        <f t="shared" si="1166"/>
        <v>13.636000000000003</v>
      </c>
      <c r="G584" s="232">
        <f t="shared" si="1167"/>
        <v>10.908800000000003</v>
      </c>
      <c r="H584" s="232">
        <f t="shared" si="1168"/>
        <v>6.8180000000000014</v>
      </c>
      <c r="I584" s="232">
        <f t="shared" si="1201"/>
        <v>8</v>
      </c>
      <c r="J584" s="233">
        <f t="shared" si="1281"/>
        <v>-8</v>
      </c>
      <c r="K584" s="87" t="s">
        <v>3868</v>
      </c>
      <c r="L584" s="232">
        <f t="shared" ref="L584:N584" si="1290">L583</f>
        <v>0.2</v>
      </c>
      <c r="M584" s="232">
        <f t="shared" si="1290"/>
        <v>150</v>
      </c>
      <c r="N584" s="232">
        <f t="shared" si="1290"/>
        <v>750</v>
      </c>
      <c r="O584" s="217"/>
      <c r="P584" s="38">
        <f t="shared" si="1189"/>
        <v>24</v>
      </c>
      <c r="Q584" s="38">
        <f t="shared" si="1224"/>
        <v>25</v>
      </c>
      <c r="R584" s="39">
        <f t="shared" si="1190"/>
        <v>0.99967848848331109</v>
      </c>
      <c r="S584" s="39">
        <f t="shared" si="1191"/>
        <v>0.99983779445975174</v>
      </c>
      <c r="T584" s="39">
        <f t="shared" si="1194"/>
        <v>1.5930597644064903E-4</v>
      </c>
      <c r="U584" s="89">
        <f t="shared" si="1217"/>
        <v>2.6115733842729349E-6</v>
      </c>
    </row>
    <row r="585" spans="1:21" ht="15.75" thickBot="1" x14ac:dyDescent="0.3">
      <c r="A585" s="229">
        <f t="shared" ref="A585:B585" si="1291">A584+1</f>
        <v>575</v>
      </c>
      <c r="B585" s="230">
        <f t="shared" si="1291"/>
        <v>575</v>
      </c>
      <c r="C585" s="92" t="str">
        <f t="shared" si="1289"/>
        <v>L11X25-352_000_05</v>
      </c>
      <c r="D585" s="231">
        <f t="shared" si="1286"/>
        <v>25</v>
      </c>
      <c r="E585" s="239">
        <f t="shared" si="1183"/>
        <v>3.4090000000000007</v>
      </c>
      <c r="F585" s="232">
        <f t="shared" si="1166"/>
        <v>13.636000000000003</v>
      </c>
      <c r="G585" s="232">
        <f t="shared" si="1167"/>
        <v>10.908800000000003</v>
      </c>
      <c r="H585" s="232">
        <f t="shared" si="1168"/>
        <v>6.8180000000000014</v>
      </c>
      <c r="I585" s="232">
        <f t="shared" si="1201"/>
        <v>8</v>
      </c>
      <c r="J585" s="233">
        <f t="shared" si="1281"/>
        <v>-8</v>
      </c>
      <c r="K585" s="87" t="s">
        <v>3869</v>
      </c>
      <c r="L585" s="232">
        <f t="shared" ref="L585:N585" si="1292">L584</f>
        <v>0.2</v>
      </c>
      <c r="M585" s="232">
        <f t="shared" si="1292"/>
        <v>150</v>
      </c>
      <c r="N585" s="232">
        <f t="shared" si="1292"/>
        <v>750</v>
      </c>
      <c r="O585" s="217"/>
      <c r="P585" s="38">
        <f t="shared" si="1189"/>
        <v>24</v>
      </c>
      <c r="Q585" s="38">
        <f t="shared" ref="Q585:Q616" si="1293">P585+v_step-1</f>
        <v>25</v>
      </c>
      <c r="R585" s="39">
        <f t="shared" si="1190"/>
        <v>0.99967848848331109</v>
      </c>
      <c r="S585" s="39">
        <f t="shared" si="1191"/>
        <v>0.99983779445975174</v>
      </c>
      <c r="T585" s="39">
        <f t="shared" si="1194"/>
        <v>1.5930597644064903E-4</v>
      </c>
      <c r="U585" s="89">
        <f t="shared" si="1217"/>
        <v>2.6115733842729349E-6</v>
      </c>
    </row>
    <row r="586" spans="1:21" ht="15.75" thickBot="1" x14ac:dyDescent="0.3">
      <c r="A586" s="229">
        <f t="shared" ref="A586:B586" si="1294">A585+1</f>
        <v>576</v>
      </c>
      <c r="B586" s="230">
        <f t="shared" si="1294"/>
        <v>576</v>
      </c>
      <c r="C586" s="92" t="str">
        <f t="shared" si="1289"/>
        <v>L11X25-352_000_06</v>
      </c>
      <c r="D586" s="231">
        <f t="shared" si="1286"/>
        <v>25</v>
      </c>
      <c r="E586" s="239">
        <f t="shared" si="1183"/>
        <v>3.4090000000000007</v>
      </c>
      <c r="F586" s="232">
        <f t="shared" si="1166"/>
        <v>13.636000000000003</v>
      </c>
      <c r="G586" s="232">
        <f t="shared" si="1167"/>
        <v>10.908800000000003</v>
      </c>
      <c r="H586" s="232">
        <f t="shared" si="1168"/>
        <v>6.8180000000000014</v>
      </c>
      <c r="I586" s="232">
        <f t="shared" si="1201"/>
        <v>8</v>
      </c>
      <c r="J586" s="233">
        <f t="shared" si="1281"/>
        <v>-8</v>
      </c>
      <c r="K586" s="87" t="s">
        <v>3870</v>
      </c>
      <c r="L586" s="232">
        <f t="shared" ref="L586:N586" si="1295">L585</f>
        <v>0.2</v>
      </c>
      <c r="M586" s="232">
        <f t="shared" si="1295"/>
        <v>150</v>
      </c>
      <c r="N586" s="232">
        <f t="shared" si="1295"/>
        <v>750</v>
      </c>
      <c r="O586" s="217"/>
      <c r="P586" s="38">
        <f t="shared" si="1189"/>
        <v>24</v>
      </c>
      <c r="Q586" s="38">
        <f t="shared" si="1293"/>
        <v>25</v>
      </c>
      <c r="R586" s="39">
        <f t="shared" si="1190"/>
        <v>0.99967848848331109</v>
      </c>
      <c r="S586" s="39">
        <f t="shared" si="1191"/>
        <v>0.99983779445975174</v>
      </c>
      <c r="T586" s="39">
        <f t="shared" si="1194"/>
        <v>1.5930597644064903E-4</v>
      </c>
      <c r="U586" s="89">
        <f t="shared" si="1217"/>
        <v>2.6115733842729349E-6</v>
      </c>
    </row>
    <row r="587" spans="1:21" ht="15.75" thickBot="1" x14ac:dyDescent="0.3">
      <c r="A587" s="229">
        <f t="shared" ref="A587:B587" si="1296">A586+1</f>
        <v>577</v>
      </c>
      <c r="B587" s="230">
        <f t="shared" si="1296"/>
        <v>577</v>
      </c>
      <c r="C587" s="92" t="str">
        <f t="shared" si="1289"/>
        <v>L11X25-352_000_07</v>
      </c>
      <c r="D587" s="231">
        <f t="shared" si="1286"/>
        <v>25</v>
      </c>
      <c r="E587" s="239">
        <f t="shared" si="1183"/>
        <v>3.4090000000000007</v>
      </c>
      <c r="F587" s="232">
        <f t="shared" si="1166"/>
        <v>13.636000000000003</v>
      </c>
      <c r="G587" s="232">
        <f t="shared" si="1167"/>
        <v>10.908800000000003</v>
      </c>
      <c r="H587" s="232">
        <f t="shared" si="1168"/>
        <v>6.8180000000000014</v>
      </c>
      <c r="I587" s="232">
        <f t="shared" si="1201"/>
        <v>8</v>
      </c>
      <c r="J587" s="233">
        <f t="shared" si="1281"/>
        <v>-8</v>
      </c>
      <c r="K587" s="87" t="s">
        <v>3871</v>
      </c>
      <c r="L587" s="232">
        <f t="shared" ref="L587:N587" si="1297">L586</f>
        <v>0.2</v>
      </c>
      <c r="M587" s="232">
        <f t="shared" si="1297"/>
        <v>150</v>
      </c>
      <c r="N587" s="232">
        <f t="shared" si="1297"/>
        <v>750</v>
      </c>
      <c r="O587" s="217"/>
      <c r="P587" s="38">
        <f t="shared" si="1189"/>
        <v>24</v>
      </c>
      <c r="Q587" s="38">
        <f t="shared" si="1293"/>
        <v>25</v>
      </c>
      <c r="R587" s="39">
        <f t="shared" si="1190"/>
        <v>0.99967848848331109</v>
      </c>
      <c r="S587" s="39">
        <f t="shared" si="1191"/>
        <v>0.99983779445975174</v>
      </c>
      <c r="T587" s="39">
        <f t="shared" si="1194"/>
        <v>1.5930597644064903E-4</v>
      </c>
      <c r="U587" s="89">
        <f t="shared" si="1217"/>
        <v>2.6115733842729349E-6</v>
      </c>
    </row>
    <row r="588" spans="1:21" ht="15.75" thickBot="1" x14ac:dyDescent="0.3">
      <c r="A588" s="229">
        <f t="shared" ref="A588:B588" si="1298">A587+1</f>
        <v>578</v>
      </c>
      <c r="B588" s="230">
        <f t="shared" si="1298"/>
        <v>578</v>
      </c>
      <c r="C588" s="92" t="str">
        <f t="shared" si="1289"/>
        <v>L11X25-352_000_08</v>
      </c>
      <c r="D588" s="231">
        <f t="shared" si="1286"/>
        <v>25</v>
      </c>
      <c r="E588" s="239">
        <f t="shared" si="1183"/>
        <v>3.4090000000000007</v>
      </c>
      <c r="F588" s="232">
        <f t="shared" si="1166"/>
        <v>13.636000000000003</v>
      </c>
      <c r="G588" s="232">
        <f t="shared" si="1167"/>
        <v>10.908800000000003</v>
      </c>
      <c r="H588" s="232">
        <f t="shared" si="1168"/>
        <v>6.8180000000000014</v>
      </c>
      <c r="I588" s="232">
        <f t="shared" si="1201"/>
        <v>8</v>
      </c>
      <c r="J588" s="233">
        <f t="shared" si="1281"/>
        <v>-8</v>
      </c>
      <c r="K588" s="87" t="s">
        <v>3872</v>
      </c>
      <c r="L588" s="232">
        <f t="shared" ref="L588:N588" si="1299">L587</f>
        <v>0.2</v>
      </c>
      <c r="M588" s="232">
        <f t="shared" si="1299"/>
        <v>150</v>
      </c>
      <c r="N588" s="232">
        <f t="shared" si="1299"/>
        <v>750</v>
      </c>
      <c r="O588" s="217"/>
      <c r="P588" s="38">
        <f t="shared" si="1189"/>
        <v>24</v>
      </c>
      <c r="Q588" s="38">
        <f t="shared" si="1293"/>
        <v>25</v>
      </c>
      <c r="R588" s="39">
        <f t="shared" si="1190"/>
        <v>0.99967848848331109</v>
      </c>
      <c r="S588" s="39">
        <f t="shared" si="1191"/>
        <v>0.99983779445975174</v>
      </c>
      <c r="T588" s="39">
        <f t="shared" si="1194"/>
        <v>1.5930597644064903E-4</v>
      </c>
      <c r="U588" s="89">
        <f t="shared" si="1217"/>
        <v>2.6115733842729349E-6</v>
      </c>
    </row>
    <row r="589" spans="1:21" ht="15.75" thickBot="1" x14ac:dyDescent="0.3">
      <c r="A589" s="229">
        <f t="shared" ref="A589:B589" si="1300">A588+1</f>
        <v>579</v>
      </c>
      <c r="B589" s="230">
        <f t="shared" si="1300"/>
        <v>579</v>
      </c>
      <c r="C589" s="92" t="str">
        <f t="shared" si="1289"/>
        <v>L11X25-352_000_09</v>
      </c>
      <c r="D589" s="231">
        <f t="shared" si="1286"/>
        <v>25</v>
      </c>
      <c r="E589" s="239">
        <f t="shared" si="1183"/>
        <v>3.4090000000000007</v>
      </c>
      <c r="F589" s="232">
        <f t="shared" si="1166"/>
        <v>13.636000000000003</v>
      </c>
      <c r="G589" s="232">
        <f t="shared" si="1167"/>
        <v>10.908800000000003</v>
      </c>
      <c r="H589" s="232">
        <f t="shared" si="1168"/>
        <v>6.8180000000000014</v>
      </c>
      <c r="I589" s="232">
        <f t="shared" si="1201"/>
        <v>8</v>
      </c>
      <c r="J589" s="233">
        <f t="shared" si="1281"/>
        <v>-8</v>
      </c>
      <c r="K589" s="87" t="s">
        <v>3873</v>
      </c>
      <c r="L589" s="232">
        <f t="shared" ref="L589:N589" si="1301">L588</f>
        <v>0.2</v>
      </c>
      <c r="M589" s="232">
        <f t="shared" si="1301"/>
        <v>150</v>
      </c>
      <c r="N589" s="232">
        <f t="shared" si="1301"/>
        <v>750</v>
      </c>
      <c r="O589" s="217"/>
      <c r="P589" s="38">
        <f t="shared" si="1189"/>
        <v>24</v>
      </c>
      <c r="Q589" s="38">
        <f t="shared" si="1293"/>
        <v>25</v>
      </c>
      <c r="R589" s="39">
        <f t="shared" si="1190"/>
        <v>0.99967848848331109</v>
      </c>
      <c r="S589" s="39">
        <f t="shared" si="1191"/>
        <v>0.99983779445975174</v>
      </c>
      <c r="T589" s="39">
        <f t="shared" si="1194"/>
        <v>1.5930597644064903E-4</v>
      </c>
      <c r="U589" s="89">
        <f t="shared" si="1217"/>
        <v>2.6115733842729349E-6</v>
      </c>
    </row>
    <row r="590" spans="1:21" ht="15.75" thickBot="1" x14ac:dyDescent="0.3">
      <c r="A590" s="229">
        <f t="shared" ref="A590:B590" si="1302">A589+1</f>
        <v>580</v>
      </c>
      <c r="B590" s="230">
        <f t="shared" si="1302"/>
        <v>580</v>
      </c>
      <c r="C590" s="92" t="str">
        <f t="shared" si="1289"/>
        <v>L11X25-352_000_10</v>
      </c>
      <c r="D590" s="231">
        <f t="shared" si="1286"/>
        <v>25</v>
      </c>
      <c r="E590" s="239">
        <f t="shared" si="1183"/>
        <v>3.4090000000000007</v>
      </c>
      <c r="F590" s="232">
        <f t="shared" ref="F590:F640" si="1303">E590/D590*100</f>
        <v>13.636000000000003</v>
      </c>
      <c r="G590" s="232">
        <f t="shared" ref="G590:G640" si="1304">m_ty*F590</f>
        <v>10.908800000000003</v>
      </c>
      <c r="H590" s="232">
        <f t="shared" ref="H590:H640" si="1305">m_tz*F590</f>
        <v>6.8180000000000014</v>
      </c>
      <c r="I590" s="232">
        <f t="shared" si="1201"/>
        <v>8</v>
      </c>
      <c r="J590" s="233">
        <f t="shared" si="1281"/>
        <v>-8</v>
      </c>
      <c r="K590" s="87" t="s">
        <v>3874</v>
      </c>
      <c r="L590" s="232">
        <f t="shared" ref="L590:N590" si="1306">L589</f>
        <v>0.2</v>
      </c>
      <c r="M590" s="232">
        <f t="shared" si="1306"/>
        <v>150</v>
      </c>
      <c r="N590" s="232">
        <f t="shared" si="1306"/>
        <v>750</v>
      </c>
      <c r="O590" s="217"/>
      <c r="P590" s="38">
        <f t="shared" si="1189"/>
        <v>24</v>
      </c>
      <c r="Q590" s="38">
        <f t="shared" si="1293"/>
        <v>25</v>
      </c>
      <c r="R590" s="39">
        <f t="shared" si="1190"/>
        <v>0.99967848848331109</v>
      </c>
      <c r="S590" s="39">
        <f t="shared" si="1191"/>
        <v>0.99983779445975174</v>
      </c>
      <c r="T590" s="39">
        <f t="shared" si="1194"/>
        <v>1.5930597644064903E-4</v>
      </c>
      <c r="U590" s="89">
        <f t="shared" si="1217"/>
        <v>2.6115733842729349E-6</v>
      </c>
    </row>
    <row r="591" spans="1:21" ht="15.75" thickBot="1" x14ac:dyDescent="0.3">
      <c r="A591" s="229">
        <f t="shared" ref="A591:B591" si="1307">A590+1</f>
        <v>581</v>
      </c>
      <c r="B591" s="230">
        <f t="shared" si="1307"/>
        <v>581</v>
      </c>
      <c r="C591" s="92" t="str">
        <f t="shared" si="1289"/>
        <v>L11X25-352_000_11</v>
      </c>
      <c r="D591" s="231">
        <f t="shared" si="1286"/>
        <v>25</v>
      </c>
      <c r="E591" s="239">
        <f t="shared" si="1183"/>
        <v>3.4090000000000007</v>
      </c>
      <c r="F591" s="232">
        <f t="shared" si="1303"/>
        <v>13.636000000000003</v>
      </c>
      <c r="G591" s="232">
        <f t="shared" si="1304"/>
        <v>10.908800000000003</v>
      </c>
      <c r="H591" s="232">
        <f t="shared" si="1305"/>
        <v>6.8180000000000014</v>
      </c>
      <c r="I591" s="232">
        <f t="shared" si="1201"/>
        <v>8</v>
      </c>
      <c r="J591" s="233">
        <f t="shared" si="1281"/>
        <v>-8</v>
      </c>
      <c r="K591" s="87" t="s">
        <v>3875</v>
      </c>
      <c r="L591" s="232">
        <f t="shared" ref="L591:N591" si="1308">L590</f>
        <v>0.2</v>
      </c>
      <c r="M591" s="232">
        <f t="shared" si="1308"/>
        <v>150</v>
      </c>
      <c r="N591" s="232">
        <f t="shared" si="1308"/>
        <v>750</v>
      </c>
      <c r="O591" s="217"/>
      <c r="P591" s="38">
        <f t="shared" si="1189"/>
        <v>24</v>
      </c>
      <c r="Q591" s="38">
        <f t="shared" si="1293"/>
        <v>25</v>
      </c>
      <c r="R591" s="39">
        <f t="shared" si="1190"/>
        <v>0.99967848848331109</v>
      </c>
      <c r="S591" s="39">
        <f t="shared" si="1191"/>
        <v>0.99983779445975174</v>
      </c>
      <c r="T591" s="39">
        <f t="shared" si="1194"/>
        <v>1.5930597644064903E-4</v>
      </c>
      <c r="U591" s="89">
        <f t="shared" si="1217"/>
        <v>2.6115733842729349E-6</v>
      </c>
    </row>
    <row r="592" spans="1:21" ht="15.75" thickBot="1" x14ac:dyDescent="0.3">
      <c r="A592" s="229">
        <f t="shared" ref="A592:B592" si="1309">A591+1</f>
        <v>582</v>
      </c>
      <c r="B592" s="230">
        <f t="shared" si="1309"/>
        <v>582</v>
      </c>
      <c r="C592" s="92" t="str">
        <f t="shared" si="1289"/>
        <v>L11X25-352_000_12</v>
      </c>
      <c r="D592" s="231">
        <f t="shared" si="1286"/>
        <v>25</v>
      </c>
      <c r="E592" s="239">
        <f t="shared" si="1183"/>
        <v>3.4090000000000007</v>
      </c>
      <c r="F592" s="232">
        <f t="shared" si="1303"/>
        <v>13.636000000000003</v>
      </c>
      <c r="G592" s="232">
        <f t="shared" si="1304"/>
        <v>10.908800000000003</v>
      </c>
      <c r="H592" s="232">
        <f t="shared" si="1305"/>
        <v>6.8180000000000014</v>
      </c>
      <c r="I592" s="232">
        <f t="shared" si="1201"/>
        <v>8</v>
      </c>
      <c r="J592" s="233">
        <f t="shared" si="1281"/>
        <v>-8</v>
      </c>
      <c r="K592" s="87" t="s">
        <v>3876</v>
      </c>
      <c r="L592" s="232">
        <f t="shared" ref="L592:N592" si="1310">L591</f>
        <v>0.2</v>
      </c>
      <c r="M592" s="232">
        <f t="shared" si="1310"/>
        <v>150</v>
      </c>
      <c r="N592" s="232">
        <f t="shared" si="1310"/>
        <v>750</v>
      </c>
      <c r="O592" s="217"/>
      <c r="P592" s="38">
        <f t="shared" si="1189"/>
        <v>24</v>
      </c>
      <c r="Q592" s="38">
        <f t="shared" si="1293"/>
        <v>25</v>
      </c>
      <c r="R592" s="39">
        <f t="shared" si="1190"/>
        <v>0.99967848848331109</v>
      </c>
      <c r="S592" s="39">
        <f t="shared" si="1191"/>
        <v>0.99983779445975174</v>
      </c>
      <c r="T592" s="39">
        <f t="shared" si="1194"/>
        <v>1.5930597644064903E-4</v>
      </c>
      <c r="U592" s="89">
        <f t="shared" si="1217"/>
        <v>2.6115733842729349E-6</v>
      </c>
    </row>
    <row r="593" spans="1:21" ht="15.75" thickBot="1" x14ac:dyDescent="0.3">
      <c r="A593" s="229">
        <f t="shared" ref="A593:B593" si="1311">A592+1</f>
        <v>583</v>
      </c>
      <c r="B593" s="230">
        <f t="shared" si="1311"/>
        <v>583</v>
      </c>
      <c r="C593" s="92" t="str">
        <f t="shared" si="1289"/>
        <v>L11X25-352_000_13</v>
      </c>
      <c r="D593" s="231">
        <f t="shared" si="1286"/>
        <v>25</v>
      </c>
      <c r="E593" s="239">
        <f t="shared" si="1183"/>
        <v>3.4090000000000007</v>
      </c>
      <c r="F593" s="232">
        <f t="shared" si="1303"/>
        <v>13.636000000000003</v>
      </c>
      <c r="G593" s="232">
        <f t="shared" si="1304"/>
        <v>10.908800000000003</v>
      </c>
      <c r="H593" s="232">
        <f t="shared" si="1305"/>
        <v>6.8180000000000014</v>
      </c>
      <c r="I593" s="232">
        <f t="shared" si="1201"/>
        <v>8</v>
      </c>
      <c r="J593" s="233">
        <f t="shared" si="1281"/>
        <v>-8</v>
      </c>
      <c r="K593" s="87" t="s">
        <v>3877</v>
      </c>
      <c r="L593" s="232">
        <f t="shared" ref="L593:N593" si="1312">L592</f>
        <v>0.2</v>
      </c>
      <c r="M593" s="232">
        <f t="shared" si="1312"/>
        <v>150</v>
      </c>
      <c r="N593" s="232">
        <f t="shared" si="1312"/>
        <v>750</v>
      </c>
      <c r="O593" s="217"/>
      <c r="P593" s="38">
        <f t="shared" si="1189"/>
        <v>24</v>
      </c>
      <c r="Q593" s="38">
        <f t="shared" si="1293"/>
        <v>25</v>
      </c>
      <c r="R593" s="39">
        <f t="shared" si="1190"/>
        <v>0.99967848848331109</v>
      </c>
      <c r="S593" s="39">
        <f t="shared" si="1191"/>
        <v>0.99983779445975174</v>
      </c>
      <c r="T593" s="39">
        <f t="shared" si="1194"/>
        <v>1.5930597644064903E-4</v>
      </c>
      <c r="U593" s="89">
        <f t="shared" si="1217"/>
        <v>2.6115733842729349E-6</v>
      </c>
    </row>
    <row r="594" spans="1:21" ht="15.75" thickBot="1" x14ac:dyDescent="0.3">
      <c r="A594" s="229">
        <f t="shared" ref="A594:B594" si="1313">A593+1</f>
        <v>584</v>
      </c>
      <c r="B594" s="230">
        <f t="shared" si="1313"/>
        <v>584</v>
      </c>
      <c r="C594" s="92" t="str">
        <f t="shared" si="1289"/>
        <v>L11X25-352_000_14</v>
      </c>
      <c r="D594" s="231">
        <f t="shared" si="1286"/>
        <v>25</v>
      </c>
      <c r="E594" s="239">
        <f t="shared" si="1183"/>
        <v>3.4090000000000007</v>
      </c>
      <c r="F594" s="232">
        <f t="shared" si="1303"/>
        <v>13.636000000000003</v>
      </c>
      <c r="G594" s="232">
        <f t="shared" si="1304"/>
        <v>10.908800000000003</v>
      </c>
      <c r="H594" s="232">
        <f t="shared" si="1305"/>
        <v>6.8180000000000014</v>
      </c>
      <c r="I594" s="232">
        <f t="shared" si="1201"/>
        <v>8</v>
      </c>
      <c r="J594" s="233">
        <f t="shared" si="1281"/>
        <v>-8</v>
      </c>
      <c r="K594" s="87" t="s">
        <v>3878</v>
      </c>
      <c r="L594" s="232">
        <f t="shared" ref="L594:N594" si="1314">L593</f>
        <v>0.2</v>
      </c>
      <c r="M594" s="232">
        <f t="shared" si="1314"/>
        <v>150</v>
      </c>
      <c r="N594" s="232">
        <f t="shared" si="1314"/>
        <v>750</v>
      </c>
      <c r="O594" s="217"/>
      <c r="P594" s="38">
        <f t="shared" si="1189"/>
        <v>24</v>
      </c>
      <c r="Q594" s="38">
        <f t="shared" si="1293"/>
        <v>25</v>
      </c>
      <c r="R594" s="39">
        <f t="shared" si="1190"/>
        <v>0.99967848848331109</v>
      </c>
      <c r="S594" s="39">
        <f t="shared" si="1191"/>
        <v>0.99983779445975174</v>
      </c>
      <c r="T594" s="39">
        <f t="shared" si="1194"/>
        <v>1.5930597644064903E-4</v>
      </c>
      <c r="U594" s="89">
        <f t="shared" si="1217"/>
        <v>2.6115733842729349E-6</v>
      </c>
    </row>
    <row r="595" spans="1:21" ht="15.75" thickBot="1" x14ac:dyDescent="0.3">
      <c r="A595" s="229">
        <f t="shared" ref="A595:B595" si="1315">A594+1</f>
        <v>585</v>
      </c>
      <c r="B595" s="230">
        <f t="shared" si="1315"/>
        <v>585</v>
      </c>
      <c r="C595" s="92" t="str">
        <f t="shared" si="1289"/>
        <v>L11X25-352_000_15</v>
      </c>
      <c r="D595" s="231">
        <f t="shared" si="1286"/>
        <v>25</v>
      </c>
      <c r="E595" s="239">
        <f t="shared" si="1183"/>
        <v>3.4090000000000007</v>
      </c>
      <c r="F595" s="232">
        <f t="shared" si="1303"/>
        <v>13.636000000000003</v>
      </c>
      <c r="G595" s="232">
        <f t="shared" si="1304"/>
        <v>10.908800000000003</v>
      </c>
      <c r="H595" s="232">
        <f t="shared" si="1305"/>
        <v>6.8180000000000014</v>
      </c>
      <c r="I595" s="232">
        <f t="shared" si="1201"/>
        <v>8</v>
      </c>
      <c r="J595" s="233">
        <f t="shared" si="1281"/>
        <v>-8</v>
      </c>
      <c r="K595" s="87" t="s">
        <v>3879</v>
      </c>
      <c r="L595" s="232">
        <f t="shared" ref="L595:N595" si="1316">L594</f>
        <v>0.2</v>
      </c>
      <c r="M595" s="232">
        <f t="shared" si="1316"/>
        <v>150</v>
      </c>
      <c r="N595" s="232">
        <f t="shared" si="1316"/>
        <v>750</v>
      </c>
      <c r="O595" s="217"/>
      <c r="P595" s="38">
        <f t="shared" si="1189"/>
        <v>24</v>
      </c>
      <c r="Q595" s="38">
        <f t="shared" si="1293"/>
        <v>25</v>
      </c>
      <c r="R595" s="39">
        <f t="shared" si="1190"/>
        <v>0.99967848848331109</v>
      </c>
      <c r="S595" s="39">
        <f t="shared" si="1191"/>
        <v>0.99983779445975174</v>
      </c>
      <c r="T595" s="39">
        <f t="shared" si="1194"/>
        <v>1.5930597644064903E-4</v>
      </c>
      <c r="U595" s="89">
        <f t="shared" si="1217"/>
        <v>2.6115733842729349E-6</v>
      </c>
    </row>
    <row r="596" spans="1:21" ht="15.75" thickBot="1" x14ac:dyDescent="0.3">
      <c r="A596" s="229">
        <f t="shared" ref="A596:B596" si="1317">A595+1</f>
        <v>586</v>
      </c>
      <c r="B596" s="230">
        <f t="shared" si="1317"/>
        <v>586</v>
      </c>
      <c r="C596" s="92" t="str">
        <f t="shared" si="1289"/>
        <v>L11X25-352_000_16</v>
      </c>
      <c r="D596" s="231">
        <f t="shared" si="1286"/>
        <v>25</v>
      </c>
      <c r="E596" s="239">
        <f t="shared" si="1183"/>
        <v>3.4090000000000007</v>
      </c>
      <c r="F596" s="232">
        <f t="shared" si="1303"/>
        <v>13.636000000000003</v>
      </c>
      <c r="G596" s="232">
        <f t="shared" si="1304"/>
        <v>10.908800000000003</v>
      </c>
      <c r="H596" s="232">
        <f t="shared" si="1305"/>
        <v>6.8180000000000014</v>
      </c>
      <c r="I596" s="232">
        <f t="shared" si="1201"/>
        <v>8</v>
      </c>
      <c r="J596" s="233">
        <f t="shared" si="1281"/>
        <v>-8</v>
      </c>
      <c r="K596" s="87" t="s">
        <v>3880</v>
      </c>
      <c r="L596" s="232">
        <f t="shared" ref="L596:N596" si="1318">L595</f>
        <v>0.2</v>
      </c>
      <c r="M596" s="232">
        <f t="shared" si="1318"/>
        <v>150</v>
      </c>
      <c r="N596" s="232">
        <f t="shared" si="1318"/>
        <v>750</v>
      </c>
      <c r="O596" s="217"/>
      <c r="P596" s="38">
        <f t="shared" si="1189"/>
        <v>24</v>
      </c>
      <c r="Q596" s="38">
        <f t="shared" si="1293"/>
        <v>25</v>
      </c>
      <c r="R596" s="39">
        <f t="shared" si="1190"/>
        <v>0.99967848848331109</v>
      </c>
      <c r="S596" s="39">
        <f t="shared" si="1191"/>
        <v>0.99983779445975174</v>
      </c>
      <c r="T596" s="39">
        <f t="shared" si="1194"/>
        <v>1.5930597644064903E-4</v>
      </c>
      <c r="U596" s="89">
        <f t="shared" si="1217"/>
        <v>2.6115733842729349E-6</v>
      </c>
    </row>
    <row r="597" spans="1:21" ht="15.75" thickBot="1" x14ac:dyDescent="0.3">
      <c r="A597" s="229">
        <f t="shared" ref="A597:B597" si="1319">A596+1</f>
        <v>587</v>
      </c>
      <c r="B597" s="230">
        <f t="shared" si="1319"/>
        <v>587</v>
      </c>
      <c r="C597" s="92" t="str">
        <f t="shared" si="1289"/>
        <v>L11X25-352_000_17</v>
      </c>
      <c r="D597" s="231">
        <f t="shared" si="1286"/>
        <v>25</v>
      </c>
      <c r="E597" s="239">
        <f t="shared" ref="E597:E640" si="1320">I_ref*(0.75*D597+5.6)</f>
        <v>3.4090000000000007</v>
      </c>
      <c r="F597" s="232">
        <f t="shared" si="1303"/>
        <v>13.636000000000003</v>
      </c>
      <c r="G597" s="232">
        <f t="shared" si="1304"/>
        <v>10.908800000000003</v>
      </c>
      <c r="H597" s="232">
        <f t="shared" si="1305"/>
        <v>6.8180000000000014</v>
      </c>
      <c r="I597" s="232">
        <f t="shared" si="1201"/>
        <v>8</v>
      </c>
      <c r="J597" s="233">
        <f t="shared" si="1281"/>
        <v>-8</v>
      </c>
      <c r="K597" s="87" t="s">
        <v>3881</v>
      </c>
      <c r="L597" s="232">
        <f t="shared" ref="L597:N597" si="1321">L596</f>
        <v>0.2</v>
      </c>
      <c r="M597" s="232">
        <f t="shared" si="1321"/>
        <v>150</v>
      </c>
      <c r="N597" s="232">
        <f t="shared" si="1321"/>
        <v>750</v>
      </c>
      <c r="O597" s="217"/>
      <c r="P597" s="38">
        <f t="shared" si="1189"/>
        <v>24</v>
      </c>
      <c r="Q597" s="38">
        <f t="shared" si="1293"/>
        <v>25</v>
      </c>
      <c r="R597" s="39">
        <f t="shared" si="1190"/>
        <v>0.99967848848331109</v>
      </c>
      <c r="S597" s="39">
        <f t="shared" si="1191"/>
        <v>0.99983779445975174</v>
      </c>
      <c r="T597" s="39">
        <f t="shared" si="1194"/>
        <v>1.5930597644064903E-4</v>
      </c>
      <c r="U597" s="89">
        <f t="shared" si="1217"/>
        <v>2.6115733842729349E-6</v>
      </c>
    </row>
    <row r="598" spans="1:21" ht="15.75" thickBot="1" x14ac:dyDescent="0.3">
      <c r="A598" s="229">
        <f t="shared" ref="A598:B598" si="1322">A597+1</f>
        <v>588</v>
      </c>
      <c r="B598" s="230">
        <f t="shared" si="1322"/>
        <v>588</v>
      </c>
      <c r="C598" s="92" t="str">
        <f t="shared" si="1289"/>
        <v>L11X25-352_000_18</v>
      </c>
      <c r="D598" s="231">
        <f t="shared" si="1286"/>
        <v>25</v>
      </c>
      <c r="E598" s="239">
        <f t="shared" si="1320"/>
        <v>3.4090000000000007</v>
      </c>
      <c r="F598" s="232">
        <f t="shared" si="1303"/>
        <v>13.636000000000003</v>
      </c>
      <c r="G598" s="232">
        <f t="shared" si="1304"/>
        <v>10.908800000000003</v>
      </c>
      <c r="H598" s="232">
        <f t="shared" si="1305"/>
        <v>6.8180000000000014</v>
      </c>
      <c r="I598" s="232">
        <f t="shared" si="1201"/>
        <v>8</v>
      </c>
      <c r="J598" s="233">
        <f t="shared" si="1281"/>
        <v>-8</v>
      </c>
      <c r="K598" s="87" t="s">
        <v>3882</v>
      </c>
      <c r="L598" s="232">
        <f t="shared" ref="L598:N598" si="1323">L597</f>
        <v>0.2</v>
      </c>
      <c r="M598" s="232">
        <f t="shared" si="1323"/>
        <v>150</v>
      </c>
      <c r="N598" s="232">
        <f t="shared" si="1323"/>
        <v>750</v>
      </c>
      <c r="O598" s="217"/>
      <c r="P598" s="38">
        <f t="shared" si="1189"/>
        <v>24</v>
      </c>
      <c r="Q598" s="38">
        <f t="shared" si="1293"/>
        <v>25</v>
      </c>
      <c r="R598" s="39">
        <f t="shared" si="1190"/>
        <v>0.99967848848331109</v>
      </c>
      <c r="S598" s="39">
        <f t="shared" si="1191"/>
        <v>0.99983779445975174</v>
      </c>
      <c r="T598" s="39">
        <f t="shared" si="1194"/>
        <v>1.5930597644064903E-4</v>
      </c>
      <c r="U598" s="89">
        <f t="shared" si="1217"/>
        <v>2.6115733842729349E-6</v>
      </c>
    </row>
    <row r="599" spans="1:21" ht="15.75" thickBot="1" x14ac:dyDescent="0.3">
      <c r="A599" s="229">
        <f t="shared" ref="A599:B599" si="1324">A598+1</f>
        <v>589</v>
      </c>
      <c r="B599" s="230">
        <f t="shared" si="1324"/>
        <v>589</v>
      </c>
      <c r="C599" s="92" t="str">
        <f t="shared" si="1289"/>
        <v>L11X25-352_000_19</v>
      </c>
      <c r="D599" s="231">
        <f t="shared" si="1286"/>
        <v>25</v>
      </c>
      <c r="E599" s="239">
        <f t="shared" si="1320"/>
        <v>3.4090000000000007</v>
      </c>
      <c r="F599" s="232">
        <f t="shared" si="1303"/>
        <v>13.636000000000003</v>
      </c>
      <c r="G599" s="232">
        <f t="shared" si="1304"/>
        <v>10.908800000000003</v>
      </c>
      <c r="H599" s="232">
        <f t="shared" si="1305"/>
        <v>6.8180000000000014</v>
      </c>
      <c r="I599" s="232">
        <f t="shared" si="1201"/>
        <v>8</v>
      </c>
      <c r="J599" s="233">
        <f t="shared" si="1281"/>
        <v>-8</v>
      </c>
      <c r="K599" s="87" t="s">
        <v>3883</v>
      </c>
      <c r="L599" s="232">
        <f t="shared" ref="L599:N599" si="1325">L598</f>
        <v>0.2</v>
      </c>
      <c r="M599" s="232">
        <f t="shared" si="1325"/>
        <v>150</v>
      </c>
      <c r="N599" s="232">
        <f t="shared" si="1325"/>
        <v>750</v>
      </c>
      <c r="O599" s="217"/>
      <c r="P599" s="38">
        <f t="shared" ref="P599:P640" si="1326">D599-v_step/2</f>
        <v>24</v>
      </c>
      <c r="Q599" s="38">
        <f t="shared" si="1293"/>
        <v>25</v>
      </c>
      <c r="R599" s="39">
        <f t="shared" ref="R599:R640" si="1327">IF(wpd="Rayleigh",1-EXP(-PI()*((P599/2/v_ave)^2)),IF(wpd="Weibull",1-EXP(-((P599/weibull_A)^weibull_K))))</f>
        <v>0.99967848848331109</v>
      </c>
      <c r="S599" s="39">
        <f t="shared" ref="S599:S640" si="1328">IF(wpd="Rayleigh",1-EXP(-PI()*((Q599/2/v_ave)^2)),IF(wpd="Weibull",1-EXP(-((Q599/weibull_A)^weibull_K))))</f>
        <v>0.99983779445975174</v>
      </c>
      <c r="T599" s="39">
        <f t="shared" si="1194"/>
        <v>1.5930597644064903E-4</v>
      </c>
      <c r="U599" s="89">
        <f t="shared" si="1217"/>
        <v>2.6115733842729349E-6</v>
      </c>
    </row>
    <row r="600" spans="1:21" ht="15.75" thickBot="1" x14ac:dyDescent="0.3">
      <c r="A600" s="229">
        <f t="shared" ref="A600:B600" si="1329">A599+1</f>
        <v>590</v>
      </c>
      <c r="B600" s="230">
        <f t="shared" si="1329"/>
        <v>590</v>
      </c>
      <c r="C600" s="92" t="str">
        <f t="shared" si="1289"/>
        <v>L11X25-352_000_20</v>
      </c>
      <c r="D600" s="231">
        <f t="shared" si="1286"/>
        <v>25</v>
      </c>
      <c r="E600" s="239">
        <f t="shared" si="1320"/>
        <v>3.4090000000000007</v>
      </c>
      <c r="F600" s="232">
        <f t="shared" si="1303"/>
        <v>13.636000000000003</v>
      </c>
      <c r="G600" s="232">
        <f t="shared" si="1304"/>
        <v>10.908800000000003</v>
      </c>
      <c r="H600" s="232">
        <f t="shared" si="1305"/>
        <v>6.8180000000000014</v>
      </c>
      <c r="I600" s="232">
        <f t="shared" si="1201"/>
        <v>8</v>
      </c>
      <c r="J600" s="233">
        <f t="shared" si="1281"/>
        <v>-8</v>
      </c>
      <c r="K600" s="87" t="s">
        <v>3884</v>
      </c>
      <c r="L600" s="232">
        <f t="shared" ref="L600:N600" si="1330">L599</f>
        <v>0.2</v>
      </c>
      <c r="M600" s="232">
        <f t="shared" si="1330"/>
        <v>150</v>
      </c>
      <c r="N600" s="232">
        <f t="shared" si="1330"/>
        <v>750</v>
      </c>
      <c r="O600" s="217"/>
      <c r="P600" s="38">
        <f t="shared" si="1326"/>
        <v>24</v>
      </c>
      <c r="Q600" s="38">
        <f t="shared" si="1293"/>
        <v>25</v>
      </c>
      <c r="R600" s="39">
        <f t="shared" si="1327"/>
        <v>0.99967848848331109</v>
      </c>
      <c r="S600" s="39">
        <f t="shared" si="1328"/>
        <v>0.99983779445975174</v>
      </c>
      <c r="T600" s="39">
        <f t="shared" ref="T600:T640" si="1331">S600-R600</f>
        <v>1.5930597644064903E-4</v>
      </c>
      <c r="U600" s="89">
        <f t="shared" si="1217"/>
        <v>2.6115733842729349E-6</v>
      </c>
    </row>
    <row r="601" spans="1:21" ht="15.75" thickBot="1" x14ac:dyDescent="0.3">
      <c r="A601" s="229">
        <f t="shared" ref="A601:B601" si="1332">A600+1</f>
        <v>591</v>
      </c>
      <c r="B601" s="230">
        <f t="shared" si="1332"/>
        <v>591</v>
      </c>
      <c r="C601" s="92" t="str">
        <f t="shared" si="1289"/>
        <v>L11X25-000_000_21</v>
      </c>
      <c r="D601" s="231">
        <f t="shared" si="1286"/>
        <v>25</v>
      </c>
      <c r="E601" s="239">
        <f t="shared" si="1320"/>
        <v>3.4090000000000007</v>
      </c>
      <c r="F601" s="232">
        <f t="shared" si="1303"/>
        <v>13.636000000000003</v>
      </c>
      <c r="G601" s="232">
        <f t="shared" si="1304"/>
        <v>10.908800000000003</v>
      </c>
      <c r="H601" s="232">
        <f t="shared" si="1305"/>
        <v>6.8180000000000014</v>
      </c>
      <c r="I601" s="232">
        <f t="shared" si="1201"/>
        <v>8</v>
      </c>
      <c r="J601" s="233">
        <f t="shared" ref="J601:J620" si="1333">yaw_null</f>
        <v>0</v>
      </c>
      <c r="K601" s="87" t="s">
        <v>3885</v>
      </c>
      <c r="L601" s="232">
        <f t="shared" ref="L601:N601" si="1334">L600</f>
        <v>0.2</v>
      </c>
      <c r="M601" s="232">
        <f t="shared" si="1334"/>
        <v>150</v>
      </c>
      <c r="N601" s="232">
        <f t="shared" si="1334"/>
        <v>750</v>
      </c>
      <c r="O601" s="217"/>
      <c r="P601" s="38">
        <f t="shared" si="1326"/>
        <v>24</v>
      </c>
      <c r="Q601" s="38">
        <f t="shared" si="1293"/>
        <v>25</v>
      </c>
      <c r="R601" s="39">
        <f t="shared" si="1327"/>
        <v>0.99967848848331109</v>
      </c>
      <c r="S601" s="39">
        <f t="shared" si="1328"/>
        <v>0.99983779445975174</v>
      </c>
      <c r="T601" s="39">
        <f t="shared" si="1331"/>
        <v>1.5930597644064903E-4</v>
      </c>
      <c r="U601" s="89">
        <f t="shared" si="1217"/>
        <v>2.6115733842729349E-6</v>
      </c>
    </row>
    <row r="602" spans="1:21" ht="15.75" thickBot="1" x14ac:dyDescent="0.3">
      <c r="A602" s="229">
        <f t="shared" ref="A602:B602" si="1335">A601+1</f>
        <v>592</v>
      </c>
      <c r="B602" s="230">
        <f t="shared" si="1335"/>
        <v>592</v>
      </c>
      <c r="C602" s="92" t="str">
        <f t="shared" si="1289"/>
        <v>L11X25-000_000_22</v>
      </c>
      <c r="D602" s="231">
        <f t="shared" si="1286"/>
        <v>25</v>
      </c>
      <c r="E602" s="239">
        <f t="shared" si="1320"/>
        <v>3.4090000000000007</v>
      </c>
      <c r="F602" s="232">
        <f t="shared" si="1303"/>
        <v>13.636000000000003</v>
      </c>
      <c r="G602" s="232">
        <f t="shared" si="1304"/>
        <v>10.908800000000003</v>
      </c>
      <c r="H602" s="232">
        <f t="shared" si="1305"/>
        <v>6.8180000000000014</v>
      </c>
      <c r="I602" s="232">
        <f t="shared" si="1201"/>
        <v>8</v>
      </c>
      <c r="J602" s="233">
        <f t="shared" si="1333"/>
        <v>0</v>
      </c>
      <c r="K602" s="87" t="s">
        <v>3886</v>
      </c>
      <c r="L602" s="232">
        <f t="shared" ref="L602:N602" si="1336">L601</f>
        <v>0.2</v>
      </c>
      <c r="M602" s="232">
        <f t="shared" si="1336"/>
        <v>150</v>
      </c>
      <c r="N602" s="232">
        <f t="shared" si="1336"/>
        <v>750</v>
      </c>
      <c r="O602" s="217"/>
      <c r="P602" s="38">
        <f t="shared" si="1326"/>
        <v>24</v>
      </c>
      <c r="Q602" s="38">
        <f t="shared" si="1293"/>
        <v>25</v>
      </c>
      <c r="R602" s="39">
        <f t="shared" si="1327"/>
        <v>0.99967848848331109</v>
      </c>
      <c r="S602" s="39">
        <f t="shared" si="1328"/>
        <v>0.99983779445975174</v>
      </c>
      <c r="T602" s="39">
        <f t="shared" si="1331"/>
        <v>1.5930597644064903E-4</v>
      </c>
      <c r="U602" s="89">
        <f t="shared" si="1217"/>
        <v>2.6115733842729349E-6</v>
      </c>
    </row>
    <row r="603" spans="1:21" ht="15.75" thickBot="1" x14ac:dyDescent="0.3">
      <c r="A603" s="229">
        <f t="shared" ref="A603:B603" si="1337">A602+1</f>
        <v>593</v>
      </c>
      <c r="B603" s="230">
        <f t="shared" si="1337"/>
        <v>593</v>
      </c>
      <c r="C603" s="92" t="str">
        <f t="shared" si="1289"/>
        <v>L11X25-000_000_23</v>
      </c>
      <c r="D603" s="231">
        <f t="shared" si="1286"/>
        <v>25</v>
      </c>
      <c r="E603" s="239">
        <f t="shared" si="1320"/>
        <v>3.4090000000000007</v>
      </c>
      <c r="F603" s="232">
        <f t="shared" si="1303"/>
        <v>13.636000000000003</v>
      </c>
      <c r="G603" s="232">
        <f t="shared" si="1304"/>
        <v>10.908800000000003</v>
      </c>
      <c r="H603" s="232">
        <f t="shared" si="1305"/>
        <v>6.8180000000000014</v>
      </c>
      <c r="I603" s="232">
        <f t="shared" si="1201"/>
        <v>8</v>
      </c>
      <c r="J603" s="233">
        <f t="shared" si="1333"/>
        <v>0</v>
      </c>
      <c r="K603" s="87" t="s">
        <v>3887</v>
      </c>
      <c r="L603" s="232">
        <f t="shared" ref="L603:N603" si="1338">L602</f>
        <v>0.2</v>
      </c>
      <c r="M603" s="232">
        <f t="shared" si="1338"/>
        <v>150</v>
      </c>
      <c r="N603" s="232">
        <f t="shared" si="1338"/>
        <v>750</v>
      </c>
      <c r="O603" s="217"/>
      <c r="P603" s="38">
        <f t="shared" si="1326"/>
        <v>24</v>
      </c>
      <c r="Q603" s="38">
        <f t="shared" si="1293"/>
        <v>25</v>
      </c>
      <c r="R603" s="39">
        <f t="shared" si="1327"/>
        <v>0.99967848848331109</v>
      </c>
      <c r="S603" s="39">
        <f t="shared" si="1328"/>
        <v>0.99983779445975174</v>
      </c>
      <c r="T603" s="39">
        <f t="shared" si="1331"/>
        <v>1.5930597644064903E-4</v>
      </c>
      <c r="U603" s="89">
        <f t="shared" si="1217"/>
        <v>2.6115733842729349E-6</v>
      </c>
    </row>
    <row r="604" spans="1:21" ht="15.75" thickBot="1" x14ac:dyDescent="0.3">
      <c r="A604" s="229">
        <f t="shared" ref="A604:B604" si="1339">A603+1</f>
        <v>594</v>
      </c>
      <c r="B604" s="230">
        <f t="shared" si="1339"/>
        <v>594</v>
      </c>
      <c r="C604" s="92" t="str">
        <f t="shared" si="1289"/>
        <v>L11X25-000_000_24</v>
      </c>
      <c r="D604" s="231">
        <f t="shared" si="1286"/>
        <v>25</v>
      </c>
      <c r="E604" s="239">
        <f t="shared" si="1320"/>
        <v>3.4090000000000007</v>
      </c>
      <c r="F604" s="232">
        <f t="shared" si="1303"/>
        <v>13.636000000000003</v>
      </c>
      <c r="G604" s="232">
        <f t="shared" si="1304"/>
        <v>10.908800000000003</v>
      </c>
      <c r="H604" s="232">
        <f t="shared" si="1305"/>
        <v>6.8180000000000014</v>
      </c>
      <c r="I604" s="232">
        <f t="shared" si="1201"/>
        <v>8</v>
      </c>
      <c r="J604" s="233">
        <f t="shared" si="1333"/>
        <v>0</v>
      </c>
      <c r="K604" s="87" t="s">
        <v>3888</v>
      </c>
      <c r="L604" s="232">
        <f t="shared" ref="L604:N604" si="1340">L603</f>
        <v>0.2</v>
      </c>
      <c r="M604" s="232">
        <f t="shared" si="1340"/>
        <v>150</v>
      </c>
      <c r="N604" s="232">
        <f t="shared" si="1340"/>
        <v>750</v>
      </c>
      <c r="O604" s="217"/>
      <c r="P604" s="38">
        <f t="shared" si="1326"/>
        <v>24</v>
      </c>
      <c r="Q604" s="38">
        <f t="shared" si="1293"/>
        <v>25</v>
      </c>
      <c r="R604" s="39">
        <f t="shared" si="1327"/>
        <v>0.99967848848331109</v>
      </c>
      <c r="S604" s="39">
        <f t="shared" si="1328"/>
        <v>0.99983779445975174</v>
      </c>
      <c r="T604" s="39">
        <f t="shared" si="1331"/>
        <v>1.5930597644064903E-4</v>
      </c>
      <c r="U604" s="89">
        <f t="shared" si="1217"/>
        <v>2.6115733842729349E-6</v>
      </c>
    </row>
    <row r="605" spans="1:21" ht="15.75" thickBot="1" x14ac:dyDescent="0.3">
      <c r="A605" s="229">
        <f t="shared" ref="A605:B605" si="1341">A604+1</f>
        <v>595</v>
      </c>
      <c r="B605" s="230">
        <f t="shared" si="1341"/>
        <v>595</v>
      </c>
      <c r="C605" s="92" t="str">
        <f t="shared" si="1289"/>
        <v>L11X25-000_000_25</v>
      </c>
      <c r="D605" s="231">
        <f t="shared" si="1286"/>
        <v>25</v>
      </c>
      <c r="E605" s="239">
        <f t="shared" si="1320"/>
        <v>3.4090000000000007</v>
      </c>
      <c r="F605" s="232">
        <f t="shared" si="1303"/>
        <v>13.636000000000003</v>
      </c>
      <c r="G605" s="232">
        <f t="shared" si="1304"/>
        <v>10.908800000000003</v>
      </c>
      <c r="H605" s="232">
        <f t="shared" si="1305"/>
        <v>6.8180000000000014</v>
      </c>
      <c r="I605" s="232">
        <f t="shared" si="1201"/>
        <v>8</v>
      </c>
      <c r="J605" s="233">
        <f t="shared" si="1333"/>
        <v>0</v>
      </c>
      <c r="K605" s="87" t="s">
        <v>3889</v>
      </c>
      <c r="L605" s="232">
        <f t="shared" ref="L605:N605" si="1342">L604</f>
        <v>0.2</v>
      </c>
      <c r="M605" s="232">
        <f t="shared" si="1342"/>
        <v>150</v>
      </c>
      <c r="N605" s="232">
        <f t="shared" si="1342"/>
        <v>750</v>
      </c>
      <c r="O605" s="217"/>
      <c r="P605" s="38">
        <f t="shared" si="1326"/>
        <v>24</v>
      </c>
      <c r="Q605" s="38">
        <f t="shared" si="1293"/>
        <v>25</v>
      </c>
      <c r="R605" s="39">
        <f t="shared" si="1327"/>
        <v>0.99967848848331109</v>
      </c>
      <c r="S605" s="39">
        <f t="shared" si="1328"/>
        <v>0.99983779445975174</v>
      </c>
      <c r="T605" s="39">
        <f t="shared" si="1331"/>
        <v>1.5930597644064903E-4</v>
      </c>
      <c r="U605" s="89">
        <f t="shared" si="1217"/>
        <v>2.6115733842729349E-6</v>
      </c>
    </row>
    <row r="606" spans="1:21" ht="15.75" thickBot="1" x14ac:dyDescent="0.3">
      <c r="A606" s="229">
        <f t="shared" ref="A606:B606" si="1343">A605+1</f>
        <v>596</v>
      </c>
      <c r="B606" s="230">
        <f t="shared" si="1343"/>
        <v>596</v>
      </c>
      <c r="C606" s="92" t="str">
        <f t="shared" si="1289"/>
        <v>L11X25-000_000_26</v>
      </c>
      <c r="D606" s="231">
        <f t="shared" si="1286"/>
        <v>25</v>
      </c>
      <c r="E606" s="239">
        <f t="shared" si="1320"/>
        <v>3.4090000000000007</v>
      </c>
      <c r="F606" s="232">
        <f t="shared" si="1303"/>
        <v>13.636000000000003</v>
      </c>
      <c r="G606" s="232">
        <f t="shared" si="1304"/>
        <v>10.908800000000003</v>
      </c>
      <c r="H606" s="232">
        <f t="shared" si="1305"/>
        <v>6.8180000000000014</v>
      </c>
      <c r="I606" s="232">
        <f t="shared" si="1201"/>
        <v>8</v>
      </c>
      <c r="J606" s="233">
        <f t="shared" si="1333"/>
        <v>0</v>
      </c>
      <c r="K606" s="87" t="s">
        <v>3890</v>
      </c>
      <c r="L606" s="232">
        <f t="shared" ref="L606:N606" si="1344">L605</f>
        <v>0.2</v>
      </c>
      <c r="M606" s="232">
        <f t="shared" si="1344"/>
        <v>150</v>
      </c>
      <c r="N606" s="232">
        <f t="shared" si="1344"/>
        <v>750</v>
      </c>
      <c r="O606" s="217"/>
      <c r="P606" s="38">
        <f t="shared" si="1326"/>
        <v>24</v>
      </c>
      <c r="Q606" s="38">
        <f t="shared" si="1293"/>
        <v>25</v>
      </c>
      <c r="R606" s="39">
        <f t="shared" si="1327"/>
        <v>0.99967848848331109</v>
      </c>
      <c r="S606" s="39">
        <f t="shared" si="1328"/>
        <v>0.99983779445975174</v>
      </c>
      <c r="T606" s="39">
        <f t="shared" si="1331"/>
        <v>1.5930597644064903E-4</v>
      </c>
      <c r="U606" s="89">
        <f t="shared" si="1217"/>
        <v>2.6115733842729349E-6</v>
      </c>
    </row>
    <row r="607" spans="1:21" ht="15.75" thickBot="1" x14ac:dyDescent="0.3">
      <c r="A607" s="229">
        <f t="shared" ref="A607:B607" si="1345">A606+1</f>
        <v>597</v>
      </c>
      <c r="B607" s="230">
        <f t="shared" si="1345"/>
        <v>597</v>
      </c>
      <c r="C607" s="92" t="str">
        <f t="shared" si="1289"/>
        <v>L11X25-000_000_27</v>
      </c>
      <c r="D607" s="231">
        <f t="shared" si="1286"/>
        <v>25</v>
      </c>
      <c r="E607" s="239">
        <f t="shared" si="1320"/>
        <v>3.4090000000000007</v>
      </c>
      <c r="F607" s="232">
        <f t="shared" si="1303"/>
        <v>13.636000000000003</v>
      </c>
      <c r="G607" s="232">
        <f t="shared" si="1304"/>
        <v>10.908800000000003</v>
      </c>
      <c r="H607" s="232">
        <f t="shared" si="1305"/>
        <v>6.8180000000000014</v>
      </c>
      <c r="I607" s="232">
        <f t="shared" ref="I607:I640" si="1346">I606</f>
        <v>8</v>
      </c>
      <c r="J607" s="233">
        <f t="shared" si="1333"/>
        <v>0</v>
      </c>
      <c r="K607" s="87" t="s">
        <v>3891</v>
      </c>
      <c r="L607" s="232">
        <f t="shared" ref="L607:N607" si="1347">L606</f>
        <v>0.2</v>
      </c>
      <c r="M607" s="232">
        <f t="shared" si="1347"/>
        <v>150</v>
      </c>
      <c r="N607" s="232">
        <f t="shared" si="1347"/>
        <v>750</v>
      </c>
      <c r="O607" s="217"/>
      <c r="P607" s="38">
        <f t="shared" si="1326"/>
        <v>24</v>
      </c>
      <c r="Q607" s="38">
        <f t="shared" si="1293"/>
        <v>25</v>
      </c>
      <c r="R607" s="39">
        <f t="shared" si="1327"/>
        <v>0.99967848848331109</v>
      </c>
      <c r="S607" s="39">
        <f t="shared" si="1328"/>
        <v>0.99983779445975174</v>
      </c>
      <c r="T607" s="39">
        <f t="shared" si="1331"/>
        <v>1.5930597644064903E-4</v>
      </c>
      <c r="U607" s="89">
        <f t="shared" si="1217"/>
        <v>2.6115733842729349E-6</v>
      </c>
    </row>
    <row r="608" spans="1:21" ht="15.75" thickBot="1" x14ac:dyDescent="0.3">
      <c r="A608" s="229">
        <f t="shared" ref="A608:B608" si="1348">A607+1</f>
        <v>598</v>
      </c>
      <c r="B608" s="230">
        <f t="shared" si="1348"/>
        <v>598</v>
      </c>
      <c r="C608" s="92" t="str">
        <f t="shared" si="1289"/>
        <v>L11X25-000_000_28</v>
      </c>
      <c r="D608" s="231">
        <f t="shared" si="1286"/>
        <v>25</v>
      </c>
      <c r="E608" s="239">
        <f t="shared" si="1320"/>
        <v>3.4090000000000007</v>
      </c>
      <c r="F608" s="232">
        <f t="shared" si="1303"/>
        <v>13.636000000000003</v>
      </c>
      <c r="G608" s="232">
        <f t="shared" si="1304"/>
        <v>10.908800000000003</v>
      </c>
      <c r="H608" s="232">
        <f t="shared" si="1305"/>
        <v>6.8180000000000014</v>
      </c>
      <c r="I608" s="232">
        <f t="shared" si="1346"/>
        <v>8</v>
      </c>
      <c r="J608" s="233">
        <f t="shared" si="1333"/>
        <v>0</v>
      </c>
      <c r="K608" s="87" t="s">
        <v>3892</v>
      </c>
      <c r="L608" s="232">
        <f t="shared" ref="L608:N608" si="1349">L607</f>
        <v>0.2</v>
      </c>
      <c r="M608" s="232">
        <f t="shared" si="1349"/>
        <v>150</v>
      </c>
      <c r="N608" s="232">
        <f t="shared" si="1349"/>
        <v>750</v>
      </c>
      <c r="O608" s="217"/>
      <c r="P608" s="38">
        <f t="shared" si="1326"/>
        <v>24</v>
      </c>
      <c r="Q608" s="38">
        <f t="shared" si="1293"/>
        <v>25</v>
      </c>
      <c r="R608" s="39">
        <f t="shared" si="1327"/>
        <v>0.99967848848331109</v>
      </c>
      <c r="S608" s="39">
        <f t="shared" si="1328"/>
        <v>0.99983779445975174</v>
      </c>
      <c r="T608" s="39">
        <f t="shared" si="1331"/>
        <v>1.5930597644064903E-4</v>
      </c>
      <c r="U608" s="89">
        <f t="shared" si="1217"/>
        <v>2.6115733842729349E-6</v>
      </c>
    </row>
    <row r="609" spans="1:21" ht="15.75" thickBot="1" x14ac:dyDescent="0.3">
      <c r="A609" s="229">
        <f t="shared" ref="A609:B609" si="1350">A608+1</f>
        <v>599</v>
      </c>
      <c r="B609" s="230">
        <f t="shared" si="1350"/>
        <v>599</v>
      </c>
      <c r="C609" s="92" t="str">
        <f t="shared" si="1289"/>
        <v>L11X25-000_000_29</v>
      </c>
      <c r="D609" s="231">
        <f t="shared" si="1286"/>
        <v>25</v>
      </c>
      <c r="E609" s="239">
        <f t="shared" si="1320"/>
        <v>3.4090000000000007</v>
      </c>
      <c r="F609" s="232">
        <f t="shared" si="1303"/>
        <v>13.636000000000003</v>
      </c>
      <c r="G609" s="232">
        <f t="shared" si="1304"/>
        <v>10.908800000000003</v>
      </c>
      <c r="H609" s="232">
        <f t="shared" si="1305"/>
        <v>6.8180000000000014</v>
      </c>
      <c r="I609" s="232">
        <f t="shared" si="1346"/>
        <v>8</v>
      </c>
      <c r="J609" s="233">
        <f t="shared" si="1333"/>
        <v>0</v>
      </c>
      <c r="K609" s="87" t="s">
        <v>3893</v>
      </c>
      <c r="L609" s="232">
        <f t="shared" ref="L609:N609" si="1351">L608</f>
        <v>0.2</v>
      </c>
      <c r="M609" s="232">
        <f t="shared" si="1351"/>
        <v>150</v>
      </c>
      <c r="N609" s="232">
        <f t="shared" si="1351"/>
        <v>750</v>
      </c>
      <c r="O609" s="217"/>
      <c r="P609" s="38">
        <f t="shared" si="1326"/>
        <v>24</v>
      </c>
      <c r="Q609" s="38">
        <f t="shared" si="1293"/>
        <v>25</v>
      </c>
      <c r="R609" s="39">
        <f t="shared" si="1327"/>
        <v>0.99967848848331109</v>
      </c>
      <c r="S609" s="39">
        <f t="shared" si="1328"/>
        <v>0.99983779445975174</v>
      </c>
      <c r="T609" s="39">
        <f t="shared" si="1331"/>
        <v>1.5930597644064903E-4</v>
      </c>
      <c r="U609" s="89">
        <f t="shared" si="1217"/>
        <v>2.6115733842729349E-6</v>
      </c>
    </row>
    <row r="610" spans="1:21" ht="15.75" thickBot="1" x14ac:dyDescent="0.3">
      <c r="A610" s="229">
        <f t="shared" ref="A610:B610" si="1352">A609+1</f>
        <v>600</v>
      </c>
      <c r="B610" s="230">
        <f t="shared" si="1352"/>
        <v>600</v>
      </c>
      <c r="C610" s="92" t="str">
        <f t="shared" si="1289"/>
        <v>L11X25-000_000_30</v>
      </c>
      <c r="D610" s="231">
        <f t="shared" si="1286"/>
        <v>25</v>
      </c>
      <c r="E610" s="239">
        <f t="shared" si="1320"/>
        <v>3.4090000000000007</v>
      </c>
      <c r="F610" s="232">
        <f t="shared" si="1303"/>
        <v>13.636000000000003</v>
      </c>
      <c r="G610" s="232">
        <f t="shared" si="1304"/>
        <v>10.908800000000003</v>
      </c>
      <c r="H610" s="232">
        <f t="shared" si="1305"/>
        <v>6.8180000000000014</v>
      </c>
      <c r="I610" s="232">
        <f t="shared" si="1346"/>
        <v>8</v>
      </c>
      <c r="J610" s="233">
        <f t="shared" si="1333"/>
        <v>0</v>
      </c>
      <c r="K610" s="87" t="s">
        <v>3894</v>
      </c>
      <c r="L610" s="232">
        <f t="shared" ref="L610:N610" si="1353">L609</f>
        <v>0.2</v>
      </c>
      <c r="M610" s="232">
        <f t="shared" si="1353"/>
        <v>150</v>
      </c>
      <c r="N610" s="232">
        <f t="shared" si="1353"/>
        <v>750</v>
      </c>
      <c r="O610" s="217"/>
      <c r="P610" s="38">
        <f t="shared" si="1326"/>
        <v>24</v>
      </c>
      <c r="Q610" s="38">
        <f t="shared" si="1293"/>
        <v>25</v>
      </c>
      <c r="R610" s="39">
        <f t="shared" si="1327"/>
        <v>0.99967848848331109</v>
      </c>
      <c r="S610" s="39">
        <f t="shared" si="1328"/>
        <v>0.99983779445975174</v>
      </c>
      <c r="T610" s="39">
        <f t="shared" si="1331"/>
        <v>1.5930597644064903E-4</v>
      </c>
      <c r="U610" s="89">
        <f t="shared" ref="U610:U640" si="1354">T610/61</f>
        <v>2.6115733842729349E-6</v>
      </c>
    </row>
    <row r="611" spans="1:21" ht="15.75" thickBot="1" x14ac:dyDescent="0.3">
      <c r="A611" s="229">
        <f t="shared" ref="A611:B611" si="1355">A610+1</f>
        <v>601</v>
      </c>
      <c r="B611" s="230">
        <f t="shared" si="1355"/>
        <v>601</v>
      </c>
      <c r="C611" s="92" t="str">
        <f t="shared" si="1289"/>
        <v>L11X25-000_000_31</v>
      </c>
      <c r="D611" s="231">
        <f t="shared" si="1286"/>
        <v>25</v>
      </c>
      <c r="E611" s="239">
        <f t="shared" si="1320"/>
        <v>3.4090000000000007</v>
      </c>
      <c r="F611" s="232">
        <f t="shared" si="1303"/>
        <v>13.636000000000003</v>
      </c>
      <c r="G611" s="232">
        <f t="shared" si="1304"/>
        <v>10.908800000000003</v>
      </c>
      <c r="H611" s="232">
        <f t="shared" si="1305"/>
        <v>6.8180000000000014</v>
      </c>
      <c r="I611" s="232">
        <f t="shared" si="1346"/>
        <v>8</v>
      </c>
      <c r="J611" s="233">
        <f t="shared" si="1333"/>
        <v>0</v>
      </c>
      <c r="K611" s="87" t="s">
        <v>3895</v>
      </c>
      <c r="L611" s="232">
        <f t="shared" ref="L611:N611" si="1356">L610</f>
        <v>0.2</v>
      </c>
      <c r="M611" s="232">
        <f t="shared" si="1356"/>
        <v>150</v>
      </c>
      <c r="N611" s="232">
        <f t="shared" si="1356"/>
        <v>750</v>
      </c>
      <c r="O611" s="217"/>
      <c r="P611" s="38">
        <f t="shared" si="1326"/>
        <v>24</v>
      </c>
      <c r="Q611" s="38">
        <f t="shared" si="1293"/>
        <v>25</v>
      </c>
      <c r="R611" s="39">
        <f t="shared" si="1327"/>
        <v>0.99967848848331109</v>
      </c>
      <c r="S611" s="39">
        <f t="shared" si="1328"/>
        <v>0.99983779445975174</v>
      </c>
      <c r="T611" s="39">
        <f t="shared" si="1331"/>
        <v>1.5930597644064903E-4</v>
      </c>
      <c r="U611" s="89">
        <f t="shared" si="1354"/>
        <v>2.6115733842729349E-6</v>
      </c>
    </row>
    <row r="612" spans="1:21" ht="15.75" thickBot="1" x14ac:dyDescent="0.3">
      <c r="A612" s="229">
        <f t="shared" ref="A612:B612" si="1357">A611+1</f>
        <v>602</v>
      </c>
      <c r="B612" s="230">
        <f t="shared" si="1357"/>
        <v>602</v>
      </c>
      <c r="C612" s="92" t="str">
        <f t="shared" si="1289"/>
        <v>L11X25-000_000_32</v>
      </c>
      <c r="D612" s="231">
        <f t="shared" si="1286"/>
        <v>25</v>
      </c>
      <c r="E612" s="239">
        <f t="shared" si="1320"/>
        <v>3.4090000000000007</v>
      </c>
      <c r="F612" s="232">
        <f t="shared" si="1303"/>
        <v>13.636000000000003</v>
      </c>
      <c r="G612" s="232">
        <f t="shared" si="1304"/>
        <v>10.908800000000003</v>
      </c>
      <c r="H612" s="232">
        <f t="shared" si="1305"/>
        <v>6.8180000000000014</v>
      </c>
      <c r="I612" s="232">
        <f t="shared" si="1346"/>
        <v>8</v>
      </c>
      <c r="J612" s="233">
        <f t="shared" si="1333"/>
        <v>0</v>
      </c>
      <c r="K612" s="87" t="s">
        <v>3896</v>
      </c>
      <c r="L612" s="232">
        <f t="shared" ref="L612:N612" si="1358">L611</f>
        <v>0.2</v>
      </c>
      <c r="M612" s="232">
        <f t="shared" si="1358"/>
        <v>150</v>
      </c>
      <c r="N612" s="232">
        <f t="shared" si="1358"/>
        <v>750</v>
      </c>
      <c r="O612" s="217"/>
      <c r="P612" s="38">
        <f t="shared" si="1326"/>
        <v>24</v>
      </c>
      <c r="Q612" s="38">
        <f t="shared" si="1293"/>
        <v>25</v>
      </c>
      <c r="R612" s="39">
        <f t="shared" si="1327"/>
        <v>0.99967848848331109</v>
      </c>
      <c r="S612" s="39">
        <f t="shared" si="1328"/>
        <v>0.99983779445975174</v>
      </c>
      <c r="T612" s="39">
        <f t="shared" si="1331"/>
        <v>1.5930597644064903E-4</v>
      </c>
      <c r="U612" s="89">
        <f t="shared" si="1354"/>
        <v>2.6115733842729349E-6</v>
      </c>
    </row>
    <row r="613" spans="1:21" ht="15.75" thickBot="1" x14ac:dyDescent="0.3">
      <c r="A613" s="229">
        <f t="shared" ref="A613:B613" si="1359">A612+1</f>
        <v>603</v>
      </c>
      <c r="B613" s="230">
        <f t="shared" si="1359"/>
        <v>603</v>
      </c>
      <c r="C613" s="92" t="str">
        <f t="shared" si="1289"/>
        <v>L11X25-000_000_33</v>
      </c>
      <c r="D613" s="231">
        <f t="shared" si="1286"/>
        <v>25</v>
      </c>
      <c r="E613" s="239">
        <f t="shared" si="1320"/>
        <v>3.4090000000000007</v>
      </c>
      <c r="F613" s="232">
        <f t="shared" si="1303"/>
        <v>13.636000000000003</v>
      </c>
      <c r="G613" s="232">
        <f t="shared" si="1304"/>
        <v>10.908800000000003</v>
      </c>
      <c r="H613" s="232">
        <f t="shared" si="1305"/>
        <v>6.8180000000000014</v>
      </c>
      <c r="I613" s="232">
        <f t="shared" si="1346"/>
        <v>8</v>
      </c>
      <c r="J613" s="233">
        <f t="shared" si="1333"/>
        <v>0</v>
      </c>
      <c r="K613" s="87" t="s">
        <v>3897</v>
      </c>
      <c r="L613" s="232">
        <f t="shared" ref="L613:N613" si="1360">L612</f>
        <v>0.2</v>
      </c>
      <c r="M613" s="232">
        <f t="shared" si="1360"/>
        <v>150</v>
      </c>
      <c r="N613" s="232">
        <f t="shared" si="1360"/>
        <v>750</v>
      </c>
      <c r="O613" s="217"/>
      <c r="P613" s="38">
        <f t="shared" si="1326"/>
        <v>24</v>
      </c>
      <c r="Q613" s="38">
        <f t="shared" si="1293"/>
        <v>25</v>
      </c>
      <c r="R613" s="39">
        <f t="shared" si="1327"/>
        <v>0.99967848848331109</v>
      </c>
      <c r="S613" s="39">
        <f t="shared" si="1328"/>
        <v>0.99983779445975174</v>
      </c>
      <c r="T613" s="39">
        <f t="shared" si="1331"/>
        <v>1.5930597644064903E-4</v>
      </c>
      <c r="U613" s="89">
        <f t="shared" si="1354"/>
        <v>2.6115733842729349E-6</v>
      </c>
    </row>
    <row r="614" spans="1:21" ht="15.75" thickBot="1" x14ac:dyDescent="0.3">
      <c r="A614" s="229">
        <f t="shared" ref="A614:B614" si="1361">A613+1</f>
        <v>604</v>
      </c>
      <c r="B614" s="230">
        <f t="shared" si="1361"/>
        <v>604</v>
      </c>
      <c r="C614" s="92" t="str">
        <f t="shared" si="1289"/>
        <v>L11X25-000_000_34</v>
      </c>
      <c r="D614" s="231">
        <f t="shared" si="1286"/>
        <v>25</v>
      </c>
      <c r="E614" s="239">
        <f t="shared" si="1320"/>
        <v>3.4090000000000007</v>
      </c>
      <c r="F614" s="232">
        <f t="shared" si="1303"/>
        <v>13.636000000000003</v>
      </c>
      <c r="G614" s="232">
        <f t="shared" si="1304"/>
        <v>10.908800000000003</v>
      </c>
      <c r="H614" s="232">
        <f t="shared" si="1305"/>
        <v>6.8180000000000014</v>
      </c>
      <c r="I614" s="232">
        <f t="shared" si="1346"/>
        <v>8</v>
      </c>
      <c r="J614" s="233">
        <f t="shared" si="1333"/>
        <v>0</v>
      </c>
      <c r="K614" s="87" t="s">
        <v>3898</v>
      </c>
      <c r="L614" s="232">
        <f t="shared" ref="L614:N614" si="1362">L613</f>
        <v>0.2</v>
      </c>
      <c r="M614" s="232">
        <f t="shared" si="1362"/>
        <v>150</v>
      </c>
      <c r="N614" s="232">
        <f t="shared" si="1362"/>
        <v>750</v>
      </c>
      <c r="O614" s="217"/>
      <c r="P614" s="38">
        <f t="shared" si="1326"/>
        <v>24</v>
      </c>
      <c r="Q614" s="38">
        <f t="shared" si="1293"/>
        <v>25</v>
      </c>
      <c r="R614" s="39">
        <f t="shared" si="1327"/>
        <v>0.99967848848331109</v>
      </c>
      <c r="S614" s="39">
        <f t="shared" si="1328"/>
        <v>0.99983779445975174</v>
      </c>
      <c r="T614" s="39">
        <f t="shared" si="1331"/>
        <v>1.5930597644064903E-4</v>
      </c>
      <c r="U614" s="89">
        <f t="shared" si="1354"/>
        <v>2.6115733842729349E-6</v>
      </c>
    </row>
    <row r="615" spans="1:21" ht="15.75" thickBot="1" x14ac:dyDescent="0.3">
      <c r="A615" s="229">
        <f t="shared" ref="A615:B615" si="1363">A614+1</f>
        <v>605</v>
      </c>
      <c r="B615" s="230">
        <f t="shared" si="1363"/>
        <v>605</v>
      </c>
      <c r="C615" s="92" t="str">
        <f t="shared" si="1289"/>
        <v>L11X25-000_000_35</v>
      </c>
      <c r="D615" s="231">
        <f t="shared" si="1286"/>
        <v>25</v>
      </c>
      <c r="E615" s="239">
        <f t="shared" si="1320"/>
        <v>3.4090000000000007</v>
      </c>
      <c r="F615" s="232">
        <f t="shared" si="1303"/>
        <v>13.636000000000003</v>
      </c>
      <c r="G615" s="232">
        <f t="shared" si="1304"/>
        <v>10.908800000000003</v>
      </c>
      <c r="H615" s="232">
        <f t="shared" si="1305"/>
        <v>6.8180000000000014</v>
      </c>
      <c r="I615" s="232">
        <f t="shared" si="1346"/>
        <v>8</v>
      </c>
      <c r="J615" s="233">
        <f t="shared" si="1333"/>
        <v>0</v>
      </c>
      <c r="K615" s="87" t="s">
        <v>3899</v>
      </c>
      <c r="L615" s="232">
        <f t="shared" ref="L615:N615" si="1364">L614</f>
        <v>0.2</v>
      </c>
      <c r="M615" s="232">
        <f t="shared" si="1364"/>
        <v>150</v>
      </c>
      <c r="N615" s="232">
        <f t="shared" si="1364"/>
        <v>750</v>
      </c>
      <c r="O615" s="217"/>
      <c r="P615" s="38">
        <f t="shared" si="1326"/>
        <v>24</v>
      </c>
      <c r="Q615" s="38">
        <f t="shared" si="1293"/>
        <v>25</v>
      </c>
      <c r="R615" s="39">
        <f t="shared" si="1327"/>
        <v>0.99967848848331109</v>
      </c>
      <c r="S615" s="39">
        <f t="shared" si="1328"/>
        <v>0.99983779445975174</v>
      </c>
      <c r="T615" s="39">
        <f t="shared" si="1331"/>
        <v>1.5930597644064903E-4</v>
      </c>
      <c r="U615" s="89">
        <f t="shared" si="1354"/>
        <v>2.6115733842729349E-6</v>
      </c>
    </row>
    <row r="616" spans="1:21" ht="15.75" thickBot="1" x14ac:dyDescent="0.3">
      <c r="A616" s="229">
        <f t="shared" ref="A616:B616" si="1365">A615+1</f>
        <v>606</v>
      </c>
      <c r="B616" s="230">
        <f t="shared" si="1365"/>
        <v>606</v>
      </c>
      <c r="C616" s="92" t="str">
        <f t="shared" si="1289"/>
        <v>L11X25-000_000_36</v>
      </c>
      <c r="D616" s="231">
        <f t="shared" si="1286"/>
        <v>25</v>
      </c>
      <c r="E616" s="239">
        <f t="shared" si="1320"/>
        <v>3.4090000000000007</v>
      </c>
      <c r="F616" s="232">
        <f t="shared" si="1303"/>
        <v>13.636000000000003</v>
      </c>
      <c r="G616" s="232">
        <f t="shared" si="1304"/>
        <v>10.908800000000003</v>
      </c>
      <c r="H616" s="232">
        <f t="shared" si="1305"/>
        <v>6.8180000000000014</v>
      </c>
      <c r="I616" s="232">
        <f t="shared" si="1346"/>
        <v>8</v>
      </c>
      <c r="J616" s="233">
        <f t="shared" si="1333"/>
        <v>0</v>
      </c>
      <c r="K616" s="87" t="s">
        <v>3900</v>
      </c>
      <c r="L616" s="232">
        <f t="shared" ref="L616:N616" si="1366">L615</f>
        <v>0.2</v>
      </c>
      <c r="M616" s="232">
        <f t="shared" si="1366"/>
        <v>150</v>
      </c>
      <c r="N616" s="232">
        <f t="shared" si="1366"/>
        <v>750</v>
      </c>
      <c r="O616" s="217"/>
      <c r="P616" s="38">
        <f t="shared" si="1326"/>
        <v>24</v>
      </c>
      <c r="Q616" s="38">
        <f t="shared" si="1293"/>
        <v>25</v>
      </c>
      <c r="R616" s="39">
        <f t="shared" si="1327"/>
        <v>0.99967848848331109</v>
      </c>
      <c r="S616" s="39">
        <f t="shared" si="1328"/>
        <v>0.99983779445975174</v>
      </c>
      <c r="T616" s="39">
        <f t="shared" si="1331"/>
        <v>1.5930597644064903E-4</v>
      </c>
      <c r="U616" s="89">
        <f t="shared" si="1354"/>
        <v>2.6115733842729349E-6</v>
      </c>
    </row>
    <row r="617" spans="1:21" ht="15.75" thickBot="1" x14ac:dyDescent="0.3">
      <c r="A617" s="229">
        <f t="shared" ref="A617:B617" si="1367">A616+1</f>
        <v>607</v>
      </c>
      <c r="B617" s="230">
        <f t="shared" si="1367"/>
        <v>607</v>
      </c>
      <c r="C617" s="92" t="str">
        <f t="shared" si="1289"/>
        <v>L11X25-000_000_37</v>
      </c>
      <c r="D617" s="231">
        <f t="shared" si="1286"/>
        <v>25</v>
      </c>
      <c r="E617" s="239">
        <f t="shared" si="1320"/>
        <v>3.4090000000000007</v>
      </c>
      <c r="F617" s="232">
        <f t="shared" si="1303"/>
        <v>13.636000000000003</v>
      </c>
      <c r="G617" s="232">
        <f t="shared" si="1304"/>
        <v>10.908800000000003</v>
      </c>
      <c r="H617" s="232">
        <f t="shared" si="1305"/>
        <v>6.8180000000000014</v>
      </c>
      <c r="I617" s="232">
        <f t="shared" si="1346"/>
        <v>8</v>
      </c>
      <c r="J617" s="233">
        <f t="shared" si="1333"/>
        <v>0</v>
      </c>
      <c r="K617" s="87" t="s">
        <v>3901</v>
      </c>
      <c r="L617" s="232">
        <f t="shared" ref="L617:N617" si="1368">L616</f>
        <v>0.2</v>
      </c>
      <c r="M617" s="232">
        <f t="shared" si="1368"/>
        <v>150</v>
      </c>
      <c r="N617" s="232">
        <f t="shared" si="1368"/>
        <v>750</v>
      </c>
      <c r="O617" s="217"/>
      <c r="P617" s="38">
        <f t="shared" si="1326"/>
        <v>24</v>
      </c>
      <c r="Q617" s="38">
        <f t="shared" ref="Q617:Q640" si="1369">P617+v_step-1</f>
        <v>25</v>
      </c>
      <c r="R617" s="39">
        <f t="shared" si="1327"/>
        <v>0.99967848848331109</v>
      </c>
      <c r="S617" s="39">
        <f t="shared" si="1328"/>
        <v>0.99983779445975174</v>
      </c>
      <c r="T617" s="39">
        <f t="shared" si="1331"/>
        <v>1.5930597644064903E-4</v>
      </c>
      <c r="U617" s="89">
        <f t="shared" si="1354"/>
        <v>2.6115733842729349E-6</v>
      </c>
    </row>
    <row r="618" spans="1:21" ht="15.75" thickBot="1" x14ac:dyDescent="0.3">
      <c r="A618" s="229">
        <f t="shared" ref="A618:B618" si="1370">A617+1</f>
        <v>608</v>
      </c>
      <c r="B618" s="230">
        <f t="shared" si="1370"/>
        <v>608</v>
      </c>
      <c r="C618" s="92" t="str">
        <f t="shared" si="1289"/>
        <v>L11X25-000_000_38</v>
      </c>
      <c r="D618" s="231">
        <f t="shared" si="1286"/>
        <v>25</v>
      </c>
      <c r="E618" s="239">
        <f t="shared" si="1320"/>
        <v>3.4090000000000007</v>
      </c>
      <c r="F618" s="232">
        <f t="shared" si="1303"/>
        <v>13.636000000000003</v>
      </c>
      <c r="G618" s="232">
        <f t="shared" si="1304"/>
        <v>10.908800000000003</v>
      </c>
      <c r="H618" s="232">
        <f t="shared" si="1305"/>
        <v>6.8180000000000014</v>
      </c>
      <c r="I618" s="232">
        <f t="shared" si="1346"/>
        <v>8</v>
      </c>
      <c r="J618" s="233">
        <f t="shared" si="1333"/>
        <v>0</v>
      </c>
      <c r="K618" s="87" t="s">
        <v>3902</v>
      </c>
      <c r="L618" s="232">
        <f t="shared" ref="L618:N618" si="1371">L617</f>
        <v>0.2</v>
      </c>
      <c r="M618" s="232">
        <f t="shared" si="1371"/>
        <v>150</v>
      </c>
      <c r="N618" s="232">
        <f t="shared" si="1371"/>
        <v>750</v>
      </c>
      <c r="O618" s="217"/>
      <c r="P618" s="38">
        <f t="shared" si="1326"/>
        <v>24</v>
      </c>
      <c r="Q618" s="38">
        <f t="shared" si="1369"/>
        <v>25</v>
      </c>
      <c r="R618" s="39">
        <f t="shared" si="1327"/>
        <v>0.99967848848331109</v>
      </c>
      <c r="S618" s="39">
        <f t="shared" si="1328"/>
        <v>0.99983779445975174</v>
      </c>
      <c r="T618" s="39">
        <f t="shared" si="1331"/>
        <v>1.5930597644064903E-4</v>
      </c>
      <c r="U618" s="89">
        <f t="shared" si="1354"/>
        <v>2.6115733842729349E-6</v>
      </c>
    </row>
    <row r="619" spans="1:21" ht="15.75" thickBot="1" x14ac:dyDescent="0.3">
      <c r="A619" s="229">
        <f t="shared" ref="A619:B619" si="1372">A618+1</f>
        <v>609</v>
      </c>
      <c r="B619" s="230">
        <f t="shared" si="1372"/>
        <v>609</v>
      </c>
      <c r="C619" s="92" t="str">
        <f t="shared" si="1289"/>
        <v>L11X25-000_000_39</v>
      </c>
      <c r="D619" s="231">
        <f t="shared" si="1286"/>
        <v>25</v>
      </c>
      <c r="E619" s="239">
        <f t="shared" si="1320"/>
        <v>3.4090000000000007</v>
      </c>
      <c r="F619" s="232">
        <f t="shared" si="1303"/>
        <v>13.636000000000003</v>
      </c>
      <c r="G619" s="232">
        <f t="shared" si="1304"/>
        <v>10.908800000000003</v>
      </c>
      <c r="H619" s="232">
        <f t="shared" si="1305"/>
        <v>6.8180000000000014</v>
      </c>
      <c r="I619" s="232">
        <f t="shared" si="1346"/>
        <v>8</v>
      </c>
      <c r="J619" s="233">
        <f t="shared" si="1333"/>
        <v>0</v>
      </c>
      <c r="K619" s="87" t="s">
        <v>3903</v>
      </c>
      <c r="L619" s="232">
        <f t="shared" ref="L619:N619" si="1373">L618</f>
        <v>0.2</v>
      </c>
      <c r="M619" s="232">
        <f t="shared" si="1373"/>
        <v>150</v>
      </c>
      <c r="N619" s="232">
        <f t="shared" si="1373"/>
        <v>750</v>
      </c>
      <c r="O619" s="217"/>
      <c r="P619" s="38">
        <f t="shared" si="1326"/>
        <v>24</v>
      </c>
      <c r="Q619" s="38">
        <f t="shared" si="1369"/>
        <v>25</v>
      </c>
      <c r="R619" s="39">
        <f t="shared" si="1327"/>
        <v>0.99967848848331109</v>
      </c>
      <c r="S619" s="39">
        <f t="shared" si="1328"/>
        <v>0.99983779445975174</v>
      </c>
      <c r="T619" s="39">
        <f t="shared" si="1331"/>
        <v>1.5930597644064903E-4</v>
      </c>
      <c r="U619" s="89">
        <f t="shared" si="1354"/>
        <v>2.6115733842729349E-6</v>
      </c>
    </row>
    <row r="620" spans="1:21" ht="15.75" thickBot="1" x14ac:dyDescent="0.3">
      <c r="A620" s="229">
        <f t="shared" ref="A620:B620" si="1374">A619+1</f>
        <v>610</v>
      </c>
      <c r="B620" s="230">
        <f t="shared" si="1374"/>
        <v>610</v>
      </c>
      <c r="C620" s="92" t="str">
        <f t="shared" si="1289"/>
        <v>L11X25-000_000_40</v>
      </c>
      <c r="D620" s="231">
        <f t="shared" si="1286"/>
        <v>25</v>
      </c>
      <c r="E620" s="239">
        <f t="shared" si="1320"/>
        <v>3.4090000000000007</v>
      </c>
      <c r="F620" s="232">
        <f t="shared" si="1303"/>
        <v>13.636000000000003</v>
      </c>
      <c r="G620" s="232">
        <f t="shared" si="1304"/>
        <v>10.908800000000003</v>
      </c>
      <c r="H620" s="232">
        <f t="shared" si="1305"/>
        <v>6.8180000000000014</v>
      </c>
      <c r="I620" s="232">
        <f t="shared" si="1346"/>
        <v>8</v>
      </c>
      <c r="J620" s="233">
        <f t="shared" si="1333"/>
        <v>0</v>
      </c>
      <c r="K620" s="87" t="s">
        <v>3904</v>
      </c>
      <c r="L620" s="232">
        <f t="shared" ref="L620:N620" si="1375">L619</f>
        <v>0.2</v>
      </c>
      <c r="M620" s="232">
        <f t="shared" si="1375"/>
        <v>150</v>
      </c>
      <c r="N620" s="232">
        <f t="shared" si="1375"/>
        <v>750</v>
      </c>
      <c r="O620" s="217"/>
      <c r="P620" s="38">
        <f t="shared" si="1326"/>
        <v>24</v>
      </c>
      <c r="Q620" s="38">
        <f t="shared" si="1369"/>
        <v>25</v>
      </c>
      <c r="R620" s="39">
        <f t="shared" si="1327"/>
        <v>0.99967848848331109</v>
      </c>
      <c r="S620" s="39">
        <f t="shared" si="1328"/>
        <v>0.99983779445975174</v>
      </c>
      <c r="T620" s="39">
        <f t="shared" si="1331"/>
        <v>1.5930597644064903E-4</v>
      </c>
      <c r="U620" s="89">
        <f t="shared" si="1354"/>
        <v>2.6115733842729349E-6</v>
      </c>
    </row>
    <row r="621" spans="1:21" ht="15.75" thickBot="1" x14ac:dyDescent="0.3">
      <c r="A621" s="229">
        <f t="shared" ref="A621:B621" si="1376">A620+1</f>
        <v>611</v>
      </c>
      <c r="B621" s="230">
        <f t="shared" si="1376"/>
        <v>611</v>
      </c>
      <c r="C621" s="92" t="str">
        <f t="shared" si="1289"/>
        <v>L11X25-008_000_41</v>
      </c>
      <c r="D621" s="231">
        <f t="shared" si="1286"/>
        <v>25</v>
      </c>
      <c r="E621" s="239">
        <f t="shared" si="1320"/>
        <v>3.4090000000000007</v>
      </c>
      <c r="F621" s="232">
        <f t="shared" si="1303"/>
        <v>13.636000000000003</v>
      </c>
      <c r="G621" s="232">
        <f t="shared" si="1304"/>
        <v>10.908800000000003</v>
      </c>
      <c r="H621" s="232">
        <f t="shared" si="1305"/>
        <v>6.8180000000000014</v>
      </c>
      <c r="I621" s="232">
        <f t="shared" si="1346"/>
        <v>8</v>
      </c>
      <c r="J621" s="233">
        <f t="shared" ref="J621:J640" si="1377">yaw_max</f>
        <v>8</v>
      </c>
      <c r="K621" s="87" t="s">
        <v>3905</v>
      </c>
      <c r="L621" s="232">
        <f t="shared" ref="L621:N621" si="1378">L620</f>
        <v>0.2</v>
      </c>
      <c r="M621" s="232">
        <f t="shared" si="1378"/>
        <v>150</v>
      </c>
      <c r="N621" s="232">
        <f t="shared" si="1378"/>
        <v>750</v>
      </c>
      <c r="O621" s="217"/>
      <c r="P621" s="38">
        <f t="shared" si="1326"/>
        <v>24</v>
      </c>
      <c r="Q621" s="38">
        <f t="shared" si="1369"/>
        <v>25</v>
      </c>
      <c r="R621" s="39">
        <f t="shared" si="1327"/>
        <v>0.99967848848331109</v>
      </c>
      <c r="S621" s="39">
        <f t="shared" si="1328"/>
        <v>0.99983779445975174</v>
      </c>
      <c r="T621" s="39">
        <f t="shared" si="1331"/>
        <v>1.5930597644064903E-4</v>
      </c>
      <c r="U621" s="89">
        <f t="shared" si="1354"/>
        <v>2.6115733842729349E-6</v>
      </c>
    </row>
    <row r="622" spans="1:21" ht="15.75" thickBot="1" x14ac:dyDescent="0.3">
      <c r="A622" s="229">
        <f t="shared" ref="A622:B622" si="1379">A621+1</f>
        <v>612</v>
      </c>
      <c r="B622" s="230">
        <f t="shared" si="1379"/>
        <v>612</v>
      </c>
      <c r="C622" s="92" t="str">
        <f t="shared" si="1289"/>
        <v>L11X25-008_000_42</v>
      </c>
      <c r="D622" s="231">
        <f t="shared" si="1286"/>
        <v>25</v>
      </c>
      <c r="E622" s="239">
        <f t="shared" si="1320"/>
        <v>3.4090000000000007</v>
      </c>
      <c r="F622" s="232">
        <f t="shared" si="1303"/>
        <v>13.636000000000003</v>
      </c>
      <c r="G622" s="232">
        <f t="shared" si="1304"/>
        <v>10.908800000000003</v>
      </c>
      <c r="H622" s="232">
        <f t="shared" si="1305"/>
        <v>6.8180000000000014</v>
      </c>
      <c r="I622" s="232">
        <f t="shared" si="1346"/>
        <v>8</v>
      </c>
      <c r="J622" s="233">
        <f t="shared" si="1377"/>
        <v>8</v>
      </c>
      <c r="K622" s="87" t="s">
        <v>3906</v>
      </c>
      <c r="L622" s="232">
        <f t="shared" ref="L622:N622" si="1380">L621</f>
        <v>0.2</v>
      </c>
      <c r="M622" s="232">
        <f t="shared" si="1380"/>
        <v>150</v>
      </c>
      <c r="N622" s="232">
        <f t="shared" si="1380"/>
        <v>750</v>
      </c>
      <c r="O622" s="217"/>
      <c r="P622" s="38">
        <f t="shared" si="1326"/>
        <v>24</v>
      </c>
      <c r="Q622" s="38">
        <f t="shared" si="1369"/>
        <v>25</v>
      </c>
      <c r="R622" s="39">
        <f t="shared" si="1327"/>
        <v>0.99967848848331109</v>
      </c>
      <c r="S622" s="39">
        <f t="shared" si="1328"/>
        <v>0.99983779445975174</v>
      </c>
      <c r="T622" s="39">
        <f t="shared" si="1331"/>
        <v>1.5930597644064903E-4</v>
      </c>
      <c r="U622" s="89">
        <f t="shared" si="1354"/>
        <v>2.6115733842729349E-6</v>
      </c>
    </row>
    <row r="623" spans="1:21" ht="15.75" thickBot="1" x14ac:dyDescent="0.3">
      <c r="A623" s="229">
        <f t="shared" ref="A623:B623" si="1381">A622+1</f>
        <v>613</v>
      </c>
      <c r="B623" s="230">
        <f t="shared" si="1381"/>
        <v>613</v>
      </c>
      <c r="C623" s="92" t="str">
        <f t="shared" si="1289"/>
        <v>L11X25-008_000_43</v>
      </c>
      <c r="D623" s="231">
        <f t="shared" si="1286"/>
        <v>25</v>
      </c>
      <c r="E623" s="239">
        <f t="shared" si="1320"/>
        <v>3.4090000000000007</v>
      </c>
      <c r="F623" s="232">
        <f t="shared" si="1303"/>
        <v>13.636000000000003</v>
      </c>
      <c r="G623" s="232">
        <f t="shared" si="1304"/>
        <v>10.908800000000003</v>
      </c>
      <c r="H623" s="232">
        <f t="shared" si="1305"/>
        <v>6.8180000000000014</v>
      </c>
      <c r="I623" s="232">
        <f t="shared" si="1346"/>
        <v>8</v>
      </c>
      <c r="J623" s="233">
        <f t="shared" si="1377"/>
        <v>8</v>
      </c>
      <c r="K623" s="87" t="s">
        <v>3907</v>
      </c>
      <c r="L623" s="232">
        <f t="shared" ref="L623:N623" si="1382">L622</f>
        <v>0.2</v>
      </c>
      <c r="M623" s="232">
        <f t="shared" si="1382"/>
        <v>150</v>
      </c>
      <c r="N623" s="232">
        <f t="shared" si="1382"/>
        <v>750</v>
      </c>
      <c r="O623" s="217"/>
      <c r="P623" s="38">
        <f t="shared" si="1326"/>
        <v>24</v>
      </c>
      <c r="Q623" s="38">
        <f t="shared" si="1369"/>
        <v>25</v>
      </c>
      <c r="R623" s="39">
        <f t="shared" si="1327"/>
        <v>0.99967848848331109</v>
      </c>
      <c r="S623" s="39">
        <f t="shared" si="1328"/>
        <v>0.99983779445975174</v>
      </c>
      <c r="T623" s="39">
        <f t="shared" si="1331"/>
        <v>1.5930597644064903E-4</v>
      </c>
      <c r="U623" s="89">
        <f t="shared" si="1354"/>
        <v>2.6115733842729349E-6</v>
      </c>
    </row>
    <row r="624" spans="1:21" ht="15.75" thickBot="1" x14ac:dyDescent="0.3">
      <c r="A624" s="229">
        <f t="shared" ref="A624:B624" si="1383">A623+1</f>
        <v>614</v>
      </c>
      <c r="B624" s="230">
        <f t="shared" si="1383"/>
        <v>614</v>
      </c>
      <c r="C624" s="92" t="str">
        <f t="shared" si="1289"/>
        <v>L11X25-008_000_44</v>
      </c>
      <c r="D624" s="231">
        <f t="shared" si="1286"/>
        <v>25</v>
      </c>
      <c r="E624" s="239">
        <f t="shared" si="1320"/>
        <v>3.4090000000000007</v>
      </c>
      <c r="F624" s="232">
        <f t="shared" si="1303"/>
        <v>13.636000000000003</v>
      </c>
      <c r="G624" s="232">
        <f t="shared" si="1304"/>
        <v>10.908800000000003</v>
      </c>
      <c r="H624" s="232">
        <f t="shared" si="1305"/>
        <v>6.8180000000000014</v>
      </c>
      <c r="I624" s="232">
        <f t="shared" si="1346"/>
        <v>8</v>
      </c>
      <c r="J624" s="233">
        <f t="shared" si="1377"/>
        <v>8</v>
      </c>
      <c r="K624" s="87" t="s">
        <v>3908</v>
      </c>
      <c r="L624" s="232">
        <f t="shared" ref="L624:N624" si="1384">L623</f>
        <v>0.2</v>
      </c>
      <c r="M624" s="232">
        <f t="shared" si="1384"/>
        <v>150</v>
      </c>
      <c r="N624" s="232">
        <f t="shared" si="1384"/>
        <v>750</v>
      </c>
      <c r="O624" s="217"/>
      <c r="P624" s="38">
        <f t="shared" si="1326"/>
        <v>24</v>
      </c>
      <c r="Q624" s="38">
        <f t="shared" si="1369"/>
        <v>25</v>
      </c>
      <c r="R624" s="39">
        <f t="shared" si="1327"/>
        <v>0.99967848848331109</v>
      </c>
      <c r="S624" s="39">
        <f t="shared" si="1328"/>
        <v>0.99983779445975174</v>
      </c>
      <c r="T624" s="39">
        <f t="shared" si="1331"/>
        <v>1.5930597644064903E-4</v>
      </c>
      <c r="U624" s="89">
        <f t="shared" si="1354"/>
        <v>2.6115733842729349E-6</v>
      </c>
    </row>
    <row r="625" spans="1:21" ht="15.75" thickBot="1" x14ac:dyDescent="0.3">
      <c r="A625" s="229">
        <f t="shared" ref="A625:B625" si="1385">A624+1</f>
        <v>615</v>
      </c>
      <c r="B625" s="230">
        <f t="shared" si="1385"/>
        <v>615</v>
      </c>
      <c r="C625" s="92" t="str">
        <f t="shared" si="1289"/>
        <v>L11X25-008_000_45</v>
      </c>
      <c r="D625" s="231">
        <f t="shared" si="1286"/>
        <v>25</v>
      </c>
      <c r="E625" s="239">
        <f t="shared" si="1320"/>
        <v>3.4090000000000007</v>
      </c>
      <c r="F625" s="232">
        <f t="shared" si="1303"/>
        <v>13.636000000000003</v>
      </c>
      <c r="G625" s="232">
        <f t="shared" si="1304"/>
        <v>10.908800000000003</v>
      </c>
      <c r="H625" s="232">
        <f t="shared" si="1305"/>
        <v>6.8180000000000014</v>
      </c>
      <c r="I625" s="232">
        <f t="shared" si="1346"/>
        <v>8</v>
      </c>
      <c r="J625" s="233">
        <f t="shared" si="1377"/>
        <v>8</v>
      </c>
      <c r="K625" s="87" t="s">
        <v>3909</v>
      </c>
      <c r="L625" s="232">
        <f t="shared" ref="L625:N625" si="1386">L624</f>
        <v>0.2</v>
      </c>
      <c r="M625" s="232">
        <f t="shared" si="1386"/>
        <v>150</v>
      </c>
      <c r="N625" s="232">
        <f t="shared" si="1386"/>
        <v>750</v>
      </c>
      <c r="O625" s="217"/>
      <c r="P625" s="38">
        <f t="shared" si="1326"/>
        <v>24</v>
      </c>
      <c r="Q625" s="38">
        <f t="shared" si="1369"/>
        <v>25</v>
      </c>
      <c r="R625" s="39">
        <f t="shared" si="1327"/>
        <v>0.99967848848331109</v>
      </c>
      <c r="S625" s="39">
        <f t="shared" si="1328"/>
        <v>0.99983779445975174</v>
      </c>
      <c r="T625" s="39">
        <f t="shared" si="1331"/>
        <v>1.5930597644064903E-4</v>
      </c>
      <c r="U625" s="89">
        <f t="shared" si="1354"/>
        <v>2.6115733842729349E-6</v>
      </c>
    </row>
    <row r="626" spans="1:21" ht="15.75" thickBot="1" x14ac:dyDescent="0.3">
      <c r="A626" s="229">
        <f t="shared" ref="A626:B626" si="1387">A625+1</f>
        <v>616</v>
      </c>
      <c r="B626" s="230">
        <f t="shared" si="1387"/>
        <v>616</v>
      </c>
      <c r="C626" s="92" t="str">
        <f t="shared" si="1289"/>
        <v>L11X25-008_000_46</v>
      </c>
      <c r="D626" s="231">
        <f t="shared" si="1286"/>
        <v>25</v>
      </c>
      <c r="E626" s="239">
        <f t="shared" si="1320"/>
        <v>3.4090000000000007</v>
      </c>
      <c r="F626" s="232">
        <f t="shared" si="1303"/>
        <v>13.636000000000003</v>
      </c>
      <c r="G626" s="232">
        <f t="shared" si="1304"/>
        <v>10.908800000000003</v>
      </c>
      <c r="H626" s="232">
        <f t="shared" si="1305"/>
        <v>6.8180000000000014</v>
      </c>
      <c r="I626" s="232">
        <f t="shared" si="1346"/>
        <v>8</v>
      </c>
      <c r="J626" s="233">
        <f t="shared" si="1377"/>
        <v>8</v>
      </c>
      <c r="K626" s="87" t="s">
        <v>3910</v>
      </c>
      <c r="L626" s="232">
        <f t="shared" ref="L626:N626" si="1388">L625</f>
        <v>0.2</v>
      </c>
      <c r="M626" s="232">
        <f t="shared" si="1388"/>
        <v>150</v>
      </c>
      <c r="N626" s="232">
        <f t="shared" si="1388"/>
        <v>750</v>
      </c>
      <c r="O626" s="217"/>
      <c r="P626" s="38">
        <f t="shared" si="1326"/>
        <v>24</v>
      </c>
      <c r="Q626" s="38">
        <f t="shared" si="1369"/>
        <v>25</v>
      </c>
      <c r="R626" s="39">
        <f t="shared" si="1327"/>
        <v>0.99967848848331109</v>
      </c>
      <c r="S626" s="39">
        <f t="shared" si="1328"/>
        <v>0.99983779445975174</v>
      </c>
      <c r="T626" s="39">
        <f t="shared" si="1331"/>
        <v>1.5930597644064903E-4</v>
      </c>
      <c r="U626" s="89">
        <f t="shared" si="1354"/>
        <v>2.6115733842729349E-6</v>
      </c>
    </row>
    <row r="627" spans="1:21" ht="15.75" thickBot="1" x14ac:dyDescent="0.3">
      <c r="A627" s="229">
        <f t="shared" ref="A627:B627" si="1389">A626+1</f>
        <v>617</v>
      </c>
      <c r="B627" s="230">
        <f t="shared" si="1389"/>
        <v>617</v>
      </c>
      <c r="C627" s="92" t="str">
        <f t="shared" si="1289"/>
        <v>L11X25-008_000_47</v>
      </c>
      <c r="D627" s="231">
        <f t="shared" si="1286"/>
        <v>25</v>
      </c>
      <c r="E627" s="239">
        <f t="shared" si="1320"/>
        <v>3.4090000000000007</v>
      </c>
      <c r="F627" s="232">
        <f t="shared" si="1303"/>
        <v>13.636000000000003</v>
      </c>
      <c r="G627" s="232">
        <f t="shared" si="1304"/>
        <v>10.908800000000003</v>
      </c>
      <c r="H627" s="232">
        <f t="shared" si="1305"/>
        <v>6.8180000000000014</v>
      </c>
      <c r="I627" s="232">
        <f t="shared" si="1346"/>
        <v>8</v>
      </c>
      <c r="J627" s="233">
        <f t="shared" si="1377"/>
        <v>8</v>
      </c>
      <c r="K627" s="87" t="s">
        <v>3911</v>
      </c>
      <c r="L627" s="232">
        <f t="shared" ref="L627:N627" si="1390">L626</f>
        <v>0.2</v>
      </c>
      <c r="M627" s="232">
        <f t="shared" si="1390"/>
        <v>150</v>
      </c>
      <c r="N627" s="232">
        <f t="shared" si="1390"/>
        <v>750</v>
      </c>
      <c r="O627" s="217"/>
      <c r="P627" s="38">
        <f t="shared" si="1326"/>
        <v>24</v>
      </c>
      <c r="Q627" s="38">
        <f t="shared" si="1369"/>
        <v>25</v>
      </c>
      <c r="R627" s="39">
        <f t="shared" si="1327"/>
        <v>0.99967848848331109</v>
      </c>
      <c r="S627" s="39">
        <f t="shared" si="1328"/>
        <v>0.99983779445975174</v>
      </c>
      <c r="T627" s="39">
        <f t="shared" si="1331"/>
        <v>1.5930597644064903E-4</v>
      </c>
      <c r="U627" s="89">
        <f t="shared" si="1354"/>
        <v>2.6115733842729349E-6</v>
      </c>
    </row>
    <row r="628" spans="1:21" ht="15.75" thickBot="1" x14ac:dyDescent="0.3">
      <c r="A628" s="229">
        <f t="shared" ref="A628:B628" si="1391">A627+1</f>
        <v>618</v>
      </c>
      <c r="B628" s="230">
        <f t="shared" si="1391"/>
        <v>618</v>
      </c>
      <c r="C628" s="92" t="str">
        <f t="shared" si="1289"/>
        <v>L11X25-008_000_48</v>
      </c>
      <c r="D628" s="231">
        <f t="shared" si="1286"/>
        <v>25</v>
      </c>
      <c r="E628" s="239">
        <f t="shared" si="1320"/>
        <v>3.4090000000000007</v>
      </c>
      <c r="F628" s="232">
        <f t="shared" si="1303"/>
        <v>13.636000000000003</v>
      </c>
      <c r="G628" s="232">
        <f t="shared" si="1304"/>
        <v>10.908800000000003</v>
      </c>
      <c r="H628" s="232">
        <f t="shared" si="1305"/>
        <v>6.8180000000000014</v>
      </c>
      <c r="I628" s="232">
        <f t="shared" si="1346"/>
        <v>8</v>
      </c>
      <c r="J628" s="233">
        <f t="shared" si="1377"/>
        <v>8</v>
      </c>
      <c r="K628" s="87" t="s">
        <v>3912</v>
      </c>
      <c r="L628" s="232">
        <f t="shared" ref="L628:N628" si="1392">L627</f>
        <v>0.2</v>
      </c>
      <c r="M628" s="232">
        <f t="shared" si="1392"/>
        <v>150</v>
      </c>
      <c r="N628" s="232">
        <f t="shared" si="1392"/>
        <v>750</v>
      </c>
      <c r="O628" s="217"/>
      <c r="P628" s="38">
        <f t="shared" si="1326"/>
        <v>24</v>
      </c>
      <c r="Q628" s="38">
        <f t="shared" si="1369"/>
        <v>25</v>
      </c>
      <c r="R628" s="39">
        <f t="shared" si="1327"/>
        <v>0.99967848848331109</v>
      </c>
      <c r="S628" s="39">
        <f t="shared" si="1328"/>
        <v>0.99983779445975174</v>
      </c>
      <c r="T628" s="39">
        <f t="shared" si="1331"/>
        <v>1.5930597644064903E-4</v>
      </c>
      <c r="U628" s="89">
        <f t="shared" si="1354"/>
        <v>2.6115733842729349E-6</v>
      </c>
    </row>
    <row r="629" spans="1:21" ht="15.75" thickBot="1" x14ac:dyDescent="0.3">
      <c r="A629" s="229">
        <f t="shared" ref="A629:B629" si="1393">A628+1</f>
        <v>619</v>
      </c>
      <c r="B629" s="230">
        <f t="shared" si="1393"/>
        <v>619</v>
      </c>
      <c r="C629" s="92" t="str">
        <f t="shared" si="1289"/>
        <v>L11X25-008_000_49</v>
      </c>
      <c r="D629" s="231">
        <f t="shared" si="1286"/>
        <v>25</v>
      </c>
      <c r="E629" s="239">
        <f t="shared" si="1320"/>
        <v>3.4090000000000007</v>
      </c>
      <c r="F629" s="232">
        <f t="shared" si="1303"/>
        <v>13.636000000000003</v>
      </c>
      <c r="G629" s="232">
        <f t="shared" si="1304"/>
        <v>10.908800000000003</v>
      </c>
      <c r="H629" s="232">
        <f t="shared" si="1305"/>
        <v>6.8180000000000014</v>
      </c>
      <c r="I629" s="232">
        <f t="shared" si="1346"/>
        <v>8</v>
      </c>
      <c r="J629" s="233">
        <f t="shared" si="1377"/>
        <v>8</v>
      </c>
      <c r="K629" s="87" t="s">
        <v>3913</v>
      </c>
      <c r="L629" s="232">
        <f t="shared" ref="L629:N629" si="1394">L628</f>
        <v>0.2</v>
      </c>
      <c r="M629" s="232">
        <f t="shared" si="1394"/>
        <v>150</v>
      </c>
      <c r="N629" s="232">
        <f t="shared" si="1394"/>
        <v>750</v>
      </c>
      <c r="O629" s="217"/>
      <c r="P629" s="38">
        <f t="shared" si="1326"/>
        <v>24</v>
      </c>
      <c r="Q629" s="38">
        <f t="shared" si="1369"/>
        <v>25</v>
      </c>
      <c r="R629" s="39">
        <f t="shared" si="1327"/>
        <v>0.99967848848331109</v>
      </c>
      <c r="S629" s="39">
        <f t="shared" si="1328"/>
        <v>0.99983779445975174</v>
      </c>
      <c r="T629" s="39">
        <f t="shared" si="1331"/>
        <v>1.5930597644064903E-4</v>
      </c>
      <c r="U629" s="89">
        <f t="shared" si="1354"/>
        <v>2.6115733842729349E-6</v>
      </c>
    </row>
    <row r="630" spans="1:21" ht="15.75" thickBot="1" x14ac:dyDescent="0.3">
      <c r="A630" s="229">
        <f t="shared" ref="A630:B630" si="1395">A629+1</f>
        <v>620</v>
      </c>
      <c r="B630" s="230">
        <f t="shared" si="1395"/>
        <v>620</v>
      </c>
      <c r="C630" s="92" t="str">
        <f t="shared" si="1289"/>
        <v>L11X25-008_000_50</v>
      </c>
      <c r="D630" s="231">
        <f t="shared" si="1286"/>
        <v>25</v>
      </c>
      <c r="E630" s="239">
        <f t="shared" si="1320"/>
        <v>3.4090000000000007</v>
      </c>
      <c r="F630" s="232">
        <f t="shared" si="1303"/>
        <v>13.636000000000003</v>
      </c>
      <c r="G630" s="232">
        <f t="shared" si="1304"/>
        <v>10.908800000000003</v>
      </c>
      <c r="H630" s="232">
        <f t="shared" si="1305"/>
        <v>6.8180000000000014</v>
      </c>
      <c r="I630" s="232">
        <f t="shared" si="1346"/>
        <v>8</v>
      </c>
      <c r="J630" s="233">
        <f t="shared" si="1377"/>
        <v>8</v>
      </c>
      <c r="K630" s="87" t="s">
        <v>3914</v>
      </c>
      <c r="L630" s="232">
        <f t="shared" ref="L630:N630" si="1396">L629</f>
        <v>0.2</v>
      </c>
      <c r="M630" s="232">
        <f t="shared" si="1396"/>
        <v>150</v>
      </c>
      <c r="N630" s="232">
        <f t="shared" si="1396"/>
        <v>750</v>
      </c>
      <c r="O630" s="217"/>
      <c r="P630" s="38">
        <f t="shared" si="1326"/>
        <v>24</v>
      </c>
      <c r="Q630" s="38">
        <f t="shared" si="1369"/>
        <v>25</v>
      </c>
      <c r="R630" s="39">
        <f t="shared" si="1327"/>
        <v>0.99967848848331109</v>
      </c>
      <c r="S630" s="39">
        <f t="shared" si="1328"/>
        <v>0.99983779445975174</v>
      </c>
      <c r="T630" s="39">
        <f t="shared" si="1331"/>
        <v>1.5930597644064903E-4</v>
      </c>
      <c r="U630" s="89">
        <f t="shared" si="1354"/>
        <v>2.6115733842729349E-6</v>
      </c>
    </row>
    <row r="631" spans="1:21" ht="15.75" thickBot="1" x14ac:dyDescent="0.3">
      <c r="A631" s="229">
        <f t="shared" ref="A631:B631" si="1397">A630+1</f>
        <v>621</v>
      </c>
      <c r="B631" s="230">
        <f t="shared" si="1397"/>
        <v>621</v>
      </c>
      <c r="C631" s="92" t="str">
        <f t="shared" si="1289"/>
        <v>L11X25-008_000_51</v>
      </c>
      <c r="D631" s="231">
        <f t="shared" si="1286"/>
        <v>25</v>
      </c>
      <c r="E631" s="239">
        <f t="shared" si="1320"/>
        <v>3.4090000000000007</v>
      </c>
      <c r="F631" s="232">
        <f t="shared" si="1303"/>
        <v>13.636000000000003</v>
      </c>
      <c r="G631" s="232">
        <f t="shared" si="1304"/>
        <v>10.908800000000003</v>
      </c>
      <c r="H631" s="232">
        <f t="shared" si="1305"/>
        <v>6.8180000000000014</v>
      </c>
      <c r="I631" s="232">
        <f t="shared" si="1346"/>
        <v>8</v>
      </c>
      <c r="J631" s="233">
        <f t="shared" si="1377"/>
        <v>8</v>
      </c>
      <c r="K631" s="87" t="s">
        <v>3915</v>
      </c>
      <c r="L631" s="232">
        <f t="shared" ref="L631:N631" si="1398">L630</f>
        <v>0.2</v>
      </c>
      <c r="M631" s="232">
        <f t="shared" si="1398"/>
        <v>150</v>
      </c>
      <c r="N631" s="232">
        <f t="shared" si="1398"/>
        <v>750</v>
      </c>
      <c r="O631" s="217"/>
      <c r="P631" s="38">
        <f t="shared" si="1326"/>
        <v>24</v>
      </c>
      <c r="Q631" s="38">
        <f t="shared" si="1369"/>
        <v>25</v>
      </c>
      <c r="R631" s="39">
        <f t="shared" si="1327"/>
        <v>0.99967848848331109</v>
      </c>
      <c r="S631" s="39">
        <f t="shared" si="1328"/>
        <v>0.99983779445975174</v>
      </c>
      <c r="T631" s="39">
        <f t="shared" si="1331"/>
        <v>1.5930597644064903E-4</v>
      </c>
      <c r="U631" s="89">
        <f t="shared" si="1354"/>
        <v>2.6115733842729349E-6</v>
      </c>
    </row>
    <row r="632" spans="1:21" ht="15.75" thickBot="1" x14ac:dyDescent="0.3">
      <c r="A632" s="229">
        <f t="shared" ref="A632:B632" si="1399">A631+1</f>
        <v>622</v>
      </c>
      <c r="B632" s="230">
        <f t="shared" si="1399"/>
        <v>622</v>
      </c>
      <c r="C632" s="92" t="str">
        <f t="shared" si="1289"/>
        <v>L11X25-008_000_52</v>
      </c>
      <c r="D632" s="231">
        <f t="shared" si="1286"/>
        <v>25</v>
      </c>
      <c r="E632" s="239">
        <f t="shared" si="1320"/>
        <v>3.4090000000000007</v>
      </c>
      <c r="F632" s="232">
        <f t="shared" si="1303"/>
        <v>13.636000000000003</v>
      </c>
      <c r="G632" s="232">
        <f t="shared" si="1304"/>
        <v>10.908800000000003</v>
      </c>
      <c r="H632" s="232">
        <f t="shared" si="1305"/>
        <v>6.8180000000000014</v>
      </c>
      <c r="I632" s="232">
        <f t="shared" si="1346"/>
        <v>8</v>
      </c>
      <c r="J632" s="233">
        <f t="shared" si="1377"/>
        <v>8</v>
      </c>
      <c r="K632" s="87" t="s">
        <v>3916</v>
      </c>
      <c r="L632" s="232">
        <f t="shared" ref="L632:N632" si="1400">L631</f>
        <v>0.2</v>
      </c>
      <c r="M632" s="232">
        <f t="shared" si="1400"/>
        <v>150</v>
      </c>
      <c r="N632" s="232">
        <f t="shared" si="1400"/>
        <v>750</v>
      </c>
      <c r="O632" s="217"/>
      <c r="P632" s="38">
        <f t="shared" si="1326"/>
        <v>24</v>
      </c>
      <c r="Q632" s="38">
        <f t="shared" si="1369"/>
        <v>25</v>
      </c>
      <c r="R632" s="39">
        <f t="shared" si="1327"/>
        <v>0.99967848848331109</v>
      </c>
      <c r="S632" s="39">
        <f t="shared" si="1328"/>
        <v>0.99983779445975174</v>
      </c>
      <c r="T632" s="39">
        <f t="shared" si="1331"/>
        <v>1.5930597644064903E-4</v>
      </c>
      <c r="U632" s="89">
        <f t="shared" si="1354"/>
        <v>2.6115733842729349E-6</v>
      </c>
    </row>
    <row r="633" spans="1:21" ht="15.75" thickBot="1" x14ac:dyDescent="0.3">
      <c r="A633" s="229">
        <f t="shared" ref="A633:B633" si="1401">A632+1</f>
        <v>623</v>
      </c>
      <c r="B633" s="230">
        <f t="shared" si="1401"/>
        <v>623</v>
      </c>
      <c r="C633" s="92" t="str">
        <f t="shared" si="1289"/>
        <v>L11X25-008_000_53</v>
      </c>
      <c r="D633" s="231">
        <f t="shared" si="1286"/>
        <v>25</v>
      </c>
      <c r="E633" s="239">
        <f t="shared" si="1320"/>
        <v>3.4090000000000007</v>
      </c>
      <c r="F633" s="232">
        <f t="shared" si="1303"/>
        <v>13.636000000000003</v>
      </c>
      <c r="G633" s="232">
        <f t="shared" si="1304"/>
        <v>10.908800000000003</v>
      </c>
      <c r="H633" s="232">
        <f t="shared" si="1305"/>
        <v>6.8180000000000014</v>
      </c>
      <c r="I633" s="232">
        <f t="shared" si="1346"/>
        <v>8</v>
      </c>
      <c r="J633" s="233">
        <f t="shared" si="1377"/>
        <v>8</v>
      </c>
      <c r="K633" s="87" t="s">
        <v>3917</v>
      </c>
      <c r="L633" s="232">
        <f t="shared" ref="L633:N633" si="1402">L632</f>
        <v>0.2</v>
      </c>
      <c r="M633" s="232">
        <f t="shared" si="1402"/>
        <v>150</v>
      </c>
      <c r="N633" s="232">
        <f t="shared" si="1402"/>
        <v>750</v>
      </c>
      <c r="O633" s="217"/>
      <c r="P633" s="38">
        <f t="shared" si="1326"/>
        <v>24</v>
      </c>
      <c r="Q633" s="38">
        <f t="shared" si="1369"/>
        <v>25</v>
      </c>
      <c r="R633" s="39">
        <f t="shared" si="1327"/>
        <v>0.99967848848331109</v>
      </c>
      <c r="S633" s="39">
        <f t="shared" si="1328"/>
        <v>0.99983779445975174</v>
      </c>
      <c r="T633" s="39">
        <f t="shared" si="1331"/>
        <v>1.5930597644064903E-4</v>
      </c>
      <c r="U633" s="89">
        <f t="shared" si="1354"/>
        <v>2.6115733842729349E-6</v>
      </c>
    </row>
    <row r="634" spans="1:21" ht="15.75" thickBot="1" x14ac:dyDescent="0.3">
      <c r="A634" s="229">
        <f t="shared" ref="A634:B634" si="1403">A633+1</f>
        <v>624</v>
      </c>
      <c r="B634" s="230">
        <f t="shared" si="1403"/>
        <v>624</v>
      </c>
      <c r="C634" s="92" t="str">
        <f t="shared" si="1289"/>
        <v>L11X25-008_000_54</v>
      </c>
      <c r="D634" s="231">
        <f t="shared" si="1286"/>
        <v>25</v>
      </c>
      <c r="E634" s="239">
        <f t="shared" si="1320"/>
        <v>3.4090000000000007</v>
      </c>
      <c r="F634" s="232">
        <f t="shared" si="1303"/>
        <v>13.636000000000003</v>
      </c>
      <c r="G634" s="232">
        <f t="shared" si="1304"/>
        <v>10.908800000000003</v>
      </c>
      <c r="H634" s="232">
        <f t="shared" si="1305"/>
        <v>6.8180000000000014</v>
      </c>
      <c r="I634" s="232">
        <f t="shared" si="1346"/>
        <v>8</v>
      </c>
      <c r="J634" s="233">
        <f t="shared" si="1377"/>
        <v>8</v>
      </c>
      <c r="K634" s="87" t="s">
        <v>3918</v>
      </c>
      <c r="L634" s="232">
        <f t="shared" ref="L634:N634" si="1404">L633</f>
        <v>0.2</v>
      </c>
      <c r="M634" s="232">
        <f t="shared" si="1404"/>
        <v>150</v>
      </c>
      <c r="N634" s="232">
        <f t="shared" si="1404"/>
        <v>750</v>
      </c>
      <c r="O634" s="217"/>
      <c r="P634" s="38">
        <f t="shared" si="1326"/>
        <v>24</v>
      </c>
      <c r="Q634" s="38">
        <f t="shared" si="1369"/>
        <v>25</v>
      </c>
      <c r="R634" s="39">
        <f t="shared" si="1327"/>
        <v>0.99967848848331109</v>
      </c>
      <c r="S634" s="39">
        <f t="shared" si="1328"/>
        <v>0.99983779445975174</v>
      </c>
      <c r="T634" s="39">
        <f t="shared" si="1331"/>
        <v>1.5930597644064903E-4</v>
      </c>
      <c r="U634" s="89">
        <f t="shared" si="1354"/>
        <v>2.6115733842729349E-6</v>
      </c>
    </row>
    <row r="635" spans="1:21" ht="15.75" thickBot="1" x14ac:dyDescent="0.3">
      <c r="A635" s="229">
        <f t="shared" ref="A635:B635" si="1405">A634+1</f>
        <v>625</v>
      </c>
      <c r="B635" s="230">
        <f t="shared" si="1405"/>
        <v>625</v>
      </c>
      <c r="C635" s="92" t="str">
        <f t="shared" si="1289"/>
        <v>L11X25-008_000_55</v>
      </c>
      <c r="D635" s="231">
        <f t="shared" si="1286"/>
        <v>25</v>
      </c>
      <c r="E635" s="239">
        <f t="shared" si="1320"/>
        <v>3.4090000000000007</v>
      </c>
      <c r="F635" s="232">
        <f t="shared" si="1303"/>
        <v>13.636000000000003</v>
      </c>
      <c r="G635" s="232">
        <f t="shared" si="1304"/>
        <v>10.908800000000003</v>
      </c>
      <c r="H635" s="232">
        <f t="shared" si="1305"/>
        <v>6.8180000000000014</v>
      </c>
      <c r="I635" s="232">
        <f t="shared" si="1346"/>
        <v>8</v>
      </c>
      <c r="J635" s="233">
        <f t="shared" si="1377"/>
        <v>8</v>
      </c>
      <c r="K635" s="87" t="s">
        <v>3919</v>
      </c>
      <c r="L635" s="232">
        <f t="shared" ref="L635:N635" si="1406">L634</f>
        <v>0.2</v>
      </c>
      <c r="M635" s="232">
        <f t="shared" si="1406"/>
        <v>150</v>
      </c>
      <c r="N635" s="232">
        <f t="shared" si="1406"/>
        <v>750</v>
      </c>
      <c r="O635" s="217"/>
      <c r="P635" s="38">
        <f t="shared" si="1326"/>
        <v>24</v>
      </c>
      <c r="Q635" s="38">
        <f t="shared" si="1369"/>
        <v>25</v>
      </c>
      <c r="R635" s="39">
        <f t="shared" si="1327"/>
        <v>0.99967848848331109</v>
      </c>
      <c r="S635" s="39">
        <f t="shared" si="1328"/>
        <v>0.99983779445975174</v>
      </c>
      <c r="T635" s="39">
        <f t="shared" si="1331"/>
        <v>1.5930597644064903E-4</v>
      </c>
      <c r="U635" s="89">
        <f t="shared" si="1354"/>
        <v>2.6115733842729349E-6</v>
      </c>
    </row>
    <row r="636" spans="1:21" ht="15.75" thickBot="1" x14ac:dyDescent="0.3">
      <c r="A636" s="229">
        <f t="shared" ref="A636:B636" si="1407">A635+1</f>
        <v>626</v>
      </c>
      <c r="B636" s="230">
        <f t="shared" si="1407"/>
        <v>626</v>
      </c>
      <c r="C636" s="92" t="str">
        <f t="shared" si="1289"/>
        <v>L11X25-008_000_56</v>
      </c>
      <c r="D636" s="231">
        <f t="shared" si="1286"/>
        <v>25</v>
      </c>
      <c r="E636" s="239">
        <f t="shared" si="1320"/>
        <v>3.4090000000000007</v>
      </c>
      <c r="F636" s="232">
        <f t="shared" si="1303"/>
        <v>13.636000000000003</v>
      </c>
      <c r="G636" s="232">
        <f t="shared" si="1304"/>
        <v>10.908800000000003</v>
      </c>
      <c r="H636" s="232">
        <f t="shared" si="1305"/>
        <v>6.8180000000000014</v>
      </c>
      <c r="I636" s="232">
        <f t="shared" si="1346"/>
        <v>8</v>
      </c>
      <c r="J636" s="233">
        <f t="shared" si="1377"/>
        <v>8</v>
      </c>
      <c r="K636" s="87" t="s">
        <v>3920</v>
      </c>
      <c r="L636" s="232">
        <f t="shared" ref="L636:N636" si="1408">L635</f>
        <v>0.2</v>
      </c>
      <c r="M636" s="232">
        <f t="shared" si="1408"/>
        <v>150</v>
      </c>
      <c r="N636" s="232">
        <f t="shared" si="1408"/>
        <v>750</v>
      </c>
      <c r="O636" s="217"/>
      <c r="P636" s="38">
        <f t="shared" si="1326"/>
        <v>24</v>
      </c>
      <c r="Q636" s="38">
        <f t="shared" si="1369"/>
        <v>25</v>
      </c>
      <c r="R636" s="39">
        <f t="shared" si="1327"/>
        <v>0.99967848848331109</v>
      </c>
      <c r="S636" s="39">
        <f t="shared" si="1328"/>
        <v>0.99983779445975174</v>
      </c>
      <c r="T636" s="39">
        <f t="shared" si="1331"/>
        <v>1.5930597644064903E-4</v>
      </c>
      <c r="U636" s="89">
        <f t="shared" si="1354"/>
        <v>2.6115733842729349E-6</v>
      </c>
    </row>
    <row r="637" spans="1:21" ht="15.75" thickBot="1" x14ac:dyDescent="0.3">
      <c r="A637" s="229">
        <f t="shared" ref="A637:B637" si="1409">A636+1</f>
        <v>627</v>
      </c>
      <c r="B637" s="230">
        <f t="shared" si="1409"/>
        <v>627</v>
      </c>
      <c r="C637" s="92" t="str">
        <f t="shared" si="1289"/>
        <v>L11X25-008_000_57</v>
      </c>
      <c r="D637" s="231">
        <f t="shared" si="1286"/>
        <v>25</v>
      </c>
      <c r="E637" s="239">
        <f t="shared" si="1320"/>
        <v>3.4090000000000007</v>
      </c>
      <c r="F637" s="232">
        <f t="shared" si="1303"/>
        <v>13.636000000000003</v>
      </c>
      <c r="G637" s="232">
        <f t="shared" si="1304"/>
        <v>10.908800000000003</v>
      </c>
      <c r="H637" s="232">
        <f t="shared" si="1305"/>
        <v>6.8180000000000014</v>
      </c>
      <c r="I637" s="232">
        <f t="shared" si="1346"/>
        <v>8</v>
      </c>
      <c r="J637" s="233">
        <f t="shared" si="1377"/>
        <v>8</v>
      </c>
      <c r="K637" s="87" t="s">
        <v>3921</v>
      </c>
      <c r="L637" s="232">
        <f t="shared" ref="L637:N637" si="1410">L636</f>
        <v>0.2</v>
      </c>
      <c r="M637" s="232">
        <f t="shared" si="1410"/>
        <v>150</v>
      </c>
      <c r="N637" s="232">
        <f t="shared" si="1410"/>
        <v>750</v>
      </c>
      <c r="O637" s="217"/>
      <c r="P637" s="38">
        <f t="shared" si="1326"/>
        <v>24</v>
      </c>
      <c r="Q637" s="38">
        <f t="shared" si="1369"/>
        <v>25</v>
      </c>
      <c r="R637" s="39">
        <f t="shared" si="1327"/>
        <v>0.99967848848331109</v>
      </c>
      <c r="S637" s="39">
        <f t="shared" si="1328"/>
        <v>0.99983779445975174</v>
      </c>
      <c r="T637" s="39">
        <f t="shared" si="1331"/>
        <v>1.5930597644064903E-4</v>
      </c>
      <c r="U637" s="89">
        <f t="shared" si="1354"/>
        <v>2.6115733842729349E-6</v>
      </c>
    </row>
    <row r="638" spans="1:21" ht="15.75" thickBot="1" x14ac:dyDescent="0.3">
      <c r="A638" s="229">
        <f t="shared" ref="A638:B638" si="1411">A637+1</f>
        <v>628</v>
      </c>
      <c r="B638" s="230">
        <f t="shared" si="1411"/>
        <v>628</v>
      </c>
      <c r="C638" s="92" t="str">
        <f t="shared" si="1289"/>
        <v>L11X25-008_000_58</v>
      </c>
      <c r="D638" s="231">
        <f t="shared" si="1286"/>
        <v>25</v>
      </c>
      <c r="E638" s="239">
        <f t="shared" si="1320"/>
        <v>3.4090000000000007</v>
      </c>
      <c r="F638" s="232">
        <f t="shared" si="1303"/>
        <v>13.636000000000003</v>
      </c>
      <c r="G638" s="232">
        <f t="shared" si="1304"/>
        <v>10.908800000000003</v>
      </c>
      <c r="H638" s="232">
        <f t="shared" si="1305"/>
        <v>6.8180000000000014</v>
      </c>
      <c r="I638" s="232">
        <f t="shared" si="1346"/>
        <v>8</v>
      </c>
      <c r="J638" s="233">
        <f t="shared" si="1377"/>
        <v>8</v>
      </c>
      <c r="K638" s="87" t="s">
        <v>3922</v>
      </c>
      <c r="L638" s="232">
        <f t="shared" ref="L638:N638" si="1412">L637</f>
        <v>0.2</v>
      </c>
      <c r="M638" s="232">
        <f t="shared" si="1412"/>
        <v>150</v>
      </c>
      <c r="N638" s="232">
        <f t="shared" si="1412"/>
        <v>750</v>
      </c>
      <c r="O638" s="217"/>
      <c r="P638" s="38">
        <f t="shared" si="1326"/>
        <v>24</v>
      </c>
      <c r="Q638" s="38">
        <f t="shared" si="1369"/>
        <v>25</v>
      </c>
      <c r="R638" s="39">
        <f t="shared" si="1327"/>
        <v>0.99967848848331109</v>
      </c>
      <c r="S638" s="39">
        <f t="shared" si="1328"/>
        <v>0.99983779445975174</v>
      </c>
      <c r="T638" s="39">
        <f t="shared" si="1331"/>
        <v>1.5930597644064903E-4</v>
      </c>
      <c r="U638" s="89">
        <f t="shared" si="1354"/>
        <v>2.6115733842729349E-6</v>
      </c>
    </row>
    <row r="639" spans="1:21" ht="15.75" thickBot="1" x14ac:dyDescent="0.3">
      <c r="A639" s="229">
        <f t="shared" ref="A639:B639" si="1413">A638+1</f>
        <v>629</v>
      </c>
      <c r="B639" s="230">
        <f t="shared" si="1413"/>
        <v>629</v>
      </c>
      <c r="C639" s="92" t="str">
        <f t="shared" si="1289"/>
        <v>L11X25-008_000_59</v>
      </c>
      <c r="D639" s="231">
        <f t="shared" si="1286"/>
        <v>25</v>
      </c>
      <c r="E639" s="239">
        <f t="shared" si="1320"/>
        <v>3.4090000000000007</v>
      </c>
      <c r="F639" s="232">
        <f t="shared" si="1303"/>
        <v>13.636000000000003</v>
      </c>
      <c r="G639" s="232">
        <f t="shared" si="1304"/>
        <v>10.908800000000003</v>
      </c>
      <c r="H639" s="232">
        <f t="shared" si="1305"/>
        <v>6.8180000000000014</v>
      </c>
      <c r="I639" s="232">
        <f t="shared" si="1346"/>
        <v>8</v>
      </c>
      <c r="J639" s="233">
        <f t="shared" si="1377"/>
        <v>8</v>
      </c>
      <c r="K639" s="87" t="s">
        <v>3923</v>
      </c>
      <c r="L639" s="232">
        <f t="shared" ref="L639:N639" si="1414">L638</f>
        <v>0.2</v>
      </c>
      <c r="M639" s="232">
        <f t="shared" si="1414"/>
        <v>150</v>
      </c>
      <c r="N639" s="232">
        <f t="shared" si="1414"/>
        <v>750</v>
      </c>
      <c r="O639" s="217"/>
      <c r="P639" s="38">
        <f t="shared" si="1326"/>
        <v>24</v>
      </c>
      <c r="Q639" s="38">
        <f t="shared" si="1369"/>
        <v>25</v>
      </c>
      <c r="R639" s="39">
        <f t="shared" si="1327"/>
        <v>0.99967848848331109</v>
      </c>
      <c r="S639" s="39">
        <f t="shared" si="1328"/>
        <v>0.99983779445975174</v>
      </c>
      <c r="T639" s="39">
        <f t="shared" si="1331"/>
        <v>1.5930597644064903E-4</v>
      </c>
      <c r="U639" s="89">
        <f t="shared" si="1354"/>
        <v>2.6115733842729349E-6</v>
      </c>
    </row>
    <row r="640" spans="1:21" x14ac:dyDescent="0.25">
      <c r="A640" s="229">
        <f t="shared" ref="A640:B640" si="1415">A639+1</f>
        <v>630</v>
      </c>
      <c r="B640" s="230">
        <f t="shared" si="1415"/>
        <v>630</v>
      </c>
      <c r="C640" s="92" t="str">
        <f t="shared" si="1289"/>
        <v>L11X25-008_000_60</v>
      </c>
      <c r="D640" s="231">
        <f t="shared" si="1286"/>
        <v>25</v>
      </c>
      <c r="E640" s="239">
        <f t="shared" si="1320"/>
        <v>3.4090000000000007</v>
      </c>
      <c r="F640" s="232">
        <f t="shared" si="1303"/>
        <v>13.636000000000003</v>
      </c>
      <c r="G640" s="232">
        <f t="shared" si="1304"/>
        <v>10.908800000000003</v>
      </c>
      <c r="H640" s="232">
        <f t="shared" si="1305"/>
        <v>6.8180000000000014</v>
      </c>
      <c r="I640" s="232">
        <f t="shared" si="1346"/>
        <v>8</v>
      </c>
      <c r="J640" s="233">
        <f t="shared" si="1377"/>
        <v>8</v>
      </c>
      <c r="K640" s="87" t="s">
        <v>3924</v>
      </c>
      <c r="L640" s="232">
        <f t="shared" ref="L640:N640" si="1416">L639</f>
        <v>0.2</v>
      </c>
      <c r="M640" s="232">
        <f t="shared" si="1416"/>
        <v>150</v>
      </c>
      <c r="N640" s="232">
        <f t="shared" si="1416"/>
        <v>750</v>
      </c>
      <c r="O640" s="217"/>
      <c r="P640" s="38">
        <f t="shared" si="1326"/>
        <v>24</v>
      </c>
      <c r="Q640" s="38">
        <f t="shared" si="1369"/>
        <v>25</v>
      </c>
      <c r="R640" s="39">
        <f t="shared" si="1327"/>
        <v>0.99967848848331109</v>
      </c>
      <c r="S640" s="39">
        <f t="shared" si="1328"/>
        <v>0.99983779445975174</v>
      </c>
      <c r="T640" s="39">
        <f t="shared" si="1331"/>
        <v>1.5930597644064903E-4</v>
      </c>
      <c r="U640" s="89">
        <f t="shared" si="1354"/>
        <v>2.6115733842729349E-6</v>
      </c>
    </row>
  </sheetData>
  <mergeCells count="1">
    <mergeCell ref="P8:U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48"/>
  <sheetViews>
    <sheetView topLeftCell="A110" zoomScaleNormal="100" workbookViewId="0">
      <selection activeCell="Q5" sqref="Q5"/>
    </sheetView>
  </sheetViews>
  <sheetFormatPr defaultColWidth="9" defaultRowHeight="15" x14ac:dyDescent="0.15"/>
  <cols>
    <col min="1" max="1" width="7" style="23" customWidth="1"/>
    <col min="2" max="2" width="7.375" style="23" customWidth="1"/>
    <col min="3" max="3" width="19.375" style="23" customWidth="1"/>
    <col min="4" max="4" width="6.875" style="23" customWidth="1"/>
    <col min="5" max="5" width="7.375" style="23" customWidth="1"/>
    <col min="6" max="6" width="8.125" style="23" customWidth="1"/>
    <col min="7" max="8" width="7.375" style="23" customWidth="1"/>
    <col min="9" max="9" width="8" style="23" customWidth="1"/>
    <col min="10" max="10" width="9" style="23"/>
    <col min="11" max="11" width="8.875" style="23" customWidth="1"/>
    <col min="12" max="12" width="7.375" style="23" customWidth="1"/>
    <col min="13" max="13" width="6.75" style="23" customWidth="1"/>
    <col min="14" max="14" width="7" style="23" customWidth="1"/>
    <col min="15" max="15" width="9" style="23"/>
    <col min="16" max="17" width="8" style="23" customWidth="1"/>
    <col min="18" max="18" width="9.375" style="23" bestFit="1" customWidth="1"/>
    <col min="19" max="20" width="9" style="23"/>
    <col min="21" max="21" width="9.75" style="23" customWidth="1"/>
    <col min="22" max="16384" width="9" style="23"/>
  </cols>
  <sheetData>
    <row r="1" spans="1:24" x14ac:dyDescent="0.15">
      <c r="H1" s="216" t="s">
        <v>135</v>
      </c>
      <c r="I1" s="216" t="s">
        <v>3931</v>
      </c>
      <c r="J1" s="21"/>
    </row>
    <row r="2" spans="1:24" x14ac:dyDescent="0.15">
      <c r="B2" s="22" t="s">
        <v>253</v>
      </c>
      <c r="C2" s="22"/>
      <c r="D2" s="22"/>
      <c r="E2" s="22"/>
      <c r="F2" s="22"/>
      <c r="G2" s="22"/>
      <c r="H2" s="216"/>
      <c r="I2" s="216" t="s">
        <v>3928</v>
      </c>
      <c r="J2" s="21"/>
    </row>
    <row r="3" spans="1:24" x14ac:dyDescent="0.15">
      <c r="B3" s="22" t="s">
        <v>88</v>
      </c>
      <c r="C3" s="22"/>
      <c r="D3" s="22"/>
      <c r="E3" s="22" t="s">
        <v>95</v>
      </c>
      <c r="F3" s="22"/>
      <c r="G3" s="22"/>
      <c r="H3" s="216"/>
      <c r="I3" s="240" t="s">
        <v>3939</v>
      </c>
      <c r="J3" s="21"/>
    </row>
    <row r="4" spans="1:24" x14ac:dyDescent="0.15">
      <c r="B4" s="22" t="s">
        <v>89</v>
      </c>
      <c r="C4" s="22"/>
      <c r="D4" s="22"/>
      <c r="E4" s="22" t="s">
        <v>90</v>
      </c>
      <c r="F4" s="22"/>
      <c r="G4" s="22"/>
      <c r="H4" s="216"/>
      <c r="I4" s="216" t="s">
        <v>3937</v>
      </c>
      <c r="J4" s="21"/>
    </row>
    <row r="5" spans="1:24" x14ac:dyDescent="0.15">
      <c r="B5" s="22" t="s">
        <v>91</v>
      </c>
      <c r="C5" s="22"/>
      <c r="D5" s="22"/>
      <c r="E5" s="22" t="s">
        <v>3862</v>
      </c>
      <c r="F5" s="22"/>
      <c r="G5" s="22"/>
      <c r="H5" s="216"/>
      <c r="I5" s="240" t="s">
        <v>3940</v>
      </c>
      <c r="J5" s="21"/>
    </row>
    <row r="6" spans="1:24" x14ac:dyDescent="0.15">
      <c r="B6" s="22" t="s">
        <v>93</v>
      </c>
      <c r="C6" s="22"/>
      <c r="D6" s="22"/>
      <c r="E6" s="22" t="s">
        <v>3927</v>
      </c>
      <c r="F6" s="22"/>
      <c r="G6" s="22"/>
      <c r="H6" s="216"/>
      <c r="I6" s="216" t="s">
        <v>3932</v>
      </c>
      <c r="J6" s="21"/>
      <c r="O6" s="23">
        <v>15</v>
      </c>
      <c r="P6" s="23">
        <v>16</v>
      </c>
      <c r="Q6" s="217">
        <v>17</v>
      </c>
      <c r="R6" s="217">
        <v>18</v>
      </c>
      <c r="S6" s="217">
        <v>19</v>
      </c>
      <c r="T6" s="217">
        <v>20</v>
      </c>
      <c r="U6" s="217">
        <v>21</v>
      </c>
      <c r="V6" s="217">
        <v>22</v>
      </c>
    </row>
    <row r="7" spans="1:24" x14ac:dyDescent="0.15">
      <c r="A7" s="46"/>
      <c r="B7" s="46"/>
      <c r="C7" s="139"/>
      <c r="D7" s="139"/>
      <c r="E7" s="139"/>
      <c r="F7" s="139"/>
      <c r="G7" s="139"/>
      <c r="H7" s="139"/>
      <c r="I7" s="216" t="s">
        <v>3930</v>
      </c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</row>
    <row r="8" spans="1:24" ht="15.75" thickBot="1" x14ac:dyDescent="0.2">
      <c r="A8" s="23">
        <v>1</v>
      </c>
      <c r="B8" s="23">
        <v>2</v>
      </c>
      <c r="C8" s="217">
        <v>3</v>
      </c>
      <c r="D8" s="217">
        <v>4</v>
      </c>
      <c r="E8" s="217">
        <v>5</v>
      </c>
      <c r="F8" s="217">
        <v>6</v>
      </c>
      <c r="G8" s="217">
        <v>7</v>
      </c>
      <c r="H8" s="217">
        <v>8</v>
      </c>
      <c r="I8" s="217">
        <v>9</v>
      </c>
      <c r="J8" s="217">
        <v>10</v>
      </c>
      <c r="K8" s="217">
        <v>11</v>
      </c>
      <c r="L8" s="217">
        <v>12</v>
      </c>
      <c r="M8" s="217">
        <v>13</v>
      </c>
      <c r="N8" s="217">
        <v>14</v>
      </c>
      <c r="P8" s="273" t="s">
        <v>249</v>
      </c>
      <c r="Q8" s="274"/>
      <c r="R8" s="274"/>
      <c r="S8" s="274"/>
      <c r="T8" s="274"/>
      <c r="U8" s="274"/>
      <c r="V8" s="275"/>
    </row>
    <row r="9" spans="1:24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140</v>
      </c>
      <c r="K9" s="26" t="s">
        <v>3</v>
      </c>
      <c r="L9" s="25" t="s">
        <v>141</v>
      </c>
      <c r="M9" s="27" t="s">
        <v>138</v>
      </c>
      <c r="N9" s="27" t="s">
        <v>139</v>
      </c>
      <c r="P9" s="28" t="s">
        <v>77</v>
      </c>
      <c r="Q9" s="28" t="s">
        <v>78</v>
      </c>
      <c r="R9" s="28" t="s">
        <v>79</v>
      </c>
      <c r="S9" s="28" t="s">
        <v>80</v>
      </c>
      <c r="T9" s="28" t="s">
        <v>81</v>
      </c>
      <c r="U9" s="28" t="s">
        <v>82</v>
      </c>
      <c r="V9" s="28" t="s">
        <v>250</v>
      </c>
    </row>
    <row r="10" spans="1:24" ht="15.75" thickBot="1" x14ac:dyDescent="0.3">
      <c r="A10" s="29" t="s">
        <v>76</v>
      </c>
      <c r="B10" s="30" t="str">
        <f>B2</f>
        <v>DLC12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32" t="s">
        <v>7</v>
      </c>
      <c r="N10" s="32" t="s">
        <v>7</v>
      </c>
      <c r="P10" s="33" t="s">
        <v>83</v>
      </c>
      <c r="Q10" s="28" t="s">
        <v>83</v>
      </c>
      <c r="R10" s="28" t="s">
        <v>76</v>
      </c>
      <c r="S10" s="28" t="s">
        <v>76</v>
      </c>
      <c r="T10" s="28" t="s">
        <v>76</v>
      </c>
      <c r="U10" s="28" t="s">
        <v>84</v>
      </c>
      <c r="V10" s="28" t="s">
        <v>251</v>
      </c>
    </row>
    <row r="11" spans="1:24" ht="15.75" thickBot="1" x14ac:dyDescent="0.3">
      <c r="A11" s="24">
        <f>LOOKUP(9E+307,'DLC11'!A:A)+1</f>
        <v>631</v>
      </c>
      <c r="B11" s="27">
        <v>1</v>
      </c>
      <c r="C11" s="24" t="str">
        <f>TEXT(RIGHT($B$2,LEN($B$2)-3),"L00")&amp;"X"&amp;TEXT(D11,"00")&amp;"-"&amp;IF(J11&lt;0,TEXT(360+J11,"000"),TEXT(J11,"000"))&amp;"_"&amp;"000"&amp;"_"&amp;TEXT(RIGHT(K11,LEN(K11)-FIND("-",K11)),"00")</f>
        <v>L12X03-352_000_01</v>
      </c>
      <c r="D11" s="34">
        <f>v_in</f>
        <v>3</v>
      </c>
      <c r="E11" s="60">
        <f t="shared" ref="E11:E42" si="0">I_ref*(0.75*D11+5.6)</f>
        <v>1.099</v>
      </c>
      <c r="F11" s="35">
        <f>E11/D11*100</f>
        <v>36.633333333333333</v>
      </c>
      <c r="G11" s="35">
        <f t="shared" ref="G11:G12" si="1">m_ty*F11</f>
        <v>29.306666666666668</v>
      </c>
      <c r="H11" s="35">
        <f t="shared" ref="H11:H12" si="2">m_tz*F11</f>
        <v>18.316666666666666</v>
      </c>
      <c r="I11" s="35">
        <f>inflow</f>
        <v>8</v>
      </c>
      <c r="J11" s="36">
        <f>yaw_min</f>
        <v>-8</v>
      </c>
      <c r="K11" s="37" t="str">
        <f>D11&amp;-1</f>
        <v>3-1</v>
      </c>
      <c r="L11" s="35">
        <f>alpha_n</f>
        <v>0.2</v>
      </c>
      <c r="M11" s="44">
        <f>t_out</f>
        <v>150</v>
      </c>
      <c r="N11" s="44">
        <f>M11+T_s1</f>
        <v>750</v>
      </c>
      <c r="P11" s="38">
        <f>v_in</f>
        <v>3</v>
      </c>
      <c r="Q11" s="38">
        <f>P11+V_step_12/2</f>
        <v>3.5</v>
      </c>
      <c r="R11" s="39">
        <f t="shared" ref="R11:S42" si="3">IF(wpd="Rayleigh",1-EXP(-PI()*((P11/2/v_ave)^2)),IF(wpd="Weibull",1-EXP(-((P11/weibull_A)^weibull_K))))</f>
        <v>0.11808862170182366</v>
      </c>
      <c r="S11" s="39">
        <f t="shared" si="3"/>
        <v>0.15721404905831127</v>
      </c>
      <c r="T11" s="39">
        <f>S11-R11</f>
        <v>3.9125427356487608E-2</v>
      </c>
      <c r="U11" s="40">
        <f t="shared" ref="U11:U42" si="4">T11*(H_year-H_hy-H_hp-H_ice-H_typhoon)/6</f>
        <v>56.849245948976495</v>
      </c>
      <c r="V11" s="40" t="s">
        <v>125</v>
      </c>
      <c r="W11" s="163">
        <f>U11*20</f>
        <v>1136.98491897953</v>
      </c>
      <c r="X11" s="176">
        <f>W11/(N11-M11)*3600</f>
        <v>6821.90951387718</v>
      </c>
    </row>
    <row r="12" spans="1:24" ht="15.75" thickBot="1" x14ac:dyDescent="0.3">
      <c r="A12" s="41">
        <f>A11+1</f>
        <v>632</v>
      </c>
      <c r="B12" s="42">
        <f>B11+1</f>
        <v>2</v>
      </c>
      <c r="C12" s="218" t="str">
        <f t="shared" ref="C12:C75" si="5">TEXT(RIGHT($B$2,LEN($B$2)-3),"L00")&amp;"X"&amp;TEXT(D12,"00")&amp;"-"&amp;IF(J12&lt;0,TEXT(360+J12,"000"),TEXT(J12,"000"))&amp;"_"&amp;"000"&amp;"_"&amp;TEXT(RIGHT(K12,LEN(K12)-FIND("-",K12)),"00")</f>
        <v>L12X03-352_000_02</v>
      </c>
      <c r="D12" s="43">
        <f>D11</f>
        <v>3</v>
      </c>
      <c r="E12" s="61">
        <f t="shared" si="0"/>
        <v>1.099</v>
      </c>
      <c r="F12" s="44">
        <f>E12/D12*100</f>
        <v>36.633333333333333</v>
      </c>
      <c r="G12" s="44">
        <f t="shared" si="1"/>
        <v>29.306666666666668</v>
      </c>
      <c r="H12" s="44">
        <f t="shared" si="2"/>
        <v>18.316666666666666</v>
      </c>
      <c r="I12" s="44">
        <f>I11</f>
        <v>8</v>
      </c>
      <c r="J12" s="45">
        <f>yaw_min</f>
        <v>-8</v>
      </c>
      <c r="K12" s="37" t="str">
        <f>D12&amp;-2</f>
        <v>3-2</v>
      </c>
      <c r="L12" s="44">
        <f>L11</f>
        <v>0.2</v>
      </c>
      <c r="M12" s="44">
        <f>M11</f>
        <v>150</v>
      </c>
      <c r="N12" s="44">
        <f>N11</f>
        <v>750</v>
      </c>
      <c r="P12" s="38">
        <f>P11</f>
        <v>3</v>
      </c>
      <c r="Q12" s="38">
        <f>Q11</f>
        <v>3.5</v>
      </c>
      <c r="R12" s="39">
        <f t="shared" si="3"/>
        <v>0.11808862170182366</v>
      </c>
      <c r="S12" s="39">
        <f t="shared" si="3"/>
        <v>0.15721404905831127</v>
      </c>
      <c r="T12" s="39">
        <f t="shared" ref="T12:T64" si="6">S12-R12</f>
        <v>3.9125427356487608E-2</v>
      </c>
      <c r="U12" s="40">
        <f t="shared" si="4"/>
        <v>56.849245948976495</v>
      </c>
      <c r="V12" s="40" t="str">
        <f>V11</f>
        <v>H</v>
      </c>
      <c r="W12" s="163">
        <f t="shared" ref="W12:W64" si="7">U12*20</f>
        <v>1136.98491897953</v>
      </c>
      <c r="X12" s="176">
        <f t="shared" ref="X12:X64" si="8">W12/(N12-M12)*3600</f>
        <v>6821.90951387718</v>
      </c>
    </row>
    <row r="13" spans="1:24" ht="15.75" thickBot="1" x14ac:dyDescent="0.3">
      <c r="A13" s="229">
        <f t="shared" ref="A13:A76" si="9">A12+1</f>
        <v>633</v>
      </c>
      <c r="B13" s="230">
        <f t="shared" ref="B13:B76" si="10">B12+1</f>
        <v>3</v>
      </c>
      <c r="C13" s="218" t="str">
        <f t="shared" si="5"/>
        <v>L12X03-000_000_03</v>
      </c>
      <c r="D13" s="43">
        <f t="shared" ref="D13:D16" si="11">D12</f>
        <v>3</v>
      </c>
      <c r="E13" s="61">
        <f t="shared" si="0"/>
        <v>1.099</v>
      </c>
      <c r="F13" s="44">
        <f t="shared" ref="F13:F34" si="12">E13/D13*100</f>
        <v>36.633333333333333</v>
      </c>
      <c r="G13" s="44">
        <f t="shared" ref="G13:G35" si="13">m_ty*F13</f>
        <v>29.306666666666668</v>
      </c>
      <c r="H13" s="44">
        <f t="shared" ref="H13:H35" si="14">m_tz*F13</f>
        <v>18.316666666666666</v>
      </c>
      <c r="I13" s="44">
        <f t="shared" ref="I13:I76" si="15">I12</f>
        <v>8</v>
      </c>
      <c r="J13" s="45">
        <f>yaw_null</f>
        <v>0</v>
      </c>
      <c r="K13" s="37" t="str">
        <f>D13&amp;-3</f>
        <v>3-3</v>
      </c>
      <c r="L13" s="44">
        <f t="shared" ref="L13:N28" si="16">L12</f>
        <v>0.2</v>
      </c>
      <c r="M13" s="44">
        <f t="shared" si="16"/>
        <v>150</v>
      </c>
      <c r="N13" s="44">
        <f t="shared" si="16"/>
        <v>750</v>
      </c>
      <c r="P13" s="38">
        <f t="shared" ref="P13:P16" si="17">P12</f>
        <v>3</v>
      </c>
      <c r="Q13" s="38">
        <f t="shared" ref="Q13:Q16" si="18">Q12</f>
        <v>3.5</v>
      </c>
      <c r="R13" s="39">
        <f t="shared" si="3"/>
        <v>0.11808862170182366</v>
      </c>
      <c r="S13" s="39">
        <f t="shared" si="3"/>
        <v>0.15721404905831127</v>
      </c>
      <c r="T13" s="39">
        <f t="shared" si="6"/>
        <v>3.9125427356487608E-2</v>
      </c>
      <c r="U13" s="40">
        <f t="shared" si="4"/>
        <v>56.849245948976495</v>
      </c>
      <c r="V13" s="40" t="str">
        <f t="shared" ref="V13:V76" si="19">V12</f>
        <v>H</v>
      </c>
      <c r="W13" s="163">
        <f t="shared" si="7"/>
        <v>1136.98491897953</v>
      </c>
      <c r="X13" s="176">
        <f t="shared" si="8"/>
        <v>6821.90951387718</v>
      </c>
    </row>
    <row r="14" spans="1:24" ht="15.75" thickBot="1" x14ac:dyDescent="0.3">
      <c r="A14" s="229">
        <f t="shared" si="9"/>
        <v>634</v>
      </c>
      <c r="B14" s="230">
        <f t="shared" si="10"/>
        <v>4</v>
      </c>
      <c r="C14" s="218" t="str">
        <f t="shared" si="5"/>
        <v>L12X03-000_000_04</v>
      </c>
      <c r="D14" s="43">
        <f t="shared" si="11"/>
        <v>3</v>
      </c>
      <c r="E14" s="61">
        <f t="shared" si="0"/>
        <v>1.099</v>
      </c>
      <c r="F14" s="44">
        <f t="shared" si="12"/>
        <v>36.633333333333333</v>
      </c>
      <c r="G14" s="44">
        <f t="shared" si="13"/>
        <v>29.306666666666668</v>
      </c>
      <c r="H14" s="44">
        <f t="shared" si="14"/>
        <v>18.316666666666666</v>
      </c>
      <c r="I14" s="44">
        <f t="shared" si="15"/>
        <v>8</v>
      </c>
      <c r="J14" s="45">
        <f>yaw_null</f>
        <v>0</v>
      </c>
      <c r="K14" s="37" t="str">
        <f>D14&amp;-4</f>
        <v>3-4</v>
      </c>
      <c r="L14" s="44">
        <f t="shared" si="16"/>
        <v>0.2</v>
      </c>
      <c r="M14" s="44">
        <f t="shared" si="16"/>
        <v>150</v>
      </c>
      <c r="N14" s="44">
        <f t="shared" si="16"/>
        <v>750</v>
      </c>
      <c r="P14" s="38">
        <f t="shared" si="17"/>
        <v>3</v>
      </c>
      <c r="Q14" s="38">
        <f t="shared" si="18"/>
        <v>3.5</v>
      </c>
      <c r="R14" s="39">
        <f t="shared" si="3"/>
        <v>0.11808862170182366</v>
      </c>
      <c r="S14" s="39">
        <f t="shared" si="3"/>
        <v>0.15721404905831127</v>
      </c>
      <c r="T14" s="39">
        <f t="shared" si="6"/>
        <v>3.9125427356487608E-2</v>
      </c>
      <c r="U14" s="40">
        <f t="shared" si="4"/>
        <v>56.849245948976495</v>
      </c>
      <c r="V14" s="40" t="str">
        <f t="shared" si="19"/>
        <v>H</v>
      </c>
      <c r="W14" s="163">
        <f t="shared" si="7"/>
        <v>1136.98491897953</v>
      </c>
      <c r="X14" s="176">
        <f t="shared" si="8"/>
        <v>6821.90951387718</v>
      </c>
    </row>
    <row r="15" spans="1:24" ht="15.75" thickBot="1" x14ac:dyDescent="0.3">
      <c r="A15" s="229">
        <f t="shared" si="9"/>
        <v>635</v>
      </c>
      <c r="B15" s="230">
        <f t="shared" si="10"/>
        <v>5</v>
      </c>
      <c r="C15" s="218" t="str">
        <f t="shared" si="5"/>
        <v>L12X03-008_000_05</v>
      </c>
      <c r="D15" s="43">
        <f t="shared" si="11"/>
        <v>3</v>
      </c>
      <c r="E15" s="61">
        <f t="shared" si="0"/>
        <v>1.099</v>
      </c>
      <c r="F15" s="44">
        <f t="shared" si="12"/>
        <v>36.633333333333333</v>
      </c>
      <c r="G15" s="44">
        <f t="shared" si="13"/>
        <v>29.306666666666668</v>
      </c>
      <c r="H15" s="44">
        <f t="shared" si="14"/>
        <v>18.316666666666666</v>
      </c>
      <c r="I15" s="44">
        <f t="shared" si="15"/>
        <v>8</v>
      </c>
      <c r="J15" s="45">
        <f>yaw_max</f>
        <v>8</v>
      </c>
      <c r="K15" s="37" t="str">
        <f>D15&amp;-5</f>
        <v>3-5</v>
      </c>
      <c r="L15" s="44">
        <f t="shared" si="16"/>
        <v>0.2</v>
      </c>
      <c r="M15" s="44">
        <f t="shared" si="16"/>
        <v>150</v>
      </c>
      <c r="N15" s="44">
        <f t="shared" si="16"/>
        <v>750</v>
      </c>
      <c r="P15" s="38">
        <f t="shared" si="17"/>
        <v>3</v>
      </c>
      <c r="Q15" s="38">
        <f t="shared" si="18"/>
        <v>3.5</v>
      </c>
      <c r="R15" s="39">
        <f t="shared" si="3"/>
        <v>0.11808862170182366</v>
      </c>
      <c r="S15" s="39">
        <f t="shared" si="3"/>
        <v>0.15721404905831127</v>
      </c>
      <c r="T15" s="39">
        <f t="shared" si="6"/>
        <v>3.9125427356487608E-2</v>
      </c>
      <c r="U15" s="40">
        <f t="shared" si="4"/>
        <v>56.849245948976495</v>
      </c>
      <c r="V15" s="40" t="str">
        <f t="shared" si="19"/>
        <v>H</v>
      </c>
      <c r="W15" s="163">
        <f t="shared" si="7"/>
        <v>1136.98491897953</v>
      </c>
      <c r="X15" s="176">
        <f t="shared" si="8"/>
        <v>6821.90951387718</v>
      </c>
    </row>
    <row r="16" spans="1:24" ht="15.75" thickBot="1" x14ac:dyDescent="0.3">
      <c r="A16" s="229">
        <f t="shared" si="9"/>
        <v>636</v>
      </c>
      <c r="B16" s="230">
        <f t="shared" si="10"/>
        <v>6</v>
      </c>
      <c r="C16" s="218" t="str">
        <f t="shared" si="5"/>
        <v>L12X03-008_000_06</v>
      </c>
      <c r="D16" s="43">
        <f t="shared" si="11"/>
        <v>3</v>
      </c>
      <c r="E16" s="61">
        <f t="shared" si="0"/>
        <v>1.099</v>
      </c>
      <c r="F16" s="44">
        <f t="shared" si="12"/>
        <v>36.633333333333333</v>
      </c>
      <c r="G16" s="44">
        <f t="shared" si="13"/>
        <v>29.306666666666668</v>
      </c>
      <c r="H16" s="44">
        <f t="shared" si="14"/>
        <v>18.316666666666666</v>
      </c>
      <c r="I16" s="44">
        <f t="shared" si="15"/>
        <v>8</v>
      </c>
      <c r="J16" s="45">
        <f>yaw_max</f>
        <v>8</v>
      </c>
      <c r="K16" s="37" t="str">
        <f>D16&amp;-6</f>
        <v>3-6</v>
      </c>
      <c r="L16" s="44">
        <f t="shared" si="16"/>
        <v>0.2</v>
      </c>
      <c r="M16" s="44">
        <f t="shared" si="16"/>
        <v>150</v>
      </c>
      <c r="N16" s="44">
        <f t="shared" si="16"/>
        <v>750</v>
      </c>
      <c r="P16" s="38">
        <f t="shared" si="17"/>
        <v>3</v>
      </c>
      <c r="Q16" s="38">
        <f t="shared" si="18"/>
        <v>3.5</v>
      </c>
      <c r="R16" s="39">
        <f t="shared" si="3"/>
        <v>0.11808862170182366</v>
      </c>
      <c r="S16" s="39">
        <f t="shared" si="3"/>
        <v>0.15721404905831127</v>
      </c>
      <c r="T16" s="39">
        <f t="shared" si="6"/>
        <v>3.9125427356487608E-2</v>
      </c>
      <c r="U16" s="40">
        <f t="shared" si="4"/>
        <v>56.849245948976495</v>
      </c>
      <c r="V16" s="40" t="str">
        <f t="shared" si="19"/>
        <v>H</v>
      </c>
      <c r="W16" s="163">
        <f t="shared" si="7"/>
        <v>1136.98491897953</v>
      </c>
      <c r="X16" s="176">
        <f t="shared" si="8"/>
        <v>6821.90951387718</v>
      </c>
    </row>
    <row r="17" spans="1:24" ht="15.75" thickBot="1" x14ac:dyDescent="0.3">
      <c r="A17" s="229">
        <f t="shared" si="9"/>
        <v>637</v>
      </c>
      <c r="B17" s="230">
        <f t="shared" si="10"/>
        <v>7</v>
      </c>
      <c r="C17" s="218" t="str">
        <f t="shared" si="5"/>
        <v>L12X04-352_000_01</v>
      </c>
      <c r="D17" s="43">
        <f>D11+V_step_12</f>
        <v>4</v>
      </c>
      <c r="E17" s="61">
        <f t="shared" si="0"/>
        <v>1.204</v>
      </c>
      <c r="F17" s="44">
        <f t="shared" si="12"/>
        <v>30.099999999999998</v>
      </c>
      <c r="G17" s="44">
        <f t="shared" si="13"/>
        <v>24.08</v>
      </c>
      <c r="H17" s="44">
        <f t="shared" si="14"/>
        <v>15.049999999999999</v>
      </c>
      <c r="I17" s="44">
        <f t="shared" si="15"/>
        <v>8</v>
      </c>
      <c r="J17" s="45">
        <f>yaw_min</f>
        <v>-8</v>
      </c>
      <c r="K17" s="37" t="str">
        <f>D17&amp;-1</f>
        <v>4-1</v>
      </c>
      <c r="L17" s="44">
        <f t="shared" si="16"/>
        <v>0.2</v>
      </c>
      <c r="M17" s="44">
        <f t="shared" si="16"/>
        <v>150</v>
      </c>
      <c r="N17" s="44">
        <f t="shared" si="16"/>
        <v>750</v>
      </c>
      <c r="P17" s="38">
        <f t="shared" ref="P17:P42" si="20">D17-V_step_12/2</f>
        <v>3.5</v>
      </c>
      <c r="Q17" s="38">
        <f t="shared" ref="Q17:Q42" si="21">P17+V_step_12</f>
        <v>4.5</v>
      </c>
      <c r="R17" s="39">
        <f t="shared" si="3"/>
        <v>0.15721404905831127</v>
      </c>
      <c r="S17" s="39">
        <f t="shared" si="3"/>
        <v>0.24628678804353288</v>
      </c>
      <c r="T17" s="39">
        <f t="shared" si="6"/>
        <v>8.9072738985221611E-2</v>
      </c>
      <c r="U17" s="40">
        <f t="shared" si="4"/>
        <v>129.42268974552701</v>
      </c>
      <c r="V17" s="40" t="str">
        <f t="shared" si="19"/>
        <v>H</v>
      </c>
      <c r="W17" s="163">
        <f t="shared" si="7"/>
        <v>2588.4537949105402</v>
      </c>
      <c r="X17" s="176">
        <f t="shared" si="8"/>
        <v>15530.72276946324</v>
      </c>
    </row>
    <row r="18" spans="1:24" ht="15.75" thickBot="1" x14ac:dyDescent="0.3">
      <c r="A18" s="229">
        <f t="shared" si="9"/>
        <v>638</v>
      </c>
      <c r="B18" s="230">
        <f t="shared" si="10"/>
        <v>8</v>
      </c>
      <c r="C18" s="218" t="str">
        <f t="shared" si="5"/>
        <v>L12X04-352_000_02</v>
      </c>
      <c r="D18" s="43">
        <f>D17</f>
        <v>4</v>
      </c>
      <c r="E18" s="61">
        <f t="shared" si="0"/>
        <v>1.204</v>
      </c>
      <c r="F18" s="44">
        <f t="shared" si="12"/>
        <v>30.099999999999998</v>
      </c>
      <c r="G18" s="44">
        <f t="shared" si="13"/>
        <v>24.08</v>
      </c>
      <c r="H18" s="44">
        <f t="shared" si="14"/>
        <v>15.049999999999999</v>
      </c>
      <c r="I18" s="44">
        <f t="shared" si="15"/>
        <v>8</v>
      </c>
      <c r="J18" s="45">
        <f>yaw_min</f>
        <v>-8</v>
      </c>
      <c r="K18" s="37" t="str">
        <f>D18&amp;-2</f>
        <v>4-2</v>
      </c>
      <c r="L18" s="44">
        <f t="shared" si="16"/>
        <v>0.2</v>
      </c>
      <c r="M18" s="44">
        <f t="shared" si="16"/>
        <v>150</v>
      </c>
      <c r="N18" s="44">
        <f t="shared" si="16"/>
        <v>750</v>
      </c>
      <c r="P18" s="38">
        <f t="shared" si="20"/>
        <v>3.5</v>
      </c>
      <c r="Q18" s="38">
        <f t="shared" si="21"/>
        <v>4.5</v>
      </c>
      <c r="R18" s="39">
        <f t="shared" si="3"/>
        <v>0.15721404905831127</v>
      </c>
      <c r="S18" s="39">
        <f t="shared" si="3"/>
        <v>0.24628678804353288</v>
      </c>
      <c r="T18" s="39">
        <f t="shared" si="6"/>
        <v>8.9072738985221611E-2</v>
      </c>
      <c r="U18" s="40">
        <f t="shared" si="4"/>
        <v>129.42268974552701</v>
      </c>
      <c r="V18" s="40" t="str">
        <f t="shared" si="19"/>
        <v>H</v>
      </c>
      <c r="W18" s="163">
        <f t="shared" si="7"/>
        <v>2588.4537949105402</v>
      </c>
      <c r="X18" s="176">
        <f t="shared" si="8"/>
        <v>15530.72276946324</v>
      </c>
    </row>
    <row r="19" spans="1:24" ht="15.75" thickBot="1" x14ac:dyDescent="0.3">
      <c r="A19" s="229">
        <f t="shared" si="9"/>
        <v>639</v>
      </c>
      <c r="B19" s="230">
        <f t="shared" si="10"/>
        <v>9</v>
      </c>
      <c r="C19" s="218" t="str">
        <f t="shared" si="5"/>
        <v>L12X04-000_000_03</v>
      </c>
      <c r="D19" s="43">
        <f t="shared" ref="D19:D22" si="22">D18</f>
        <v>4</v>
      </c>
      <c r="E19" s="61">
        <f t="shared" si="0"/>
        <v>1.204</v>
      </c>
      <c r="F19" s="44">
        <f t="shared" si="12"/>
        <v>30.099999999999998</v>
      </c>
      <c r="G19" s="44">
        <f t="shared" si="13"/>
        <v>24.08</v>
      </c>
      <c r="H19" s="44">
        <f t="shared" si="14"/>
        <v>15.049999999999999</v>
      </c>
      <c r="I19" s="44">
        <f t="shared" si="15"/>
        <v>8</v>
      </c>
      <c r="J19" s="45">
        <f>yaw_null</f>
        <v>0</v>
      </c>
      <c r="K19" s="37" t="str">
        <f>D19&amp;-3</f>
        <v>4-3</v>
      </c>
      <c r="L19" s="44">
        <f t="shared" si="16"/>
        <v>0.2</v>
      </c>
      <c r="M19" s="44">
        <f t="shared" si="16"/>
        <v>150</v>
      </c>
      <c r="N19" s="44">
        <f t="shared" si="16"/>
        <v>750</v>
      </c>
      <c r="P19" s="38">
        <f t="shared" si="20"/>
        <v>3.5</v>
      </c>
      <c r="Q19" s="38">
        <f t="shared" si="21"/>
        <v>4.5</v>
      </c>
      <c r="R19" s="39">
        <f t="shared" si="3"/>
        <v>0.15721404905831127</v>
      </c>
      <c r="S19" s="39">
        <f t="shared" si="3"/>
        <v>0.24628678804353288</v>
      </c>
      <c r="T19" s="39">
        <f t="shared" si="6"/>
        <v>8.9072738985221611E-2</v>
      </c>
      <c r="U19" s="40">
        <f t="shared" si="4"/>
        <v>129.42268974552701</v>
      </c>
      <c r="V19" s="40" t="str">
        <f t="shared" si="19"/>
        <v>H</v>
      </c>
      <c r="W19" s="163">
        <f t="shared" si="7"/>
        <v>2588.4537949105402</v>
      </c>
      <c r="X19" s="176">
        <f t="shared" si="8"/>
        <v>15530.72276946324</v>
      </c>
    </row>
    <row r="20" spans="1:24" ht="15.75" thickBot="1" x14ac:dyDescent="0.3">
      <c r="A20" s="229">
        <f t="shared" si="9"/>
        <v>640</v>
      </c>
      <c r="B20" s="230">
        <f t="shared" si="10"/>
        <v>10</v>
      </c>
      <c r="C20" s="218" t="str">
        <f t="shared" si="5"/>
        <v>L12X04-000_000_04</v>
      </c>
      <c r="D20" s="43">
        <f t="shared" si="22"/>
        <v>4</v>
      </c>
      <c r="E20" s="61">
        <f t="shared" si="0"/>
        <v>1.204</v>
      </c>
      <c r="F20" s="44">
        <f t="shared" si="12"/>
        <v>30.099999999999998</v>
      </c>
      <c r="G20" s="44">
        <f t="shared" si="13"/>
        <v>24.08</v>
      </c>
      <c r="H20" s="44">
        <f t="shared" si="14"/>
        <v>15.049999999999999</v>
      </c>
      <c r="I20" s="44">
        <f t="shared" si="15"/>
        <v>8</v>
      </c>
      <c r="J20" s="45">
        <f>yaw_null</f>
        <v>0</v>
      </c>
      <c r="K20" s="37" t="str">
        <f>D20&amp;-4</f>
        <v>4-4</v>
      </c>
      <c r="L20" s="44">
        <f t="shared" si="16"/>
        <v>0.2</v>
      </c>
      <c r="M20" s="44">
        <f t="shared" si="16"/>
        <v>150</v>
      </c>
      <c r="N20" s="44">
        <f t="shared" si="16"/>
        <v>750</v>
      </c>
      <c r="P20" s="38">
        <f t="shared" si="20"/>
        <v>3.5</v>
      </c>
      <c r="Q20" s="38">
        <f t="shared" si="21"/>
        <v>4.5</v>
      </c>
      <c r="R20" s="39">
        <f t="shared" si="3"/>
        <v>0.15721404905831127</v>
      </c>
      <c r="S20" s="39">
        <f t="shared" si="3"/>
        <v>0.24628678804353288</v>
      </c>
      <c r="T20" s="39">
        <f t="shared" si="6"/>
        <v>8.9072738985221611E-2</v>
      </c>
      <c r="U20" s="40">
        <f t="shared" si="4"/>
        <v>129.42268974552701</v>
      </c>
      <c r="V20" s="40" t="str">
        <f t="shared" si="19"/>
        <v>H</v>
      </c>
      <c r="W20" s="163">
        <f t="shared" si="7"/>
        <v>2588.4537949105402</v>
      </c>
      <c r="X20" s="176">
        <f t="shared" si="8"/>
        <v>15530.72276946324</v>
      </c>
    </row>
    <row r="21" spans="1:24" ht="15.75" thickBot="1" x14ac:dyDescent="0.3">
      <c r="A21" s="229">
        <f t="shared" si="9"/>
        <v>641</v>
      </c>
      <c r="B21" s="230">
        <f t="shared" si="10"/>
        <v>11</v>
      </c>
      <c r="C21" s="218" t="str">
        <f t="shared" si="5"/>
        <v>L12X04-008_000_05</v>
      </c>
      <c r="D21" s="43">
        <f t="shared" si="22"/>
        <v>4</v>
      </c>
      <c r="E21" s="61">
        <f t="shared" si="0"/>
        <v>1.204</v>
      </c>
      <c r="F21" s="44">
        <f t="shared" si="12"/>
        <v>30.099999999999998</v>
      </c>
      <c r="G21" s="44">
        <f t="shared" si="13"/>
        <v>24.08</v>
      </c>
      <c r="H21" s="44">
        <f t="shared" si="14"/>
        <v>15.049999999999999</v>
      </c>
      <c r="I21" s="44">
        <f t="shared" si="15"/>
        <v>8</v>
      </c>
      <c r="J21" s="45">
        <f>yaw_max</f>
        <v>8</v>
      </c>
      <c r="K21" s="37" t="str">
        <f>D21&amp;-5</f>
        <v>4-5</v>
      </c>
      <c r="L21" s="44">
        <f t="shared" si="16"/>
        <v>0.2</v>
      </c>
      <c r="M21" s="44">
        <f t="shared" si="16"/>
        <v>150</v>
      </c>
      <c r="N21" s="44">
        <f t="shared" si="16"/>
        <v>750</v>
      </c>
      <c r="P21" s="38">
        <f t="shared" si="20"/>
        <v>3.5</v>
      </c>
      <c r="Q21" s="38">
        <f t="shared" si="21"/>
        <v>4.5</v>
      </c>
      <c r="R21" s="39">
        <f t="shared" si="3"/>
        <v>0.15721404905831127</v>
      </c>
      <c r="S21" s="39">
        <f t="shared" si="3"/>
        <v>0.24628678804353288</v>
      </c>
      <c r="T21" s="39">
        <f t="shared" si="6"/>
        <v>8.9072738985221611E-2</v>
      </c>
      <c r="U21" s="40">
        <f t="shared" si="4"/>
        <v>129.42268974552701</v>
      </c>
      <c r="V21" s="40" t="str">
        <f t="shared" si="19"/>
        <v>H</v>
      </c>
      <c r="W21" s="163">
        <f t="shared" si="7"/>
        <v>2588.4537949105402</v>
      </c>
      <c r="X21" s="176">
        <f t="shared" si="8"/>
        <v>15530.72276946324</v>
      </c>
    </row>
    <row r="22" spans="1:24" ht="15.75" thickBot="1" x14ac:dyDescent="0.3">
      <c r="A22" s="229">
        <f t="shared" si="9"/>
        <v>642</v>
      </c>
      <c r="B22" s="230">
        <f t="shared" si="10"/>
        <v>12</v>
      </c>
      <c r="C22" s="218" t="str">
        <f t="shared" si="5"/>
        <v>L12X04-008_000_06</v>
      </c>
      <c r="D22" s="43">
        <f t="shared" si="22"/>
        <v>4</v>
      </c>
      <c r="E22" s="61">
        <f t="shared" si="0"/>
        <v>1.204</v>
      </c>
      <c r="F22" s="44">
        <f t="shared" si="12"/>
        <v>30.099999999999998</v>
      </c>
      <c r="G22" s="44">
        <f t="shared" si="13"/>
        <v>24.08</v>
      </c>
      <c r="H22" s="44">
        <f t="shared" si="14"/>
        <v>15.049999999999999</v>
      </c>
      <c r="I22" s="44">
        <f t="shared" si="15"/>
        <v>8</v>
      </c>
      <c r="J22" s="45">
        <f>yaw_max</f>
        <v>8</v>
      </c>
      <c r="K22" s="37" t="str">
        <f>D22&amp;-6</f>
        <v>4-6</v>
      </c>
      <c r="L22" s="44">
        <f t="shared" si="16"/>
        <v>0.2</v>
      </c>
      <c r="M22" s="44">
        <f t="shared" si="16"/>
        <v>150</v>
      </c>
      <c r="N22" s="44">
        <f t="shared" si="16"/>
        <v>750</v>
      </c>
      <c r="P22" s="38">
        <f t="shared" si="20"/>
        <v>3.5</v>
      </c>
      <c r="Q22" s="38">
        <f t="shared" si="21"/>
        <v>4.5</v>
      </c>
      <c r="R22" s="39">
        <f t="shared" si="3"/>
        <v>0.15721404905831127</v>
      </c>
      <c r="S22" s="39">
        <f t="shared" si="3"/>
        <v>0.24628678804353288</v>
      </c>
      <c r="T22" s="39">
        <f t="shared" si="6"/>
        <v>8.9072738985221611E-2</v>
      </c>
      <c r="U22" s="40">
        <f t="shared" si="4"/>
        <v>129.42268974552701</v>
      </c>
      <c r="V22" s="40" t="str">
        <f t="shared" si="19"/>
        <v>H</v>
      </c>
      <c r="W22" s="163">
        <f t="shared" si="7"/>
        <v>2588.4537949105402</v>
      </c>
      <c r="X22" s="176">
        <f t="shared" si="8"/>
        <v>15530.72276946324</v>
      </c>
    </row>
    <row r="23" spans="1:24" ht="15.75" thickBot="1" x14ac:dyDescent="0.3">
      <c r="A23" s="229">
        <f t="shared" si="9"/>
        <v>643</v>
      </c>
      <c r="B23" s="230">
        <f t="shared" si="10"/>
        <v>13</v>
      </c>
      <c r="C23" s="218" t="str">
        <f t="shared" si="5"/>
        <v>L12X05-352_000_01</v>
      </c>
      <c r="D23" s="169">
        <f>D17+V_step_12</f>
        <v>5</v>
      </c>
      <c r="E23" s="61">
        <f t="shared" si="0"/>
        <v>1.3090000000000002</v>
      </c>
      <c r="F23" s="44">
        <f t="shared" si="12"/>
        <v>26.180000000000003</v>
      </c>
      <c r="G23" s="44">
        <f t="shared" si="13"/>
        <v>20.944000000000003</v>
      </c>
      <c r="H23" s="44">
        <f t="shared" si="14"/>
        <v>13.090000000000002</v>
      </c>
      <c r="I23" s="44">
        <f t="shared" si="15"/>
        <v>8</v>
      </c>
      <c r="J23" s="45">
        <f>yaw_min</f>
        <v>-8</v>
      </c>
      <c r="K23" s="37" t="str">
        <f>D23&amp;-1</f>
        <v>5-1</v>
      </c>
      <c r="L23" s="44">
        <f t="shared" si="16"/>
        <v>0.2</v>
      </c>
      <c r="M23" s="44">
        <f t="shared" si="16"/>
        <v>150</v>
      </c>
      <c r="N23" s="44">
        <f t="shared" si="16"/>
        <v>750</v>
      </c>
      <c r="P23" s="38">
        <f t="shared" si="20"/>
        <v>4.5</v>
      </c>
      <c r="Q23" s="38">
        <f t="shared" si="21"/>
        <v>5.5</v>
      </c>
      <c r="R23" s="39">
        <f t="shared" si="3"/>
        <v>0.24628678804353288</v>
      </c>
      <c r="S23" s="39">
        <f t="shared" si="3"/>
        <v>0.34450832689749344</v>
      </c>
      <c r="T23" s="39">
        <f t="shared" si="6"/>
        <v>9.8221538853960566E-2</v>
      </c>
      <c r="U23" s="40">
        <f t="shared" si="4"/>
        <v>142.71589595480469</v>
      </c>
      <c r="V23" s="40" t="str">
        <f t="shared" si="19"/>
        <v>H</v>
      </c>
      <c r="W23" s="163">
        <f t="shared" si="7"/>
        <v>2854.3179190960936</v>
      </c>
      <c r="X23" s="176">
        <f t="shared" si="8"/>
        <v>17125.907514576564</v>
      </c>
    </row>
    <row r="24" spans="1:24" ht="15.75" thickBot="1" x14ac:dyDescent="0.3">
      <c r="A24" s="229">
        <f t="shared" si="9"/>
        <v>644</v>
      </c>
      <c r="B24" s="230">
        <f t="shared" si="10"/>
        <v>14</v>
      </c>
      <c r="C24" s="218" t="str">
        <f t="shared" si="5"/>
        <v>L12X05-352_000_02</v>
      </c>
      <c r="D24" s="43">
        <f>D23</f>
        <v>5</v>
      </c>
      <c r="E24" s="61">
        <f t="shared" si="0"/>
        <v>1.3090000000000002</v>
      </c>
      <c r="F24" s="44">
        <f t="shared" si="12"/>
        <v>26.180000000000003</v>
      </c>
      <c r="G24" s="44">
        <f t="shared" si="13"/>
        <v>20.944000000000003</v>
      </c>
      <c r="H24" s="44">
        <f t="shared" si="14"/>
        <v>13.090000000000002</v>
      </c>
      <c r="I24" s="44">
        <f t="shared" si="15"/>
        <v>8</v>
      </c>
      <c r="J24" s="45">
        <f>yaw_min</f>
        <v>-8</v>
      </c>
      <c r="K24" s="37" t="str">
        <f>D24&amp;-2</f>
        <v>5-2</v>
      </c>
      <c r="L24" s="44">
        <f t="shared" si="16"/>
        <v>0.2</v>
      </c>
      <c r="M24" s="44">
        <f t="shared" si="16"/>
        <v>150</v>
      </c>
      <c r="N24" s="44">
        <f t="shared" si="16"/>
        <v>750</v>
      </c>
      <c r="P24" s="38">
        <f t="shared" si="20"/>
        <v>4.5</v>
      </c>
      <c r="Q24" s="38">
        <f t="shared" si="21"/>
        <v>5.5</v>
      </c>
      <c r="R24" s="39">
        <f t="shared" si="3"/>
        <v>0.24628678804353288</v>
      </c>
      <c r="S24" s="39">
        <f t="shared" si="3"/>
        <v>0.34450832689749344</v>
      </c>
      <c r="T24" s="39">
        <f t="shared" si="6"/>
        <v>9.8221538853960566E-2</v>
      </c>
      <c r="U24" s="40">
        <f t="shared" si="4"/>
        <v>142.71589595480469</v>
      </c>
      <c r="V24" s="40" t="str">
        <f t="shared" si="19"/>
        <v>H</v>
      </c>
      <c r="W24" s="163">
        <f t="shared" si="7"/>
        <v>2854.3179190960936</v>
      </c>
      <c r="X24" s="176">
        <f t="shared" si="8"/>
        <v>17125.907514576564</v>
      </c>
    </row>
    <row r="25" spans="1:24" ht="15.75" thickBot="1" x14ac:dyDescent="0.3">
      <c r="A25" s="229">
        <f t="shared" si="9"/>
        <v>645</v>
      </c>
      <c r="B25" s="230">
        <f t="shared" si="10"/>
        <v>15</v>
      </c>
      <c r="C25" s="218" t="str">
        <f t="shared" si="5"/>
        <v>L12X05-000_000_03</v>
      </c>
      <c r="D25" s="43">
        <f t="shared" ref="D25:D28" si="23">D24</f>
        <v>5</v>
      </c>
      <c r="E25" s="61">
        <f t="shared" si="0"/>
        <v>1.3090000000000002</v>
      </c>
      <c r="F25" s="44">
        <f t="shared" si="12"/>
        <v>26.180000000000003</v>
      </c>
      <c r="G25" s="44">
        <f t="shared" si="13"/>
        <v>20.944000000000003</v>
      </c>
      <c r="H25" s="44">
        <f t="shared" si="14"/>
        <v>13.090000000000002</v>
      </c>
      <c r="I25" s="44">
        <f t="shared" si="15"/>
        <v>8</v>
      </c>
      <c r="J25" s="45">
        <f>yaw_null</f>
        <v>0</v>
      </c>
      <c r="K25" s="37" t="str">
        <f>D25&amp;-3</f>
        <v>5-3</v>
      </c>
      <c r="L25" s="44">
        <f t="shared" si="16"/>
        <v>0.2</v>
      </c>
      <c r="M25" s="44">
        <f t="shared" si="16"/>
        <v>150</v>
      </c>
      <c r="N25" s="44">
        <f t="shared" si="16"/>
        <v>750</v>
      </c>
      <c r="P25" s="38">
        <f t="shared" si="20"/>
        <v>4.5</v>
      </c>
      <c r="Q25" s="38">
        <f t="shared" si="21"/>
        <v>5.5</v>
      </c>
      <c r="R25" s="39">
        <f t="shared" si="3"/>
        <v>0.24628678804353288</v>
      </c>
      <c r="S25" s="39">
        <f t="shared" si="3"/>
        <v>0.34450832689749344</v>
      </c>
      <c r="T25" s="39">
        <f t="shared" si="6"/>
        <v>9.8221538853960566E-2</v>
      </c>
      <c r="U25" s="40">
        <f t="shared" si="4"/>
        <v>142.71589595480469</v>
      </c>
      <c r="V25" s="40" t="str">
        <f t="shared" si="19"/>
        <v>H</v>
      </c>
      <c r="W25" s="163">
        <f t="shared" si="7"/>
        <v>2854.3179190960936</v>
      </c>
      <c r="X25" s="176">
        <f t="shared" si="8"/>
        <v>17125.907514576564</v>
      </c>
    </row>
    <row r="26" spans="1:24" ht="15.75" thickBot="1" x14ac:dyDescent="0.3">
      <c r="A26" s="229">
        <f t="shared" si="9"/>
        <v>646</v>
      </c>
      <c r="B26" s="230">
        <f t="shared" si="10"/>
        <v>16</v>
      </c>
      <c r="C26" s="218" t="str">
        <f t="shared" si="5"/>
        <v>L12X05-000_000_04</v>
      </c>
      <c r="D26" s="43">
        <f t="shared" si="23"/>
        <v>5</v>
      </c>
      <c r="E26" s="61">
        <f t="shared" si="0"/>
        <v>1.3090000000000002</v>
      </c>
      <c r="F26" s="44">
        <f t="shared" si="12"/>
        <v>26.180000000000003</v>
      </c>
      <c r="G26" s="44">
        <f t="shared" si="13"/>
        <v>20.944000000000003</v>
      </c>
      <c r="H26" s="44">
        <f t="shared" si="14"/>
        <v>13.090000000000002</v>
      </c>
      <c r="I26" s="44">
        <f t="shared" si="15"/>
        <v>8</v>
      </c>
      <c r="J26" s="45">
        <f>yaw_null</f>
        <v>0</v>
      </c>
      <c r="K26" s="37" t="str">
        <f>D26&amp;-4</f>
        <v>5-4</v>
      </c>
      <c r="L26" s="44">
        <f t="shared" si="16"/>
        <v>0.2</v>
      </c>
      <c r="M26" s="44">
        <f t="shared" si="16"/>
        <v>150</v>
      </c>
      <c r="N26" s="44">
        <f t="shared" si="16"/>
        <v>750</v>
      </c>
      <c r="P26" s="38">
        <f t="shared" si="20"/>
        <v>4.5</v>
      </c>
      <c r="Q26" s="38">
        <f t="shared" si="21"/>
        <v>5.5</v>
      </c>
      <c r="R26" s="39">
        <f t="shared" si="3"/>
        <v>0.24628678804353288</v>
      </c>
      <c r="S26" s="39">
        <f t="shared" si="3"/>
        <v>0.34450832689749344</v>
      </c>
      <c r="T26" s="39">
        <f t="shared" si="6"/>
        <v>9.8221538853960566E-2</v>
      </c>
      <c r="U26" s="40">
        <f t="shared" si="4"/>
        <v>142.71589595480469</v>
      </c>
      <c r="V26" s="40" t="str">
        <f t="shared" si="19"/>
        <v>H</v>
      </c>
      <c r="W26" s="163">
        <f t="shared" si="7"/>
        <v>2854.3179190960936</v>
      </c>
      <c r="X26" s="176">
        <f t="shared" si="8"/>
        <v>17125.907514576564</v>
      </c>
    </row>
    <row r="27" spans="1:24" ht="15.75" thickBot="1" x14ac:dyDescent="0.3">
      <c r="A27" s="229">
        <f t="shared" si="9"/>
        <v>647</v>
      </c>
      <c r="B27" s="230">
        <f t="shared" si="10"/>
        <v>17</v>
      </c>
      <c r="C27" s="218" t="str">
        <f t="shared" si="5"/>
        <v>L12X05-008_000_05</v>
      </c>
      <c r="D27" s="43">
        <f t="shared" si="23"/>
        <v>5</v>
      </c>
      <c r="E27" s="61">
        <f t="shared" si="0"/>
        <v>1.3090000000000002</v>
      </c>
      <c r="F27" s="44">
        <f t="shared" si="12"/>
        <v>26.180000000000003</v>
      </c>
      <c r="G27" s="44">
        <f t="shared" si="13"/>
        <v>20.944000000000003</v>
      </c>
      <c r="H27" s="44">
        <f t="shared" si="14"/>
        <v>13.090000000000002</v>
      </c>
      <c r="I27" s="44">
        <f t="shared" si="15"/>
        <v>8</v>
      </c>
      <c r="J27" s="45">
        <f>yaw_max</f>
        <v>8</v>
      </c>
      <c r="K27" s="37" t="str">
        <f>D27&amp;-5</f>
        <v>5-5</v>
      </c>
      <c r="L27" s="44">
        <f t="shared" si="16"/>
        <v>0.2</v>
      </c>
      <c r="M27" s="44">
        <f t="shared" si="16"/>
        <v>150</v>
      </c>
      <c r="N27" s="44">
        <f t="shared" si="16"/>
        <v>750</v>
      </c>
      <c r="P27" s="38">
        <f t="shared" si="20"/>
        <v>4.5</v>
      </c>
      <c r="Q27" s="38">
        <f t="shared" si="21"/>
        <v>5.5</v>
      </c>
      <c r="R27" s="39">
        <f t="shared" si="3"/>
        <v>0.24628678804353288</v>
      </c>
      <c r="S27" s="39">
        <f t="shared" si="3"/>
        <v>0.34450832689749344</v>
      </c>
      <c r="T27" s="39">
        <f t="shared" si="6"/>
        <v>9.8221538853960566E-2</v>
      </c>
      <c r="U27" s="40">
        <f t="shared" si="4"/>
        <v>142.71589595480469</v>
      </c>
      <c r="V27" s="40" t="str">
        <f t="shared" si="19"/>
        <v>H</v>
      </c>
      <c r="W27" s="163">
        <f t="shared" si="7"/>
        <v>2854.3179190960936</v>
      </c>
      <c r="X27" s="176">
        <f t="shared" si="8"/>
        <v>17125.907514576564</v>
      </c>
    </row>
    <row r="28" spans="1:24" ht="15.75" thickBot="1" x14ac:dyDescent="0.3">
      <c r="A28" s="229">
        <f t="shared" si="9"/>
        <v>648</v>
      </c>
      <c r="B28" s="230">
        <f t="shared" si="10"/>
        <v>18</v>
      </c>
      <c r="C28" s="218" t="str">
        <f t="shared" si="5"/>
        <v>L12X05-008_000_06</v>
      </c>
      <c r="D28" s="43">
        <f t="shared" si="23"/>
        <v>5</v>
      </c>
      <c r="E28" s="61">
        <f t="shared" si="0"/>
        <v>1.3090000000000002</v>
      </c>
      <c r="F28" s="44">
        <f t="shared" si="12"/>
        <v>26.180000000000003</v>
      </c>
      <c r="G28" s="44">
        <f t="shared" si="13"/>
        <v>20.944000000000003</v>
      </c>
      <c r="H28" s="44">
        <f t="shared" si="14"/>
        <v>13.090000000000002</v>
      </c>
      <c r="I28" s="44">
        <f t="shared" si="15"/>
        <v>8</v>
      </c>
      <c r="J28" s="45">
        <f>yaw_max</f>
        <v>8</v>
      </c>
      <c r="K28" s="37" t="str">
        <f>D28&amp;-6</f>
        <v>5-6</v>
      </c>
      <c r="L28" s="44">
        <f t="shared" si="16"/>
        <v>0.2</v>
      </c>
      <c r="M28" s="44">
        <f t="shared" si="16"/>
        <v>150</v>
      </c>
      <c r="N28" s="44">
        <f t="shared" si="16"/>
        <v>750</v>
      </c>
      <c r="P28" s="38">
        <f t="shared" si="20"/>
        <v>4.5</v>
      </c>
      <c r="Q28" s="38">
        <f t="shared" si="21"/>
        <v>5.5</v>
      </c>
      <c r="R28" s="39">
        <f t="shared" si="3"/>
        <v>0.24628678804353288</v>
      </c>
      <c r="S28" s="39">
        <f t="shared" si="3"/>
        <v>0.34450832689749344</v>
      </c>
      <c r="T28" s="39">
        <f t="shared" si="6"/>
        <v>9.8221538853960566E-2</v>
      </c>
      <c r="U28" s="40">
        <f t="shared" si="4"/>
        <v>142.71589595480469</v>
      </c>
      <c r="V28" s="40" t="str">
        <f t="shared" si="19"/>
        <v>H</v>
      </c>
      <c r="W28" s="163">
        <f t="shared" si="7"/>
        <v>2854.3179190960936</v>
      </c>
      <c r="X28" s="176">
        <f t="shared" si="8"/>
        <v>17125.907514576564</v>
      </c>
    </row>
    <row r="29" spans="1:24" ht="15.75" thickBot="1" x14ac:dyDescent="0.3">
      <c r="A29" s="229">
        <f t="shared" si="9"/>
        <v>649</v>
      </c>
      <c r="B29" s="230">
        <f t="shared" si="10"/>
        <v>19</v>
      </c>
      <c r="C29" s="218" t="str">
        <f t="shared" si="5"/>
        <v>L12X06-352_000_01</v>
      </c>
      <c r="D29" s="169">
        <f>D23+V_step_12</f>
        <v>6</v>
      </c>
      <c r="E29" s="61">
        <f t="shared" si="0"/>
        <v>1.4140000000000001</v>
      </c>
      <c r="F29" s="44">
        <f t="shared" si="12"/>
        <v>23.56666666666667</v>
      </c>
      <c r="G29" s="44">
        <f t="shared" si="13"/>
        <v>18.853333333333335</v>
      </c>
      <c r="H29" s="44">
        <f t="shared" si="14"/>
        <v>11.783333333333335</v>
      </c>
      <c r="I29" s="44">
        <f t="shared" si="15"/>
        <v>8</v>
      </c>
      <c r="J29" s="45">
        <f>yaw_min</f>
        <v>-8</v>
      </c>
      <c r="K29" s="37" t="str">
        <f>D29&amp;-1</f>
        <v>6-1</v>
      </c>
      <c r="L29" s="44">
        <f t="shared" ref="L29:N44" si="24">L28</f>
        <v>0.2</v>
      </c>
      <c r="M29" s="44">
        <f t="shared" si="24"/>
        <v>150</v>
      </c>
      <c r="N29" s="44">
        <f t="shared" si="24"/>
        <v>750</v>
      </c>
      <c r="P29" s="38">
        <f t="shared" si="20"/>
        <v>5.5</v>
      </c>
      <c r="Q29" s="38">
        <f t="shared" si="21"/>
        <v>6.5</v>
      </c>
      <c r="R29" s="39">
        <f t="shared" si="3"/>
        <v>0.34450832689749344</v>
      </c>
      <c r="S29" s="39">
        <f t="shared" si="3"/>
        <v>0.44562908088115849</v>
      </c>
      <c r="T29" s="39">
        <f t="shared" si="6"/>
        <v>0.10112075398366505</v>
      </c>
      <c r="U29" s="40">
        <f t="shared" si="4"/>
        <v>146.9284555382653</v>
      </c>
      <c r="V29" s="40" t="str">
        <f t="shared" si="19"/>
        <v>H</v>
      </c>
      <c r="W29" s="163">
        <f t="shared" si="7"/>
        <v>2938.569110765306</v>
      </c>
      <c r="X29" s="176">
        <f t="shared" si="8"/>
        <v>17631.414664591837</v>
      </c>
    </row>
    <row r="30" spans="1:24" ht="15.75" thickBot="1" x14ac:dyDescent="0.3">
      <c r="A30" s="229">
        <f t="shared" si="9"/>
        <v>650</v>
      </c>
      <c r="B30" s="230">
        <f t="shared" si="10"/>
        <v>20</v>
      </c>
      <c r="C30" s="218" t="str">
        <f t="shared" si="5"/>
        <v>L12X06-352_000_02</v>
      </c>
      <c r="D30" s="43">
        <f>D29</f>
        <v>6</v>
      </c>
      <c r="E30" s="61">
        <f t="shared" si="0"/>
        <v>1.4140000000000001</v>
      </c>
      <c r="F30" s="44">
        <f t="shared" si="12"/>
        <v>23.56666666666667</v>
      </c>
      <c r="G30" s="44">
        <f t="shared" si="13"/>
        <v>18.853333333333335</v>
      </c>
      <c r="H30" s="44">
        <f t="shared" si="14"/>
        <v>11.783333333333335</v>
      </c>
      <c r="I30" s="44">
        <f t="shared" si="15"/>
        <v>8</v>
      </c>
      <c r="J30" s="45">
        <f>yaw_min</f>
        <v>-8</v>
      </c>
      <c r="K30" s="37" t="str">
        <f>D30&amp;-2</f>
        <v>6-2</v>
      </c>
      <c r="L30" s="44">
        <f t="shared" si="24"/>
        <v>0.2</v>
      </c>
      <c r="M30" s="44">
        <f t="shared" si="24"/>
        <v>150</v>
      </c>
      <c r="N30" s="44">
        <f t="shared" si="24"/>
        <v>750</v>
      </c>
      <c r="P30" s="38">
        <f t="shared" si="20"/>
        <v>5.5</v>
      </c>
      <c r="Q30" s="38">
        <f t="shared" si="21"/>
        <v>6.5</v>
      </c>
      <c r="R30" s="39">
        <f t="shared" si="3"/>
        <v>0.34450832689749344</v>
      </c>
      <c r="S30" s="39">
        <f t="shared" si="3"/>
        <v>0.44562908088115849</v>
      </c>
      <c r="T30" s="39">
        <f t="shared" si="6"/>
        <v>0.10112075398366505</v>
      </c>
      <c r="U30" s="40">
        <f t="shared" si="4"/>
        <v>146.9284555382653</v>
      </c>
      <c r="V30" s="40" t="str">
        <f t="shared" si="19"/>
        <v>H</v>
      </c>
      <c r="W30" s="163">
        <f t="shared" si="7"/>
        <v>2938.569110765306</v>
      </c>
      <c r="X30" s="176">
        <f t="shared" si="8"/>
        <v>17631.414664591837</v>
      </c>
    </row>
    <row r="31" spans="1:24" ht="15.75" thickBot="1" x14ac:dyDescent="0.3">
      <c r="A31" s="229">
        <f t="shared" si="9"/>
        <v>651</v>
      </c>
      <c r="B31" s="230">
        <f t="shared" si="10"/>
        <v>21</v>
      </c>
      <c r="C31" s="218" t="str">
        <f t="shared" si="5"/>
        <v>L12X06-000_000_03</v>
      </c>
      <c r="D31" s="43">
        <f t="shared" ref="D31:D34" si="25">D30</f>
        <v>6</v>
      </c>
      <c r="E31" s="61">
        <f t="shared" si="0"/>
        <v>1.4140000000000001</v>
      </c>
      <c r="F31" s="44">
        <f t="shared" si="12"/>
        <v>23.56666666666667</v>
      </c>
      <c r="G31" s="44">
        <f t="shared" si="13"/>
        <v>18.853333333333335</v>
      </c>
      <c r="H31" s="44">
        <f t="shared" si="14"/>
        <v>11.783333333333335</v>
      </c>
      <c r="I31" s="44">
        <f t="shared" si="15"/>
        <v>8</v>
      </c>
      <c r="J31" s="45">
        <f>yaw_null</f>
        <v>0</v>
      </c>
      <c r="K31" s="37" t="str">
        <f>D31&amp;-3</f>
        <v>6-3</v>
      </c>
      <c r="L31" s="44">
        <f t="shared" si="24"/>
        <v>0.2</v>
      </c>
      <c r="M31" s="44">
        <f t="shared" si="24"/>
        <v>150</v>
      </c>
      <c r="N31" s="44">
        <f t="shared" si="24"/>
        <v>750</v>
      </c>
      <c r="P31" s="38">
        <f t="shared" si="20"/>
        <v>5.5</v>
      </c>
      <c r="Q31" s="38">
        <f t="shared" si="21"/>
        <v>6.5</v>
      </c>
      <c r="R31" s="39">
        <f t="shared" si="3"/>
        <v>0.34450832689749344</v>
      </c>
      <c r="S31" s="39">
        <f t="shared" si="3"/>
        <v>0.44562908088115849</v>
      </c>
      <c r="T31" s="39">
        <f t="shared" si="6"/>
        <v>0.10112075398366505</v>
      </c>
      <c r="U31" s="40">
        <f t="shared" si="4"/>
        <v>146.9284555382653</v>
      </c>
      <c r="V31" s="40" t="str">
        <f t="shared" si="19"/>
        <v>H</v>
      </c>
      <c r="W31" s="163">
        <f t="shared" si="7"/>
        <v>2938.569110765306</v>
      </c>
      <c r="X31" s="176">
        <f t="shared" si="8"/>
        <v>17631.414664591837</v>
      </c>
    </row>
    <row r="32" spans="1:24" ht="15.75" thickBot="1" x14ac:dyDescent="0.3">
      <c r="A32" s="229">
        <f t="shared" si="9"/>
        <v>652</v>
      </c>
      <c r="B32" s="230">
        <f t="shared" si="10"/>
        <v>22</v>
      </c>
      <c r="C32" s="218" t="str">
        <f t="shared" si="5"/>
        <v>L12X06-000_000_04</v>
      </c>
      <c r="D32" s="43">
        <f t="shared" si="25"/>
        <v>6</v>
      </c>
      <c r="E32" s="61">
        <f t="shared" si="0"/>
        <v>1.4140000000000001</v>
      </c>
      <c r="F32" s="44">
        <f t="shared" si="12"/>
        <v>23.56666666666667</v>
      </c>
      <c r="G32" s="44">
        <f t="shared" si="13"/>
        <v>18.853333333333335</v>
      </c>
      <c r="H32" s="44">
        <f t="shared" si="14"/>
        <v>11.783333333333335</v>
      </c>
      <c r="I32" s="44">
        <f t="shared" si="15"/>
        <v>8</v>
      </c>
      <c r="J32" s="45">
        <f>yaw_null</f>
        <v>0</v>
      </c>
      <c r="K32" s="37" t="str">
        <f>D32&amp;-4</f>
        <v>6-4</v>
      </c>
      <c r="L32" s="44">
        <f t="shared" si="24"/>
        <v>0.2</v>
      </c>
      <c r="M32" s="44">
        <f t="shared" si="24"/>
        <v>150</v>
      </c>
      <c r="N32" s="44">
        <f t="shared" si="24"/>
        <v>750</v>
      </c>
      <c r="P32" s="38">
        <f t="shared" si="20"/>
        <v>5.5</v>
      </c>
      <c r="Q32" s="38">
        <f t="shared" si="21"/>
        <v>6.5</v>
      </c>
      <c r="R32" s="39">
        <f t="shared" si="3"/>
        <v>0.34450832689749344</v>
      </c>
      <c r="S32" s="39">
        <f t="shared" si="3"/>
        <v>0.44562908088115849</v>
      </c>
      <c r="T32" s="39">
        <f t="shared" si="6"/>
        <v>0.10112075398366505</v>
      </c>
      <c r="U32" s="40">
        <f t="shared" si="4"/>
        <v>146.9284555382653</v>
      </c>
      <c r="V32" s="40" t="str">
        <f t="shared" si="19"/>
        <v>H</v>
      </c>
      <c r="W32" s="163">
        <f t="shared" si="7"/>
        <v>2938.569110765306</v>
      </c>
      <c r="X32" s="176">
        <f t="shared" si="8"/>
        <v>17631.414664591837</v>
      </c>
    </row>
    <row r="33" spans="1:24" ht="15.75" thickBot="1" x14ac:dyDescent="0.3">
      <c r="A33" s="229">
        <f t="shared" si="9"/>
        <v>653</v>
      </c>
      <c r="B33" s="230">
        <f t="shared" si="10"/>
        <v>23</v>
      </c>
      <c r="C33" s="218" t="str">
        <f t="shared" si="5"/>
        <v>L12X06-008_000_05</v>
      </c>
      <c r="D33" s="43">
        <f t="shared" si="25"/>
        <v>6</v>
      </c>
      <c r="E33" s="61">
        <f t="shared" si="0"/>
        <v>1.4140000000000001</v>
      </c>
      <c r="F33" s="44">
        <f t="shared" si="12"/>
        <v>23.56666666666667</v>
      </c>
      <c r="G33" s="44">
        <f t="shared" si="13"/>
        <v>18.853333333333335</v>
      </c>
      <c r="H33" s="44">
        <f t="shared" si="14"/>
        <v>11.783333333333335</v>
      </c>
      <c r="I33" s="44">
        <f t="shared" si="15"/>
        <v>8</v>
      </c>
      <c r="J33" s="45">
        <f>yaw_max</f>
        <v>8</v>
      </c>
      <c r="K33" s="37" t="str">
        <f>D33&amp;-5</f>
        <v>6-5</v>
      </c>
      <c r="L33" s="44">
        <f t="shared" si="24"/>
        <v>0.2</v>
      </c>
      <c r="M33" s="44">
        <f t="shared" si="24"/>
        <v>150</v>
      </c>
      <c r="N33" s="44">
        <f t="shared" si="24"/>
        <v>750</v>
      </c>
      <c r="P33" s="38">
        <f t="shared" si="20"/>
        <v>5.5</v>
      </c>
      <c r="Q33" s="38">
        <f t="shared" si="21"/>
        <v>6.5</v>
      </c>
      <c r="R33" s="39">
        <f t="shared" si="3"/>
        <v>0.34450832689749344</v>
      </c>
      <c r="S33" s="39">
        <f t="shared" si="3"/>
        <v>0.44562908088115849</v>
      </c>
      <c r="T33" s="39">
        <f t="shared" si="6"/>
        <v>0.10112075398366505</v>
      </c>
      <c r="U33" s="40">
        <f t="shared" si="4"/>
        <v>146.9284555382653</v>
      </c>
      <c r="V33" s="40" t="str">
        <f t="shared" si="19"/>
        <v>H</v>
      </c>
      <c r="W33" s="163">
        <f t="shared" si="7"/>
        <v>2938.569110765306</v>
      </c>
      <c r="X33" s="176">
        <f t="shared" si="8"/>
        <v>17631.414664591837</v>
      </c>
    </row>
    <row r="34" spans="1:24" ht="15.75" thickBot="1" x14ac:dyDescent="0.3">
      <c r="A34" s="229">
        <f t="shared" si="9"/>
        <v>654</v>
      </c>
      <c r="B34" s="230">
        <f t="shared" si="10"/>
        <v>24</v>
      </c>
      <c r="C34" s="218" t="str">
        <f t="shared" si="5"/>
        <v>L12X06-008_000_06</v>
      </c>
      <c r="D34" s="43">
        <f t="shared" si="25"/>
        <v>6</v>
      </c>
      <c r="E34" s="61">
        <f t="shared" si="0"/>
        <v>1.4140000000000001</v>
      </c>
      <c r="F34" s="44">
        <f t="shared" si="12"/>
        <v>23.56666666666667</v>
      </c>
      <c r="G34" s="44">
        <f t="shared" si="13"/>
        <v>18.853333333333335</v>
      </c>
      <c r="H34" s="44">
        <f t="shared" si="14"/>
        <v>11.783333333333335</v>
      </c>
      <c r="I34" s="44">
        <f t="shared" si="15"/>
        <v>8</v>
      </c>
      <c r="J34" s="45">
        <f>yaw_max</f>
        <v>8</v>
      </c>
      <c r="K34" s="37" t="str">
        <f>D34&amp;-6</f>
        <v>6-6</v>
      </c>
      <c r="L34" s="44">
        <f t="shared" si="24"/>
        <v>0.2</v>
      </c>
      <c r="M34" s="44">
        <f t="shared" si="24"/>
        <v>150</v>
      </c>
      <c r="N34" s="44">
        <f t="shared" si="24"/>
        <v>750</v>
      </c>
      <c r="P34" s="38">
        <f t="shared" si="20"/>
        <v>5.5</v>
      </c>
      <c r="Q34" s="38">
        <f t="shared" si="21"/>
        <v>6.5</v>
      </c>
      <c r="R34" s="39">
        <f t="shared" si="3"/>
        <v>0.34450832689749344</v>
      </c>
      <c r="S34" s="39">
        <f t="shared" si="3"/>
        <v>0.44562908088115849</v>
      </c>
      <c r="T34" s="39">
        <f t="shared" si="6"/>
        <v>0.10112075398366505</v>
      </c>
      <c r="U34" s="40">
        <f t="shared" si="4"/>
        <v>146.9284555382653</v>
      </c>
      <c r="V34" s="40" t="str">
        <f t="shared" si="19"/>
        <v>H</v>
      </c>
      <c r="W34" s="163">
        <f t="shared" si="7"/>
        <v>2938.569110765306</v>
      </c>
      <c r="X34" s="176">
        <f t="shared" si="8"/>
        <v>17631.414664591837</v>
      </c>
    </row>
    <row r="35" spans="1:24" ht="15.75" thickBot="1" x14ac:dyDescent="0.3">
      <c r="A35" s="229">
        <f t="shared" si="9"/>
        <v>655</v>
      </c>
      <c r="B35" s="230">
        <f t="shared" si="10"/>
        <v>25</v>
      </c>
      <c r="C35" s="218" t="str">
        <f t="shared" si="5"/>
        <v>L12X07-352_000_01</v>
      </c>
      <c r="D35" s="169">
        <f>D29+V_step_12</f>
        <v>7</v>
      </c>
      <c r="E35" s="61">
        <f t="shared" si="0"/>
        <v>1.5190000000000001</v>
      </c>
      <c r="F35" s="44">
        <f>E35/D35*100</f>
        <v>21.700000000000003</v>
      </c>
      <c r="G35" s="44">
        <f t="shared" si="13"/>
        <v>17.360000000000003</v>
      </c>
      <c r="H35" s="44">
        <f t="shared" si="14"/>
        <v>10.850000000000001</v>
      </c>
      <c r="I35" s="44">
        <f t="shared" si="15"/>
        <v>8</v>
      </c>
      <c r="J35" s="45">
        <f>yaw_min</f>
        <v>-8</v>
      </c>
      <c r="K35" s="37" t="str">
        <f>D35&amp;-1</f>
        <v>7-1</v>
      </c>
      <c r="L35" s="44">
        <f t="shared" si="24"/>
        <v>0.2</v>
      </c>
      <c r="M35" s="44">
        <f t="shared" si="24"/>
        <v>150</v>
      </c>
      <c r="N35" s="44">
        <f t="shared" si="24"/>
        <v>750</v>
      </c>
      <c r="P35" s="38">
        <f t="shared" si="20"/>
        <v>6.5</v>
      </c>
      <c r="Q35" s="38">
        <f t="shared" si="21"/>
        <v>7.5</v>
      </c>
      <c r="R35" s="39">
        <f t="shared" si="3"/>
        <v>0.44562908088115849</v>
      </c>
      <c r="S35" s="39">
        <f t="shared" si="3"/>
        <v>0.54406187223400382</v>
      </c>
      <c r="T35" s="39">
        <f t="shared" si="6"/>
        <v>9.8432791352845328E-2</v>
      </c>
      <c r="U35" s="40">
        <f t="shared" si="4"/>
        <v>143.02284583568425</v>
      </c>
      <c r="V35" s="40" t="str">
        <f t="shared" si="19"/>
        <v>H</v>
      </c>
      <c r="W35" s="163">
        <f t="shared" si="7"/>
        <v>2860.4569167136851</v>
      </c>
      <c r="X35" s="176">
        <f t="shared" si="8"/>
        <v>17162.741500282111</v>
      </c>
    </row>
    <row r="36" spans="1:24" ht="15.75" thickBot="1" x14ac:dyDescent="0.3">
      <c r="A36" s="229">
        <f t="shared" si="9"/>
        <v>656</v>
      </c>
      <c r="B36" s="230">
        <f t="shared" si="10"/>
        <v>26</v>
      </c>
      <c r="C36" s="218" t="str">
        <f t="shared" si="5"/>
        <v>L12X07-352_000_02</v>
      </c>
      <c r="D36" s="43">
        <f>D35</f>
        <v>7</v>
      </c>
      <c r="E36" s="61">
        <f t="shared" si="0"/>
        <v>1.5190000000000001</v>
      </c>
      <c r="F36" s="44">
        <f t="shared" ref="F36:F52" si="26">E36/D36*100</f>
        <v>21.700000000000003</v>
      </c>
      <c r="G36" s="44">
        <f t="shared" ref="G36:G83" si="27">m_ty*F36</f>
        <v>17.360000000000003</v>
      </c>
      <c r="H36" s="44">
        <f t="shared" ref="H36:H83" si="28">m_tz*F36</f>
        <v>10.850000000000001</v>
      </c>
      <c r="I36" s="44">
        <f t="shared" si="15"/>
        <v>8</v>
      </c>
      <c r="J36" s="45">
        <f>yaw_min</f>
        <v>-8</v>
      </c>
      <c r="K36" s="37" t="str">
        <f>D36&amp;-2</f>
        <v>7-2</v>
      </c>
      <c r="L36" s="44">
        <f t="shared" si="24"/>
        <v>0.2</v>
      </c>
      <c r="M36" s="44">
        <f t="shared" si="24"/>
        <v>150</v>
      </c>
      <c r="N36" s="44">
        <f t="shared" si="24"/>
        <v>750</v>
      </c>
      <c r="P36" s="38">
        <f t="shared" si="20"/>
        <v>6.5</v>
      </c>
      <c r="Q36" s="38">
        <f t="shared" si="21"/>
        <v>7.5</v>
      </c>
      <c r="R36" s="39">
        <f t="shared" si="3"/>
        <v>0.44562908088115849</v>
      </c>
      <c r="S36" s="39">
        <f t="shared" si="3"/>
        <v>0.54406187223400382</v>
      </c>
      <c r="T36" s="39">
        <f t="shared" si="6"/>
        <v>9.8432791352845328E-2</v>
      </c>
      <c r="U36" s="40">
        <f t="shared" si="4"/>
        <v>143.02284583568425</v>
      </c>
      <c r="V36" s="40" t="str">
        <f t="shared" si="19"/>
        <v>H</v>
      </c>
      <c r="W36" s="163">
        <f t="shared" si="7"/>
        <v>2860.4569167136851</v>
      </c>
      <c r="X36" s="176">
        <f t="shared" si="8"/>
        <v>17162.741500282111</v>
      </c>
    </row>
    <row r="37" spans="1:24" ht="15.75" thickBot="1" x14ac:dyDescent="0.3">
      <c r="A37" s="229">
        <f t="shared" si="9"/>
        <v>657</v>
      </c>
      <c r="B37" s="230">
        <f t="shared" si="10"/>
        <v>27</v>
      </c>
      <c r="C37" s="218" t="str">
        <f t="shared" si="5"/>
        <v>L12X07-000_000_03</v>
      </c>
      <c r="D37" s="43">
        <f t="shared" ref="D37:D40" si="29">D36</f>
        <v>7</v>
      </c>
      <c r="E37" s="61">
        <f t="shared" si="0"/>
        <v>1.5190000000000001</v>
      </c>
      <c r="F37" s="44">
        <f t="shared" si="26"/>
        <v>21.700000000000003</v>
      </c>
      <c r="G37" s="44">
        <f t="shared" si="27"/>
        <v>17.360000000000003</v>
      </c>
      <c r="H37" s="44">
        <f t="shared" si="28"/>
        <v>10.850000000000001</v>
      </c>
      <c r="I37" s="44">
        <f t="shared" si="15"/>
        <v>8</v>
      </c>
      <c r="J37" s="45">
        <f>yaw_null</f>
        <v>0</v>
      </c>
      <c r="K37" s="37" t="str">
        <f>D37&amp;-3</f>
        <v>7-3</v>
      </c>
      <c r="L37" s="44">
        <f t="shared" si="24"/>
        <v>0.2</v>
      </c>
      <c r="M37" s="44">
        <f t="shared" si="24"/>
        <v>150</v>
      </c>
      <c r="N37" s="44">
        <f t="shared" si="24"/>
        <v>750</v>
      </c>
      <c r="P37" s="38">
        <f t="shared" si="20"/>
        <v>6.5</v>
      </c>
      <c r="Q37" s="38">
        <f t="shared" si="21"/>
        <v>7.5</v>
      </c>
      <c r="R37" s="39">
        <f t="shared" si="3"/>
        <v>0.44562908088115849</v>
      </c>
      <c r="S37" s="39">
        <f t="shared" si="3"/>
        <v>0.54406187223400382</v>
      </c>
      <c r="T37" s="39">
        <f t="shared" si="6"/>
        <v>9.8432791352845328E-2</v>
      </c>
      <c r="U37" s="40">
        <f t="shared" si="4"/>
        <v>143.02284583568425</v>
      </c>
      <c r="V37" s="40" t="str">
        <f t="shared" si="19"/>
        <v>H</v>
      </c>
      <c r="W37" s="163">
        <f t="shared" si="7"/>
        <v>2860.4569167136851</v>
      </c>
      <c r="X37" s="176">
        <f t="shared" si="8"/>
        <v>17162.741500282111</v>
      </c>
    </row>
    <row r="38" spans="1:24" ht="15.75" thickBot="1" x14ac:dyDescent="0.3">
      <c r="A38" s="229">
        <f t="shared" si="9"/>
        <v>658</v>
      </c>
      <c r="B38" s="230">
        <f t="shared" si="10"/>
        <v>28</v>
      </c>
      <c r="C38" s="218" t="str">
        <f t="shared" si="5"/>
        <v>L12X07-000_000_04</v>
      </c>
      <c r="D38" s="43">
        <f t="shared" si="29"/>
        <v>7</v>
      </c>
      <c r="E38" s="61">
        <f t="shared" si="0"/>
        <v>1.5190000000000001</v>
      </c>
      <c r="F38" s="44">
        <f t="shared" si="26"/>
        <v>21.700000000000003</v>
      </c>
      <c r="G38" s="44">
        <f t="shared" si="27"/>
        <v>17.360000000000003</v>
      </c>
      <c r="H38" s="44">
        <f t="shared" si="28"/>
        <v>10.850000000000001</v>
      </c>
      <c r="I38" s="44">
        <f t="shared" si="15"/>
        <v>8</v>
      </c>
      <c r="J38" s="45">
        <f>yaw_null</f>
        <v>0</v>
      </c>
      <c r="K38" s="37" t="str">
        <f>D38&amp;-4</f>
        <v>7-4</v>
      </c>
      <c r="L38" s="44">
        <f t="shared" si="24"/>
        <v>0.2</v>
      </c>
      <c r="M38" s="44">
        <f t="shared" si="24"/>
        <v>150</v>
      </c>
      <c r="N38" s="44">
        <f t="shared" si="24"/>
        <v>750</v>
      </c>
      <c r="P38" s="38">
        <f t="shared" si="20"/>
        <v>6.5</v>
      </c>
      <c r="Q38" s="38">
        <f t="shared" si="21"/>
        <v>7.5</v>
      </c>
      <c r="R38" s="39">
        <f t="shared" si="3"/>
        <v>0.44562908088115849</v>
      </c>
      <c r="S38" s="39">
        <f t="shared" si="3"/>
        <v>0.54406187223400382</v>
      </c>
      <c r="T38" s="39">
        <f t="shared" si="6"/>
        <v>9.8432791352845328E-2</v>
      </c>
      <c r="U38" s="40">
        <f t="shared" si="4"/>
        <v>143.02284583568425</v>
      </c>
      <c r="V38" s="40" t="str">
        <f t="shared" si="19"/>
        <v>H</v>
      </c>
      <c r="W38" s="163">
        <f t="shared" si="7"/>
        <v>2860.4569167136851</v>
      </c>
      <c r="X38" s="176">
        <f t="shared" si="8"/>
        <v>17162.741500282111</v>
      </c>
    </row>
    <row r="39" spans="1:24" ht="15.75" thickBot="1" x14ac:dyDescent="0.3">
      <c r="A39" s="229">
        <f t="shared" si="9"/>
        <v>659</v>
      </c>
      <c r="B39" s="230">
        <f t="shared" si="10"/>
        <v>29</v>
      </c>
      <c r="C39" s="218" t="str">
        <f t="shared" si="5"/>
        <v>L12X07-008_000_05</v>
      </c>
      <c r="D39" s="43">
        <f t="shared" si="29"/>
        <v>7</v>
      </c>
      <c r="E39" s="61">
        <f t="shared" si="0"/>
        <v>1.5190000000000001</v>
      </c>
      <c r="F39" s="44">
        <f t="shared" si="26"/>
        <v>21.700000000000003</v>
      </c>
      <c r="G39" s="44">
        <f t="shared" si="27"/>
        <v>17.360000000000003</v>
      </c>
      <c r="H39" s="44">
        <f t="shared" si="28"/>
        <v>10.850000000000001</v>
      </c>
      <c r="I39" s="44">
        <f t="shared" si="15"/>
        <v>8</v>
      </c>
      <c r="J39" s="45">
        <f>yaw_max</f>
        <v>8</v>
      </c>
      <c r="K39" s="37" t="str">
        <f>D39&amp;-5</f>
        <v>7-5</v>
      </c>
      <c r="L39" s="44">
        <f t="shared" si="24"/>
        <v>0.2</v>
      </c>
      <c r="M39" s="44">
        <f t="shared" si="24"/>
        <v>150</v>
      </c>
      <c r="N39" s="44">
        <f t="shared" si="24"/>
        <v>750</v>
      </c>
      <c r="P39" s="38">
        <f t="shared" si="20"/>
        <v>6.5</v>
      </c>
      <c r="Q39" s="38">
        <f t="shared" si="21"/>
        <v>7.5</v>
      </c>
      <c r="R39" s="39">
        <f t="shared" si="3"/>
        <v>0.44562908088115849</v>
      </c>
      <c r="S39" s="39">
        <f t="shared" si="3"/>
        <v>0.54406187223400382</v>
      </c>
      <c r="T39" s="39">
        <f t="shared" si="6"/>
        <v>9.8432791352845328E-2</v>
      </c>
      <c r="U39" s="40">
        <f t="shared" si="4"/>
        <v>143.02284583568425</v>
      </c>
      <c r="V39" s="40" t="str">
        <f t="shared" si="19"/>
        <v>H</v>
      </c>
      <c r="W39" s="163">
        <f t="shared" si="7"/>
        <v>2860.4569167136851</v>
      </c>
      <c r="X39" s="176">
        <f t="shared" si="8"/>
        <v>17162.741500282111</v>
      </c>
    </row>
    <row r="40" spans="1:24" ht="15.75" thickBot="1" x14ac:dyDescent="0.3">
      <c r="A40" s="229">
        <f t="shared" si="9"/>
        <v>660</v>
      </c>
      <c r="B40" s="230">
        <f t="shared" si="10"/>
        <v>30</v>
      </c>
      <c r="C40" s="218" t="str">
        <f t="shared" si="5"/>
        <v>L12X07-008_000_06</v>
      </c>
      <c r="D40" s="43">
        <f t="shared" si="29"/>
        <v>7</v>
      </c>
      <c r="E40" s="61">
        <f t="shared" si="0"/>
        <v>1.5190000000000001</v>
      </c>
      <c r="F40" s="44">
        <f t="shared" si="26"/>
        <v>21.700000000000003</v>
      </c>
      <c r="G40" s="44">
        <f t="shared" si="27"/>
        <v>17.360000000000003</v>
      </c>
      <c r="H40" s="44">
        <f t="shared" si="28"/>
        <v>10.850000000000001</v>
      </c>
      <c r="I40" s="44">
        <f t="shared" si="15"/>
        <v>8</v>
      </c>
      <c r="J40" s="45">
        <f>yaw_max</f>
        <v>8</v>
      </c>
      <c r="K40" s="37" t="str">
        <f>D40&amp;-6</f>
        <v>7-6</v>
      </c>
      <c r="L40" s="44">
        <f t="shared" si="24"/>
        <v>0.2</v>
      </c>
      <c r="M40" s="44">
        <f t="shared" si="24"/>
        <v>150</v>
      </c>
      <c r="N40" s="44">
        <f t="shared" si="24"/>
        <v>750</v>
      </c>
      <c r="P40" s="38">
        <f t="shared" si="20"/>
        <v>6.5</v>
      </c>
      <c r="Q40" s="38">
        <f t="shared" si="21"/>
        <v>7.5</v>
      </c>
      <c r="R40" s="39">
        <f t="shared" si="3"/>
        <v>0.44562908088115849</v>
      </c>
      <c r="S40" s="39">
        <f t="shared" si="3"/>
        <v>0.54406187223400382</v>
      </c>
      <c r="T40" s="39">
        <f t="shared" si="6"/>
        <v>9.8432791352845328E-2</v>
      </c>
      <c r="U40" s="40">
        <f t="shared" si="4"/>
        <v>143.02284583568425</v>
      </c>
      <c r="V40" s="40" t="str">
        <f t="shared" si="19"/>
        <v>H</v>
      </c>
      <c r="W40" s="163">
        <f t="shared" si="7"/>
        <v>2860.4569167136851</v>
      </c>
      <c r="X40" s="176">
        <f t="shared" si="8"/>
        <v>17162.741500282111</v>
      </c>
    </row>
    <row r="41" spans="1:24" ht="15.75" thickBot="1" x14ac:dyDescent="0.3">
      <c r="A41" s="229">
        <f t="shared" si="9"/>
        <v>661</v>
      </c>
      <c r="B41" s="230">
        <f t="shared" si="10"/>
        <v>31</v>
      </c>
      <c r="C41" s="218" t="str">
        <f t="shared" si="5"/>
        <v>L12X08-352_000_01</v>
      </c>
      <c r="D41" s="169">
        <f>D35+V_step_12</f>
        <v>8</v>
      </c>
      <c r="E41" s="61">
        <f t="shared" si="0"/>
        <v>1.6240000000000001</v>
      </c>
      <c r="F41" s="44">
        <f t="shared" si="26"/>
        <v>20.3</v>
      </c>
      <c r="G41" s="44">
        <f t="shared" si="27"/>
        <v>16.240000000000002</v>
      </c>
      <c r="H41" s="44">
        <f t="shared" si="28"/>
        <v>10.15</v>
      </c>
      <c r="I41" s="44">
        <f t="shared" si="15"/>
        <v>8</v>
      </c>
      <c r="J41" s="45">
        <f>yaw_min</f>
        <v>-8</v>
      </c>
      <c r="K41" s="37" t="str">
        <f>D41&amp;-1</f>
        <v>8-1</v>
      </c>
      <c r="L41" s="44">
        <f t="shared" si="24"/>
        <v>0.2</v>
      </c>
      <c r="M41" s="44">
        <f t="shared" si="24"/>
        <v>150</v>
      </c>
      <c r="N41" s="44">
        <f t="shared" si="24"/>
        <v>750</v>
      </c>
      <c r="P41" s="38">
        <f t="shared" si="20"/>
        <v>7.5</v>
      </c>
      <c r="Q41" s="38">
        <f t="shared" si="21"/>
        <v>8.5</v>
      </c>
      <c r="R41" s="39">
        <f t="shared" si="3"/>
        <v>0.54406187223400382</v>
      </c>
      <c r="S41" s="39">
        <f t="shared" si="3"/>
        <v>0.63534380749788655</v>
      </c>
      <c r="T41" s="39">
        <f t="shared" si="6"/>
        <v>9.128193526388273E-2</v>
      </c>
      <c r="U41" s="40">
        <f t="shared" si="4"/>
        <v>132.63265193842162</v>
      </c>
      <c r="V41" s="40" t="str">
        <f t="shared" si="19"/>
        <v>H</v>
      </c>
      <c r="W41" s="163">
        <f t="shared" si="7"/>
        <v>2652.6530387684325</v>
      </c>
      <c r="X41" s="176">
        <f t="shared" si="8"/>
        <v>15915.918232610595</v>
      </c>
    </row>
    <row r="42" spans="1:24" ht="15.75" thickBot="1" x14ac:dyDescent="0.3">
      <c r="A42" s="229">
        <f t="shared" si="9"/>
        <v>662</v>
      </c>
      <c r="B42" s="230">
        <f t="shared" si="10"/>
        <v>32</v>
      </c>
      <c r="C42" s="218" t="str">
        <f t="shared" si="5"/>
        <v>L12X08-352_000_02</v>
      </c>
      <c r="D42" s="43">
        <f>D41</f>
        <v>8</v>
      </c>
      <c r="E42" s="61">
        <f t="shared" si="0"/>
        <v>1.6240000000000001</v>
      </c>
      <c r="F42" s="44">
        <f t="shared" si="26"/>
        <v>20.3</v>
      </c>
      <c r="G42" s="44">
        <f t="shared" si="27"/>
        <v>16.240000000000002</v>
      </c>
      <c r="H42" s="44">
        <f t="shared" si="28"/>
        <v>10.15</v>
      </c>
      <c r="I42" s="44">
        <f t="shared" si="15"/>
        <v>8</v>
      </c>
      <c r="J42" s="45">
        <f>yaw_min</f>
        <v>-8</v>
      </c>
      <c r="K42" s="37" t="str">
        <f>D42&amp;-2</f>
        <v>8-2</v>
      </c>
      <c r="L42" s="44">
        <f t="shared" si="24"/>
        <v>0.2</v>
      </c>
      <c r="M42" s="44">
        <f t="shared" si="24"/>
        <v>150</v>
      </c>
      <c r="N42" s="44">
        <f t="shared" si="24"/>
        <v>750</v>
      </c>
      <c r="P42" s="38">
        <f t="shared" si="20"/>
        <v>7.5</v>
      </c>
      <c r="Q42" s="38">
        <f t="shared" si="21"/>
        <v>8.5</v>
      </c>
      <c r="R42" s="39">
        <f t="shared" si="3"/>
        <v>0.54406187223400382</v>
      </c>
      <c r="S42" s="39">
        <f t="shared" si="3"/>
        <v>0.63534380749788655</v>
      </c>
      <c r="T42" s="39">
        <f t="shared" si="6"/>
        <v>9.128193526388273E-2</v>
      </c>
      <c r="U42" s="40">
        <f t="shared" si="4"/>
        <v>132.63265193842162</v>
      </c>
      <c r="V42" s="40" t="str">
        <f t="shared" si="19"/>
        <v>H</v>
      </c>
      <c r="W42" s="163">
        <f t="shared" si="7"/>
        <v>2652.6530387684325</v>
      </c>
      <c r="X42" s="176">
        <f t="shared" si="8"/>
        <v>15915.918232610595</v>
      </c>
    </row>
    <row r="43" spans="1:24" ht="15.75" thickBot="1" x14ac:dyDescent="0.3">
      <c r="A43" s="229">
        <f t="shared" si="9"/>
        <v>663</v>
      </c>
      <c r="B43" s="230">
        <f t="shared" si="10"/>
        <v>33</v>
      </c>
      <c r="C43" s="218" t="str">
        <f t="shared" si="5"/>
        <v>L12X08-000_000_03</v>
      </c>
      <c r="D43" s="43">
        <f t="shared" ref="D43:D46" si="30">D42</f>
        <v>8</v>
      </c>
      <c r="E43" s="61">
        <f t="shared" ref="E43:E90" si="31">I_ref*(0.75*D43+5.6)</f>
        <v>1.6240000000000001</v>
      </c>
      <c r="F43" s="44">
        <f t="shared" si="26"/>
        <v>20.3</v>
      </c>
      <c r="G43" s="44">
        <f t="shared" si="27"/>
        <v>16.240000000000002</v>
      </c>
      <c r="H43" s="44">
        <f t="shared" si="28"/>
        <v>10.15</v>
      </c>
      <c r="I43" s="44">
        <f t="shared" si="15"/>
        <v>8</v>
      </c>
      <c r="J43" s="45">
        <f>yaw_null</f>
        <v>0</v>
      </c>
      <c r="K43" s="37" t="str">
        <f>D43&amp;-3</f>
        <v>8-3</v>
      </c>
      <c r="L43" s="44">
        <f t="shared" si="24"/>
        <v>0.2</v>
      </c>
      <c r="M43" s="44">
        <f t="shared" si="24"/>
        <v>150</v>
      </c>
      <c r="N43" s="44">
        <f t="shared" si="24"/>
        <v>750</v>
      </c>
      <c r="P43" s="38">
        <f t="shared" ref="P43:P74" si="32">D43-V_step_12/2</f>
        <v>7.5</v>
      </c>
      <c r="Q43" s="38">
        <f t="shared" ref="Q43:Q74" si="33">P43+V_step_12</f>
        <v>8.5</v>
      </c>
      <c r="R43" s="39">
        <f t="shared" ref="R43:S64" si="34">IF(wpd="Rayleigh",1-EXP(-PI()*((P43/2/v_ave)^2)),IF(wpd="Weibull",1-EXP(-((P43/weibull_A)^weibull_K))))</f>
        <v>0.54406187223400382</v>
      </c>
      <c r="S43" s="39">
        <f t="shared" si="34"/>
        <v>0.63534380749788655</v>
      </c>
      <c r="T43" s="39">
        <f t="shared" si="6"/>
        <v>9.128193526388273E-2</v>
      </c>
      <c r="U43" s="40">
        <f t="shared" ref="U43:U74" si="35">T43*(H_year-H_hy-H_hp-H_ice-H_typhoon)/6</f>
        <v>132.63265193842162</v>
      </c>
      <c r="V43" s="40" t="str">
        <f t="shared" si="19"/>
        <v>H</v>
      </c>
      <c r="W43" s="163">
        <f t="shared" si="7"/>
        <v>2652.6530387684325</v>
      </c>
      <c r="X43" s="176">
        <f t="shared" si="8"/>
        <v>15915.918232610595</v>
      </c>
    </row>
    <row r="44" spans="1:24" ht="15.75" thickBot="1" x14ac:dyDescent="0.3">
      <c r="A44" s="229">
        <f t="shared" si="9"/>
        <v>664</v>
      </c>
      <c r="B44" s="230">
        <f t="shared" si="10"/>
        <v>34</v>
      </c>
      <c r="C44" s="218" t="str">
        <f t="shared" si="5"/>
        <v>L12X08-000_000_04</v>
      </c>
      <c r="D44" s="43">
        <f t="shared" si="30"/>
        <v>8</v>
      </c>
      <c r="E44" s="61">
        <f t="shared" si="31"/>
        <v>1.6240000000000001</v>
      </c>
      <c r="F44" s="44">
        <f t="shared" si="26"/>
        <v>20.3</v>
      </c>
      <c r="G44" s="44">
        <f t="shared" si="27"/>
        <v>16.240000000000002</v>
      </c>
      <c r="H44" s="44">
        <f t="shared" si="28"/>
        <v>10.15</v>
      </c>
      <c r="I44" s="44">
        <f t="shared" si="15"/>
        <v>8</v>
      </c>
      <c r="J44" s="45">
        <f>yaw_null</f>
        <v>0</v>
      </c>
      <c r="K44" s="37" t="str">
        <f>D44&amp;-4</f>
        <v>8-4</v>
      </c>
      <c r="L44" s="44">
        <f t="shared" si="24"/>
        <v>0.2</v>
      </c>
      <c r="M44" s="44">
        <f t="shared" si="24"/>
        <v>150</v>
      </c>
      <c r="N44" s="44">
        <f t="shared" si="24"/>
        <v>750</v>
      </c>
      <c r="P44" s="38">
        <f t="shared" si="32"/>
        <v>7.5</v>
      </c>
      <c r="Q44" s="38">
        <f t="shared" si="33"/>
        <v>8.5</v>
      </c>
      <c r="R44" s="39">
        <f t="shared" si="34"/>
        <v>0.54406187223400382</v>
      </c>
      <c r="S44" s="39">
        <f t="shared" si="34"/>
        <v>0.63534380749788655</v>
      </c>
      <c r="T44" s="39">
        <f t="shared" si="6"/>
        <v>9.128193526388273E-2</v>
      </c>
      <c r="U44" s="40">
        <f t="shared" si="35"/>
        <v>132.63265193842162</v>
      </c>
      <c r="V44" s="40" t="str">
        <f t="shared" si="19"/>
        <v>H</v>
      </c>
      <c r="W44" s="163">
        <f t="shared" si="7"/>
        <v>2652.6530387684325</v>
      </c>
      <c r="X44" s="176">
        <f t="shared" si="8"/>
        <v>15915.918232610595</v>
      </c>
    </row>
    <row r="45" spans="1:24" ht="15.75" thickBot="1" x14ac:dyDescent="0.3">
      <c r="A45" s="229">
        <f t="shared" si="9"/>
        <v>665</v>
      </c>
      <c r="B45" s="230">
        <f t="shared" si="10"/>
        <v>35</v>
      </c>
      <c r="C45" s="218" t="str">
        <f t="shared" si="5"/>
        <v>L12X08-008_000_05</v>
      </c>
      <c r="D45" s="43">
        <f t="shared" si="30"/>
        <v>8</v>
      </c>
      <c r="E45" s="61">
        <f t="shared" si="31"/>
        <v>1.6240000000000001</v>
      </c>
      <c r="F45" s="44">
        <f t="shared" si="26"/>
        <v>20.3</v>
      </c>
      <c r="G45" s="44">
        <f t="shared" si="27"/>
        <v>16.240000000000002</v>
      </c>
      <c r="H45" s="44">
        <f t="shared" si="28"/>
        <v>10.15</v>
      </c>
      <c r="I45" s="44">
        <f t="shared" si="15"/>
        <v>8</v>
      </c>
      <c r="J45" s="45">
        <f>yaw_max</f>
        <v>8</v>
      </c>
      <c r="K45" s="37" t="str">
        <f>D45&amp;-5</f>
        <v>8-5</v>
      </c>
      <c r="L45" s="44">
        <f t="shared" ref="L45:N60" si="36">L44</f>
        <v>0.2</v>
      </c>
      <c r="M45" s="44">
        <f t="shared" si="36"/>
        <v>150</v>
      </c>
      <c r="N45" s="44">
        <f t="shared" si="36"/>
        <v>750</v>
      </c>
      <c r="P45" s="38">
        <f t="shared" si="32"/>
        <v>7.5</v>
      </c>
      <c r="Q45" s="38">
        <f t="shared" si="33"/>
        <v>8.5</v>
      </c>
      <c r="R45" s="39">
        <f t="shared" si="34"/>
        <v>0.54406187223400382</v>
      </c>
      <c r="S45" s="39">
        <f t="shared" si="34"/>
        <v>0.63534380749788655</v>
      </c>
      <c r="T45" s="39">
        <f t="shared" si="6"/>
        <v>9.128193526388273E-2</v>
      </c>
      <c r="U45" s="40">
        <f t="shared" si="35"/>
        <v>132.63265193842162</v>
      </c>
      <c r="V45" s="40" t="str">
        <f t="shared" si="19"/>
        <v>H</v>
      </c>
      <c r="W45" s="163">
        <f t="shared" si="7"/>
        <v>2652.6530387684325</v>
      </c>
      <c r="X45" s="176">
        <f t="shared" si="8"/>
        <v>15915.918232610595</v>
      </c>
    </row>
    <row r="46" spans="1:24" ht="15.75" thickBot="1" x14ac:dyDescent="0.3">
      <c r="A46" s="229">
        <f t="shared" si="9"/>
        <v>666</v>
      </c>
      <c r="B46" s="230">
        <f t="shared" si="10"/>
        <v>36</v>
      </c>
      <c r="C46" s="218" t="str">
        <f t="shared" si="5"/>
        <v>L12X08-008_000_06</v>
      </c>
      <c r="D46" s="43">
        <f t="shared" si="30"/>
        <v>8</v>
      </c>
      <c r="E46" s="61">
        <f t="shared" si="31"/>
        <v>1.6240000000000001</v>
      </c>
      <c r="F46" s="44">
        <f t="shared" si="26"/>
        <v>20.3</v>
      </c>
      <c r="G46" s="44">
        <f t="shared" si="27"/>
        <v>16.240000000000002</v>
      </c>
      <c r="H46" s="44">
        <f t="shared" si="28"/>
        <v>10.15</v>
      </c>
      <c r="I46" s="44">
        <f t="shared" si="15"/>
        <v>8</v>
      </c>
      <c r="J46" s="45">
        <f>yaw_max</f>
        <v>8</v>
      </c>
      <c r="K46" s="37" t="str">
        <f>D46&amp;-6</f>
        <v>8-6</v>
      </c>
      <c r="L46" s="44">
        <f t="shared" si="36"/>
        <v>0.2</v>
      </c>
      <c r="M46" s="44">
        <f t="shared" si="36"/>
        <v>150</v>
      </c>
      <c r="N46" s="44">
        <f t="shared" si="36"/>
        <v>750</v>
      </c>
      <c r="P46" s="38">
        <f t="shared" si="32"/>
        <v>7.5</v>
      </c>
      <c r="Q46" s="38">
        <f t="shared" si="33"/>
        <v>8.5</v>
      </c>
      <c r="R46" s="39">
        <f t="shared" si="34"/>
        <v>0.54406187223400382</v>
      </c>
      <c r="S46" s="39">
        <f t="shared" si="34"/>
        <v>0.63534380749788655</v>
      </c>
      <c r="T46" s="39">
        <f t="shared" si="6"/>
        <v>9.128193526388273E-2</v>
      </c>
      <c r="U46" s="40">
        <f t="shared" si="35"/>
        <v>132.63265193842162</v>
      </c>
      <c r="V46" s="40" t="str">
        <f t="shared" si="19"/>
        <v>H</v>
      </c>
      <c r="W46" s="163">
        <f t="shared" si="7"/>
        <v>2652.6530387684325</v>
      </c>
      <c r="X46" s="176">
        <f t="shared" si="8"/>
        <v>15915.918232610595</v>
      </c>
    </row>
    <row r="47" spans="1:24" ht="15.75" thickBot="1" x14ac:dyDescent="0.3">
      <c r="A47" s="229">
        <f t="shared" si="9"/>
        <v>667</v>
      </c>
      <c r="B47" s="230">
        <f t="shared" si="10"/>
        <v>37</v>
      </c>
      <c r="C47" s="218" t="str">
        <f t="shared" si="5"/>
        <v>L12X09-352_000_01</v>
      </c>
      <c r="D47" s="169">
        <f>D41+V_step_12</f>
        <v>9</v>
      </c>
      <c r="E47" s="61">
        <f t="shared" si="31"/>
        <v>1.7290000000000001</v>
      </c>
      <c r="F47" s="44">
        <f t="shared" si="26"/>
        <v>19.211111111111112</v>
      </c>
      <c r="G47" s="44">
        <f t="shared" si="27"/>
        <v>15.36888888888889</v>
      </c>
      <c r="H47" s="44">
        <f t="shared" si="28"/>
        <v>9.6055555555555561</v>
      </c>
      <c r="I47" s="44">
        <f t="shared" si="15"/>
        <v>8</v>
      </c>
      <c r="J47" s="45">
        <f>yaw_min</f>
        <v>-8</v>
      </c>
      <c r="K47" s="37" t="str">
        <f>D47&amp;-1</f>
        <v>9-1</v>
      </c>
      <c r="L47" s="44">
        <f t="shared" si="36"/>
        <v>0.2</v>
      </c>
      <c r="M47" s="44">
        <f t="shared" si="36"/>
        <v>150</v>
      </c>
      <c r="N47" s="44">
        <f t="shared" si="36"/>
        <v>750</v>
      </c>
      <c r="P47" s="38">
        <f t="shared" si="32"/>
        <v>8.5</v>
      </c>
      <c r="Q47" s="38">
        <f t="shared" si="33"/>
        <v>9.5</v>
      </c>
      <c r="R47" s="39">
        <f t="shared" si="34"/>
        <v>0.63534380749788655</v>
      </c>
      <c r="S47" s="39">
        <f t="shared" si="34"/>
        <v>0.71638219946201009</v>
      </c>
      <c r="T47" s="39">
        <f t="shared" si="6"/>
        <v>8.1038391964123546E-2</v>
      </c>
      <c r="U47" s="40">
        <f t="shared" si="35"/>
        <v>117.74878352387151</v>
      </c>
      <c r="V47" s="40" t="str">
        <f t="shared" si="19"/>
        <v>H</v>
      </c>
      <c r="W47" s="163">
        <f t="shared" si="7"/>
        <v>2354.97567047743</v>
      </c>
      <c r="X47" s="176">
        <f t="shared" si="8"/>
        <v>14129.85402286458</v>
      </c>
    </row>
    <row r="48" spans="1:24" ht="15.75" thickBot="1" x14ac:dyDescent="0.3">
      <c r="A48" s="229">
        <f t="shared" si="9"/>
        <v>668</v>
      </c>
      <c r="B48" s="230">
        <f t="shared" si="10"/>
        <v>38</v>
      </c>
      <c r="C48" s="218" t="str">
        <f t="shared" si="5"/>
        <v>L12X09-352_000_02</v>
      </c>
      <c r="D48" s="43">
        <f>D47</f>
        <v>9</v>
      </c>
      <c r="E48" s="61">
        <f t="shared" si="31"/>
        <v>1.7290000000000001</v>
      </c>
      <c r="F48" s="44">
        <f t="shared" si="26"/>
        <v>19.211111111111112</v>
      </c>
      <c r="G48" s="44">
        <f t="shared" si="27"/>
        <v>15.36888888888889</v>
      </c>
      <c r="H48" s="44">
        <f t="shared" si="28"/>
        <v>9.6055555555555561</v>
      </c>
      <c r="I48" s="44">
        <f t="shared" si="15"/>
        <v>8</v>
      </c>
      <c r="J48" s="45">
        <f>yaw_min</f>
        <v>-8</v>
      </c>
      <c r="K48" s="37" t="str">
        <f>D48&amp;-2</f>
        <v>9-2</v>
      </c>
      <c r="L48" s="44">
        <f t="shared" si="36"/>
        <v>0.2</v>
      </c>
      <c r="M48" s="44">
        <f t="shared" si="36"/>
        <v>150</v>
      </c>
      <c r="N48" s="44">
        <f t="shared" si="36"/>
        <v>750</v>
      </c>
      <c r="P48" s="38">
        <f t="shared" si="32"/>
        <v>8.5</v>
      </c>
      <c r="Q48" s="38">
        <f t="shared" si="33"/>
        <v>9.5</v>
      </c>
      <c r="R48" s="39">
        <f t="shared" si="34"/>
        <v>0.63534380749788655</v>
      </c>
      <c r="S48" s="39">
        <f t="shared" si="34"/>
        <v>0.71638219946201009</v>
      </c>
      <c r="T48" s="39">
        <f t="shared" si="6"/>
        <v>8.1038391964123546E-2</v>
      </c>
      <c r="U48" s="40">
        <f t="shared" si="35"/>
        <v>117.74878352387151</v>
      </c>
      <c r="V48" s="40" t="str">
        <f t="shared" si="19"/>
        <v>H</v>
      </c>
      <c r="W48" s="163">
        <f t="shared" si="7"/>
        <v>2354.97567047743</v>
      </c>
      <c r="X48" s="176">
        <f t="shared" si="8"/>
        <v>14129.85402286458</v>
      </c>
    </row>
    <row r="49" spans="1:24" ht="15.75" thickBot="1" x14ac:dyDescent="0.3">
      <c r="A49" s="229">
        <f t="shared" si="9"/>
        <v>669</v>
      </c>
      <c r="B49" s="230">
        <f t="shared" si="10"/>
        <v>39</v>
      </c>
      <c r="C49" s="218" t="str">
        <f t="shared" si="5"/>
        <v>L12X09-000_000_03</v>
      </c>
      <c r="D49" s="43">
        <f t="shared" ref="D49:D52" si="37">D48</f>
        <v>9</v>
      </c>
      <c r="E49" s="61">
        <f t="shared" si="31"/>
        <v>1.7290000000000001</v>
      </c>
      <c r="F49" s="44">
        <f t="shared" si="26"/>
        <v>19.211111111111112</v>
      </c>
      <c r="G49" s="44">
        <f t="shared" si="27"/>
        <v>15.36888888888889</v>
      </c>
      <c r="H49" s="44">
        <f t="shared" si="28"/>
        <v>9.6055555555555561</v>
      </c>
      <c r="I49" s="44">
        <f t="shared" si="15"/>
        <v>8</v>
      </c>
      <c r="J49" s="45">
        <f>yaw_null</f>
        <v>0</v>
      </c>
      <c r="K49" s="37" t="str">
        <f>D49&amp;-3</f>
        <v>9-3</v>
      </c>
      <c r="L49" s="44">
        <f t="shared" si="36"/>
        <v>0.2</v>
      </c>
      <c r="M49" s="44">
        <f t="shared" si="36"/>
        <v>150</v>
      </c>
      <c r="N49" s="44">
        <f t="shared" si="36"/>
        <v>750</v>
      </c>
      <c r="P49" s="38">
        <f t="shared" si="32"/>
        <v>8.5</v>
      </c>
      <c r="Q49" s="38">
        <f t="shared" si="33"/>
        <v>9.5</v>
      </c>
      <c r="R49" s="39">
        <f t="shared" si="34"/>
        <v>0.63534380749788655</v>
      </c>
      <c r="S49" s="39">
        <f t="shared" si="34"/>
        <v>0.71638219946201009</v>
      </c>
      <c r="T49" s="39">
        <f t="shared" si="6"/>
        <v>8.1038391964123546E-2</v>
      </c>
      <c r="U49" s="40">
        <f t="shared" si="35"/>
        <v>117.74878352387151</v>
      </c>
      <c r="V49" s="40" t="str">
        <f t="shared" si="19"/>
        <v>H</v>
      </c>
      <c r="W49" s="163">
        <f t="shared" si="7"/>
        <v>2354.97567047743</v>
      </c>
      <c r="X49" s="176">
        <f t="shared" si="8"/>
        <v>14129.85402286458</v>
      </c>
    </row>
    <row r="50" spans="1:24" ht="15.75" thickBot="1" x14ac:dyDescent="0.3">
      <c r="A50" s="229">
        <f t="shared" si="9"/>
        <v>670</v>
      </c>
      <c r="B50" s="230">
        <f t="shared" si="10"/>
        <v>40</v>
      </c>
      <c r="C50" s="218" t="str">
        <f t="shared" si="5"/>
        <v>L12X09-000_000_04</v>
      </c>
      <c r="D50" s="43">
        <f t="shared" si="37"/>
        <v>9</v>
      </c>
      <c r="E50" s="61">
        <f t="shared" si="31"/>
        <v>1.7290000000000001</v>
      </c>
      <c r="F50" s="44">
        <f t="shared" si="26"/>
        <v>19.211111111111112</v>
      </c>
      <c r="G50" s="44">
        <f t="shared" si="27"/>
        <v>15.36888888888889</v>
      </c>
      <c r="H50" s="44">
        <f t="shared" si="28"/>
        <v>9.6055555555555561</v>
      </c>
      <c r="I50" s="44">
        <f t="shared" si="15"/>
        <v>8</v>
      </c>
      <c r="J50" s="45">
        <f>yaw_null</f>
        <v>0</v>
      </c>
      <c r="K50" s="37" t="str">
        <f>D50&amp;-4</f>
        <v>9-4</v>
      </c>
      <c r="L50" s="44">
        <f t="shared" si="36"/>
        <v>0.2</v>
      </c>
      <c r="M50" s="44">
        <f t="shared" si="36"/>
        <v>150</v>
      </c>
      <c r="N50" s="44">
        <f t="shared" si="36"/>
        <v>750</v>
      </c>
      <c r="P50" s="38">
        <f t="shared" si="32"/>
        <v>8.5</v>
      </c>
      <c r="Q50" s="38">
        <f t="shared" si="33"/>
        <v>9.5</v>
      </c>
      <c r="R50" s="39">
        <f t="shared" si="34"/>
        <v>0.63534380749788655</v>
      </c>
      <c r="S50" s="39">
        <f t="shared" si="34"/>
        <v>0.71638219946201009</v>
      </c>
      <c r="T50" s="39">
        <f t="shared" si="6"/>
        <v>8.1038391964123546E-2</v>
      </c>
      <c r="U50" s="40">
        <f t="shared" si="35"/>
        <v>117.74878352387151</v>
      </c>
      <c r="V50" s="40" t="str">
        <f t="shared" si="19"/>
        <v>H</v>
      </c>
      <c r="W50" s="163">
        <f t="shared" si="7"/>
        <v>2354.97567047743</v>
      </c>
      <c r="X50" s="176">
        <f t="shared" si="8"/>
        <v>14129.85402286458</v>
      </c>
    </row>
    <row r="51" spans="1:24" ht="15.75" thickBot="1" x14ac:dyDescent="0.3">
      <c r="A51" s="229">
        <f t="shared" si="9"/>
        <v>671</v>
      </c>
      <c r="B51" s="230">
        <f t="shared" si="10"/>
        <v>41</v>
      </c>
      <c r="C51" s="218" t="str">
        <f t="shared" si="5"/>
        <v>L12X09-008_000_05</v>
      </c>
      <c r="D51" s="43">
        <f t="shared" si="37"/>
        <v>9</v>
      </c>
      <c r="E51" s="61">
        <f t="shared" si="31"/>
        <v>1.7290000000000001</v>
      </c>
      <c r="F51" s="44">
        <f t="shared" si="26"/>
        <v>19.211111111111112</v>
      </c>
      <c r="G51" s="44">
        <f t="shared" si="27"/>
        <v>15.36888888888889</v>
      </c>
      <c r="H51" s="44">
        <f t="shared" si="28"/>
        <v>9.6055555555555561</v>
      </c>
      <c r="I51" s="44">
        <f t="shared" si="15"/>
        <v>8</v>
      </c>
      <c r="J51" s="45">
        <f>yaw_max</f>
        <v>8</v>
      </c>
      <c r="K51" s="37" t="str">
        <f>D51&amp;-5</f>
        <v>9-5</v>
      </c>
      <c r="L51" s="44">
        <f t="shared" si="36"/>
        <v>0.2</v>
      </c>
      <c r="M51" s="44">
        <f t="shared" si="36"/>
        <v>150</v>
      </c>
      <c r="N51" s="44">
        <f t="shared" si="36"/>
        <v>750</v>
      </c>
      <c r="P51" s="38">
        <f t="shared" si="32"/>
        <v>8.5</v>
      </c>
      <c r="Q51" s="38">
        <f t="shared" si="33"/>
        <v>9.5</v>
      </c>
      <c r="R51" s="39">
        <f t="shared" si="34"/>
        <v>0.63534380749788655</v>
      </c>
      <c r="S51" s="39">
        <f t="shared" si="34"/>
        <v>0.71638219946201009</v>
      </c>
      <c r="T51" s="39">
        <f t="shared" si="6"/>
        <v>8.1038391964123546E-2</v>
      </c>
      <c r="U51" s="40">
        <f t="shared" si="35"/>
        <v>117.74878352387151</v>
      </c>
      <c r="V51" s="40" t="str">
        <f t="shared" si="19"/>
        <v>H</v>
      </c>
      <c r="W51" s="163">
        <f t="shared" si="7"/>
        <v>2354.97567047743</v>
      </c>
      <c r="X51" s="176">
        <f t="shared" si="8"/>
        <v>14129.85402286458</v>
      </c>
    </row>
    <row r="52" spans="1:24" ht="15.75" thickBot="1" x14ac:dyDescent="0.3">
      <c r="A52" s="229">
        <f t="shared" si="9"/>
        <v>672</v>
      </c>
      <c r="B52" s="230">
        <f t="shared" si="10"/>
        <v>42</v>
      </c>
      <c r="C52" s="218" t="str">
        <f t="shared" si="5"/>
        <v>L12X09-008_000_06</v>
      </c>
      <c r="D52" s="43">
        <f t="shared" si="37"/>
        <v>9</v>
      </c>
      <c r="E52" s="61">
        <f t="shared" si="31"/>
        <v>1.7290000000000001</v>
      </c>
      <c r="F52" s="44">
        <f t="shared" si="26"/>
        <v>19.211111111111112</v>
      </c>
      <c r="G52" s="44">
        <f t="shared" si="27"/>
        <v>15.36888888888889</v>
      </c>
      <c r="H52" s="44">
        <f t="shared" si="28"/>
        <v>9.6055555555555561</v>
      </c>
      <c r="I52" s="44">
        <f t="shared" si="15"/>
        <v>8</v>
      </c>
      <c r="J52" s="45">
        <f>yaw_max</f>
        <v>8</v>
      </c>
      <c r="K52" s="37" t="str">
        <f>D52&amp;-6</f>
        <v>9-6</v>
      </c>
      <c r="L52" s="44">
        <f t="shared" si="36"/>
        <v>0.2</v>
      </c>
      <c r="M52" s="44">
        <f t="shared" si="36"/>
        <v>150</v>
      </c>
      <c r="N52" s="44">
        <f t="shared" si="36"/>
        <v>750</v>
      </c>
      <c r="P52" s="38">
        <f t="shared" si="32"/>
        <v>8.5</v>
      </c>
      <c r="Q52" s="38">
        <f t="shared" si="33"/>
        <v>9.5</v>
      </c>
      <c r="R52" s="39">
        <f t="shared" si="34"/>
        <v>0.63534380749788655</v>
      </c>
      <c r="S52" s="39">
        <f t="shared" si="34"/>
        <v>0.71638219946201009</v>
      </c>
      <c r="T52" s="39">
        <f t="shared" si="6"/>
        <v>8.1038391964123546E-2</v>
      </c>
      <c r="U52" s="40">
        <f t="shared" si="35"/>
        <v>117.74878352387151</v>
      </c>
      <c r="V52" s="40" t="str">
        <f t="shared" si="19"/>
        <v>H</v>
      </c>
      <c r="W52" s="163">
        <f t="shared" si="7"/>
        <v>2354.97567047743</v>
      </c>
      <c r="X52" s="176">
        <f t="shared" si="8"/>
        <v>14129.85402286458</v>
      </c>
    </row>
    <row r="53" spans="1:24" ht="15.75" thickBot="1" x14ac:dyDescent="0.3">
      <c r="A53" s="229">
        <f t="shared" si="9"/>
        <v>673</v>
      </c>
      <c r="B53" s="230">
        <f t="shared" si="10"/>
        <v>43</v>
      </c>
      <c r="C53" s="218" t="str">
        <f t="shared" si="5"/>
        <v>L12X10-352_000_01</v>
      </c>
      <c r="D53" s="169">
        <f>D47+V_step_12</f>
        <v>10</v>
      </c>
      <c r="E53" s="61">
        <f t="shared" si="31"/>
        <v>1.8340000000000001</v>
      </c>
      <c r="F53" s="44">
        <f>E53/D53*100</f>
        <v>18.34</v>
      </c>
      <c r="G53" s="44">
        <f t="shared" si="27"/>
        <v>14.672000000000001</v>
      </c>
      <c r="H53" s="44">
        <f t="shared" si="28"/>
        <v>9.17</v>
      </c>
      <c r="I53" s="44">
        <f t="shared" si="15"/>
        <v>8</v>
      </c>
      <c r="J53" s="45">
        <f>yaw_min</f>
        <v>-8</v>
      </c>
      <c r="K53" s="37" t="str">
        <f>D53&amp;-1</f>
        <v>10-1</v>
      </c>
      <c r="L53" s="44">
        <f t="shared" si="36"/>
        <v>0.2</v>
      </c>
      <c r="M53" s="44">
        <f t="shared" si="36"/>
        <v>150</v>
      </c>
      <c r="N53" s="44">
        <f t="shared" si="36"/>
        <v>750</v>
      </c>
      <c r="P53" s="38">
        <f t="shared" si="32"/>
        <v>9.5</v>
      </c>
      <c r="Q53" s="38">
        <f t="shared" si="33"/>
        <v>10.5</v>
      </c>
      <c r="R53" s="39">
        <f t="shared" si="34"/>
        <v>0.71638219946201009</v>
      </c>
      <c r="S53" s="39">
        <f t="shared" si="34"/>
        <v>0.78548602693873804</v>
      </c>
      <c r="T53" s="39">
        <f t="shared" si="6"/>
        <v>6.9103827476727941E-2</v>
      </c>
      <c r="U53" s="40">
        <f t="shared" si="35"/>
        <v>100.40786132368571</v>
      </c>
      <c r="V53" s="40" t="str">
        <f t="shared" si="19"/>
        <v>H</v>
      </c>
      <c r="W53" s="163">
        <f t="shared" si="7"/>
        <v>2008.1572264737142</v>
      </c>
      <c r="X53" s="176">
        <f t="shared" si="8"/>
        <v>12048.943358842285</v>
      </c>
    </row>
    <row r="54" spans="1:24" ht="15.75" thickBot="1" x14ac:dyDescent="0.3">
      <c r="A54" s="229">
        <f t="shared" si="9"/>
        <v>674</v>
      </c>
      <c r="B54" s="230">
        <f t="shared" si="10"/>
        <v>44</v>
      </c>
      <c r="C54" s="218" t="str">
        <f t="shared" si="5"/>
        <v>L12X10-352_000_02</v>
      </c>
      <c r="D54" s="43">
        <f>D53</f>
        <v>10</v>
      </c>
      <c r="E54" s="61">
        <f t="shared" si="31"/>
        <v>1.8340000000000001</v>
      </c>
      <c r="F54" s="44">
        <f t="shared" ref="F54:F82" si="38">E54/D54*100</f>
        <v>18.34</v>
      </c>
      <c r="G54" s="44">
        <f t="shared" si="27"/>
        <v>14.672000000000001</v>
      </c>
      <c r="H54" s="44">
        <f t="shared" si="28"/>
        <v>9.17</v>
      </c>
      <c r="I54" s="44">
        <f t="shared" si="15"/>
        <v>8</v>
      </c>
      <c r="J54" s="45">
        <f>yaw_min</f>
        <v>-8</v>
      </c>
      <c r="K54" s="37" t="str">
        <f>D54&amp;-2</f>
        <v>10-2</v>
      </c>
      <c r="L54" s="44">
        <f t="shared" si="36"/>
        <v>0.2</v>
      </c>
      <c r="M54" s="44">
        <f t="shared" si="36"/>
        <v>150</v>
      </c>
      <c r="N54" s="44">
        <f t="shared" si="36"/>
        <v>750</v>
      </c>
      <c r="P54" s="38">
        <f t="shared" si="32"/>
        <v>9.5</v>
      </c>
      <c r="Q54" s="38">
        <f t="shared" si="33"/>
        <v>10.5</v>
      </c>
      <c r="R54" s="39">
        <f t="shared" si="34"/>
        <v>0.71638219946201009</v>
      </c>
      <c r="S54" s="39">
        <f t="shared" si="34"/>
        <v>0.78548602693873804</v>
      </c>
      <c r="T54" s="39">
        <f t="shared" si="6"/>
        <v>6.9103827476727941E-2</v>
      </c>
      <c r="U54" s="40">
        <f t="shared" si="35"/>
        <v>100.40786132368571</v>
      </c>
      <c r="V54" s="40" t="str">
        <f t="shared" si="19"/>
        <v>H</v>
      </c>
      <c r="W54" s="163">
        <f t="shared" si="7"/>
        <v>2008.1572264737142</v>
      </c>
      <c r="X54" s="176">
        <f t="shared" si="8"/>
        <v>12048.943358842285</v>
      </c>
    </row>
    <row r="55" spans="1:24" ht="15.75" thickBot="1" x14ac:dyDescent="0.3">
      <c r="A55" s="229">
        <f t="shared" si="9"/>
        <v>675</v>
      </c>
      <c r="B55" s="230">
        <f t="shared" si="10"/>
        <v>45</v>
      </c>
      <c r="C55" s="218" t="str">
        <f t="shared" si="5"/>
        <v>L12X10-000_000_03</v>
      </c>
      <c r="D55" s="43">
        <f t="shared" ref="D55:D58" si="39">D54</f>
        <v>10</v>
      </c>
      <c r="E55" s="61">
        <f t="shared" si="31"/>
        <v>1.8340000000000001</v>
      </c>
      <c r="F55" s="44">
        <f t="shared" si="38"/>
        <v>18.34</v>
      </c>
      <c r="G55" s="44">
        <f t="shared" si="27"/>
        <v>14.672000000000001</v>
      </c>
      <c r="H55" s="44">
        <f t="shared" si="28"/>
        <v>9.17</v>
      </c>
      <c r="I55" s="44">
        <f t="shared" si="15"/>
        <v>8</v>
      </c>
      <c r="J55" s="45">
        <f>yaw_null</f>
        <v>0</v>
      </c>
      <c r="K55" s="37" t="str">
        <f>D55&amp;-3</f>
        <v>10-3</v>
      </c>
      <c r="L55" s="44">
        <f t="shared" si="36"/>
        <v>0.2</v>
      </c>
      <c r="M55" s="44">
        <f t="shared" si="36"/>
        <v>150</v>
      </c>
      <c r="N55" s="44">
        <f t="shared" si="36"/>
        <v>750</v>
      </c>
      <c r="P55" s="38">
        <f t="shared" si="32"/>
        <v>9.5</v>
      </c>
      <c r="Q55" s="38">
        <f t="shared" si="33"/>
        <v>10.5</v>
      </c>
      <c r="R55" s="39">
        <f t="shared" si="34"/>
        <v>0.71638219946201009</v>
      </c>
      <c r="S55" s="39">
        <f t="shared" si="34"/>
        <v>0.78548602693873804</v>
      </c>
      <c r="T55" s="39">
        <f t="shared" si="6"/>
        <v>6.9103827476727941E-2</v>
      </c>
      <c r="U55" s="40">
        <f t="shared" si="35"/>
        <v>100.40786132368571</v>
      </c>
      <c r="V55" s="40" t="str">
        <f t="shared" si="19"/>
        <v>H</v>
      </c>
      <c r="W55" s="163">
        <f t="shared" si="7"/>
        <v>2008.1572264737142</v>
      </c>
      <c r="X55" s="176">
        <f t="shared" si="8"/>
        <v>12048.943358842285</v>
      </c>
    </row>
    <row r="56" spans="1:24" ht="15.75" thickBot="1" x14ac:dyDescent="0.3">
      <c r="A56" s="229">
        <f t="shared" si="9"/>
        <v>676</v>
      </c>
      <c r="B56" s="230">
        <f t="shared" si="10"/>
        <v>46</v>
      </c>
      <c r="C56" s="218" t="str">
        <f t="shared" si="5"/>
        <v>L12X10-000_000_04</v>
      </c>
      <c r="D56" s="43">
        <f t="shared" si="39"/>
        <v>10</v>
      </c>
      <c r="E56" s="61">
        <f t="shared" si="31"/>
        <v>1.8340000000000001</v>
      </c>
      <c r="F56" s="44">
        <f t="shared" si="38"/>
        <v>18.34</v>
      </c>
      <c r="G56" s="44">
        <f t="shared" si="27"/>
        <v>14.672000000000001</v>
      </c>
      <c r="H56" s="44">
        <f t="shared" si="28"/>
        <v>9.17</v>
      </c>
      <c r="I56" s="44">
        <f t="shared" si="15"/>
        <v>8</v>
      </c>
      <c r="J56" s="45">
        <f>yaw_null</f>
        <v>0</v>
      </c>
      <c r="K56" s="37" t="str">
        <f>D56&amp;-4</f>
        <v>10-4</v>
      </c>
      <c r="L56" s="44">
        <f t="shared" si="36"/>
        <v>0.2</v>
      </c>
      <c r="M56" s="44">
        <f t="shared" si="36"/>
        <v>150</v>
      </c>
      <c r="N56" s="44">
        <f t="shared" si="36"/>
        <v>750</v>
      </c>
      <c r="P56" s="38">
        <f t="shared" si="32"/>
        <v>9.5</v>
      </c>
      <c r="Q56" s="38">
        <f t="shared" si="33"/>
        <v>10.5</v>
      </c>
      <c r="R56" s="39">
        <f t="shared" si="34"/>
        <v>0.71638219946201009</v>
      </c>
      <c r="S56" s="39">
        <f t="shared" si="34"/>
        <v>0.78548602693873804</v>
      </c>
      <c r="T56" s="39">
        <f t="shared" si="6"/>
        <v>6.9103827476727941E-2</v>
      </c>
      <c r="U56" s="40">
        <f t="shared" si="35"/>
        <v>100.40786132368571</v>
      </c>
      <c r="V56" s="40" t="str">
        <f t="shared" si="19"/>
        <v>H</v>
      </c>
      <c r="W56" s="163">
        <f t="shared" si="7"/>
        <v>2008.1572264737142</v>
      </c>
      <c r="X56" s="176">
        <f t="shared" si="8"/>
        <v>12048.943358842285</v>
      </c>
    </row>
    <row r="57" spans="1:24" ht="15.75" thickBot="1" x14ac:dyDescent="0.3">
      <c r="A57" s="229">
        <f t="shared" si="9"/>
        <v>677</v>
      </c>
      <c r="B57" s="230">
        <f t="shared" si="10"/>
        <v>47</v>
      </c>
      <c r="C57" s="218" t="str">
        <f t="shared" si="5"/>
        <v>L12X10-008_000_05</v>
      </c>
      <c r="D57" s="43">
        <f t="shared" si="39"/>
        <v>10</v>
      </c>
      <c r="E57" s="61">
        <f t="shared" si="31"/>
        <v>1.8340000000000001</v>
      </c>
      <c r="F57" s="44">
        <f t="shared" si="38"/>
        <v>18.34</v>
      </c>
      <c r="G57" s="44">
        <f t="shared" si="27"/>
        <v>14.672000000000001</v>
      </c>
      <c r="H57" s="44">
        <f t="shared" si="28"/>
        <v>9.17</v>
      </c>
      <c r="I57" s="44">
        <f t="shared" si="15"/>
        <v>8</v>
      </c>
      <c r="J57" s="45">
        <f>yaw_max</f>
        <v>8</v>
      </c>
      <c r="K57" s="37" t="str">
        <f>D57&amp;-5</f>
        <v>10-5</v>
      </c>
      <c r="L57" s="44">
        <f t="shared" si="36"/>
        <v>0.2</v>
      </c>
      <c r="M57" s="44">
        <f t="shared" si="36"/>
        <v>150</v>
      </c>
      <c r="N57" s="44">
        <f t="shared" si="36"/>
        <v>750</v>
      </c>
      <c r="P57" s="38">
        <f t="shared" si="32"/>
        <v>9.5</v>
      </c>
      <c r="Q57" s="38">
        <f t="shared" si="33"/>
        <v>10.5</v>
      </c>
      <c r="R57" s="39">
        <f t="shared" si="34"/>
        <v>0.71638219946201009</v>
      </c>
      <c r="S57" s="39">
        <f t="shared" si="34"/>
        <v>0.78548602693873804</v>
      </c>
      <c r="T57" s="39">
        <f t="shared" si="6"/>
        <v>6.9103827476727941E-2</v>
      </c>
      <c r="U57" s="40">
        <f t="shared" si="35"/>
        <v>100.40786132368571</v>
      </c>
      <c r="V57" s="40" t="str">
        <f t="shared" si="19"/>
        <v>H</v>
      </c>
      <c r="W57" s="163">
        <f t="shared" si="7"/>
        <v>2008.1572264737142</v>
      </c>
      <c r="X57" s="176">
        <f t="shared" si="8"/>
        <v>12048.943358842285</v>
      </c>
    </row>
    <row r="58" spans="1:24" ht="15.75" thickBot="1" x14ac:dyDescent="0.3">
      <c r="A58" s="229">
        <f t="shared" si="9"/>
        <v>678</v>
      </c>
      <c r="B58" s="230">
        <f t="shared" si="10"/>
        <v>48</v>
      </c>
      <c r="C58" s="218" t="str">
        <f t="shared" si="5"/>
        <v>L12X10-008_000_06</v>
      </c>
      <c r="D58" s="43">
        <f t="shared" si="39"/>
        <v>10</v>
      </c>
      <c r="E58" s="61">
        <f t="shared" si="31"/>
        <v>1.8340000000000001</v>
      </c>
      <c r="F58" s="44">
        <f t="shared" si="38"/>
        <v>18.34</v>
      </c>
      <c r="G58" s="44">
        <f t="shared" si="27"/>
        <v>14.672000000000001</v>
      </c>
      <c r="H58" s="44">
        <f t="shared" si="28"/>
        <v>9.17</v>
      </c>
      <c r="I58" s="44">
        <f t="shared" si="15"/>
        <v>8</v>
      </c>
      <c r="J58" s="45">
        <f>yaw_max</f>
        <v>8</v>
      </c>
      <c r="K58" s="37" t="str">
        <f>D58&amp;-6</f>
        <v>10-6</v>
      </c>
      <c r="L58" s="44">
        <f t="shared" si="36"/>
        <v>0.2</v>
      </c>
      <c r="M58" s="44">
        <f t="shared" si="36"/>
        <v>150</v>
      </c>
      <c r="N58" s="44">
        <f t="shared" si="36"/>
        <v>750</v>
      </c>
      <c r="P58" s="38">
        <f t="shared" si="32"/>
        <v>9.5</v>
      </c>
      <c r="Q58" s="38">
        <f t="shared" si="33"/>
        <v>10.5</v>
      </c>
      <c r="R58" s="39">
        <f t="shared" si="34"/>
        <v>0.71638219946201009</v>
      </c>
      <c r="S58" s="39">
        <f t="shared" si="34"/>
        <v>0.78548602693873804</v>
      </c>
      <c r="T58" s="39">
        <f t="shared" si="6"/>
        <v>6.9103827476727941E-2</v>
      </c>
      <c r="U58" s="40">
        <f t="shared" si="35"/>
        <v>100.40786132368571</v>
      </c>
      <c r="V58" s="40" t="str">
        <f t="shared" si="19"/>
        <v>H</v>
      </c>
      <c r="W58" s="163">
        <f t="shared" si="7"/>
        <v>2008.1572264737142</v>
      </c>
      <c r="X58" s="176">
        <f t="shared" si="8"/>
        <v>12048.943358842285</v>
      </c>
    </row>
    <row r="59" spans="1:24" ht="15.75" thickBot="1" x14ac:dyDescent="0.3">
      <c r="A59" s="229">
        <f t="shared" si="9"/>
        <v>679</v>
      </c>
      <c r="B59" s="230">
        <f t="shared" si="10"/>
        <v>49</v>
      </c>
      <c r="C59" s="218" t="str">
        <f t="shared" si="5"/>
        <v>L12X11-352_000_01</v>
      </c>
      <c r="D59" s="169">
        <f>D53+V_step_12</f>
        <v>11</v>
      </c>
      <c r="E59" s="61">
        <f t="shared" si="31"/>
        <v>1.9390000000000001</v>
      </c>
      <c r="F59" s="44">
        <f t="shared" si="38"/>
        <v>17.627272727272729</v>
      </c>
      <c r="G59" s="44">
        <f t="shared" si="27"/>
        <v>14.101818181818183</v>
      </c>
      <c r="H59" s="44">
        <f t="shared" si="28"/>
        <v>8.8136363636363644</v>
      </c>
      <c r="I59" s="44">
        <f t="shared" si="15"/>
        <v>8</v>
      </c>
      <c r="J59" s="45">
        <f>yaw_min</f>
        <v>-8</v>
      </c>
      <c r="K59" s="37" t="str">
        <f>D59&amp;-1</f>
        <v>11-1</v>
      </c>
      <c r="L59" s="44">
        <f t="shared" si="36"/>
        <v>0.2</v>
      </c>
      <c r="M59" s="44">
        <f t="shared" si="36"/>
        <v>150</v>
      </c>
      <c r="N59" s="44">
        <f t="shared" si="36"/>
        <v>750</v>
      </c>
      <c r="P59" s="38">
        <f t="shared" si="32"/>
        <v>10.5</v>
      </c>
      <c r="Q59" s="38">
        <f t="shared" si="33"/>
        <v>11.5</v>
      </c>
      <c r="R59" s="39">
        <f t="shared" si="34"/>
        <v>0.78548602693873804</v>
      </c>
      <c r="S59" s="39">
        <f t="shared" si="34"/>
        <v>0.84222074587081175</v>
      </c>
      <c r="T59" s="39">
        <f t="shared" si="6"/>
        <v>5.6734718932073713E-2</v>
      </c>
      <c r="U59" s="40">
        <f t="shared" si="35"/>
        <v>82.435546608303113</v>
      </c>
      <c r="V59" s="40" t="str">
        <f t="shared" si="19"/>
        <v>H</v>
      </c>
      <c r="W59" s="163">
        <f t="shared" si="7"/>
        <v>1648.7109321660623</v>
      </c>
      <c r="X59" s="176">
        <f t="shared" si="8"/>
        <v>9892.265592996373</v>
      </c>
    </row>
    <row r="60" spans="1:24" ht="15.75" thickBot="1" x14ac:dyDescent="0.3">
      <c r="A60" s="229">
        <f t="shared" si="9"/>
        <v>680</v>
      </c>
      <c r="B60" s="230">
        <f t="shared" si="10"/>
        <v>50</v>
      </c>
      <c r="C60" s="218" t="str">
        <f t="shared" si="5"/>
        <v>L12X11-352_000_02</v>
      </c>
      <c r="D60" s="43">
        <f>D59</f>
        <v>11</v>
      </c>
      <c r="E60" s="61">
        <f t="shared" si="31"/>
        <v>1.9390000000000001</v>
      </c>
      <c r="F60" s="44">
        <f t="shared" si="38"/>
        <v>17.627272727272729</v>
      </c>
      <c r="G60" s="44">
        <f t="shared" si="27"/>
        <v>14.101818181818183</v>
      </c>
      <c r="H60" s="44">
        <f t="shared" si="28"/>
        <v>8.8136363636363644</v>
      </c>
      <c r="I60" s="44">
        <f t="shared" si="15"/>
        <v>8</v>
      </c>
      <c r="J60" s="45">
        <f>yaw_min</f>
        <v>-8</v>
      </c>
      <c r="K60" s="37" t="str">
        <f>D60&amp;-2</f>
        <v>11-2</v>
      </c>
      <c r="L60" s="44">
        <f t="shared" si="36"/>
        <v>0.2</v>
      </c>
      <c r="M60" s="44">
        <f t="shared" si="36"/>
        <v>150</v>
      </c>
      <c r="N60" s="44">
        <f t="shared" si="36"/>
        <v>750</v>
      </c>
      <c r="P60" s="38">
        <f t="shared" si="32"/>
        <v>10.5</v>
      </c>
      <c r="Q60" s="38">
        <f t="shared" si="33"/>
        <v>11.5</v>
      </c>
      <c r="R60" s="39">
        <f t="shared" si="34"/>
        <v>0.78548602693873804</v>
      </c>
      <c r="S60" s="39">
        <f t="shared" si="34"/>
        <v>0.84222074587081175</v>
      </c>
      <c r="T60" s="39">
        <f t="shared" si="6"/>
        <v>5.6734718932073713E-2</v>
      </c>
      <c r="U60" s="40">
        <f t="shared" si="35"/>
        <v>82.435546608303113</v>
      </c>
      <c r="V60" s="40" t="str">
        <f t="shared" si="19"/>
        <v>H</v>
      </c>
      <c r="W60" s="163">
        <f t="shared" si="7"/>
        <v>1648.7109321660623</v>
      </c>
      <c r="X60" s="176">
        <f t="shared" si="8"/>
        <v>9892.265592996373</v>
      </c>
    </row>
    <row r="61" spans="1:24" ht="15.75" thickBot="1" x14ac:dyDescent="0.3">
      <c r="A61" s="229">
        <f t="shared" si="9"/>
        <v>681</v>
      </c>
      <c r="B61" s="230">
        <f t="shared" si="10"/>
        <v>51</v>
      </c>
      <c r="C61" s="218" t="str">
        <f t="shared" si="5"/>
        <v>L12X11-000_000_03</v>
      </c>
      <c r="D61" s="43">
        <f t="shared" ref="D61:D64" si="40">D60</f>
        <v>11</v>
      </c>
      <c r="E61" s="61">
        <f t="shared" si="31"/>
        <v>1.9390000000000001</v>
      </c>
      <c r="F61" s="44">
        <f t="shared" si="38"/>
        <v>17.627272727272729</v>
      </c>
      <c r="G61" s="44">
        <f t="shared" si="27"/>
        <v>14.101818181818183</v>
      </c>
      <c r="H61" s="44">
        <f t="shared" si="28"/>
        <v>8.8136363636363644</v>
      </c>
      <c r="I61" s="44">
        <f t="shared" si="15"/>
        <v>8</v>
      </c>
      <c r="J61" s="45">
        <f>yaw_null</f>
        <v>0</v>
      </c>
      <c r="K61" s="37" t="str">
        <f>D61&amp;-3</f>
        <v>11-3</v>
      </c>
      <c r="L61" s="44">
        <f t="shared" ref="L61:N64" si="41">L60</f>
        <v>0.2</v>
      </c>
      <c r="M61" s="44">
        <f t="shared" si="41"/>
        <v>150</v>
      </c>
      <c r="N61" s="44">
        <f t="shared" si="41"/>
        <v>750</v>
      </c>
      <c r="P61" s="38">
        <f t="shared" si="32"/>
        <v>10.5</v>
      </c>
      <c r="Q61" s="38">
        <f t="shared" si="33"/>
        <v>11.5</v>
      </c>
      <c r="R61" s="39">
        <f t="shared" si="34"/>
        <v>0.78548602693873804</v>
      </c>
      <c r="S61" s="39">
        <f t="shared" si="34"/>
        <v>0.84222074587081175</v>
      </c>
      <c r="T61" s="39">
        <f t="shared" si="6"/>
        <v>5.6734718932073713E-2</v>
      </c>
      <c r="U61" s="40">
        <f t="shared" si="35"/>
        <v>82.435546608303113</v>
      </c>
      <c r="V61" s="40" t="str">
        <f t="shared" si="19"/>
        <v>H</v>
      </c>
      <c r="W61" s="163">
        <f t="shared" si="7"/>
        <v>1648.7109321660623</v>
      </c>
      <c r="X61" s="176">
        <f t="shared" si="8"/>
        <v>9892.265592996373</v>
      </c>
    </row>
    <row r="62" spans="1:24" ht="15.75" thickBot="1" x14ac:dyDescent="0.3">
      <c r="A62" s="229">
        <f t="shared" si="9"/>
        <v>682</v>
      </c>
      <c r="B62" s="230">
        <f t="shared" si="10"/>
        <v>52</v>
      </c>
      <c r="C62" s="218" t="str">
        <f t="shared" si="5"/>
        <v>L12X11-000_000_04</v>
      </c>
      <c r="D62" s="43">
        <f t="shared" si="40"/>
        <v>11</v>
      </c>
      <c r="E62" s="61">
        <f t="shared" si="31"/>
        <v>1.9390000000000001</v>
      </c>
      <c r="F62" s="44">
        <f t="shared" si="38"/>
        <v>17.627272727272729</v>
      </c>
      <c r="G62" s="44">
        <f t="shared" si="27"/>
        <v>14.101818181818183</v>
      </c>
      <c r="H62" s="44">
        <f t="shared" si="28"/>
        <v>8.8136363636363644</v>
      </c>
      <c r="I62" s="44">
        <f t="shared" si="15"/>
        <v>8</v>
      </c>
      <c r="J62" s="45">
        <f>yaw_null</f>
        <v>0</v>
      </c>
      <c r="K62" s="37" t="str">
        <f>D62&amp;-4</f>
        <v>11-4</v>
      </c>
      <c r="L62" s="44">
        <f t="shared" si="41"/>
        <v>0.2</v>
      </c>
      <c r="M62" s="44">
        <f t="shared" si="41"/>
        <v>150</v>
      </c>
      <c r="N62" s="44">
        <f t="shared" si="41"/>
        <v>750</v>
      </c>
      <c r="P62" s="38">
        <f t="shared" si="32"/>
        <v>10.5</v>
      </c>
      <c r="Q62" s="38">
        <f t="shared" si="33"/>
        <v>11.5</v>
      </c>
      <c r="R62" s="39">
        <f t="shared" si="34"/>
        <v>0.78548602693873804</v>
      </c>
      <c r="S62" s="39">
        <f t="shared" si="34"/>
        <v>0.84222074587081175</v>
      </c>
      <c r="T62" s="39">
        <f t="shared" si="6"/>
        <v>5.6734718932073713E-2</v>
      </c>
      <c r="U62" s="40">
        <f t="shared" si="35"/>
        <v>82.435546608303113</v>
      </c>
      <c r="V62" s="40" t="str">
        <f t="shared" si="19"/>
        <v>H</v>
      </c>
      <c r="W62" s="163">
        <f t="shared" si="7"/>
        <v>1648.7109321660623</v>
      </c>
      <c r="X62" s="176">
        <f t="shared" si="8"/>
        <v>9892.265592996373</v>
      </c>
    </row>
    <row r="63" spans="1:24" ht="15.75" thickBot="1" x14ac:dyDescent="0.3">
      <c r="A63" s="229">
        <f t="shared" si="9"/>
        <v>683</v>
      </c>
      <c r="B63" s="230">
        <f t="shared" si="10"/>
        <v>53</v>
      </c>
      <c r="C63" s="218" t="str">
        <f t="shared" si="5"/>
        <v>L12X11-008_000_05</v>
      </c>
      <c r="D63" s="43">
        <f t="shared" si="40"/>
        <v>11</v>
      </c>
      <c r="E63" s="61">
        <f t="shared" si="31"/>
        <v>1.9390000000000001</v>
      </c>
      <c r="F63" s="44">
        <f t="shared" si="38"/>
        <v>17.627272727272729</v>
      </c>
      <c r="G63" s="44">
        <f t="shared" si="27"/>
        <v>14.101818181818183</v>
      </c>
      <c r="H63" s="44">
        <f t="shared" si="28"/>
        <v>8.8136363636363644</v>
      </c>
      <c r="I63" s="44">
        <f t="shared" si="15"/>
        <v>8</v>
      </c>
      <c r="J63" s="45">
        <f>yaw_max</f>
        <v>8</v>
      </c>
      <c r="K63" s="37" t="str">
        <f>D63&amp;-5</f>
        <v>11-5</v>
      </c>
      <c r="L63" s="44">
        <f t="shared" si="41"/>
        <v>0.2</v>
      </c>
      <c r="M63" s="44">
        <f t="shared" si="41"/>
        <v>150</v>
      </c>
      <c r="N63" s="44">
        <f t="shared" si="41"/>
        <v>750</v>
      </c>
      <c r="P63" s="38">
        <f t="shared" si="32"/>
        <v>10.5</v>
      </c>
      <c r="Q63" s="38">
        <f t="shared" si="33"/>
        <v>11.5</v>
      </c>
      <c r="R63" s="39">
        <f t="shared" si="34"/>
        <v>0.78548602693873804</v>
      </c>
      <c r="S63" s="39">
        <f t="shared" si="34"/>
        <v>0.84222074587081175</v>
      </c>
      <c r="T63" s="39">
        <f t="shared" si="6"/>
        <v>5.6734718932073713E-2</v>
      </c>
      <c r="U63" s="40">
        <f t="shared" si="35"/>
        <v>82.435546608303113</v>
      </c>
      <c r="V63" s="40" t="str">
        <f t="shared" si="19"/>
        <v>H</v>
      </c>
      <c r="W63" s="163">
        <f t="shared" si="7"/>
        <v>1648.7109321660623</v>
      </c>
      <c r="X63" s="176">
        <f t="shared" si="8"/>
        <v>9892.265592996373</v>
      </c>
    </row>
    <row r="64" spans="1:24" ht="15.75" thickBot="1" x14ac:dyDescent="0.3">
      <c r="A64" s="229">
        <f t="shared" si="9"/>
        <v>684</v>
      </c>
      <c r="B64" s="230">
        <f t="shared" si="10"/>
        <v>54</v>
      </c>
      <c r="C64" s="218" t="str">
        <f t="shared" si="5"/>
        <v>L12X11-008_000_06</v>
      </c>
      <c r="D64" s="43">
        <f t="shared" si="40"/>
        <v>11</v>
      </c>
      <c r="E64" s="61">
        <f t="shared" si="31"/>
        <v>1.9390000000000001</v>
      </c>
      <c r="F64" s="44">
        <f t="shared" si="38"/>
        <v>17.627272727272729</v>
      </c>
      <c r="G64" s="44">
        <f t="shared" si="27"/>
        <v>14.101818181818183</v>
      </c>
      <c r="H64" s="44">
        <f t="shared" si="28"/>
        <v>8.8136363636363644</v>
      </c>
      <c r="I64" s="44">
        <f t="shared" si="15"/>
        <v>8</v>
      </c>
      <c r="J64" s="45">
        <f>yaw_max</f>
        <v>8</v>
      </c>
      <c r="K64" s="37" t="str">
        <f>D64&amp;-6</f>
        <v>11-6</v>
      </c>
      <c r="L64" s="44">
        <f t="shared" si="41"/>
        <v>0.2</v>
      </c>
      <c r="M64" s="44">
        <f t="shared" si="41"/>
        <v>150</v>
      </c>
      <c r="N64" s="44">
        <f t="shared" si="41"/>
        <v>750</v>
      </c>
      <c r="P64" s="38">
        <f t="shared" si="32"/>
        <v>10.5</v>
      </c>
      <c r="Q64" s="38">
        <f t="shared" si="33"/>
        <v>11.5</v>
      </c>
      <c r="R64" s="39">
        <f t="shared" si="34"/>
        <v>0.78548602693873804</v>
      </c>
      <c r="S64" s="39">
        <f t="shared" si="34"/>
        <v>0.84222074587081175</v>
      </c>
      <c r="T64" s="39">
        <f t="shared" si="6"/>
        <v>5.6734718932073713E-2</v>
      </c>
      <c r="U64" s="40">
        <f t="shared" si="35"/>
        <v>82.435546608303113</v>
      </c>
      <c r="V64" s="40" t="str">
        <f t="shared" si="19"/>
        <v>H</v>
      </c>
      <c r="W64" s="163">
        <f t="shared" si="7"/>
        <v>1648.7109321660623</v>
      </c>
      <c r="X64" s="176">
        <f t="shared" si="8"/>
        <v>9892.265592996373</v>
      </c>
    </row>
    <row r="65" spans="1:24" s="163" customFormat="1" ht="15.75" thickBot="1" x14ac:dyDescent="0.3">
      <c r="A65" s="229">
        <f t="shared" si="9"/>
        <v>685</v>
      </c>
      <c r="B65" s="230">
        <f t="shared" si="10"/>
        <v>55</v>
      </c>
      <c r="C65" s="218" t="str">
        <f t="shared" si="5"/>
        <v>L12X12-352_000_01</v>
      </c>
      <c r="D65" s="169">
        <f>D59+V_step_12</f>
        <v>12</v>
      </c>
      <c r="E65" s="173">
        <f t="shared" si="31"/>
        <v>2.044</v>
      </c>
      <c r="F65" s="170">
        <f t="shared" si="38"/>
        <v>17.033333333333335</v>
      </c>
      <c r="G65" s="170">
        <f t="shared" si="27"/>
        <v>13.626666666666669</v>
      </c>
      <c r="H65" s="170">
        <f t="shared" si="28"/>
        <v>8.5166666666666675</v>
      </c>
      <c r="I65" s="170">
        <f t="shared" si="15"/>
        <v>8</v>
      </c>
      <c r="J65" s="171">
        <f>yaw_min</f>
        <v>-8</v>
      </c>
      <c r="K65" s="166" t="str">
        <f>D65&amp;-1</f>
        <v>12-1</v>
      </c>
      <c r="L65" s="170">
        <f t="shared" ref="L65:N65" si="42">L64</f>
        <v>0.2</v>
      </c>
      <c r="M65" s="170">
        <f t="shared" si="42"/>
        <v>150</v>
      </c>
      <c r="N65" s="170">
        <f t="shared" si="42"/>
        <v>750</v>
      </c>
      <c r="P65" s="38">
        <f t="shared" si="32"/>
        <v>11.5</v>
      </c>
      <c r="Q65" s="38">
        <f t="shared" si="33"/>
        <v>12.5</v>
      </c>
      <c r="R65" s="39">
        <f t="shared" ref="R65:R112" si="43">IF(wpd="Rayleigh",1-EXP(-PI()*((P65/2/v_ave)^2)),IF(wpd="Weibull",1-EXP(-((P65/weibull_A)^weibull_K))))</f>
        <v>0.84222074587081175</v>
      </c>
      <c r="S65" s="39">
        <f t="shared" ref="S65:S112" si="44">IF(wpd="Rayleigh",1-EXP(-PI()*((Q65/2/v_ave)^2)),IF(wpd="Weibull",1-EXP(-((Q65/weibull_A)^weibull_K))))</f>
        <v>0.88714613925356789</v>
      </c>
      <c r="T65" s="39">
        <f t="shared" ref="T65:T112" si="45">S65-R65</f>
        <v>4.492539338275614E-2</v>
      </c>
      <c r="U65" s="40">
        <f t="shared" si="35"/>
        <v>65.276596585144674</v>
      </c>
      <c r="V65" s="40" t="str">
        <f t="shared" si="19"/>
        <v>H</v>
      </c>
      <c r="W65" s="163">
        <f t="shared" ref="W65:W112" si="46">U65*20</f>
        <v>1305.5319317028934</v>
      </c>
      <c r="X65" s="176">
        <f t="shared" ref="X65:X112" si="47">W65/(N65-M65)*3600</f>
        <v>7833.1915902173614</v>
      </c>
    </row>
    <row r="66" spans="1:24" s="163" customFormat="1" ht="15.75" thickBot="1" x14ac:dyDescent="0.3">
      <c r="A66" s="229">
        <f t="shared" si="9"/>
        <v>686</v>
      </c>
      <c r="B66" s="230">
        <f t="shared" si="10"/>
        <v>56</v>
      </c>
      <c r="C66" s="218" t="str">
        <f t="shared" si="5"/>
        <v>L12X12-352_000_02</v>
      </c>
      <c r="D66" s="169">
        <f>D65</f>
        <v>12</v>
      </c>
      <c r="E66" s="173">
        <f t="shared" si="31"/>
        <v>2.044</v>
      </c>
      <c r="F66" s="170">
        <f t="shared" si="38"/>
        <v>17.033333333333335</v>
      </c>
      <c r="G66" s="170">
        <f t="shared" si="27"/>
        <v>13.626666666666669</v>
      </c>
      <c r="H66" s="170">
        <f t="shared" si="28"/>
        <v>8.5166666666666675</v>
      </c>
      <c r="I66" s="170">
        <f t="shared" si="15"/>
        <v>8</v>
      </c>
      <c r="J66" s="171">
        <f>yaw_min</f>
        <v>-8</v>
      </c>
      <c r="K66" s="166" t="str">
        <f>D66&amp;-2</f>
        <v>12-2</v>
      </c>
      <c r="L66" s="170">
        <f t="shared" ref="L66:N66" si="48">L65</f>
        <v>0.2</v>
      </c>
      <c r="M66" s="170">
        <f t="shared" si="48"/>
        <v>150</v>
      </c>
      <c r="N66" s="170">
        <f t="shared" si="48"/>
        <v>750</v>
      </c>
      <c r="P66" s="38">
        <f t="shared" si="32"/>
        <v>11.5</v>
      </c>
      <c r="Q66" s="38">
        <f t="shared" si="33"/>
        <v>12.5</v>
      </c>
      <c r="R66" s="39">
        <f t="shared" si="43"/>
        <v>0.84222074587081175</v>
      </c>
      <c r="S66" s="39">
        <f t="shared" si="44"/>
        <v>0.88714613925356789</v>
      </c>
      <c r="T66" s="39">
        <f t="shared" si="45"/>
        <v>4.492539338275614E-2</v>
      </c>
      <c r="U66" s="40">
        <f t="shared" si="35"/>
        <v>65.276596585144674</v>
      </c>
      <c r="V66" s="40" t="str">
        <f t="shared" si="19"/>
        <v>H</v>
      </c>
      <c r="W66" s="163">
        <f t="shared" si="46"/>
        <v>1305.5319317028934</v>
      </c>
      <c r="X66" s="176">
        <f t="shared" si="47"/>
        <v>7833.1915902173614</v>
      </c>
    </row>
    <row r="67" spans="1:24" s="163" customFormat="1" ht="15.75" thickBot="1" x14ac:dyDescent="0.3">
      <c r="A67" s="229">
        <f t="shared" si="9"/>
        <v>687</v>
      </c>
      <c r="B67" s="230">
        <f t="shared" si="10"/>
        <v>57</v>
      </c>
      <c r="C67" s="218" t="str">
        <f t="shared" si="5"/>
        <v>L12X12-000_000_03</v>
      </c>
      <c r="D67" s="169">
        <f t="shared" ref="D67:D70" si="49">D66</f>
        <v>12</v>
      </c>
      <c r="E67" s="173">
        <f t="shared" si="31"/>
        <v>2.044</v>
      </c>
      <c r="F67" s="170">
        <f t="shared" si="38"/>
        <v>17.033333333333335</v>
      </c>
      <c r="G67" s="170">
        <f t="shared" si="27"/>
        <v>13.626666666666669</v>
      </c>
      <c r="H67" s="170">
        <f t="shared" si="28"/>
        <v>8.5166666666666675</v>
      </c>
      <c r="I67" s="170">
        <f t="shared" si="15"/>
        <v>8</v>
      </c>
      <c r="J67" s="171">
        <f>yaw_null</f>
        <v>0</v>
      </c>
      <c r="K67" s="166" t="str">
        <f>D67&amp;-3</f>
        <v>12-3</v>
      </c>
      <c r="L67" s="170">
        <f t="shared" ref="L67:N67" si="50">L66</f>
        <v>0.2</v>
      </c>
      <c r="M67" s="170">
        <f t="shared" si="50"/>
        <v>150</v>
      </c>
      <c r="N67" s="170">
        <f t="shared" si="50"/>
        <v>750</v>
      </c>
      <c r="P67" s="38">
        <f t="shared" si="32"/>
        <v>11.5</v>
      </c>
      <c r="Q67" s="38">
        <f t="shared" si="33"/>
        <v>12.5</v>
      </c>
      <c r="R67" s="39">
        <f t="shared" si="43"/>
        <v>0.84222074587081175</v>
      </c>
      <c r="S67" s="39">
        <f t="shared" si="44"/>
        <v>0.88714613925356789</v>
      </c>
      <c r="T67" s="39">
        <f t="shared" si="45"/>
        <v>4.492539338275614E-2</v>
      </c>
      <c r="U67" s="40">
        <f t="shared" si="35"/>
        <v>65.276596585144674</v>
      </c>
      <c r="V67" s="40" t="str">
        <f t="shared" si="19"/>
        <v>H</v>
      </c>
      <c r="W67" s="163">
        <f t="shared" si="46"/>
        <v>1305.5319317028934</v>
      </c>
      <c r="X67" s="176">
        <f t="shared" si="47"/>
        <v>7833.1915902173614</v>
      </c>
    </row>
    <row r="68" spans="1:24" s="163" customFormat="1" ht="15.75" thickBot="1" x14ac:dyDescent="0.3">
      <c r="A68" s="229">
        <f t="shared" si="9"/>
        <v>688</v>
      </c>
      <c r="B68" s="230">
        <f t="shared" si="10"/>
        <v>58</v>
      </c>
      <c r="C68" s="218" t="str">
        <f t="shared" si="5"/>
        <v>L12X12-000_000_04</v>
      </c>
      <c r="D68" s="169">
        <f t="shared" si="49"/>
        <v>12</v>
      </c>
      <c r="E68" s="173">
        <f t="shared" si="31"/>
        <v>2.044</v>
      </c>
      <c r="F68" s="170">
        <f t="shared" si="38"/>
        <v>17.033333333333335</v>
      </c>
      <c r="G68" s="170">
        <f t="shared" si="27"/>
        <v>13.626666666666669</v>
      </c>
      <c r="H68" s="170">
        <f t="shared" si="28"/>
        <v>8.5166666666666675</v>
      </c>
      <c r="I68" s="170">
        <f t="shared" si="15"/>
        <v>8</v>
      </c>
      <c r="J68" s="171">
        <f>yaw_null</f>
        <v>0</v>
      </c>
      <c r="K68" s="166" t="str">
        <f>D68&amp;-4</f>
        <v>12-4</v>
      </c>
      <c r="L68" s="170">
        <f t="shared" ref="L68:N68" si="51">L67</f>
        <v>0.2</v>
      </c>
      <c r="M68" s="170">
        <f t="shared" si="51"/>
        <v>150</v>
      </c>
      <c r="N68" s="170">
        <f t="shared" si="51"/>
        <v>750</v>
      </c>
      <c r="P68" s="38">
        <f t="shared" si="32"/>
        <v>11.5</v>
      </c>
      <c r="Q68" s="38">
        <f t="shared" si="33"/>
        <v>12.5</v>
      </c>
      <c r="R68" s="39">
        <f t="shared" si="43"/>
        <v>0.84222074587081175</v>
      </c>
      <c r="S68" s="39">
        <f t="shared" si="44"/>
        <v>0.88714613925356789</v>
      </c>
      <c r="T68" s="39">
        <f t="shared" si="45"/>
        <v>4.492539338275614E-2</v>
      </c>
      <c r="U68" s="40">
        <f t="shared" si="35"/>
        <v>65.276596585144674</v>
      </c>
      <c r="V68" s="40" t="str">
        <f t="shared" si="19"/>
        <v>H</v>
      </c>
      <c r="W68" s="163">
        <f t="shared" si="46"/>
        <v>1305.5319317028934</v>
      </c>
      <c r="X68" s="176">
        <f t="shared" si="47"/>
        <v>7833.1915902173614</v>
      </c>
    </row>
    <row r="69" spans="1:24" s="163" customFormat="1" ht="15.75" thickBot="1" x14ac:dyDescent="0.3">
      <c r="A69" s="229">
        <f t="shared" si="9"/>
        <v>689</v>
      </c>
      <c r="B69" s="230">
        <f t="shared" si="10"/>
        <v>59</v>
      </c>
      <c r="C69" s="218" t="str">
        <f t="shared" si="5"/>
        <v>L12X12-008_000_05</v>
      </c>
      <c r="D69" s="169">
        <f t="shared" si="49"/>
        <v>12</v>
      </c>
      <c r="E69" s="173">
        <f t="shared" si="31"/>
        <v>2.044</v>
      </c>
      <c r="F69" s="170">
        <f t="shared" si="38"/>
        <v>17.033333333333335</v>
      </c>
      <c r="G69" s="170">
        <f t="shared" si="27"/>
        <v>13.626666666666669</v>
      </c>
      <c r="H69" s="170">
        <f t="shared" si="28"/>
        <v>8.5166666666666675</v>
      </c>
      <c r="I69" s="170">
        <f t="shared" si="15"/>
        <v>8</v>
      </c>
      <c r="J69" s="171">
        <f>yaw_max</f>
        <v>8</v>
      </c>
      <c r="K69" s="166" t="str">
        <f>D69&amp;-5</f>
        <v>12-5</v>
      </c>
      <c r="L69" s="170">
        <f t="shared" ref="L69:N69" si="52">L68</f>
        <v>0.2</v>
      </c>
      <c r="M69" s="170">
        <f t="shared" si="52"/>
        <v>150</v>
      </c>
      <c r="N69" s="170">
        <f t="shared" si="52"/>
        <v>750</v>
      </c>
      <c r="P69" s="38">
        <f t="shared" si="32"/>
        <v>11.5</v>
      </c>
      <c r="Q69" s="38">
        <f t="shared" si="33"/>
        <v>12.5</v>
      </c>
      <c r="R69" s="39">
        <f t="shared" si="43"/>
        <v>0.84222074587081175</v>
      </c>
      <c r="S69" s="39">
        <f t="shared" si="44"/>
        <v>0.88714613925356789</v>
      </c>
      <c r="T69" s="39">
        <f t="shared" si="45"/>
        <v>4.492539338275614E-2</v>
      </c>
      <c r="U69" s="40">
        <f t="shared" si="35"/>
        <v>65.276596585144674</v>
      </c>
      <c r="V69" s="40" t="str">
        <f t="shared" si="19"/>
        <v>H</v>
      </c>
      <c r="W69" s="163">
        <f t="shared" si="46"/>
        <v>1305.5319317028934</v>
      </c>
      <c r="X69" s="176">
        <f t="shared" si="47"/>
        <v>7833.1915902173614</v>
      </c>
    </row>
    <row r="70" spans="1:24" s="163" customFormat="1" ht="15.75" thickBot="1" x14ac:dyDescent="0.3">
      <c r="A70" s="229">
        <f t="shared" si="9"/>
        <v>690</v>
      </c>
      <c r="B70" s="230">
        <f t="shared" si="10"/>
        <v>60</v>
      </c>
      <c r="C70" s="218" t="str">
        <f t="shared" si="5"/>
        <v>L12X12-008_000_06</v>
      </c>
      <c r="D70" s="169">
        <f t="shared" si="49"/>
        <v>12</v>
      </c>
      <c r="E70" s="173">
        <f t="shared" si="31"/>
        <v>2.044</v>
      </c>
      <c r="F70" s="170">
        <f t="shared" si="38"/>
        <v>17.033333333333335</v>
      </c>
      <c r="G70" s="170">
        <f t="shared" si="27"/>
        <v>13.626666666666669</v>
      </c>
      <c r="H70" s="170">
        <f t="shared" si="28"/>
        <v>8.5166666666666675</v>
      </c>
      <c r="I70" s="170">
        <f t="shared" si="15"/>
        <v>8</v>
      </c>
      <c r="J70" s="171">
        <f>yaw_max</f>
        <v>8</v>
      </c>
      <c r="K70" s="166" t="str">
        <f>D70&amp;-6</f>
        <v>12-6</v>
      </c>
      <c r="L70" s="170">
        <f t="shared" ref="L70:N70" si="53">L69</f>
        <v>0.2</v>
      </c>
      <c r="M70" s="170">
        <f t="shared" si="53"/>
        <v>150</v>
      </c>
      <c r="N70" s="170">
        <f t="shared" si="53"/>
        <v>750</v>
      </c>
      <c r="P70" s="38">
        <f t="shared" si="32"/>
        <v>11.5</v>
      </c>
      <c r="Q70" s="38">
        <f t="shared" si="33"/>
        <v>12.5</v>
      </c>
      <c r="R70" s="39">
        <f t="shared" si="43"/>
        <v>0.84222074587081175</v>
      </c>
      <c r="S70" s="39">
        <f t="shared" si="44"/>
        <v>0.88714613925356789</v>
      </c>
      <c r="T70" s="39">
        <f t="shared" si="45"/>
        <v>4.492539338275614E-2</v>
      </c>
      <c r="U70" s="40">
        <f t="shared" si="35"/>
        <v>65.276596585144674</v>
      </c>
      <c r="V70" s="40" t="str">
        <f t="shared" si="19"/>
        <v>H</v>
      </c>
      <c r="W70" s="163">
        <f t="shared" si="46"/>
        <v>1305.5319317028934</v>
      </c>
      <c r="X70" s="176">
        <f t="shared" si="47"/>
        <v>7833.1915902173614</v>
      </c>
    </row>
    <row r="71" spans="1:24" s="163" customFormat="1" ht="15.75" thickBot="1" x14ac:dyDescent="0.3">
      <c r="A71" s="229">
        <f t="shared" si="9"/>
        <v>691</v>
      </c>
      <c r="B71" s="230">
        <f t="shared" si="10"/>
        <v>61</v>
      </c>
      <c r="C71" s="218" t="str">
        <f t="shared" si="5"/>
        <v>L12X13-352_000_01</v>
      </c>
      <c r="D71" s="169">
        <f>D65+V_step_12</f>
        <v>13</v>
      </c>
      <c r="E71" s="173">
        <f t="shared" si="31"/>
        <v>2.149</v>
      </c>
      <c r="F71" s="170">
        <f t="shared" si="38"/>
        <v>16.530769230769231</v>
      </c>
      <c r="G71" s="170">
        <f t="shared" si="27"/>
        <v>13.224615384615385</v>
      </c>
      <c r="H71" s="170">
        <f t="shared" si="28"/>
        <v>8.2653846153846153</v>
      </c>
      <c r="I71" s="170">
        <f t="shared" si="15"/>
        <v>8</v>
      </c>
      <c r="J71" s="171">
        <f>yaw_min</f>
        <v>-8</v>
      </c>
      <c r="K71" s="166" t="str">
        <f>D71&amp;-1</f>
        <v>13-1</v>
      </c>
      <c r="L71" s="170">
        <f t="shared" ref="L71:N71" si="54">L70</f>
        <v>0.2</v>
      </c>
      <c r="M71" s="170">
        <f t="shared" si="54"/>
        <v>150</v>
      </c>
      <c r="N71" s="170">
        <f t="shared" si="54"/>
        <v>750</v>
      </c>
      <c r="P71" s="38">
        <f t="shared" si="32"/>
        <v>12.5</v>
      </c>
      <c r="Q71" s="38">
        <f t="shared" si="33"/>
        <v>13.5</v>
      </c>
      <c r="R71" s="39">
        <f t="shared" si="43"/>
        <v>0.88714613925356789</v>
      </c>
      <c r="S71" s="39">
        <f t="shared" si="44"/>
        <v>0.92150262148052309</v>
      </c>
      <c r="T71" s="39">
        <f t="shared" si="45"/>
        <v>3.4356482226955198E-2</v>
      </c>
      <c r="U71" s="40">
        <f t="shared" si="35"/>
        <v>49.919968675765908</v>
      </c>
      <c r="V71" s="40" t="str">
        <f t="shared" si="19"/>
        <v>H</v>
      </c>
      <c r="W71" s="163">
        <f t="shared" si="46"/>
        <v>998.39937351531819</v>
      </c>
      <c r="X71" s="176">
        <f t="shared" si="47"/>
        <v>5990.3962410919094</v>
      </c>
    </row>
    <row r="72" spans="1:24" s="163" customFormat="1" ht="15.75" thickBot="1" x14ac:dyDescent="0.3">
      <c r="A72" s="229">
        <f t="shared" si="9"/>
        <v>692</v>
      </c>
      <c r="B72" s="230">
        <f t="shared" si="10"/>
        <v>62</v>
      </c>
      <c r="C72" s="218" t="str">
        <f t="shared" si="5"/>
        <v>L12X13-352_000_02</v>
      </c>
      <c r="D72" s="169">
        <f>D71</f>
        <v>13</v>
      </c>
      <c r="E72" s="173">
        <f t="shared" si="31"/>
        <v>2.149</v>
      </c>
      <c r="F72" s="170">
        <f t="shared" si="38"/>
        <v>16.530769230769231</v>
      </c>
      <c r="G72" s="170">
        <f t="shared" si="27"/>
        <v>13.224615384615385</v>
      </c>
      <c r="H72" s="170">
        <f t="shared" si="28"/>
        <v>8.2653846153846153</v>
      </c>
      <c r="I72" s="170">
        <f t="shared" si="15"/>
        <v>8</v>
      </c>
      <c r="J72" s="171">
        <f>yaw_min</f>
        <v>-8</v>
      </c>
      <c r="K72" s="166" t="str">
        <f>D72&amp;-2</f>
        <v>13-2</v>
      </c>
      <c r="L72" s="170">
        <f t="shared" ref="L72:N72" si="55">L71</f>
        <v>0.2</v>
      </c>
      <c r="M72" s="170">
        <f t="shared" si="55"/>
        <v>150</v>
      </c>
      <c r="N72" s="170">
        <f t="shared" si="55"/>
        <v>750</v>
      </c>
      <c r="P72" s="38">
        <f t="shared" si="32"/>
        <v>12.5</v>
      </c>
      <c r="Q72" s="38">
        <f t="shared" si="33"/>
        <v>13.5</v>
      </c>
      <c r="R72" s="39">
        <f t="shared" si="43"/>
        <v>0.88714613925356789</v>
      </c>
      <c r="S72" s="39">
        <f t="shared" si="44"/>
        <v>0.92150262148052309</v>
      </c>
      <c r="T72" s="39">
        <f t="shared" si="45"/>
        <v>3.4356482226955198E-2</v>
      </c>
      <c r="U72" s="40">
        <f t="shared" si="35"/>
        <v>49.919968675765908</v>
      </c>
      <c r="V72" s="40" t="str">
        <f t="shared" si="19"/>
        <v>H</v>
      </c>
      <c r="W72" s="163">
        <f t="shared" si="46"/>
        <v>998.39937351531819</v>
      </c>
      <c r="X72" s="176">
        <f t="shared" si="47"/>
        <v>5990.3962410919094</v>
      </c>
    </row>
    <row r="73" spans="1:24" s="163" customFormat="1" ht="15.75" thickBot="1" x14ac:dyDescent="0.3">
      <c r="A73" s="229">
        <f t="shared" si="9"/>
        <v>693</v>
      </c>
      <c r="B73" s="230">
        <f t="shared" si="10"/>
        <v>63</v>
      </c>
      <c r="C73" s="218" t="str">
        <f t="shared" si="5"/>
        <v>L12X13-000_000_03</v>
      </c>
      <c r="D73" s="169">
        <f t="shared" ref="D73:D76" si="56">D72</f>
        <v>13</v>
      </c>
      <c r="E73" s="173">
        <f t="shared" si="31"/>
        <v>2.149</v>
      </c>
      <c r="F73" s="170">
        <f t="shared" si="38"/>
        <v>16.530769230769231</v>
      </c>
      <c r="G73" s="170">
        <f t="shared" si="27"/>
        <v>13.224615384615385</v>
      </c>
      <c r="H73" s="170">
        <f t="shared" si="28"/>
        <v>8.2653846153846153</v>
      </c>
      <c r="I73" s="170">
        <f t="shared" si="15"/>
        <v>8</v>
      </c>
      <c r="J73" s="171">
        <f>yaw_null</f>
        <v>0</v>
      </c>
      <c r="K73" s="166" t="str">
        <f>D73&amp;-3</f>
        <v>13-3</v>
      </c>
      <c r="L73" s="170">
        <f t="shared" ref="L73:N73" si="57">L72</f>
        <v>0.2</v>
      </c>
      <c r="M73" s="170">
        <f t="shared" si="57"/>
        <v>150</v>
      </c>
      <c r="N73" s="170">
        <f t="shared" si="57"/>
        <v>750</v>
      </c>
      <c r="P73" s="38">
        <f t="shared" si="32"/>
        <v>12.5</v>
      </c>
      <c r="Q73" s="38">
        <f t="shared" si="33"/>
        <v>13.5</v>
      </c>
      <c r="R73" s="39">
        <f t="shared" si="43"/>
        <v>0.88714613925356789</v>
      </c>
      <c r="S73" s="39">
        <f t="shared" si="44"/>
        <v>0.92150262148052309</v>
      </c>
      <c r="T73" s="39">
        <f t="shared" si="45"/>
        <v>3.4356482226955198E-2</v>
      </c>
      <c r="U73" s="40">
        <f t="shared" si="35"/>
        <v>49.919968675765908</v>
      </c>
      <c r="V73" s="40" t="str">
        <f t="shared" si="19"/>
        <v>H</v>
      </c>
      <c r="W73" s="163">
        <f t="shared" si="46"/>
        <v>998.39937351531819</v>
      </c>
      <c r="X73" s="176">
        <f t="shared" si="47"/>
        <v>5990.3962410919094</v>
      </c>
    </row>
    <row r="74" spans="1:24" s="163" customFormat="1" ht="15.75" thickBot="1" x14ac:dyDescent="0.3">
      <c r="A74" s="229">
        <f t="shared" si="9"/>
        <v>694</v>
      </c>
      <c r="B74" s="230">
        <f t="shared" si="10"/>
        <v>64</v>
      </c>
      <c r="C74" s="218" t="str">
        <f t="shared" si="5"/>
        <v>L12X13-000_000_04</v>
      </c>
      <c r="D74" s="169">
        <f t="shared" si="56"/>
        <v>13</v>
      </c>
      <c r="E74" s="173">
        <f t="shared" si="31"/>
        <v>2.149</v>
      </c>
      <c r="F74" s="170">
        <f t="shared" si="38"/>
        <v>16.530769230769231</v>
      </c>
      <c r="G74" s="170">
        <f t="shared" si="27"/>
        <v>13.224615384615385</v>
      </c>
      <c r="H74" s="170">
        <f t="shared" si="28"/>
        <v>8.2653846153846153</v>
      </c>
      <c r="I74" s="170">
        <f t="shared" si="15"/>
        <v>8</v>
      </c>
      <c r="J74" s="171">
        <f>yaw_null</f>
        <v>0</v>
      </c>
      <c r="K74" s="166" t="str">
        <f>D74&amp;-4</f>
        <v>13-4</v>
      </c>
      <c r="L74" s="170">
        <f t="shared" ref="L74:N74" si="58">L73</f>
        <v>0.2</v>
      </c>
      <c r="M74" s="170">
        <f t="shared" si="58"/>
        <v>150</v>
      </c>
      <c r="N74" s="170">
        <f t="shared" si="58"/>
        <v>750</v>
      </c>
      <c r="P74" s="38">
        <f t="shared" si="32"/>
        <v>12.5</v>
      </c>
      <c r="Q74" s="38">
        <f t="shared" si="33"/>
        <v>13.5</v>
      </c>
      <c r="R74" s="39">
        <f t="shared" si="43"/>
        <v>0.88714613925356789</v>
      </c>
      <c r="S74" s="39">
        <f t="shared" si="44"/>
        <v>0.92150262148052309</v>
      </c>
      <c r="T74" s="39">
        <f t="shared" si="45"/>
        <v>3.4356482226955198E-2</v>
      </c>
      <c r="U74" s="40">
        <f t="shared" si="35"/>
        <v>49.919968675765908</v>
      </c>
      <c r="V74" s="40" t="str">
        <f t="shared" si="19"/>
        <v>H</v>
      </c>
      <c r="W74" s="163">
        <f t="shared" si="46"/>
        <v>998.39937351531819</v>
      </c>
      <c r="X74" s="176">
        <f t="shared" si="47"/>
        <v>5990.3962410919094</v>
      </c>
    </row>
    <row r="75" spans="1:24" s="163" customFormat="1" ht="15.75" thickBot="1" x14ac:dyDescent="0.3">
      <c r="A75" s="229">
        <f t="shared" si="9"/>
        <v>695</v>
      </c>
      <c r="B75" s="230">
        <f t="shared" si="10"/>
        <v>65</v>
      </c>
      <c r="C75" s="218" t="str">
        <f t="shared" si="5"/>
        <v>L12X13-008_000_05</v>
      </c>
      <c r="D75" s="169">
        <f t="shared" si="56"/>
        <v>13</v>
      </c>
      <c r="E75" s="173">
        <f t="shared" si="31"/>
        <v>2.149</v>
      </c>
      <c r="F75" s="170">
        <f t="shared" si="38"/>
        <v>16.530769230769231</v>
      </c>
      <c r="G75" s="170">
        <f t="shared" si="27"/>
        <v>13.224615384615385</v>
      </c>
      <c r="H75" s="170">
        <f t="shared" si="28"/>
        <v>8.2653846153846153</v>
      </c>
      <c r="I75" s="170">
        <f t="shared" si="15"/>
        <v>8</v>
      </c>
      <c r="J75" s="171">
        <f>yaw_max</f>
        <v>8</v>
      </c>
      <c r="K75" s="166" t="str">
        <f>D75&amp;-5</f>
        <v>13-5</v>
      </c>
      <c r="L75" s="170">
        <f t="shared" ref="L75:N75" si="59">L74</f>
        <v>0.2</v>
      </c>
      <c r="M75" s="170">
        <f t="shared" si="59"/>
        <v>150</v>
      </c>
      <c r="N75" s="170">
        <f t="shared" si="59"/>
        <v>750</v>
      </c>
      <c r="P75" s="38">
        <f t="shared" ref="P75:P106" si="60">D75-V_step_12/2</f>
        <v>12.5</v>
      </c>
      <c r="Q75" s="38">
        <f t="shared" ref="Q75:Q106" si="61">P75+V_step_12</f>
        <v>13.5</v>
      </c>
      <c r="R75" s="39">
        <f t="shared" si="43"/>
        <v>0.88714613925356789</v>
      </c>
      <c r="S75" s="39">
        <f t="shared" si="44"/>
        <v>0.92150262148052309</v>
      </c>
      <c r="T75" s="39">
        <f t="shared" si="45"/>
        <v>3.4356482226955198E-2</v>
      </c>
      <c r="U75" s="40">
        <f t="shared" ref="U75:U106" si="62">T75*(H_year-H_hy-H_hp-H_ice-H_typhoon)/6</f>
        <v>49.919968675765908</v>
      </c>
      <c r="V75" s="40" t="str">
        <f t="shared" si="19"/>
        <v>H</v>
      </c>
      <c r="W75" s="163">
        <f t="shared" si="46"/>
        <v>998.39937351531819</v>
      </c>
      <c r="X75" s="176">
        <f t="shared" si="47"/>
        <v>5990.3962410919094</v>
      </c>
    </row>
    <row r="76" spans="1:24" s="163" customFormat="1" ht="15.75" thickBot="1" x14ac:dyDescent="0.3">
      <c r="A76" s="229">
        <f t="shared" si="9"/>
        <v>696</v>
      </c>
      <c r="B76" s="230">
        <f t="shared" si="10"/>
        <v>66</v>
      </c>
      <c r="C76" s="218" t="str">
        <f t="shared" ref="C76:C139" si="63">TEXT(RIGHT($B$2,LEN($B$2)-3),"L00")&amp;"X"&amp;TEXT(D76,"00")&amp;"-"&amp;IF(J76&lt;0,TEXT(360+J76,"000"),TEXT(J76,"000"))&amp;"_"&amp;"000"&amp;"_"&amp;TEXT(RIGHT(K76,LEN(K76)-FIND("-",K76)),"00")</f>
        <v>L12X13-008_000_06</v>
      </c>
      <c r="D76" s="169">
        <f t="shared" si="56"/>
        <v>13</v>
      </c>
      <c r="E76" s="173">
        <f t="shared" si="31"/>
        <v>2.149</v>
      </c>
      <c r="F76" s="170">
        <f t="shared" si="38"/>
        <v>16.530769230769231</v>
      </c>
      <c r="G76" s="170">
        <f t="shared" si="27"/>
        <v>13.224615384615385</v>
      </c>
      <c r="H76" s="170">
        <f t="shared" si="28"/>
        <v>8.2653846153846153</v>
      </c>
      <c r="I76" s="170">
        <f t="shared" si="15"/>
        <v>8</v>
      </c>
      <c r="J76" s="171">
        <f>yaw_max</f>
        <v>8</v>
      </c>
      <c r="K76" s="166" t="str">
        <f>D76&amp;-6</f>
        <v>13-6</v>
      </c>
      <c r="L76" s="170">
        <f t="shared" ref="L76:N76" si="64">L75</f>
        <v>0.2</v>
      </c>
      <c r="M76" s="170">
        <f t="shared" si="64"/>
        <v>150</v>
      </c>
      <c r="N76" s="170">
        <f t="shared" si="64"/>
        <v>750</v>
      </c>
      <c r="P76" s="38">
        <f t="shared" si="60"/>
        <v>12.5</v>
      </c>
      <c r="Q76" s="38">
        <f t="shared" si="61"/>
        <v>13.5</v>
      </c>
      <c r="R76" s="39">
        <f t="shared" si="43"/>
        <v>0.88714613925356789</v>
      </c>
      <c r="S76" s="39">
        <f t="shared" si="44"/>
        <v>0.92150262148052309</v>
      </c>
      <c r="T76" s="39">
        <f t="shared" si="45"/>
        <v>3.4356482226955198E-2</v>
      </c>
      <c r="U76" s="40">
        <f t="shared" si="62"/>
        <v>49.919968675765908</v>
      </c>
      <c r="V76" s="40" t="str">
        <f t="shared" si="19"/>
        <v>H</v>
      </c>
      <c r="W76" s="163">
        <f t="shared" si="46"/>
        <v>998.39937351531819</v>
      </c>
      <c r="X76" s="176">
        <f t="shared" si="47"/>
        <v>5990.3962410919094</v>
      </c>
    </row>
    <row r="77" spans="1:24" s="163" customFormat="1" ht="15.75" thickBot="1" x14ac:dyDescent="0.3">
      <c r="A77" s="229">
        <f t="shared" ref="A77:A140" si="65">A76+1</f>
        <v>697</v>
      </c>
      <c r="B77" s="230">
        <f t="shared" ref="B77:B140" si="66">B76+1</f>
        <v>67</v>
      </c>
      <c r="C77" s="218" t="str">
        <f t="shared" si="63"/>
        <v>L12X14-352_000_01</v>
      </c>
      <c r="D77" s="169">
        <f>D71+V_step_12</f>
        <v>14</v>
      </c>
      <c r="E77" s="173">
        <f t="shared" si="31"/>
        <v>2.2540000000000004</v>
      </c>
      <c r="F77" s="170">
        <f t="shared" si="38"/>
        <v>16.100000000000001</v>
      </c>
      <c r="G77" s="170">
        <f t="shared" si="27"/>
        <v>12.880000000000003</v>
      </c>
      <c r="H77" s="170">
        <f t="shared" si="28"/>
        <v>8.0500000000000007</v>
      </c>
      <c r="I77" s="170">
        <f t="shared" ref="I77:I140" si="67">I76</f>
        <v>8</v>
      </c>
      <c r="J77" s="171">
        <f>yaw_min</f>
        <v>-8</v>
      </c>
      <c r="K77" s="166" t="str">
        <f>D77&amp;-1</f>
        <v>14-1</v>
      </c>
      <c r="L77" s="170">
        <f t="shared" ref="L77:N77" si="68">L76</f>
        <v>0.2</v>
      </c>
      <c r="M77" s="170">
        <f t="shared" si="68"/>
        <v>150</v>
      </c>
      <c r="N77" s="170">
        <f t="shared" si="68"/>
        <v>750</v>
      </c>
      <c r="P77" s="38">
        <f t="shared" si="60"/>
        <v>13.5</v>
      </c>
      <c r="Q77" s="38">
        <f t="shared" si="61"/>
        <v>14.5</v>
      </c>
      <c r="R77" s="39">
        <f t="shared" si="43"/>
        <v>0.92150262148052309</v>
      </c>
      <c r="S77" s="39">
        <f t="shared" si="44"/>
        <v>0.94690347534074992</v>
      </c>
      <c r="T77" s="39">
        <f t="shared" si="45"/>
        <v>2.5400853860226835E-2</v>
      </c>
      <c r="U77" s="40">
        <f t="shared" si="62"/>
        <v>36.907440658909593</v>
      </c>
      <c r="V77" s="40" t="str">
        <f t="shared" ref="V77:V140" si="69">V76</f>
        <v>H</v>
      </c>
      <c r="W77" s="163">
        <f t="shared" si="46"/>
        <v>738.14881317819186</v>
      </c>
      <c r="X77" s="176">
        <f t="shared" si="47"/>
        <v>4428.8928790691516</v>
      </c>
    </row>
    <row r="78" spans="1:24" s="163" customFormat="1" ht="15.75" thickBot="1" x14ac:dyDescent="0.3">
      <c r="A78" s="229">
        <f t="shared" si="65"/>
        <v>698</v>
      </c>
      <c r="B78" s="230">
        <f t="shared" si="66"/>
        <v>68</v>
      </c>
      <c r="C78" s="218" t="str">
        <f t="shared" si="63"/>
        <v>L12X14-352_000_02</v>
      </c>
      <c r="D78" s="169">
        <f>D77</f>
        <v>14</v>
      </c>
      <c r="E78" s="173">
        <f t="shared" si="31"/>
        <v>2.2540000000000004</v>
      </c>
      <c r="F78" s="170">
        <f t="shared" si="38"/>
        <v>16.100000000000001</v>
      </c>
      <c r="G78" s="170">
        <f t="shared" si="27"/>
        <v>12.880000000000003</v>
      </c>
      <c r="H78" s="170">
        <f t="shared" si="28"/>
        <v>8.0500000000000007</v>
      </c>
      <c r="I78" s="170">
        <f t="shared" si="67"/>
        <v>8</v>
      </c>
      <c r="J78" s="171">
        <f>yaw_min</f>
        <v>-8</v>
      </c>
      <c r="K78" s="166" t="str">
        <f>D78&amp;-2</f>
        <v>14-2</v>
      </c>
      <c r="L78" s="170">
        <f t="shared" ref="L78:N78" si="70">L77</f>
        <v>0.2</v>
      </c>
      <c r="M78" s="170">
        <f t="shared" si="70"/>
        <v>150</v>
      </c>
      <c r="N78" s="170">
        <f t="shared" si="70"/>
        <v>750</v>
      </c>
      <c r="P78" s="38">
        <f t="shared" si="60"/>
        <v>13.5</v>
      </c>
      <c r="Q78" s="38">
        <f t="shared" si="61"/>
        <v>14.5</v>
      </c>
      <c r="R78" s="39">
        <f t="shared" si="43"/>
        <v>0.92150262148052309</v>
      </c>
      <c r="S78" s="39">
        <f t="shared" si="44"/>
        <v>0.94690347534074992</v>
      </c>
      <c r="T78" s="39">
        <f t="shared" si="45"/>
        <v>2.5400853860226835E-2</v>
      </c>
      <c r="U78" s="40">
        <f t="shared" si="62"/>
        <v>36.907440658909593</v>
      </c>
      <c r="V78" s="40" t="str">
        <f t="shared" si="69"/>
        <v>H</v>
      </c>
      <c r="W78" s="163">
        <f t="shared" si="46"/>
        <v>738.14881317819186</v>
      </c>
      <c r="X78" s="176">
        <f t="shared" si="47"/>
        <v>4428.8928790691516</v>
      </c>
    </row>
    <row r="79" spans="1:24" s="163" customFormat="1" ht="15.75" thickBot="1" x14ac:dyDescent="0.3">
      <c r="A79" s="229">
        <f t="shared" si="65"/>
        <v>699</v>
      </c>
      <c r="B79" s="230">
        <f t="shared" si="66"/>
        <v>69</v>
      </c>
      <c r="C79" s="218" t="str">
        <f t="shared" si="63"/>
        <v>L12X14-000_000_03</v>
      </c>
      <c r="D79" s="169">
        <f t="shared" ref="D79:D82" si="71">D78</f>
        <v>14</v>
      </c>
      <c r="E79" s="173">
        <f t="shared" si="31"/>
        <v>2.2540000000000004</v>
      </c>
      <c r="F79" s="170">
        <f t="shared" si="38"/>
        <v>16.100000000000001</v>
      </c>
      <c r="G79" s="170">
        <f t="shared" si="27"/>
        <v>12.880000000000003</v>
      </c>
      <c r="H79" s="170">
        <f t="shared" si="28"/>
        <v>8.0500000000000007</v>
      </c>
      <c r="I79" s="170">
        <f t="shared" si="67"/>
        <v>8</v>
      </c>
      <c r="J79" s="171">
        <f>yaw_null</f>
        <v>0</v>
      </c>
      <c r="K79" s="166" t="str">
        <f>D79&amp;-3</f>
        <v>14-3</v>
      </c>
      <c r="L79" s="170">
        <f t="shared" ref="L79:N79" si="72">L78</f>
        <v>0.2</v>
      </c>
      <c r="M79" s="170">
        <f t="shared" si="72"/>
        <v>150</v>
      </c>
      <c r="N79" s="170">
        <f t="shared" si="72"/>
        <v>750</v>
      </c>
      <c r="P79" s="38">
        <f t="shared" si="60"/>
        <v>13.5</v>
      </c>
      <c r="Q79" s="38">
        <f t="shared" si="61"/>
        <v>14.5</v>
      </c>
      <c r="R79" s="39">
        <f t="shared" si="43"/>
        <v>0.92150262148052309</v>
      </c>
      <c r="S79" s="39">
        <f t="shared" si="44"/>
        <v>0.94690347534074992</v>
      </c>
      <c r="T79" s="39">
        <f t="shared" si="45"/>
        <v>2.5400853860226835E-2</v>
      </c>
      <c r="U79" s="40">
        <f t="shared" si="62"/>
        <v>36.907440658909593</v>
      </c>
      <c r="V79" s="40" t="str">
        <f t="shared" si="69"/>
        <v>H</v>
      </c>
      <c r="W79" s="163">
        <f t="shared" si="46"/>
        <v>738.14881317819186</v>
      </c>
      <c r="X79" s="176">
        <f t="shared" si="47"/>
        <v>4428.8928790691516</v>
      </c>
    </row>
    <row r="80" spans="1:24" s="163" customFormat="1" ht="15.75" thickBot="1" x14ac:dyDescent="0.3">
      <c r="A80" s="229">
        <f t="shared" si="65"/>
        <v>700</v>
      </c>
      <c r="B80" s="230">
        <f t="shared" si="66"/>
        <v>70</v>
      </c>
      <c r="C80" s="218" t="str">
        <f t="shared" si="63"/>
        <v>L12X14-000_000_04</v>
      </c>
      <c r="D80" s="169">
        <f t="shared" si="71"/>
        <v>14</v>
      </c>
      <c r="E80" s="173">
        <f t="shared" si="31"/>
        <v>2.2540000000000004</v>
      </c>
      <c r="F80" s="170">
        <f t="shared" si="38"/>
        <v>16.100000000000001</v>
      </c>
      <c r="G80" s="170">
        <f t="shared" si="27"/>
        <v>12.880000000000003</v>
      </c>
      <c r="H80" s="170">
        <f t="shared" si="28"/>
        <v>8.0500000000000007</v>
      </c>
      <c r="I80" s="170">
        <f t="shared" si="67"/>
        <v>8</v>
      </c>
      <c r="J80" s="171">
        <f>yaw_null</f>
        <v>0</v>
      </c>
      <c r="K80" s="166" t="str">
        <f>D80&amp;-4</f>
        <v>14-4</v>
      </c>
      <c r="L80" s="170">
        <f t="shared" ref="L80:N80" si="73">L79</f>
        <v>0.2</v>
      </c>
      <c r="M80" s="170">
        <f t="shared" si="73"/>
        <v>150</v>
      </c>
      <c r="N80" s="170">
        <f t="shared" si="73"/>
        <v>750</v>
      </c>
      <c r="P80" s="38">
        <f t="shared" si="60"/>
        <v>13.5</v>
      </c>
      <c r="Q80" s="38">
        <f t="shared" si="61"/>
        <v>14.5</v>
      </c>
      <c r="R80" s="39">
        <f t="shared" si="43"/>
        <v>0.92150262148052309</v>
      </c>
      <c r="S80" s="39">
        <f t="shared" si="44"/>
        <v>0.94690347534074992</v>
      </c>
      <c r="T80" s="39">
        <f t="shared" si="45"/>
        <v>2.5400853860226835E-2</v>
      </c>
      <c r="U80" s="40">
        <f t="shared" si="62"/>
        <v>36.907440658909593</v>
      </c>
      <c r="V80" s="40" t="str">
        <f t="shared" si="69"/>
        <v>H</v>
      </c>
      <c r="W80" s="163">
        <f t="shared" si="46"/>
        <v>738.14881317819186</v>
      </c>
      <c r="X80" s="176">
        <f t="shared" si="47"/>
        <v>4428.8928790691516</v>
      </c>
    </row>
    <row r="81" spans="1:24" s="163" customFormat="1" ht="15.75" thickBot="1" x14ac:dyDescent="0.3">
      <c r="A81" s="229">
        <f t="shared" si="65"/>
        <v>701</v>
      </c>
      <c r="B81" s="230">
        <f t="shared" si="66"/>
        <v>71</v>
      </c>
      <c r="C81" s="218" t="str">
        <f t="shared" si="63"/>
        <v>L12X14-008_000_05</v>
      </c>
      <c r="D81" s="169">
        <f t="shared" si="71"/>
        <v>14</v>
      </c>
      <c r="E81" s="173">
        <f t="shared" si="31"/>
        <v>2.2540000000000004</v>
      </c>
      <c r="F81" s="170">
        <f t="shared" si="38"/>
        <v>16.100000000000001</v>
      </c>
      <c r="G81" s="170">
        <f t="shared" si="27"/>
        <v>12.880000000000003</v>
      </c>
      <c r="H81" s="170">
        <f t="shared" si="28"/>
        <v>8.0500000000000007</v>
      </c>
      <c r="I81" s="170">
        <f t="shared" si="67"/>
        <v>8</v>
      </c>
      <c r="J81" s="171">
        <f>yaw_max</f>
        <v>8</v>
      </c>
      <c r="K81" s="166" t="str">
        <f>D81&amp;-5</f>
        <v>14-5</v>
      </c>
      <c r="L81" s="170">
        <f t="shared" ref="L81:N81" si="74">L80</f>
        <v>0.2</v>
      </c>
      <c r="M81" s="170">
        <f t="shared" si="74"/>
        <v>150</v>
      </c>
      <c r="N81" s="170">
        <f t="shared" si="74"/>
        <v>750</v>
      </c>
      <c r="P81" s="38">
        <f t="shared" si="60"/>
        <v>13.5</v>
      </c>
      <c r="Q81" s="38">
        <f t="shared" si="61"/>
        <v>14.5</v>
      </c>
      <c r="R81" s="39">
        <f t="shared" si="43"/>
        <v>0.92150262148052309</v>
      </c>
      <c r="S81" s="39">
        <f t="shared" si="44"/>
        <v>0.94690347534074992</v>
      </c>
      <c r="T81" s="39">
        <f t="shared" si="45"/>
        <v>2.5400853860226835E-2</v>
      </c>
      <c r="U81" s="40">
        <f t="shared" si="62"/>
        <v>36.907440658909593</v>
      </c>
      <c r="V81" s="40" t="str">
        <f t="shared" si="69"/>
        <v>H</v>
      </c>
      <c r="W81" s="163">
        <f t="shared" si="46"/>
        <v>738.14881317819186</v>
      </c>
      <c r="X81" s="176">
        <f t="shared" si="47"/>
        <v>4428.8928790691516</v>
      </c>
    </row>
    <row r="82" spans="1:24" s="163" customFormat="1" ht="15.75" thickBot="1" x14ac:dyDescent="0.3">
      <c r="A82" s="229">
        <f t="shared" si="65"/>
        <v>702</v>
      </c>
      <c r="B82" s="230">
        <f t="shared" si="66"/>
        <v>72</v>
      </c>
      <c r="C82" s="218" t="str">
        <f t="shared" si="63"/>
        <v>L12X14-008_000_06</v>
      </c>
      <c r="D82" s="169">
        <f t="shared" si="71"/>
        <v>14</v>
      </c>
      <c r="E82" s="173">
        <f t="shared" si="31"/>
        <v>2.2540000000000004</v>
      </c>
      <c r="F82" s="170">
        <f t="shared" si="38"/>
        <v>16.100000000000001</v>
      </c>
      <c r="G82" s="170">
        <f t="shared" si="27"/>
        <v>12.880000000000003</v>
      </c>
      <c r="H82" s="170">
        <f t="shared" si="28"/>
        <v>8.0500000000000007</v>
      </c>
      <c r="I82" s="170">
        <f t="shared" si="67"/>
        <v>8</v>
      </c>
      <c r="J82" s="171">
        <f>yaw_max</f>
        <v>8</v>
      </c>
      <c r="K82" s="166" t="str">
        <f>D82&amp;-6</f>
        <v>14-6</v>
      </c>
      <c r="L82" s="170">
        <f t="shared" ref="L82:N82" si="75">L81</f>
        <v>0.2</v>
      </c>
      <c r="M82" s="170">
        <f t="shared" si="75"/>
        <v>150</v>
      </c>
      <c r="N82" s="170">
        <f t="shared" si="75"/>
        <v>750</v>
      </c>
      <c r="P82" s="38">
        <f t="shared" si="60"/>
        <v>13.5</v>
      </c>
      <c r="Q82" s="38">
        <f t="shared" si="61"/>
        <v>14.5</v>
      </c>
      <c r="R82" s="39">
        <f t="shared" si="43"/>
        <v>0.92150262148052309</v>
      </c>
      <c r="S82" s="39">
        <f t="shared" si="44"/>
        <v>0.94690347534074992</v>
      </c>
      <c r="T82" s="39">
        <f t="shared" si="45"/>
        <v>2.5400853860226835E-2</v>
      </c>
      <c r="U82" s="40">
        <f t="shared" si="62"/>
        <v>36.907440658909593</v>
      </c>
      <c r="V82" s="40" t="str">
        <f t="shared" si="69"/>
        <v>H</v>
      </c>
      <c r="W82" s="163">
        <f t="shared" si="46"/>
        <v>738.14881317819186</v>
      </c>
      <c r="X82" s="176">
        <f t="shared" si="47"/>
        <v>4428.8928790691516</v>
      </c>
    </row>
    <row r="83" spans="1:24" s="163" customFormat="1" ht="15.75" thickBot="1" x14ac:dyDescent="0.3">
      <c r="A83" s="229">
        <f t="shared" si="65"/>
        <v>703</v>
      </c>
      <c r="B83" s="230">
        <f t="shared" si="66"/>
        <v>73</v>
      </c>
      <c r="C83" s="218" t="str">
        <f t="shared" si="63"/>
        <v>L12X15-352_000_01</v>
      </c>
      <c r="D83" s="169">
        <f>D77+V_step_12</f>
        <v>15</v>
      </c>
      <c r="E83" s="173">
        <f t="shared" si="31"/>
        <v>2.3590000000000004</v>
      </c>
      <c r="F83" s="170">
        <f>E83/D83*100</f>
        <v>15.72666666666667</v>
      </c>
      <c r="G83" s="170">
        <f t="shared" si="27"/>
        <v>12.581333333333337</v>
      </c>
      <c r="H83" s="170">
        <f t="shared" si="28"/>
        <v>7.8633333333333351</v>
      </c>
      <c r="I83" s="170">
        <f t="shared" si="67"/>
        <v>8</v>
      </c>
      <c r="J83" s="171">
        <f>yaw_min</f>
        <v>-8</v>
      </c>
      <c r="K83" s="166" t="str">
        <f>D83&amp;-1</f>
        <v>15-1</v>
      </c>
      <c r="L83" s="170">
        <f t="shared" ref="L83:N83" si="76">L82</f>
        <v>0.2</v>
      </c>
      <c r="M83" s="170">
        <f t="shared" si="76"/>
        <v>150</v>
      </c>
      <c r="N83" s="170">
        <f t="shared" si="76"/>
        <v>750</v>
      </c>
      <c r="P83" s="38">
        <f t="shared" si="60"/>
        <v>14.5</v>
      </c>
      <c r="Q83" s="38">
        <f t="shared" si="61"/>
        <v>15.5</v>
      </c>
      <c r="R83" s="39">
        <f t="shared" si="43"/>
        <v>0.94690347534074992</v>
      </c>
      <c r="S83" s="39">
        <f t="shared" si="44"/>
        <v>0.96507396789840261</v>
      </c>
      <c r="T83" s="39">
        <f t="shared" si="45"/>
        <v>1.8170492557652684E-2</v>
      </c>
      <c r="U83" s="40">
        <f t="shared" si="62"/>
        <v>26.401725686269348</v>
      </c>
      <c r="V83" s="40" t="str">
        <f t="shared" si="69"/>
        <v>H</v>
      </c>
      <c r="W83" s="163">
        <f t="shared" si="46"/>
        <v>528.034513725387</v>
      </c>
      <c r="X83" s="176">
        <f t="shared" si="47"/>
        <v>3168.2070823523218</v>
      </c>
    </row>
    <row r="84" spans="1:24" s="163" customFormat="1" ht="15.75" thickBot="1" x14ac:dyDescent="0.3">
      <c r="A84" s="229">
        <f t="shared" si="65"/>
        <v>704</v>
      </c>
      <c r="B84" s="230">
        <f t="shared" si="66"/>
        <v>74</v>
      </c>
      <c r="C84" s="218" t="str">
        <f t="shared" si="63"/>
        <v>L12X15-352_000_02</v>
      </c>
      <c r="D84" s="169">
        <f>D83</f>
        <v>15</v>
      </c>
      <c r="E84" s="173">
        <f t="shared" si="31"/>
        <v>2.3590000000000004</v>
      </c>
      <c r="F84" s="170">
        <f t="shared" ref="F84:F100" si="77">E84/D84*100</f>
        <v>15.72666666666667</v>
      </c>
      <c r="G84" s="170">
        <f t="shared" ref="G84:G125" si="78">m_ty*F84</f>
        <v>12.581333333333337</v>
      </c>
      <c r="H84" s="170">
        <f t="shared" ref="H84:H125" si="79">m_tz*F84</f>
        <v>7.8633333333333351</v>
      </c>
      <c r="I84" s="170">
        <f t="shared" si="67"/>
        <v>8</v>
      </c>
      <c r="J84" s="171">
        <f>yaw_min</f>
        <v>-8</v>
      </c>
      <c r="K84" s="166" t="str">
        <f>D84&amp;-2</f>
        <v>15-2</v>
      </c>
      <c r="L84" s="170">
        <f t="shared" ref="L84:N84" si="80">L83</f>
        <v>0.2</v>
      </c>
      <c r="M84" s="170">
        <f t="shared" si="80"/>
        <v>150</v>
      </c>
      <c r="N84" s="170">
        <f t="shared" si="80"/>
        <v>750</v>
      </c>
      <c r="P84" s="38">
        <f t="shared" si="60"/>
        <v>14.5</v>
      </c>
      <c r="Q84" s="38">
        <f t="shared" si="61"/>
        <v>15.5</v>
      </c>
      <c r="R84" s="39">
        <f t="shared" si="43"/>
        <v>0.94690347534074992</v>
      </c>
      <c r="S84" s="39">
        <f t="shared" si="44"/>
        <v>0.96507396789840261</v>
      </c>
      <c r="T84" s="39">
        <f t="shared" si="45"/>
        <v>1.8170492557652684E-2</v>
      </c>
      <c r="U84" s="40">
        <f t="shared" si="62"/>
        <v>26.401725686269348</v>
      </c>
      <c r="V84" s="40" t="str">
        <f t="shared" si="69"/>
        <v>H</v>
      </c>
      <c r="W84" s="163">
        <f t="shared" si="46"/>
        <v>528.034513725387</v>
      </c>
      <c r="X84" s="176">
        <f t="shared" si="47"/>
        <v>3168.2070823523218</v>
      </c>
    </row>
    <row r="85" spans="1:24" s="163" customFormat="1" ht="15.75" thickBot="1" x14ac:dyDescent="0.3">
      <c r="A85" s="229">
        <f t="shared" si="65"/>
        <v>705</v>
      </c>
      <c r="B85" s="230">
        <f t="shared" si="66"/>
        <v>75</v>
      </c>
      <c r="C85" s="218" t="str">
        <f t="shared" si="63"/>
        <v>L12X15-000_000_03</v>
      </c>
      <c r="D85" s="169">
        <f t="shared" ref="D85:D88" si="81">D84</f>
        <v>15</v>
      </c>
      <c r="E85" s="173">
        <f t="shared" si="31"/>
        <v>2.3590000000000004</v>
      </c>
      <c r="F85" s="170">
        <f t="shared" si="77"/>
        <v>15.72666666666667</v>
      </c>
      <c r="G85" s="170">
        <f t="shared" si="78"/>
        <v>12.581333333333337</v>
      </c>
      <c r="H85" s="170">
        <f t="shared" si="79"/>
        <v>7.8633333333333351</v>
      </c>
      <c r="I85" s="170">
        <f t="shared" si="67"/>
        <v>8</v>
      </c>
      <c r="J85" s="171">
        <f>yaw_null</f>
        <v>0</v>
      </c>
      <c r="K85" s="166" t="str">
        <f>D85&amp;-3</f>
        <v>15-3</v>
      </c>
      <c r="L85" s="170">
        <f t="shared" ref="L85:N85" si="82">L84</f>
        <v>0.2</v>
      </c>
      <c r="M85" s="170">
        <f t="shared" si="82"/>
        <v>150</v>
      </c>
      <c r="N85" s="170">
        <f t="shared" si="82"/>
        <v>750</v>
      </c>
      <c r="P85" s="38">
        <f t="shared" si="60"/>
        <v>14.5</v>
      </c>
      <c r="Q85" s="38">
        <f t="shared" si="61"/>
        <v>15.5</v>
      </c>
      <c r="R85" s="39">
        <f t="shared" si="43"/>
        <v>0.94690347534074992</v>
      </c>
      <c r="S85" s="39">
        <f t="shared" si="44"/>
        <v>0.96507396789840261</v>
      </c>
      <c r="T85" s="39">
        <f t="shared" si="45"/>
        <v>1.8170492557652684E-2</v>
      </c>
      <c r="U85" s="40">
        <f t="shared" si="62"/>
        <v>26.401725686269348</v>
      </c>
      <c r="V85" s="40" t="str">
        <f t="shared" si="69"/>
        <v>H</v>
      </c>
      <c r="W85" s="163">
        <f t="shared" si="46"/>
        <v>528.034513725387</v>
      </c>
      <c r="X85" s="176">
        <f t="shared" si="47"/>
        <v>3168.2070823523218</v>
      </c>
    </row>
    <row r="86" spans="1:24" s="163" customFormat="1" ht="15.75" thickBot="1" x14ac:dyDescent="0.3">
      <c r="A86" s="229">
        <f t="shared" si="65"/>
        <v>706</v>
      </c>
      <c r="B86" s="230">
        <f t="shared" si="66"/>
        <v>76</v>
      </c>
      <c r="C86" s="218" t="str">
        <f t="shared" si="63"/>
        <v>L12X15-000_000_04</v>
      </c>
      <c r="D86" s="169">
        <f t="shared" si="81"/>
        <v>15</v>
      </c>
      <c r="E86" s="173">
        <f t="shared" si="31"/>
        <v>2.3590000000000004</v>
      </c>
      <c r="F86" s="170">
        <f t="shared" si="77"/>
        <v>15.72666666666667</v>
      </c>
      <c r="G86" s="170">
        <f t="shared" si="78"/>
        <v>12.581333333333337</v>
      </c>
      <c r="H86" s="170">
        <f t="shared" si="79"/>
        <v>7.8633333333333351</v>
      </c>
      <c r="I86" s="170">
        <f t="shared" si="67"/>
        <v>8</v>
      </c>
      <c r="J86" s="171">
        <f>yaw_null</f>
        <v>0</v>
      </c>
      <c r="K86" s="166" t="str">
        <f>D86&amp;-4</f>
        <v>15-4</v>
      </c>
      <c r="L86" s="170">
        <f t="shared" ref="L86:N86" si="83">L85</f>
        <v>0.2</v>
      </c>
      <c r="M86" s="170">
        <f t="shared" si="83"/>
        <v>150</v>
      </c>
      <c r="N86" s="170">
        <f t="shared" si="83"/>
        <v>750</v>
      </c>
      <c r="P86" s="38">
        <f t="shared" si="60"/>
        <v>14.5</v>
      </c>
      <c r="Q86" s="38">
        <f t="shared" si="61"/>
        <v>15.5</v>
      </c>
      <c r="R86" s="39">
        <f t="shared" si="43"/>
        <v>0.94690347534074992</v>
      </c>
      <c r="S86" s="39">
        <f t="shared" si="44"/>
        <v>0.96507396789840261</v>
      </c>
      <c r="T86" s="39">
        <f t="shared" si="45"/>
        <v>1.8170492557652684E-2</v>
      </c>
      <c r="U86" s="40">
        <f t="shared" si="62"/>
        <v>26.401725686269348</v>
      </c>
      <c r="V86" s="40" t="str">
        <f t="shared" si="69"/>
        <v>H</v>
      </c>
      <c r="W86" s="163">
        <f t="shared" si="46"/>
        <v>528.034513725387</v>
      </c>
      <c r="X86" s="176">
        <f t="shared" si="47"/>
        <v>3168.2070823523218</v>
      </c>
    </row>
    <row r="87" spans="1:24" s="163" customFormat="1" ht="15.75" thickBot="1" x14ac:dyDescent="0.3">
      <c r="A87" s="229">
        <f t="shared" si="65"/>
        <v>707</v>
      </c>
      <c r="B87" s="230">
        <f t="shared" si="66"/>
        <v>77</v>
      </c>
      <c r="C87" s="218" t="str">
        <f t="shared" si="63"/>
        <v>L12X15-008_000_05</v>
      </c>
      <c r="D87" s="169">
        <f t="shared" si="81"/>
        <v>15</v>
      </c>
      <c r="E87" s="173">
        <f t="shared" si="31"/>
        <v>2.3590000000000004</v>
      </c>
      <c r="F87" s="170">
        <f t="shared" si="77"/>
        <v>15.72666666666667</v>
      </c>
      <c r="G87" s="170">
        <f t="shared" si="78"/>
        <v>12.581333333333337</v>
      </c>
      <c r="H87" s="170">
        <f t="shared" si="79"/>
        <v>7.8633333333333351</v>
      </c>
      <c r="I87" s="170">
        <f t="shared" si="67"/>
        <v>8</v>
      </c>
      <c r="J87" s="171">
        <f>yaw_max</f>
        <v>8</v>
      </c>
      <c r="K87" s="166" t="str">
        <f>D87&amp;-5</f>
        <v>15-5</v>
      </c>
      <c r="L87" s="170">
        <f t="shared" ref="L87:N87" si="84">L86</f>
        <v>0.2</v>
      </c>
      <c r="M87" s="170">
        <f t="shared" si="84"/>
        <v>150</v>
      </c>
      <c r="N87" s="170">
        <f t="shared" si="84"/>
        <v>750</v>
      </c>
      <c r="P87" s="38">
        <f t="shared" si="60"/>
        <v>14.5</v>
      </c>
      <c r="Q87" s="38">
        <f t="shared" si="61"/>
        <v>15.5</v>
      </c>
      <c r="R87" s="39">
        <f t="shared" si="43"/>
        <v>0.94690347534074992</v>
      </c>
      <c r="S87" s="39">
        <f t="shared" si="44"/>
        <v>0.96507396789840261</v>
      </c>
      <c r="T87" s="39">
        <f t="shared" si="45"/>
        <v>1.8170492557652684E-2</v>
      </c>
      <c r="U87" s="40">
        <f t="shared" si="62"/>
        <v>26.401725686269348</v>
      </c>
      <c r="V87" s="40" t="str">
        <f t="shared" si="69"/>
        <v>H</v>
      </c>
      <c r="W87" s="163">
        <f t="shared" si="46"/>
        <v>528.034513725387</v>
      </c>
      <c r="X87" s="176">
        <f t="shared" si="47"/>
        <v>3168.2070823523218</v>
      </c>
    </row>
    <row r="88" spans="1:24" s="163" customFormat="1" ht="15.75" thickBot="1" x14ac:dyDescent="0.3">
      <c r="A88" s="229">
        <f t="shared" si="65"/>
        <v>708</v>
      </c>
      <c r="B88" s="230">
        <f t="shared" si="66"/>
        <v>78</v>
      </c>
      <c r="C88" s="218" t="str">
        <f t="shared" si="63"/>
        <v>L12X15-008_000_06</v>
      </c>
      <c r="D88" s="169">
        <f t="shared" si="81"/>
        <v>15</v>
      </c>
      <c r="E88" s="173">
        <f t="shared" si="31"/>
        <v>2.3590000000000004</v>
      </c>
      <c r="F88" s="170">
        <f t="shared" si="77"/>
        <v>15.72666666666667</v>
      </c>
      <c r="G88" s="170">
        <f t="shared" si="78"/>
        <v>12.581333333333337</v>
      </c>
      <c r="H88" s="170">
        <f t="shared" si="79"/>
        <v>7.8633333333333351</v>
      </c>
      <c r="I88" s="170">
        <f t="shared" si="67"/>
        <v>8</v>
      </c>
      <c r="J88" s="171">
        <f>yaw_max</f>
        <v>8</v>
      </c>
      <c r="K88" s="166" t="str">
        <f>D88&amp;-6</f>
        <v>15-6</v>
      </c>
      <c r="L88" s="170">
        <f t="shared" ref="L88:N88" si="85">L87</f>
        <v>0.2</v>
      </c>
      <c r="M88" s="170">
        <f t="shared" si="85"/>
        <v>150</v>
      </c>
      <c r="N88" s="170">
        <f t="shared" si="85"/>
        <v>750</v>
      </c>
      <c r="P88" s="38">
        <f t="shared" si="60"/>
        <v>14.5</v>
      </c>
      <c r="Q88" s="38">
        <f t="shared" si="61"/>
        <v>15.5</v>
      </c>
      <c r="R88" s="39">
        <f t="shared" si="43"/>
        <v>0.94690347534074992</v>
      </c>
      <c r="S88" s="39">
        <f t="shared" si="44"/>
        <v>0.96507396789840261</v>
      </c>
      <c r="T88" s="39">
        <f t="shared" si="45"/>
        <v>1.8170492557652684E-2</v>
      </c>
      <c r="U88" s="40">
        <f t="shared" si="62"/>
        <v>26.401725686269348</v>
      </c>
      <c r="V88" s="40" t="str">
        <f t="shared" si="69"/>
        <v>H</v>
      </c>
      <c r="W88" s="163">
        <f t="shared" si="46"/>
        <v>528.034513725387</v>
      </c>
      <c r="X88" s="176">
        <f t="shared" si="47"/>
        <v>3168.2070823523218</v>
      </c>
    </row>
    <row r="89" spans="1:24" s="163" customFormat="1" ht="15.75" thickBot="1" x14ac:dyDescent="0.3">
      <c r="A89" s="229">
        <f t="shared" si="65"/>
        <v>709</v>
      </c>
      <c r="B89" s="230">
        <f t="shared" si="66"/>
        <v>79</v>
      </c>
      <c r="C89" s="218" t="str">
        <f t="shared" si="63"/>
        <v>L12X16-352_000_01</v>
      </c>
      <c r="D89" s="169">
        <f>D83+V_step_12</f>
        <v>16</v>
      </c>
      <c r="E89" s="173">
        <f t="shared" si="31"/>
        <v>2.4640000000000004</v>
      </c>
      <c r="F89" s="170">
        <f t="shared" si="77"/>
        <v>15.400000000000002</v>
      </c>
      <c r="G89" s="170">
        <f t="shared" si="78"/>
        <v>12.320000000000002</v>
      </c>
      <c r="H89" s="170">
        <f t="shared" si="79"/>
        <v>7.7000000000000011</v>
      </c>
      <c r="I89" s="170">
        <f t="shared" si="67"/>
        <v>8</v>
      </c>
      <c r="J89" s="171">
        <f>yaw_min</f>
        <v>-8</v>
      </c>
      <c r="K89" s="166" t="str">
        <f>D89&amp;-1</f>
        <v>16-1</v>
      </c>
      <c r="L89" s="170">
        <f t="shared" ref="L89:N89" si="86">L88</f>
        <v>0.2</v>
      </c>
      <c r="M89" s="170">
        <f t="shared" si="86"/>
        <v>150</v>
      </c>
      <c r="N89" s="170">
        <f t="shared" si="86"/>
        <v>750</v>
      </c>
      <c r="P89" s="38">
        <f t="shared" si="60"/>
        <v>15.5</v>
      </c>
      <c r="Q89" s="38">
        <f t="shared" si="61"/>
        <v>16.5</v>
      </c>
      <c r="R89" s="39">
        <f t="shared" si="43"/>
        <v>0.96507396789840261</v>
      </c>
      <c r="S89" s="39">
        <f t="shared" si="44"/>
        <v>0.97765889694649621</v>
      </c>
      <c r="T89" s="39">
        <f t="shared" si="45"/>
        <v>1.2584929048093607E-2</v>
      </c>
      <c r="U89" s="40">
        <f t="shared" si="62"/>
        <v>18.28590190688001</v>
      </c>
      <c r="V89" s="40" t="str">
        <f t="shared" si="69"/>
        <v>H</v>
      </c>
      <c r="W89" s="163">
        <f t="shared" si="46"/>
        <v>365.71803813760022</v>
      </c>
      <c r="X89" s="176">
        <f t="shared" si="47"/>
        <v>2194.3082288256014</v>
      </c>
    </row>
    <row r="90" spans="1:24" s="163" customFormat="1" ht="15.75" thickBot="1" x14ac:dyDescent="0.3">
      <c r="A90" s="229">
        <f t="shared" si="65"/>
        <v>710</v>
      </c>
      <c r="B90" s="230">
        <f t="shared" si="66"/>
        <v>80</v>
      </c>
      <c r="C90" s="218" t="str">
        <f t="shared" si="63"/>
        <v>L12X16-352_000_02</v>
      </c>
      <c r="D90" s="169">
        <f>D89</f>
        <v>16</v>
      </c>
      <c r="E90" s="173">
        <f t="shared" si="31"/>
        <v>2.4640000000000004</v>
      </c>
      <c r="F90" s="170">
        <f t="shared" si="77"/>
        <v>15.400000000000002</v>
      </c>
      <c r="G90" s="170">
        <f t="shared" si="78"/>
        <v>12.320000000000002</v>
      </c>
      <c r="H90" s="170">
        <f t="shared" si="79"/>
        <v>7.7000000000000011</v>
      </c>
      <c r="I90" s="170">
        <f t="shared" si="67"/>
        <v>8</v>
      </c>
      <c r="J90" s="171">
        <f>yaw_min</f>
        <v>-8</v>
      </c>
      <c r="K90" s="166" t="str">
        <f>D90&amp;-2</f>
        <v>16-2</v>
      </c>
      <c r="L90" s="170">
        <f t="shared" ref="L90:N90" si="87">L89</f>
        <v>0.2</v>
      </c>
      <c r="M90" s="170">
        <f t="shared" si="87"/>
        <v>150</v>
      </c>
      <c r="N90" s="170">
        <f t="shared" si="87"/>
        <v>750</v>
      </c>
      <c r="P90" s="38">
        <f t="shared" si="60"/>
        <v>15.5</v>
      </c>
      <c r="Q90" s="38">
        <f t="shared" si="61"/>
        <v>16.5</v>
      </c>
      <c r="R90" s="39">
        <f t="shared" si="43"/>
        <v>0.96507396789840261</v>
      </c>
      <c r="S90" s="39">
        <f t="shared" si="44"/>
        <v>0.97765889694649621</v>
      </c>
      <c r="T90" s="39">
        <f t="shared" si="45"/>
        <v>1.2584929048093607E-2</v>
      </c>
      <c r="U90" s="40">
        <f t="shared" si="62"/>
        <v>18.28590190688001</v>
      </c>
      <c r="V90" s="40" t="str">
        <f t="shared" si="69"/>
        <v>H</v>
      </c>
      <c r="W90" s="163">
        <f t="shared" si="46"/>
        <v>365.71803813760022</v>
      </c>
      <c r="X90" s="176">
        <f t="shared" si="47"/>
        <v>2194.3082288256014</v>
      </c>
    </row>
    <row r="91" spans="1:24" s="163" customFormat="1" ht="15.75" thickBot="1" x14ac:dyDescent="0.3">
      <c r="A91" s="229">
        <f t="shared" si="65"/>
        <v>711</v>
      </c>
      <c r="B91" s="230">
        <f t="shared" si="66"/>
        <v>81</v>
      </c>
      <c r="C91" s="218" t="str">
        <f t="shared" si="63"/>
        <v>L12X16-000_000_03</v>
      </c>
      <c r="D91" s="169">
        <f t="shared" ref="D91:D94" si="88">D90</f>
        <v>16</v>
      </c>
      <c r="E91" s="173">
        <f t="shared" ref="E91:E132" si="89">I_ref*(0.75*D91+5.6)</f>
        <v>2.4640000000000004</v>
      </c>
      <c r="F91" s="170">
        <f t="shared" si="77"/>
        <v>15.400000000000002</v>
      </c>
      <c r="G91" s="170">
        <f t="shared" si="78"/>
        <v>12.320000000000002</v>
      </c>
      <c r="H91" s="170">
        <f t="shared" si="79"/>
        <v>7.7000000000000011</v>
      </c>
      <c r="I91" s="170">
        <f t="shared" si="67"/>
        <v>8</v>
      </c>
      <c r="J91" s="171">
        <f>yaw_null</f>
        <v>0</v>
      </c>
      <c r="K91" s="166" t="str">
        <f>D91&amp;-3</f>
        <v>16-3</v>
      </c>
      <c r="L91" s="170">
        <f t="shared" ref="L91:N91" si="90">L90</f>
        <v>0.2</v>
      </c>
      <c r="M91" s="170">
        <f t="shared" si="90"/>
        <v>150</v>
      </c>
      <c r="N91" s="170">
        <f t="shared" si="90"/>
        <v>750</v>
      </c>
      <c r="P91" s="38">
        <f t="shared" si="60"/>
        <v>15.5</v>
      </c>
      <c r="Q91" s="38">
        <f t="shared" si="61"/>
        <v>16.5</v>
      </c>
      <c r="R91" s="39">
        <f t="shared" si="43"/>
        <v>0.96507396789840261</v>
      </c>
      <c r="S91" s="39">
        <f t="shared" si="44"/>
        <v>0.97765889694649621</v>
      </c>
      <c r="T91" s="39">
        <f t="shared" si="45"/>
        <v>1.2584929048093607E-2</v>
      </c>
      <c r="U91" s="40">
        <f t="shared" si="62"/>
        <v>18.28590190688001</v>
      </c>
      <c r="V91" s="40" t="str">
        <f t="shared" si="69"/>
        <v>H</v>
      </c>
      <c r="W91" s="163">
        <f t="shared" si="46"/>
        <v>365.71803813760022</v>
      </c>
      <c r="X91" s="176">
        <f t="shared" si="47"/>
        <v>2194.3082288256014</v>
      </c>
    </row>
    <row r="92" spans="1:24" s="163" customFormat="1" ht="15.75" thickBot="1" x14ac:dyDescent="0.3">
      <c r="A92" s="229">
        <f t="shared" si="65"/>
        <v>712</v>
      </c>
      <c r="B92" s="230">
        <f t="shared" si="66"/>
        <v>82</v>
      </c>
      <c r="C92" s="218" t="str">
        <f t="shared" si="63"/>
        <v>L12X16-000_000_04</v>
      </c>
      <c r="D92" s="169">
        <f t="shared" si="88"/>
        <v>16</v>
      </c>
      <c r="E92" s="173">
        <f t="shared" si="89"/>
        <v>2.4640000000000004</v>
      </c>
      <c r="F92" s="170">
        <f t="shared" si="77"/>
        <v>15.400000000000002</v>
      </c>
      <c r="G92" s="170">
        <f t="shared" si="78"/>
        <v>12.320000000000002</v>
      </c>
      <c r="H92" s="170">
        <f t="shared" si="79"/>
        <v>7.7000000000000011</v>
      </c>
      <c r="I92" s="170">
        <f t="shared" si="67"/>
        <v>8</v>
      </c>
      <c r="J92" s="171">
        <f>yaw_null</f>
        <v>0</v>
      </c>
      <c r="K92" s="166" t="str">
        <f>D92&amp;-4</f>
        <v>16-4</v>
      </c>
      <c r="L92" s="170">
        <f t="shared" ref="L92:N92" si="91">L91</f>
        <v>0.2</v>
      </c>
      <c r="M92" s="170">
        <f t="shared" si="91"/>
        <v>150</v>
      </c>
      <c r="N92" s="170">
        <f t="shared" si="91"/>
        <v>750</v>
      </c>
      <c r="P92" s="38">
        <f t="shared" si="60"/>
        <v>15.5</v>
      </c>
      <c r="Q92" s="38">
        <f t="shared" si="61"/>
        <v>16.5</v>
      </c>
      <c r="R92" s="39">
        <f t="shared" si="43"/>
        <v>0.96507396789840261</v>
      </c>
      <c r="S92" s="39">
        <f t="shared" si="44"/>
        <v>0.97765889694649621</v>
      </c>
      <c r="T92" s="39">
        <f t="shared" si="45"/>
        <v>1.2584929048093607E-2</v>
      </c>
      <c r="U92" s="40">
        <f t="shared" si="62"/>
        <v>18.28590190688001</v>
      </c>
      <c r="V92" s="40" t="str">
        <f t="shared" si="69"/>
        <v>H</v>
      </c>
      <c r="W92" s="163">
        <f t="shared" si="46"/>
        <v>365.71803813760022</v>
      </c>
      <c r="X92" s="176">
        <f t="shared" si="47"/>
        <v>2194.3082288256014</v>
      </c>
    </row>
    <row r="93" spans="1:24" s="163" customFormat="1" ht="15.75" thickBot="1" x14ac:dyDescent="0.3">
      <c r="A93" s="229">
        <f t="shared" si="65"/>
        <v>713</v>
      </c>
      <c r="B93" s="230">
        <f t="shared" si="66"/>
        <v>83</v>
      </c>
      <c r="C93" s="218" t="str">
        <f t="shared" si="63"/>
        <v>L12X16-008_000_05</v>
      </c>
      <c r="D93" s="169">
        <f t="shared" si="88"/>
        <v>16</v>
      </c>
      <c r="E93" s="173">
        <f t="shared" si="89"/>
        <v>2.4640000000000004</v>
      </c>
      <c r="F93" s="170">
        <f t="shared" si="77"/>
        <v>15.400000000000002</v>
      </c>
      <c r="G93" s="170">
        <f t="shared" si="78"/>
        <v>12.320000000000002</v>
      </c>
      <c r="H93" s="170">
        <f t="shared" si="79"/>
        <v>7.7000000000000011</v>
      </c>
      <c r="I93" s="170">
        <f t="shared" si="67"/>
        <v>8</v>
      </c>
      <c r="J93" s="171">
        <f>yaw_max</f>
        <v>8</v>
      </c>
      <c r="K93" s="166" t="str">
        <f>D93&amp;-5</f>
        <v>16-5</v>
      </c>
      <c r="L93" s="170">
        <f t="shared" ref="L93:N93" si="92">L92</f>
        <v>0.2</v>
      </c>
      <c r="M93" s="170">
        <f t="shared" si="92"/>
        <v>150</v>
      </c>
      <c r="N93" s="170">
        <f t="shared" si="92"/>
        <v>750</v>
      </c>
      <c r="P93" s="38">
        <f t="shared" si="60"/>
        <v>15.5</v>
      </c>
      <c r="Q93" s="38">
        <f t="shared" si="61"/>
        <v>16.5</v>
      </c>
      <c r="R93" s="39">
        <f t="shared" si="43"/>
        <v>0.96507396789840261</v>
      </c>
      <c r="S93" s="39">
        <f t="shared" si="44"/>
        <v>0.97765889694649621</v>
      </c>
      <c r="T93" s="39">
        <f t="shared" si="45"/>
        <v>1.2584929048093607E-2</v>
      </c>
      <c r="U93" s="40">
        <f t="shared" si="62"/>
        <v>18.28590190688001</v>
      </c>
      <c r="V93" s="40" t="str">
        <f t="shared" si="69"/>
        <v>H</v>
      </c>
      <c r="W93" s="163">
        <f t="shared" si="46"/>
        <v>365.71803813760022</v>
      </c>
      <c r="X93" s="176">
        <f t="shared" si="47"/>
        <v>2194.3082288256014</v>
      </c>
    </row>
    <row r="94" spans="1:24" s="163" customFormat="1" ht="15.75" thickBot="1" x14ac:dyDescent="0.3">
      <c r="A94" s="229">
        <f t="shared" si="65"/>
        <v>714</v>
      </c>
      <c r="B94" s="230">
        <f t="shared" si="66"/>
        <v>84</v>
      </c>
      <c r="C94" s="218" t="str">
        <f t="shared" si="63"/>
        <v>L12X16-008_000_06</v>
      </c>
      <c r="D94" s="169">
        <f t="shared" si="88"/>
        <v>16</v>
      </c>
      <c r="E94" s="173">
        <f t="shared" si="89"/>
        <v>2.4640000000000004</v>
      </c>
      <c r="F94" s="170">
        <f t="shared" si="77"/>
        <v>15.400000000000002</v>
      </c>
      <c r="G94" s="170">
        <f t="shared" si="78"/>
        <v>12.320000000000002</v>
      </c>
      <c r="H94" s="170">
        <f t="shared" si="79"/>
        <v>7.7000000000000011</v>
      </c>
      <c r="I94" s="170">
        <f t="shared" si="67"/>
        <v>8</v>
      </c>
      <c r="J94" s="171">
        <f>yaw_max</f>
        <v>8</v>
      </c>
      <c r="K94" s="166" t="str">
        <f>D94&amp;-6</f>
        <v>16-6</v>
      </c>
      <c r="L94" s="170">
        <f t="shared" ref="L94:N94" si="93">L93</f>
        <v>0.2</v>
      </c>
      <c r="M94" s="170">
        <f t="shared" si="93"/>
        <v>150</v>
      </c>
      <c r="N94" s="170">
        <f t="shared" si="93"/>
        <v>750</v>
      </c>
      <c r="P94" s="38">
        <f t="shared" si="60"/>
        <v>15.5</v>
      </c>
      <c r="Q94" s="38">
        <f t="shared" si="61"/>
        <v>16.5</v>
      </c>
      <c r="R94" s="39">
        <f t="shared" si="43"/>
        <v>0.96507396789840261</v>
      </c>
      <c r="S94" s="39">
        <f t="shared" si="44"/>
        <v>0.97765889694649621</v>
      </c>
      <c r="T94" s="39">
        <f t="shared" si="45"/>
        <v>1.2584929048093607E-2</v>
      </c>
      <c r="U94" s="40">
        <f t="shared" si="62"/>
        <v>18.28590190688001</v>
      </c>
      <c r="V94" s="40" t="str">
        <f t="shared" si="69"/>
        <v>H</v>
      </c>
      <c r="W94" s="163">
        <f t="shared" si="46"/>
        <v>365.71803813760022</v>
      </c>
      <c r="X94" s="176">
        <f t="shared" si="47"/>
        <v>2194.3082288256014</v>
      </c>
    </row>
    <row r="95" spans="1:24" s="163" customFormat="1" ht="15.75" thickBot="1" x14ac:dyDescent="0.3">
      <c r="A95" s="229">
        <f t="shared" si="65"/>
        <v>715</v>
      </c>
      <c r="B95" s="230">
        <f t="shared" si="66"/>
        <v>85</v>
      </c>
      <c r="C95" s="218" t="str">
        <f t="shared" si="63"/>
        <v>L12X17-352_000_01</v>
      </c>
      <c r="D95" s="169">
        <f>D89+V_step_12</f>
        <v>17</v>
      </c>
      <c r="E95" s="173">
        <f t="shared" si="89"/>
        <v>2.5690000000000004</v>
      </c>
      <c r="F95" s="170">
        <f t="shared" si="77"/>
        <v>15.111764705882354</v>
      </c>
      <c r="G95" s="170">
        <f t="shared" si="78"/>
        <v>12.089411764705885</v>
      </c>
      <c r="H95" s="170">
        <f t="shared" si="79"/>
        <v>7.5558823529411772</v>
      </c>
      <c r="I95" s="170">
        <f t="shared" si="67"/>
        <v>8</v>
      </c>
      <c r="J95" s="171">
        <f>yaw_min</f>
        <v>-8</v>
      </c>
      <c r="K95" s="166" t="str">
        <f>D95&amp;-1</f>
        <v>17-1</v>
      </c>
      <c r="L95" s="170">
        <f t="shared" ref="L95:N95" si="94">L94</f>
        <v>0.2</v>
      </c>
      <c r="M95" s="170">
        <f t="shared" si="94"/>
        <v>150</v>
      </c>
      <c r="N95" s="170">
        <f t="shared" si="94"/>
        <v>750</v>
      </c>
      <c r="P95" s="38">
        <f t="shared" si="60"/>
        <v>16.5</v>
      </c>
      <c r="Q95" s="38">
        <f t="shared" si="61"/>
        <v>17.5</v>
      </c>
      <c r="R95" s="39">
        <f t="shared" si="43"/>
        <v>0.97765889694649621</v>
      </c>
      <c r="S95" s="39">
        <f t="shared" si="44"/>
        <v>0.98610264392523161</v>
      </c>
      <c r="T95" s="39">
        <f t="shared" si="45"/>
        <v>8.4437469787354003E-3</v>
      </c>
      <c r="U95" s="40">
        <f t="shared" si="62"/>
        <v>12.268764360102537</v>
      </c>
      <c r="V95" s="40" t="str">
        <f t="shared" si="69"/>
        <v>H</v>
      </c>
      <c r="W95" s="163">
        <f t="shared" si="46"/>
        <v>245.37528720205074</v>
      </c>
      <c r="X95" s="176">
        <f t="shared" si="47"/>
        <v>1472.2517232123043</v>
      </c>
    </row>
    <row r="96" spans="1:24" s="163" customFormat="1" ht="15.75" thickBot="1" x14ac:dyDescent="0.3">
      <c r="A96" s="229">
        <f t="shared" si="65"/>
        <v>716</v>
      </c>
      <c r="B96" s="230">
        <f t="shared" si="66"/>
        <v>86</v>
      </c>
      <c r="C96" s="218" t="str">
        <f t="shared" si="63"/>
        <v>L12X17-352_000_02</v>
      </c>
      <c r="D96" s="169">
        <f>D95</f>
        <v>17</v>
      </c>
      <c r="E96" s="173">
        <f t="shared" si="89"/>
        <v>2.5690000000000004</v>
      </c>
      <c r="F96" s="170">
        <f t="shared" si="77"/>
        <v>15.111764705882354</v>
      </c>
      <c r="G96" s="170">
        <f t="shared" si="78"/>
        <v>12.089411764705885</v>
      </c>
      <c r="H96" s="170">
        <f t="shared" si="79"/>
        <v>7.5558823529411772</v>
      </c>
      <c r="I96" s="170">
        <f t="shared" si="67"/>
        <v>8</v>
      </c>
      <c r="J96" s="171">
        <f>yaw_min</f>
        <v>-8</v>
      </c>
      <c r="K96" s="166" t="str">
        <f>D96&amp;-2</f>
        <v>17-2</v>
      </c>
      <c r="L96" s="170">
        <f t="shared" ref="L96:N96" si="95">L95</f>
        <v>0.2</v>
      </c>
      <c r="M96" s="170">
        <f t="shared" si="95"/>
        <v>150</v>
      </c>
      <c r="N96" s="170">
        <f t="shared" si="95"/>
        <v>750</v>
      </c>
      <c r="P96" s="38">
        <f t="shared" si="60"/>
        <v>16.5</v>
      </c>
      <c r="Q96" s="38">
        <f t="shared" si="61"/>
        <v>17.5</v>
      </c>
      <c r="R96" s="39">
        <f t="shared" si="43"/>
        <v>0.97765889694649621</v>
      </c>
      <c r="S96" s="39">
        <f t="shared" si="44"/>
        <v>0.98610264392523161</v>
      </c>
      <c r="T96" s="39">
        <f t="shared" si="45"/>
        <v>8.4437469787354003E-3</v>
      </c>
      <c r="U96" s="40">
        <f t="shared" si="62"/>
        <v>12.268764360102537</v>
      </c>
      <c r="V96" s="40" t="str">
        <f t="shared" si="69"/>
        <v>H</v>
      </c>
      <c r="W96" s="163">
        <f t="shared" si="46"/>
        <v>245.37528720205074</v>
      </c>
      <c r="X96" s="176">
        <f t="shared" si="47"/>
        <v>1472.2517232123043</v>
      </c>
    </row>
    <row r="97" spans="1:24" s="163" customFormat="1" ht="15.75" thickBot="1" x14ac:dyDescent="0.3">
      <c r="A97" s="229">
        <f t="shared" si="65"/>
        <v>717</v>
      </c>
      <c r="B97" s="230">
        <f t="shared" si="66"/>
        <v>87</v>
      </c>
      <c r="C97" s="218" t="str">
        <f t="shared" si="63"/>
        <v>L12X17-000_000_03</v>
      </c>
      <c r="D97" s="169">
        <f t="shared" ref="D97:D100" si="96">D96</f>
        <v>17</v>
      </c>
      <c r="E97" s="173">
        <f t="shared" si="89"/>
        <v>2.5690000000000004</v>
      </c>
      <c r="F97" s="170">
        <f t="shared" si="77"/>
        <v>15.111764705882354</v>
      </c>
      <c r="G97" s="170">
        <f t="shared" si="78"/>
        <v>12.089411764705885</v>
      </c>
      <c r="H97" s="170">
        <f t="shared" si="79"/>
        <v>7.5558823529411772</v>
      </c>
      <c r="I97" s="170">
        <f t="shared" si="67"/>
        <v>8</v>
      </c>
      <c r="J97" s="171">
        <f>yaw_null</f>
        <v>0</v>
      </c>
      <c r="K97" s="166" t="str">
        <f>D97&amp;-3</f>
        <v>17-3</v>
      </c>
      <c r="L97" s="170">
        <f t="shared" ref="L97:N97" si="97">L96</f>
        <v>0.2</v>
      </c>
      <c r="M97" s="170">
        <f t="shared" si="97"/>
        <v>150</v>
      </c>
      <c r="N97" s="170">
        <f t="shared" si="97"/>
        <v>750</v>
      </c>
      <c r="P97" s="38">
        <f t="shared" si="60"/>
        <v>16.5</v>
      </c>
      <c r="Q97" s="38">
        <f t="shared" si="61"/>
        <v>17.5</v>
      </c>
      <c r="R97" s="39">
        <f t="shared" si="43"/>
        <v>0.97765889694649621</v>
      </c>
      <c r="S97" s="39">
        <f t="shared" si="44"/>
        <v>0.98610264392523161</v>
      </c>
      <c r="T97" s="39">
        <f t="shared" si="45"/>
        <v>8.4437469787354003E-3</v>
      </c>
      <c r="U97" s="40">
        <f t="shared" si="62"/>
        <v>12.268764360102537</v>
      </c>
      <c r="V97" s="40" t="str">
        <f t="shared" si="69"/>
        <v>H</v>
      </c>
      <c r="W97" s="163">
        <f t="shared" si="46"/>
        <v>245.37528720205074</v>
      </c>
      <c r="X97" s="176">
        <f t="shared" si="47"/>
        <v>1472.2517232123043</v>
      </c>
    </row>
    <row r="98" spans="1:24" s="163" customFormat="1" ht="15.75" thickBot="1" x14ac:dyDescent="0.3">
      <c r="A98" s="229">
        <f t="shared" si="65"/>
        <v>718</v>
      </c>
      <c r="B98" s="230">
        <f t="shared" si="66"/>
        <v>88</v>
      </c>
      <c r="C98" s="218" t="str">
        <f t="shared" si="63"/>
        <v>L12X17-000_000_04</v>
      </c>
      <c r="D98" s="169">
        <f t="shared" si="96"/>
        <v>17</v>
      </c>
      <c r="E98" s="173">
        <f t="shared" si="89"/>
        <v>2.5690000000000004</v>
      </c>
      <c r="F98" s="170">
        <f t="shared" si="77"/>
        <v>15.111764705882354</v>
      </c>
      <c r="G98" s="170">
        <f t="shared" si="78"/>
        <v>12.089411764705885</v>
      </c>
      <c r="H98" s="170">
        <f t="shared" si="79"/>
        <v>7.5558823529411772</v>
      </c>
      <c r="I98" s="170">
        <f t="shared" si="67"/>
        <v>8</v>
      </c>
      <c r="J98" s="171">
        <f>yaw_null</f>
        <v>0</v>
      </c>
      <c r="K98" s="166" t="str">
        <f>D98&amp;-4</f>
        <v>17-4</v>
      </c>
      <c r="L98" s="170">
        <f t="shared" ref="L98:N98" si="98">L97</f>
        <v>0.2</v>
      </c>
      <c r="M98" s="170">
        <f t="shared" si="98"/>
        <v>150</v>
      </c>
      <c r="N98" s="170">
        <f t="shared" si="98"/>
        <v>750</v>
      </c>
      <c r="P98" s="38">
        <f t="shared" si="60"/>
        <v>16.5</v>
      </c>
      <c r="Q98" s="38">
        <f t="shared" si="61"/>
        <v>17.5</v>
      </c>
      <c r="R98" s="39">
        <f t="shared" si="43"/>
        <v>0.97765889694649621</v>
      </c>
      <c r="S98" s="39">
        <f t="shared" si="44"/>
        <v>0.98610264392523161</v>
      </c>
      <c r="T98" s="39">
        <f t="shared" si="45"/>
        <v>8.4437469787354003E-3</v>
      </c>
      <c r="U98" s="40">
        <f t="shared" si="62"/>
        <v>12.268764360102537</v>
      </c>
      <c r="V98" s="40" t="str">
        <f t="shared" si="69"/>
        <v>H</v>
      </c>
      <c r="W98" s="163">
        <f t="shared" si="46"/>
        <v>245.37528720205074</v>
      </c>
      <c r="X98" s="176">
        <f t="shared" si="47"/>
        <v>1472.2517232123043</v>
      </c>
    </row>
    <row r="99" spans="1:24" s="163" customFormat="1" ht="15.75" thickBot="1" x14ac:dyDescent="0.3">
      <c r="A99" s="229">
        <f t="shared" si="65"/>
        <v>719</v>
      </c>
      <c r="B99" s="230">
        <f t="shared" si="66"/>
        <v>89</v>
      </c>
      <c r="C99" s="218" t="str">
        <f t="shared" si="63"/>
        <v>L12X17-008_000_05</v>
      </c>
      <c r="D99" s="169">
        <f t="shared" si="96"/>
        <v>17</v>
      </c>
      <c r="E99" s="173">
        <f t="shared" si="89"/>
        <v>2.5690000000000004</v>
      </c>
      <c r="F99" s="170">
        <f t="shared" si="77"/>
        <v>15.111764705882354</v>
      </c>
      <c r="G99" s="170">
        <f t="shared" si="78"/>
        <v>12.089411764705885</v>
      </c>
      <c r="H99" s="170">
        <f t="shared" si="79"/>
        <v>7.5558823529411772</v>
      </c>
      <c r="I99" s="170">
        <f t="shared" si="67"/>
        <v>8</v>
      </c>
      <c r="J99" s="171">
        <f>yaw_max</f>
        <v>8</v>
      </c>
      <c r="K99" s="166" t="str">
        <f>D99&amp;-5</f>
        <v>17-5</v>
      </c>
      <c r="L99" s="170">
        <f t="shared" ref="L99:N99" si="99">L98</f>
        <v>0.2</v>
      </c>
      <c r="M99" s="170">
        <f t="shared" si="99"/>
        <v>150</v>
      </c>
      <c r="N99" s="170">
        <f t="shared" si="99"/>
        <v>750</v>
      </c>
      <c r="P99" s="38">
        <f t="shared" si="60"/>
        <v>16.5</v>
      </c>
      <c r="Q99" s="38">
        <f t="shared" si="61"/>
        <v>17.5</v>
      </c>
      <c r="R99" s="39">
        <f t="shared" si="43"/>
        <v>0.97765889694649621</v>
      </c>
      <c r="S99" s="39">
        <f t="shared" si="44"/>
        <v>0.98610264392523161</v>
      </c>
      <c r="T99" s="39">
        <f t="shared" si="45"/>
        <v>8.4437469787354003E-3</v>
      </c>
      <c r="U99" s="40">
        <f t="shared" si="62"/>
        <v>12.268764360102537</v>
      </c>
      <c r="V99" s="40" t="str">
        <f t="shared" si="69"/>
        <v>H</v>
      </c>
      <c r="W99" s="163">
        <f t="shared" si="46"/>
        <v>245.37528720205074</v>
      </c>
      <c r="X99" s="176">
        <f t="shared" si="47"/>
        <v>1472.2517232123043</v>
      </c>
    </row>
    <row r="100" spans="1:24" s="163" customFormat="1" ht="15.75" thickBot="1" x14ac:dyDescent="0.3">
      <c r="A100" s="229">
        <f t="shared" si="65"/>
        <v>720</v>
      </c>
      <c r="B100" s="230">
        <f t="shared" si="66"/>
        <v>90</v>
      </c>
      <c r="C100" s="218" t="str">
        <f t="shared" si="63"/>
        <v>L12X17-008_000_06</v>
      </c>
      <c r="D100" s="169">
        <f t="shared" si="96"/>
        <v>17</v>
      </c>
      <c r="E100" s="173">
        <f t="shared" si="89"/>
        <v>2.5690000000000004</v>
      </c>
      <c r="F100" s="170">
        <f t="shared" si="77"/>
        <v>15.111764705882354</v>
      </c>
      <c r="G100" s="170">
        <f t="shared" si="78"/>
        <v>12.089411764705885</v>
      </c>
      <c r="H100" s="170">
        <f t="shared" si="79"/>
        <v>7.5558823529411772</v>
      </c>
      <c r="I100" s="170">
        <f t="shared" si="67"/>
        <v>8</v>
      </c>
      <c r="J100" s="171">
        <f>yaw_max</f>
        <v>8</v>
      </c>
      <c r="K100" s="166" t="str">
        <f>D100&amp;-6</f>
        <v>17-6</v>
      </c>
      <c r="L100" s="170">
        <f t="shared" ref="L100:N100" si="100">L99</f>
        <v>0.2</v>
      </c>
      <c r="M100" s="170">
        <f t="shared" si="100"/>
        <v>150</v>
      </c>
      <c r="N100" s="170">
        <f t="shared" si="100"/>
        <v>750</v>
      </c>
      <c r="P100" s="38">
        <f t="shared" si="60"/>
        <v>16.5</v>
      </c>
      <c r="Q100" s="38">
        <f t="shared" si="61"/>
        <v>17.5</v>
      </c>
      <c r="R100" s="39">
        <f t="shared" si="43"/>
        <v>0.97765889694649621</v>
      </c>
      <c r="S100" s="39">
        <f t="shared" si="44"/>
        <v>0.98610264392523161</v>
      </c>
      <c r="T100" s="39">
        <f t="shared" si="45"/>
        <v>8.4437469787354003E-3</v>
      </c>
      <c r="U100" s="40">
        <f t="shared" si="62"/>
        <v>12.268764360102537</v>
      </c>
      <c r="V100" s="40" t="str">
        <f t="shared" si="69"/>
        <v>H</v>
      </c>
      <c r="W100" s="163">
        <f t="shared" si="46"/>
        <v>245.37528720205074</v>
      </c>
      <c r="X100" s="176">
        <f t="shared" si="47"/>
        <v>1472.2517232123043</v>
      </c>
    </row>
    <row r="101" spans="1:24" s="163" customFormat="1" ht="15.75" thickBot="1" x14ac:dyDescent="0.3">
      <c r="A101" s="229">
        <f t="shared" si="65"/>
        <v>721</v>
      </c>
      <c r="B101" s="230">
        <f t="shared" si="66"/>
        <v>91</v>
      </c>
      <c r="C101" s="218" t="str">
        <f t="shared" si="63"/>
        <v>L12X18-352_000_01</v>
      </c>
      <c r="D101" s="169">
        <f>D95+V_step_12</f>
        <v>18</v>
      </c>
      <c r="E101" s="173">
        <f t="shared" si="89"/>
        <v>2.6740000000000004</v>
      </c>
      <c r="F101" s="170">
        <f>E101/D101*100</f>
        <v>14.855555555555558</v>
      </c>
      <c r="G101" s="170">
        <f t="shared" si="78"/>
        <v>11.884444444444448</v>
      </c>
      <c r="H101" s="170">
        <f t="shared" si="79"/>
        <v>7.4277777777777789</v>
      </c>
      <c r="I101" s="170">
        <f t="shared" si="67"/>
        <v>8</v>
      </c>
      <c r="J101" s="171">
        <f>yaw_min</f>
        <v>-8</v>
      </c>
      <c r="K101" s="166" t="str">
        <f>D101&amp;-1</f>
        <v>18-1</v>
      </c>
      <c r="L101" s="170">
        <f t="shared" ref="L101:N101" si="101">L100</f>
        <v>0.2</v>
      </c>
      <c r="M101" s="170">
        <f t="shared" si="101"/>
        <v>150</v>
      </c>
      <c r="N101" s="170">
        <f t="shared" si="101"/>
        <v>750</v>
      </c>
      <c r="P101" s="38">
        <f t="shared" si="60"/>
        <v>17.5</v>
      </c>
      <c r="Q101" s="38">
        <f t="shared" si="61"/>
        <v>18.5</v>
      </c>
      <c r="R101" s="39">
        <f t="shared" si="43"/>
        <v>0.98610264392523161</v>
      </c>
      <c r="S101" s="39">
        <f t="shared" si="44"/>
        <v>0.99159317574760353</v>
      </c>
      <c r="T101" s="39">
        <f t="shared" si="45"/>
        <v>5.4905318223719135E-3</v>
      </c>
      <c r="U101" s="40">
        <f t="shared" si="62"/>
        <v>7.9777427379063903</v>
      </c>
      <c r="V101" s="40" t="str">
        <f t="shared" si="69"/>
        <v>H</v>
      </c>
      <c r="W101" s="163">
        <f t="shared" si="46"/>
        <v>159.55485475812782</v>
      </c>
      <c r="X101" s="176">
        <f t="shared" si="47"/>
        <v>957.3291285487669</v>
      </c>
    </row>
    <row r="102" spans="1:24" s="163" customFormat="1" ht="15.75" thickBot="1" x14ac:dyDescent="0.3">
      <c r="A102" s="229">
        <f t="shared" si="65"/>
        <v>722</v>
      </c>
      <c r="B102" s="230">
        <f t="shared" si="66"/>
        <v>92</v>
      </c>
      <c r="C102" s="218" t="str">
        <f t="shared" si="63"/>
        <v>L12X18-352_000_02</v>
      </c>
      <c r="D102" s="169">
        <f>D101</f>
        <v>18</v>
      </c>
      <c r="E102" s="173">
        <f t="shared" si="89"/>
        <v>2.6740000000000004</v>
      </c>
      <c r="F102" s="170">
        <f t="shared" ref="F102:F124" si="102">E102/D102*100</f>
        <v>14.855555555555558</v>
      </c>
      <c r="G102" s="170">
        <f t="shared" si="78"/>
        <v>11.884444444444448</v>
      </c>
      <c r="H102" s="170">
        <f t="shared" si="79"/>
        <v>7.4277777777777789</v>
      </c>
      <c r="I102" s="170">
        <f t="shared" si="67"/>
        <v>8</v>
      </c>
      <c r="J102" s="171">
        <f>yaw_min</f>
        <v>-8</v>
      </c>
      <c r="K102" s="166" t="str">
        <f>D102&amp;-2</f>
        <v>18-2</v>
      </c>
      <c r="L102" s="170">
        <f t="shared" ref="L102:N102" si="103">L101</f>
        <v>0.2</v>
      </c>
      <c r="M102" s="170">
        <f t="shared" si="103"/>
        <v>150</v>
      </c>
      <c r="N102" s="170">
        <f t="shared" si="103"/>
        <v>750</v>
      </c>
      <c r="P102" s="38">
        <f t="shared" si="60"/>
        <v>17.5</v>
      </c>
      <c r="Q102" s="38">
        <f t="shared" si="61"/>
        <v>18.5</v>
      </c>
      <c r="R102" s="39">
        <f t="shared" si="43"/>
        <v>0.98610264392523161</v>
      </c>
      <c r="S102" s="39">
        <f t="shared" si="44"/>
        <v>0.99159317574760353</v>
      </c>
      <c r="T102" s="39">
        <f t="shared" si="45"/>
        <v>5.4905318223719135E-3</v>
      </c>
      <c r="U102" s="40">
        <f t="shared" si="62"/>
        <v>7.9777427379063903</v>
      </c>
      <c r="V102" s="40" t="str">
        <f t="shared" si="69"/>
        <v>H</v>
      </c>
      <c r="W102" s="163">
        <f t="shared" si="46"/>
        <v>159.55485475812782</v>
      </c>
      <c r="X102" s="176">
        <f t="shared" si="47"/>
        <v>957.3291285487669</v>
      </c>
    </row>
    <row r="103" spans="1:24" s="163" customFormat="1" ht="15.75" thickBot="1" x14ac:dyDescent="0.3">
      <c r="A103" s="229">
        <f t="shared" si="65"/>
        <v>723</v>
      </c>
      <c r="B103" s="230">
        <f t="shared" si="66"/>
        <v>93</v>
      </c>
      <c r="C103" s="218" t="str">
        <f t="shared" si="63"/>
        <v>L12X18-000_000_03</v>
      </c>
      <c r="D103" s="169">
        <f t="shared" ref="D103:D106" si="104">D102</f>
        <v>18</v>
      </c>
      <c r="E103" s="173">
        <f t="shared" si="89"/>
        <v>2.6740000000000004</v>
      </c>
      <c r="F103" s="170">
        <f t="shared" si="102"/>
        <v>14.855555555555558</v>
      </c>
      <c r="G103" s="170">
        <f t="shared" si="78"/>
        <v>11.884444444444448</v>
      </c>
      <c r="H103" s="170">
        <f t="shared" si="79"/>
        <v>7.4277777777777789</v>
      </c>
      <c r="I103" s="170">
        <f t="shared" si="67"/>
        <v>8</v>
      </c>
      <c r="J103" s="171">
        <f>yaw_null</f>
        <v>0</v>
      </c>
      <c r="K103" s="166" t="str">
        <f>D103&amp;-3</f>
        <v>18-3</v>
      </c>
      <c r="L103" s="170">
        <f t="shared" ref="L103:N103" si="105">L102</f>
        <v>0.2</v>
      </c>
      <c r="M103" s="170">
        <f t="shared" si="105"/>
        <v>150</v>
      </c>
      <c r="N103" s="170">
        <f t="shared" si="105"/>
        <v>750</v>
      </c>
      <c r="P103" s="38">
        <f t="shared" si="60"/>
        <v>17.5</v>
      </c>
      <c r="Q103" s="38">
        <f t="shared" si="61"/>
        <v>18.5</v>
      </c>
      <c r="R103" s="39">
        <f t="shared" si="43"/>
        <v>0.98610264392523161</v>
      </c>
      <c r="S103" s="39">
        <f t="shared" si="44"/>
        <v>0.99159317574760353</v>
      </c>
      <c r="T103" s="39">
        <f t="shared" si="45"/>
        <v>5.4905318223719135E-3</v>
      </c>
      <c r="U103" s="40">
        <f t="shared" si="62"/>
        <v>7.9777427379063903</v>
      </c>
      <c r="V103" s="40" t="str">
        <f t="shared" si="69"/>
        <v>H</v>
      </c>
      <c r="W103" s="163">
        <f t="shared" si="46"/>
        <v>159.55485475812782</v>
      </c>
      <c r="X103" s="176">
        <f t="shared" si="47"/>
        <v>957.3291285487669</v>
      </c>
    </row>
    <row r="104" spans="1:24" s="163" customFormat="1" ht="15.75" thickBot="1" x14ac:dyDescent="0.3">
      <c r="A104" s="229">
        <f t="shared" si="65"/>
        <v>724</v>
      </c>
      <c r="B104" s="230">
        <f t="shared" si="66"/>
        <v>94</v>
      </c>
      <c r="C104" s="218" t="str">
        <f t="shared" si="63"/>
        <v>L12X18-000_000_04</v>
      </c>
      <c r="D104" s="169">
        <f t="shared" si="104"/>
        <v>18</v>
      </c>
      <c r="E104" s="173">
        <f t="shared" si="89"/>
        <v>2.6740000000000004</v>
      </c>
      <c r="F104" s="170">
        <f t="shared" si="102"/>
        <v>14.855555555555558</v>
      </c>
      <c r="G104" s="170">
        <f t="shared" si="78"/>
        <v>11.884444444444448</v>
      </c>
      <c r="H104" s="170">
        <f t="shared" si="79"/>
        <v>7.4277777777777789</v>
      </c>
      <c r="I104" s="170">
        <f t="shared" si="67"/>
        <v>8</v>
      </c>
      <c r="J104" s="171">
        <f>yaw_null</f>
        <v>0</v>
      </c>
      <c r="K104" s="166" t="str">
        <f>D104&amp;-4</f>
        <v>18-4</v>
      </c>
      <c r="L104" s="170">
        <f t="shared" ref="L104:N104" si="106">L103</f>
        <v>0.2</v>
      </c>
      <c r="M104" s="170">
        <f t="shared" si="106"/>
        <v>150</v>
      </c>
      <c r="N104" s="170">
        <f t="shared" si="106"/>
        <v>750</v>
      </c>
      <c r="P104" s="38">
        <f t="shared" si="60"/>
        <v>17.5</v>
      </c>
      <c r="Q104" s="38">
        <f t="shared" si="61"/>
        <v>18.5</v>
      </c>
      <c r="R104" s="39">
        <f t="shared" si="43"/>
        <v>0.98610264392523161</v>
      </c>
      <c r="S104" s="39">
        <f t="shared" si="44"/>
        <v>0.99159317574760353</v>
      </c>
      <c r="T104" s="39">
        <f t="shared" si="45"/>
        <v>5.4905318223719135E-3</v>
      </c>
      <c r="U104" s="40">
        <f t="shared" si="62"/>
        <v>7.9777427379063903</v>
      </c>
      <c r="V104" s="40" t="str">
        <f t="shared" si="69"/>
        <v>H</v>
      </c>
      <c r="W104" s="163">
        <f t="shared" si="46"/>
        <v>159.55485475812782</v>
      </c>
      <c r="X104" s="176">
        <f t="shared" si="47"/>
        <v>957.3291285487669</v>
      </c>
    </row>
    <row r="105" spans="1:24" s="163" customFormat="1" ht="15.75" thickBot="1" x14ac:dyDescent="0.3">
      <c r="A105" s="229">
        <f t="shared" si="65"/>
        <v>725</v>
      </c>
      <c r="B105" s="230">
        <f t="shared" si="66"/>
        <v>95</v>
      </c>
      <c r="C105" s="218" t="str">
        <f t="shared" si="63"/>
        <v>L12X18-008_000_05</v>
      </c>
      <c r="D105" s="169">
        <f t="shared" si="104"/>
        <v>18</v>
      </c>
      <c r="E105" s="173">
        <f t="shared" si="89"/>
        <v>2.6740000000000004</v>
      </c>
      <c r="F105" s="170">
        <f t="shared" si="102"/>
        <v>14.855555555555558</v>
      </c>
      <c r="G105" s="170">
        <f t="shared" si="78"/>
        <v>11.884444444444448</v>
      </c>
      <c r="H105" s="170">
        <f t="shared" si="79"/>
        <v>7.4277777777777789</v>
      </c>
      <c r="I105" s="170">
        <f t="shared" si="67"/>
        <v>8</v>
      </c>
      <c r="J105" s="171">
        <f>yaw_max</f>
        <v>8</v>
      </c>
      <c r="K105" s="166" t="str">
        <f>D105&amp;-5</f>
        <v>18-5</v>
      </c>
      <c r="L105" s="170">
        <f t="shared" ref="L105:N105" si="107">L104</f>
        <v>0.2</v>
      </c>
      <c r="M105" s="170">
        <f t="shared" si="107"/>
        <v>150</v>
      </c>
      <c r="N105" s="170">
        <f t="shared" si="107"/>
        <v>750</v>
      </c>
      <c r="P105" s="38">
        <f t="shared" si="60"/>
        <v>17.5</v>
      </c>
      <c r="Q105" s="38">
        <f t="shared" si="61"/>
        <v>18.5</v>
      </c>
      <c r="R105" s="39">
        <f t="shared" si="43"/>
        <v>0.98610264392523161</v>
      </c>
      <c r="S105" s="39">
        <f t="shared" si="44"/>
        <v>0.99159317574760353</v>
      </c>
      <c r="T105" s="39">
        <f t="shared" si="45"/>
        <v>5.4905318223719135E-3</v>
      </c>
      <c r="U105" s="40">
        <f t="shared" si="62"/>
        <v>7.9777427379063903</v>
      </c>
      <c r="V105" s="40" t="str">
        <f t="shared" si="69"/>
        <v>H</v>
      </c>
      <c r="W105" s="163">
        <f t="shared" si="46"/>
        <v>159.55485475812782</v>
      </c>
      <c r="X105" s="176">
        <f t="shared" si="47"/>
        <v>957.3291285487669</v>
      </c>
    </row>
    <row r="106" spans="1:24" s="163" customFormat="1" ht="15.75" thickBot="1" x14ac:dyDescent="0.3">
      <c r="A106" s="229">
        <f t="shared" si="65"/>
        <v>726</v>
      </c>
      <c r="B106" s="230">
        <f t="shared" si="66"/>
        <v>96</v>
      </c>
      <c r="C106" s="218" t="str">
        <f t="shared" si="63"/>
        <v>L12X18-008_000_06</v>
      </c>
      <c r="D106" s="169">
        <f t="shared" si="104"/>
        <v>18</v>
      </c>
      <c r="E106" s="173">
        <f t="shared" si="89"/>
        <v>2.6740000000000004</v>
      </c>
      <c r="F106" s="170">
        <f t="shared" si="102"/>
        <v>14.855555555555558</v>
      </c>
      <c r="G106" s="170">
        <f t="shared" si="78"/>
        <v>11.884444444444448</v>
      </c>
      <c r="H106" s="170">
        <f t="shared" si="79"/>
        <v>7.4277777777777789</v>
      </c>
      <c r="I106" s="170">
        <f t="shared" si="67"/>
        <v>8</v>
      </c>
      <c r="J106" s="171">
        <f>yaw_max</f>
        <v>8</v>
      </c>
      <c r="K106" s="166" t="str">
        <f>D106&amp;-6</f>
        <v>18-6</v>
      </c>
      <c r="L106" s="170">
        <f t="shared" ref="L106:N106" si="108">L105</f>
        <v>0.2</v>
      </c>
      <c r="M106" s="170">
        <f t="shared" si="108"/>
        <v>150</v>
      </c>
      <c r="N106" s="170">
        <f t="shared" si="108"/>
        <v>750</v>
      </c>
      <c r="P106" s="38">
        <f t="shared" si="60"/>
        <v>17.5</v>
      </c>
      <c r="Q106" s="38">
        <f t="shared" si="61"/>
        <v>18.5</v>
      </c>
      <c r="R106" s="39">
        <f t="shared" si="43"/>
        <v>0.98610264392523161</v>
      </c>
      <c r="S106" s="39">
        <f t="shared" si="44"/>
        <v>0.99159317574760353</v>
      </c>
      <c r="T106" s="39">
        <f t="shared" si="45"/>
        <v>5.4905318223719135E-3</v>
      </c>
      <c r="U106" s="40">
        <f t="shared" si="62"/>
        <v>7.9777427379063903</v>
      </c>
      <c r="V106" s="40" t="str">
        <f t="shared" si="69"/>
        <v>H</v>
      </c>
      <c r="W106" s="163">
        <f t="shared" si="46"/>
        <v>159.55485475812782</v>
      </c>
      <c r="X106" s="176">
        <f t="shared" si="47"/>
        <v>957.3291285487669</v>
      </c>
    </row>
    <row r="107" spans="1:24" s="163" customFormat="1" ht="15.75" thickBot="1" x14ac:dyDescent="0.3">
      <c r="A107" s="229">
        <f t="shared" si="65"/>
        <v>727</v>
      </c>
      <c r="B107" s="230">
        <f t="shared" si="66"/>
        <v>97</v>
      </c>
      <c r="C107" s="218" t="str">
        <f t="shared" si="63"/>
        <v>L12X19-352_000_01</v>
      </c>
      <c r="D107" s="169">
        <f>D101+V_step_12</f>
        <v>19</v>
      </c>
      <c r="E107" s="173">
        <f t="shared" si="89"/>
        <v>2.7790000000000004</v>
      </c>
      <c r="F107" s="170">
        <f t="shared" si="102"/>
        <v>14.626315789473686</v>
      </c>
      <c r="G107" s="170">
        <f t="shared" si="78"/>
        <v>11.70105263157895</v>
      </c>
      <c r="H107" s="170">
        <f t="shared" si="79"/>
        <v>7.3131578947368432</v>
      </c>
      <c r="I107" s="170">
        <f t="shared" si="67"/>
        <v>8</v>
      </c>
      <c r="J107" s="171">
        <f>yaw_min</f>
        <v>-8</v>
      </c>
      <c r="K107" s="166" t="str">
        <f>D107&amp;-1</f>
        <v>19-1</v>
      </c>
      <c r="L107" s="170">
        <f t="shared" ref="L107:N107" si="109">L106</f>
        <v>0.2</v>
      </c>
      <c r="M107" s="170">
        <f t="shared" si="109"/>
        <v>150</v>
      </c>
      <c r="N107" s="170">
        <f t="shared" si="109"/>
        <v>750</v>
      </c>
      <c r="P107" s="38">
        <f t="shared" ref="P107:P138" si="110">D107-V_step_12/2</f>
        <v>18.5</v>
      </c>
      <c r="Q107" s="38">
        <f t="shared" ref="Q107:Q138" si="111">P107+V_step_12</f>
        <v>19.5</v>
      </c>
      <c r="R107" s="39">
        <f t="shared" si="43"/>
        <v>0.99159317574760353</v>
      </c>
      <c r="S107" s="39">
        <f t="shared" si="44"/>
        <v>0.99505457110481155</v>
      </c>
      <c r="T107" s="39">
        <f t="shared" si="45"/>
        <v>3.4613953572080192E-3</v>
      </c>
      <c r="U107" s="40">
        <f t="shared" ref="U107:U138" si="112">T107*(H_year-H_hy-H_hp-H_ice-H_typhoon)/6</f>
        <v>5.0294074540232518</v>
      </c>
      <c r="V107" s="40" t="str">
        <f t="shared" si="69"/>
        <v>H</v>
      </c>
      <c r="W107" s="163">
        <f t="shared" si="46"/>
        <v>100.58814908046503</v>
      </c>
      <c r="X107" s="176">
        <f t="shared" si="47"/>
        <v>603.52889448279018</v>
      </c>
    </row>
    <row r="108" spans="1:24" s="163" customFormat="1" ht="15.75" thickBot="1" x14ac:dyDescent="0.3">
      <c r="A108" s="229">
        <f t="shared" si="65"/>
        <v>728</v>
      </c>
      <c r="B108" s="230">
        <f t="shared" si="66"/>
        <v>98</v>
      </c>
      <c r="C108" s="218" t="str">
        <f t="shared" si="63"/>
        <v>L12X19-352_000_02</v>
      </c>
      <c r="D108" s="169">
        <f>D107</f>
        <v>19</v>
      </c>
      <c r="E108" s="173">
        <f t="shared" si="89"/>
        <v>2.7790000000000004</v>
      </c>
      <c r="F108" s="170">
        <f t="shared" si="102"/>
        <v>14.626315789473686</v>
      </c>
      <c r="G108" s="170">
        <f t="shared" si="78"/>
        <v>11.70105263157895</v>
      </c>
      <c r="H108" s="170">
        <f t="shared" si="79"/>
        <v>7.3131578947368432</v>
      </c>
      <c r="I108" s="170">
        <f t="shared" si="67"/>
        <v>8</v>
      </c>
      <c r="J108" s="171">
        <f>yaw_min</f>
        <v>-8</v>
      </c>
      <c r="K108" s="166" t="str">
        <f>D108&amp;-2</f>
        <v>19-2</v>
      </c>
      <c r="L108" s="170">
        <f t="shared" ref="L108:N108" si="113">L107</f>
        <v>0.2</v>
      </c>
      <c r="M108" s="170">
        <f t="shared" si="113"/>
        <v>150</v>
      </c>
      <c r="N108" s="170">
        <f t="shared" si="113"/>
        <v>750</v>
      </c>
      <c r="P108" s="38">
        <f t="shared" si="110"/>
        <v>18.5</v>
      </c>
      <c r="Q108" s="38">
        <f t="shared" si="111"/>
        <v>19.5</v>
      </c>
      <c r="R108" s="39">
        <f t="shared" si="43"/>
        <v>0.99159317574760353</v>
      </c>
      <c r="S108" s="39">
        <f t="shared" si="44"/>
        <v>0.99505457110481155</v>
      </c>
      <c r="T108" s="39">
        <f t="shared" si="45"/>
        <v>3.4613953572080192E-3</v>
      </c>
      <c r="U108" s="40">
        <f t="shared" si="112"/>
        <v>5.0294074540232518</v>
      </c>
      <c r="V108" s="40" t="str">
        <f t="shared" si="69"/>
        <v>H</v>
      </c>
      <c r="W108" s="163">
        <f t="shared" si="46"/>
        <v>100.58814908046503</v>
      </c>
      <c r="X108" s="176">
        <f t="shared" si="47"/>
        <v>603.52889448279018</v>
      </c>
    </row>
    <row r="109" spans="1:24" s="163" customFormat="1" ht="15.75" thickBot="1" x14ac:dyDescent="0.3">
      <c r="A109" s="229">
        <f t="shared" si="65"/>
        <v>729</v>
      </c>
      <c r="B109" s="230">
        <f t="shared" si="66"/>
        <v>99</v>
      </c>
      <c r="C109" s="218" t="str">
        <f t="shared" si="63"/>
        <v>L12X19-000_000_03</v>
      </c>
      <c r="D109" s="169">
        <f t="shared" ref="D109:D112" si="114">D108</f>
        <v>19</v>
      </c>
      <c r="E109" s="173">
        <f t="shared" si="89"/>
        <v>2.7790000000000004</v>
      </c>
      <c r="F109" s="170">
        <f t="shared" si="102"/>
        <v>14.626315789473686</v>
      </c>
      <c r="G109" s="170">
        <f t="shared" si="78"/>
        <v>11.70105263157895</v>
      </c>
      <c r="H109" s="170">
        <f t="shared" si="79"/>
        <v>7.3131578947368432</v>
      </c>
      <c r="I109" s="170">
        <f t="shared" si="67"/>
        <v>8</v>
      </c>
      <c r="J109" s="171">
        <f>yaw_null</f>
        <v>0</v>
      </c>
      <c r="K109" s="166" t="str">
        <f>D109&amp;-3</f>
        <v>19-3</v>
      </c>
      <c r="L109" s="170">
        <f t="shared" ref="L109:N109" si="115">L108</f>
        <v>0.2</v>
      </c>
      <c r="M109" s="170">
        <f t="shared" si="115"/>
        <v>150</v>
      </c>
      <c r="N109" s="170">
        <f t="shared" si="115"/>
        <v>750</v>
      </c>
      <c r="P109" s="38">
        <f t="shared" si="110"/>
        <v>18.5</v>
      </c>
      <c r="Q109" s="38">
        <f t="shared" si="111"/>
        <v>19.5</v>
      </c>
      <c r="R109" s="39">
        <f t="shared" si="43"/>
        <v>0.99159317574760353</v>
      </c>
      <c r="S109" s="39">
        <f t="shared" si="44"/>
        <v>0.99505457110481155</v>
      </c>
      <c r="T109" s="39">
        <f t="shared" si="45"/>
        <v>3.4613953572080192E-3</v>
      </c>
      <c r="U109" s="40">
        <f t="shared" si="112"/>
        <v>5.0294074540232518</v>
      </c>
      <c r="V109" s="40" t="str">
        <f t="shared" si="69"/>
        <v>H</v>
      </c>
      <c r="W109" s="163">
        <f t="shared" si="46"/>
        <v>100.58814908046503</v>
      </c>
      <c r="X109" s="176">
        <f t="shared" si="47"/>
        <v>603.52889448279018</v>
      </c>
    </row>
    <row r="110" spans="1:24" s="163" customFormat="1" ht="15.75" thickBot="1" x14ac:dyDescent="0.3">
      <c r="A110" s="229">
        <f t="shared" si="65"/>
        <v>730</v>
      </c>
      <c r="B110" s="230">
        <f t="shared" si="66"/>
        <v>100</v>
      </c>
      <c r="C110" s="218" t="str">
        <f t="shared" si="63"/>
        <v>L12X19-000_000_04</v>
      </c>
      <c r="D110" s="169">
        <f t="shared" si="114"/>
        <v>19</v>
      </c>
      <c r="E110" s="173">
        <f t="shared" si="89"/>
        <v>2.7790000000000004</v>
      </c>
      <c r="F110" s="170">
        <f t="shared" si="102"/>
        <v>14.626315789473686</v>
      </c>
      <c r="G110" s="170">
        <f t="shared" si="78"/>
        <v>11.70105263157895</v>
      </c>
      <c r="H110" s="170">
        <f t="shared" si="79"/>
        <v>7.3131578947368432</v>
      </c>
      <c r="I110" s="170">
        <f t="shared" si="67"/>
        <v>8</v>
      </c>
      <c r="J110" s="171">
        <f>yaw_null</f>
        <v>0</v>
      </c>
      <c r="K110" s="166" t="str">
        <f>D110&amp;-4</f>
        <v>19-4</v>
      </c>
      <c r="L110" s="170">
        <f t="shared" ref="L110:N110" si="116">L109</f>
        <v>0.2</v>
      </c>
      <c r="M110" s="170">
        <f t="shared" si="116"/>
        <v>150</v>
      </c>
      <c r="N110" s="170">
        <f t="shared" si="116"/>
        <v>750</v>
      </c>
      <c r="P110" s="38">
        <f t="shared" si="110"/>
        <v>18.5</v>
      </c>
      <c r="Q110" s="38">
        <f t="shared" si="111"/>
        <v>19.5</v>
      </c>
      <c r="R110" s="39">
        <f t="shared" si="43"/>
        <v>0.99159317574760353</v>
      </c>
      <c r="S110" s="39">
        <f t="shared" si="44"/>
        <v>0.99505457110481155</v>
      </c>
      <c r="T110" s="39">
        <f t="shared" si="45"/>
        <v>3.4613953572080192E-3</v>
      </c>
      <c r="U110" s="40">
        <f t="shared" si="112"/>
        <v>5.0294074540232518</v>
      </c>
      <c r="V110" s="40" t="str">
        <f t="shared" si="69"/>
        <v>H</v>
      </c>
      <c r="W110" s="163">
        <f t="shared" si="46"/>
        <v>100.58814908046503</v>
      </c>
      <c r="X110" s="176">
        <f t="shared" si="47"/>
        <v>603.52889448279018</v>
      </c>
    </row>
    <row r="111" spans="1:24" s="163" customFormat="1" ht="15.75" thickBot="1" x14ac:dyDescent="0.3">
      <c r="A111" s="229">
        <f t="shared" si="65"/>
        <v>731</v>
      </c>
      <c r="B111" s="230">
        <f t="shared" si="66"/>
        <v>101</v>
      </c>
      <c r="C111" s="218" t="str">
        <f t="shared" si="63"/>
        <v>L12X19-008_000_05</v>
      </c>
      <c r="D111" s="169">
        <f t="shared" si="114"/>
        <v>19</v>
      </c>
      <c r="E111" s="173">
        <f t="shared" si="89"/>
        <v>2.7790000000000004</v>
      </c>
      <c r="F111" s="170">
        <f t="shared" si="102"/>
        <v>14.626315789473686</v>
      </c>
      <c r="G111" s="170">
        <f t="shared" si="78"/>
        <v>11.70105263157895</v>
      </c>
      <c r="H111" s="170">
        <f t="shared" si="79"/>
        <v>7.3131578947368432</v>
      </c>
      <c r="I111" s="170">
        <f t="shared" si="67"/>
        <v>8</v>
      </c>
      <c r="J111" s="171">
        <f>yaw_max</f>
        <v>8</v>
      </c>
      <c r="K111" s="166" t="str">
        <f>D111&amp;-5</f>
        <v>19-5</v>
      </c>
      <c r="L111" s="170">
        <f t="shared" ref="L111:N111" si="117">L110</f>
        <v>0.2</v>
      </c>
      <c r="M111" s="170">
        <f t="shared" si="117"/>
        <v>150</v>
      </c>
      <c r="N111" s="170">
        <f t="shared" si="117"/>
        <v>750</v>
      </c>
      <c r="P111" s="38">
        <f t="shared" si="110"/>
        <v>18.5</v>
      </c>
      <c r="Q111" s="38">
        <f t="shared" si="111"/>
        <v>19.5</v>
      </c>
      <c r="R111" s="39">
        <f t="shared" si="43"/>
        <v>0.99159317574760353</v>
      </c>
      <c r="S111" s="39">
        <f t="shared" si="44"/>
        <v>0.99505457110481155</v>
      </c>
      <c r="T111" s="39">
        <f t="shared" si="45"/>
        <v>3.4613953572080192E-3</v>
      </c>
      <c r="U111" s="40">
        <f t="shared" si="112"/>
        <v>5.0294074540232518</v>
      </c>
      <c r="V111" s="40" t="str">
        <f t="shared" si="69"/>
        <v>H</v>
      </c>
      <c r="W111" s="163">
        <f t="shared" si="46"/>
        <v>100.58814908046503</v>
      </c>
      <c r="X111" s="176">
        <f t="shared" si="47"/>
        <v>603.52889448279018</v>
      </c>
    </row>
    <row r="112" spans="1:24" s="163" customFormat="1" ht="15.75" thickBot="1" x14ac:dyDescent="0.3">
      <c r="A112" s="229">
        <f t="shared" si="65"/>
        <v>732</v>
      </c>
      <c r="B112" s="230">
        <f t="shared" si="66"/>
        <v>102</v>
      </c>
      <c r="C112" s="218" t="str">
        <f t="shared" si="63"/>
        <v>L12X19-008_000_06</v>
      </c>
      <c r="D112" s="169">
        <f t="shared" si="114"/>
        <v>19</v>
      </c>
      <c r="E112" s="173">
        <f t="shared" si="89"/>
        <v>2.7790000000000004</v>
      </c>
      <c r="F112" s="170">
        <f t="shared" si="102"/>
        <v>14.626315789473686</v>
      </c>
      <c r="G112" s="170">
        <f t="shared" si="78"/>
        <v>11.70105263157895</v>
      </c>
      <c r="H112" s="170">
        <f t="shared" si="79"/>
        <v>7.3131578947368432</v>
      </c>
      <c r="I112" s="170">
        <f t="shared" si="67"/>
        <v>8</v>
      </c>
      <c r="J112" s="171">
        <f>yaw_max</f>
        <v>8</v>
      </c>
      <c r="K112" s="166" t="str">
        <f>D112&amp;-6</f>
        <v>19-6</v>
      </c>
      <c r="L112" s="170">
        <f t="shared" ref="L112:N112" si="118">L111</f>
        <v>0.2</v>
      </c>
      <c r="M112" s="170">
        <f t="shared" si="118"/>
        <v>150</v>
      </c>
      <c r="N112" s="170">
        <f t="shared" si="118"/>
        <v>750</v>
      </c>
      <c r="P112" s="38">
        <f t="shared" si="110"/>
        <v>18.5</v>
      </c>
      <c r="Q112" s="38">
        <f t="shared" si="111"/>
        <v>19.5</v>
      </c>
      <c r="R112" s="39">
        <f t="shared" si="43"/>
        <v>0.99159317574760353</v>
      </c>
      <c r="S112" s="39">
        <f t="shared" si="44"/>
        <v>0.99505457110481155</v>
      </c>
      <c r="T112" s="39">
        <f t="shared" si="45"/>
        <v>3.4613953572080192E-3</v>
      </c>
      <c r="U112" s="40">
        <f t="shared" si="112"/>
        <v>5.0294074540232518</v>
      </c>
      <c r="V112" s="40" t="str">
        <f t="shared" si="69"/>
        <v>H</v>
      </c>
      <c r="W112" s="163">
        <f t="shared" si="46"/>
        <v>100.58814908046503</v>
      </c>
      <c r="X112" s="176">
        <f t="shared" si="47"/>
        <v>603.52889448279018</v>
      </c>
    </row>
    <row r="113" spans="1:24" s="163" customFormat="1" ht="15.75" thickBot="1" x14ac:dyDescent="0.3">
      <c r="A113" s="229">
        <f t="shared" si="65"/>
        <v>733</v>
      </c>
      <c r="B113" s="230">
        <f t="shared" si="66"/>
        <v>103</v>
      </c>
      <c r="C113" s="218" t="str">
        <f t="shared" si="63"/>
        <v>L12X20-352_000_01</v>
      </c>
      <c r="D113" s="169">
        <f>D107+V_step_12</f>
        <v>20</v>
      </c>
      <c r="E113" s="173">
        <f t="shared" si="89"/>
        <v>2.8840000000000003</v>
      </c>
      <c r="F113" s="170">
        <f t="shared" si="102"/>
        <v>14.420000000000002</v>
      </c>
      <c r="G113" s="170">
        <f t="shared" si="78"/>
        <v>11.536000000000001</v>
      </c>
      <c r="H113" s="170">
        <f t="shared" si="79"/>
        <v>7.2100000000000009</v>
      </c>
      <c r="I113" s="170">
        <f t="shared" si="67"/>
        <v>8</v>
      </c>
      <c r="J113" s="171">
        <f>yaw_min</f>
        <v>-8</v>
      </c>
      <c r="K113" s="166" t="str">
        <f>D113&amp;-1</f>
        <v>20-1</v>
      </c>
      <c r="L113" s="170">
        <f t="shared" ref="L113:N113" si="119">L112</f>
        <v>0.2</v>
      </c>
      <c r="M113" s="170">
        <f t="shared" si="119"/>
        <v>150</v>
      </c>
      <c r="N113" s="170">
        <f t="shared" si="119"/>
        <v>750</v>
      </c>
      <c r="P113" s="38">
        <f t="shared" si="110"/>
        <v>19.5</v>
      </c>
      <c r="Q113" s="38">
        <f t="shared" si="111"/>
        <v>20.5</v>
      </c>
      <c r="R113" s="39">
        <f t="shared" ref="R113:R148" si="120">IF(wpd="Rayleigh",1-EXP(-PI()*((P113/2/v_ave)^2)),IF(wpd="Weibull",1-EXP(-((P113/weibull_A)^weibull_K))))</f>
        <v>0.99505457110481155</v>
      </c>
      <c r="S113" s="39">
        <f t="shared" ref="S113:S148" si="121">IF(wpd="Rayleigh",1-EXP(-PI()*((Q113/2/v_ave)^2)),IF(wpd="Weibull",1-EXP(-((Q113/weibull_A)^weibull_K))))</f>
        <v>0.99717090086597904</v>
      </c>
      <c r="T113" s="39">
        <f t="shared" ref="T113:T148" si="122">S113-R113</f>
        <v>2.1163297611674903E-3</v>
      </c>
      <c r="U113" s="40">
        <f t="shared" si="112"/>
        <v>3.0750271429763636</v>
      </c>
      <c r="V113" s="40" t="str">
        <f t="shared" si="69"/>
        <v>H</v>
      </c>
      <c r="W113" s="163">
        <f t="shared" ref="W113:W148" si="123">U113*20</f>
        <v>61.500542859527272</v>
      </c>
      <c r="X113" s="176">
        <f t="shared" ref="X113:X148" si="124">W113/(N113-M113)*3600</f>
        <v>369.0032571571636</v>
      </c>
    </row>
    <row r="114" spans="1:24" s="163" customFormat="1" ht="15.75" thickBot="1" x14ac:dyDescent="0.3">
      <c r="A114" s="229">
        <f t="shared" si="65"/>
        <v>734</v>
      </c>
      <c r="B114" s="230">
        <f t="shared" si="66"/>
        <v>104</v>
      </c>
      <c r="C114" s="218" t="str">
        <f t="shared" si="63"/>
        <v>L12X20-352_000_02</v>
      </c>
      <c r="D114" s="169">
        <f>D113</f>
        <v>20</v>
      </c>
      <c r="E114" s="173">
        <f t="shared" si="89"/>
        <v>2.8840000000000003</v>
      </c>
      <c r="F114" s="170">
        <f t="shared" si="102"/>
        <v>14.420000000000002</v>
      </c>
      <c r="G114" s="170">
        <f t="shared" si="78"/>
        <v>11.536000000000001</v>
      </c>
      <c r="H114" s="170">
        <f t="shared" si="79"/>
        <v>7.2100000000000009</v>
      </c>
      <c r="I114" s="170">
        <f t="shared" si="67"/>
        <v>8</v>
      </c>
      <c r="J114" s="171">
        <f>yaw_min</f>
        <v>-8</v>
      </c>
      <c r="K114" s="166" t="str">
        <f>D114&amp;-2</f>
        <v>20-2</v>
      </c>
      <c r="L114" s="170">
        <f t="shared" ref="L114:N114" si="125">L113</f>
        <v>0.2</v>
      </c>
      <c r="M114" s="170">
        <f t="shared" si="125"/>
        <v>150</v>
      </c>
      <c r="N114" s="170">
        <f t="shared" si="125"/>
        <v>750</v>
      </c>
      <c r="P114" s="38">
        <f t="shared" si="110"/>
        <v>19.5</v>
      </c>
      <c r="Q114" s="38">
        <f t="shared" si="111"/>
        <v>20.5</v>
      </c>
      <c r="R114" s="39">
        <f t="shared" si="120"/>
        <v>0.99505457110481155</v>
      </c>
      <c r="S114" s="39">
        <f t="shared" si="121"/>
        <v>0.99717090086597904</v>
      </c>
      <c r="T114" s="39">
        <f t="shared" si="122"/>
        <v>2.1163297611674903E-3</v>
      </c>
      <c r="U114" s="40">
        <f t="shared" si="112"/>
        <v>3.0750271429763636</v>
      </c>
      <c r="V114" s="40" t="str">
        <f t="shared" si="69"/>
        <v>H</v>
      </c>
      <c r="W114" s="163">
        <f t="shared" si="123"/>
        <v>61.500542859527272</v>
      </c>
      <c r="X114" s="176">
        <f t="shared" si="124"/>
        <v>369.0032571571636</v>
      </c>
    </row>
    <row r="115" spans="1:24" s="163" customFormat="1" ht="15.75" thickBot="1" x14ac:dyDescent="0.3">
      <c r="A115" s="229">
        <f t="shared" si="65"/>
        <v>735</v>
      </c>
      <c r="B115" s="230">
        <f t="shared" si="66"/>
        <v>105</v>
      </c>
      <c r="C115" s="218" t="str">
        <f t="shared" si="63"/>
        <v>L12X20-000_000_03</v>
      </c>
      <c r="D115" s="169">
        <f t="shared" ref="D115:D118" si="126">D114</f>
        <v>20</v>
      </c>
      <c r="E115" s="173">
        <f t="shared" si="89"/>
        <v>2.8840000000000003</v>
      </c>
      <c r="F115" s="170">
        <f t="shared" si="102"/>
        <v>14.420000000000002</v>
      </c>
      <c r="G115" s="170">
        <f t="shared" si="78"/>
        <v>11.536000000000001</v>
      </c>
      <c r="H115" s="170">
        <f t="shared" si="79"/>
        <v>7.2100000000000009</v>
      </c>
      <c r="I115" s="170">
        <f t="shared" si="67"/>
        <v>8</v>
      </c>
      <c r="J115" s="171">
        <f>yaw_null</f>
        <v>0</v>
      </c>
      <c r="K115" s="166" t="str">
        <f>D115&amp;-3</f>
        <v>20-3</v>
      </c>
      <c r="L115" s="170">
        <f t="shared" ref="L115:N115" si="127">L114</f>
        <v>0.2</v>
      </c>
      <c r="M115" s="170">
        <f t="shared" si="127"/>
        <v>150</v>
      </c>
      <c r="N115" s="170">
        <f t="shared" si="127"/>
        <v>750</v>
      </c>
      <c r="P115" s="38">
        <f t="shared" si="110"/>
        <v>19.5</v>
      </c>
      <c r="Q115" s="38">
        <f t="shared" si="111"/>
        <v>20.5</v>
      </c>
      <c r="R115" s="39">
        <f t="shared" si="120"/>
        <v>0.99505457110481155</v>
      </c>
      <c r="S115" s="39">
        <f t="shared" si="121"/>
        <v>0.99717090086597904</v>
      </c>
      <c r="T115" s="39">
        <f t="shared" si="122"/>
        <v>2.1163297611674903E-3</v>
      </c>
      <c r="U115" s="40">
        <f t="shared" si="112"/>
        <v>3.0750271429763636</v>
      </c>
      <c r="V115" s="40" t="str">
        <f t="shared" si="69"/>
        <v>H</v>
      </c>
      <c r="W115" s="163">
        <f t="shared" si="123"/>
        <v>61.500542859527272</v>
      </c>
      <c r="X115" s="176">
        <f t="shared" si="124"/>
        <v>369.0032571571636</v>
      </c>
    </row>
    <row r="116" spans="1:24" s="163" customFormat="1" ht="15.75" thickBot="1" x14ac:dyDescent="0.3">
      <c r="A116" s="229">
        <f t="shared" si="65"/>
        <v>736</v>
      </c>
      <c r="B116" s="230">
        <f t="shared" si="66"/>
        <v>106</v>
      </c>
      <c r="C116" s="218" t="str">
        <f t="shared" si="63"/>
        <v>L12X20-000_000_04</v>
      </c>
      <c r="D116" s="169">
        <f t="shared" si="126"/>
        <v>20</v>
      </c>
      <c r="E116" s="173">
        <f t="shared" si="89"/>
        <v>2.8840000000000003</v>
      </c>
      <c r="F116" s="170">
        <f t="shared" si="102"/>
        <v>14.420000000000002</v>
      </c>
      <c r="G116" s="170">
        <f t="shared" si="78"/>
        <v>11.536000000000001</v>
      </c>
      <c r="H116" s="170">
        <f t="shared" si="79"/>
        <v>7.2100000000000009</v>
      </c>
      <c r="I116" s="170">
        <f t="shared" si="67"/>
        <v>8</v>
      </c>
      <c r="J116" s="171">
        <f>yaw_null</f>
        <v>0</v>
      </c>
      <c r="K116" s="166" t="str">
        <f>D116&amp;-4</f>
        <v>20-4</v>
      </c>
      <c r="L116" s="170">
        <f t="shared" ref="L116:N116" si="128">L115</f>
        <v>0.2</v>
      </c>
      <c r="M116" s="170">
        <f t="shared" si="128"/>
        <v>150</v>
      </c>
      <c r="N116" s="170">
        <f t="shared" si="128"/>
        <v>750</v>
      </c>
      <c r="P116" s="38">
        <f t="shared" si="110"/>
        <v>19.5</v>
      </c>
      <c r="Q116" s="38">
        <f t="shared" si="111"/>
        <v>20.5</v>
      </c>
      <c r="R116" s="39">
        <f t="shared" si="120"/>
        <v>0.99505457110481155</v>
      </c>
      <c r="S116" s="39">
        <f t="shared" si="121"/>
        <v>0.99717090086597904</v>
      </c>
      <c r="T116" s="39">
        <f t="shared" si="122"/>
        <v>2.1163297611674903E-3</v>
      </c>
      <c r="U116" s="40">
        <f t="shared" si="112"/>
        <v>3.0750271429763636</v>
      </c>
      <c r="V116" s="40" t="str">
        <f t="shared" si="69"/>
        <v>H</v>
      </c>
      <c r="W116" s="163">
        <f t="shared" si="123"/>
        <v>61.500542859527272</v>
      </c>
      <c r="X116" s="176">
        <f t="shared" si="124"/>
        <v>369.0032571571636</v>
      </c>
    </row>
    <row r="117" spans="1:24" s="163" customFormat="1" ht="15.75" thickBot="1" x14ac:dyDescent="0.3">
      <c r="A117" s="229">
        <f t="shared" si="65"/>
        <v>737</v>
      </c>
      <c r="B117" s="230">
        <f t="shared" si="66"/>
        <v>107</v>
      </c>
      <c r="C117" s="218" t="str">
        <f t="shared" si="63"/>
        <v>L12X20-008_000_05</v>
      </c>
      <c r="D117" s="169">
        <f t="shared" si="126"/>
        <v>20</v>
      </c>
      <c r="E117" s="173">
        <f t="shared" si="89"/>
        <v>2.8840000000000003</v>
      </c>
      <c r="F117" s="170">
        <f t="shared" si="102"/>
        <v>14.420000000000002</v>
      </c>
      <c r="G117" s="170">
        <f t="shared" si="78"/>
        <v>11.536000000000001</v>
      </c>
      <c r="H117" s="170">
        <f t="shared" si="79"/>
        <v>7.2100000000000009</v>
      </c>
      <c r="I117" s="170">
        <f t="shared" si="67"/>
        <v>8</v>
      </c>
      <c r="J117" s="171">
        <f>yaw_max</f>
        <v>8</v>
      </c>
      <c r="K117" s="166" t="str">
        <f>D117&amp;-5</f>
        <v>20-5</v>
      </c>
      <c r="L117" s="170">
        <f t="shared" ref="L117:N117" si="129">L116</f>
        <v>0.2</v>
      </c>
      <c r="M117" s="170">
        <f t="shared" si="129"/>
        <v>150</v>
      </c>
      <c r="N117" s="170">
        <f t="shared" si="129"/>
        <v>750</v>
      </c>
      <c r="P117" s="38">
        <f t="shared" si="110"/>
        <v>19.5</v>
      </c>
      <c r="Q117" s="38">
        <f t="shared" si="111"/>
        <v>20.5</v>
      </c>
      <c r="R117" s="39">
        <f t="shared" si="120"/>
        <v>0.99505457110481155</v>
      </c>
      <c r="S117" s="39">
        <f t="shared" si="121"/>
        <v>0.99717090086597904</v>
      </c>
      <c r="T117" s="39">
        <f t="shared" si="122"/>
        <v>2.1163297611674903E-3</v>
      </c>
      <c r="U117" s="40">
        <f t="shared" si="112"/>
        <v>3.0750271429763636</v>
      </c>
      <c r="V117" s="40" t="str">
        <f t="shared" si="69"/>
        <v>H</v>
      </c>
      <c r="W117" s="163">
        <f t="shared" si="123"/>
        <v>61.500542859527272</v>
      </c>
      <c r="X117" s="176">
        <f t="shared" si="124"/>
        <v>369.0032571571636</v>
      </c>
    </row>
    <row r="118" spans="1:24" s="163" customFormat="1" ht="15.75" thickBot="1" x14ac:dyDescent="0.3">
      <c r="A118" s="229">
        <f t="shared" si="65"/>
        <v>738</v>
      </c>
      <c r="B118" s="230">
        <f t="shared" si="66"/>
        <v>108</v>
      </c>
      <c r="C118" s="218" t="str">
        <f t="shared" si="63"/>
        <v>L12X20-008_000_06</v>
      </c>
      <c r="D118" s="169">
        <f t="shared" si="126"/>
        <v>20</v>
      </c>
      <c r="E118" s="173">
        <f t="shared" si="89"/>
        <v>2.8840000000000003</v>
      </c>
      <c r="F118" s="170">
        <f t="shared" si="102"/>
        <v>14.420000000000002</v>
      </c>
      <c r="G118" s="170">
        <f t="shared" si="78"/>
        <v>11.536000000000001</v>
      </c>
      <c r="H118" s="170">
        <f t="shared" si="79"/>
        <v>7.2100000000000009</v>
      </c>
      <c r="I118" s="170">
        <f t="shared" si="67"/>
        <v>8</v>
      </c>
      <c r="J118" s="171">
        <f>yaw_max</f>
        <v>8</v>
      </c>
      <c r="K118" s="166" t="str">
        <f>D118&amp;-6</f>
        <v>20-6</v>
      </c>
      <c r="L118" s="170">
        <f t="shared" ref="L118:N118" si="130">L117</f>
        <v>0.2</v>
      </c>
      <c r="M118" s="170">
        <f t="shared" si="130"/>
        <v>150</v>
      </c>
      <c r="N118" s="170">
        <f t="shared" si="130"/>
        <v>750</v>
      </c>
      <c r="P118" s="38">
        <f t="shared" si="110"/>
        <v>19.5</v>
      </c>
      <c r="Q118" s="38">
        <f t="shared" si="111"/>
        <v>20.5</v>
      </c>
      <c r="R118" s="39">
        <f t="shared" si="120"/>
        <v>0.99505457110481155</v>
      </c>
      <c r="S118" s="39">
        <f t="shared" si="121"/>
        <v>0.99717090086597904</v>
      </c>
      <c r="T118" s="39">
        <f t="shared" si="122"/>
        <v>2.1163297611674903E-3</v>
      </c>
      <c r="U118" s="40">
        <f t="shared" si="112"/>
        <v>3.0750271429763636</v>
      </c>
      <c r="V118" s="40" t="str">
        <f t="shared" si="69"/>
        <v>H</v>
      </c>
      <c r="W118" s="163">
        <f t="shared" si="123"/>
        <v>61.500542859527272</v>
      </c>
      <c r="X118" s="176">
        <f t="shared" si="124"/>
        <v>369.0032571571636</v>
      </c>
    </row>
    <row r="119" spans="1:24" s="163" customFormat="1" ht="15.75" thickBot="1" x14ac:dyDescent="0.3">
      <c r="A119" s="229">
        <f t="shared" si="65"/>
        <v>739</v>
      </c>
      <c r="B119" s="230">
        <f t="shared" si="66"/>
        <v>109</v>
      </c>
      <c r="C119" s="218" t="str">
        <f t="shared" si="63"/>
        <v>L12X21-352_000_01</v>
      </c>
      <c r="D119" s="169">
        <f>D113+V_step_12</f>
        <v>21</v>
      </c>
      <c r="E119" s="173">
        <f t="shared" si="89"/>
        <v>2.9890000000000003</v>
      </c>
      <c r="F119" s="170">
        <f t="shared" si="102"/>
        <v>14.233333333333334</v>
      </c>
      <c r="G119" s="170">
        <f t="shared" si="78"/>
        <v>11.386666666666668</v>
      </c>
      <c r="H119" s="170">
        <f t="shared" si="79"/>
        <v>7.1166666666666671</v>
      </c>
      <c r="I119" s="170">
        <f t="shared" si="67"/>
        <v>8</v>
      </c>
      <c r="J119" s="171">
        <f>yaw_min</f>
        <v>-8</v>
      </c>
      <c r="K119" s="166" t="str">
        <f>D119&amp;-1</f>
        <v>21-1</v>
      </c>
      <c r="L119" s="170">
        <f t="shared" ref="L119:N119" si="131">L118</f>
        <v>0.2</v>
      </c>
      <c r="M119" s="170">
        <f t="shared" si="131"/>
        <v>150</v>
      </c>
      <c r="N119" s="170">
        <f t="shared" si="131"/>
        <v>750</v>
      </c>
      <c r="P119" s="38">
        <f t="shared" si="110"/>
        <v>20.5</v>
      </c>
      <c r="Q119" s="38">
        <f t="shared" si="111"/>
        <v>21.5</v>
      </c>
      <c r="R119" s="39">
        <f t="shared" si="120"/>
        <v>0.99717090086597904</v>
      </c>
      <c r="S119" s="39">
        <f t="shared" si="121"/>
        <v>0.99842614550152831</v>
      </c>
      <c r="T119" s="39">
        <f t="shared" si="122"/>
        <v>1.2552446355492686E-3</v>
      </c>
      <c r="U119" s="40">
        <f t="shared" si="112"/>
        <v>1.8238704554530871</v>
      </c>
      <c r="V119" s="40" t="str">
        <f t="shared" si="69"/>
        <v>H</v>
      </c>
      <c r="W119" s="163">
        <f t="shared" si="123"/>
        <v>36.477409109061739</v>
      </c>
      <c r="X119" s="176">
        <f t="shared" si="124"/>
        <v>218.86445465437043</v>
      </c>
    </row>
    <row r="120" spans="1:24" s="163" customFormat="1" ht="15.75" thickBot="1" x14ac:dyDescent="0.3">
      <c r="A120" s="229">
        <f t="shared" si="65"/>
        <v>740</v>
      </c>
      <c r="B120" s="230">
        <f t="shared" si="66"/>
        <v>110</v>
      </c>
      <c r="C120" s="218" t="str">
        <f t="shared" si="63"/>
        <v>L12X21-352_000_02</v>
      </c>
      <c r="D120" s="169">
        <f>D119</f>
        <v>21</v>
      </c>
      <c r="E120" s="173">
        <f t="shared" si="89"/>
        <v>2.9890000000000003</v>
      </c>
      <c r="F120" s="170">
        <f t="shared" si="102"/>
        <v>14.233333333333334</v>
      </c>
      <c r="G120" s="170">
        <f t="shared" si="78"/>
        <v>11.386666666666668</v>
      </c>
      <c r="H120" s="170">
        <f t="shared" si="79"/>
        <v>7.1166666666666671</v>
      </c>
      <c r="I120" s="170">
        <f t="shared" si="67"/>
        <v>8</v>
      </c>
      <c r="J120" s="171">
        <f>yaw_min</f>
        <v>-8</v>
      </c>
      <c r="K120" s="166" t="str">
        <f>D120&amp;-2</f>
        <v>21-2</v>
      </c>
      <c r="L120" s="170">
        <f t="shared" ref="L120:N120" si="132">L119</f>
        <v>0.2</v>
      </c>
      <c r="M120" s="170">
        <f t="shared" si="132"/>
        <v>150</v>
      </c>
      <c r="N120" s="170">
        <f t="shared" si="132"/>
        <v>750</v>
      </c>
      <c r="P120" s="38">
        <f t="shared" si="110"/>
        <v>20.5</v>
      </c>
      <c r="Q120" s="38">
        <f t="shared" si="111"/>
        <v>21.5</v>
      </c>
      <c r="R120" s="39">
        <f t="shared" si="120"/>
        <v>0.99717090086597904</v>
      </c>
      <c r="S120" s="39">
        <f t="shared" si="121"/>
        <v>0.99842614550152831</v>
      </c>
      <c r="T120" s="39">
        <f t="shared" si="122"/>
        <v>1.2552446355492686E-3</v>
      </c>
      <c r="U120" s="40">
        <f t="shared" si="112"/>
        <v>1.8238704554530871</v>
      </c>
      <c r="V120" s="40" t="str">
        <f t="shared" si="69"/>
        <v>H</v>
      </c>
      <c r="W120" s="163">
        <f t="shared" si="123"/>
        <v>36.477409109061739</v>
      </c>
      <c r="X120" s="176">
        <f t="shared" si="124"/>
        <v>218.86445465437043</v>
      </c>
    </row>
    <row r="121" spans="1:24" s="163" customFormat="1" ht="15.75" thickBot="1" x14ac:dyDescent="0.3">
      <c r="A121" s="229">
        <f t="shared" si="65"/>
        <v>741</v>
      </c>
      <c r="B121" s="230">
        <f t="shared" si="66"/>
        <v>111</v>
      </c>
      <c r="C121" s="218" t="str">
        <f t="shared" si="63"/>
        <v>L12X21-000_000_03</v>
      </c>
      <c r="D121" s="169">
        <f t="shared" ref="D121:D124" si="133">D120</f>
        <v>21</v>
      </c>
      <c r="E121" s="173">
        <f t="shared" si="89"/>
        <v>2.9890000000000003</v>
      </c>
      <c r="F121" s="170">
        <f t="shared" si="102"/>
        <v>14.233333333333334</v>
      </c>
      <c r="G121" s="170">
        <f t="shared" si="78"/>
        <v>11.386666666666668</v>
      </c>
      <c r="H121" s="170">
        <f t="shared" si="79"/>
        <v>7.1166666666666671</v>
      </c>
      <c r="I121" s="170">
        <f t="shared" si="67"/>
        <v>8</v>
      </c>
      <c r="J121" s="171">
        <f>yaw_null</f>
        <v>0</v>
      </c>
      <c r="K121" s="166" t="str">
        <f>D121&amp;-3</f>
        <v>21-3</v>
      </c>
      <c r="L121" s="170">
        <f t="shared" ref="L121:N121" si="134">L120</f>
        <v>0.2</v>
      </c>
      <c r="M121" s="170">
        <f t="shared" si="134"/>
        <v>150</v>
      </c>
      <c r="N121" s="170">
        <f t="shared" si="134"/>
        <v>750</v>
      </c>
      <c r="P121" s="38">
        <f t="shared" si="110"/>
        <v>20.5</v>
      </c>
      <c r="Q121" s="38">
        <f t="shared" si="111"/>
        <v>21.5</v>
      </c>
      <c r="R121" s="39">
        <f t="shared" si="120"/>
        <v>0.99717090086597904</v>
      </c>
      <c r="S121" s="39">
        <f t="shared" si="121"/>
        <v>0.99842614550152831</v>
      </c>
      <c r="T121" s="39">
        <f t="shared" si="122"/>
        <v>1.2552446355492686E-3</v>
      </c>
      <c r="U121" s="40">
        <f t="shared" si="112"/>
        <v>1.8238704554530871</v>
      </c>
      <c r="V121" s="40" t="str">
        <f t="shared" si="69"/>
        <v>H</v>
      </c>
      <c r="W121" s="163">
        <f t="shared" si="123"/>
        <v>36.477409109061739</v>
      </c>
      <c r="X121" s="176">
        <f t="shared" si="124"/>
        <v>218.86445465437043</v>
      </c>
    </row>
    <row r="122" spans="1:24" s="163" customFormat="1" ht="15.75" thickBot="1" x14ac:dyDescent="0.3">
      <c r="A122" s="229">
        <f t="shared" si="65"/>
        <v>742</v>
      </c>
      <c r="B122" s="230">
        <f t="shared" si="66"/>
        <v>112</v>
      </c>
      <c r="C122" s="218" t="str">
        <f t="shared" si="63"/>
        <v>L12X21-000_000_04</v>
      </c>
      <c r="D122" s="169">
        <f t="shared" si="133"/>
        <v>21</v>
      </c>
      <c r="E122" s="173">
        <f t="shared" si="89"/>
        <v>2.9890000000000003</v>
      </c>
      <c r="F122" s="170">
        <f t="shared" si="102"/>
        <v>14.233333333333334</v>
      </c>
      <c r="G122" s="170">
        <f t="shared" si="78"/>
        <v>11.386666666666668</v>
      </c>
      <c r="H122" s="170">
        <f t="shared" si="79"/>
        <v>7.1166666666666671</v>
      </c>
      <c r="I122" s="170">
        <f t="shared" si="67"/>
        <v>8</v>
      </c>
      <c r="J122" s="171">
        <f>yaw_null</f>
        <v>0</v>
      </c>
      <c r="K122" s="166" t="str">
        <f>D122&amp;-4</f>
        <v>21-4</v>
      </c>
      <c r="L122" s="170">
        <f t="shared" ref="L122:N122" si="135">L121</f>
        <v>0.2</v>
      </c>
      <c r="M122" s="170">
        <f t="shared" si="135"/>
        <v>150</v>
      </c>
      <c r="N122" s="170">
        <f t="shared" si="135"/>
        <v>750</v>
      </c>
      <c r="P122" s="38">
        <f t="shared" si="110"/>
        <v>20.5</v>
      </c>
      <c r="Q122" s="38">
        <f t="shared" si="111"/>
        <v>21.5</v>
      </c>
      <c r="R122" s="39">
        <f t="shared" si="120"/>
        <v>0.99717090086597904</v>
      </c>
      <c r="S122" s="39">
        <f t="shared" si="121"/>
        <v>0.99842614550152831</v>
      </c>
      <c r="T122" s="39">
        <f t="shared" si="122"/>
        <v>1.2552446355492686E-3</v>
      </c>
      <c r="U122" s="40">
        <f t="shared" si="112"/>
        <v>1.8238704554530871</v>
      </c>
      <c r="V122" s="40" t="str">
        <f t="shared" si="69"/>
        <v>H</v>
      </c>
      <c r="W122" s="163">
        <f t="shared" si="123"/>
        <v>36.477409109061739</v>
      </c>
      <c r="X122" s="176">
        <f t="shared" si="124"/>
        <v>218.86445465437043</v>
      </c>
    </row>
    <row r="123" spans="1:24" s="163" customFormat="1" ht="15.75" thickBot="1" x14ac:dyDescent="0.3">
      <c r="A123" s="229">
        <f t="shared" si="65"/>
        <v>743</v>
      </c>
      <c r="B123" s="230">
        <f t="shared" si="66"/>
        <v>113</v>
      </c>
      <c r="C123" s="218" t="str">
        <f t="shared" si="63"/>
        <v>L12X21-008_000_05</v>
      </c>
      <c r="D123" s="169">
        <f t="shared" si="133"/>
        <v>21</v>
      </c>
      <c r="E123" s="173">
        <f t="shared" si="89"/>
        <v>2.9890000000000003</v>
      </c>
      <c r="F123" s="170">
        <f t="shared" si="102"/>
        <v>14.233333333333334</v>
      </c>
      <c r="G123" s="170">
        <f t="shared" si="78"/>
        <v>11.386666666666668</v>
      </c>
      <c r="H123" s="170">
        <f t="shared" si="79"/>
        <v>7.1166666666666671</v>
      </c>
      <c r="I123" s="170">
        <f t="shared" si="67"/>
        <v>8</v>
      </c>
      <c r="J123" s="171">
        <f>yaw_max</f>
        <v>8</v>
      </c>
      <c r="K123" s="166" t="str">
        <f>D123&amp;-5</f>
        <v>21-5</v>
      </c>
      <c r="L123" s="170">
        <f t="shared" ref="L123:N123" si="136">L122</f>
        <v>0.2</v>
      </c>
      <c r="M123" s="170">
        <f t="shared" si="136"/>
        <v>150</v>
      </c>
      <c r="N123" s="170">
        <f t="shared" si="136"/>
        <v>750</v>
      </c>
      <c r="P123" s="38">
        <f t="shared" si="110"/>
        <v>20.5</v>
      </c>
      <c r="Q123" s="38">
        <f t="shared" si="111"/>
        <v>21.5</v>
      </c>
      <c r="R123" s="39">
        <f t="shared" si="120"/>
        <v>0.99717090086597904</v>
      </c>
      <c r="S123" s="39">
        <f t="shared" si="121"/>
        <v>0.99842614550152831</v>
      </c>
      <c r="T123" s="39">
        <f t="shared" si="122"/>
        <v>1.2552446355492686E-3</v>
      </c>
      <c r="U123" s="40">
        <f t="shared" si="112"/>
        <v>1.8238704554530871</v>
      </c>
      <c r="V123" s="40" t="str">
        <f t="shared" si="69"/>
        <v>H</v>
      </c>
      <c r="W123" s="163">
        <f t="shared" si="123"/>
        <v>36.477409109061739</v>
      </c>
      <c r="X123" s="176">
        <f t="shared" si="124"/>
        <v>218.86445465437043</v>
      </c>
    </row>
    <row r="124" spans="1:24" s="163" customFormat="1" ht="15.75" thickBot="1" x14ac:dyDescent="0.3">
      <c r="A124" s="229">
        <f t="shared" si="65"/>
        <v>744</v>
      </c>
      <c r="B124" s="230">
        <f t="shared" si="66"/>
        <v>114</v>
      </c>
      <c r="C124" s="218" t="str">
        <f t="shared" si="63"/>
        <v>L12X21-008_000_06</v>
      </c>
      <c r="D124" s="169">
        <f t="shared" si="133"/>
        <v>21</v>
      </c>
      <c r="E124" s="173">
        <f t="shared" si="89"/>
        <v>2.9890000000000003</v>
      </c>
      <c r="F124" s="170">
        <f t="shared" si="102"/>
        <v>14.233333333333334</v>
      </c>
      <c r="G124" s="170">
        <f t="shared" si="78"/>
        <v>11.386666666666668</v>
      </c>
      <c r="H124" s="170">
        <f t="shared" si="79"/>
        <v>7.1166666666666671</v>
      </c>
      <c r="I124" s="170">
        <f t="shared" si="67"/>
        <v>8</v>
      </c>
      <c r="J124" s="171">
        <f>yaw_max</f>
        <v>8</v>
      </c>
      <c r="K124" s="166" t="str">
        <f>D124&amp;-6</f>
        <v>21-6</v>
      </c>
      <c r="L124" s="170">
        <f t="shared" ref="L124:N124" si="137">L123</f>
        <v>0.2</v>
      </c>
      <c r="M124" s="170">
        <f t="shared" si="137"/>
        <v>150</v>
      </c>
      <c r="N124" s="170">
        <f t="shared" si="137"/>
        <v>750</v>
      </c>
      <c r="P124" s="38">
        <f t="shared" si="110"/>
        <v>20.5</v>
      </c>
      <c r="Q124" s="38">
        <f t="shared" si="111"/>
        <v>21.5</v>
      </c>
      <c r="R124" s="39">
        <f t="shared" si="120"/>
        <v>0.99717090086597904</v>
      </c>
      <c r="S124" s="39">
        <f t="shared" si="121"/>
        <v>0.99842614550152831</v>
      </c>
      <c r="T124" s="39">
        <f t="shared" si="122"/>
        <v>1.2552446355492686E-3</v>
      </c>
      <c r="U124" s="40">
        <f t="shared" si="112"/>
        <v>1.8238704554530871</v>
      </c>
      <c r="V124" s="40" t="str">
        <f t="shared" si="69"/>
        <v>H</v>
      </c>
      <c r="W124" s="163">
        <f t="shared" si="123"/>
        <v>36.477409109061739</v>
      </c>
      <c r="X124" s="176">
        <f t="shared" si="124"/>
        <v>218.86445465437043</v>
      </c>
    </row>
    <row r="125" spans="1:24" s="163" customFormat="1" ht="15.75" thickBot="1" x14ac:dyDescent="0.3">
      <c r="A125" s="229">
        <f t="shared" si="65"/>
        <v>745</v>
      </c>
      <c r="B125" s="230">
        <f t="shared" si="66"/>
        <v>115</v>
      </c>
      <c r="C125" s="218" t="str">
        <f t="shared" si="63"/>
        <v>L12X22-352_000_01</v>
      </c>
      <c r="D125" s="169">
        <f>D119+V_step_12</f>
        <v>22</v>
      </c>
      <c r="E125" s="173">
        <f t="shared" si="89"/>
        <v>3.0940000000000003</v>
      </c>
      <c r="F125" s="170">
        <f>E125/D125*100</f>
        <v>14.063636363636364</v>
      </c>
      <c r="G125" s="170">
        <f t="shared" si="78"/>
        <v>11.250909090909092</v>
      </c>
      <c r="H125" s="170">
        <f t="shared" si="79"/>
        <v>7.0318181818181822</v>
      </c>
      <c r="I125" s="170">
        <f t="shared" si="67"/>
        <v>8</v>
      </c>
      <c r="J125" s="171">
        <f>yaw_min</f>
        <v>-8</v>
      </c>
      <c r="K125" s="166" t="str">
        <f>D125&amp;-1</f>
        <v>22-1</v>
      </c>
      <c r="L125" s="170">
        <f t="shared" ref="L125:N125" si="138">L124</f>
        <v>0.2</v>
      </c>
      <c r="M125" s="170">
        <f t="shared" si="138"/>
        <v>150</v>
      </c>
      <c r="N125" s="170">
        <f t="shared" si="138"/>
        <v>750</v>
      </c>
      <c r="P125" s="38">
        <f t="shared" si="110"/>
        <v>21.5</v>
      </c>
      <c r="Q125" s="38">
        <f t="shared" si="111"/>
        <v>22.5</v>
      </c>
      <c r="R125" s="39">
        <f t="shared" si="120"/>
        <v>0.99842614550152831</v>
      </c>
      <c r="S125" s="39">
        <f t="shared" si="121"/>
        <v>0.99914856165719479</v>
      </c>
      <c r="T125" s="39">
        <f t="shared" si="122"/>
        <v>7.2241615566648321E-4</v>
      </c>
      <c r="U125" s="40">
        <f t="shared" si="112"/>
        <v>1.0496706741834001</v>
      </c>
      <c r="V125" s="40" t="str">
        <f t="shared" si="69"/>
        <v>H</v>
      </c>
      <c r="W125" s="163">
        <f t="shared" si="123"/>
        <v>20.993413483668</v>
      </c>
      <c r="X125" s="176">
        <f t="shared" si="124"/>
        <v>125.96048090200799</v>
      </c>
    </row>
    <row r="126" spans="1:24" s="163" customFormat="1" ht="15.75" thickBot="1" x14ac:dyDescent="0.3">
      <c r="A126" s="229">
        <f t="shared" si="65"/>
        <v>746</v>
      </c>
      <c r="B126" s="230">
        <f t="shared" si="66"/>
        <v>116</v>
      </c>
      <c r="C126" s="218" t="str">
        <f t="shared" si="63"/>
        <v>L12X22-352_000_02</v>
      </c>
      <c r="D126" s="169">
        <f>D125</f>
        <v>22</v>
      </c>
      <c r="E126" s="173">
        <f t="shared" si="89"/>
        <v>3.0940000000000003</v>
      </c>
      <c r="F126" s="170">
        <f t="shared" ref="F126:F142" si="139">E126/D126*100</f>
        <v>14.063636363636364</v>
      </c>
      <c r="G126" s="170">
        <f t="shared" ref="G126:G148" si="140">m_ty*F126</f>
        <v>11.250909090909092</v>
      </c>
      <c r="H126" s="170">
        <f t="shared" ref="H126:H148" si="141">m_tz*F126</f>
        <v>7.0318181818181822</v>
      </c>
      <c r="I126" s="170">
        <f t="shared" si="67"/>
        <v>8</v>
      </c>
      <c r="J126" s="171">
        <f>yaw_min</f>
        <v>-8</v>
      </c>
      <c r="K126" s="166" t="str">
        <f>D126&amp;-2</f>
        <v>22-2</v>
      </c>
      <c r="L126" s="170">
        <f t="shared" ref="L126:N126" si="142">L125</f>
        <v>0.2</v>
      </c>
      <c r="M126" s="170">
        <f t="shared" si="142"/>
        <v>150</v>
      </c>
      <c r="N126" s="170">
        <f t="shared" si="142"/>
        <v>750</v>
      </c>
      <c r="P126" s="38">
        <f t="shared" si="110"/>
        <v>21.5</v>
      </c>
      <c r="Q126" s="38">
        <f t="shared" si="111"/>
        <v>22.5</v>
      </c>
      <c r="R126" s="39">
        <f t="shared" si="120"/>
        <v>0.99842614550152831</v>
      </c>
      <c r="S126" s="39">
        <f t="shared" si="121"/>
        <v>0.99914856165719479</v>
      </c>
      <c r="T126" s="39">
        <f t="shared" si="122"/>
        <v>7.2241615566648321E-4</v>
      </c>
      <c r="U126" s="40">
        <f t="shared" si="112"/>
        <v>1.0496706741834001</v>
      </c>
      <c r="V126" s="40" t="str">
        <f t="shared" si="69"/>
        <v>H</v>
      </c>
      <c r="W126" s="163">
        <f t="shared" si="123"/>
        <v>20.993413483668</v>
      </c>
      <c r="X126" s="176">
        <f t="shared" si="124"/>
        <v>125.96048090200799</v>
      </c>
    </row>
    <row r="127" spans="1:24" s="163" customFormat="1" ht="15.75" thickBot="1" x14ac:dyDescent="0.3">
      <c r="A127" s="229">
        <f t="shared" si="65"/>
        <v>747</v>
      </c>
      <c r="B127" s="230">
        <f t="shared" si="66"/>
        <v>117</v>
      </c>
      <c r="C127" s="218" t="str">
        <f t="shared" si="63"/>
        <v>L12X22-000_000_03</v>
      </c>
      <c r="D127" s="169">
        <f t="shared" ref="D127:D130" si="143">D126</f>
        <v>22</v>
      </c>
      <c r="E127" s="173">
        <f t="shared" si="89"/>
        <v>3.0940000000000003</v>
      </c>
      <c r="F127" s="170">
        <f t="shared" si="139"/>
        <v>14.063636363636364</v>
      </c>
      <c r="G127" s="170">
        <f t="shared" si="140"/>
        <v>11.250909090909092</v>
      </c>
      <c r="H127" s="170">
        <f t="shared" si="141"/>
        <v>7.0318181818181822</v>
      </c>
      <c r="I127" s="170">
        <f t="shared" si="67"/>
        <v>8</v>
      </c>
      <c r="J127" s="171">
        <f>yaw_null</f>
        <v>0</v>
      </c>
      <c r="K127" s="166" t="str">
        <f>D127&amp;-3</f>
        <v>22-3</v>
      </c>
      <c r="L127" s="170">
        <f t="shared" ref="L127:N127" si="144">L126</f>
        <v>0.2</v>
      </c>
      <c r="M127" s="170">
        <f t="shared" si="144"/>
        <v>150</v>
      </c>
      <c r="N127" s="170">
        <f t="shared" si="144"/>
        <v>750</v>
      </c>
      <c r="P127" s="38">
        <f t="shared" si="110"/>
        <v>21.5</v>
      </c>
      <c r="Q127" s="38">
        <f t="shared" si="111"/>
        <v>22.5</v>
      </c>
      <c r="R127" s="39">
        <f t="shared" si="120"/>
        <v>0.99842614550152831</v>
      </c>
      <c r="S127" s="39">
        <f t="shared" si="121"/>
        <v>0.99914856165719479</v>
      </c>
      <c r="T127" s="39">
        <f t="shared" si="122"/>
        <v>7.2241615566648321E-4</v>
      </c>
      <c r="U127" s="40">
        <f t="shared" si="112"/>
        <v>1.0496706741834001</v>
      </c>
      <c r="V127" s="40" t="str">
        <f t="shared" si="69"/>
        <v>H</v>
      </c>
      <c r="W127" s="163">
        <f t="shared" si="123"/>
        <v>20.993413483668</v>
      </c>
      <c r="X127" s="176">
        <f t="shared" si="124"/>
        <v>125.96048090200799</v>
      </c>
    </row>
    <row r="128" spans="1:24" s="163" customFormat="1" ht="15.75" thickBot="1" x14ac:dyDescent="0.3">
      <c r="A128" s="229">
        <f t="shared" si="65"/>
        <v>748</v>
      </c>
      <c r="B128" s="230">
        <f t="shared" si="66"/>
        <v>118</v>
      </c>
      <c r="C128" s="218" t="str">
        <f t="shared" si="63"/>
        <v>L12X22-000_000_04</v>
      </c>
      <c r="D128" s="169">
        <f t="shared" si="143"/>
        <v>22</v>
      </c>
      <c r="E128" s="173">
        <f t="shared" si="89"/>
        <v>3.0940000000000003</v>
      </c>
      <c r="F128" s="170">
        <f t="shared" si="139"/>
        <v>14.063636363636364</v>
      </c>
      <c r="G128" s="170">
        <f t="shared" si="140"/>
        <v>11.250909090909092</v>
      </c>
      <c r="H128" s="170">
        <f t="shared" si="141"/>
        <v>7.0318181818181822</v>
      </c>
      <c r="I128" s="170">
        <f t="shared" si="67"/>
        <v>8</v>
      </c>
      <c r="J128" s="171">
        <f>yaw_null</f>
        <v>0</v>
      </c>
      <c r="K128" s="166" t="str">
        <f>D128&amp;-4</f>
        <v>22-4</v>
      </c>
      <c r="L128" s="170">
        <f t="shared" ref="L128:N128" si="145">L127</f>
        <v>0.2</v>
      </c>
      <c r="M128" s="170">
        <f t="shared" si="145"/>
        <v>150</v>
      </c>
      <c r="N128" s="170">
        <f t="shared" si="145"/>
        <v>750</v>
      </c>
      <c r="P128" s="38">
        <f t="shared" si="110"/>
        <v>21.5</v>
      </c>
      <c r="Q128" s="38">
        <f t="shared" si="111"/>
        <v>22.5</v>
      </c>
      <c r="R128" s="39">
        <f t="shared" si="120"/>
        <v>0.99842614550152831</v>
      </c>
      <c r="S128" s="39">
        <f t="shared" si="121"/>
        <v>0.99914856165719479</v>
      </c>
      <c r="T128" s="39">
        <f t="shared" si="122"/>
        <v>7.2241615566648321E-4</v>
      </c>
      <c r="U128" s="40">
        <f t="shared" si="112"/>
        <v>1.0496706741834001</v>
      </c>
      <c r="V128" s="40" t="str">
        <f t="shared" si="69"/>
        <v>H</v>
      </c>
      <c r="W128" s="163">
        <f t="shared" si="123"/>
        <v>20.993413483668</v>
      </c>
      <c r="X128" s="176">
        <f t="shared" si="124"/>
        <v>125.96048090200799</v>
      </c>
    </row>
    <row r="129" spans="1:24" s="163" customFormat="1" ht="15.75" thickBot="1" x14ac:dyDescent="0.3">
      <c r="A129" s="229">
        <f t="shared" si="65"/>
        <v>749</v>
      </c>
      <c r="B129" s="230">
        <f t="shared" si="66"/>
        <v>119</v>
      </c>
      <c r="C129" s="218" t="str">
        <f t="shared" si="63"/>
        <v>L12X22-008_000_05</v>
      </c>
      <c r="D129" s="169">
        <f t="shared" si="143"/>
        <v>22</v>
      </c>
      <c r="E129" s="173">
        <f t="shared" si="89"/>
        <v>3.0940000000000003</v>
      </c>
      <c r="F129" s="170">
        <f t="shared" si="139"/>
        <v>14.063636363636364</v>
      </c>
      <c r="G129" s="170">
        <f t="shared" si="140"/>
        <v>11.250909090909092</v>
      </c>
      <c r="H129" s="170">
        <f t="shared" si="141"/>
        <v>7.0318181818181822</v>
      </c>
      <c r="I129" s="170">
        <f t="shared" si="67"/>
        <v>8</v>
      </c>
      <c r="J129" s="171">
        <f>yaw_max</f>
        <v>8</v>
      </c>
      <c r="K129" s="166" t="str">
        <f>D129&amp;-5</f>
        <v>22-5</v>
      </c>
      <c r="L129" s="170">
        <f t="shared" ref="L129:N129" si="146">L128</f>
        <v>0.2</v>
      </c>
      <c r="M129" s="170">
        <f t="shared" si="146"/>
        <v>150</v>
      </c>
      <c r="N129" s="170">
        <f t="shared" si="146"/>
        <v>750</v>
      </c>
      <c r="P129" s="38">
        <f t="shared" si="110"/>
        <v>21.5</v>
      </c>
      <c r="Q129" s="38">
        <f t="shared" si="111"/>
        <v>22.5</v>
      </c>
      <c r="R129" s="39">
        <f t="shared" si="120"/>
        <v>0.99842614550152831</v>
      </c>
      <c r="S129" s="39">
        <f t="shared" si="121"/>
        <v>0.99914856165719479</v>
      </c>
      <c r="T129" s="39">
        <f t="shared" si="122"/>
        <v>7.2241615566648321E-4</v>
      </c>
      <c r="U129" s="40">
        <f t="shared" si="112"/>
        <v>1.0496706741834001</v>
      </c>
      <c r="V129" s="40" t="str">
        <f t="shared" si="69"/>
        <v>H</v>
      </c>
      <c r="W129" s="163">
        <f t="shared" si="123"/>
        <v>20.993413483668</v>
      </c>
      <c r="X129" s="176">
        <f t="shared" si="124"/>
        <v>125.96048090200799</v>
      </c>
    </row>
    <row r="130" spans="1:24" s="163" customFormat="1" ht="15.75" thickBot="1" x14ac:dyDescent="0.3">
      <c r="A130" s="229">
        <f t="shared" si="65"/>
        <v>750</v>
      </c>
      <c r="B130" s="230">
        <f t="shared" si="66"/>
        <v>120</v>
      </c>
      <c r="C130" s="218" t="str">
        <f t="shared" si="63"/>
        <v>L12X22-008_000_06</v>
      </c>
      <c r="D130" s="169">
        <f t="shared" si="143"/>
        <v>22</v>
      </c>
      <c r="E130" s="173">
        <f t="shared" si="89"/>
        <v>3.0940000000000003</v>
      </c>
      <c r="F130" s="170">
        <f t="shared" si="139"/>
        <v>14.063636363636364</v>
      </c>
      <c r="G130" s="170">
        <f t="shared" si="140"/>
        <v>11.250909090909092</v>
      </c>
      <c r="H130" s="170">
        <f t="shared" si="141"/>
        <v>7.0318181818181822</v>
      </c>
      <c r="I130" s="170">
        <f t="shared" si="67"/>
        <v>8</v>
      </c>
      <c r="J130" s="171">
        <f>yaw_max</f>
        <v>8</v>
      </c>
      <c r="K130" s="166" t="str">
        <f>D130&amp;-6</f>
        <v>22-6</v>
      </c>
      <c r="L130" s="170">
        <f t="shared" ref="L130:N130" si="147">L129</f>
        <v>0.2</v>
      </c>
      <c r="M130" s="170">
        <f t="shared" si="147"/>
        <v>150</v>
      </c>
      <c r="N130" s="170">
        <f t="shared" si="147"/>
        <v>750</v>
      </c>
      <c r="P130" s="38">
        <f t="shared" si="110"/>
        <v>21.5</v>
      </c>
      <c r="Q130" s="38">
        <f t="shared" si="111"/>
        <v>22.5</v>
      </c>
      <c r="R130" s="39">
        <f t="shared" si="120"/>
        <v>0.99842614550152831</v>
      </c>
      <c r="S130" s="39">
        <f t="shared" si="121"/>
        <v>0.99914856165719479</v>
      </c>
      <c r="T130" s="39">
        <f t="shared" si="122"/>
        <v>7.2241615566648321E-4</v>
      </c>
      <c r="U130" s="40">
        <f t="shared" si="112"/>
        <v>1.0496706741834001</v>
      </c>
      <c r="V130" s="40" t="str">
        <f t="shared" si="69"/>
        <v>H</v>
      </c>
      <c r="W130" s="163">
        <f t="shared" si="123"/>
        <v>20.993413483668</v>
      </c>
      <c r="X130" s="176">
        <f t="shared" si="124"/>
        <v>125.96048090200799</v>
      </c>
    </row>
    <row r="131" spans="1:24" s="163" customFormat="1" ht="15.75" thickBot="1" x14ac:dyDescent="0.3">
      <c r="A131" s="229">
        <f t="shared" si="65"/>
        <v>751</v>
      </c>
      <c r="B131" s="230">
        <f t="shared" si="66"/>
        <v>121</v>
      </c>
      <c r="C131" s="218" t="str">
        <f t="shared" si="63"/>
        <v>L12X23-352_000_01</v>
      </c>
      <c r="D131" s="169">
        <f>D125+V_step_12</f>
        <v>23</v>
      </c>
      <c r="E131" s="173">
        <f t="shared" si="89"/>
        <v>3.1990000000000003</v>
      </c>
      <c r="F131" s="170">
        <f t="shared" si="139"/>
        <v>13.908695652173913</v>
      </c>
      <c r="G131" s="170">
        <f t="shared" si="140"/>
        <v>11.126956521739132</v>
      </c>
      <c r="H131" s="170">
        <f t="shared" si="141"/>
        <v>6.9543478260869565</v>
      </c>
      <c r="I131" s="170">
        <f t="shared" si="67"/>
        <v>8</v>
      </c>
      <c r="J131" s="171">
        <f>yaw_min</f>
        <v>-8</v>
      </c>
      <c r="K131" s="166" t="str">
        <f>D131&amp;-1</f>
        <v>23-1</v>
      </c>
      <c r="L131" s="170">
        <f t="shared" ref="L131:N131" si="148">L130</f>
        <v>0.2</v>
      </c>
      <c r="M131" s="170">
        <f t="shared" si="148"/>
        <v>150</v>
      </c>
      <c r="N131" s="170">
        <f t="shared" si="148"/>
        <v>750</v>
      </c>
      <c r="P131" s="38">
        <f t="shared" si="110"/>
        <v>22.5</v>
      </c>
      <c r="Q131" s="38">
        <f t="shared" si="111"/>
        <v>23.5</v>
      </c>
      <c r="R131" s="39">
        <f t="shared" si="120"/>
        <v>0.99914856165719479</v>
      </c>
      <c r="S131" s="39">
        <f t="shared" si="121"/>
        <v>0.99955206598991264</v>
      </c>
      <c r="T131" s="39">
        <f t="shared" si="122"/>
        <v>4.0350433271785224E-4</v>
      </c>
      <c r="U131" s="40">
        <f t="shared" si="112"/>
        <v>0.58629179543903931</v>
      </c>
      <c r="V131" s="40" t="str">
        <f t="shared" si="69"/>
        <v>H</v>
      </c>
      <c r="W131" s="163">
        <f t="shared" si="123"/>
        <v>11.725835908780786</v>
      </c>
      <c r="X131" s="176">
        <f t="shared" si="124"/>
        <v>70.355015452684711</v>
      </c>
    </row>
    <row r="132" spans="1:24" s="163" customFormat="1" ht="15.75" thickBot="1" x14ac:dyDescent="0.3">
      <c r="A132" s="229">
        <f t="shared" si="65"/>
        <v>752</v>
      </c>
      <c r="B132" s="230">
        <f t="shared" si="66"/>
        <v>122</v>
      </c>
      <c r="C132" s="218" t="str">
        <f t="shared" si="63"/>
        <v>L12X23-352_000_02</v>
      </c>
      <c r="D132" s="169">
        <f>D131</f>
        <v>23</v>
      </c>
      <c r="E132" s="173">
        <f t="shared" si="89"/>
        <v>3.1990000000000003</v>
      </c>
      <c r="F132" s="170">
        <f t="shared" si="139"/>
        <v>13.908695652173913</v>
      </c>
      <c r="G132" s="170">
        <f t="shared" si="140"/>
        <v>11.126956521739132</v>
      </c>
      <c r="H132" s="170">
        <f t="shared" si="141"/>
        <v>6.9543478260869565</v>
      </c>
      <c r="I132" s="170">
        <f t="shared" si="67"/>
        <v>8</v>
      </c>
      <c r="J132" s="171">
        <f>yaw_min</f>
        <v>-8</v>
      </c>
      <c r="K132" s="166" t="str">
        <f>D132&amp;-2</f>
        <v>23-2</v>
      </c>
      <c r="L132" s="170">
        <f t="shared" ref="L132:N132" si="149">L131</f>
        <v>0.2</v>
      </c>
      <c r="M132" s="170">
        <f t="shared" si="149"/>
        <v>150</v>
      </c>
      <c r="N132" s="170">
        <f t="shared" si="149"/>
        <v>750</v>
      </c>
      <c r="P132" s="38">
        <f t="shared" si="110"/>
        <v>22.5</v>
      </c>
      <c r="Q132" s="38">
        <f t="shared" si="111"/>
        <v>23.5</v>
      </c>
      <c r="R132" s="39">
        <f t="shared" si="120"/>
        <v>0.99914856165719479</v>
      </c>
      <c r="S132" s="39">
        <f t="shared" si="121"/>
        <v>0.99955206598991264</v>
      </c>
      <c r="T132" s="39">
        <f t="shared" si="122"/>
        <v>4.0350433271785224E-4</v>
      </c>
      <c r="U132" s="40">
        <f t="shared" si="112"/>
        <v>0.58629179543903931</v>
      </c>
      <c r="V132" s="40" t="str">
        <f t="shared" si="69"/>
        <v>H</v>
      </c>
      <c r="W132" s="163">
        <f t="shared" si="123"/>
        <v>11.725835908780786</v>
      </c>
      <c r="X132" s="176">
        <f t="shared" si="124"/>
        <v>70.355015452684711</v>
      </c>
    </row>
    <row r="133" spans="1:24" s="163" customFormat="1" ht="15.75" thickBot="1" x14ac:dyDescent="0.3">
      <c r="A133" s="229">
        <f t="shared" si="65"/>
        <v>753</v>
      </c>
      <c r="B133" s="230">
        <f t="shared" si="66"/>
        <v>123</v>
      </c>
      <c r="C133" s="218" t="str">
        <f t="shared" si="63"/>
        <v>L12X23-000_000_03</v>
      </c>
      <c r="D133" s="169">
        <f t="shared" ref="D133:D136" si="150">D132</f>
        <v>23</v>
      </c>
      <c r="E133" s="173">
        <f t="shared" ref="E133:E148" si="151">I_ref*(0.75*D133+5.6)</f>
        <v>3.1990000000000003</v>
      </c>
      <c r="F133" s="170">
        <f t="shared" si="139"/>
        <v>13.908695652173913</v>
      </c>
      <c r="G133" s="170">
        <f t="shared" si="140"/>
        <v>11.126956521739132</v>
      </c>
      <c r="H133" s="170">
        <f t="shared" si="141"/>
        <v>6.9543478260869565</v>
      </c>
      <c r="I133" s="170">
        <f t="shared" si="67"/>
        <v>8</v>
      </c>
      <c r="J133" s="171">
        <f>yaw_null</f>
        <v>0</v>
      </c>
      <c r="K133" s="166" t="str">
        <f>D133&amp;-3</f>
        <v>23-3</v>
      </c>
      <c r="L133" s="170">
        <f t="shared" ref="L133:N133" si="152">L132</f>
        <v>0.2</v>
      </c>
      <c r="M133" s="170">
        <f t="shared" si="152"/>
        <v>150</v>
      </c>
      <c r="N133" s="170">
        <f t="shared" si="152"/>
        <v>750</v>
      </c>
      <c r="P133" s="38">
        <f t="shared" si="110"/>
        <v>22.5</v>
      </c>
      <c r="Q133" s="38">
        <f t="shared" si="111"/>
        <v>23.5</v>
      </c>
      <c r="R133" s="39">
        <f t="shared" si="120"/>
        <v>0.99914856165719479</v>
      </c>
      <c r="S133" s="39">
        <f t="shared" si="121"/>
        <v>0.99955206598991264</v>
      </c>
      <c r="T133" s="39">
        <f t="shared" si="122"/>
        <v>4.0350433271785224E-4</v>
      </c>
      <c r="U133" s="40">
        <f t="shared" si="112"/>
        <v>0.58629179543903931</v>
      </c>
      <c r="V133" s="40" t="str">
        <f t="shared" si="69"/>
        <v>H</v>
      </c>
      <c r="W133" s="163">
        <f t="shared" si="123"/>
        <v>11.725835908780786</v>
      </c>
      <c r="X133" s="176">
        <f t="shared" si="124"/>
        <v>70.355015452684711</v>
      </c>
    </row>
    <row r="134" spans="1:24" s="163" customFormat="1" ht="15.75" thickBot="1" x14ac:dyDescent="0.3">
      <c r="A134" s="229">
        <f t="shared" si="65"/>
        <v>754</v>
      </c>
      <c r="B134" s="230">
        <f t="shared" si="66"/>
        <v>124</v>
      </c>
      <c r="C134" s="218" t="str">
        <f t="shared" si="63"/>
        <v>L12X23-000_000_04</v>
      </c>
      <c r="D134" s="169">
        <f t="shared" si="150"/>
        <v>23</v>
      </c>
      <c r="E134" s="173">
        <f t="shared" si="151"/>
        <v>3.1990000000000003</v>
      </c>
      <c r="F134" s="170">
        <f t="shared" si="139"/>
        <v>13.908695652173913</v>
      </c>
      <c r="G134" s="170">
        <f t="shared" si="140"/>
        <v>11.126956521739132</v>
      </c>
      <c r="H134" s="170">
        <f t="shared" si="141"/>
        <v>6.9543478260869565</v>
      </c>
      <c r="I134" s="170">
        <f t="shared" si="67"/>
        <v>8</v>
      </c>
      <c r="J134" s="171">
        <f>yaw_null</f>
        <v>0</v>
      </c>
      <c r="K134" s="166" t="str">
        <f>D134&amp;-4</f>
        <v>23-4</v>
      </c>
      <c r="L134" s="170">
        <f t="shared" ref="L134:N134" si="153">L133</f>
        <v>0.2</v>
      </c>
      <c r="M134" s="170">
        <f t="shared" si="153"/>
        <v>150</v>
      </c>
      <c r="N134" s="170">
        <f t="shared" si="153"/>
        <v>750</v>
      </c>
      <c r="P134" s="38">
        <f t="shared" si="110"/>
        <v>22.5</v>
      </c>
      <c r="Q134" s="38">
        <f t="shared" si="111"/>
        <v>23.5</v>
      </c>
      <c r="R134" s="39">
        <f t="shared" si="120"/>
        <v>0.99914856165719479</v>
      </c>
      <c r="S134" s="39">
        <f t="shared" si="121"/>
        <v>0.99955206598991264</v>
      </c>
      <c r="T134" s="39">
        <f t="shared" si="122"/>
        <v>4.0350433271785224E-4</v>
      </c>
      <c r="U134" s="40">
        <f t="shared" si="112"/>
        <v>0.58629179543903931</v>
      </c>
      <c r="V134" s="40" t="str">
        <f t="shared" si="69"/>
        <v>H</v>
      </c>
      <c r="W134" s="163">
        <f t="shared" si="123"/>
        <v>11.725835908780786</v>
      </c>
      <c r="X134" s="176">
        <f t="shared" si="124"/>
        <v>70.355015452684711</v>
      </c>
    </row>
    <row r="135" spans="1:24" s="163" customFormat="1" ht="15.75" thickBot="1" x14ac:dyDescent="0.3">
      <c r="A135" s="229">
        <f t="shared" si="65"/>
        <v>755</v>
      </c>
      <c r="B135" s="230">
        <f t="shared" si="66"/>
        <v>125</v>
      </c>
      <c r="C135" s="218" t="str">
        <f t="shared" si="63"/>
        <v>L12X23-008_000_05</v>
      </c>
      <c r="D135" s="169">
        <f t="shared" si="150"/>
        <v>23</v>
      </c>
      <c r="E135" s="173">
        <f t="shared" si="151"/>
        <v>3.1990000000000003</v>
      </c>
      <c r="F135" s="170">
        <f t="shared" si="139"/>
        <v>13.908695652173913</v>
      </c>
      <c r="G135" s="170">
        <f t="shared" si="140"/>
        <v>11.126956521739132</v>
      </c>
      <c r="H135" s="170">
        <f t="shared" si="141"/>
        <v>6.9543478260869565</v>
      </c>
      <c r="I135" s="170">
        <f t="shared" si="67"/>
        <v>8</v>
      </c>
      <c r="J135" s="171">
        <f>yaw_max</f>
        <v>8</v>
      </c>
      <c r="K135" s="166" t="str">
        <f>D135&amp;-5</f>
        <v>23-5</v>
      </c>
      <c r="L135" s="170">
        <f t="shared" ref="L135:N135" si="154">L134</f>
        <v>0.2</v>
      </c>
      <c r="M135" s="170">
        <f t="shared" si="154"/>
        <v>150</v>
      </c>
      <c r="N135" s="170">
        <f t="shared" si="154"/>
        <v>750</v>
      </c>
      <c r="P135" s="38">
        <f t="shared" si="110"/>
        <v>22.5</v>
      </c>
      <c r="Q135" s="38">
        <f t="shared" si="111"/>
        <v>23.5</v>
      </c>
      <c r="R135" s="39">
        <f t="shared" si="120"/>
        <v>0.99914856165719479</v>
      </c>
      <c r="S135" s="39">
        <f t="shared" si="121"/>
        <v>0.99955206598991264</v>
      </c>
      <c r="T135" s="39">
        <f t="shared" si="122"/>
        <v>4.0350433271785224E-4</v>
      </c>
      <c r="U135" s="40">
        <f t="shared" si="112"/>
        <v>0.58629179543903931</v>
      </c>
      <c r="V135" s="40" t="str">
        <f t="shared" si="69"/>
        <v>H</v>
      </c>
      <c r="W135" s="163">
        <f t="shared" si="123"/>
        <v>11.725835908780786</v>
      </c>
      <c r="X135" s="176">
        <f t="shared" si="124"/>
        <v>70.355015452684711</v>
      </c>
    </row>
    <row r="136" spans="1:24" s="163" customFormat="1" ht="15.75" thickBot="1" x14ac:dyDescent="0.3">
      <c r="A136" s="229">
        <f t="shared" si="65"/>
        <v>756</v>
      </c>
      <c r="B136" s="230">
        <f t="shared" si="66"/>
        <v>126</v>
      </c>
      <c r="C136" s="218" t="str">
        <f t="shared" si="63"/>
        <v>L12X23-008_000_06</v>
      </c>
      <c r="D136" s="169">
        <f t="shared" si="150"/>
        <v>23</v>
      </c>
      <c r="E136" s="173">
        <f t="shared" si="151"/>
        <v>3.1990000000000003</v>
      </c>
      <c r="F136" s="170">
        <f t="shared" si="139"/>
        <v>13.908695652173913</v>
      </c>
      <c r="G136" s="170">
        <f t="shared" si="140"/>
        <v>11.126956521739132</v>
      </c>
      <c r="H136" s="170">
        <f t="shared" si="141"/>
        <v>6.9543478260869565</v>
      </c>
      <c r="I136" s="170">
        <f t="shared" si="67"/>
        <v>8</v>
      </c>
      <c r="J136" s="171">
        <f>yaw_max</f>
        <v>8</v>
      </c>
      <c r="K136" s="166" t="str">
        <f>D136&amp;-6</f>
        <v>23-6</v>
      </c>
      <c r="L136" s="170">
        <f t="shared" ref="L136:N136" si="155">L135</f>
        <v>0.2</v>
      </c>
      <c r="M136" s="170">
        <f t="shared" si="155"/>
        <v>150</v>
      </c>
      <c r="N136" s="170">
        <f t="shared" si="155"/>
        <v>750</v>
      </c>
      <c r="P136" s="38">
        <f t="shared" si="110"/>
        <v>22.5</v>
      </c>
      <c r="Q136" s="38">
        <f t="shared" si="111"/>
        <v>23.5</v>
      </c>
      <c r="R136" s="39">
        <f t="shared" si="120"/>
        <v>0.99914856165719479</v>
      </c>
      <c r="S136" s="39">
        <f t="shared" si="121"/>
        <v>0.99955206598991264</v>
      </c>
      <c r="T136" s="39">
        <f t="shared" si="122"/>
        <v>4.0350433271785224E-4</v>
      </c>
      <c r="U136" s="40">
        <f t="shared" si="112"/>
        <v>0.58629179543903931</v>
      </c>
      <c r="V136" s="40" t="str">
        <f t="shared" si="69"/>
        <v>H</v>
      </c>
      <c r="W136" s="163">
        <f t="shared" si="123"/>
        <v>11.725835908780786</v>
      </c>
      <c r="X136" s="176">
        <f t="shared" si="124"/>
        <v>70.355015452684711</v>
      </c>
    </row>
    <row r="137" spans="1:24" s="163" customFormat="1" ht="15.75" thickBot="1" x14ac:dyDescent="0.3">
      <c r="A137" s="229">
        <f t="shared" si="65"/>
        <v>757</v>
      </c>
      <c r="B137" s="230">
        <f t="shared" si="66"/>
        <v>127</v>
      </c>
      <c r="C137" s="218" t="str">
        <f t="shared" si="63"/>
        <v>L12X24-352_000_01</v>
      </c>
      <c r="D137" s="169">
        <f>D131+V_step_12</f>
        <v>24</v>
      </c>
      <c r="E137" s="173">
        <f t="shared" si="151"/>
        <v>3.3040000000000007</v>
      </c>
      <c r="F137" s="170">
        <f t="shared" si="139"/>
        <v>13.766666666666669</v>
      </c>
      <c r="G137" s="170">
        <f t="shared" si="140"/>
        <v>11.013333333333335</v>
      </c>
      <c r="H137" s="170">
        <f t="shared" si="141"/>
        <v>6.8833333333333346</v>
      </c>
      <c r="I137" s="170">
        <f t="shared" si="67"/>
        <v>8</v>
      </c>
      <c r="J137" s="171">
        <f>yaw_min</f>
        <v>-8</v>
      </c>
      <c r="K137" s="166" t="str">
        <f>D137&amp;-1</f>
        <v>24-1</v>
      </c>
      <c r="L137" s="170">
        <f t="shared" ref="L137:N137" si="156">L136</f>
        <v>0.2</v>
      </c>
      <c r="M137" s="170">
        <f t="shared" si="156"/>
        <v>150</v>
      </c>
      <c r="N137" s="170">
        <f t="shared" si="156"/>
        <v>750</v>
      </c>
      <c r="P137" s="38">
        <f t="shared" si="110"/>
        <v>23.5</v>
      </c>
      <c r="Q137" s="38">
        <f t="shared" si="111"/>
        <v>24.5</v>
      </c>
      <c r="R137" s="39">
        <f t="shared" si="120"/>
        <v>0.99955206598991264</v>
      </c>
      <c r="S137" s="39">
        <f t="shared" si="121"/>
        <v>0.99977083563667246</v>
      </c>
      <c r="T137" s="39">
        <f t="shared" si="122"/>
        <v>2.1876964675981991E-4</v>
      </c>
      <c r="U137" s="40">
        <f t="shared" si="112"/>
        <v>0.31787229674201833</v>
      </c>
      <c r="V137" s="40" t="str">
        <f t="shared" si="69"/>
        <v>H</v>
      </c>
      <c r="W137" s="163">
        <f t="shared" si="123"/>
        <v>6.3574459348403671</v>
      </c>
      <c r="X137" s="176">
        <f t="shared" si="124"/>
        <v>38.144675609042203</v>
      </c>
    </row>
    <row r="138" spans="1:24" s="163" customFormat="1" ht="15.75" thickBot="1" x14ac:dyDescent="0.3">
      <c r="A138" s="229">
        <f t="shared" si="65"/>
        <v>758</v>
      </c>
      <c r="B138" s="230">
        <f t="shared" si="66"/>
        <v>128</v>
      </c>
      <c r="C138" s="218" t="str">
        <f t="shared" si="63"/>
        <v>L12X24-352_000_02</v>
      </c>
      <c r="D138" s="169">
        <f>D137</f>
        <v>24</v>
      </c>
      <c r="E138" s="173">
        <f t="shared" si="151"/>
        <v>3.3040000000000007</v>
      </c>
      <c r="F138" s="170">
        <f t="shared" si="139"/>
        <v>13.766666666666669</v>
      </c>
      <c r="G138" s="170">
        <f t="shared" si="140"/>
        <v>11.013333333333335</v>
      </c>
      <c r="H138" s="170">
        <f t="shared" si="141"/>
        <v>6.8833333333333346</v>
      </c>
      <c r="I138" s="170">
        <f t="shared" si="67"/>
        <v>8</v>
      </c>
      <c r="J138" s="171">
        <f>yaw_min</f>
        <v>-8</v>
      </c>
      <c r="K138" s="166" t="str">
        <f>D138&amp;-2</f>
        <v>24-2</v>
      </c>
      <c r="L138" s="170">
        <f t="shared" ref="L138:N138" si="157">L137</f>
        <v>0.2</v>
      </c>
      <c r="M138" s="170">
        <f t="shared" si="157"/>
        <v>150</v>
      </c>
      <c r="N138" s="170">
        <f t="shared" si="157"/>
        <v>750</v>
      </c>
      <c r="P138" s="38">
        <f t="shared" si="110"/>
        <v>23.5</v>
      </c>
      <c r="Q138" s="38">
        <f t="shared" si="111"/>
        <v>24.5</v>
      </c>
      <c r="R138" s="39">
        <f t="shared" si="120"/>
        <v>0.99955206598991264</v>
      </c>
      <c r="S138" s="39">
        <f t="shared" si="121"/>
        <v>0.99977083563667246</v>
      </c>
      <c r="T138" s="39">
        <f t="shared" si="122"/>
        <v>2.1876964675981991E-4</v>
      </c>
      <c r="U138" s="40">
        <f t="shared" si="112"/>
        <v>0.31787229674201833</v>
      </c>
      <c r="V138" s="40" t="str">
        <f t="shared" si="69"/>
        <v>H</v>
      </c>
      <c r="W138" s="163">
        <f t="shared" si="123"/>
        <v>6.3574459348403671</v>
      </c>
      <c r="X138" s="176">
        <f t="shared" si="124"/>
        <v>38.144675609042203</v>
      </c>
    </row>
    <row r="139" spans="1:24" s="163" customFormat="1" ht="15.75" thickBot="1" x14ac:dyDescent="0.3">
      <c r="A139" s="229">
        <f t="shared" si="65"/>
        <v>759</v>
      </c>
      <c r="B139" s="230">
        <f t="shared" si="66"/>
        <v>129</v>
      </c>
      <c r="C139" s="218" t="str">
        <f t="shared" si="63"/>
        <v>L12X24-000_000_03</v>
      </c>
      <c r="D139" s="169">
        <f t="shared" ref="D139:D142" si="158">D138</f>
        <v>24</v>
      </c>
      <c r="E139" s="173">
        <f t="shared" si="151"/>
        <v>3.3040000000000007</v>
      </c>
      <c r="F139" s="170">
        <f t="shared" si="139"/>
        <v>13.766666666666669</v>
      </c>
      <c r="G139" s="170">
        <f t="shared" si="140"/>
        <v>11.013333333333335</v>
      </c>
      <c r="H139" s="170">
        <f t="shared" si="141"/>
        <v>6.8833333333333346</v>
      </c>
      <c r="I139" s="170">
        <f t="shared" si="67"/>
        <v>8</v>
      </c>
      <c r="J139" s="171">
        <f>yaw_null</f>
        <v>0</v>
      </c>
      <c r="K139" s="166" t="str">
        <f>D139&amp;-3</f>
        <v>24-3</v>
      </c>
      <c r="L139" s="170">
        <f t="shared" ref="L139:N139" si="159">L138</f>
        <v>0.2</v>
      </c>
      <c r="M139" s="170">
        <f t="shared" si="159"/>
        <v>150</v>
      </c>
      <c r="N139" s="170">
        <f t="shared" si="159"/>
        <v>750</v>
      </c>
      <c r="P139" s="38">
        <f t="shared" ref="P139:P148" si="160">D139-V_step_12/2</f>
        <v>23.5</v>
      </c>
      <c r="Q139" s="38">
        <f t="shared" ref="Q139:Q142" si="161">P139+V_step_12</f>
        <v>24.5</v>
      </c>
      <c r="R139" s="39">
        <f t="shared" si="120"/>
        <v>0.99955206598991264</v>
      </c>
      <c r="S139" s="39">
        <f t="shared" si="121"/>
        <v>0.99977083563667246</v>
      </c>
      <c r="T139" s="39">
        <f t="shared" si="122"/>
        <v>2.1876964675981991E-4</v>
      </c>
      <c r="U139" s="40">
        <f t="shared" ref="U139:U148" si="162">T139*(H_year-H_hy-H_hp-H_ice-H_typhoon)/6</f>
        <v>0.31787229674201833</v>
      </c>
      <c r="V139" s="40" t="str">
        <f t="shared" si="69"/>
        <v>H</v>
      </c>
      <c r="W139" s="163">
        <f t="shared" si="123"/>
        <v>6.3574459348403671</v>
      </c>
      <c r="X139" s="176">
        <f t="shared" si="124"/>
        <v>38.144675609042203</v>
      </c>
    </row>
    <row r="140" spans="1:24" s="163" customFormat="1" ht="15.75" thickBot="1" x14ac:dyDescent="0.3">
      <c r="A140" s="229">
        <f t="shared" si="65"/>
        <v>760</v>
      </c>
      <c r="B140" s="230">
        <f t="shared" si="66"/>
        <v>130</v>
      </c>
      <c r="C140" s="218" t="str">
        <f t="shared" ref="C140:C148" si="163">TEXT(RIGHT($B$2,LEN($B$2)-3),"L00")&amp;"X"&amp;TEXT(D140,"00")&amp;"-"&amp;IF(J140&lt;0,TEXT(360+J140,"000"),TEXT(J140,"000"))&amp;"_"&amp;"000"&amp;"_"&amp;TEXT(RIGHT(K140,LEN(K140)-FIND("-",K140)),"00")</f>
        <v>L12X24-000_000_04</v>
      </c>
      <c r="D140" s="169">
        <f t="shared" si="158"/>
        <v>24</v>
      </c>
      <c r="E140" s="173">
        <f t="shared" si="151"/>
        <v>3.3040000000000007</v>
      </c>
      <c r="F140" s="170">
        <f t="shared" si="139"/>
        <v>13.766666666666669</v>
      </c>
      <c r="G140" s="170">
        <f t="shared" si="140"/>
        <v>11.013333333333335</v>
      </c>
      <c r="H140" s="170">
        <f t="shared" si="141"/>
        <v>6.8833333333333346</v>
      </c>
      <c r="I140" s="170">
        <f t="shared" si="67"/>
        <v>8</v>
      </c>
      <c r="J140" s="171">
        <f>yaw_null</f>
        <v>0</v>
      </c>
      <c r="K140" s="166" t="str">
        <f>D140&amp;-4</f>
        <v>24-4</v>
      </c>
      <c r="L140" s="170">
        <f t="shared" ref="L140:N140" si="164">L139</f>
        <v>0.2</v>
      </c>
      <c r="M140" s="170">
        <f t="shared" si="164"/>
        <v>150</v>
      </c>
      <c r="N140" s="170">
        <f t="shared" si="164"/>
        <v>750</v>
      </c>
      <c r="P140" s="38">
        <f t="shared" si="160"/>
        <v>23.5</v>
      </c>
      <c r="Q140" s="38">
        <f t="shared" si="161"/>
        <v>24.5</v>
      </c>
      <c r="R140" s="39">
        <f t="shared" si="120"/>
        <v>0.99955206598991264</v>
      </c>
      <c r="S140" s="39">
        <f t="shared" si="121"/>
        <v>0.99977083563667246</v>
      </c>
      <c r="T140" s="39">
        <f t="shared" si="122"/>
        <v>2.1876964675981991E-4</v>
      </c>
      <c r="U140" s="40">
        <f t="shared" si="162"/>
        <v>0.31787229674201833</v>
      </c>
      <c r="V140" s="40" t="str">
        <f t="shared" si="69"/>
        <v>H</v>
      </c>
      <c r="W140" s="163">
        <f t="shared" si="123"/>
        <v>6.3574459348403671</v>
      </c>
      <c r="X140" s="176">
        <f t="shared" si="124"/>
        <v>38.144675609042203</v>
      </c>
    </row>
    <row r="141" spans="1:24" s="163" customFormat="1" ht="15.75" thickBot="1" x14ac:dyDescent="0.3">
      <c r="A141" s="229">
        <f t="shared" ref="A141:A148" si="165">A140+1</f>
        <v>761</v>
      </c>
      <c r="B141" s="230">
        <f t="shared" ref="B141:B148" si="166">B140+1</f>
        <v>131</v>
      </c>
      <c r="C141" s="218" t="str">
        <f t="shared" si="163"/>
        <v>L12X24-008_000_05</v>
      </c>
      <c r="D141" s="169">
        <f t="shared" si="158"/>
        <v>24</v>
      </c>
      <c r="E141" s="173">
        <f t="shared" si="151"/>
        <v>3.3040000000000007</v>
      </c>
      <c r="F141" s="170">
        <f t="shared" si="139"/>
        <v>13.766666666666669</v>
      </c>
      <c r="G141" s="170">
        <f t="shared" si="140"/>
        <v>11.013333333333335</v>
      </c>
      <c r="H141" s="170">
        <f t="shared" si="141"/>
        <v>6.8833333333333346</v>
      </c>
      <c r="I141" s="170">
        <f t="shared" ref="I141:I148" si="167">I140</f>
        <v>8</v>
      </c>
      <c r="J141" s="171">
        <f>yaw_max</f>
        <v>8</v>
      </c>
      <c r="K141" s="166" t="str">
        <f>D141&amp;-5</f>
        <v>24-5</v>
      </c>
      <c r="L141" s="170">
        <f t="shared" ref="L141:N141" si="168">L140</f>
        <v>0.2</v>
      </c>
      <c r="M141" s="170">
        <f t="shared" si="168"/>
        <v>150</v>
      </c>
      <c r="N141" s="170">
        <f t="shared" si="168"/>
        <v>750</v>
      </c>
      <c r="P141" s="38">
        <f t="shared" si="160"/>
        <v>23.5</v>
      </c>
      <c r="Q141" s="38">
        <f t="shared" si="161"/>
        <v>24.5</v>
      </c>
      <c r="R141" s="39">
        <f t="shared" si="120"/>
        <v>0.99955206598991264</v>
      </c>
      <c r="S141" s="39">
        <f t="shared" si="121"/>
        <v>0.99977083563667246</v>
      </c>
      <c r="T141" s="39">
        <f t="shared" si="122"/>
        <v>2.1876964675981991E-4</v>
      </c>
      <c r="U141" s="40">
        <f t="shared" si="162"/>
        <v>0.31787229674201833</v>
      </c>
      <c r="V141" s="40" t="str">
        <f t="shared" ref="V141:V148" si="169">V140</f>
        <v>H</v>
      </c>
      <c r="W141" s="163">
        <f t="shared" si="123"/>
        <v>6.3574459348403671</v>
      </c>
      <c r="X141" s="176">
        <f t="shared" si="124"/>
        <v>38.144675609042203</v>
      </c>
    </row>
    <row r="142" spans="1:24" s="163" customFormat="1" ht="15.75" thickBot="1" x14ac:dyDescent="0.3">
      <c r="A142" s="229">
        <f t="shared" si="165"/>
        <v>762</v>
      </c>
      <c r="B142" s="230">
        <f t="shared" si="166"/>
        <v>132</v>
      </c>
      <c r="C142" s="218" t="str">
        <f t="shared" si="163"/>
        <v>L12X24-008_000_06</v>
      </c>
      <c r="D142" s="169">
        <f t="shared" si="158"/>
        <v>24</v>
      </c>
      <c r="E142" s="173">
        <f t="shared" si="151"/>
        <v>3.3040000000000007</v>
      </c>
      <c r="F142" s="170">
        <f t="shared" si="139"/>
        <v>13.766666666666669</v>
      </c>
      <c r="G142" s="170">
        <f t="shared" si="140"/>
        <v>11.013333333333335</v>
      </c>
      <c r="H142" s="170">
        <f t="shared" si="141"/>
        <v>6.8833333333333346</v>
      </c>
      <c r="I142" s="170">
        <f t="shared" si="167"/>
        <v>8</v>
      </c>
      <c r="J142" s="171">
        <f>yaw_max</f>
        <v>8</v>
      </c>
      <c r="K142" s="166" t="str">
        <f>D142&amp;-6</f>
        <v>24-6</v>
      </c>
      <c r="L142" s="170">
        <f t="shared" ref="L142:N142" si="170">L141</f>
        <v>0.2</v>
      </c>
      <c r="M142" s="170">
        <f t="shared" si="170"/>
        <v>150</v>
      </c>
      <c r="N142" s="170">
        <f t="shared" si="170"/>
        <v>750</v>
      </c>
      <c r="P142" s="38">
        <f t="shared" si="160"/>
        <v>23.5</v>
      </c>
      <c r="Q142" s="38">
        <f t="shared" si="161"/>
        <v>24.5</v>
      </c>
      <c r="R142" s="39">
        <f t="shared" si="120"/>
        <v>0.99955206598991264</v>
      </c>
      <c r="S142" s="39">
        <f t="shared" si="121"/>
        <v>0.99977083563667246</v>
      </c>
      <c r="T142" s="39">
        <f t="shared" si="122"/>
        <v>2.1876964675981991E-4</v>
      </c>
      <c r="U142" s="40">
        <f t="shared" si="162"/>
        <v>0.31787229674201833</v>
      </c>
      <c r="V142" s="40" t="str">
        <f t="shared" si="169"/>
        <v>H</v>
      </c>
      <c r="W142" s="163">
        <f t="shared" si="123"/>
        <v>6.3574459348403671</v>
      </c>
      <c r="X142" s="176">
        <f t="shared" si="124"/>
        <v>38.144675609042203</v>
      </c>
    </row>
    <row r="143" spans="1:24" s="163" customFormat="1" ht="15.75" thickBot="1" x14ac:dyDescent="0.3">
      <c r="A143" s="229">
        <f t="shared" si="165"/>
        <v>763</v>
      </c>
      <c r="B143" s="230">
        <f t="shared" si="166"/>
        <v>133</v>
      </c>
      <c r="C143" s="218" t="str">
        <f t="shared" si="163"/>
        <v>L12X25-352_000_01</v>
      </c>
      <c r="D143" s="169">
        <f>D137+V_step_12</f>
        <v>25</v>
      </c>
      <c r="E143" s="173">
        <f t="shared" si="151"/>
        <v>3.4090000000000007</v>
      </c>
      <c r="F143" s="170">
        <f>E143/D143*100</f>
        <v>13.636000000000003</v>
      </c>
      <c r="G143" s="170">
        <f t="shared" si="140"/>
        <v>10.908800000000003</v>
      </c>
      <c r="H143" s="170">
        <f t="shared" si="141"/>
        <v>6.8180000000000014</v>
      </c>
      <c r="I143" s="170">
        <f t="shared" si="167"/>
        <v>8</v>
      </c>
      <c r="J143" s="171">
        <f>yaw_min</f>
        <v>-8</v>
      </c>
      <c r="K143" s="166" t="str">
        <f>D143&amp;-1</f>
        <v>25-1</v>
      </c>
      <c r="L143" s="170">
        <f t="shared" ref="L143:N143" si="171">L142</f>
        <v>0.2</v>
      </c>
      <c r="M143" s="170">
        <f t="shared" si="171"/>
        <v>150</v>
      </c>
      <c r="N143" s="170">
        <f t="shared" si="171"/>
        <v>750</v>
      </c>
      <c r="P143" s="38">
        <f t="shared" si="160"/>
        <v>24.5</v>
      </c>
      <c r="Q143" s="38">
        <f>v_out</f>
        <v>25</v>
      </c>
      <c r="R143" s="39">
        <f t="shared" si="120"/>
        <v>0.99977083563667246</v>
      </c>
      <c r="S143" s="39">
        <f t="shared" si="121"/>
        <v>0.99983779445975174</v>
      </c>
      <c r="T143" s="39">
        <f t="shared" si="122"/>
        <v>6.6958823079277252E-5</v>
      </c>
      <c r="U143" s="40">
        <f t="shared" si="162"/>
        <v>9.7291169934189847E-2</v>
      </c>
      <c r="V143" s="40" t="str">
        <f t="shared" si="169"/>
        <v>H</v>
      </c>
      <c r="W143" s="163">
        <f t="shared" si="123"/>
        <v>1.9458233986837969</v>
      </c>
      <c r="X143" s="176">
        <f t="shared" si="124"/>
        <v>11.674940392102782</v>
      </c>
    </row>
    <row r="144" spans="1:24" s="163" customFormat="1" ht="15.75" thickBot="1" x14ac:dyDescent="0.3">
      <c r="A144" s="229">
        <f t="shared" si="165"/>
        <v>764</v>
      </c>
      <c r="B144" s="230">
        <f t="shared" si="166"/>
        <v>134</v>
      </c>
      <c r="C144" s="218" t="str">
        <f t="shared" si="163"/>
        <v>L12X25-352_000_02</v>
      </c>
      <c r="D144" s="169">
        <f>D143</f>
        <v>25</v>
      </c>
      <c r="E144" s="173">
        <f t="shared" si="151"/>
        <v>3.4090000000000007</v>
      </c>
      <c r="F144" s="170">
        <f t="shared" ref="F144:F148" si="172">E144/D144*100</f>
        <v>13.636000000000003</v>
      </c>
      <c r="G144" s="170">
        <f t="shared" si="140"/>
        <v>10.908800000000003</v>
      </c>
      <c r="H144" s="170">
        <f t="shared" si="141"/>
        <v>6.8180000000000014</v>
      </c>
      <c r="I144" s="170">
        <f t="shared" si="167"/>
        <v>8</v>
      </c>
      <c r="J144" s="171">
        <f>yaw_min</f>
        <v>-8</v>
      </c>
      <c r="K144" s="166" t="str">
        <f>D144&amp;-2</f>
        <v>25-2</v>
      </c>
      <c r="L144" s="170">
        <f t="shared" ref="L144:N144" si="173">L143</f>
        <v>0.2</v>
      </c>
      <c r="M144" s="170">
        <f t="shared" si="173"/>
        <v>150</v>
      </c>
      <c r="N144" s="170">
        <f t="shared" si="173"/>
        <v>750</v>
      </c>
      <c r="P144" s="38">
        <f t="shared" si="160"/>
        <v>24.5</v>
      </c>
      <c r="Q144" s="38">
        <f>Q143</f>
        <v>25</v>
      </c>
      <c r="R144" s="39">
        <f t="shared" si="120"/>
        <v>0.99977083563667246</v>
      </c>
      <c r="S144" s="39">
        <f t="shared" si="121"/>
        <v>0.99983779445975174</v>
      </c>
      <c r="T144" s="39">
        <f t="shared" si="122"/>
        <v>6.6958823079277252E-5</v>
      </c>
      <c r="U144" s="40">
        <f t="shared" si="162"/>
        <v>9.7291169934189847E-2</v>
      </c>
      <c r="V144" s="40" t="str">
        <f t="shared" si="169"/>
        <v>H</v>
      </c>
      <c r="W144" s="163">
        <f t="shared" si="123"/>
        <v>1.9458233986837969</v>
      </c>
      <c r="X144" s="176">
        <f t="shared" si="124"/>
        <v>11.674940392102782</v>
      </c>
    </row>
    <row r="145" spans="1:24" s="163" customFormat="1" ht="15.75" thickBot="1" x14ac:dyDescent="0.3">
      <c r="A145" s="229">
        <f t="shared" si="165"/>
        <v>765</v>
      </c>
      <c r="B145" s="230">
        <f t="shared" si="166"/>
        <v>135</v>
      </c>
      <c r="C145" s="218" t="str">
        <f t="shared" si="163"/>
        <v>L12X25-000_000_03</v>
      </c>
      <c r="D145" s="169">
        <f t="shared" ref="D145:D148" si="174">D144</f>
        <v>25</v>
      </c>
      <c r="E145" s="173">
        <f t="shared" si="151"/>
        <v>3.4090000000000007</v>
      </c>
      <c r="F145" s="170">
        <f t="shared" si="172"/>
        <v>13.636000000000003</v>
      </c>
      <c r="G145" s="170">
        <f t="shared" si="140"/>
        <v>10.908800000000003</v>
      </c>
      <c r="H145" s="170">
        <f t="shared" si="141"/>
        <v>6.8180000000000014</v>
      </c>
      <c r="I145" s="170">
        <f t="shared" si="167"/>
        <v>8</v>
      </c>
      <c r="J145" s="171">
        <f>yaw_null</f>
        <v>0</v>
      </c>
      <c r="K145" s="166" t="str">
        <f>D145&amp;-3</f>
        <v>25-3</v>
      </c>
      <c r="L145" s="170">
        <f t="shared" ref="L145:N145" si="175">L144</f>
        <v>0.2</v>
      </c>
      <c r="M145" s="170">
        <f t="shared" si="175"/>
        <v>150</v>
      </c>
      <c r="N145" s="170">
        <f t="shared" si="175"/>
        <v>750</v>
      </c>
      <c r="P145" s="38">
        <f t="shared" si="160"/>
        <v>24.5</v>
      </c>
      <c r="Q145" s="38">
        <f t="shared" ref="Q145:Q148" si="176">Q144</f>
        <v>25</v>
      </c>
      <c r="R145" s="39">
        <f t="shared" si="120"/>
        <v>0.99977083563667246</v>
      </c>
      <c r="S145" s="39">
        <f t="shared" si="121"/>
        <v>0.99983779445975174</v>
      </c>
      <c r="T145" s="39">
        <f t="shared" si="122"/>
        <v>6.6958823079277252E-5</v>
      </c>
      <c r="U145" s="40">
        <f t="shared" si="162"/>
        <v>9.7291169934189847E-2</v>
      </c>
      <c r="V145" s="40" t="str">
        <f t="shared" si="169"/>
        <v>H</v>
      </c>
      <c r="W145" s="163">
        <f t="shared" si="123"/>
        <v>1.9458233986837969</v>
      </c>
      <c r="X145" s="176">
        <f t="shared" si="124"/>
        <v>11.674940392102782</v>
      </c>
    </row>
    <row r="146" spans="1:24" s="163" customFormat="1" ht="15.75" thickBot="1" x14ac:dyDescent="0.3">
      <c r="A146" s="229">
        <f t="shared" si="165"/>
        <v>766</v>
      </c>
      <c r="B146" s="230">
        <f t="shared" si="166"/>
        <v>136</v>
      </c>
      <c r="C146" s="218" t="str">
        <f t="shared" si="163"/>
        <v>L12X25-000_000_04</v>
      </c>
      <c r="D146" s="169">
        <f t="shared" si="174"/>
        <v>25</v>
      </c>
      <c r="E146" s="173">
        <f t="shared" si="151"/>
        <v>3.4090000000000007</v>
      </c>
      <c r="F146" s="170">
        <f t="shared" si="172"/>
        <v>13.636000000000003</v>
      </c>
      <c r="G146" s="170">
        <f t="shared" si="140"/>
        <v>10.908800000000003</v>
      </c>
      <c r="H146" s="170">
        <f t="shared" si="141"/>
        <v>6.8180000000000014</v>
      </c>
      <c r="I146" s="170">
        <f t="shared" si="167"/>
        <v>8</v>
      </c>
      <c r="J146" s="171">
        <f>yaw_null</f>
        <v>0</v>
      </c>
      <c r="K146" s="166" t="str">
        <f>D146&amp;-4</f>
        <v>25-4</v>
      </c>
      <c r="L146" s="170">
        <f t="shared" ref="L146:N146" si="177">L145</f>
        <v>0.2</v>
      </c>
      <c r="M146" s="170">
        <f t="shared" si="177"/>
        <v>150</v>
      </c>
      <c r="N146" s="170">
        <f t="shared" si="177"/>
        <v>750</v>
      </c>
      <c r="P146" s="38">
        <f t="shared" si="160"/>
        <v>24.5</v>
      </c>
      <c r="Q146" s="38">
        <f t="shared" si="176"/>
        <v>25</v>
      </c>
      <c r="R146" s="39">
        <f t="shared" si="120"/>
        <v>0.99977083563667246</v>
      </c>
      <c r="S146" s="39">
        <f t="shared" si="121"/>
        <v>0.99983779445975174</v>
      </c>
      <c r="T146" s="39">
        <f t="shared" si="122"/>
        <v>6.6958823079277252E-5</v>
      </c>
      <c r="U146" s="40">
        <f t="shared" si="162"/>
        <v>9.7291169934189847E-2</v>
      </c>
      <c r="V146" s="40" t="str">
        <f t="shared" si="169"/>
        <v>H</v>
      </c>
      <c r="W146" s="163">
        <f t="shared" si="123"/>
        <v>1.9458233986837969</v>
      </c>
      <c r="X146" s="176">
        <f t="shared" si="124"/>
        <v>11.674940392102782</v>
      </c>
    </row>
    <row r="147" spans="1:24" s="163" customFormat="1" ht="15.75" thickBot="1" x14ac:dyDescent="0.3">
      <c r="A147" s="229">
        <f t="shared" si="165"/>
        <v>767</v>
      </c>
      <c r="B147" s="230">
        <f t="shared" si="166"/>
        <v>137</v>
      </c>
      <c r="C147" s="218" t="str">
        <f t="shared" si="163"/>
        <v>L12X25-008_000_05</v>
      </c>
      <c r="D147" s="169">
        <f t="shared" si="174"/>
        <v>25</v>
      </c>
      <c r="E147" s="173">
        <f t="shared" si="151"/>
        <v>3.4090000000000007</v>
      </c>
      <c r="F147" s="170">
        <f t="shared" si="172"/>
        <v>13.636000000000003</v>
      </c>
      <c r="G147" s="170">
        <f t="shared" si="140"/>
        <v>10.908800000000003</v>
      </c>
      <c r="H147" s="170">
        <f t="shared" si="141"/>
        <v>6.8180000000000014</v>
      </c>
      <c r="I147" s="170">
        <f t="shared" si="167"/>
        <v>8</v>
      </c>
      <c r="J147" s="171">
        <f>yaw_max</f>
        <v>8</v>
      </c>
      <c r="K147" s="166" t="str">
        <f>D147&amp;-5</f>
        <v>25-5</v>
      </c>
      <c r="L147" s="170">
        <f t="shared" ref="L147:N147" si="178">L146</f>
        <v>0.2</v>
      </c>
      <c r="M147" s="170">
        <f t="shared" si="178"/>
        <v>150</v>
      </c>
      <c r="N147" s="170">
        <f t="shared" si="178"/>
        <v>750</v>
      </c>
      <c r="P147" s="38">
        <f t="shared" si="160"/>
        <v>24.5</v>
      </c>
      <c r="Q147" s="38">
        <f t="shared" si="176"/>
        <v>25</v>
      </c>
      <c r="R147" s="39">
        <f t="shared" si="120"/>
        <v>0.99977083563667246</v>
      </c>
      <c r="S147" s="39">
        <f t="shared" si="121"/>
        <v>0.99983779445975174</v>
      </c>
      <c r="T147" s="39">
        <f t="shared" si="122"/>
        <v>6.6958823079277252E-5</v>
      </c>
      <c r="U147" s="40">
        <f t="shared" si="162"/>
        <v>9.7291169934189847E-2</v>
      </c>
      <c r="V147" s="40" t="str">
        <f t="shared" si="169"/>
        <v>H</v>
      </c>
      <c r="W147" s="163">
        <f t="shared" si="123"/>
        <v>1.9458233986837969</v>
      </c>
      <c r="X147" s="176">
        <f t="shared" si="124"/>
        <v>11.674940392102782</v>
      </c>
    </row>
    <row r="148" spans="1:24" s="163" customFormat="1" x14ac:dyDescent="0.25">
      <c r="A148" s="229">
        <f t="shared" si="165"/>
        <v>768</v>
      </c>
      <c r="B148" s="230">
        <f t="shared" si="166"/>
        <v>138</v>
      </c>
      <c r="C148" s="218" t="str">
        <f t="shared" si="163"/>
        <v>L12X25-008_000_06</v>
      </c>
      <c r="D148" s="169">
        <f t="shared" si="174"/>
        <v>25</v>
      </c>
      <c r="E148" s="173">
        <f t="shared" si="151"/>
        <v>3.4090000000000007</v>
      </c>
      <c r="F148" s="170">
        <f t="shared" si="172"/>
        <v>13.636000000000003</v>
      </c>
      <c r="G148" s="170">
        <f t="shared" si="140"/>
        <v>10.908800000000003</v>
      </c>
      <c r="H148" s="170">
        <f t="shared" si="141"/>
        <v>6.8180000000000014</v>
      </c>
      <c r="I148" s="170">
        <f t="shared" si="167"/>
        <v>8</v>
      </c>
      <c r="J148" s="171">
        <f>yaw_max</f>
        <v>8</v>
      </c>
      <c r="K148" s="166" t="str">
        <f>D148&amp;-6</f>
        <v>25-6</v>
      </c>
      <c r="L148" s="170">
        <f t="shared" ref="L148:N148" si="179">L147</f>
        <v>0.2</v>
      </c>
      <c r="M148" s="170">
        <f t="shared" si="179"/>
        <v>150</v>
      </c>
      <c r="N148" s="170">
        <f t="shared" si="179"/>
        <v>750</v>
      </c>
      <c r="P148" s="38">
        <f t="shared" si="160"/>
        <v>24.5</v>
      </c>
      <c r="Q148" s="38">
        <f t="shared" si="176"/>
        <v>25</v>
      </c>
      <c r="R148" s="39">
        <f t="shared" si="120"/>
        <v>0.99977083563667246</v>
      </c>
      <c r="S148" s="39">
        <f t="shared" si="121"/>
        <v>0.99983779445975174</v>
      </c>
      <c r="T148" s="39">
        <f t="shared" si="122"/>
        <v>6.6958823079277252E-5</v>
      </c>
      <c r="U148" s="40">
        <f t="shared" si="162"/>
        <v>9.7291169934189847E-2</v>
      </c>
      <c r="V148" s="40" t="str">
        <f t="shared" si="169"/>
        <v>H</v>
      </c>
      <c r="W148" s="163">
        <f t="shared" si="123"/>
        <v>1.9458233986837969</v>
      </c>
      <c r="X148" s="176">
        <f t="shared" si="124"/>
        <v>11.674940392102782</v>
      </c>
    </row>
  </sheetData>
  <mergeCells count="1">
    <mergeCell ref="P8:V8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26"/>
  <sheetViews>
    <sheetView zoomScaleNormal="100" workbookViewId="0">
      <selection activeCell="K3" sqref="K3"/>
    </sheetView>
  </sheetViews>
  <sheetFormatPr defaultColWidth="9" defaultRowHeight="15" x14ac:dyDescent="0.15"/>
  <cols>
    <col min="1" max="1" width="7" style="23" customWidth="1"/>
    <col min="2" max="2" width="7.375" style="23" customWidth="1"/>
    <col min="3" max="3" width="29.375" style="23" customWidth="1"/>
    <col min="4" max="4" width="6.875" style="23" customWidth="1"/>
    <col min="5" max="5" width="7.375" style="23" customWidth="1"/>
    <col min="6" max="6" width="8.125" style="23" customWidth="1"/>
    <col min="7" max="8" width="7.375" style="23" customWidth="1"/>
    <col min="9" max="9" width="8" style="23" customWidth="1"/>
    <col min="10" max="10" width="7.875" style="23" customWidth="1"/>
    <col min="11" max="11" width="8.875" style="23" customWidth="1"/>
    <col min="12" max="12" width="7.375" style="23" customWidth="1"/>
    <col min="13" max="13" width="6.75" style="23" customWidth="1"/>
    <col min="14" max="14" width="7" style="23" customWidth="1"/>
    <col min="15" max="16" width="9" style="23"/>
    <col min="17" max="18" width="0" style="23" hidden="1" customWidth="1"/>
    <col min="19" max="16384" width="9" style="23"/>
  </cols>
  <sheetData>
    <row r="1" spans="1:18" x14ac:dyDescent="0.15">
      <c r="H1" s="22"/>
      <c r="I1" s="22"/>
      <c r="J1" s="216" t="s">
        <v>135</v>
      </c>
      <c r="K1" s="216" t="s">
        <v>3933</v>
      </c>
    </row>
    <row r="2" spans="1:18" x14ac:dyDescent="0.15">
      <c r="B2" s="22" t="s">
        <v>98</v>
      </c>
      <c r="C2" s="22"/>
      <c r="D2" s="22"/>
      <c r="E2" s="22"/>
      <c r="F2" s="22"/>
      <c r="G2" s="22"/>
      <c r="H2" s="22"/>
      <c r="I2" s="22"/>
      <c r="J2" s="216"/>
      <c r="K2" s="216" t="s">
        <v>3928</v>
      </c>
    </row>
    <row r="3" spans="1:18" x14ac:dyDescent="0.15">
      <c r="B3" s="22" t="s">
        <v>88</v>
      </c>
      <c r="C3" s="22"/>
      <c r="D3" s="22"/>
      <c r="E3" s="22" t="s">
        <v>892</v>
      </c>
      <c r="F3" s="22"/>
      <c r="G3" s="22"/>
      <c r="H3" s="22"/>
      <c r="I3" s="22"/>
      <c r="J3" s="216"/>
      <c r="K3" s="240" t="s">
        <v>3939</v>
      </c>
    </row>
    <row r="4" spans="1:18" x14ac:dyDescent="0.15">
      <c r="B4" s="22" t="s">
        <v>89</v>
      </c>
      <c r="C4" s="22"/>
      <c r="D4" s="22"/>
      <c r="E4" s="22" t="s">
        <v>90</v>
      </c>
      <c r="F4" s="22"/>
      <c r="G4" s="22"/>
      <c r="H4" s="22"/>
      <c r="I4" s="22"/>
      <c r="J4" s="216"/>
      <c r="K4" s="216" t="s">
        <v>3938</v>
      </c>
    </row>
    <row r="5" spans="1:18" x14ac:dyDescent="0.15">
      <c r="B5" s="22" t="s">
        <v>91</v>
      </c>
      <c r="C5" s="22"/>
      <c r="D5" s="22"/>
      <c r="E5" s="22" t="s">
        <v>99</v>
      </c>
      <c r="F5" s="22"/>
      <c r="G5" s="22"/>
      <c r="H5" s="22"/>
      <c r="I5" s="22"/>
      <c r="J5" s="216"/>
      <c r="K5" s="240" t="s">
        <v>3940</v>
      </c>
    </row>
    <row r="6" spans="1:18" x14ac:dyDescent="0.15">
      <c r="B6" s="22" t="s">
        <v>93</v>
      </c>
      <c r="C6" s="22"/>
      <c r="D6" s="22"/>
      <c r="E6" s="22" t="s">
        <v>100</v>
      </c>
      <c r="F6" s="22"/>
      <c r="G6" s="22"/>
      <c r="H6" s="22"/>
      <c r="I6" s="22"/>
      <c r="J6" s="216"/>
      <c r="K6" s="216" t="s">
        <v>3932</v>
      </c>
    </row>
    <row r="7" spans="1:18" x14ac:dyDescent="0.15">
      <c r="H7" s="105" t="str">
        <f>"extreme turbulence factor c="</f>
        <v>extreme turbulence factor c=</v>
      </c>
      <c r="I7" s="106">
        <f>t_c</f>
        <v>2</v>
      </c>
      <c r="J7" s="139"/>
      <c r="K7" s="216" t="s">
        <v>3930</v>
      </c>
    </row>
    <row r="8" spans="1:18" ht="15.75" thickBot="1" x14ac:dyDescent="0.2"/>
    <row r="9" spans="1:18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140</v>
      </c>
      <c r="K9" s="26" t="s">
        <v>3</v>
      </c>
      <c r="L9" s="25" t="s">
        <v>141</v>
      </c>
      <c r="M9" s="27" t="s">
        <v>138</v>
      </c>
      <c r="N9" s="27" t="s">
        <v>139</v>
      </c>
    </row>
    <row r="10" spans="1:18" ht="15.75" thickBot="1" x14ac:dyDescent="0.3">
      <c r="A10" s="29" t="s">
        <v>76</v>
      </c>
      <c r="B10" s="30" t="str">
        <f>B2</f>
        <v>DLC13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32" t="s">
        <v>7</v>
      </c>
      <c r="N10" s="32" t="s">
        <v>7</v>
      </c>
    </row>
    <row r="11" spans="1:18" ht="15.75" thickBot="1" x14ac:dyDescent="0.3">
      <c r="A11" s="24">
        <f>LOOKUP(9E+307,'DLC12'!A:A)+1</f>
        <v>769</v>
      </c>
      <c r="B11" s="27">
        <v>1</v>
      </c>
      <c r="C11" s="24" t="str">
        <f>TEXT(RIGHT($B$2,LEN($B$2)-3),"L00")&amp;"X"&amp;TEXT(D11,"00")&amp;"#"&amp;IF(J11&lt;0,TEXT(360+J11,"000"),TEXT(J11,"000"))&amp;"_"&amp;"000"&amp;"_"&amp;TEXT(RIGHT(K11,LEN(K11)-FIND("-",K11)),"00")</f>
        <v>L13X04#352_000_01</v>
      </c>
      <c r="D11" s="34">
        <f t="shared" ref="D11:D28" si="0">v_in+1</f>
        <v>4</v>
      </c>
      <c r="E11" s="60">
        <f t="shared" ref="E11:E42" si="1">t_c*I_ref*(0.072*(v_ave/t_c+3)*(D11/t_c-4)+10)</f>
        <v>2.5278400000000003</v>
      </c>
      <c r="F11" s="35">
        <f>E11/D11*100</f>
        <v>63.196000000000005</v>
      </c>
      <c r="G11" s="35">
        <f t="shared" ref="G11:G12" si="2">m_ty*F11</f>
        <v>50.55680000000001</v>
      </c>
      <c r="H11" s="35">
        <f t="shared" ref="H11:H12" si="3">m_tz*F11</f>
        <v>31.598000000000003</v>
      </c>
      <c r="I11" s="35">
        <f>inflow</f>
        <v>8</v>
      </c>
      <c r="J11" s="36">
        <f t="shared" ref="J11:J16" si="4">yaw_min</f>
        <v>-8</v>
      </c>
      <c r="K11" s="37" t="str">
        <f>D11&amp;-1</f>
        <v>4-1</v>
      </c>
      <c r="L11" s="35">
        <f>alpha_n</f>
        <v>0.2</v>
      </c>
      <c r="M11" s="44">
        <f>t_out</f>
        <v>150</v>
      </c>
      <c r="N11" s="44">
        <f>M11+T_s1</f>
        <v>750</v>
      </c>
    </row>
    <row r="12" spans="1:18" ht="15.75" thickBot="1" x14ac:dyDescent="0.3">
      <c r="A12" s="41">
        <f>A11+1</f>
        <v>770</v>
      </c>
      <c r="B12" s="42">
        <f>B11+1</f>
        <v>2</v>
      </c>
      <c r="C12" s="218" t="str">
        <f t="shared" ref="C12:C75" si="5">TEXT(RIGHT($B$2,LEN($B$2)-3),"L00")&amp;"X"&amp;TEXT(D12,"00")&amp;"#"&amp;IF(J12&lt;0,TEXT(360+J12,"000"),TEXT(J12,"000"))&amp;"_"&amp;"000"&amp;"_"&amp;TEXT(RIGHT(K12,LEN(K12)-FIND("-",K12)),"00")</f>
        <v>L13X04#352_000_02</v>
      </c>
      <c r="D12" s="43">
        <f t="shared" si="0"/>
        <v>4</v>
      </c>
      <c r="E12" s="61">
        <f t="shared" si="1"/>
        <v>2.5278400000000003</v>
      </c>
      <c r="F12" s="44">
        <f>E12/D12*100</f>
        <v>63.196000000000005</v>
      </c>
      <c r="G12" s="44">
        <f t="shared" si="2"/>
        <v>50.55680000000001</v>
      </c>
      <c r="H12" s="44">
        <f t="shared" si="3"/>
        <v>31.598000000000003</v>
      </c>
      <c r="I12" s="44">
        <f>I11</f>
        <v>8</v>
      </c>
      <c r="J12" s="45">
        <f t="shared" si="4"/>
        <v>-8</v>
      </c>
      <c r="K12" s="37" t="str">
        <f>D12&amp;-2</f>
        <v>4-2</v>
      </c>
      <c r="L12" s="44">
        <f>L11</f>
        <v>0.2</v>
      </c>
      <c r="M12" s="44">
        <f>M11</f>
        <v>150</v>
      </c>
      <c r="N12" s="44">
        <f>N11</f>
        <v>750</v>
      </c>
      <c r="R12" s="37"/>
    </row>
    <row r="13" spans="1:18" ht="15.75" thickBot="1" x14ac:dyDescent="0.3">
      <c r="A13" s="229">
        <f t="shared" ref="A13:A76" si="6">A12+1</f>
        <v>771</v>
      </c>
      <c r="B13" s="230">
        <f t="shared" ref="B13:B76" si="7">B12+1</f>
        <v>3</v>
      </c>
      <c r="C13" s="218" t="str">
        <f t="shared" si="5"/>
        <v>L13X04#352_000_03</v>
      </c>
      <c r="D13" s="43">
        <f t="shared" si="0"/>
        <v>4</v>
      </c>
      <c r="E13" s="61">
        <f t="shared" si="1"/>
        <v>2.5278400000000003</v>
      </c>
      <c r="F13" s="44">
        <f t="shared" ref="F13:F16" si="8">E13/D13*100</f>
        <v>63.196000000000005</v>
      </c>
      <c r="G13" s="44">
        <f t="shared" ref="G13:G16" si="9">m_ty*F13</f>
        <v>50.55680000000001</v>
      </c>
      <c r="H13" s="44">
        <f t="shared" ref="H13:H16" si="10">m_tz*F13</f>
        <v>31.598000000000003</v>
      </c>
      <c r="I13" s="44">
        <f t="shared" ref="I13:I16" si="11">I12</f>
        <v>8</v>
      </c>
      <c r="J13" s="45">
        <f t="shared" si="4"/>
        <v>-8</v>
      </c>
      <c r="K13" s="37" t="str">
        <f>D13&amp;-3</f>
        <v>4-3</v>
      </c>
      <c r="L13" s="44">
        <f t="shared" ref="L13:L16" si="12">L12</f>
        <v>0.2</v>
      </c>
      <c r="M13" s="44">
        <f t="shared" ref="M13:M16" si="13">M12</f>
        <v>150</v>
      </c>
      <c r="N13" s="44">
        <f t="shared" ref="N13:N16" si="14">N12</f>
        <v>750</v>
      </c>
    </row>
    <row r="14" spans="1:18" ht="15.75" thickBot="1" x14ac:dyDescent="0.3">
      <c r="A14" s="229">
        <f t="shared" si="6"/>
        <v>772</v>
      </c>
      <c r="B14" s="230">
        <f t="shared" si="7"/>
        <v>4</v>
      </c>
      <c r="C14" s="218" t="str">
        <f t="shared" si="5"/>
        <v>L13X04#352_000_04</v>
      </c>
      <c r="D14" s="43">
        <f t="shared" si="0"/>
        <v>4</v>
      </c>
      <c r="E14" s="61">
        <f t="shared" si="1"/>
        <v>2.5278400000000003</v>
      </c>
      <c r="F14" s="44">
        <f t="shared" si="8"/>
        <v>63.196000000000005</v>
      </c>
      <c r="G14" s="44">
        <f t="shared" si="9"/>
        <v>50.55680000000001</v>
      </c>
      <c r="H14" s="44">
        <f t="shared" si="10"/>
        <v>31.598000000000003</v>
      </c>
      <c r="I14" s="44">
        <f t="shared" si="11"/>
        <v>8</v>
      </c>
      <c r="J14" s="45">
        <f t="shared" si="4"/>
        <v>-8</v>
      </c>
      <c r="K14" s="37" t="str">
        <f>D14&amp;-4</f>
        <v>4-4</v>
      </c>
      <c r="L14" s="44">
        <f t="shared" si="12"/>
        <v>0.2</v>
      </c>
      <c r="M14" s="44">
        <f t="shared" si="13"/>
        <v>150</v>
      </c>
      <c r="N14" s="44">
        <f t="shared" si="14"/>
        <v>750</v>
      </c>
    </row>
    <row r="15" spans="1:18" ht="15.75" thickBot="1" x14ac:dyDescent="0.3">
      <c r="A15" s="229">
        <f t="shared" si="6"/>
        <v>773</v>
      </c>
      <c r="B15" s="230">
        <f t="shared" si="7"/>
        <v>5</v>
      </c>
      <c r="C15" s="218" t="str">
        <f t="shared" si="5"/>
        <v>L13X04#352_000_05</v>
      </c>
      <c r="D15" s="43">
        <f t="shared" si="0"/>
        <v>4</v>
      </c>
      <c r="E15" s="61">
        <f t="shared" si="1"/>
        <v>2.5278400000000003</v>
      </c>
      <c r="F15" s="44">
        <f t="shared" si="8"/>
        <v>63.196000000000005</v>
      </c>
      <c r="G15" s="44">
        <f t="shared" si="9"/>
        <v>50.55680000000001</v>
      </c>
      <c r="H15" s="44">
        <f t="shared" si="10"/>
        <v>31.598000000000003</v>
      </c>
      <c r="I15" s="44">
        <f t="shared" si="11"/>
        <v>8</v>
      </c>
      <c r="J15" s="45">
        <f t="shared" si="4"/>
        <v>-8</v>
      </c>
      <c r="K15" s="37" t="str">
        <f>D15&amp;-5</f>
        <v>4-5</v>
      </c>
      <c r="L15" s="44">
        <f t="shared" si="12"/>
        <v>0.2</v>
      </c>
      <c r="M15" s="44">
        <f t="shared" si="13"/>
        <v>150</v>
      </c>
      <c r="N15" s="44">
        <f t="shared" si="14"/>
        <v>750</v>
      </c>
      <c r="Q15" s="23" t="str">
        <f>D13&amp;-5</f>
        <v>4-5</v>
      </c>
    </row>
    <row r="16" spans="1:18" ht="15.75" thickBot="1" x14ac:dyDescent="0.3">
      <c r="A16" s="229">
        <f t="shared" si="6"/>
        <v>774</v>
      </c>
      <c r="B16" s="230">
        <f t="shared" si="7"/>
        <v>6</v>
      </c>
      <c r="C16" s="218" t="str">
        <f t="shared" si="5"/>
        <v>L13X04#352_000_06</v>
      </c>
      <c r="D16" s="43">
        <f t="shared" si="0"/>
        <v>4</v>
      </c>
      <c r="E16" s="61">
        <f t="shared" si="1"/>
        <v>2.5278400000000003</v>
      </c>
      <c r="F16" s="44">
        <f t="shared" si="8"/>
        <v>63.196000000000005</v>
      </c>
      <c r="G16" s="44">
        <f t="shared" si="9"/>
        <v>50.55680000000001</v>
      </c>
      <c r="H16" s="44">
        <f t="shared" si="10"/>
        <v>31.598000000000003</v>
      </c>
      <c r="I16" s="44">
        <f t="shared" si="11"/>
        <v>8</v>
      </c>
      <c r="J16" s="45">
        <f t="shared" si="4"/>
        <v>-8</v>
      </c>
      <c r="K16" s="37" t="str">
        <f>D16&amp;-6</f>
        <v>4-6</v>
      </c>
      <c r="L16" s="44">
        <f t="shared" si="12"/>
        <v>0.2</v>
      </c>
      <c r="M16" s="44">
        <f t="shared" si="13"/>
        <v>150</v>
      </c>
      <c r="N16" s="44">
        <f t="shared" si="14"/>
        <v>750</v>
      </c>
    </row>
    <row r="17" spans="1:14" ht="15.75" thickBot="1" x14ac:dyDescent="0.3">
      <c r="A17" s="229">
        <f t="shared" si="6"/>
        <v>775</v>
      </c>
      <c r="B17" s="230">
        <f t="shared" si="7"/>
        <v>7</v>
      </c>
      <c r="C17" s="218" t="str">
        <f t="shared" si="5"/>
        <v>L13X04#000_000_01</v>
      </c>
      <c r="D17" s="43">
        <f t="shared" si="0"/>
        <v>4</v>
      </c>
      <c r="E17" s="61">
        <f t="shared" si="1"/>
        <v>2.5278400000000003</v>
      </c>
      <c r="F17" s="44">
        <f t="shared" ref="F17:F22" si="15">E17/D17*100</f>
        <v>63.196000000000005</v>
      </c>
      <c r="G17" s="44">
        <f t="shared" ref="G17:G22" si="16">m_ty*F17</f>
        <v>50.55680000000001</v>
      </c>
      <c r="H17" s="44">
        <f t="shared" ref="H17:H22" si="17">m_tz*F17</f>
        <v>31.598000000000003</v>
      </c>
      <c r="I17" s="44">
        <f t="shared" ref="I17:I22" si="18">I16</f>
        <v>8</v>
      </c>
      <c r="J17" s="45">
        <f t="shared" ref="J17:J22" si="19">yaw_null</f>
        <v>0</v>
      </c>
      <c r="K17" s="37" t="str">
        <f>D17&amp;-1</f>
        <v>4-1</v>
      </c>
      <c r="L17" s="44">
        <f t="shared" ref="L17:L22" si="20">L16</f>
        <v>0.2</v>
      </c>
      <c r="M17" s="44">
        <f t="shared" ref="M17:M22" si="21">M16</f>
        <v>150</v>
      </c>
      <c r="N17" s="44">
        <f t="shared" ref="N17:N22" si="22">N16</f>
        <v>750</v>
      </c>
    </row>
    <row r="18" spans="1:14" ht="15.75" thickBot="1" x14ac:dyDescent="0.3">
      <c r="A18" s="229">
        <f t="shared" si="6"/>
        <v>776</v>
      </c>
      <c r="B18" s="230">
        <f t="shared" si="7"/>
        <v>8</v>
      </c>
      <c r="C18" s="218" t="str">
        <f t="shared" si="5"/>
        <v>L13X04#000_000_02</v>
      </c>
      <c r="D18" s="43">
        <f t="shared" si="0"/>
        <v>4</v>
      </c>
      <c r="E18" s="61">
        <f t="shared" si="1"/>
        <v>2.5278400000000003</v>
      </c>
      <c r="F18" s="44">
        <f t="shared" si="15"/>
        <v>63.196000000000005</v>
      </c>
      <c r="G18" s="44">
        <f t="shared" si="16"/>
        <v>50.55680000000001</v>
      </c>
      <c r="H18" s="44">
        <f t="shared" si="17"/>
        <v>31.598000000000003</v>
      </c>
      <c r="I18" s="44">
        <f t="shared" si="18"/>
        <v>8</v>
      </c>
      <c r="J18" s="45">
        <f t="shared" si="19"/>
        <v>0</v>
      </c>
      <c r="K18" s="37" t="str">
        <f>D18&amp;-2</f>
        <v>4-2</v>
      </c>
      <c r="L18" s="44">
        <f t="shared" si="20"/>
        <v>0.2</v>
      </c>
      <c r="M18" s="44">
        <f t="shared" si="21"/>
        <v>150</v>
      </c>
      <c r="N18" s="44">
        <f t="shared" si="22"/>
        <v>750</v>
      </c>
    </row>
    <row r="19" spans="1:14" ht="15.75" thickBot="1" x14ac:dyDescent="0.3">
      <c r="A19" s="229">
        <f t="shared" si="6"/>
        <v>777</v>
      </c>
      <c r="B19" s="230">
        <f t="shared" si="7"/>
        <v>9</v>
      </c>
      <c r="C19" s="218" t="str">
        <f t="shared" si="5"/>
        <v>L13X04#000_000_03</v>
      </c>
      <c r="D19" s="43">
        <f t="shared" si="0"/>
        <v>4</v>
      </c>
      <c r="E19" s="61">
        <f t="shared" si="1"/>
        <v>2.5278400000000003</v>
      </c>
      <c r="F19" s="44">
        <f t="shared" si="15"/>
        <v>63.196000000000005</v>
      </c>
      <c r="G19" s="44">
        <f t="shared" si="16"/>
        <v>50.55680000000001</v>
      </c>
      <c r="H19" s="44">
        <f t="shared" si="17"/>
        <v>31.598000000000003</v>
      </c>
      <c r="I19" s="44">
        <f t="shared" si="18"/>
        <v>8</v>
      </c>
      <c r="J19" s="45">
        <f t="shared" si="19"/>
        <v>0</v>
      </c>
      <c r="K19" s="37" t="str">
        <f>D19&amp;-3</f>
        <v>4-3</v>
      </c>
      <c r="L19" s="44">
        <f t="shared" si="20"/>
        <v>0.2</v>
      </c>
      <c r="M19" s="44">
        <f t="shared" si="21"/>
        <v>150</v>
      </c>
      <c r="N19" s="44">
        <f t="shared" si="22"/>
        <v>750</v>
      </c>
    </row>
    <row r="20" spans="1:14" ht="15.75" thickBot="1" x14ac:dyDescent="0.3">
      <c r="A20" s="229">
        <f t="shared" si="6"/>
        <v>778</v>
      </c>
      <c r="B20" s="230">
        <f t="shared" si="7"/>
        <v>10</v>
      </c>
      <c r="C20" s="218" t="str">
        <f t="shared" si="5"/>
        <v>L13X04#000_000_04</v>
      </c>
      <c r="D20" s="43">
        <f t="shared" si="0"/>
        <v>4</v>
      </c>
      <c r="E20" s="61">
        <f t="shared" si="1"/>
        <v>2.5278400000000003</v>
      </c>
      <c r="F20" s="44">
        <f t="shared" si="15"/>
        <v>63.196000000000005</v>
      </c>
      <c r="G20" s="44">
        <f t="shared" si="16"/>
        <v>50.55680000000001</v>
      </c>
      <c r="H20" s="44">
        <f t="shared" si="17"/>
        <v>31.598000000000003</v>
      </c>
      <c r="I20" s="44">
        <f t="shared" si="18"/>
        <v>8</v>
      </c>
      <c r="J20" s="45">
        <f t="shared" si="19"/>
        <v>0</v>
      </c>
      <c r="K20" s="37" t="str">
        <f>D20&amp;-4</f>
        <v>4-4</v>
      </c>
      <c r="L20" s="44">
        <f t="shared" si="20"/>
        <v>0.2</v>
      </c>
      <c r="M20" s="44">
        <f t="shared" si="21"/>
        <v>150</v>
      </c>
      <c r="N20" s="44">
        <f t="shared" si="22"/>
        <v>750</v>
      </c>
    </row>
    <row r="21" spans="1:14" ht="15.75" thickBot="1" x14ac:dyDescent="0.3">
      <c r="A21" s="229">
        <f t="shared" si="6"/>
        <v>779</v>
      </c>
      <c r="B21" s="230">
        <f t="shared" si="7"/>
        <v>11</v>
      </c>
      <c r="C21" s="218" t="str">
        <f t="shared" si="5"/>
        <v>L13X04#000_000_05</v>
      </c>
      <c r="D21" s="43">
        <f t="shared" si="0"/>
        <v>4</v>
      </c>
      <c r="E21" s="61">
        <f t="shared" si="1"/>
        <v>2.5278400000000003</v>
      </c>
      <c r="F21" s="44">
        <f t="shared" si="15"/>
        <v>63.196000000000005</v>
      </c>
      <c r="G21" s="44">
        <f t="shared" si="16"/>
        <v>50.55680000000001</v>
      </c>
      <c r="H21" s="44">
        <f t="shared" si="17"/>
        <v>31.598000000000003</v>
      </c>
      <c r="I21" s="44">
        <f t="shared" si="18"/>
        <v>8</v>
      </c>
      <c r="J21" s="45">
        <f t="shared" si="19"/>
        <v>0</v>
      </c>
      <c r="K21" s="37" t="str">
        <f>D21&amp;-5</f>
        <v>4-5</v>
      </c>
      <c r="L21" s="44">
        <f t="shared" si="20"/>
        <v>0.2</v>
      </c>
      <c r="M21" s="44">
        <f t="shared" si="21"/>
        <v>150</v>
      </c>
      <c r="N21" s="44">
        <f t="shared" si="22"/>
        <v>750</v>
      </c>
    </row>
    <row r="22" spans="1:14" ht="15.75" thickBot="1" x14ac:dyDescent="0.3">
      <c r="A22" s="229">
        <f t="shared" si="6"/>
        <v>780</v>
      </c>
      <c r="B22" s="230">
        <f t="shared" si="7"/>
        <v>12</v>
      </c>
      <c r="C22" s="218" t="str">
        <f t="shared" si="5"/>
        <v>L13X04#000_000_06</v>
      </c>
      <c r="D22" s="43">
        <f t="shared" si="0"/>
        <v>4</v>
      </c>
      <c r="E22" s="61">
        <f t="shared" si="1"/>
        <v>2.5278400000000003</v>
      </c>
      <c r="F22" s="44">
        <f t="shared" si="15"/>
        <v>63.196000000000005</v>
      </c>
      <c r="G22" s="44">
        <f t="shared" si="16"/>
        <v>50.55680000000001</v>
      </c>
      <c r="H22" s="44">
        <f t="shared" si="17"/>
        <v>31.598000000000003</v>
      </c>
      <c r="I22" s="44">
        <f t="shared" si="18"/>
        <v>8</v>
      </c>
      <c r="J22" s="45">
        <f t="shared" si="19"/>
        <v>0</v>
      </c>
      <c r="K22" s="37" t="str">
        <f>D22&amp;-6</f>
        <v>4-6</v>
      </c>
      <c r="L22" s="44">
        <f t="shared" si="20"/>
        <v>0.2</v>
      </c>
      <c r="M22" s="44">
        <f t="shared" si="21"/>
        <v>150</v>
      </c>
      <c r="N22" s="44">
        <f t="shared" si="22"/>
        <v>750</v>
      </c>
    </row>
    <row r="23" spans="1:14" ht="15.75" thickBot="1" x14ac:dyDescent="0.3">
      <c r="A23" s="229">
        <f t="shared" si="6"/>
        <v>781</v>
      </c>
      <c r="B23" s="230">
        <f t="shared" si="7"/>
        <v>13</v>
      </c>
      <c r="C23" s="218" t="str">
        <f t="shared" si="5"/>
        <v>L13X04#008_000_01</v>
      </c>
      <c r="D23" s="43">
        <f t="shared" si="0"/>
        <v>4</v>
      </c>
      <c r="E23" s="61">
        <f t="shared" si="1"/>
        <v>2.5278400000000003</v>
      </c>
      <c r="F23" s="44">
        <f t="shared" ref="F23:F28" si="23">E23/D23*100</f>
        <v>63.196000000000005</v>
      </c>
      <c r="G23" s="44">
        <f t="shared" ref="G23:G28" si="24">m_ty*F23</f>
        <v>50.55680000000001</v>
      </c>
      <c r="H23" s="44">
        <f t="shared" ref="H23:H28" si="25">m_tz*F23</f>
        <v>31.598000000000003</v>
      </c>
      <c r="I23" s="44">
        <f t="shared" ref="I23:I28" si="26">I22</f>
        <v>8</v>
      </c>
      <c r="J23" s="45">
        <f t="shared" ref="J23:J28" si="27">yaw_max</f>
        <v>8</v>
      </c>
      <c r="K23" s="37" t="str">
        <f>D23&amp;-1</f>
        <v>4-1</v>
      </c>
      <c r="L23" s="44">
        <f t="shared" ref="L23:L28" si="28">L22</f>
        <v>0.2</v>
      </c>
      <c r="M23" s="44">
        <f t="shared" ref="M23:M28" si="29">M22</f>
        <v>150</v>
      </c>
      <c r="N23" s="44">
        <f t="shared" ref="N23:N28" si="30">N22</f>
        <v>750</v>
      </c>
    </row>
    <row r="24" spans="1:14" ht="15.75" thickBot="1" x14ac:dyDescent="0.3">
      <c r="A24" s="229">
        <f t="shared" si="6"/>
        <v>782</v>
      </c>
      <c r="B24" s="230">
        <f t="shared" si="7"/>
        <v>14</v>
      </c>
      <c r="C24" s="218" t="str">
        <f t="shared" si="5"/>
        <v>L13X04#008_000_02</v>
      </c>
      <c r="D24" s="43">
        <f t="shared" si="0"/>
        <v>4</v>
      </c>
      <c r="E24" s="61">
        <f t="shared" si="1"/>
        <v>2.5278400000000003</v>
      </c>
      <c r="F24" s="44">
        <f t="shared" si="23"/>
        <v>63.196000000000005</v>
      </c>
      <c r="G24" s="44">
        <f t="shared" si="24"/>
        <v>50.55680000000001</v>
      </c>
      <c r="H24" s="44">
        <f t="shared" si="25"/>
        <v>31.598000000000003</v>
      </c>
      <c r="I24" s="44">
        <f t="shared" si="26"/>
        <v>8</v>
      </c>
      <c r="J24" s="45">
        <f t="shared" si="27"/>
        <v>8</v>
      </c>
      <c r="K24" s="37" t="str">
        <f>D24&amp;-2</f>
        <v>4-2</v>
      </c>
      <c r="L24" s="44">
        <f t="shared" si="28"/>
        <v>0.2</v>
      </c>
      <c r="M24" s="44">
        <f t="shared" si="29"/>
        <v>150</v>
      </c>
      <c r="N24" s="44">
        <f t="shared" si="30"/>
        <v>750</v>
      </c>
    </row>
    <row r="25" spans="1:14" ht="15.75" thickBot="1" x14ac:dyDescent="0.3">
      <c r="A25" s="229">
        <f t="shared" si="6"/>
        <v>783</v>
      </c>
      <c r="B25" s="230">
        <f t="shared" si="7"/>
        <v>15</v>
      </c>
      <c r="C25" s="218" t="str">
        <f t="shared" si="5"/>
        <v>L13X04#008_000_03</v>
      </c>
      <c r="D25" s="43">
        <f t="shared" si="0"/>
        <v>4</v>
      </c>
      <c r="E25" s="61">
        <f t="shared" si="1"/>
        <v>2.5278400000000003</v>
      </c>
      <c r="F25" s="44">
        <f t="shared" si="23"/>
        <v>63.196000000000005</v>
      </c>
      <c r="G25" s="44">
        <f t="shared" si="24"/>
        <v>50.55680000000001</v>
      </c>
      <c r="H25" s="44">
        <f t="shared" si="25"/>
        <v>31.598000000000003</v>
      </c>
      <c r="I25" s="44">
        <f t="shared" si="26"/>
        <v>8</v>
      </c>
      <c r="J25" s="45">
        <f t="shared" si="27"/>
        <v>8</v>
      </c>
      <c r="K25" s="37" t="str">
        <f>D25&amp;-3</f>
        <v>4-3</v>
      </c>
      <c r="L25" s="44">
        <f t="shared" si="28"/>
        <v>0.2</v>
      </c>
      <c r="M25" s="44">
        <f t="shared" si="29"/>
        <v>150</v>
      </c>
      <c r="N25" s="44">
        <f t="shared" si="30"/>
        <v>750</v>
      </c>
    </row>
    <row r="26" spans="1:14" ht="15.75" thickBot="1" x14ac:dyDescent="0.3">
      <c r="A26" s="229">
        <f t="shared" si="6"/>
        <v>784</v>
      </c>
      <c r="B26" s="230">
        <f t="shared" si="7"/>
        <v>16</v>
      </c>
      <c r="C26" s="218" t="str">
        <f t="shared" si="5"/>
        <v>L13X04#008_000_04</v>
      </c>
      <c r="D26" s="43">
        <f t="shared" si="0"/>
        <v>4</v>
      </c>
      <c r="E26" s="61">
        <f t="shared" si="1"/>
        <v>2.5278400000000003</v>
      </c>
      <c r="F26" s="44">
        <f t="shared" si="23"/>
        <v>63.196000000000005</v>
      </c>
      <c r="G26" s="44">
        <f t="shared" si="24"/>
        <v>50.55680000000001</v>
      </c>
      <c r="H26" s="44">
        <f t="shared" si="25"/>
        <v>31.598000000000003</v>
      </c>
      <c r="I26" s="44">
        <f t="shared" si="26"/>
        <v>8</v>
      </c>
      <c r="J26" s="45">
        <f t="shared" si="27"/>
        <v>8</v>
      </c>
      <c r="K26" s="37" t="str">
        <f>D26&amp;-4</f>
        <v>4-4</v>
      </c>
      <c r="L26" s="44">
        <f t="shared" si="28"/>
        <v>0.2</v>
      </c>
      <c r="M26" s="44">
        <f t="shared" si="29"/>
        <v>150</v>
      </c>
      <c r="N26" s="44">
        <f t="shared" si="30"/>
        <v>750</v>
      </c>
    </row>
    <row r="27" spans="1:14" ht="15.75" thickBot="1" x14ac:dyDescent="0.3">
      <c r="A27" s="229">
        <f t="shared" si="6"/>
        <v>785</v>
      </c>
      <c r="B27" s="230">
        <f t="shared" si="7"/>
        <v>17</v>
      </c>
      <c r="C27" s="218" t="str">
        <f t="shared" si="5"/>
        <v>L13X04#008_000_05</v>
      </c>
      <c r="D27" s="43">
        <f t="shared" si="0"/>
        <v>4</v>
      </c>
      <c r="E27" s="61">
        <f t="shared" si="1"/>
        <v>2.5278400000000003</v>
      </c>
      <c r="F27" s="44">
        <f t="shared" si="23"/>
        <v>63.196000000000005</v>
      </c>
      <c r="G27" s="44">
        <f t="shared" si="24"/>
        <v>50.55680000000001</v>
      </c>
      <c r="H27" s="44">
        <f t="shared" si="25"/>
        <v>31.598000000000003</v>
      </c>
      <c r="I27" s="44">
        <f t="shared" si="26"/>
        <v>8</v>
      </c>
      <c r="J27" s="45">
        <f t="shared" si="27"/>
        <v>8</v>
      </c>
      <c r="K27" s="37" t="str">
        <f>D27&amp;-5</f>
        <v>4-5</v>
      </c>
      <c r="L27" s="44">
        <f t="shared" si="28"/>
        <v>0.2</v>
      </c>
      <c r="M27" s="44">
        <f t="shared" si="29"/>
        <v>150</v>
      </c>
      <c r="N27" s="44">
        <f t="shared" si="30"/>
        <v>750</v>
      </c>
    </row>
    <row r="28" spans="1:14" ht="15.75" thickBot="1" x14ac:dyDescent="0.3">
      <c r="A28" s="229">
        <f t="shared" si="6"/>
        <v>786</v>
      </c>
      <c r="B28" s="230">
        <f t="shared" si="7"/>
        <v>18</v>
      </c>
      <c r="C28" s="218" t="str">
        <f t="shared" si="5"/>
        <v>L13X04#008_000_06</v>
      </c>
      <c r="D28" s="43">
        <f t="shared" si="0"/>
        <v>4</v>
      </c>
      <c r="E28" s="61">
        <f t="shared" si="1"/>
        <v>2.5278400000000003</v>
      </c>
      <c r="F28" s="44">
        <f t="shared" si="23"/>
        <v>63.196000000000005</v>
      </c>
      <c r="G28" s="44">
        <f t="shared" si="24"/>
        <v>50.55680000000001</v>
      </c>
      <c r="H28" s="44">
        <f t="shared" si="25"/>
        <v>31.598000000000003</v>
      </c>
      <c r="I28" s="44">
        <f t="shared" si="26"/>
        <v>8</v>
      </c>
      <c r="J28" s="45">
        <f t="shared" si="27"/>
        <v>8</v>
      </c>
      <c r="K28" s="37" t="str">
        <f>D28&amp;-6</f>
        <v>4-6</v>
      </c>
      <c r="L28" s="44">
        <f t="shared" si="28"/>
        <v>0.2</v>
      </c>
      <c r="M28" s="44">
        <f t="shared" si="29"/>
        <v>150</v>
      </c>
      <c r="N28" s="44">
        <f t="shared" si="30"/>
        <v>750</v>
      </c>
    </row>
    <row r="29" spans="1:14" ht="15.75" thickBot="1" x14ac:dyDescent="0.3">
      <c r="A29" s="229">
        <f t="shared" si="6"/>
        <v>787</v>
      </c>
      <c r="B29" s="230">
        <f t="shared" si="7"/>
        <v>19</v>
      </c>
      <c r="C29" s="218" t="str">
        <f t="shared" si="5"/>
        <v>L13X06#352_000_01</v>
      </c>
      <c r="D29" s="43">
        <f>D28+v_step</f>
        <v>6</v>
      </c>
      <c r="E29" s="61">
        <f t="shared" si="1"/>
        <v>2.6639200000000001</v>
      </c>
      <c r="F29" s="44">
        <f t="shared" ref="F29" si="31">E29/D29*100</f>
        <v>44.398666666666671</v>
      </c>
      <c r="G29" s="44">
        <f t="shared" ref="G29:G46" si="32">m_ty*F29</f>
        <v>35.518933333333337</v>
      </c>
      <c r="H29" s="44">
        <f t="shared" ref="H29:H46" si="33">m_tz*F29</f>
        <v>22.199333333333335</v>
      </c>
      <c r="I29" s="44">
        <f t="shared" ref="I29" si="34">I28</f>
        <v>8</v>
      </c>
      <c r="J29" s="171">
        <f t="shared" ref="J29:J34" si="35">yaw_min</f>
        <v>-8</v>
      </c>
      <c r="K29" s="37" t="str">
        <f>D29&amp;-1</f>
        <v>6-1</v>
      </c>
      <c r="L29" s="44">
        <f t="shared" ref="L29" si="36">L28</f>
        <v>0.2</v>
      </c>
      <c r="M29" s="44">
        <f t="shared" ref="M29" si="37">M28</f>
        <v>150</v>
      </c>
      <c r="N29" s="44">
        <f t="shared" ref="N29" si="38">N28</f>
        <v>750</v>
      </c>
    </row>
    <row r="30" spans="1:14" ht="15.75" thickBot="1" x14ac:dyDescent="0.3">
      <c r="A30" s="229">
        <f t="shared" si="6"/>
        <v>788</v>
      </c>
      <c r="B30" s="230">
        <f t="shared" si="7"/>
        <v>20</v>
      </c>
      <c r="C30" s="218" t="str">
        <f t="shared" si="5"/>
        <v>L13X06#352_000_02</v>
      </c>
      <c r="D30" s="169">
        <f>D29</f>
        <v>6</v>
      </c>
      <c r="E30" s="61">
        <f t="shared" si="1"/>
        <v>2.6639200000000001</v>
      </c>
      <c r="F30" s="44">
        <f>E30/D30*100</f>
        <v>44.398666666666671</v>
      </c>
      <c r="G30" s="44">
        <f t="shared" si="32"/>
        <v>35.518933333333337</v>
      </c>
      <c r="H30" s="44">
        <f t="shared" si="33"/>
        <v>22.199333333333335</v>
      </c>
      <c r="I30" s="44">
        <f>I29</f>
        <v>8</v>
      </c>
      <c r="J30" s="45">
        <f t="shared" si="35"/>
        <v>-8</v>
      </c>
      <c r="K30" s="37" t="str">
        <f>D30&amp;-2</f>
        <v>6-2</v>
      </c>
      <c r="L30" s="44">
        <f>L29</f>
        <v>0.2</v>
      </c>
      <c r="M30" s="44">
        <f>M29</f>
        <v>150</v>
      </c>
      <c r="N30" s="44">
        <f>N29</f>
        <v>750</v>
      </c>
    </row>
    <row r="31" spans="1:14" ht="15.75" thickBot="1" x14ac:dyDescent="0.3">
      <c r="A31" s="229">
        <f t="shared" si="6"/>
        <v>789</v>
      </c>
      <c r="B31" s="230">
        <f t="shared" si="7"/>
        <v>21</v>
      </c>
      <c r="C31" s="218" t="str">
        <f t="shared" si="5"/>
        <v>L13X06#352_000_03</v>
      </c>
      <c r="D31" s="169">
        <f t="shared" ref="D31:D46" si="39">D30</f>
        <v>6</v>
      </c>
      <c r="E31" s="61">
        <f t="shared" si="1"/>
        <v>2.6639200000000001</v>
      </c>
      <c r="F31" s="44">
        <f t="shared" ref="F31:F47" si="40">E31/D31*100</f>
        <v>44.398666666666671</v>
      </c>
      <c r="G31" s="44">
        <f t="shared" si="32"/>
        <v>35.518933333333337</v>
      </c>
      <c r="H31" s="44">
        <f t="shared" si="33"/>
        <v>22.199333333333335</v>
      </c>
      <c r="I31" s="44">
        <f t="shared" ref="I31:I47" si="41">I30</f>
        <v>8</v>
      </c>
      <c r="J31" s="45">
        <f t="shared" si="35"/>
        <v>-8</v>
      </c>
      <c r="K31" s="37" t="str">
        <f>D31&amp;-3</f>
        <v>6-3</v>
      </c>
      <c r="L31" s="44">
        <f t="shared" ref="L31:L47" si="42">L30</f>
        <v>0.2</v>
      </c>
      <c r="M31" s="44">
        <f t="shared" ref="M31:M47" si="43">M30</f>
        <v>150</v>
      </c>
      <c r="N31" s="44">
        <f t="shared" ref="N31:N47" si="44">N30</f>
        <v>750</v>
      </c>
    </row>
    <row r="32" spans="1:14" ht="15.75" thickBot="1" x14ac:dyDescent="0.3">
      <c r="A32" s="229">
        <f t="shared" si="6"/>
        <v>790</v>
      </c>
      <c r="B32" s="230">
        <f t="shared" si="7"/>
        <v>22</v>
      </c>
      <c r="C32" s="218" t="str">
        <f t="shared" si="5"/>
        <v>L13X06#352_000_04</v>
      </c>
      <c r="D32" s="169">
        <f t="shared" si="39"/>
        <v>6</v>
      </c>
      <c r="E32" s="61">
        <f t="shared" si="1"/>
        <v>2.6639200000000001</v>
      </c>
      <c r="F32" s="44">
        <f t="shared" si="40"/>
        <v>44.398666666666671</v>
      </c>
      <c r="G32" s="44">
        <f t="shared" si="32"/>
        <v>35.518933333333337</v>
      </c>
      <c r="H32" s="44">
        <f t="shared" si="33"/>
        <v>22.199333333333335</v>
      </c>
      <c r="I32" s="44">
        <f t="shared" si="41"/>
        <v>8</v>
      </c>
      <c r="J32" s="45">
        <f t="shared" si="35"/>
        <v>-8</v>
      </c>
      <c r="K32" s="37" t="str">
        <f>D32&amp;-4</f>
        <v>6-4</v>
      </c>
      <c r="L32" s="44">
        <f t="shared" si="42"/>
        <v>0.2</v>
      </c>
      <c r="M32" s="44">
        <f t="shared" si="43"/>
        <v>150</v>
      </c>
      <c r="N32" s="44">
        <f t="shared" si="44"/>
        <v>750</v>
      </c>
    </row>
    <row r="33" spans="1:14" ht="15.75" thickBot="1" x14ac:dyDescent="0.3">
      <c r="A33" s="229">
        <f t="shared" si="6"/>
        <v>791</v>
      </c>
      <c r="B33" s="230">
        <f t="shared" si="7"/>
        <v>23</v>
      </c>
      <c r="C33" s="218" t="str">
        <f t="shared" si="5"/>
        <v>L13X06#352_000_05</v>
      </c>
      <c r="D33" s="169">
        <f t="shared" si="39"/>
        <v>6</v>
      </c>
      <c r="E33" s="61">
        <f t="shared" si="1"/>
        <v>2.6639200000000001</v>
      </c>
      <c r="F33" s="44">
        <f t="shared" si="40"/>
        <v>44.398666666666671</v>
      </c>
      <c r="G33" s="44">
        <f t="shared" si="32"/>
        <v>35.518933333333337</v>
      </c>
      <c r="H33" s="44">
        <f t="shared" si="33"/>
        <v>22.199333333333335</v>
      </c>
      <c r="I33" s="44">
        <f t="shared" si="41"/>
        <v>8</v>
      </c>
      <c r="J33" s="45">
        <f t="shared" si="35"/>
        <v>-8</v>
      </c>
      <c r="K33" s="37" t="str">
        <f>D33&amp;-5</f>
        <v>6-5</v>
      </c>
      <c r="L33" s="44">
        <f t="shared" si="42"/>
        <v>0.2</v>
      </c>
      <c r="M33" s="44">
        <f t="shared" si="43"/>
        <v>150</v>
      </c>
      <c r="N33" s="44">
        <f t="shared" si="44"/>
        <v>750</v>
      </c>
    </row>
    <row r="34" spans="1:14" ht="15.75" thickBot="1" x14ac:dyDescent="0.3">
      <c r="A34" s="229">
        <f t="shared" si="6"/>
        <v>792</v>
      </c>
      <c r="B34" s="230">
        <f t="shared" si="7"/>
        <v>24</v>
      </c>
      <c r="C34" s="218" t="str">
        <f t="shared" si="5"/>
        <v>L13X06#352_000_06</v>
      </c>
      <c r="D34" s="169">
        <f t="shared" si="39"/>
        <v>6</v>
      </c>
      <c r="E34" s="61">
        <f t="shared" si="1"/>
        <v>2.6639200000000001</v>
      </c>
      <c r="F34" s="44">
        <f t="shared" si="40"/>
        <v>44.398666666666671</v>
      </c>
      <c r="G34" s="44">
        <f t="shared" si="32"/>
        <v>35.518933333333337</v>
      </c>
      <c r="H34" s="44">
        <f t="shared" si="33"/>
        <v>22.199333333333335</v>
      </c>
      <c r="I34" s="44">
        <f t="shared" si="41"/>
        <v>8</v>
      </c>
      <c r="J34" s="45">
        <f t="shared" si="35"/>
        <v>-8</v>
      </c>
      <c r="K34" s="37" t="str">
        <f>D34&amp;-6</f>
        <v>6-6</v>
      </c>
      <c r="L34" s="44">
        <f t="shared" si="42"/>
        <v>0.2</v>
      </c>
      <c r="M34" s="44">
        <f t="shared" si="43"/>
        <v>150</v>
      </c>
      <c r="N34" s="44">
        <f t="shared" si="44"/>
        <v>750</v>
      </c>
    </row>
    <row r="35" spans="1:14" ht="15.75" thickBot="1" x14ac:dyDescent="0.3">
      <c r="A35" s="229">
        <f t="shared" si="6"/>
        <v>793</v>
      </c>
      <c r="B35" s="230">
        <f t="shared" si="7"/>
        <v>25</v>
      </c>
      <c r="C35" s="218" t="str">
        <f t="shared" si="5"/>
        <v>L13X06#000_000_01</v>
      </c>
      <c r="D35" s="169">
        <f t="shared" si="39"/>
        <v>6</v>
      </c>
      <c r="E35" s="61">
        <f t="shared" si="1"/>
        <v>2.6639200000000001</v>
      </c>
      <c r="F35" s="44">
        <f t="shared" si="40"/>
        <v>44.398666666666671</v>
      </c>
      <c r="G35" s="44">
        <f t="shared" si="32"/>
        <v>35.518933333333337</v>
      </c>
      <c r="H35" s="44">
        <f t="shared" si="33"/>
        <v>22.199333333333335</v>
      </c>
      <c r="I35" s="44">
        <f t="shared" si="41"/>
        <v>8</v>
      </c>
      <c r="J35" s="45">
        <f t="shared" ref="J35:J40" si="45">yaw_null</f>
        <v>0</v>
      </c>
      <c r="K35" s="37" t="str">
        <f>D35&amp;-1</f>
        <v>6-1</v>
      </c>
      <c r="L35" s="44">
        <f t="shared" si="42"/>
        <v>0.2</v>
      </c>
      <c r="M35" s="44">
        <f t="shared" si="43"/>
        <v>150</v>
      </c>
      <c r="N35" s="44">
        <f t="shared" si="44"/>
        <v>750</v>
      </c>
    </row>
    <row r="36" spans="1:14" ht="15.75" thickBot="1" x14ac:dyDescent="0.3">
      <c r="A36" s="229">
        <f t="shared" si="6"/>
        <v>794</v>
      </c>
      <c r="B36" s="230">
        <f t="shared" si="7"/>
        <v>26</v>
      </c>
      <c r="C36" s="218" t="str">
        <f t="shared" si="5"/>
        <v>L13X06#000_000_02</v>
      </c>
      <c r="D36" s="169">
        <f t="shared" si="39"/>
        <v>6</v>
      </c>
      <c r="E36" s="61">
        <f t="shared" si="1"/>
        <v>2.6639200000000001</v>
      </c>
      <c r="F36" s="44">
        <f t="shared" si="40"/>
        <v>44.398666666666671</v>
      </c>
      <c r="G36" s="44">
        <f t="shared" si="32"/>
        <v>35.518933333333337</v>
      </c>
      <c r="H36" s="44">
        <f t="shared" si="33"/>
        <v>22.199333333333335</v>
      </c>
      <c r="I36" s="44">
        <f t="shared" si="41"/>
        <v>8</v>
      </c>
      <c r="J36" s="45">
        <f t="shared" si="45"/>
        <v>0</v>
      </c>
      <c r="K36" s="37" t="str">
        <f>D36&amp;-2</f>
        <v>6-2</v>
      </c>
      <c r="L36" s="44">
        <f t="shared" si="42"/>
        <v>0.2</v>
      </c>
      <c r="M36" s="44">
        <f t="shared" si="43"/>
        <v>150</v>
      </c>
      <c r="N36" s="44">
        <f t="shared" si="44"/>
        <v>750</v>
      </c>
    </row>
    <row r="37" spans="1:14" ht="15.75" thickBot="1" x14ac:dyDescent="0.3">
      <c r="A37" s="229">
        <f t="shared" si="6"/>
        <v>795</v>
      </c>
      <c r="B37" s="230">
        <f t="shared" si="7"/>
        <v>27</v>
      </c>
      <c r="C37" s="218" t="str">
        <f t="shared" si="5"/>
        <v>L13X06#000_000_03</v>
      </c>
      <c r="D37" s="169">
        <f t="shared" si="39"/>
        <v>6</v>
      </c>
      <c r="E37" s="61">
        <f t="shared" si="1"/>
        <v>2.6639200000000001</v>
      </c>
      <c r="F37" s="44">
        <f t="shared" si="40"/>
        <v>44.398666666666671</v>
      </c>
      <c r="G37" s="44">
        <f t="shared" si="32"/>
        <v>35.518933333333337</v>
      </c>
      <c r="H37" s="44">
        <f t="shared" si="33"/>
        <v>22.199333333333335</v>
      </c>
      <c r="I37" s="44">
        <f t="shared" si="41"/>
        <v>8</v>
      </c>
      <c r="J37" s="45">
        <f t="shared" si="45"/>
        <v>0</v>
      </c>
      <c r="K37" s="37" t="str">
        <f>D37&amp;-3</f>
        <v>6-3</v>
      </c>
      <c r="L37" s="44">
        <f t="shared" si="42"/>
        <v>0.2</v>
      </c>
      <c r="M37" s="44">
        <f t="shared" si="43"/>
        <v>150</v>
      </c>
      <c r="N37" s="44">
        <f t="shared" si="44"/>
        <v>750</v>
      </c>
    </row>
    <row r="38" spans="1:14" ht="15.75" thickBot="1" x14ac:dyDescent="0.3">
      <c r="A38" s="229">
        <f t="shared" si="6"/>
        <v>796</v>
      </c>
      <c r="B38" s="230">
        <f t="shared" si="7"/>
        <v>28</v>
      </c>
      <c r="C38" s="218" t="str">
        <f t="shared" si="5"/>
        <v>L13X06#000_000_04</v>
      </c>
      <c r="D38" s="169">
        <f t="shared" si="39"/>
        <v>6</v>
      </c>
      <c r="E38" s="61">
        <f t="shared" si="1"/>
        <v>2.6639200000000001</v>
      </c>
      <c r="F38" s="44">
        <f t="shared" si="40"/>
        <v>44.398666666666671</v>
      </c>
      <c r="G38" s="44">
        <f t="shared" si="32"/>
        <v>35.518933333333337</v>
      </c>
      <c r="H38" s="44">
        <f t="shared" si="33"/>
        <v>22.199333333333335</v>
      </c>
      <c r="I38" s="44">
        <f t="shared" si="41"/>
        <v>8</v>
      </c>
      <c r="J38" s="45">
        <f t="shared" si="45"/>
        <v>0</v>
      </c>
      <c r="K38" s="37" t="str">
        <f>D38&amp;-4</f>
        <v>6-4</v>
      </c>
      <c r="L38" s="44">
        <f t="shared" si="42"/>
        <v>0.2</v>
      </c>
      <c r="M38" s="44">
        <f t="shared" si="43"/>
        <v>150</v>
      </c>
      <c r="N38" s="44">
        <f t="shared" si="44"/>
        <v>750</v>
      </c>
    </row>
    <row r="39" spans="1:14" ht="15.75" thickBot="1" x14ac:dyDescent="0.3">
      <c r="A39" s="229">
        <f t="shared" si="6"/>
        <v>797</v>
      </c>
      <c r="B39" s="230">
        <f t="shared" si="7"/>
        <v>29</v>
      </c>
      <c r="C39" s="218" t="str">
        <f t="shared" si="5"/>
        <v>L13X06#000_000_05</v>
      </c>
      <c r="D39" s="169">
        <f t="shared" si="39"/>
        <v>6</v>
      </c>
      <c r="E39" s="61">
        <f t="shared" si="1"/>
        <v>2.6639200000000001</v>
      </c>
      <c r="F39" s="44">
        <f t="shared" si="40"/>
        <v>44.398666666666671</v>
      </c>
      <c r="G39" s="44">
        <f t="shared" si="32"/>
        <v>35.518933333333337</v>
      </c>
      <c r="H39" s="44">
        <f t="shared" si="33"/>
        <v>22.199333333333335</v>
      </c>
      <c r="I39" s="44">
        <f t="shared" si="41"/>
        <v>8</v>
      </c>
      <c r="J39" s="45">
        <f t="shared" si="45"/>
        <v>0</v>
      </c>
      <c r="K39" s="37" t="str">
        <f>D39&amp;-5</f>
        <v>6-5</v>
      </c>
      <c r="L39" s="44">
        <f t="shared" si="42"/>
        <v>0.2</v>
      </c>
      <c r="M39" s="44">
        <f t="shared" si="43"/>
        <v>150</v>
      </c>
      <c r="N39" s="44">
        <f t="shared" si="44"/>
        <v>750</v>
      </c>
    </row>
    <row r="40" spans="1:14" ht="15.75" thickBot="1" x14ac:dyDescent="0.3">
      <c r="A40" s="229">
        <f t="shared" si="6"/>
        <v>798</v>
      </c>
      <c r="B40" s="230">
        <f t="shared" si="7"/>
        <v>30</v>
      </c>
      <c r="C40" s="218" t="str">
        <f t="shared" si="5"/>
        <v>L13X06#000_000_06</v>
      </c>
      <c r="D40" s="169">
        <f t="shared" si="39"/>
        <v>6</v>
      </c>
      <c r="E40" s="61">
        <f t="shared" si="1"/>
        <v>2.6639200000000001</v>
      </c>
      <c r="F40" s="44">
        <f t="shared" si="40"/>
        <v>44.398666666666671</v>
      </c>
      <c r="G40" s="44">
        <f t="shared" si="32"/>
        <v>35.518933333333337</v>
      </c>
      <c r="H40" s="44">
        <f t="shared" si="33"/>
        <v>22.199333333333335</v>
      </c>
      <c r="I40" s="44">
        <f t="shared" si="41"/>
        <v>8</v>
      </c>
      <c r="J40" s="45">
        <f t="shared" si="45"/>
        <v>0</v>
      </c>
      <c r="K40" s="37" t="str">
        <f>D40&amp;-6</f>
        <v>6-6</v>
      </c>
      <c r="L40" s="44">
        <f t="shared" si="42"/>
        <v>0.2</v>
      </c>
      <c r="M40" s="44">
        <f t="shared" si="43"/>
        <v>150</v>
      </c>
      <c r="N40" s="44">
        <f t="shared" si="44"/>
        <v>750</v>
      </c>
    </row>
    <row r="41" spans="1:14" ht="15.75" thickBot="1" x14ac:dyDescent="0.3">
      <c r="A41" s="229">
        <f t="shared" si="6"/>
        <v>799</v>
      </c>
      <c r="B41" s="230">
        <f t="shared" si="7"/>
        <v>31</v>
      </c>
      <c r="C41" s="218" t="str">
        <f t="shared" si="5"/>
        <v>L13X06#008_000_01</v>
      </c>
      <c r="D41" s="169">
        <f t="shared" si="39"/>
        <v>6</v>
      </c>
      <c r="E41" s="61">
        <f t="shared" si="1"/>
        <v>2.6639200000000001</v>
      </c>
      <c r="F41" s="44">
        <f t="shared" si="40"/>
        <v>44.398666666666671</v>
      </c>
      <c r="G41" s="44">
        <f t="shared" si="32"/>
        <v>35.518933333333337</v>
      </c>
      <c r="H41" s="44">
        <f t="shared" si="33"/>
        <v>22.199333333333335</v>
      </c>
      <c r="I41" s="44">
        <f t="shared" si="41"/>
        <v>8</v>
      </c>
      <c r="J41" s="45">
        <f t="shared" ref="J41:J46" si="46">yaw_max</f>
        <v>8</v>
      </c>
      <c r="K41" s="37" t="str">
        <f>D41&amp;-1</f>
        <v>6-1</v>
      </c>
      <c r="L41" s="44">
        <f t="shared" si="42"/>
        <v>0.2</v>
      </c>
      <c r="M41" s="44">
        <f t="shared" si="43"/>
        <v>150</v>
      </c>
      <c r="N41" s="44">
        <f t="shared" si="44"/>
        <v>750</v>
      </c>
    </row>
    <row r="42" spans="1:14" ht="15.75" thickBot="1" x14ac:dyDescent="0.3">
      <c r="A42" s="229">
        <f t="shared" si="6"/>
        <v>800</v>
      </c>
      <c r="B42" s="230">
        <f t="shared" si="7"/>
        <v>32</v>
      </c>
      <c r="C42" s="218" t="str">
        <f t="shared" si="5"/>
        <v>L13X06#008_000_02</v>
      </c>
      <c r="D42" s="169">
        <f t="shared" si="39"/>
        <v>6</v>
      </c>
      <c r="E42" s="61">
        <f t="shared" si="1"/>
        <v>2.6639200000000001</v>
      </c>
      <c r="F42" s="44">
        <f t="shared" si="40"/>
        <v>44.398666666666671</v>
      </c>
      <c r="G42" s="44">
        <f t="shared" si="32"/>
        <v>35.518933333333337</v>
      </c>
      <c r="H42" s="44">
        <f t="shared" si="33"/>
        <v>22.199333333333335</v>
      </c>
      <c r="I42" s="44">
        <f t="shared" si="41"/>
        <v>8</v>
      </c>
      <c r="J42" s="45">
        <f t="shared" si="46"/>
        <v>8</v>
      </c>
      <c r="K42" s="37" t="str">
        <f>D42&amp;-2</f>
        <v>6-2</v>
      </c>
      <c r="L42" s="44">
        <f t="shared" si="42"/>
        <v>0.2</v>
      </c>
      <c r="M42" s="44">
        <f t="shared" si="43"/>
        <v>150</v>
      </c>
      <c r="N42" s="44">
        <f t="shared" si="44"/>
        <v>750</v>
      </c>
    </row>
    <row r="43" spans="1:14" ht="15.75" thickBot="1" x14ac:dyDescent="0.3">
      <c r="A43" s="229">
        <f t="shared" si="6"/>
        <v>801</v>
      </c>
      <c r="B43" s="230">
        <f t="shared" si="7"/>
        <v>33</v>
      </c>
      <c r="C43" s="218" t="str">
        <f t="shared" si="5"/>
        <v>L13X06#008_000_03</v>
      </c>
      <c r="D43" s="169">
        <f t="shared" si="39"/>
        <v>6</v>
      </c>
      <c r="E43" s="61">
        <f t="shared" ref="E43:E74" si="47">t_c*I_ref*(0.072*(v_ave/t_c+3)*(D43/t_c-4)+10)</f>
        <v>2.6639200000000001</v>
      </c>
      <c r="F43" s="44">
        <f t="shared" si="40"/>
        <v>44.398666666666671</v>
      </c>
      <c r="G43" s="44">
        <f t="shared" si="32"/>
        <v>35.518933333333337</v>
      </c>
      <c r="H43" s="44">
        <f t="shared" si="33"/>
        <v>22.199333333333335</v>
      </c>
      <c r="I43" s="44">
        <f t="shared" si="41"/>
        <v>8</v>
      </c>
      <c r="J43" s="45">
        <f t="shared" si="46"/>
        <v>8</v>
      </c>
      <c r="K43" s="37" t="str">
        <f>D43&amp;-3</f>
        <v>6-3</v>
      </c>
      <c r="L43" s="44">
        <f t="shared" si="42"/>
        <v>0.2</v>
      </c>
      <c r="M43" s="44">
        <f t="shared" si="43"/>
        <v>150</v>
      </c>
      <c r="N43" s="44">
        <f t="shared" si="44"/>
        <v>750</v>
      </c>
    </row>
    <row r="44" spans="1:14" ht="15.75" thickBot="1" x14ac:dyDescent="0.3">
      <c r="A44" s="229">
        <f t="shared" si="6"/>
        <v>802</v>
      </c>
      <c r="B44" s="230">
        <f t="shared" si="7"/>
        <v>34</v>
      </c>
      <c r="C44" s="218" t="str">
        <f t="shared" si="5"/>
        <v>L13X06#008_000_04</v>
      </c>
      <c r="D44" s="169">
        <f t="shared" si="39"/>
        <v>6</v>
      </c>
      <c r="E44" s="61">
        <f t="shared" si="47"/>
        <v>2.6639200000000001</v>
      </c>
      <c r="F44" s="44">
        <f t="shared" si="40"/>
        <v>44.398666666666671</v>
      </c>
      <c r="G44" s="44">
        <f t="shared" si="32"/>
        <v>35.518933333333337</v>
      </c>
      <c r="H44" s="44">
        <f t="shared" si="33"/>
        <v>22.199333333333335</v>
      </c>
      <c r="I44" s="44">
        <f t="shared" si="41"/>
        <v>8</v>
      </c>
      <c r="J44" s="45">
        <f t="shared" si="46"/>
        <v>8</v>
      </c>
      <c r="K44" s="37" t="str">
        <f>D44&amp;-4</f>
        <v>6-4</v>
      </c>
      <c r="L44" s="44">
        <f t="shared" si="42"/>
        <v>0.2</v>
      </c>
      <c r="M44" s="44">
        <f t="shared" si="43"/>
        <v>150</v>
      </c>
      <c r="N44" s="44">
        <f t="shared" si="44"/>
        <v>750</v>
      </c>
    </row>
    <row r="45" spans="1:14" ht="15.75" thickBot="1" x14ac:dyDescent="0.3">
      <c r="A45" s="229">
        <f t="shared" si="6"/>
        <v>803</v>
      </c>
      <c r="B45" s="230">
        <f t="shared" si="7"/>
        <v>35</v>
      </c>
      <c r="C45" s="218" t="str">
        <f t="shared" si="5"/>
        <v>L13X06#008_000_05</v>
      </c>
      <c r="D45" s="169">
        <f t="shared" si="39"/>
        <v>6</v>
      </c>
      <c r="E45" s="61">
        <f t="shared" si="47"/>
        <v>2.6639200000000001</v>
      </c>
      <c r="F45" s="44">
        <f t="shared" si="40"/>
        <v>44.398666666666671</v>
      </c>
      <c r="G45" s="44">
        <f t="shared" si="32"/>
        <v>35.518933333333337</v>
      </c>
      <c r="H45" s="44">
        <f t="shared" si="33"/>
        <v>22.199333333333335</v>
      </c>
      <c r="I45" s="44">
        <f t="shared" si="41"/>
        <v>8</v>
      </c>
      <c r="J45" s="45">
        <f t="shared" si="46"/>
        <v>8</v>
      </c>
      <c r="K45" s="37" t="str">
        <f>D45&amp;-5</f>
        <v>6-5</v>
      </c>
      <c r="L45" s="44">
        <f t="shared" si="42"/>
        <v>0.2</v>
      </c>
      <c r="M45" s="44">
        <f t="shared" si="43"/>
        <v>150</v>
      </c>
      <c r="N45" s="44">
        <f t="shared" si="44"/>
        <v>750</v>
      </c>
    </row>
    <row r="46" spans="1:14" ht="15.75" thickBot="1" x14ac:dyDescent="0.3">
      <c r="A46" s="229">
        <f t="shared" si="6"/>
        <v>804</v>
      </c>
      <c r="B46" s="230">
        <f t="shared" si="7"/>
        <v>36</v>
      </c>
      <c r="C46" s="218" t="str">
        <f t="shared" si="5"/>
        <v>L13X06#008_000_06</v>
      </c>
      <c r="D46" s="169">
        <f t="shared" si="39"/>
        <v>6</v>
      </c>
      <c r="E46" s="61">
        <f t="shared" si="47"/>
        <v>2.6639200000000001</v>
      </c>
      <c r="F46" s="44">
        <f t="shared" si="40"/>
        <v>44.398666666666671</v>
      </c>
      <c r="G46" s="44">
        <f t="shared" si="32"/>
        <v>35.518933333333337</v>
      </c>
      <c r="H46" s="44">
        <f t="shared" si="33"/>
        <v>22.199333333333335</v>
      </c>
      <c r="I46" s="44">
        <f t="shared" si="41"/>
        <v>8</v>
      </c>
      <c r="J46" s="45">
        <f t="shared" si="46"/>
        <v>8</v>
      </c>
      <c r="K46" s="37" t="str">
        <f>D46&amp;-6</f>
        <v>6-6</v>
      </c>
      <c r="L46" s="44">
        <f t="shared" si="42"/>
        <v>0.2</v>
      </c>
      <c r="M46" s="44">
        <f t="shared" si="43"/>
        <v>150</v>
      </c>
      <c r="N46" s="44">
        <f t="shared" si="44"/>
        <v>750</v>
      </c>
    </row>
    <row r="47" spans="1:14" ht="15.75" thickBot="1" x14ac:dyDescent="0.3">
      <c r="A47" s="229">
        <f t="shared" si="6"/>
        <v>805</v>
      </c>
      <c r="B47" s="230">
        <f t="shared" si="7"/>
        <v>37</v>
      </c>
      <c r="C47" s="218" t="str">
        <f t="shared" si="5"/>
        <v>L13X08#352_000_01</v>
      </c>
      <c r="D47" s="169">
        <f>D46+v_step</f>
        <v>8</v>
      </c>
      <c r="E47" s="61">
        <f t="shared" si="47"/>
        <v>2.8000000000000003</v>
      </c>
      <c r="F47" s="44">
        <f t="shared" si="40"/>
        <v>35</v>
      </c>
      <c r="G47" s="44">
        <f t="shared" ref="G47:G64" si="48">m_ty*F47</f>
        <v>28</v>
      </c>
      <c r="H47" s="44">
        <f t="shared" ref="H47:H64" si="49">m_tz*F47</f>
        <v>17.5</v>
      </c>
      <c r="I47" s="44">
        <f t="shared" si="41"/>
        <v>8</v>
      </c>
      <c r="J47" s="171">
        <f t="shared" ref="J47:J52" si="50">yaw_min</f>
        <v>-8</v>
      </c>
      <c r="K47" s="37" t="str">
        <f>D47&amp;-1</f>
        <v>8-1</v>
      </c>
      <c r="L47" s="44">
        <f t="shared" si="42"/>
        <v>0.2</v>
      </c>
      <c r="M47" s="44">
        <f t="shared" si="43"/>
        <v>150</v>
      </c>
      <c r="N47" s="44">
        <f t="shared" si="44"/>
        <v>750</v>
      </c>
    </row>
    <row r="48" spans="1:14" ht="15.75" thickBot="1" x14ac:dyDescent="0.3">
      <c r="A48" s="229">
        <f t="shared" si="6"/>
        <v>806</v>
      </c>
      <c r="B48" s="230">
        <f t="shared" si="7"/>
        <v>38</v>
      </c>
      <c r="C48" s="218" t="str">
        <f t="shared" si="5"/>
        <v>L13X08#352_000_02</v>
      </c>
      <c r="D48" s="169">
        <f>D47</f>
        <v>8</v>
      </c>
      <c r="E48" s="61">
        <f t="shared" si="47"/>
        <v>2.8000000000000003</v>
      </c>
      <c r="F48" s="44">
        <f>E48/D48*100</f>
        <v>35</v>
      </c>
      <c r="G48" s="44">
        <f t="shared" si="48"/>
        <v>28</v>
      </c>
      <c r="H48" s="44">
        <f t="shared" si="49"/>
        <v>17.5</v>
      </c>
      <c r="I48" s="44">
        <f>I47</f>
        <v>8</v>
      </c>
      <c r="J48" s="45">
        <f t="shared" si="50"/>
        <v>-8</v>
      </c>
      <c r="K48" s="37" t="str">
        <f>D48&amp;-2</f>
        <v>8-2</v>
      </c>
      <c r="L48" s="44">
        <f>L47</f>
        <v>0.2</v>
      </c>
      <c r="M48" s="44">
        <f>M47</f>
        <v>150</v>
      </c>
      <c r="N48" s="44">
        <f>N47</f>
        <v>750</v>
      </c>
    </row>
    <row r="49" spans="1:14" ht="15.75" thickBot="1" x14ac:dyDescent="0.3">
      <c r="A49" s="229">
        <f t="shared" si="6"/>
        <v>807</v>
      </c>
      <c r="B49" s="230">
        <f t="shared" si="7"/>
        <v>39</v>
      </c>
      <c r="C49" s="218" t="str">
        <f t="shared" si="5"/>
        <v>L13X08#352_000_03</v>
      </c>
      <c r="D49" s="169">
        <f t="shared" ref="D49:D64" si="51">D48</f>
        <v>8</v>
      </c>
      <c r="E49" s="61">
        <f t="shared" si="47"/>
        <v>2.8000000000000003</v>
      </c>
      <c r="F49" s="44">
        <f t="shared" ref="F49:F65" si="52">E49/D49*100</f>
        <v>35</v>
      </c>
      <c r="G49" s="44">
        <f t="shared" si="48"/>
        <v>28</v>
      </c>
      <c r="H49" s="44">
        <f t="shared" si="49"/>
        <v>17.5</v>
      </c>
      <c r="I49" s="44">
        <f t="shared" ref="I49:I65" si="53">I48</f>
        <v>8</v>
      </c>
      <c r="J49" s="45">
        <f t="shared" si="50"/>
        <v>-8</v>
      </c>
      <c r="K49" s="37" t="str">
        <f>D49&amp;-3</f>
        <v>8-3</v>
      </c>
      <c r="L49" s="44">
        <f t="shared" ref="L49:L65" si="54">L48</f>
        <v>0.2</v>
      </c>
      <c r="M49" s="44">
        <f t="shared" ref="M49:M65" si="55">M48</f>
        <v>150</v>
      </c>
      <c r="N49" s="44">
        <f t="shared" ref="N49:N65" si="56">N48</f>
        <v>750</v>
      </c>
    </row>
    <row r="50" spans="1:14" ht="15.75" thickBot="1" x14ac:dyDescent="0.3">
      <c r="A50" s="229">
        <f t="shared" si="6"/>
        <v>808</v>
      </c>
      <c r="B50" s="230">
        <f t="shared" si="7"/>
        <v>40</v>
      </c>
      <c r="C50" s="218" t="str">
        <f t="shared" si="5"/>
        <v>L13X08#352_000_04</v>
      </c>
      <c r="D50" s="169">
        <f t="shared" si="51"/>
        <v>8</v>
      </c>
      <c r="E50" s="61">
        <f t="shared" si="47"/>
        <v>2.8000000000000003</v>
      </c>
      <c r="F50" s="44">
        <f t="shared" si="52"/>
        <v>35</v>
      </c>
      <c r="G50" s="44">
        <f t="shared" si="48"/>
        <v>28</v>
      </c>
      <c r="H50" s="44">
        <f t="shared" si="49"/>
        <v>17.5</v>
      </c>
      <c r="I50" s="44">
        <f t="shared" si="53"/>
        <v>8</v>
      </c>
      <c r="J50" s="45">
        <f t="shared" si="50"/>
        <v>-8</v>
      </c>
      <c r="K50" s="37" t="str">
        <f>D50&amp;-4</f>
        <v>8-4</v>
      </c>
      <c r="L50" s="44">
        <f t="shared" si="54"/>
        <v>0.2</v>
      </c>
      <c r="M50" s="44">
        <f t="shared" si="55"/>
        <v>150</v>
      </c>
      <c r="N50" s="44">
        <f t="shared" si="56"/>
        <v>750</v>
      </c>
    </row>
    <row r="51" spans="1:14" ht="15.75" thickBot="1" x14ac:dyDescent="0.3">
      <c r="A51" s="229">
        <f t="shared" si="6"/>
        <v>809</v>
      </c>
      <c r="B51" s="230">
        <f t="shared" si="7"/>
        <v>41</v>
      </c>
      <c r="C51" s="218" t="str">
        <f t="shared" si="5"/>
        <v>L13X08#352_000_05</v>
      </c>
      <c r="D51" s="169">
        <f t="shared" si="51"/>
        <v>8</v>
      </c>
      <c r="E51" s="61">
        <f t="shared" si="47"/>
        <v>2.8000000000000003</v>
      </c>
      <c r="F51" s="44">
        <f t="shared" si="52"/>
        <v>35</v>
      </c>
      <c r="G51" s="44">
        <f t="shared" si="48"/>
        <v>28</v>
      </c>
      <c r="H51" s="44">
        <f t="shared" si="49"/>
        <v>17.5</v>
      </c>
      <c r="I51" s="44">
        <f t="shared" si="53"/>
        <v>8</v>
      </c>
      <c r="J51" s="45">
        <f t="shared" si="50"/>
        <v>-8</v>
      </c>
      <c r="K51" s="37" t="str">
        <f>D51&amp;-5</f>
        <v>8-5</v>
      </c>
      <c r="L51" s="44">
        <f t="shared" si="54"/>
        <v>0.2</v>
      </c>
      <c r="M51" s="44">
        <f t="shared" si="55"/>
        <v>150</v>
      </c>
      <c r="N51" s="44">
        <f t="shared" si="56"/>
        <v>750</v>
      </c>
    </row>
    <row r="52" spans="1:14" ht="15.75" thickBot="1" x14ac:dyDescent="0.3">
      <c r="A52" s="229">
        <f t="shared" si="6"/>
        <v>810</v>
      </c>
      <c r="B52" s="230">
        <f t="shared" si="7"/>
        <v>42</v>
      </c>
      <c r="C52" s="218" t="str">
        <f t="shared" si="5"/>
        <v>L13X08#352_000_06</v>
      </c>
      <c r="D52" s="169">
        <f t="shared" si="51"/>
        <v>8</v>
      </c>
      <c r="E52" s="61">
        <f t="shared" si="47"/>
        <v>2.8000000000000003</v>
      </c>
      <c r="F52" s="44">
        <f t="shared" si="52"/>
        <v>35</v>
      </c>
      <c r="G52" s="44">
        <f t="shared" si="48"/>
        <v>28</v>
      </c>
      <c r="H52" s="44">
        <f t="shared" si="49"/>
        <v>17.5</v>
      </c>
      <c r="I52" s="44">
        <f t="shared" si="53"/>
        <v>8</v>
      </c>
      <c r="J52" s="45">
        <f t="shared" si="50"/>
        <v>-8</v>
      </c>
      <c r="K52" s="37" t="str">
        <f>D52&amp;-6</f>
        <v>8-6</v>
      </c>
      <c r="L52" s="44">
        <f t="shared" si="54"/>
        <v>0.2</v>
      </c>
      <c r="M52" s="44">
        <f t="shared" si="55"/>
        <v>150</v>
      </c>
      <c r="N52" s="44">
        <f t="shared" si="56"/>
        <v>750</v>
      </c>
    </row>
    <row r="53" spans="1:14" ht="15.75" thickBot="1" x14ac:dyDescent="0.3">
      <c r="A53" s="229">
        <f t="shared" si="6"/>
        <v>811</v>
      </c>
      <c r="B53" s="230">
        <f t="shared" si="7"/>
        <v>43</v>
      </c>
      <c r="C53" s="218" t="str">
        <f t="shared" si="5"/>
        <v>L13X08#000_000_01</v>
      </c>
      <c r="D53" s="169">
        <f t="shared" si="51"/>
        <v>8</v>
      </c>
      <c r="E53" s="61">
        <f t="shared" si="47"/>
        <v>2.8000000000000003</v>
      </c>
      <c r="F53" s="44">
        <f t="shared" si="52"/>
        <v>35</v>
      </c>
      <c r="G53" s="44">
        <f t="shared" si="48"/>
        <v>28</v>
      </c>
      <c r="H53" s="44">
        <f t="shared" si="49"/>
        <v>17.5</v>
      </c>
      <c r="I53" s="44">
        <f t="shared" si="53"/>
        <v>8</v>
      </c>
      <c r="J53" s="45">
        <f t="shared" ref="J53:J58" si="57">yaw_null</f>
        <v>0</v>
      </c>
      <c r="K53" s="37" t="str">
        <f>D53&amp;-1</f>
        <v>8-1</v>
      </c>
      <c r="L53" s="44">
        <f t="shared" si="54"/>
        <v>0.2</v>
      </c>
      <c r="M53" s="44">
        <f t="shared" si="55"/>
        <v>150</v>
      </c>
      <c r="N53" s="44">
        <f t="shared" si="56"/>
        <v>750</v>
      </c>
    </row>
    <row r="54" spans="1:14" ht="15.75" thickBot="1" x14ac:dyDescent="0.3">
      <c r="A54" s="229">
        <f t="shared" si="6"/>
        <v>812</v>
      </c>
      <c r="B54" s="230">
        <f t="shared" si="7"/>
        <v>44</v>
      </c>
      <c r="C54" s="218" t="str">
        <f t="shared" si="5"/>
        <v>L13X08#000_000_02</v>
      </c>
      <c r="D54" s="169">
        <f t="shared" si="51"/>
        <v>8</v>
      </c>
      <c r="E54" s="61">
        <f t="shared" si="47"/>
        <v>2.8000000000000003</v>
      </c>
      <c r="F54" s="44">
        <f t="shared" si="52"/>
        <v>35</v>
      </c>
      <c r="G54" s="44">
        <f t="shared" si="48"/>
        <v>28</v>
      </c>
      <c r="H54" s="44">
        <f t="shared" si="49"/>
        <v>17.5</v>
      </c>
      <c r="I54" s="44">
        <f t="shared" si="53"/>
        <v>8</v>
      </c>
      <c r="J54" s="45">
        <f t="shared" si="57"/>
        <v>0</v>
      </c>
      <c r="K54" s="37" t="str">
        <f>D54&amp;-2</f>
        <v>8-2</v>
      </c>
      <c r="L54" s="44">
        <f t="shared" si="54"/>
        <v>0.2</v>
      </c>
      <c r="M54" s="44">
        <f t="shared" si="55"/>
        <v>150</v>
      </c>
      <c r="N54" s="44">
        <f t="shared" si="56"/>
        <v>750</v>
      </c>
    </row>
    <row r="55" spans="1:14" ht="15.75" thickBot="1" x14ac:dyDescent="0.3">
      <c r="A55" s="229">
        <f t="shared" si="6"/>
        <v>813</v>
      </c>
      <c r="B55" s="230">
        <f t="shared" si="7"/>
        <v>45</v>
      </c>
      <c r="C55" s="218" t="str">
        <f t="shared" si="5"/>
        <v>L13X08#000_000_03</v>
      </c>
      <c r="D55" s="169">
        <f t="shared" si="51"/>
        <v>8</v>
      </c>
      <c r="E55" s="61">
        <f t="shared" si="47"/>
        <v>2.8000000000000003</v>
      </c>
      <c r="F55" s="44">
        <f t="shared" si="52"/>
        <v>35</v>
      </c>
      <c r="G55" s="44">
        <f t="shared" si="48"/>
        <v>28</v>
      </c>
      <c r="H55" s="44">
        <f t="shared" si="49"/>
        <v>17.5</v>
      </c>
      <c r="I55" s="44">
        <f t="shared" si="53"/>
        <v>8</v>
      </c>
      <c r="J55" s="45">
        <f t="shared" si="57"/>
        <v>0</v>
      </c>
      <c r="K55" s="37" t="str">
        <f>D55&amp;-3</f>
        <v>8-3</v>
      </c>
      <c r="L55" s="44">
        <f t="shared" si="54"/>
        <v>0.2</v>
      </c>
      <c r="M55" s="44">
        <f t="shared" si="55"/>
        <v>150</v>
      </c>
      <c r="N55" s="44">
        <f t="shared" si="56"/>
        <v>750</v>
      </c>
    </row>
    <row r="56" spans="1:14" ht="15.75" thickBot="1" x14ac:dyDescent="0.3">
      <c r="A56" s="229">
        <f t="shared" si="6"/>
        <v>814</v>
      </c>
      <c r="B56" s="230">
        <f t="shared" si="7"/>
        <v>46</v>
      </c>
      <c r="C56" s="218" t="str">
        <f t="shared" si="5"/>
        <v>L13X08#000_000_04</v>
      </c>
      <c r="D56" s="169">
        <f t="shared" si="51"/>
        <v>8</v>
      </c>
      <c r="E56" s="61">
        <f t="shared" si="47"/>
        <v>2.8000000000000003</v>
      </c>
      <c r="F56" s="44">
        <f t="shared" si="52"/>
        <v>35</v>
      </c>
      <c r="G56" s="44">
        <f t="shared" si="48"/>
        <v>28</v>
      </c>
      <c r="H56" s="44">
        <f t="shared" si="49"/>
        <v>17.5</v>
      </c>
      <c r="I56" s="44">
        <f t="shared" si="53"/>
        <v>8</v>
      </c>
      <c r="J56" s="45">
        <f t="shared" si="57"/>
        <v>0</v>
      </c>
      <c r="K56" s="37" t="str">
        <f>D56&amp;-4</f>
        <v>8-4</v>
      </c>
      <c r="L56" s="44">
        <f t="shared" si="54"/>
        <v>0.2</v>
      </c>
      <c r="M56" s="44">
        <f t="shared" si="55"/>
        <v>150</v>
      </c>
      <c r="N56" s="44">
        <f t="shared" si="56"/>
        <v>750</v>
      </c>
    </row>
    <row r="57" spans="1:14" ht="15.75" thickBot="1" x14ac:dyDescent="0.3">
      <c r="A57" s="229">
        <f t="shared" si="6"/>
        <v>815</v>
      </c>
      <c r="B57" s="230">
        <f t="shared" si="7"/>
        <v>47</v>
      </c>
      <c r="C57" s="218" t="str">
        <f t="shared" si="5"/>
        <v>L13X08#000_000_05</v>
      </c>
      <c r="D57" s="169">
        <f t="shared" si="51"/>
        <v>8</v>
      </c>
      <c r="E57" s="61">
        <f t="shared" si="47"/>
        <v>2.8000000000000003</v>
      </c>
      <c r="F57" s="44">
        <f t="shared" si="52"/>
        <v>35</v>
      </c>
      <c r="G57" s="44">
        <f t="shared" si="48"/>
        <v>28</v>
      </c>
      <c r="H57" s="44">
        <f t="shared" si="49"/>
        <v>17.5</v>
      </c>
      <c r="I57" s="44">
        <f t="shared" si="53"/>
        <v>8</v>
      </c>
      <c r="J57" s="45">
        <f t="shared" si="57"/>
        <v>0</v>
      </c>
      <c r="K57" s="37" t="str">
        <f>D57&amp;-5</f>
        <v>8-5</v>
      </c>
      <c r="L57" s="44">
        <f t="shared" si="54"/>
        <v>0.2</v>
      </c>
      <c r="M57" s="44">
        <f t="shared" si="55"/>
        <v>150</v>
      </c>
      <c r="N57" s="44">
        <f t="shared" si="56"/>
        <v>750</v>
      </c>
    </row>
    <row r="58" spans="1:14" ht="15.75" thickBot="1" x14ac:dyDescent="0.3">
      <c r="A58" s="229">
        <f t="shared" si="6"/>
        <v>816</v>
      </c>
      <c r="B58" s="230">
        <f t="shared" si="7"/>
        <v>48</v>
      </c>
      <c r="C58" s="218" t="str">
        <f t="shared" si="5"/>
        <v>L13X08#000_000_06</v>
      </c>
      <c r="D58" s="169">
        <f t="shared" si="51"/>
        <v>8</v>
      </c>
      <c r="E58" s="61">
        <f t="shared" si="47"/>
        <v>2.8000000000000003</v>
      </c>
      <c r="F58" s="44">
        <f t="shared" si="52"/>
        <v>35</v>
      </c>
      <c r="G58" s="44">
        <f t="shared" si="48"/>
        <v>28</v>
      </c>
      <c r="H58" s="44">
        <f t="shared" si="49"/>
        <v>17.5</v>
      </c>
      <c r="I58" s="44">
        <f t="shared" si="53"/>
        <v>8</v>
      </c>
      <c r="J58" s="45">
        <f t="shared" si="57"/>
        <v>0</v>
      </c>
      <c r="K58" s="37" t="str">
        <f>D58&amp;-6</f>
        <v>8-6</v>
      </c>
      <c r="L58" s="44">
        <f t="shared" si="54"/>
        <v>0.2</v>
      </c>
      <c r="M58" s="44">
        <f t="shared" si="55"/>
        <v>150</v>
      </c>
      <c r="N58" s="44">
        <f t="shared" si="56"/>
        <v>750</v>
      </c>
    </row>
    <row r="59" spans="1:14" ht="15.75" thickBot="1" x14ac:dyDescent="0.3">
      <c r="A59" s="229">
        <f t="shared" si="6"/>
        <v>817</v>
      </c>
      <c r="B59" s="230">
        <f t="shared" si="7"/>
        <v>49</v>
      </c>
      <c r="C59" s="218" t="str">
        <f t="shared" si="5"/>
        <v>L13X08#008_000_01</v>
      </c>
      <c r="D59" s="169">
        <f t="shared" si="51"/>
        <v>8</v>
      </c>
      <c r="E59" s="61">
        <f t="shared" si="47"/>
        <v>2.8000000000000003</v>
      </c>
      <c r="F59" s="44">
        <f t="shared" si="52"/>
        <v>35</v>
      </c>
      <c r="G59" s="44">
        <f t="shared" si="48"/>
        <v>28</v>
      </c>
      <c r="H59" s="44">
        <f t="shared" si="49"/>
        <v>17.5</v>
      </c>
      <c r="I59" s="44">
        <f t="shared" si="53"/>
        <v>8</v>
      </c>
      <c r="J59" s="45">
        <f t="shared" ref="J59:J64" si="58">yaw_max</f>
        <v>8</v>
      </c>
      <c r="K59" s="37" t="str">
        <f>D59&amp;-1</f>
        <v>8-1</v>
      </c>
      <c r="L59" s="44">
        <f t="shared" si="54"/>
        <v>0.2</v>
      </c>
      <c r="M59" s="44">
        <f t="shared" si="55"/>
        <v>150</v>
      </c>
      <c r="N59" s="44">
        <f t="shared" si="56"/>
        <v>750</v>
      </c>
    </row>
    <row r="60" spans="1:14" ht="15.75" thickBot="1" x14ac:dyDescent="0.3">
      <c r="A60" s="229">
        <f t="shared" si="6"/>
        <v>818</v>
      </c>
      <c r="B60" s="230">
        <f t="shared" si="7"/>
        <v>50</v>
      </c>
      <c r="C60" s="218" t="str">
        <f t="shared" si="5"/>
        <v>L13X08#008_000_02</v>
      </c>
      <c r="D60" s="169">
        <f t="shared" si="51"/>
        <v>8</v>
      </c>
      <c r="E60" s="61">
        <f t="shared" si="47"/>
        <v>2.8000000000000003</v>
      </c>
      <c r="F60" s="44">
        <f t="shared" si="52"/>
        <v>35</v>
      </c>
      <c r="G60" s="44">
        <f t="shared" si="48"/>
        <v>28</v>
      </c>
      <c r="H60" s="44">
        <f t="shared" si="49"/>
        <v>17.5</v>
      </c>
      <c r="I60" s="44">
        <f t="shared" si="53"/>
        <v>8</v>
      </c>
      <c r="J60" s="45">
        <f t="shared" si="58"/>
        <v>8</v>
      </c>
      <c r="K60" s="37" t="str">
        <f>D60&amp;-2</f>
        <v>8-2</v>
      </c>
      <c r="L60" s="44">
        <f t="shared" si="54"/>
        <v>0.2</v>
      </c>
      <c r="M60" s="44">
        <f t="shared" si="55"/>
        <v>150</v>
      </c>
      <c r="N60" s="44">
        <f t="shared" si="56"/>
        <v>750</v>
      </c>
    </row>
    <row r="61" spans="1:14" ht="15.75" thickBot="1" x14ac:dyDescent="0.3">
      <c r="A61" s="229">
        <f t="shared" si="6"/>
        <v>819</v>
      </c>
      <c r="B61" s="230">
        <f t="shared" si="7"/>
        <v>51</v>
      </c>
      <c r="C61" s="218" t="str">
        <f t="shared" si="5"/>
        <v>L13X08#008_000_03</v>
      </c>
      <c r="D61" s="169">
        <f t="shared" si="51"/>
        <v>8</v>
      </c>
      <c r="E61" s="61">
        <f t="shared" si="47"/>
        <v>2.8000000000000003</v>
      </c>
      <c r="F61" s="44">
        <f t="shared" si="52"/>
        <v>35</v>
      </c>
      <c r="G61" s="44">
        <f t="shared" si="48"/>
        <v>28</v>
      </c>
      <c r="H61" s="44">
        <f t="shared" si="49"/>
        <v>17.5</v>
      </c>
      <c r="I61" s="44">
        <f t="shared" si="53"/>
        <v>8</v>
      </c>
      <c r="J61" s="45">
        <f t="shared" si="58"/>
        <v>8</v>
      </c>
      <c r="K61" s="37" t="str">
        <f>D61&amp;-3</f>
        <v>8-3</v>
      </c>
      <c r="L61" s="44">
        <f t="shared" si="54"/>
        <v>0.2</v>
      </c>
      <c r="M61" s="44">
        <f t="shared" si="55"/>
        <v>150</v>
      </c>
      <c r="N61" s="44">
        <f t="shared" si="56"/>
        <v>750</v>
      </c>
    </row>
    <row r="62" spans="1:14" ht="15.75" thickBot="1" x14ac:dyDescent="0.3">
      <c r="A62" s="229">
        <f t="shared" si="6"/>
        <v>820</v>
      </c>
      <c r="B62" s="230">
        <f t="shared" si="7"/>
        <v>52</v>
      </c>
      <c r="C62" s="218" t="str">
        <f t="shared" si="5"/>
        <v>L13X08#008_000_04</v>
      </c>
      <c r="D62" s="169">
        <f t="shared" si="51"/>
        <v>8</v>
      </c>
      <c r="E62" s="61">
        <f t="shared" si="47"/>
        <v>2.8000000000000003</v>
      </c>
      <c r="F62" s="44">
        <f t="shared" si="52"/>
        <v>35</v>
      </c>
      <c r="G62" s="44">
        <f t="shared" si="48"/>
        <v>28</v>
      </c>
      <c r="H62" s="44">
        <f t="shared" si="49"/>
        <v>17.5</v>
      </c>
      <c r="I62" s="44">
        <f t="shared" si="53"/>
        <v>8</v>
      </c>
      <c r="J62" s="45">
        <f t="shared" si="58"/>
        <v>8</v>
      </c>
      <c r="K62" s="37" t="str">
        <f>D62&amp;-4</f>
        <v>8-4</v>
      </c>
      <c r="L62" s="44">
        <f t="shared" si="54"/>
        <v>0.2</v>
      </c>
      <c r="M62" s="44">
        <f t="shared" si="55"/>
        <v>150</v>
      </c>
      <c r="N62" s="44">
        <f t="shared" si="56"/>
        <v>750</v>
      </c>
    </row>
    <row r="63" spans="1:14" ht="15.75" thickBot="1" x14ac:dyDescent="0.3">
      <c r="A63" s="229">
        <f t="shared" si="6"/>
        <v>821</v>
      </c>
      <c r="B63" s="230">
        <f t="shared" si="7"/>
        <v>53</v>
      </c>
      <c r="C63" s="218" t="str">
        <f t="shared" si="5"/>
        <v>L13X08#008_000_05</v>
      </c>
      <c r="D63" s="169">
        <f t="shared" si="51"/>
        <v>8</v>
      </c>
      <c r="E63" s="61">
        <f t="shared" si="47"/>
        <v>2.8000000000000003</v>
      </c>
      <c r="F63" s="44">
        <f t="shared" si="52"/>
        <v>35</v>
      </c>
      <c r="G63" s="44">
        <f t="shared" si="48"/>
        <v>28</v>
      </c>
      <c r="H63" s="44">
        <f t="shared" si="49"/>
        <v>17.5</v>
      </c>
      <c r="I63" s="44">
        <f t="shared" si="53"/>
        <v>8</v>
      </c>
      <c r="J63" s="45">
        <f t="shared" si="58"/>
        <v>8</v>
      </c>
      <c r="K63" s="37" t="str">
        <f>D63&amp;-5</f>
        <v>8-5</v>
      </c>
      <c r="L63" s="44">
        <f t="shared" si="54"/>
        <v>0.2</v>
      </c>
      <c r="M63" s="44">
        <f t="shared" si="55"/>
        <v>150</v>
      </c>
      <c r="N63" s="44">
        <f t="shared" si="56"/>
        <v>750</v>
      </c>
    </row>
    <row r="64" spans="1:14" ht="15.75" thickBot="1" x14ac:dyDescent="0.3">
      <c r="A64" s="229">
        <f t="shared" si="6"/>
        <v>822</v>
      </c>
      <c r="B64" s="230">
        <f t="shared" si="7"/>
        <v>54</v>
      </c>
      <c r="C64" s="218" t="str">
        <f t="shared" si="5"/>
        <v>L13X08#008_000_06</v>
      </c>
      <c r="D64" s="169">
        <f t="shared" si="51"/>
        <v>8</v>
      </c>
      <c r="E64" s="61">
        <f t="shared" si="47"/>
        <v>2.8000000000000003</v>
      </c>
      <c r="F64" s="44">
        <f t="shared" si="52"/>
        <v>35</v>
      </c>
      <c r="G64" s="44">
        <f t="shared" si="48"/>
        <v>28</v>
      </c>
      <c r="H64" s="44">
        <f t="shared" si="49"/>
        <v>17.5</v>
      </c>
      <c r="I64" s="44">
        <f t="shared" si="53"/>
        <v>8</v>
      </c>
      <c r="J64" s="45">
        <f t="shared" si="58"/>
        <v>8</v>
      </c>
      <c r="K64" s="37" t="str">
        <f>D64&amp;-6</f>
        <v>8-6</v>
      </c>
      <c r="L64" s="44">
        <f t="shared" si="54"/>
        <v>0.2</v>
      </c>
      <c r="M64" s="44">
        <f t="shared" si="55"/>
        <v>150</v>
      </c>
      <c r="N64" s="44">
        <f t="shared" si="56"/>
        <v>750</v>
      </c>
    </row>
    <row r="65" spans="1:14" ht="15.75" thickBot="1" x14ac:dyDescent="0.3">
      <c r="A65" s="229">
        <f t="shared" si="6"/>
        <v>823</v>
      </c>
      <c r="B65" s="230">
        <f t="shared" si="7"/>
        <v>55</v>
      </c>
      <c r="C65" s="218" t="str">
        <f t="shared" si="5"/>
        <v>L13X10#352_000_01</v>
      </c>
      <c r="D65" s="169">
        <f>D64+v_step</f>
        <v>10</v>
      </c>
      <c r="E65" s="61">
        <f t="shared" si="47"/>
        <v>2.9360800000000005</v>
      </c>
      <c r="F65" s="44">
        <f t="shared" si="52"/>
        <v>29.360800000000005</v>
      </c>
      <c r="G65" s="44">
        <f t="shared" ref="G65:G82" si="59">m_ty*F65</f>
        <v>23.488640000000004</v>
      </c>
      <c r="H65" s="44">
        <f t="shared" ref="H65:H82" si="60">m_tz*F65</f>
        <v>14.680400000000002</v>
      </c>
      <c r="I65" s="44">
        <f t="shared" si="53"/>
        <v>8</v>
      </c>
      <c r="J65" s="171">
        <f t="shared" ref="J65:J70" si="61">yaw_min</f>
        <v>-8</v>
      </c>
      <c r="K65" s="37" t="str">
        <f>D65&amp;-1</f>
        <v>10-1</v>
      </c>
      <c r="L65" s="44">
        <f t="shared" si="54"/>
        <v>0.2</v>
      </c>
      <c r="M65" s="44">
        <f t="shared" si="55"/>
        <v>150</v>
      </c>
      <c r="N65" s="44">
        <f t="shared" si="56"/>
        <v>750</v>
      </c>
    </row>
    <row r="66" spans="1:14" ht="15.75" thickBot="1" x14ac:dyDescent="0.3">
      <c r="A66" s="229">
        <f t="shared" si="6"/>
        <v>824</v>
      </c>
      <c r="B66" s="230">
        <f t="shared" si="7"/>
        <v>56</v>
      </c>
      <c r="C66" s="218" t="str">
        <f t="shared" si="5"/>
        <v>L13X10#352_000_02</v>
      </c>
      <c r="D66" s="169">
        <f>D65</f>
        <v>10</v>
      </c>
      <c r="E66" s="61">
        <f t="shared" si="47"/>
        <v>2.9360800000000005</v>
      </c>
      <c r="F66" s="44">
        <f>E66/D66*100</f>
        <v>29.360800000000005</v>
      </c>
      <c r="G66" s="44">
        <f t="shared" si="59"/>
        <v>23.488640000000004</v>
      </c>
      <c r="H66" s="44">
        <f t="shared" si="60"/>
        <v>14.680400000000002</v>
      </c>
      <c r="I66" s="44">
        <f>I65</f>
        <v>8</v>
      </c>
      <c r="J66" s="45">
        <f t="shared" si="61"/>
        <v>-8</v>
      </c>
      <c r="K66" s="37" t="str">
        <f>D66&amp;-2</f>
        <v>10-2</v>
      </c>
      <c r="L66" s="44">
        <f>L65</f>
        <v>0.2</v>
      </c>
      <c r="M66" s="44">
        <f>M65</f>
        <v>150</v>
      </c>
      <c r="N66" s="44">
        <f>N65</f>
        <v>750</v>
      </c>
    </row>
    <row r="67" spans="1:14" ht="15.75" thickBot="1" x14ac:dyDescent="0.3">
      <c r="A67" s="229">
        <f t="shared" si="6"/>
        <v>825</v>
      </c>
      <c r="B67" s="230">
        <f t="shared" si="7"/>
        <v>57</v>
      </c>
      <c r="C67" s="218" t="str">
        <f t="shared" si="5"/>
        <v>L13X10#352_000_03</v>
      </c>
      <c r="D67" s="169">
        <f t="shared" ref="D67:D82" si="62">D66</f>
        <v>10</v>
      </c>
      <c r="E67" s="61">
        <f t="shared" si="47"/>
        <v>2.9360800000000005</v>
      </c>
      <c r="F67" s="44">
        <f t="shared" ref="F67:F83" si="63">E67/D67*100</f>
        <v>29.360800000000005</v>
      </c>
      <c r="G67" s="44">
        <f t="shared" si="59"/>
        <v>23.488640000000004</v>
      </c>
      <c r="H67" s="44">
        <f t="shared" si="60"/>
        <v>14.680400000000002</v>
      </c>
      <c r="I67" s="44">
        <f t="shared" ref="I67:I83" si="64">I66</f>
        <v>8</v>
      </c>
      <c r="J67" s="45">
        <f t="shared" si="61"/>
        <v>-8</v>
      </c>
      <c r="K67" s="37" t="str">
        <f>D67&amp;-3</f>
        <v>10-3</v>
      </c>
      <c r="L67" s="44">
        <f t="shared" ref="L67:L83" si="65">L66</f>
        <v>0.2</v>
      </c>
      <c r="M67" s="44">
        <f t="shared" ref="M67:M83" si="66">M66</f>
        <v>150</v>
      </c>
      <c r="N67" s="44">
        <f t="shared" ref="N67:N83" si="67">N66</f>
        <v>750</v>
      </c>
    </row>
    <row r="68" spans="1:14" ht="15.75" thickBot="1" x14ac:dyDescent="0.3">
      <c r="A68" s="229">
        <f t="shared" si="6"/>
        <v>826</v>
      </c>
      <c r="B68" s="230">
        <f t="shared" si="7"/>
        <v>58</v>
      </c>
      <c r="C68" s="218" t="str">
        <f t="shared" si="5"/>
        <v>L13X10#352_000_04</v>
      </c>
      <c r="D68" s="169">
        <f t="shared" si="62"/>
        <v>10</v>
      </c>
      <c r="E68" s="61">
        <f t="shared" si="47"/>
        <v>2.9360800000000005</v>
      </c>
      <c r="F68" s="44">
        <f t="shared" si="63"/>
        <v>29.360800000000005</v>
      </c>
      <c r="G68" s="44">
        <f t="shared" si="59"/>
        <v>23.488640000000004</v>
      </c>
      <c r="H68" s="44">
        <f t="shared" si="60"/>
        <v>14.680400000000002</v>
      </c>
      <c r="I68" s="44">
        <f t="shared" si="64"/>
        <v>8</v>
      </c>
      <c r="J68" s="45">
        <f t="shared" si="61"/>
        <v>-8</v>
      </c>
      <c r="K68" s="37" t="str">
        <f>D68&amp;-4</f>
        <v>10-4</v>
      </c>
      <c r="L68" s="44">
        <f t="shared" si="65"/>
        <v>0.2</v>
      </c>
      <c r="M68" s="44">
        <f t="shared" si="66"/>
        <v>150</v>
      </c>
      <c r="N68" s="44">
        <f t="shared" si="67"/>
        <v>750</v>
      </c>
    </row>
    <row r="69" spans="1:14" ht="15.75" thickBot="1" x14ac:dyDescent="0.3">
      <c r="A69" s="229">
        <f t="shared" si="6"/>
        <v>827</v>
      </c>
      <c r="B69" s="230">
        <f t="shared" si="7"/>
        <v>59</v>
      </c>
      <c r="C69" s="218" t="str">
        <f t="shared" si="5"/>
        <v>L13X10#352_000_05</v>
      </c>
      <c r="D69" s="169">
        <f t="shared" si="62"/>
        <v>10</v>
      </c>
      <c r="E69" s="61">
        <f t="shared" si="47"/>
        <v>2.9360800000000005</v>
      </c>
      <c r="F69" s="44">
        <f t="shared" si="63"/>
        <v>29.360800000000005</v>
      </c>
      <c r="G69" s="44">
        <f t="shared" si="59"/>
        <v>23.488640000000004</v>
      </c>
      <c r="H69" s="44">
        <f t="shared" si="60"/>
        <v>14.680400000000002</v>
      </c>
      <c r="I69" s="44">
        <f t="shared" si="64"/>
        <v>8</v>
      </c>
      <c r="J69" s="45">
        <f t="shared" si="61"/>
        <v>-8</v>
      </c>
      <c r="K69" s="37" t="str">
        <f>D69&amp;-5</f>
        <v>10-5</v>
      </c>
      <c r="L69" s="44">
        <f t="shared" si="65"/>
        <v>0.2</v>
      </c>
      <c r="M69" s="44">
        <f t="shared" si="66"/>
        <v>150</v>
      </c>
      <c r="N69" s="44">
        <f t="shared" si="67"/>
        <v>750</v>
      </c>
    </row>
    <row r="70" spans="1:14" ht="15.75" thickBot="1" x14ac:dyDescent="0.3">
      <c r="A70" s="229">
        <f t="shared" si="6"/>
        <v>828</v>
      </c>
      <c r="B70" s="230">
        <f t="shared" si="7"/>
        <v>60</v>
      </c>
      <c r="C70" s="218" t="str">
        <f t="shared" si="5"/>
        <v>L13X10#352_000_06</v>
      </c>
      <c r="D70" s="169">
        <f t="shared" si="62"/>
        <v>10</v>
      </c>
      <c r="E70" s="61">
        <f t="shared" si="47"/>
        <v>2.9360800000000005</v>
      </c>
      <c r="F70" s="44">
        <f t="shared" si="63"/>
        <v>29.360800000000005</v>
      </c>
      <c r="G70" s="44">
        <f t="shared" si="59"/>
        <v>23.488640000000004</v>
      </c>
      <c r="H70" s="44">
        <f t="shared" si="60"/>
        <v>14.680400000000002</v>
      </c>
      <c r="I70" s="44">
        <f t="shared" si="64"/>
        <v>8</v>
      </c>
      <c r="J70" s="45">
        <f t="shared" si="61"/>
        <v>-8</v>
      </c>
      <c r="K70" s="37" t="str">
        <f>D70&amp;-6</f>
        <v>10-6</v>
      </c>
      <c r="L70" s="44">
        <f t="shared" si="65"/>
        <v>0.2</v>
      </c>
      <c r="M70" s="44">
        <f t="shared" si="66"/>
        <v>150</v>
      </c>
      <c r="N70" s="44">
        <f t="shared" si="67"/>
        <v>750</v>
      </c>
    </row>
    <row r="71" spans="1:14" ht="15.75" thickBot="1" x14ac:dyDescent="0.3">
      <c r="A71" s="229">
        <f t="shared" si="6"/>
        <v>829</v>
      </c>
      <c r="B71" s="230">
        <f t="shared" si="7"/>
        <v>61</v>
      </c>
      <c r="C71" s="218" t="str">
        <f t="shared" si="5"/>
        <v>L13X10#000_000_01</v>
      </c>
      <c r="D71" s="169">
        <f t="shared" si="62"/>
        <v>10</v>
      </c>
      <c r="E71" s="61">
        <f t="shared" si="47"/>
        <v>2.9360800000000005</v>
      </c>
      <c r="F71" s="44">
        <f t="shared" si="63"/>
        <v>29.360800000000005</v>
      </c>
      <c r="G71" s="44">
        <f t="shared" si="59"/>
        <v>23.488640000000004</v>
      </c>
      <c r="H71" s="44">
        <f t="shared" si="60"/>
        <v>14.680400000000002</v>
      </c>
      <c r="I71" s="44">
        <f t="shared" si="64"/>
        <v>8</v>
      </c>
      <c r="J71" s="45">
        <f t="shared" ref="J71:J76" si="68">yaw_null</f>
        <v>0</v>
      </c>
      <c r="K71" s="37" t="str">
        <f>D71&amp;-1</f>
        <v>10-1</v>
      </c>
      <c r="L71" s="44">
        <f t="shared" si="65"/>
        <v>0.2</v>
      </c>
      <c r="M71" s="44">
        <f t="shared" si="66"/>
        <v>150</v>
      </c>
      <c r="N71" s="44">
        <f t="shared" si="67"/>
        <v>750</v>
      </c>
    </row>
    <row r="72" spans="1:14" ht="15.75" thickBot="1" x14ac:dyDescent="0.3">
      <c r="A72" s="229">
        <f t="shared" si="6"/>
        <v>830</v>
      </c>
      <c r="B72" s="230">
        <f t="shared" si="7"/>
        <v>62</v>
      </c>
      <c r="C72" s="218" t="str">
        <f t="shared" si="5"/>
        <v>L13X10#000_000_02</v>
      </c>
      <c r="D72" s="169">
        <f t="shared" si="62"/>
        <v>10</v>
      </c>
      <c r="E72" s="61">
        <f t="shared" si="47"/>
        <v>2.9360800000000005</v>
      </c>
      <c r="F72" s="44">
        <f t="shared" si="63"/>
        <v>29.360800000000005</v>
      </c>
      <c r="G72" s="44">
        <f t="shared" si="59"/>
        <v>23.488640000000004</v>
      </c>
      <c r="H72" s="44">
        <f t="shared" si="60"/>
        <v>14.680400000000002</v>
      </c>
      <c r="I72" s="44">
        <f t="shared" si="64"/>
        <v>8</v>
      </c>
      <c r="J72" s="45">
        <f t="shared" si="68"/>
        <v>0</v>
      </c>
      <c r="K72" s="37" t="str">
        <f>D72&amp;-2</f>
        <v>10-2</v>
      </c>
      <c r="L72" s="44">
        <f t="shared" si="65"/>
        <v>0.2</v>
      </c>
      <c r="M72" s="44">
        <f t="shared" si="66"/>
        <v>150</v>
      </c>
      <c r="N72" s="44">
        <f t="shared" si="67"/>
        <v>750</v>
      </c>
    </row>
    <row r="73" spans="1:14" ht="15.75" thickBot="1" x14ac:dyDescent="0.3">
      <c r="A73" s="229">
        <f t="shared" si="6"/>
        <v>831</v>
      </c>
      <c r="B73" s="230">
        <f t="shared" si="7"/>
        <v>63</v>
      </c>
      <c r="C73" s="218" t="str">
        <f t="shared" si="5"/>
        <v>L13X10#000_000_03</v>
      </c>
      <c r="D73" s="169">
        <f t="shared" si="62"/>
        <v>10</v>
      </c>
      <c r="E73" s="61">
        <f t="shared" si="47"/>
        <v>2.9360800000000005</v>
      </c>
      <c r="F73" s="44">
        <f t="shared" si="63"/>
        <v>29.360800000000005</v>
      </c>
      <c r="G73" s="44">
        <f t="shared" si="59"/>
        <v>23.488640000000004</v>
      </c>
      <c r="H73" s="44">
        <f t="shared" si="60"/>
        <v>14.680400000000002</v>
      </c>
      <c r="I73" s="44">
        <f t="shared" si="64"/>
        <v>8</v>
      </c>
      <c r="J73" s="45">
        <f t="shared" si="68"/>
        <v>0</v>
      </c>
      <c r="K73" s="37" t="str">
        <f>D73&amp;-3</f>
        <v>10-3</v>
      </c>
      <c r="L73" s="44">
        <f t="shared" si="65"/>
        <v>0.2</v>
      </c>
      <c r="M73" s="44">
        <f t="shared" si="66"/>
        <v>150</v>
      </c>
      <c r="N73" s="44">
        <f t="shared" si="67"/>
        <v>750</v>
      </c>
    </row>
    <row r="74" spans="1:14" ht="15.75" thickBot="1" x14ac:dyDescent="0.3">
      <c r="A74" s="229">
        <f t="shared" si="6"/>
        <v>832</v>
      </c>
      <c r="B74" s="230">
        <f t="shared" si="7"/>
        <v>64</v>
      </c>
      <c r="C74" s="218" t="str">
        <f t="shared" si="5"/>
        <v>L13X10#000_000_04</v>
      </c>
      <c r="D74" s="169">
        <f t="shared" si="62"/>
        <v>10</v>
      </c>
      <c r="E74" s="61">
        <f t="shared" si="47"/>
        <v>2.9360800000000005</v>
      </c>
      <c r="F74" s="44">
        <f t="shared" si="63"/>
        <v>29.360800000000005</v>
      </c>
      <c r="G74" s="44">
        <f t="shared" si="59"/>
        <v>23.488640000000004</v>
      </c>
      <c r="H74" s="44">
        <f t="shared" si="60"/>
        <v>14.680400000000002</v>
      </c>
      <c r="I74" s="44">
        <f t="shared" si="64"/>
        <v>8</v>
      </c>
      <c r="J74" s="45">
        <f t="shared" si="68"/>
        <v>0</v>
      </c>
      <c r="K74" s="37" t="str">
        <f>D74&amp;-4</f>
        <v>10-4</v>
      </c>
      <c r="L74" s="44">
        <f t="shared" si="65"/>
        <v>0.2</v>
      </c>
      <c r="M74" s="44">
        <f t="shared" si="66"/>
        <v>150</v>
      </c>
      <c r="N74" s="44">
        <f t="shared" si="67"/>
        <v>750</v>
      </c>
    </row>
    <row r="75" spans="1:14" ht="15.75" thickBot="1" x14ac:dyDescent="0.3">
      <c r="A75" s="229">
        <f t="shared" si="6"/>
        <v>833</v>
      </c>
      <c r="B75" s="230">
        <f t="shared" si="7"/>
        <v>65</v>
      </c>
      <c r="C75" s="218" t="str">
        <f t="shared" si="5"/>
        <v>L13X10#000_000_05</v>
      </c>
      <c r="D75" s="169">
        <f t="shared" si="62"/>
        <v>10</v>
      </c>
      <c r="E75" s="61">
        <f t="shared" ref="E75:E100" si="69">t_c*I_ref*(0.072*(v_ave/t_c+3)*(D75/t_c-4)+10)</f>
        <v>2.9360800000000005</v>
      </c>
      <c r="F75" s="44">
        <f t="shared" si="63"/>
        <v>29.360800000000005</v>
      </c>
      <c r="G75" s="44">
        <f t="shared" si="59"/>
        <v>23.488640000000004</v>
      </c>
      <c r="H75" s="44">
        <f t="shared" si="60"/>
        <v>14.680400000000002</v>
      </c>
      <c r="I75" s="44">
        <f t="shared" si="64"/>
        <v>8</v>
      </c>
      <c r="J75" s="45">
        <f t="shared" si="68"/>
        <v>0</v>
      </c>
      <c r="K75" s="37" t="str">
        <f>D75&amp;-5</f>
        <v>10-5</v>
      </c>
      <c r="L75" s="44">
        <f t="shared" si="65"/>
        <v>0.2</v>
      </c>
      <c r="M75" s="44">
        <f t="shared" si="66"/>
        <v>150</v>
      </c>
      <c r="N75" s="44">
        <f t="shared" si="67"/>
        <v>750</v>
      </c>
    </row>
    <row r="76" spans="1:14" ht="15.75" thickBot="1" x14ac:dyDescent="0.3">
      <c r="A76" s="229">
        <f t="shared" si="6"/>
        <v>834</v>
      </c>
      <c r="B76" s="230">
        <f t="shared" si="7"/>
        <v>66</v>
      </c>
      <c r="C76" s="218" t="str">
        <f t="shared" ref="C76:C139" si="70">TEXT(RIGHT($B$2,LEN($B$2)-3),"L00")&amp;"X"&amp;TEXT(D76,"00")&amp;"#"&amp;IF(J76&lt;0,TEXT(360+J76,"000"),TEXT(J76,"000"))&amp;"_"&amp;"000"&amp;"_"&amp;TEXT(RIGHT(K76,LEN(K76)-FIND("-",K76)),"00")</f>
        <v>L13X10#000_000_06</v>
      </c>
      <c r="D76" s="169">
        <f t="shared" si="62"/>
        <v>10</v>
      </c>
      <c r="E76" s="61">
        <f t="shared" si="69"/>
        <v>2.9360800000000005</v>
      </c>
      <c r="F76" s="44">
        <f t="shared" si="63"/>
        <v>29.360800000000005</v>
      </c>
      <c r="G76" s="44">
        <f t="shared" si="59"/>
        <v>23.488640000000004</v>
      </c>
      <c r="H76" s="44">
        <f t="shared" si="60"/>
        <v>14.680400000000002</v>
      </c>
      <c r="I76" s="44">
        <f t="shared" si="64"/>
        <v>8</v>
      </c>
      <c r="J76" s="45">
        <f t="shared" si="68"/>
        <v>0</v>
      </c>
      <c r="K76" s="37" t="str">
        <f>D76&amp;-6</f>
        <v>10-6</v>
      </c>
      <c r="L76" s="44">
        <f t="shared" si="65"/>
        <v>0.2</v>
      </c>
      <c r="M76" s="44">
        <f t="shared" si="66"/>
        <v>150</v>
      </c>
      <c r="N76" s="44">
        <f t="shared" si="67"/>
        <v>750</v>
      </c>
    </row>
    <row r="77" spans="1:14" ht="15.75" thickBot="1" x14ac:dyDescent="0.3">
      <c r="A77" s="229">
        <f t="shared" ref="A77:A140" si="71">A76+1</f>
        <v>835</v>
      </c>
      <c r="B77" s="230">
        <f t="shared" ref="B77:B140" si="72">B76+1</f>
        <v>67</v>
      </c>
      <c r="C77" s="218" t="str">
        <f t="shared" si="70"/>
        <v>L13X10#008_000_01</v>
      </c>
      <c r="D77" s="169">
        <f t="shared" si="62"/>
        <v>10</v>
      </c>
      <c r="E77" s="61">
        <f t="shared" si="69"/>
        <v>2.9360800000000005</v>
      </c>
      <c r="F77" s="44">
        <f t="shared" si="63"/>
        <v>29.360800000000005</v>
      </c>
      <c r="G77" s="44">
        <f t="shared" si="59"/>
        <v>23.488640000000004</v>
      </c>
      <c r="H77" s="44">
        <f t="shared" si="60"/>
        <v>14.680400000000002</v>
      </c>
      <c r="I77" s="44">
        <f t="shared" si="64"/>
        <v>8</v>
      </c>
      <c r="J77" s="45">
        <f t="shared" ref="J77:J82" si="73">yaw_max</f>
        <v>8</v>
      </c>
      <c r="K77" s="37" t="str">
        <f>D77&amp;-1</f>
        <v>10-1</v>
      </c>
      <c r="L77" s="44">
        <f t="shared" si="65"/>
        <v>0.2</v>
      </c>
      <c r="M77" s="44">
        <f t="shared" si="66"/>
        <v>150</v>
      </c>
      <c r="N77" s="44">
        <f t="shared" si="67"/>
        <v>750</v>
      </c>
    </row>
    <row r="78" spans="1:14" ht="15.75" thickBot="1" x14ac:dyDescent="0.3">
      <c r="A78" s="229">
        <f t="shared" si="71"/>
        <v>836</v>
      </c>
      <c r="B78" s="230">
        <f t="shared" si="72"/>
        <v>68</v>
      </c>
      <c r="C78" s="218" t="str">
        <f t="shared" si="70"/>
        <v>L13X10#008_000_02</v>
      </c>
      <c r="D78" s="169">
        <f t="shared" si="62"/>
        <v>10</v>
      </c>
      <c r="E78" s="61">
        <f t="shared" si="69"/>
        <v>2.9360800000000005</v>
      </c>
      <c r="F78" s="44">
        <f t="shared" si="63"/>
        <v>29.360800000000005</v>
      </c>
      <c r="G78" s="44">
        <f t="shared" si="59"/>
        <v>23.488640000000004</v>
      </c>
      <c r="H78" s="44">
        <f t="shared" si="60"/>
        <v>14.680400000000002</v>
      </c>
      <c r="I78" s="44">
        <f t="shared" si="64"/>
        <v>8</v>
      </c>
      <c r="J78" s="45">
        <f t="shared" si="73"/>
        <v>8</v>
      </c>
      <c r="K78" s="37" t="str">
        <f>D78&amp;-2</f>
        <v>10-2</v>
      </c>
      <c r="L78" s="44">
        <f t="shared" si="65"/>
        <v>0.2</v>
      </c>
      <c r="M78" s="44">
        <f t="shared" si="66"/>
        <v>150</v>
      </c>
      <c r="N78" s="44">
        <f t="shared" si="67"/>
        <v>750</v>
      </c>
    </row>
    <row r="79" spans="1:14" ht="15.75" thickBot="1" x14ac:dyDescent="0.3">
      <c r="A79" s="229">
        <f t="shared" si="71"/>
        <v>837</v>
      </c>
      <c r="B79" s="230">
        <f t="shared" si="72"/>
        <v>69</v>
      </c>
      <c r="C79" s="218" t="str">
        <f t="shared" si="70"/>
        <v>L13X10#008_000_03</v>
      </c>
      <c r="D79" s="169">
        <f t="shared" si="62"/>
        <v>10</v>
      </c>
      <c r="E79" s="61">
        <f t="shared" si="69"/>
        <v>2.9360800000000005</v>
      </c>
      <c r="F79" s="44">
        <f t="shared" si="63"/>
        <v>29.360800000000005</v>
      </c>
      <c r="G79" s="44">
        <f t="shared" si="59"/>
        <v>23.488640000000004</v>
      </c>
      <c r="H79" s="44">
        <f t="shared" si="60"/>
        <v>14.680400000000002</v>
      </c>
      <c r="I79" s="44">
        <f t="shared" si="64"/>
        <v>8</v>
      </c>
      <c r="J79" s="45">
        <f t="shared" si="73"/>
        <v>8</v>
      </c>
      <c r="K79" s="37" t="str">
        <f>D79&amp;-3</f>
        <v>10-3</v>
      </c>
      <c r="L79" s="44">
        <f t="shared" si="65"/>
        <v>0.2</v>
      </c>
      <c r="M79" s="44">
        <f t="shared" si="66"/>
        <v>150</v>
      </c>
      <c r="N79" s="44">
        <f t="shared" si="67"/>
        <v>750</v>
      </c>
    </row>
    <row r="80" spans="1:14" ht="15.75" thickBot="1" x14ac:dyDescent="0.3">
      <c r="A80" s="229">
        <f t="shared" si="71"/>
        <v>838</v>
      </c>
      <c r="B80" s="230">
        <f t="shared" si="72"/>
        <v>70</v>
      </c>
      <c r="C80" s="218" t="str">
        <f t="shared" si="70"/>
        <v>L13X10#008_000_04</v>
      </c>
      <c r="D80" s="169">
        <f t="shared" si="62"/>
        <v>10</v>
      </c>
      <c r="E80" s="61">
        <f t="shared" si="69"/>
        <v>2.9360800000000005</v>
      </c>
      <c r="F80" s="44">
        <f t="shared" si="63"/>
        <v>29.360800000000005</v>
      </c>
      <c r="G80" s="44">
        <f t="shared" si="59"/>
        <v>23.488640000000004</v>
      </c>
      <c r="H80" s="44">
        <f t="shared" si="60"/>
        <v>14.680400000000002</v>
      </c>
      <c r="I80" s="44">
        <f t="shared" si="64"/>
        <v>8</v>
      </c>
      <c r="J80" s="45">
        <f t="shared" si="73"/>
        <v>8</v>
      </c>
      <c r="K80" s="37" t="str">
        <f>D80&amp;-4</f>
        <v>10-4</v>
      </c>
      <c r="L80" s="44">
        <f t="shared" si="65"/>
        <v>0.2</v>
      </c>
      <c r="M80" s="44">
        <f t="shared" si="66"/>
        <v>150</v>
      </c>
      <c r="N80" s="44">
        <f t="shared" si="67"/>
        <v>750</v>
      </c>
    </row>
    <row r="81" spans="1:14" ht="15.75" thickBot="1" x14ac:dyDescent="0.3">
      <c r="A81" s="229">
        <f t="shared" si="71"/>
        <v>839</v>
      </c>
      <c r="B81" s="230">
        <f t="shared" si="72"/>
        <v>71</v>
      </c>
      <c r="C81" s="218" t="str">
        <f t="shared" si="70"/>
        <v>L13X10#008_000_05</v>
      </c>
      <c r="D81" s="169">
        <f t="shared" si="62"/>
        <v>10</v>
      </c>
      <c r="E81" s="61">
        <f t="shared" si="69"/>
        <v>2.9360800000000005</v>
      </c>
      <c r="F81" s="44">
        <f t="shared" si="63"/>
        <v>29.360800000000005</v>
      </c>
      <c r="G81" s="44">
        <f t="shared" si="59"/>
        <v>23.488640000000004</v>
      </c>
      <c r="H81" s="44">
        <f t="shared" si="60"/>
        <v>14.680400000000002</v>
      </c>
      <c r="I81" s="44">
        <f t="shared" si="64"/>
        <v>8</v>
      </c>
      <c r="J81" s="45">
        <f t="shared" si="73"/>
        <v>8</v>
      </c>
      <c r="K81" s="37" t="str">
        <f>D81&amp;-5</f>
        <v>10-5</v>
      </c>
      <c r="L81" s="44">
        <f t="shared" si="65"/>
        <v>0.2</v>
      </c>
      <c r="M81" s="44">
        <f t="shared" si="66"/>
        <v>150</v>
      </c>
      <c r="N81" s="44">
        <f t="shared" si="67"/>
        <v>750</v>
      </c>
    </row>
    <row r="82" spans="1:14" ht="15.75" thickBot="1" x14ac:dyDescent="0.3">
      <c r="A82" s="229">
        <f t="shared" si="71"/>
        <v>840</v>
      </c>
      <c r="B82" s="230">
        <f t="shared" si="72"/>
        <v>72</v>
      </c>
      <c r="C82" s="218" t="str">
        <f t="shared" si="70"/>
        <v>L13X10#008_000_06</v>
      </c>
      <c r="D82" s="169">
        <f t="shared" si="62"/>
        <v>10</v>
      </c>
      <c r="E82" s="61">
        <f t="shared" si="69"/>
        <v>2.9360800000000005</v>
      </c>
      <c r="F82" s="44">
        <f t="shared" si="63"/>
        <v>29.360800000000005</v>
      </c>
      <c r="G82" s="44">
        <f t="shared" si="59"/>
        <v>23.488640000000004</v>
      </c>
      <c r="H82" s="44">
        <f t="shared" si="60"/>
        <v>14.680400000000002</v>
      </c>
      <c r="I82" s="44">
        <f t="shared" si="64"/>
        <v>8</v>
      </c>
      <c r="J82" s="45">
        <f t="shared" si="73"/>
        <v>8</v>
      </c>
      <c r="K82" s="37" t="str">
        <f>D82&amp;-6</f>
        <v>10-6</v>
      </c>
      <c r="L82" s="44">
        <f t="shared" si="65"/>
        <v>0.2</v>
      </c>
      <c r="M82" s="44">
        <f t="shared" si="66"/>
        <v>150</v>
      </c>
      <c r="N82" s="44">
        <f t="shared" si="67"/>
        <v>750</v>
      </c>
    </row>
    <row r="83" spans="1:14" ht="15.75" thickBot="1" x14ac:dyDescent="0.3">
      <c r="A83" s="229">
        <f t="shared" si="71"/>
        <v>841</v>
      </c>
      <c r="B83" s="230">
        <f t="shared" si="72"/>
        <v>73</v>
      </c>
      <c r="C83" s="218" t="str">
        <f t="shared" si="70"/>
        <v>L13X12#352_000_01</v>
      </c>
      <c r="D83" s="169">
        <f>D82+v_step</f>
        <v>12</v>
      </c>
      <c r="E83" s="61">
        <f t="shared" si="69"/>
        <v>3.0721600000000002</v>
      </c>
      <c r="F83" s="44">
        <f t="shared" si="63"/>
        <v>25.601333333333336</v>
      </c>
      <c r="G83" s="44">
        <f t="shared" ref="G83:G100" si="74">m_ty*F83</f>
        <v>20.481066666666671</v>
      </c>
      <c r="H83" s="44">
        <f t="shared" ref="H83:H100" si="75">m_tz*F83</f>
        <v>12.800666666666668</v>
      </c>
      <c r="I83" s="44">
        <f t="shared" si="64"/>
        <v>8</v>
      </c>
      <c r="J83" s="45">
        <f t="shared" ref="J83:J88" si="76">yaw_min</f>
        <v>-8</v>
      </c>
      <c r="K83" s="37" t="str">
        <f>D83&amp;-1</f>
        <v>12-1</v>
      </c>
      <c r="L83" s="44">
        <f t="shared" si="65"/>
        <v>0.2</v>
      </c>
      <c r="M83" s="44">
        <f t="shared" si="66"/>
        <v>150</v>
      </c>
      <c r="N83" s="44">
        <f t="shared" si="67"/>
        <v>750</v>
      </c>
    </row>
    <row r="84" spans="1:14" ht="15.75" thickBot="1" x14ac:dyDescent="0.3">
      <c r="A84" s="229">
        <f t="shared" si="71"/>
        <v>842</v>
      </c>
      <c r="B84" s="230">
        <f t="shared" si="72"/>
        <v>74</v>
      </c>
      <c r="C84" s="218" t="str">
        <f t="shared" si="70"/>
        <v>L13X12#352_000_02</v>
      </c>
      <c r="D84" s="169">
        <f>D83</f>
        <v>12</v>
      </c>
      <c r="E84" s="61">
        <f t="shared" si="69"/>
        <v>3.0721600000000002</v>
      </c>
      <c r="F84" s="44">
        <f>E84/D84*100</f>
        <v>25.601333333333336</v>
      </c>
      <c r="G84" s="44">
        <f t="shared" si="74"/>
        <v>20.481066666666671</v>
      </c>
      <c r="H84" s="44">
        <f t="shared" si="75"/>
        <v>12.800666666666668</v>
      </c>
      <c r="I84" s="44">
        <f>I83</f>
        <v>8</v>
      </c>
      <c r="J84" s="45">
        <f t="shared" si="76"/>
        <v>-8</v>
      </c>
      <c r="K84" s="37" t="str">
        <f>D84&amp;-2</f>
        <v>12-2</v>
      </c>
      <c r="L84" s="44">
        <f>L83</f>
        <v>0.2</v>
      </c>
      <c r="M84" s="44">
        <f>M83</f>
        <v>150</v>
      </c>
      <c r="N84" s="44">
        <f>N83</f>
        <v>750</v>
      </c>
    </row>
    <row r="85" spans="1:14" ht="15.75" thickBot="1" x14ac:dyDescent="0.3">
      <c r="A85" s="229">
        <f t="shared" si="71"/>
        <v>843</v>
      </c>
      <c r="B85" s="230">
        <f t="shared" si="72"/>
        <v>75</v>
      </c>
      <c r="C85" s="218" t="str">
        <f t="shared" si="70"/>
        <v>L13X12#352_000_03</v>
      </c>
      <c r="D85" s="169">
        <f t="shared" ref="D85:D100" si="77">D84</f>
        <v>12</v>
      </c>
      <c r="E85" s="61">
        <f t="shared" si="69"/>
        <v>3.0721600000000002</v>
      </c>
      <c r="F85" s="44">
        <f t="shared" ref="F85:F101" si="78">E85/D85*100</f>
        <v>25.601333333333336</v>
      </c>
      <c r="G85" s="44">
        <f t="shared" si="74"/>
        <v>20.481066666666671</v>
      </c>
      <c r="H85" s="44">
        <f t="shared" si="75"/>
        <v>12.800666666666668</v>
      </c>
      <c r="I85" s="44">
        <f t="shared" ref="I85:I148" si="79">I84</f>
        <v>8</v>
      </c>
      <c r="J85" s="45">
        <f t="shared" si="76"/>
        <v>-8</v>
      </c>
      <c r="K85" s="37" t="str">
        <f>D85&amp;-3</f>
        <v>12-3</v>
      </c>
      <c r="L85" s="44">
        <f t="shared" ref="L85:L148" si="80">L84</f>
        <v>0.2</v>
      </c>
      <c r="M85" s="44">
        <f t="shared" ref="M85:M148" si="81">M84</f>
        <v>150</v>
      </c>
      <c r="N85" s="44">
        <f t="shared" ref="N85:N148" si="82">N84</f>
        <v>750</v>
      </c>
    </row>
    <row r="86" spans="1:14" ht="15.75" thickBot="1" x14ac:dyDescent="0.3">
      <c r="A86" s="229">
        <f t="shared" si="71"/>
        <v>844</v>
      </c>
      <c r="B86" s="230">
        <f t="shared" si="72"/>
        <v>76</v>
      </c>
      <c r="C86" s="218" t="str">
        <f t="shared" si="70"/>
        <v>L13X12#352_000_04</v>
      </c>
      <c r="D86" s="169">
        <f t="shared" si="77"/>
        <v>12</v>
      </c>
      <c r="E86" s="61">
        <f t="shared" si="69"/>
        <v>3.0721600000000002</v>
      </c>
      <c r="F86" s="44">
        <f t="shared" si="78"/>
        <v>25.601333333333336</v>
      </c>
      <c r="G86" s="44">
        <f t="shared" si="74"/>
        <v>20.481066666666671</v>
      </c>
      <c r="H86" s="44">
        <f t="shared" si="75"/>
        <v>12.800666666666668</v>
      </c>
      <c r="I86" s="44">
        <f t="shared" si="79"/>
        <v>8</v>
      </c>
      <c r="J86" s="45">
        <f t="shared" si="76"/>
        <v>-8</v>
      </c>
      <c r="K86" s="37" t="str">
        <f>D86&amp;-4</f>
        <v>12-4</v>
      </c>
      <c r="L86" s="44">
        <f t="shared" si="80"/>
        <v>0.2</v>
      </c>
      <c r="M86" s="44">
        <f t="shared" si="81"/>
        <v>150</v>
      </c>
      <c r="N86" s="44">
        <f t="shared" si="82"/>
        <v>750</v>
      </c>
    </row>
    <row r="87" spans="1:14" ht="15.75" thickBot="1" x14ac:dyDescent="0.3">
      <c r="A87" s="229">
        <f t="shared" si="71"/>
        <v>845</v>
      </c>
      <c r="B87" s="230">
        <f t="shared" si="72"/>
        <v>77</v>
      </c>
      <c r="C87" s="218" t="str">
        <f t="shared" si="70"/>
        <v>L13X12#352_000_05</v>
      </c>
      <c r="D87" s="169">
        <f t="shared" si="77"/>
        <v>12</v>
      </c>
      <c r="E87" s="61">
        <f t="shared" si="69"/>
        <v>3.0721600000000002</v>
      </c>
      <c r="F87" s="44">
        <f t="shared" si="78"/>
        <v>25.601333333333336</v>
      </c>
      <c r="G87" s="44">
        <f t="shared" si="74"/>
        <v>20.481066666666671</v>
      </c>
      <c r="H87" s="44">
        <f t="shared" si="75"/>
        <v>12.800666666666668</v>
      </c>
      <c r="I87" s="44">
        <f t="shared" si="79"/>
        <v>8</v>
      </c>
      <c r="J87" s="45">
        <f t="shared" si="76"/>
        <v>-8</v>
      </c>
      <c r="K87" s="37" t="str">
        <f>D87&amp;-5</f>
        <v>12-5</v>
      </c>
      <c r="L87" s="44">
        <f t="shared" si="80"/>
        <v>0.2</v>
      </c>
      <c r="M87" s="44">
        <f t="shared" si="81"/>
        <v>150</v>
      </c>
      <c r="N87" s="44">
        <f t="shared" si="82"/>
        <v>750</v>
      </c>
    </row>
    <row r="88" spans="1:14" ht="15.75" thickBot="1" x14ac:dyDescent="0.3">
      <c r="A88" s="229">
        <f t="shared" si="71"/>
        <v>846</v>
      </c>
      <c r="B88" s="230">
        <f t="shared" si="72"/>
        <v>78</v>
      </c>
      <c r="C88" s="218" t="str">
        <f t="shared" si="70"/>
        <v>L13X12#352_000_06</v>
      </c>
      <c r="D88" s="169">
        <f t="shared" si="77"/>
        <v>12</v>
      </c>
      <c r="E88" s="61">
        <f t="shared" si="69"/>
        <v>3.0721600000000002</v>
      </c>
      <c r="F88" s="44">
        <f t="shared" si="78"/>
        <v>25.601333333333336</v>
      </c>
      <c r="G88" s="44">
        <f t="shared" si="74"/>
        <v>20.481066666666671</v>
      </c>
      <c r="H88" s="44">
        <f t="shared" si="75"/>
        <v>12.800666666666668</v>
      </c>
      <c r="I88" s="44">
        <f t="shared" si="79"/>
        <v>8</v>
      </c>
      <c r="J88" s="45">
        <f t="shared" si="76"/>
        <v>-8</v>
      </c>
      <c r="K88" s="37" t="str">
        <f>D88&amp;-6</f>
        <v>12-6</v>
      </c>
      <c r="L88" s="44">
        <f t="shared" si="80"/>
        <v>0.2</v>
      </c>
      <c r="M88" s="44">
        <f t="shared" si="81"/>
        <v>150</v>
      </c>
      <c r="N88" s="44">
        <f t="shared" si="82"/>
        <v>750</v>
      </c>
    </row>
    <row r="89" spans="1:14" ht="15.75" thickBot="1" x14ac:dyDescent="0.3">
      <c r="A89" s="229">
        <f t="shared" si="71"/>
        <v>847</v>
      </c>
      <c r="B89" s="230">
        <f t="shared" si="72"/>
        <v>79</v>
      </c>
      <c r="C89" s="218" t="str">
        <f t="shared" si="70"/>
        <v>L13X12#000_000_01</v>
      </c>
      <c r="D89" s="169">
        <f t="shared" si="77"/>
        <v>12</v>
      </c>
      <c r="E89" s="61">
        <f t="shared" si="69"/>
        <v>3.0721600000000002</v>
      </c>
      <c r="F89" s="44">
        <f t="shared" si="78"/>
        <v>25.601333333333336</v>
      </c>
      <c r="G89" s="44">
        <f t="shared" si="74"/>
        <v>20.481066666666671</v>
      </c>
      <c r="H89" s="44">
        <f t="shared" si="75"/>
        <v>12.800666666666668</v>
      </c>
      <c r="I89" s="44">
        <f t="shared" si="79"/>
        <v>8</v>
      </c>
      <c r="J89" s="45">
        <f t="shared" ref="J89:J94" si="83">yaw_null</f>
        <v>0</v>
      </c>
      <c r="K89" s="37" t="str">
        <f>D89&amp;-1</f>
        <v>12-1</v>
      </c>
      <c r="L89" s="44">
        <f t="shared" si="80"/>
        <v>0.2</v>
      </c>
      <c r="M89" s="44">
        <f t="shared" si="81"/>
        <v>150</v>
      </c>
      <c r="N89" s="44">
        <f t="shared" si="82"/>
        <v>750</v>
      </c>
    </row>
    <row r="90" spans="1:14" ht="15.75" thickBot="1" x14ac:dyDescent="0.3">
      <c r="A90" s="229">
        <f t="shared" si="71"/>
        <v>848</v>
      </c>
      <c r="B90" s="230">
        <f t="shared" si="72"/>
        <v>80</v>
      </c>
      <c r="C90" s="218" t="str">
        <f t="shared" si="70"/>
        <v>L13X12#000_000_02</v>
      </c>
      <c r="D90" s="169">
        <f t="shared" si="77"/>
        <v>12</v>
      </c>
      <c r="E90" s="61">
        <f t="shared" si="69"/>
        <v>3.0721600000000002</v>
      </c>
      <c r="F90" s="44">
        <f t="shared" si="78"/>
        <v>25.601333333333336</v>
      </c>
      <c r="G90" s="44">
        <f t="shared" si="74"/>
        <v>20.481066666666671</v>
      </c>
      <c r="H90" s="44">
        <f t="shared" si="75"/>
        <v>12.800666666666668</v>
      </c>
      <c r="I90" s="44">
        <f t="shared" si="79"/>
        <v>8</v>
      </c>
      <c r="J90" s="45">
        <f t="shared" si="83"/>
        <v>0</v>
      </c>
      <c r="K90" s="37" t="str">
        <f>D90&amp;-2</f>
        <v>12-2</v>
      </c>
      <c r="L90" s="44">
        <f t="shared" si="80"/>
        <v>0.2</v>
      </c>
      <c r="M90" s="44">
        <f t="shared" si="81"/>
        <v>150</v>
      </c>
      <c r="N90" s="44">
        <f t="shared" si="82"/>
        <v>750</v>
      </c>
    </row>
    <row r="91" spans="1:14" ht="15.75" thickBot="1" x14ac:dyDescent="0.3">
      <c r="A91" s="229">
        <f t="shared" si="71"/>
        <v>849</v>
      </c>
      <c r="B91" s="230">
        <f t="shared" si="72"/>
        <v>81</v>
      </c>
      <c r="C91" s="218" t="str">
        <f t="shared" si="70"/>
        <v>L13X12#000_000_03</v>
      </c>
      <c r="D91" s="169">
        <f t="shared" si="77"/>
        <v>12</v>
      </c>
      <c r="E91" s="61">
        <f t="shared" si="69"/>
        <v>3.0721600000000002</v>
      </c>
      <c r="F91" s="44">
        <f t="shared" si="78"/>
        <v>25.601333333333336</v>
      </c>
      <c r="G91" s="44">
        <f t="shared" si="74"/>
        <v>20.481066666666671</v>
      </c>
      <c r="H91" s="44">
        <f t="shared" si="75"/>
        <v>12.800666666666668</v>
      </c>
      <c r="I91" s="44">
        <f t="shared" si="79"/>
        <v>8</v>
      </c>
      <c r="J91" s="45">
        <f t="shared" si="83"/>
        <v>0</v>
      </c>
      <c r="K91" s="37" t="str">
        <f>D91&amp;-3</f>
        <v>12-3</v>
      </c>
      <c r="L91" s="44">
        <f t="shared" si="80"/>
        <v>0.2</v>
      </c>
      <c r="M91" s="44">
        <f t="shared" si="81"/>
        <v>150</v>
      </c>
      <c r="N91" s="44">
        <f t="shared" si="82"/>
        <v>750</v>
      </c>
    </row>
    <row r="92" spans="1:14" ht="15.75" thickBot="1" x14ac:dyDescent="0.3">
      <c r="A92" s="229">
        <f t="shared" si="71"/>
        <v>850</v>
      </c>
      <c r="B92" s="230">
        <f t="shared" si="72"/>
        <v>82</v>
      </c>
      <c r="C92" s="218" t="str">
        <f t="shared" si="70"/>
        <v>L13X12#000_000_04</v>
      </c>
      <c r="D92" s="169">
        <f t="shared" si="77"/>
        <v>12</v>
      </c>
      <c r="E92" s="61">
        <f t="shared" si="69"/>
        <v>3.0721600000000002</v>
      </c>
      <c r="F92" s="44">
        <f t="shared" si="78"/>
        <v>25.601333333333336</v>
      </c>
      <c r="G92" s="44">
        <f t="shared" si="74"/>
        <v>20.481066666666671</v>
      </c>
      <c r="H92" s="44">
        <f t="shared" si="75"/>
        <v>12.800666666666668</v>
      </c>
      <c r="I92" s="44">
        <f t="shared" si="79"/>
        <v>8</v>
      </c>
      <c r="J92" s="45">
        <f t="shared" si="83"/>
        <v>0</v>
      </c>
      <c r="K92" s="37" t="str">
        <f>D92&amp;-4</f>
        <v>12-4</v>
      </c>
      <c r="L92" s="44">
        <f t="shared" si="80"/>
        <v>0.2</v>
      </c>
      <c r="M92" s="44">
        <f t="shared" si="81"/>
        <v>150</v>
      </c>
      <c r="N92" s="44">
        <f t="shared" si="82"/>
        <v>750</v>
      </c>
    </row>
    <row r="93" spans="1:14" ht="15.75" thickBot="1" x14ac:dyDescent="0.3">
      <c r="A93" s="229">
        <f t="shared" si="71"/>
        <v>851</v>
      </c>
      <c r="B93" s="230">
        <f t="shared" si="72"/>
        <v>83</v>
      </c>
      <c r="C93" s="218" t="str">
        <f t="shared" si="70"/>
        <v>L13X12#000_000_05</v>
      </c>
      <c r="D93" s="169">
        <f t="shared" si="77"/>
        <v>12</v>
      </c>
      <c r="E93" s="61">
        <f t="shared" si="69"/>
        <v>3.0721600000000002</v>
      </c>
      <c r="F93" s="44">
        <f t="shared" si="78"/>
        <v>25.601333333333336</v>
      </c>
      <c r="G93" s="44">
        <f t="shared" si="74"/>
        <v>20.481066666666671</v>
      </c>
      <c r="H93" s="44">
        <f t="shared" si="75"/>
        <v>12.800666666666668</v>
      </c>
      <c r="I93" s="44">
        <f t="shared" si="79"/>
        <v>8</v>
      </c>
      <c r="J93" s="45">
        <f t="shared" si="83"/>
        <v>0</v>
      </c>
      <c r="K93" s="37" t="str">
        <f>D93&amp;-5</f>
        <v>12-5</v>
      </c>
      <c r="L93" s="44">
        <f t="shared" si="80"/>
        <v>0.2</v>
      </c>
      <c r="M93" s="44">
        <f t="shared" si="81"/>
        <v>150</v>
      </c>
      <c r="N93" s="44">
        <f t="shared" si="82"/>
        <v>750</v>
      </c>
    </row>
    <row r="94" spans="1:14" ht="15.75" thickBot="1" x14ac:dyDescent="0.3">
      <c r="A94" s="229">
        <f t="shared" si="71"/>
        <v>852</v>
      </c>
      <c r="B94" s="230">
        <f t="shared" si="72"/>
        <v>84</v>
      </c>
      <c r="C94" s="218" t="str">
        <f t="shared" si="70"/>
        <v>L13X12#000_000_06</v>
      </c>
      <c r="D94" s="169">
        <f t="shared" si="77"/>
        <v>12</v>
      </c>
      <c r="E94" s="61">
        <f t="shared" si="69"/>
        <v>3.0721600000000002</v>
      </c>
      <c r="F94" s="44">
        <f t="shared" si="78"/>
        <v>25.601333333333336</v>
      </c>
      <c r="G94" s="44">
        <f t="shared" si="74"/>
        <v>20.481066666666671</v>
      </c>
      <c r="H94" s="44">
        <f t="shared" si="75"/>
        <v>12.800666666666668</v>
      </c>
      <c r="I94" s="44">
        <f t="shared" si="79"/>
        <v>8</v>
      </c>
      <c r="J94" s="45">
        <f t="shared" si="83"/>
        <v>0</v>
      </c>
      <c r="K94" s="37" t="str">
        <f>D94&amp;-6</f>
        <v>12-6</v>
      </c>
      <c r="L94" s="44">
        <f t="shared" si="80"/>
        <v>0.2</v>
      </c>
      <c r="M94" s="44">
        <f t="shared" si="81"/>
        <v>150</v>
      </c>
      <c r="N94" s="44">
        <f t="shared" si="82"/>
        <v>750</v>
      </c>
    </row>
    <row r="95" spans="1:14" ht="15.75" thickBot="1" x14ac:dyDescent="0.3">
      <c r="A95" s="229">
        <f t="shared" si="71"/>
        <v>853</v>
      </c>
      <c r="B95" s="230">
        <f t="shared" si="72"/>
        <v>85</v>
      </c>
      <c r="C95" s="218" t="str">
        <f t="shared" si="70"/>
        <v>L13X12#008_000_01</v>
      </c>
      <c r="D95" s="169">
        <f t="shared" si="77"/>
        <v>12</v>
      </c>
      <c r="E95" s="61">
        <f t="shared" si="69"/>
        <v>3.0721600000000002</v>
      </c>
      <c r="F95" s="44">
        <f t="shared" si="78"/>
        <v>25.601333333333336</v>
      </c>
      <c r="G95" s="44">
        <f t="shared" si="74"/>
        <v>20.481066666666671</v>
      </c>
      <c r="H95" s="44">
        <f t="shared" si="75"/>
        <v>12.800666666666668</v>
      </c>
      <c r="I95" s="44">
        <f t="shared" si="79"/>
        <v>8</v>
      </c>
      <c r="J95" s="45">
        <f t="shared" ref="J95:J100" si="84">yaw_max</f>
        <v>8</v>
      </c>
      <c r="K95" s="37" t="str">
        <f>D95&amp;-1</f>
        <v>12-1</v>
      </c>
      <c r="L95" s="44">
        <f t="shared" si="80"/>
        <v>0.2</v>
      </c>
      <c r="M95" s="44">
        <f t="shared" si="81"/>
        <v>150</v>
      </c>
      <c r="N95" s="44">
        <f t="shared" si="82"/>
        <v>750</v>
      </c>
    </row>
    <row r="96" spans="1:14" ht="15.75" thickBot="1" x14ac:dyDescent="0.3">
      <c r="A96" s="229">
        <f t="shared" si="71"/>
        <v>854</v>
      </c>
      <c r="B96" s="230">
        <f t="shared" si="72"/>
        <v>86</v>
      </c>
      <c r="C96" s="218" t="str">
        <f t="shared" si="70"/>
        <v>L13X12#008_000_02</v>
      </c>
      <c r="D96" s="169">
        <f t="shared" si="77"/>
        <v>12</v>
      </c>
      <c r="E96" s="61">
        <f t="shared" si="69"/>
        <v>3.0721600000000002</v>
      </c>
      <c r="F96" s="44">
        <f t="shared" si="78"/>
        <v>25.601333333333336</v>
      </c>
      <c r="G96" s="44">
        <f t="shared" si="74"/>
        <v>20.481066666666671</v>
      </c>
      <c r="H96" s="44">
        <f t="shared" si="75"/>
        <v>12.800666666666668</v>
      </c>
      <c r="I96" s="44">
        <f t="shared" si="79"/>
        <v>8</v>
      </c>
      <c r="J96" s="45">
        <f t="shared" si="84"/>
        <v>8</v>
      </c>
      <c r="K96" s="37" t="str">
        <f>D96&amp;-2</f>
        <v>12-2</v>
      </c>
      <c r="L96" s="44">
        <f t="shared" si="80"/>
        <v>0.2</v>
      </c>
      <c r="M96" s="44">
        <f t="shared" si="81"/>
        <v>150</v>
      </c>
      <c r="N96" s="44">
        <f t="shared" si="82"/>
        <v>750</v>
      </c>
    </row>
    <row r="97" spans="1:14" ht="15.75" thickBot="1" x14ac:dyDescent="0.3">
      <c r="A97" s="229">
        <f t="shared" si="71"/>
        <v>855</v>
      </c>
      <c r="B97" s="230">
        <f t="shared" si="72"/>
        <v>87</v>
      </c>
      <c r="C97" s="218" t="str">
        <f t="shared" si="70"/>
        <v>L13X12#008_000_03</v>
      </c>
      <c r="D97" s="169">
        <f t="shared" si="77"/>
        <v>12</v>
      </c>
      <c r="E97" s="61">
        <f t="shared" si="69"/>
        <v>3.0721600000000002</v>
      </c>
      <c r="F97" s="44">
        <f t="shared" si="78"/>
        <v>25.601333333333336</v>
      </c>
      <c r="G97" s="44">
        <f t="shared" si="74"/>
        <v>20.481066666666671</v>
      </c>
      <c r="H97" s="44">
        <f t="shared" si="75"/>
        <v>12.800666666666668</v>
      </c>
      <c r="I97" s="44">
        <f t="shared" si="79"/>
        <v>8</v>
      </c>
      <c r="J97" s="45">
        <f t="shared" si="84"/>
        <v>8</v>
      </c>
      <c r="K97" s="37" t="str">
        <f>D97&amp;-3</f>
        <v>12-3</v>
      </c>
      <c r="L97" s="44">
        <f t="shared" si="80"/>
        <v>0.2</v>
      </c>
      <c r="M97" s="44">
        <f t="shared" si="81"/>
        <v>150</v>
      </c>
      <c r="N97" s="44">
        <f t="shared" si="82"/>
        <v>750</v>
      </c>
    </row>
    <row r="98" spans="1:14" ht="15.75" thickBot="1" x14ac:dyDescent="0.3">
      <c r="A98" s="229">
        <f t="shared" si="71"/>
        <v>856</v>
      </c>
      <c r="B98" s="230">
        <f t="shared" si="72"/>
        <v>88</v>
      </c>
      <c r="C98" s="218" t="str">
        <f t="shared" si="70"/>
        <v>L13X12#008_000_04</v>
      </c>
      <c r="D98" s="169">
        <f t="shared" si="77"/>
        <v>12</v>
      </c>
      <c r="E98" s="61">
        <f t="shared" si="69"/>
        <v>3.0721600000000002</v>
      </c>
      <c r="F98" s="44">
        <f t="shared" si="78"/>
        <v>25.601333333333336</v>
      </c>
      <c r="G98" s="44">
        <f t="shared" si="74"/>
        <v>20.481066666666671</v>
      </c>
      <c r="H98" s="44">
        <f t="shared" si="75"/>
        <v>12.800666666666668</v>
      </c>
      <c r="I98" s="44">
        <f t="shared" si="79"/>
        <v>8</v>
      </c>
      <c r="J98" s="45">
        <f t="shared" si="84"/>
        <v>8</v>
      </c>
      <c r="K98" s="37" t="str">
        <f>D98&amp;-4</f>
        <v>12-4</v>
      </c>
      <c r="L98" s="44">
        <f t="shared" si="80"/>
        <v>0.2</v>
      </c>
      <c r="M98" s="44">
        <f t="shared" si="81"/>
        <v>150</v>
      </c>
      <c r="N98" s="44">
        <f t="shared" si="82"/>
        <v>750</v>
      </c>
    </row>
    <row r="99" spans="1:14" ht="15.75" thickBot="1" x14ac:dyDescent="0.3">
      <c r="A99" s="229">
        <f t="shared" si="71"/>
        <v>857</v>
      </c>
      <c r="B99" s="230">
        <f t="shared" si="72"/>
        <v>89</v>
      </c>
      <c r="C99" s="218" t="str">
        <f t="shared" si="70"/>
        <v>L13X12#008_000_05</v>
      </c>
      <c r="D99" s="169">
        <f t="shared" si="77"/>
        <v>12</v>
      </c>
      <c r="E99" s="61">
        <f t="shared" si="69"/>
        <v>3.0721600000000002</v>
      </c>
      <c r="F99" s="44">
        <f t="shared" si="78"/>
        <v>25.601333333333336</v>
      </c>
      <c r="G99" s="44">
        <f t="shared" si="74"/>
        <v>20.481066666666671</v>
      </c>
      <c r="H99" s="44">
        <f t="shared" si="75"/>
        <v>12.800666666666668</v>
      </c>
      <c r="I99" s="44">
        <f t="shared" si="79"/>
        <v>8</v>
      </c>
      <c r="J99" s="45">
        <f t="shared" si="84"/>
        <v>8</v>
      </c>
      <c r="K99" s="37" t="str">
        <f>D99&amp;-5</f>
        <v>12-5</v>
      </c>
      <c r="L99" s="44">
        <f t="shared" si="80"/>
        <v>0.2</v>
      </c>
      <c r="M99" s="44">
        <f t="shared" si="81"/>
        <v>150</v>
      </c>
      <c r="N99" s="44">
        <f t="shared" si="82"/>
        <v>750</v>
      </c>
    </row>
    <row r="100" spans="1:14" ht="15.75" thickBot="1" x14ac:dyDescent="0.3">
      <c r="A100" s="229">
        <f t="shared" si="71"/>
        <v>858</v>
      </c>
      <c r="B100" s="230">
        <f t="shared" si="72"/>
        <v>90</v>
      </c>
      <c r="C100" s="218" t="str">
        <f t="shared" si="70"/>
        <v>L13X12#008_000_06</v>
      </c>
      <c r="D100" s="169">
        <f t="shared" si="77"/>
        <v>12</v>
      </c>
      <c r="E100" s="61">
        <f t="shared" si="69"/>
        <v>3.0721600000000002</v>
      </c>
      <c r="F100" s="44">
        <f t="shared" si="78"/>
        <v>25.601333333333336</v>
      </c>
      <c r="G100" s="44">
        <f t="shared" si="74"/>
        <v>20.481066666666671</v>
      </c>
      <c r="H100" s="44">
        <f t="shared" si="75"/>
        <v>12.800666666666668</v>
      </c>
      <c r="I100" s="44">
        <f t="shared" si="79"/>
        <v>8</v>
      </c>
      <c r="J100" s="45">
        <f t="shared" si="84"/>
        <v>8</v>
      </c>
      <c r="K100" s="37" t="str">
        <f>D100&amp;-6</f>
        <v>12-6</v>
      </c>
      <c r="L100" s="44">
        <f t="shared" si="80"/>
        <v>0.2</v>
      </c>
      <c r="M100" s="44">
        <f t="shared" si="81"/>
        <v>150</v>
      </c>
      <c r="N100" s="44">
        <f t="shared" si="82"/>
        <v>750</v>
      </c>
    </row>
    <row r="101" spans="1:14" s="163" customFormat="1" ht="15.75" thickBot="1" x14ac:dyDescent="0.3">
      <c r="A101" s="229">
        <f t="shared" si="71"/>
        <v>859</v>
      </c>
      <c r="B101" s="230">
        <f t="shared" si="72"/>
        <v>91</v>
      </c>
      <c r="C101" s="218" t="str">
        <f t="shared" si="70"/>
        <v>L13X14#352_000_01</v>
      </c>
      <c r="D101" s="169">
        <f>D100+v_step</f>
        <v>14</v>
      </c>
      <c r="E101" s="173">
        <f t="shared" ref="E101:E164" si="85">t_c*I_ref*(0.072*(v_ave/t_c+3)*(D101/t_c-4)+10)</f>
        <v>3.2082400000000004</v>
      </c>
      <c r="F101" s="170">
        <f t="shared" si="78"/>
        <v>22.916000000000004</v>
      </c>
      <c r="G101" s="170">
        <f t="shared" ref="G101:G164" si="86">m_ty*F101</f>
        <v>18.332800000000002</v>
      </c>
      <c r="H101" s="170">
        <f t="shared" ref="H101:H164" si="87">m_tz*F101</f>
        <v>11.458000000000002</v>
      </c>
      <c r="I101" s="170">
        <f t="shared" si="79"/>
        <v>8</v>
      </c>
      <c r="J101" s="171">
        <f t="shared" ref="J101:J106" si="88">yaw_min</f>
        <v>-8</v>
      </c>
      <c r="K101" s="166" t="str">
        <f>D101&amp;-1</f>
        <v>14-1</v>
      </c>
      <c r="L101" s="170">
        <f t="shared" si="80"/>
        <v>0.2</v>
      </c>
      <c r="M101" s="170">
        <f t="shared" si="81"/>
        <v>150</v>
      </c>
      <c r="N101" s="170">
        <f t="shared" si="82"/>
        <v>750</v>
      </c>
    </row>
    <row r="102" spans="1:14" s="163" customFormat="1" ht="15.75" thickBot="1" x14ac:dyDescent="0.3">
      <c r="A102" s="229">
        <f t="shared" si="71"/>
        <v>860</v>
      </c>
      <c r="B102" s="230">
        <f t="shared" si="72"/>
        <v>92</v>
      </c>
      <c r="C102" s="218" t="str">
        <f t="shared" si="70"/>
        <v>L13X14#352_000_02</v>
      </c>
      <c r="D102" s="169">
        <f>D101</f>
        <v>14</v>
      </c>
      <c r="E102" s="173">
        <f t="shared" si="85"/>
        <v>3.2082400000000004</v>
      </c>
      <c r="F102" s="170">
        <f>E102/D102*100</f>
        <v>22.916000000000004</v>
      </c>
      <c r="G102" s="170">
        <f t="shared" si="86"/>
        <v>18.332800000000002</v>
      </c>
      <c r="H102" s="170">
        <f t="shared" si="87"/>
        <v>11.458000000000002</v>
      </c>
      <c r="I102" s="170">
        <f>I101</f>
        <v>8</v>
      </c>
      <c r="J102" s="171">
        <f t="shared" si="88"/>
        <v>-8</v>
      </c>
      <c r="K102" s="166" t="str">
        <f>D102&amp;-2</f>
        <v>14-2</v>
      </c>
      <c r="L102" s="170">
        <f>L101</f>
        <v>0.2</v>
      </c>
      <c r="M102" s="170">
        <f>M101</f>
        <v>150</v>
      </c>
      <c r="N102" s="170">
        <f>N101</f>
        <v>750</v>
      </c>
    </row>
    <row r="103" spans="1:14" s="163" customFormat="1" ht="15.75" thickBot="1" x14ac:dyDescent="0.3">
      <c r="A103" s="229">
        <f t="shared" si="71"/>
        <v>861</v>
      </c>
      <c r="B103" s="230">
        <f t="shared" si="72"/>
        <v>93</v>
      </c>
      <c r="C103" s="218" t="str">
        <f t="shared" si="70"/>
        <v>L13X14#352_000_03</v>
      </c>
      <c r="D103" s="169">
        <f t="shared" ref="D103:D118" si="89">D102</f>
        <v>14</v>
      </c>
      <c r="E103" s="173">
        <f t="shared" si="85"/>
        <v>3.2082400000000004</v>
      </c>
      <c r="F103" s="170">
        <f t="shared" ref="F103:F119" si="90">E103/D103*100</f>
        <v>22.916000000000004</v>
      </c>
      <c r="G103" s="170">
        <f t="shared" si="86"/>
        <v>18.332800000000002</v>
      </c>
      <c r="H103" s="170">
        <f t="shared" si="87"/>
        <v>11.458000000000002</v>
      </c>
      <c r="I103" s="170">
        <f t="shared" si="79"/>
        <v>8</v>
      </c>
      <c r="J103" s="171">
        <f t="shared" si="88"/>
        <v>-8</v>
      </c>
      <c r="K103" s="166" t="str">
        <f>D103&amp;-3</f>
        <v>14-3</v>
      </c>
      <c r="L103" s="170">
        <f t="shared" si="80"/>
        <v>0.2</v>
      </c>
      <c r="M103" s="170">
        <f t="shared" si="81"/>
        <v>150</v>
      </c>
      <c r="N103" s="170">
        <f t="shared" si="82"/>
        <v>750</v>
      </c>
    </row>
    <row r="104" spans="1:14" s="163" customFormat="1" ht="15.75" thickBot="1" x14ac:dyDescent="0.3">
      <c r="A104" s="229">
        <f t="shared" si="71"/>
        <v>862</v>
      </c>
      <c r="B104" s="230">
        <f t="shared" si="72"/>
        <v>94</v>
      </c>
      <c r="C104" s="218" t="str">
        <f t="shared" si="70"/>
        <v>L13X14#352_000_04</v>
      </c>
      <c r="D104" s="169">
        <f t="shared" si="89"/>
        <v>14</v>
      </c>
      <c r="E104" s="173">
        <f t="shared" si="85"/>
        <v>3.2082400000000004</v>
      </c>
      <c r="F104" s="170">
        <f t="shared" si="90"/>
        <v>22.916000000000004</v>
      </c>
      <c r="G104" s="170">
        <f t="shared" si="86"/>
        <v>18.332800000000002</v>
      </c>
      <c r="H104" s="170">
        <f t="shared" si="87"/>
        <v>11.458000000000002</v>
      </c>
      <c r="I104" s="170">
        <f t="shared" si="79"/>
        <v>8</v>
      </c>
      <c r="J104" s="171">
        <f t="shared" si="88"/>
        <v>-8</v>
      </c>
      <c r="K104" s="166" t="str">
        <f>D104&amp;-4</f>
        <v>14-4</v>
      </c>
      <c r="L104" s="170">
        <f t="shared" si="80"/>
        <v>0.2</v>
      </c>
      <c r="M104" s="170">
        <f t="shared" si="81"/>
        <v>150</v>
      </c>
      <c r="N104" s="170">
        <f t="shared" si="82"/>
        <v>750</v>
      </c>
    </row>
    <row r="105" spans="1:14" s="163" customFormat="1" ht="15.75" thickBot="1" x14ac:dyDescent="0.3">
      <c r="A105" s="229">
        <f t="shared" si="71"/>
        <v>863</v>
      </c>
      <c r="B105" s="230">
        <f t="shared" si="72"/>
        <v>95</v>
      </c>
      <c r="C105" s="218" t="str">
        <f t="shared" si="70"/>
        <v>L13X14#352_000_05</v>
      </c>
      <c r="D105" s="169">
        <f t="shared" si="89"/>
        <v>14</v>
      </c>
      <c r="E105" s="173">
        <f t="shared" si="85"/>
        <v>3.2082400000000004</v>
      </c>
      <c r="F105" s="170">
        <f t="shared" si="90"/>
        <v>22.916000000000004</v>
      </c>
      <c r="G105" s="170">
        <f t="shared" si="86"/>
        <v>18.332800000000002</v>
      </c>
      <c r="H105" s="170">
        <f t="shared" si="87"/>
        <v>11.458000000000002</v>
      </c>
      <c r="I105" s="170">
        <f t="shared" si="79"/>
        <v>8</v>
      </c>
      <c r="J105" s="171">
        <f t="shared" si="88"/>
        <v>-8</v>
      </c>
      <c r="K105" s="166" t="str">
        <f>D105&amp;-5</f>
        <v>14-5</v>
      </c>
      <c r="L105" s="170">
        <f t="shared" si="80"/>
        <v>0.2</v>
      </c>
      <c r="M105" s="170">
        <f t="shared" si="81"/>
        <v>150</v>
      </c>
      <c r="N105" s="170">
        <f t="shared" si="82"/>
        <v>750</v>
      </c>
    </row>
    <row r="106" spans="1:14" s="163" customFormat="1" ht="15.75" thickBot="1" x14ac:dyDescent="0.3">
      <c r="A106" s="229">
        <f t="shared" si="71"/>
        <v>864</v>
      </c>
      <c r="B106" s="230">
        <f t="shared" si="72"/>
        <v>96</v>
      </c>
      <c r="C106" s="218" t="str">
        <f t="shared" si="70"/>
        <v>L13X14#352_000_06</v>
      </c>
      <c r="D106" s="169">
        <f t="shared" si="89"/>
        <v>14</v>
      </c>
      <c r="E106" s="173">
        <f t="shared" si="85"/>
        <v>3.2082400000000004</v>
      </c>
      <c r="F106" s="170">
        <f t="shared" si="90"/>
        <v>22.916000000000004</v>
      </c>
      <c r="G106" s="170">
        <f t="shared" si="86"/>
        <v>18.332800000000002</v>
      </c>
      <c r="H106" s="170">
        <f t="shared" si="87"/>
        <v>11.458000000000002</v>
      </c>
      <c r="I106" s="170">
        <f t="shared" si="79"/>
        <v>8</v>
      </c>
      <c r="J106" s="171">
        <f t="shared" si="88"/>
        <v>-8</v>
      </c>
      <c r="K106" s="166" t="str">
        <f>D106&amp;-6</f>
        <v>14-6</v>
      </c>
      <c r="L106" s="170">
        <f t="shared" si="80"/>
        <v>0.2</v>
      </c>
      <c r="M106" s="170">
        <f t="shared" si="81"/>
        <v>150</v>
      </c>
      <c r="N106" s="170">
        <f t="shared" si="82"/>
        <v>750</v>
      </c>
    </row>
    <row r="107" spans="1:14" s="163" customFormat="1" ht="15.75" thickBot="1" x14ac:dyDescent="0.3">
      <c r="A107" s="229">
        <f t="shared" si="71"/>
        <v>865</v>
      </c>
      <c r="B107" s="230">
        <f t="shared" si="72"/>
        <v>97</v>
      </c>
      <c r="C107" s="218" t="str">
        <f t="shared" si="70"/>
        <v>L13X14#000_000_01</v>
      </c>
      <c r="D107" s="169">
        <f t="shared" si="89"/>
        <v>14</v>
      </c>
      <c r="E107" s="173">
        <f t="shared" si="85"/>
        <v>3.2082400000000004</v>
      </c>
      <c r="F107" s="170">
        <f t="shared" si="90"/>
        <v>22.916000000000004</v>
      </c>
      <c r="G107" s="170">
        <f t="shared" si="86"/>
        <v>18.332800000000002</v>
      </c>
      <c r="H107" s="170">
        <f t="shared" si="87"/>
        <v>11.458000000000002</v>
      </c>
      <c r="I107" s="170">
        <f t="shared" si="79"/>
        <v>8</v>
      </c>
      <c r="J107" s="171">
        <f t="shared" ref="J107:J112" si="91">yaw_null</f>
        <v>0</v>
      </c>
      <c r="K107" s="166" t="str">
        <f>D107&amp;-1</f>
        <v>14-1</v>
      </c>
      <c r="L107" s="170">
        <f t="shared" si="80"/>
        <v>0.2</v>
      </c>
      <c r="M107" s="170">
        <f t="shared" si="81"/>
        <v>150</v>
      </c>
      <c r="N107" s="170">
        <f t="shared" si="82"/>
        <v>750</v>
      </c>
    </row>
    <row r="108" spans="1:14" s="163" customFormat="1" ht="15.75" thickBot="1" x14ac:dyDescent="0.3">
      <c r="A108" s="229">
        <f t="shared" si="71"/>
        <v>866</v>
      </c>
      <c r="B108" s="230">
        <f t="shared" si="72"/>
        <v>98</v>
      </c>
      <c r="C108" s="218" t="str">
        <f t="shared" si="70"/>
        <v>L13X14#000_000_02</v>
      </c>
      <c r="D108" s="169">
        <f t="shared" si="89"/>
        <v>14</v>
      </c>
      <c r="E108" s="173">
        <f t="shared" si="85"/>
        <v>3.2082400000000004</v>
      </c>
      <c r="F108" s="170">
        <f t="shared" si="90"/>
        <v>22.916000000000004</v>
      </c>
      <c r="G108" s="170">
        <f t="shared" si="86"/>
        <v>18.332800000000002</v>
      </c>
      <c r="H108" s="170">
        <f t="shared" si="87"/>
        <v>11.458000000000002</v>
      </c>
      <c r="I108" s="170">
        <f t="shared" si="79"/>
        <v>8</v>
      </c>
      <c r="J108" s="171">
        <f t="shared" si="91"/>
        <v>0</v>
      </c>
      <c r="K108" s="166" t="str">
        <f>D108&amp;-2</f>
        <v>14-2</v>
      </c>
      <c r="L108" s="170">
        <f t="shared" si="80"/>
        <v>0.2</v>
      </c>
      <c r="M108" s="170">
        <f t="shared" si="81"/>
        <v>150</v>
      </c>
      <c r="N108" s="170">
        <f t="shared" si="82"/>
        <v>750</v>
      </c>
    </row>
    <row r="109" spans="1:14" s="163" customFormat="1" ht="15.75" thickBot="1" x14ac:dyDescent="0.3">
      <c r="A109" s="229">
        <f t="shared" si="71"/>
        <v>867</v>
      </c>
      <c r="B109" s="230">
        <f t="shared" si="72"/>
        <v>99</v>
      </c>
      <c r="C109" s="218" t="str">
        <f t="shared" si="70"/>
        <v>L13X14#000_000_03</v>
      </c>
      <c r="D109" s="169">
        <f t="shared" si="89"/>
        <v>14</v>
      </c>
      <c r="E109" s="173">
        <f t="shared" si="85"/>
        <v>3.2082400000000004</v>
      </c>
      <c r="F109" s="170">
        <f t="shared" si="90"/>
        <v>22.916000000000004</v>
      </c>
      <c r="G109" s="170">
        <f t="shared" si="86"/>
        <v>18.332800000000002</v>
      </c>
      <c r="H109" s="170">
        <f t="shared" si="87"/>
        <v>11.458000000000002</v>
      </c>
      <c r="I109" s="170">
        <f t="shared" si="79"/>
        <v>8</v>
      </c>
      <c r="J109" s="171">
        <f t="shared" si="91"/>
        <v>0</v>
      </c>
      <c r="K109" s="166" t="str">
        <f>D109&amp;-3</f>
        <v>14-3</v>
      </c>
      <c r="L109" s="170">
        <f t="shared" si="80"/>
        <v>0.2</v>
      </c>
      <c r="M109" s="170">
        <f t="shared" si="81"/>
        <v>150</v>
      </c>
      <c r="N109" s="170">
        <f t="shared" si="82"/>
        <v>750</v>
      </c>
    </row>
    <row r="110" spans="1:14" s="163" customFormat="1" ht="15.75" thickBot="1" x14ac:dyDescent="0.3">
      <c r="A110" s="229">
        <f t="shared" si="71"/>
        <v>868</v>
      </c>
      <c r="B110" s="230">
        <f t="shared" si="72"/>
        <v>100</v>
      </c>
      <c r="C110" s="218" t="str">
        <f t="shared" si="70"/>
        <v>L13X14#000_000_04</v>
      </c>
      <c r="D110" s="169">
        <f t="shared" si="89"/>
        <v>14</v>
      </c>
      <c r="E110" s="173">
        <f t="shared" si="85"/>
        <v>3.2082400000000004</v>
      </c>
      <c r="F110" s="170">
        <f t="shared" si="90"/>
        <v>22.916000000000004</v>
      </c>
      <c r="G110" s="170">
        <f t="shared" si="86"/>
        <v>18.332800000000002</v>
      </c>
      <c r="H110" s="170">
        <f t="shared" si="87"/>
        <v>11.458000000000002</v>
      </c>
      <c r="I110" s="170">
        <f t="shared" si="79"/>
        <v>8</v>
      </c>
      <c r="J110" s="171">
        <f t="shared" si="91"/>
        <v>0</v>
      </c>
      <c r="K110" s="166" t="str">
        <f>D110&amp;-4</f>
        <v>14-4</v>
      </c>
      <c r="L110" s="170">
        <f t="shared" si="80"/>
        <v>0.2</v>
      </c>
      <c r="M110" s="170">
        <f t="shared" si="81"/>
        <v>150</v>
      </c>
      <c r="N110" s="170">
        <f t="shared" si="82"/>
        <v>750</v>
      </c>
    </row>
    <row r="111" spans="1:14" s="163" customFormat="1" ht="15.75" thickBot="1" x14ac:dyDescent="0.3">
      <c r="A111" s="229">
        <f t="shared" si="71"/>
        <v>869</v>
      </c>
      <c r="B111" s="230">
        <f t="shared" si="72"/>
        <v>101</v>
      </c>
      <c r="C111" s="218" t="str">
        <f t="shared" si="70"/>
        <v>L13X14#000_000_05</v>
      </c>
      <c r="D111" s="169">
        <f t="shared" si="89"/>
        <v>14</v>
      </c>
      <c r="E111" s="173">
        <f t="shared" si="85"/>
        <v>3.2082400000000004</v>
      </c>
      <c r="F111" s="170">
        <f t="shared" si="90"/>
        <v>22.916000000000004</v>
      </c>
      <c r="G111" s="170">
        <f t="shared" si="86"/>
        <v>18.332800000000002</v>
      </c>
      <c r="H111" s="170">
        <f t="shared" si="87"/>
        <v>11.458000000000002</v>
      </c>
      <c r="I111" s="170">
        <f t="shared" si="79"/>
        <v>8</v>
      </c>
      <c r="J111" s="171">
        <f t="shared" si="91"/>
        <v>0</v>
      </c>
      <c r="K111" s="166" t="str">
        <f>D111&amp;-5</f>
        <v>14-5</v>
      </c>
      <c r="L111" s="170">
        <f t="shared" si="80"/>
        <v>0.2</v>
      </c>
      <c r="M111" s="170">
        <f t="shared" si="81"/>
        <v>150</v>
      </c>
      <c r="N111" s="170">
        <f t="shared" si="82"/>
        <v>750</v>
      </c>
    </row>
    <row r="112" spans="1:14" s="163" customFormat="1" ht="15.75" thickBot="1" x14ac:dyDescent="0.3">
      <c r="A112" s="229">
        <f t="shared" si="71"/>
        <v>870</v>
      </c>
      <c r="B112" s="230">
        <f t="shared" si="72"/>
        <v>102</v>
      </c>
      <c r="C112" s="218" t="str">
        <f t="shared" si="70"/>
        <v>L13X14#000_000_06</v>
      </c>
      <c r="D112" s="169">
        <f t="shared" si="89"/>
        <v>14</v>
      </c>
      <c r="E112" s="173">
        <f t="shared" si="85"/>
        <v>3.2082400000000004</v>
      </c>
      <c r="F112" s="170">
        <f t="shared" si="90"/>
        <v>22.916000000000004</v>
      </c>
      <c r="G112" s="170">
        <f t="shared" si="86"/>
        <v>18.332800000000002</v>
      </c>
      <c r="H112" s="170">
        <f t="shared" si="87"/>
        <v>11.458000000000002</v>
      </c>
      <c r="I112" s="170">
        <f t="shared" si="79"/>
        <v>8</v>
      </c>
      <c r="J112" s="171">
        <f t="shared" si="91"/>
        <v>0</v>
      </c>
      <c r="K112" s="166" t="str">
        <f>D112&amp;-6</f>
        <v>14-6</v>
      </c>
      <c r="L112" s="170">
        <f t="shared" si="80"/>
        <v>0.2</v>
      </c>
      <c r="M112" s="170">
        <f t="shared" si="81"/>
        <v>150</v>
      </c>
      <c r="N112" s="170">
        <f t="shared" si="82"/>
        <v>750</v>
      </c>
    </row>
    <row r="113" spans="1:14" s="163" customFormat="1" ht="15.75" thickBot="1" x14ac:dyDescent="0.3">
      <c r="A113" s="229">
        <f t="shared" si="71"/>
        <v>871</v>
      </c>
      <c r="B113" s="230">
        <f t="shared" si="72"/>
        <v>103</v>
      </c>
      <c r="C113" s="218" t="str">
        <f t="shared" si="70"/>
        <v>L13X14#008_000_01</v>
      </c>
      <c r="D113" s="169">
        <f t="shared" si="89"/>
        <v>14</v>
      </c>
      <c r="E113" s="173">
        <f t="shared" si="85"/>
        <v>3.2082400000000004</v>
      </c>
      <c r="F113" s="170">
        <f t="shared" si="90"/>
        <v>22.916000000000004</v>
      </c>
      <c r="G113" s="170">
        <f t="shared" si="86"/>
        <v>18.332800000000002</v>
      </c>
      <c r="H113" s="170">
        <f t="shared" si="87"/>
        <v>11.458000000000002</v>
      </c>
      <c r="I113" s="170">
        <f t="shared" si="79"/>
        <v>8</v>
      </c>
      <c r="J113" s="171">
        <f t="shared" ref="J113:J118" si="92">yaw_max</f>
        <v>8</v>
      </c>
      <c r="K113" s="166" t="str">
        <f>D113&amp;-1</f>
        <v>14-1</v>
      </c>
      <c r="L113" s="170">
        <f t="shared" si="80"/>
        <v>0.2</v>
      </c>
      <c r="M113" s="170">
        <f t="shared" si="81"/>
        <v>150</v>
      </c>
      <c r="N113" s="170">
        <f t="shared" si="82"/>
        <v>750</v>
      </c>
    </row>
    <row r="114" spans="1:14" s="163" customFormat="1" ht="15.75" thickBot="1" x14ac:dyDescent="0.3">
      <c r="A114" s="229">
        <f t="shared" si="71"/>
        <v>872</v>
      </c>
      <c r="B114" s="230">
        <f t="shared" si="72"/>
        <v>104</v>
      </c>
      <c r="C114" s="218" t="str">
        <f t="shared" si="70"/>
        <v>L13X14#008_000_02</v>
      </c>
      <c r="D114" s="169">
        <f t="shared" si="89"/>
        <v>14</v>
      </c>
      <c r="E114" s="173">
        <f t="shared" si="85"/>
        <v>3.2082400000000004</v>
      </c>
      <c r="F114" s="170">
        <f t="shared" si="90"/>
        <v>22.916000000000004</v>
      </c>
      <c r="G114" s="170">
        <f t="shared" si="86"/>
        <v>18.332800000000002</v>
      </c>
      <c r="H114" s="170">
        <f t="shared" si="87"/>
        <v>11.458000000000002</v>
      </c>
      <c r="I114" s="170">
        <f t="shared" si="79"/>
        <v>8</v>
      </c>
      <c r="J114" s="171">
        <f t="shared" si="92"/>
        <v>8</v>
      </c>
      <c r="K114" s="166" t="str">
        <f>D114&amp;-2</f>
        <v>14-2</v>
      </c>
      <c r="L114" s="170">
        <f t="shared" si="80"/>
        <v>0.2</v>
      </c>
      <c r="M114" s="170">
        <f t="shared" si="81"/>
        <v>150</v>
      </c>
      <c r="N114" s="170">
        <f t="shared" si="82"/>
        <v>750</v>
      </c>
    </row>
    <row r="115" spans="1:14" s="163" customFormat="1" ht="15.75" thickBot="1" x14ac:dyDescent="0.3">
      <c r="A115" s="229">
        <f t="shared" si="71"/>
        <v>873</v>
      </c>
      <c r="B115" s="230">
        <f t="shared" si="72"/>
        <v>105</v>
      </c>
      <c r="C115" s="218" t="str">
        <f t="shared" si="70"/>
        <v>L13X14#008_000_03</v>
      </c>
      <c r="D115" s="169">
        <f t="shared" si="89"/>
        <v>14</v>
      </c>
      <c r="E115" s="173">
        <f t="shared" si="85"/>
        <v>3.2082400000000004</v>
      </c>
      <c r="F115" s="170">
        <f t="shared" si="90"/>
        <v>22.916000000000004</v>
      </c>
      <c r="G115" s="170">
        <f t="shared" si="86"/>
        <v>18.332800000000002</v>
      </c>
      <c r="H115" s="170">
        <f t="shared" si="87"/>
        <v>11.458000000000002</v>
      </c>
      <c r="I115" s="170">
        <f t="shared" si="79"/>
        <v>8</v>
      </c>
      <c r="J115" s="171">
        <f t="shared" si="92"/>
        <v>8</v>
      </c>
      <c r="K115" s="166" t="str">
        <f>D115&amp;-3</f>
        <v>14-3</v>
      </c>
      <c r="L115" s="170">
        <f t="shared" si="80"/>
        <v>0.2</v>
      </c>
      <c r="M115" s="170">
        <f t="shared" si="81"/>
        <v>150</v>
      </c>
      <c r="N115" s="170">
        <f t="shared" si="82"/>
        <v>750</v>
      </c>
    </row>
    <row r="116" spans="1:14" s="163" customFormat="1" ht="15.75" thickBot="1" x14ac:dyDescent="0.3">
      <c r="A116" s="229">
        <f t="shared" si="71"/>
        <v>874</v>
      </c>
      <c r="B116" s="230">
        <f t="shared" si="72"/>
        <v>106</v>
      </c>
      <c r="C116" s="218" t="str">
        <f t="shared" si="70"/>
        <v>L13X14#008_000_04</v>
      </c>
      <c r="D116" s="169">
        <f t="shared" si="89"/>
        <v>14</v>
      </c>
      <c r="E116" s="173">
        <f t="shared" si="85"/>
        <v>3.2082400000000004</v>
      </c>
      <c r="F116" s="170">
        <f t="shared" si="90"/>
        <v>22.916000000000004</v>
      </c>
      <c r="G116" s="170">
        <f t="shared" si="86"/>
        <v>18.332800000000002</v>
      </c>
      <c r="H116" s="170">
        <f t="shared" si="87"/>
        <v>11.458000000000002</v>
      </c>
      <c r="I116" s="170">
        <f t="shared" si="79"/>
        <v>8</v>
      </c>
      <c r="J116" s="171">
        <f t="shared" si="92"/>
        <v>8</v>
      </c>
      <c r="K116" s="166" t="str">
        <f>D116&amp;-4</f>
        <v>14-4</v>
      </c>
      <c r="L116" s="170">
        <f t="shared" si="80"/>
        <v>0.2</v>
      </c>
      <c r="M116" s="170">
        <f t="shared" si="81"/>
        <v>150</v>
      </c>
      <c r="N116" s="170">
        <f t="shared" si="82"/>
        <v>750</v>
      </c>
    </row>
    <row r="117" spans="1:14" s="163" customFormat="1" ht="15.75" thickBot="1" x14ac:dyDescent="0.3">
      <c r="A117" s="229">
        <f t="shared" si="71"/>
        <v>875</v>
      </c>
      <c r="B117" s="230">
        <f t="shared" si="72"/>
        <v>107</v>
      </c>
      <c r="C117" s="218" t="str">
        <f t="shared" si="70"/>
        <v>L13X14#008_000_05</v>
      </c>
      <c r="D117" s="169">
        <f t="shared" si="89"/>
        <v>14</v>
      </c>
      <c r="E117" s="173">
        <f t="shared" si="85"/>
        <v>3.2082400000000004</v>
      </c>
      <c r="F117" s="170">
        <f t="shared" si="90"/>
        <v>22.916000000000004</v>
      </c>
      <c r="G117" s="170">
        <f t="shared" si="86"/>
        <v>18.332800000000002</v>
      </c>
      <c r="H117" s="170">
        <f t="shared" si="87"/>
        <v>11.458000000000002</v>
      </c>
      <c r="I117" s="170">
        <f t="shared" si="79"/>
        <v>8</v>
      </c>
      <c r="J117" s="171">
        <f t="shared" si="92"/>
        <v>8</v>
      </c>
      <c r="K117" s="166" t="str">
        <f>D117&amp;-5</f>
        <v>14-5</v>
      </c>
      <c r="L117" s="170">
        <f t="shared" si="80"/>
        <v>0.2</v>
      </c>
      <c r="M117" s="170">
        <f t="shared" si="81"/>
        <v>150</v>
      </c>
      <c r="N117" s="170">
        <f t="shared" si="82"/>
        <v>750</v>
      </c>
    </row>
    <row r="118" spans="1:14" s="163" customFormat="1" ht="15.75" thickBot="1" x14ac:dyDescent="0.3">
      <c r="A118" s="229">
        <f t="shared" si="71"/>
        <v>876</v>
      </c>
      <c r="B118" s="230">
        <f t="shared" si="72"/>
        <v>108</v>
      </c>
      <c r="C118" s="218" t="str">
        <f t="shared" si="70"/>
        <v>L13X14#008_000_06</v>
      </c>
      <c r="D118" s="169">
        <f t="shared" si="89"/>
        <v>14</v>
      </c>
      <c r="E118" s="173">
        <f t="shared" si="85"/>
        <v>3.2082400000000004</v>
      </c>
      <c r="F118" s="170">
        <f t="shared" si="90"/>
        <v>22.916000000000004</v>
      </c>
      <c r="G118" s="170">
        <f t="shared" si="86"/>
        <v>18.332800000000002</v>
      </c>
      <c r="H118" s="170">
        <f t="shared" si="87"/>
        <v>11.458000000000002</v>
      </c>
      <c r="I118" s="170">
        <f t="shared" si="79"/>
        <v>8</v>
      </c>
      <c r="J118" s="171">
        <f t="shared" si="92"/>
        <v>8</v>
      </c>
      <c r="K118" s="166" t="str">
        <f>D118&amp;-6</f>
        <v>14-6</v>
      </c>
      <c r="L118" s="170">
        <f t="shared" si="80"/>
        <v>0.2</v>
      </c>
      <c r="M118" s="170">
        <f t="shared" si="81"/>
        <v>150</v>
      </c>
      <c r="N118" s="170">
        <f t="shared" si="82"/>
        <v>750</v>
      </c>
    </row>
    <row r="119" spans="1:14" s="163" customFormat="1" ht="15.75" thickBot="1" x14ac:dyDescent="0.3">
      <c r="A119" s="229">
        <f t="shared" si="71"/>
        <v>877</v>
      </c>
      <c r="B119" s="230">
        <f t="shared" si="72"/>
        <v>109</v>
      </c>
      <c r="C119" s="218" t="str">
        <f t="shared" si="70"/>
        <v>L13X16#352_000_01</v>
      </c>
      <c r="D119" s="169">
        <f>D118+v_step</f>
        <v>16</v>
      </c>
      <c r="E119" s="173">
        <f t="shared" si="85"/>
        <v>3.3443200000000002</v>
      </c>
      <c r="F119" s="170">
        <f t="shared" si="90"/>
        <v>20.902000000000001</v>
      </c>
      <c r="G119" s="170">
        <f t="shared" si="86"/>
        <v>16.721600000000002</v>
      </c>
      <c r="H119" s="170">
        <f t="shared" si="87"/>
        <v>10.451000000000001</v>
      </c>
      <c r="I119" s="170">
        <f t="shared" si="79"/>
        <v>8</v>
      </c>
      <c r="J119" s="171">
        <f t="shared" ref="J119:J124" si="93">yaw_min</f>
        <v>-8</v>
      </c>
      <c r="K119" s="166" t="str">
        <f>D119&amp;-1</f>
        <v>16-1</v>
      </c>
      <c r="L119" s="170">
        <f t="shared" si="80"/>
        <v>0.2</v>
      </c>
      <c r="M119" s="170">
        <f t="shared" si="81"/>
        <v>150</v>
      </c>
      <c r="N119" s="170">
        <f t="shared" si="82"/>
        <v>750</v>
      </c>
    </row>
    <row r="120" spans="1:14" s="163" customFormat="1" ht="15.75" thickBot="1" x14ac:dyDescent="0.3">
      <c r="A120" s="229">
        <f t="shared" si="71"/>
        <v>878</v>
      </c>
      <c r="B120" s="230">
        <f t="shared" si="72"/>
        <v>110</v>
      </c>
      <c r="C120" s="218" t="str">
        <f t="shared" si="70"/>
        <v>L13X16#352_000_02</v>
      </c>
      <c r="D120" s="169">
        <f>D119</f>
        <v>16</v>
      </c>
      <c r="E120" s="173">
        <f t="shared" si="85"/>
        <v>3.3443200000000002</v>
      </c>
      <c r="F120" s="170">
        <f>E120/D120*100</f>
        <v>20.902000000000001</v>
      </c>
      <c r="G120" s="170">
        <f t="shared" si="86"/>
        <v>16.721600000000002</v>
      </c>
      <c r="H120" s="170">
        <f t="shared" si="87"/>
        <v>10.451000000000001</v>
      </c>
      <c r="I120" s="170">
        <f>I119</f>
        <v>8</v>
      </c>
      <c r="J120" s="171">
        <f t="shared" si="93"/>
        <v>-8</v>
      </c>
      <c r="K120" s="166" t="str">
        <f>D120&amp;-2</f>
        <v>16-2</v>
      </c>
      <c r="L120" s="170">
        <f>L119</f>
        <v>0.2</v>
      </c>
      <c r="M120" s="170">
        <f>M119</f>
        <v>150</v>
      </c>
      <c r="N120" s="170">
        <f>N119</f>
        <v>750</v>
      </c>
    </row>
    <row r="121" spans="1:14" s="163" customFormat="1" ht="15.75" thickBot="1" x14ac:dyDescent="0.3">
      <c r="A121" s="229">
        <f t="shared" si="71"/>
        <v>879</v>
      </c>
      <c r="B121" s="230">
        <f t="shared" si="72"/>
        <v>111</v>
      </c>
      <c r="C121" s="218" t="str">
        <f t="shared" si="70"/>
        <v>L13X16#352_000_03</v>
      </c>
      <c r="D121" s="169">
        <f t="shared" ref="D121:D136" si="94">D120</f>
        <v>16</v>
      </c>
      <c r="E121" s="173">
        <f t="shared" si="85"/>
        <v>3.3443200000000002</v>
      </c>
      <c r="F121" s="170">
        <f t="shared" ref="F121:F137" si="95">E121/D121*100</f>
        <v>20.902000000000001</v>
      </c>
      <c r="G121" s="170">
        <f t="shared" si="86"/>
        <v>16.721600000000002</v>
      </c>
      <c r="H121" s="170">
        <f t="shared" si="87"/>
        <v>10.451000000000001</v>
      </c>
      <c r="I121" s="170">
        <f t="shared" si="79"/>
        <v>8</v>
      </c>
      <c r="J121" s="171">
        <f t="shared" si="93"/>
        <v>-8</v>
      </c>
      <c r="K121" s="166" t="str">
        <f>D121&amp;-3</f>
        <v>16-3</v>
      </c>
      <c r="L121" s="170">
        <f t="shared" si="80"/>
        <v>0.2</v>
      </c>
      <c r="M121" s="170">
        <f t="shared" si="81"/>
        <v>150</v>
      </c>
      <c r="N121" s="170">
        <f t="shared" si="82"/>
        <v>750</v>
      </c>
    </row>
    <row r="122" spans="1:14" s="163" customFormat="1" ht="15.75" thickBot="1" x14ac:dyDescent="0.3">
      <c r="A122" s="229">
        <f t="shared" si="71"/>
        <v>880</v>
      </c>
      <c r="B122" s="230">
        <f t="shared" si="72"/>
        <v>112</v>
      </c>
      <c r="C122" s="218" t="str">
        <f t="shared" si="70"/>
        <v>L13X16#352_000_04</v>
      </c>
      <c r="D122" s="169">
        <f t="shared" si="94"/>
        <v>16</v>
      </c>
      <c r="E122" s="173">
        <f t="shared" si="85"/>
        <v>3.3443200000000002</v>
      </c>
      <c r="F122" s="170">
        <f t="shared" si="95"/>
        <v>20.902000000000001</v>
      </c>
      <c r="G122" s="170">
        <f t="shared" si="86"/>
        <v>16.721600000000002</v>
      </c>
      <c r="H122" s="170">
        <f t="shared" si="87"/>
        <v>10.451000000000001</v>
      </c>
      <c r="I122" s="170">
        <f t="shared" si="79"/>
        <v>8</v>
      </c>
      <c r="J122" s="171">
        <f t="shared" si="93"/>
        <v>-8</v>
      </c>
      <c r="K122" s="166" t="str">
        <f>D122&amp;-4</f>
        <v>16-4</v>
      </c>
      <c r="L122" s="170">
        <f t="shared" si="80"/>
        <v>0.2</v>
      </c>
      <c r="M122" s="170">
        <f t="shared" si="81"/>
        <v>150</v>
      </c>
      <c r="N122" s="170">
        <f t="shared" si="82"/>
        <v>750</v>
      </c>
    </row>
    <row r="123" spans="1:14" s="163" customFormat="1" ht="15.75" thickBot="1" x14ac:dyDescent="0.3">
      <c r="A123" s="229">
        <f t="shared" si="71"/>
        <v>881</v>
      </c>
      <c r="B123" s="230">
        <f t="shared" si="72"/>
        <v>113</v>
      </c>
      <c r="C123" s="218" t="str">
        <f t="shared" si="70"/>
        <v>L13X16#352_000_05</v>
      </c>
      <c r="D123" s="169">
        <f t="shared" si="94"/>
        <v>16</v>
      </c>
      <c r="E123" s="173">
        <f t="shared" si="85"/>
        <v>3.3443200000000002</v>
      </c>
      <c r="F123" s="170">
        <f t="shared" si="95"/>
        <v>20.902000000000001</v>
      </c>
      <c r="G123" s="170">
        <f t="shared" si="86"/>
        <v>16.721600000000002</v>
      </c>
      <c r="H123" s="170">
        <f t="shared" si="87"/>
        <v>10.451000000000001</v>
      </c>
      <c r="I123" s="170">
        <f t="shared" si="79"/>
        <v>8</v>
      </c>
      <c r="J123" s="171">
        <f t="shared" si="93"/>
        <v>-8</v>
      </c>
      <c r="K123" s="166" t="str">
        <f>D123&amp;-5</f>
        <v>16-5</v>
      </c>
      <c r="L123" s="170">
        <f t="shared" si="80"/>
        <v>0.2</v>
      </c>
      <c r="M123" s="170">
        <f t="shared" si="81"/>
        <v>150</v>
      </c>
      <c r="N123" s="170">
        <f t="shared" si="82"/>
        <v>750</v>
      </c>
    </row>
    <row r="124" spans="1:14" s="163" customFormat="1" ht="15.75" thickBot="1" x14ac:dyDescent="0.3">
      <c r="A124" s="229">
        <f t="shared" si="71"/>
        <v>882</v>
      </c>
      <c r="B124" s="230">
        <f t="shared" si="72"/>
        <v>114</v>
      </c>
      <c r="C124" s="218" t="str">
        <f t="shared" si="70"/>
        <v>L13X16#352_000_06</v>
      </c>
      <c r="D124" s="169">
        <f t="shared" si="94"/>
        <v>16</v>
      </c>
      <c r="E124" s="173">
        <f t="shared" si="85"/>
        <v>3.3443200000000002</v>
      </c>
      <c r="F124" s="170">
        <f t="shared" si="95"/>
        <v>20.902000000000001</v>
      </c>
      <c r="G124" s="170">
        <f t="shared" si="86"/>
        <v>16.721600000000002</v>
      </c>
      <c r="H124" s="170">
        <f t="shared" si="87"/>
        <v>10.451000000000001</v>
      </c>
      <c r="I124" s="170">
        <f t="shared" si="79"/>
        <v>8</v>
      </c>
      <c r="J124" s="171">
        <f t="shared" si="93"/>
        <v>-8</v>
      </c>
      <c r="K124" s="166" t="str">
        <f>D124&amp;-6</f>
        <v>16-6</v>
      </c>
      <c r="L124" s="170">
        <f t="shared" si="80"/>
        <v>0.2</v>
      </c>
      <c r="M124" s="170">
        <f t="shared" si="81"/>
        <v>150</v>
      </c>
      <c r="N124" s="170">
        <f t="shared" si="82"/>
        <v>750</v>
      </c>
    </row>
    <row r="125" spans="1:14" s="163" customFormat="1" ht="15.75" thickBot="1" x14ac:dyDescent="0.3">
      <c r="A125" s="229">
        <f t="shared" si="71"/>
        <v>883</v>
      </c>
      <c r="B125" s="230">
        <f t="shared" si="72"/>
        <v>115</v>
      </c>
      <c r="C125" s="218" t="str">
        <f t="shared" si="70"/>
        <v>L13X16#000_000_01</v>
      </c>
      <c r="D125" s="169">
        <f t="shared" si="94"/>
        <v>16</v>
      </c>
      <c r="E125" s="173">
        <f t="shared" si="85"/>
        <v>3.3443200000000002</v>
      </c>
      <c r="F125" s="170">
        <f t="shared" si="95"/>
        <v>20.902000000000001</v>
      </c>
      <c r="G125" s="170">
        <f t="shared" si="86"/>
        <v>16.721600000000002</v>
      </c>
      <c r="H125" s="170">
        <f t="shared" si="87"/>
        <v>10.451000000000001</v>
      </c>
      <c r="I125" s="170">
        <f t="shared" si="79"/>
        <v>8</v>
      </c>
      <c r="J125" s="171">
        <f t="shared" ref="J125:J130" si="96">yaw_null</f>
        <v>0</v>
      </c>
      <c r="K125" s="166" t="str">
        <f>D125&amp;-1</f>
        <v>16-1</v>
      </c>
      <c r="L125" s="170">
        <f t="shared" si="80"/>
        <v>0.2</v>
      </c>
      <c r="M125" s="170">
        <f t="shared" si="81"/>
        <v>150</v>
      </c>
      <c r="N125" s="170">
        <f t="shared" si="82"/>
        <v>750</v>
      </c>
    </row>
    <row r="126" spans="1:14" s="163" customFormat="1" ht="15.75" thickBot="1" x14ac:dyDescent="0.3">
      <c r="A126" s="229">
        <f t="shared" si="71"/>
        <v>884</v>
      </c>
      <c r="B126" s="230">
        <f t="shared" si="72"/>
        <v>116</v>
      </c>
      <c r="C126" s="218" t="str">
        <f t="shared" si="70"/>
        <v>L13X16#000_000_02</v>
      </c>
      <c r="D126" s="169">
        <f t="shared" si="94"/>
        <v>16</v>
      </c>
      <c r="E126" s="173">
        <f t="shared" si="85"/>
        <v>3.3443200000000002</v>
      </c>
      <c r="F126" s="170">
        <f t="shared" si="95"/>
        <v>20.902000000000001</v>
      </c>
      <c r="G126" s="170">
        <f t="shared" si="86"/>
        <v>16.721600000000002</v>
      </c>
      <c r="H126" s="170">
        <f t="shared" si="87"/>
        <v>10.451000000000001</v>
      </c>
      <c r="I126" s="170">
        <f t="shared" si="79"/>
        <v>8</v>
      </c>
      <c r="J126" s="171">
        <f t="shared" si="96"/>
        <v>0</v>
      </c>
      <c r="K126" s="166" t="str">
        <f>D126&amp;-2</f>
        <v>16-2</v>
      </c>
      <c r="L126" s="170">
        <f t="shared" si="80"/>
        <v>0.2</v>
      </c>
      <c r="M126" s="170">
        <f t="shared" si="81"/>
        <v>150</v>
      </c>
      <c r="N126" s="170">
        <f t="shared" si="82"/>
        <v>750</v>
      </c>
    </row>
    <row r="127" spans="1:14" s="163" customFormat="1" ht="15.75" thickBot="1" x14ac:dyDescent="0.3">
      <c r="A127" s="229">
        <f t="shared" si="71"/>
        <v>885</v>
      </c>
      <c r="B127" s="230">
        <f t="shared" si="72"/>
        <v>117</v>
      </c>
      <c r="C127" s="218" t="str">
        <f t="shared" si="70"/>
        <v>L13X16#000_000_03</v>
      </c>
      <c r="D127" s="169">
        <f t="shared" si="94"/>
        <v>16</v>
      </c>
      <c r="E127" s="173">
        <f t="shared" si="85"/>
        <v>3.3443200000000002</v>
      </c>
      <c r="F127" s="170">
        <f t="shared" si="95"/>
        <v>20.902000000000001</v>
      </c>
      <c r="G127" s="170">
        <f t="shared" si="86"/>
        <v>16.721600000000002</v>
      </c>
      <c r="H127" s="170">
        <f t="shared" si="87"/>
        <v>10.451000000000001</v>
      </c>
      <c r="I127" s="170">
        <f t="shared" si="79"/>
        <v>8</v>
      </c>
      <c r="J127" s="171">
        <f t="shared" si="96"/>
        <v>0</v>
      </c>
      <c r="K127" s="166" t="str">
        <f>D127&amp;-3</f>
        <v>16-3</v>
      </c>
      <c r="L127" s="170">
        <f t="shared" si="80"/>
        <v>0.2</v>
      </c>
      <c r="M127" s="170">
        <f t="shared" si="81"/>
        <v>150</v>
      </c>
      <c r="N127" s="170">
        <f t="shared" si="82"/>
        <v>750</v>
      </c>
    </row>
    <row r="128" spans="1:14" s="163" customFormat="1" ht="15.75" thickBot="1" x14ac:dyDescent="0.3">
      <c r="A128" s="229">
        <f t="shared" si="71"/>
        <v>886</v>
      </c>
      <c r="B128" s="230">
        <f t="shared" si="72"/>
        <v>118</v>
      </c>
      <c r="C128" s="218" t="str">
        <f t="shared" si="70"/>
        <v>L13X16#000_000_04</v>
      </c>
      <c r="D128" s="169">
        <f t="shared" si="94"/>
        <v>16</v>
      </c>
      <c r="E128" s="173">
        <f t="shared" si="85"/>
        <v>3.3443200000000002</v>
      </c>
      <c r="F128" s="170">
        <f t="shared" si="95"/>
        <v>20.902000000000001</v>
      </c>
      <c r="G128" s="170">
        <f t="shared" si="86"/>
        <v>16.721600000000002</v>
      </c>
      <c r="H128" s="170">
        <f t="shared" si="87"/>
        <v>10.451000000000001</v>
      </c>
      <c r="I128" s="170">
        <f t="shared" si="79"/>
        <v>8</v>
      </c>
      <c r="J128" s="171">
        <f t="shared" si="96"/>
        <v>0</v>
      </c>
      <c r="K128" s="166" t="str">
        <f>D128&amp;-4</f>
        <v>16-4</v>
      </c>
      <c r="L128" s="170">
        <f t="shared" si="80"/>
        <v>0.2</v>
      </c>
      <c r="M128" s="170">
        <f t="shared" si="81"/>
        <v>150</v>
      </c>
      <c r="N128" s="170">
        <f t="shared" si="82"/>
        <v>750</v>
      </c>
    </row>
    <row r="129" spans="1:14" s="163" customFormat="1" ht="15.75" thickBot="1" x14ac:dyDescent="0.3">
      <c r="A129" s="229">
        <f t="shared" si="71"/>
        <v>887</v>
      </c>
      <c r="B129" s="230">
        <f t="shared" si="72"/>
        <v>119</v>
      </c>
      <c r="C129" s="218" t="str">
        <f t="shared" si="70"/>
        <v>L13X16#000_000_05</v>
      </c>
      <c r="D129" s="169">
        <f t="shared" si="94"/>
        <v>16</v>
      </c>
      <c r="E129" s="173">
        <f t="shared" si="85"/>
        <v>3.3443200000000002</v>
      </c>
      <c r="F129" s="170">
        <f t="shared" si="95"/>
        <v>20.902000000000001</v>
      </c>
      <c r="G129" s="170">
        <f t="shared" si="86"/>
        <v>16.721600000000002</v>
      </c>
      <c r="H129" s="170">
        <f t="shared" si="87"/>
        <v>10.451000000000001</v>
      </c>
      <c r="I129" s="170">
        <f t="shared" si="79"/>
        <v>8</v>
      </c>
      <c r="J129" s="171">
        <f t="shared" si="96"/>
        <v>0</v>
      </c>
      <c r="K129" s="166" t="str">
        <f>D129&amp;-5</f>
        <v>16-5</v>
      </c>
      <c r="L129" s="170">
        <f t="shared" si="80"/>
        <v>0.2</v>
      </c>
      <c r="M129" s="170">
        <f t="shared" si="81"/>
        <v>150</v>
      </c>
      <c r="N129" s="170">
        <f t="shared" si="82"/>
        <v>750</v>
      </c>
    </row>
    <row r="130" spans="1:14" s="163" customFormat="1" ht="15.75" thickBot="1" x14ac:dyDescent="0.3">
      <c r="A130" s="229">
        <f t="shared" si="71"/>
        <v>888</v>
      </c>
      <c r="B130" s="230">
        <f t="shared" si="72"/>
        <v>120</v>
      </c>
      <c r="C130" s="218" t="str">
        <f t="shared" si="70"/>
        <v>L13X16#000_000_06</v>
      </c>
      <c r="D130" s="169">
        <f t="shared" si="94"/>
        <v>16</v>
      </c>
      <c r="E130" s="173">
        <f t="shared" si="85"/>
        <v>3.3443200000000002</v>
      </c>
      <c r="F130" s="170">
        <f t="shared" si="95"/>
        <v>20.902000000000001</v>
      </c>
      <c r="G130" s="170">
        <f t="shared" si="86"/>
        <v>16.721600000000002</v>
      </c>
      <c r="H130" s="170">
        <f t="shared" si="87"/>
        <v>10.451000000000001</v>
      </c>
      <c r="I130" s="170">
        <f t="shared" si="79"/>
        <v>8</v>
      </c>
      <c r="J130" s="171">
        <f t="shared" si="96"/>
        <v>0</v>
      </c>
      <c r="K130" s="166" t="str">
        <f>D130&amp;-6</f>
        <v>16-6</v>
      </c>
      <c r="L130" s="170">
        <f t="shared" si="80"/>
        <v>0.2</v>
      </c>
      <c r="M130" s="170">
        <f t="shared" si="81"/>
        <v>150</v>
      </c>
      <c r="N130" s="170">
        <f t="shared" si="82"/>
        <v>750</v>
      </c>
    </row>
    <row r="131" spans="1:14" s="163" customFormat="1" ht="15.75" thickBot="1" x14ac:dyDescent="0.3">
      <c r="A131" s="229">
        <f t="shared" si="71"/>
        <v>889</v>
      </c>
      <c r="B131" s="230">
        <f t="shared" si="72"/>
        <v>121</v>
      </c>
      <c r="C131" s="218" t="str">
        <f t="shared" si="70"/>
        <v>L13X16#008_000_01</v>
      </c>
      <c r="D131" s="169">
        <f t="shared" si="94"/>
        <v>16</v>
      </c>
      <c r="E131" s="173">
        <f t="shared" si="85"/>
        <v>3.3443200000000002</v>
      </c>
      <c r="F131" s="170">
        <f t="shared" si="95"/>
        <v>20.902000000000001</v>
      </c>
      <c r="G131" s="170">
        <f t="shared" si="86"/>
        <v>16.721600000000002</v>
      </c>
      <c r="H131" s="170">
        <f t="shared" si="87"/>
        <v>10.451000000000001</v>
      </c>
      <c r="I131" s="170">
        <f t="shared" si="79"/>
        <v>8</v>
      </c>
      <c r="J131" s="171">
        <f t="shared" ref="J131:J136" si="97">yaw_max</f>
        <v>8</v>
      </c>
      <c r="K131" s="166" t="str">
        <f>D131&amp;-1</f>
        <v>16-1</v>
      </c>
      <c r="L131" s="170">
        <f t="shared" si="80"/>
        <v>0.2</v>
      </c>
      <c r="M131" s="170">
        <f t="shared" si="81"/>
        <v>150</v>
      </c>
      <c r="N131" s="170">
        <f t="shared" si="82"/>
        <v>750</v>
      </c>
    </row>
    <row r="132" spans="1:14" s="163" customFormat="1" ht="15.75" thickBot="1" x14ac:dyDescent="0.3">
      <c r="A132" s="229">
        <f t="shared" si="71"/>
        <v>890</v>
      </c>
      <c r="B132" s="230">
        <f t="shared" si="72"/>
        <v>122</v>
      </c>
      <c r="C132" s="218" t="str">
        <f t="shared" si="70"/>
        <v>L13X16#008_000_02</v>
      </c>
      <c r="D132" s="169">
        <f t="shared" si="94"/>
        <v>16</v>
      </c>
      <c r="E132" s="173">
        <f t="shared" si="85"/>
        <v>3.3443200000000002</v>
      </c>
      <c r="F132" s="170">
        <f t="shared" si="95"/>
        <v>20.902000000000001</v>
      </c>
      <c r="G132" s="170">
        <f t="shared" si="86"/>
        <v>16.721600000000002</v>
      </c>
      <c r="H132" s="170">
        <f t="shared" si="87"/>
        <v>10.451000000000001</v>
      </c>
      <c r="I132" s="170">
        <f t="shared" si="79"/>
        <v>8</v>
      </c>
      <c r="J132" s="171">
        <f t="shared" si="97"/>
        <v>8</v>
      </c>
      <c r="K132" s="166" t="str">
        <f>D132&amp;-2</f>
        <v>16-2</v>
      </c>
      <c r="L132" s="170">
        <f t="shared" si="80"/>
        <v>0.2</v>
      </c>
      <c r="M132" s="170">
        <f t="shared" si="81"/>
        <v>150</v>
      </c>
      <c r="N132" s="170">
        <f t="shared" si="82"/>
        <v>750</v>
      </c>
    </row>
    <row r="133" spans="1:14" s="163" customFormat="1" ht="15.75" thickBot="1" x14ac:dyDescent="0.3">
      <c r="A133" s="229">
        <f t="shared" si="71"/>
        <v>891</v>
      </c>
      <c r="B133" s="230">
        <f t="shared" si="72"/>
        <v>123</v>
      </c>
      <c r="C133" s="218" t="str">
        <f t="shared" si="70"/>
        <v>L13X16#008_000_03</v>
      </c>
      <c r="D133" s="169">
        <f t="shared" si="94"/>
        <v>16</v>
      </c>
      <c r="E133" s="173">
        <f t="shared" si="85"/>
        <v>3.3443200000000002</v>
      </c>
      <c r="F133" s="170">
        <f t="shared" si="95"/>
        <v>20.902000000000001</v>
      </c>
      <c r="G133" s="170">
        <f t="shared" si="86"/>
        <v>16.721600000000002</v>
      </c>
      <c r="H133" s="170">
        <f t="shared" si="87"/>
        <v>10.451000000000001</v>
      </c>
      <c r="I133" s="170">
        <f t="shared" si="79"/>
        <v>8</v>
      </c>
      <c r="J133" s="171">
        <f t="shared" si="97"/>
        <v>8</v>
      </c>
      <c r="K133" s="166" t="str">
        <f>D133&amp;-3</f>
        <v>16-3</v>
      </c>
      <c r="L133" s="170">
        <f t="shared" si="80"/>
        <v>0.2</v>
      </c>
      <c r="M133" s="170">
        <f t="shared" si="81"/>
        <v>150</v>
      </c>
      <c r="N133" s="170">
        <f t="shared" si="82"/>
        <v>750</v>
      </c>
    </row>
    <row r="134" spans="1:14" s="163" customFormat="1" ht="15.75" thickBot="1" x14ac:dyDescent="0.3">
      <c r="A134" s="229">
        <f t="shared" si="71"/>
        <v>892</v>
      </c>
      <c r="B134" s="230">
        <f t="shared" si="72"/>
        <v>124</v>
      </c>
      <c r="C134" s="218" t="str">
        <f t="shared" si="70"/>
        <v>L13X16#008_000_04</v>
      </c>
      <c r="D134" s="169">
        <f t="shared" si="94"/>
        <v>16</v>
      </c>
      <c r="E134" s="173">
        <f t="shared" si="85"/>
        <v>3.3443200000000002</v>
      </c>
      <c r="F134" s="170">
        <f t="shared" si="95"/>
        <v>20.902000000000001</v>
      </c>
      <c r="G134" s="170">
        <f t="shared" si="86"/>
        <v>16.721600000000002</v>
      </c>
      <c r="H134" s="170">
        <f t="shared" si="87"/>
        <v>10.451000000000001</v>
      </c>
      <c r="I134" s="170">
        <f t="shared" si="79"/>
        <v>8</v>
      </c>
      <c r="J134" s="171">
        <f t="shared" si="97"/>
        <v>8</v>
      </c>
      <c r="K134" s="166" t="str">
        <f>D134&amp;-4</f>
        <v>16-4</v>
      </c>
      <c r="L134" s="170">
        <f t="shared" si="80"/>
        <v>0.2</v>
      </c>
      <c r="M134" s="170">
        <f t="shared" si="81"/>
        <v>150</v>
      </c>
      <c r="N134" s="170">
        <f t="shared" si="82"/>
        <v>750</v>
      </c>
    </row>
    <row r="135" spans="1:14" s="163" customFormat="1" ht="15.75" thickBot="1" x14ac:dyDescent="0.3">
      <c r="A135" s="229">
        <f t="shared" si="71"/>
        <v>893</v>
      </c>
      <c r="B135" s="230">
        <f t="shared" si="72"/>
        <v>125</v>
      </c>
      <c r="C135" s="218" t="str">
        <f t="shared" si="70"/>
        <v>L13X16#008_000_05</v>
      </c>
      <c r="D135" s="169">
        <f t="shared" si="94"/>
        <v>16</v>
      </c>
      <c r="E135" s="173">
        <f t="shared" si="85"/>
        <v>3.3443200000000002</v>
      </c>
      <c r="F135" s="170">
        <f t="shared" si="95"/>
        <v>20.902000000000001</v>
      </c>
      <c r="G135" s="170">
        <f t="shared" si="86"/>
        <v>16.721600000000002</v>
      </c>
      <c r="H135" s="170">
        <f t="shared" si="87"/>
        <v>10.451000000000001</v>
      </c>
      <c r="I135" s="170">
        <f t="shared" si="79"/>
        <v>8</v>
      </c>
      <c r="J135" s="171">
        <f t="shared" si="97"/>
        <v>8</v>
      </c>
      <c r="K135" s="166" t="str">
        <f>D135&amp;-5</f>
        <v>16-5</v>
      </c>
      <c r="L135" s="170">
        <f t="shared" si="80"/>
        <v>0.2</v>
      </c>
      <c r="M135" s="170">
        <f t="shared" si="81"/>
        <v>150</v>
      </c>
      <c r="N135" s="170">
        <f t="shared" si="82"/>
        <v>750</v>
      </c>
    </row>
    <row r="136" spans="1:14" s="163" customFormat="1" ht="15.75" thickBot="1" x14ac:dyDescent="0.3">
      <c r="A136" s="229">
        <f t="shared" si="71"/>
        <v>894</v>
      </c>
      <c r="B136" s="230">
        <f t="shared" si="72"/>
        <v>126</v>
      </c>
      <c r="C136" s="218" t="str">
        <f t="shared" si="70"/>
        <v>L13X16#008_000_06</v>
      </c>
      <c r="D136" s="169">
        <f t="shared" si="94"/>
        <v>16</v>
      </c>
      <c r="E136" s="173">
        <f t="shared" si="85"/>
        <v>3.3443200000000002</v>
      </c>
      <c r="F136" s="170">
        <f t="shared" si="95"/>
        <v>20.902000000000001</v>
      </c>
      <c r="G136" s="170">
        <f t="shared" si="86"/>
        <v>16.721600000000002</v>
      </c>
      <c r="H136" s="170">
        <f t="shared" si="87"/>
        <v>10.451000000000001</v>
      </c>
      <c r="I136" s="170">
        <f t="shared" si="79"/>
        <v>8</v>
      </c>
      <c r="J136" s="171">
        <f t="shared" si="97"/>
        <v>8</v>
      </c>
      <c r="K136" s="166" t="str">
        <f>D136&amp;-6</f>
        <v>16-6</v>
      </c>
      <c r="L136" s="170">
        <f t="shared" si="80"/>
        <v>0.2</v>
      </c>
      <c r="M136" s="170">
        <f t="shared" si="81"/>
        <v>150</v>
      </c>
      <c r="N136" s="170">
        <f t="shared" si="82"/>
        <v>750</v>
      </c>
    </row>
    <row r="137" spans="1:14" s="163" customFormat="1" ht="15.75" thickBot="1" x14ac:dyDescent="0.3">
      <c r="A137" s="229">
        <f t="shared" si="71"/>
        <v>895</v>
      </c>
      <c r="B137" s="230">
        <f t="shared" si="72"/>
        <v>127</v>
      </c>
      <c r="C137" s="218" t="str">
        <f t="shared" si="70"/>
        <v>L13X18#352_000_01</v>
      </c>
      <c r="D137" s="169">
        <f>D136+v_step</f>
        <v>18</v>
      </c>
      <c r="E137" s="173">
        <f t="shared" si="85"/>
        <v>3.4804000000000004</v>
      </c>
      <c r="F137" s="170">
        <f t="shared" si="95"/>
        <v>19.335555555555558</v>
      </c>
      <c r="G137" s="170">
        <f t="shared" si="86"/>
        <v>15.468444444444447</v>
      </c>
      <c r="H137" s="170">
        <f t="shared" si="87"/>
        <v>9.6677777777777791</v>
      </c>
      <c r="I137" s="170">
        <f t="shared" si="79"/>
        <v>8</v>
      </c>
      <c r="J137" s="171">
        <f t="shared" ref="J137:J142" si="98">yaw_min</f>
        <v>-8</v>
      </c>
      <c r="K137" s="166" t="str">
        <f>D137&amp;-1</f>
        <v>18-1</v>
      </c>
      <c r="L137" s="170">
        <f t="shared" si="80"/>
        <v>0.2</v>
      </c>
      <c r="M137" s="170">
        <f t="shared" si="81"/>
        <v>150</v>
      </c>
      <c r="N137" s="170">
        <f t="shared" si="82"/>
        <v>750</v>
      </c>
    </row>
    <row r="138" spans="1:14" s="163" customFormat="1" ht="15.75" thickBot="1" x14ac:dyDescent="0.3">
      <c r="A138" s="229">
        <f t="shared" si="71"/>
        <v>896</v>
      </c>
      <c r="B138" s="230">
        <f t="shared" si="72"/>
        <v>128</v>
      </c>
      <c r="C138" s="218" t="str">
        <f t="shared" si="70"/>
        <v>L13X18#352_000_02</v>
      </c>
      <c r="D138" s="169">
        <f>D137</f>
        <v>18</v>
      </c>
      <c r="E138" s="173">
        <f t="shared" si="85"/>
        <v>3.4804000000000004</v>
      </c>
      <c r="F138" s="170">
        <f>E138/D138*100</f>
        <v>19.335555555555558</v>
      </c>
      <c r="G138" s="170">
        <f t="shared" si="86"/>
        <v>15.468444444444447</v>
      </c>
      <c r="H138" s="170">
        <f t="shared" si="87"/>
        <v>9.6677777777777791</v>
      </c>
      <c r="I138" s="170">
        <f>I137</f>
        <v>8</v>
      </c>
      <c r="J138" s="171">
        <f t="shared" si="98"/>
        <v>-8</v>
      </c>
      <c r="K138" s="166" t="str">
        <f>D138&amp;-2</f>
        <v>18-2</v>
      </c>
      <c r="L138" s="170">
        <f>L137</f>
        <v>0.2</v>
      </c>
      <c r="M138" s="170">
        <f>M137</f>
        <v>150</v>
      </c>
      <c r="N138" s="170">
        <f>N137</f>
        <v>750</v>
      </c>
    </row>
    <row r="139" spans="1:14" s="163" customFormat="1" ht="15.75" thickBot="1" x14ac:dyDescent="0.3">
      <c r="A139" s="229">
        <f t="shared" si="71"/>
        <v>897</v>
      </c>
      <c r="B139" s="230">
        <f t="shared" si="72"/>
        <v>129</v>
      </c>
      <c r="C139" s="218" t="str">
        <f t="shared" si="70"/>
        <v>L13X18#352_000_03</v>
      </c>
      <c r="D139" s="169">
        <f t="shared" ref="D139:D154" si="99">D138</f>
        <v>18</v>
      </c>
      <c r="E139" s="173">
        <f t="shared" si="85"/>
        <v>3.4804000000000004</v>
      </c>
      <c r="F139" s="170">
        <f t="shared" ref="F139:F155" si="100">E139/D139*100</f>
        <v>19.335555555555558</v>
      </c>
      <c r="G139" s="170">
        <f t="shared" si="86"/>
        <v>15.468444444444447</v>
      </c>
      <c r="H139" s="170">
        <f t="shared" si="87"/>
        <v>9.6677777777777791</v>
      </c>
      <c r="I139" s="170">
        <f t="shared" si="79"/>
        <v>8</v>
      </c>
      <c r="J139" s="171">
        <f t="shared" si="98"/>
        <v>-8</v>
      </c>
      <c r="K139" s="166" t="str">
        <f>D139&amp;-3</f>
        <v>18-3</v>
      </c>
      <c r="L139" s="170">
        <f t="shared" si="80"/>
        <v>0.2</v>
      </c>
      <c r="M139" s="170">
        <f t="shared" si="81"/>
        <v>150</v>
      </c>
      <c r="N139" s="170">
        <f t="shared" si="82"/>
        <v>750</v>
      </c>
    </row>
    <row r="140" spans="1:14" s="163" customFormat="1" ht="15.75" thickBot="1" x14ac:dyDescent="0.3">
      <c r="A140" s="229">
        <f t="shared" si="71"/>
        <v>898</v>
      </c>
      <c r="B140" s="230">
        <f t="shared" si="72"/>
        <v>130</v>
      </c>
      <c r="C140" s="218" t="str">
        <f t="shared" ref="C140:C203" si="101">TEXT(RIGHT($B$2,LEN($B$2)-3),"L00")&amp;"X"&amp;TEXT(D140,"00")&amp;"#"&amp;IF(J140&lt;0,TEXT(360+J140,"000"),TEXT(J140,"000"))&amp;"_"&amp;"000"&amp;"_"&amp;TEXT(RIGHT(K140,LEN(K140)-FIND("-",K140)),"00")</f>
        <v>L13X18#352_000_04</v>
      </c>
      <c r="D140" s="169">
        <f t="shared" si="99"/>
        <v>18</v>
      </c>
      <c r="E140" s="173">
        <f t="shared" si="85"/>
        <v>3.4804000000000004</v>
      </c>
      <c r="F140" s="170">
        <f t="shared" si="100"/>
        <v>19.335555555555558</v>
      </c>
      <c r="G140" s="170">
        <f t="shared" si="86"/>
        <v>15.468444444444447</v>
      </c>
      <c r="H140" s="170">
        <f t="shared" si="87"/>
        <v>9.6677777777777791</v>
      </c>
      <c r="I140" s="170">
        <f t="shared" si="79"/>
        <v>8</v>
      </c>
      <c r="J140" s="171">
        <f t="shared" si="98"/>
        <v>-8</v>
      </c>
      <c r="K140" s="166" t="str">
        <f>D140&amp;-4</f>
        <v>18-4</v>
      </c>
      <c r="L140" s="170">
        <f t="shared" si="80"/>
        <v>0.2</v>
      </c>
      <c r="M140" s="170">
        <f t="shared" si="81"/>
        <v>150</v>
      </c>
      <c r="N140" s="170">
        <f t="shared" si="82"/>
        <v>750</v>
      </c>
    </row>
    <row r="141" spans="1:14" s="163" customFormat="1" ht="15.75" thickBot="1" x14ac:dyDescent="0.3">
      <c r="A141" s="229">
        <f t="shared" ref="A141:A204" si="102">A140+1</f>
        <v>899</v>
      </c>
      <c r="B141" s="230">
        <f t="shared" ref="B141:B204" si="103">B140+1</f>
        <v>131</v>
      </c>
      <c r="C141" s="218" t="str">
        <f t="shared" si="101"/>
        <v>L13X18#352_000_05</v>
      </c>
      <c r="D141" s="169">
        <f t="shared" si="99"/>
        <v>18</v>
      </c>
      <c r="E141" s="173">
        <f t="shared" si="85"/>
        <v>3.4804000000000004</v>
      </c>
      <c r="F141" s="170">
        <f t="shared" si="100"/>
        <v>19.335555555555558</v>
      </c>
      <c r="G141" s="170">
        <f t="shared" si="86"/>
        <v>15.468444444444447</v>
      </c>
      <c r="H141" s="170">
        <f t="shared" si="87"/>
        <v>9.6677777777777791</v>
      </c>
      <c r="I141" s="170">
        <f t="shared" si="79"/>
        <v>8</v>
      </c>
      <c r="J141" s="171">
        <f t="shared" si="98"/>
        <v>-8</v>
      </c>
      <c r="K141" s="166" t="str">
        <f>D141&amp;-5</f>
        <v>18-5</v>
      </c>
      <c r="L141" s="170">
        <f t="shared" si="80"/>
        <v>0.2</v>
      </c>
      <c r="M141" s="170">
        <f t="shared" si="81"/>
        <v>150</v>
      </c>
      <c r="N141" s="170">
        <f t="shared" si="82"/>
        <v>750</v>
      </c>
    </row>
    <row r="142" spans="1:14" s="163" customFormat="1" ht="15.75" thickBot="1" x14ac:dyDescent="0.3">
      <c r="A142" s="229">
        <f t="shared" si="102"/>
        <v>900</v>
      </c>
      <c r="B142" s="230">
        <f t="shared" si="103"/>
        <v>132</v>
      </c>
      <c r="C142" s="218" t="str">
        <f t="shared" si="101"/>
        <v>L13X18#352_000_06</v>
      </c>
      <c r="D142" s="169">
        <f t="shared" si="99"/>
        <v>18</v>
      </c>
      <c r="E142" s="173">
        <f t="shared" si="85"/>
        <v>3.4804000000000004</v>
      </c>
      <c r="F142" s="170">
        <f t="shared" si="100"/>
        <v>19.335555555555558</v>
      </c>
      <c r="G142" s="170">
        <f t="shared" si="86"/>
        <v>15.468444444444447</v>
      </c>
      <c r="H142" s="170">
        <f t="shared" si="87"/>
        <v>9.6677777777777791</v>
      </c>
      <c r="I142" s="170">
        <f t="shared" si="79"/>
        <v>8</v>
      </c>
      <c r="J142" s="171">
        <f t="shared" si="98"/>
        <v>-8</v>
      </c>
      <c r="K142" s="166" t="str">
        <f>D142&amp;-6</f>
        <v>18-6</v>
      </c>
      <c r="L142" s="170">
        <f t="shared" si="80"/>
        <v>0.2</v>
      </c>
      <c r="M142" s="170">
        <f t="shared" si="81"/>
        <v>150</v>
      </c>
      <c r="N142" s="170">
        <f t="shared" si="82"/>
        <v>750</v>
      </c>
    </row>
    <row r="143" spans="1:14" s="163" customFormat="1" ht="15.75" thickBot="1" x14ac:dyDescent="0.3">
      <c r="A143" s="229">
        <f t="shared" si="102"/>
        <v>901</v>
      </c>
      <c r="B143" s="230">
        <f t="shared" si="103"/>
        <v>133</v>
      </c>
      <c r="C143" s="218" t="str">
        <f t="shared" si="101"/>
        <v>L13X18#000_000_01</v>
      </c>
      <c r="D143" s="169">
        <f t="shared" si="99"/>
        <v>18</v>
      </c>
      <c r="E143" s="173">
        <f t="shared" si="85"/>
        <v>3.4804000000000004</v>
      </c>
      <c r="F143" s="170">
        <f t="shared" si="100"/>
        <v>19.335555555555558</v>
      </c>
      <c r="G143" s="170">
        <f t="shared" si="86"/>
        <v>15.468444444444447</v>
      </c>
      <c r="H143" s="170">
        <f t="shared" si="87"/>
        <v>9.6677777777777791</v>
      </c>
      <c r="I143" s="170">
        <f t="shared" si="79"/>
        <v>8</v>
      </c>
      <c r="J143" s="171">
        <f t="shared" ref="J143:J148" si="104">yaw_null</f>
        <v>0</v>
      </c>
      <c r="K143" s="166" t="str">
        <f>D143&amp;-1</f>
        <v>18-1</v>
      </c>
      <c r="L143" s="170">
        <f t="shared" si="80"/>
        <v>0.2</v>
      </c>
      <c r="M143" s="170">
        <f t="shared" si="81"/>
        <v>150</v>
      </c>
      <c r="N143" s="170">
        <f t="shared" si="82"/>
        <v>750</v>
      </c>
    </row>
    <row r="144" spans="1:14" s="163" customFormat="1" ht="15.75" thickBot="1" x14ac:dyDescent="0.3">
      <c r="A144" s="229">
        <f t="shared" si="102"/>
        <v>902</v>
      </c>
      <c r="B144" s="230">
        <f t="shared" si="103"/>
        <v>134</v>
      </c>
      <c r="C144" s="218" t="str">
        <f t="shared" si="101"/>
        <v>L13X18#000_000_02</v>
      </c>
      <c r="D144" s="169">
        <f t="shared" si="99"/>
        <v>18</v>
      </c>
      <c r="E144" s="173">
        <f t="shared" si="85"/>
        <v>3.4804000000000004</v>
      </c>
      <c r="F144" s="170">
        <f t="shared" si="100"/>
        <v>19.335555555555558</v>
      </c>
      <c r="G144" s="170">
        <f t="shared" si="86"/>
        <v>15.468444444444447</v>
      </c>
      <c r="H144" s="170">
        <f t="shared" si="87"/>
        <v>9.6677777777777791</v>
      </c>
      <c r="I144" s="170">
        <f t="shared" si="79"/>
        <v>8</v>
      </c>
      <c r="J144" s="171">
        <f t="shared" si="104"/>
        <v>0</v>
      </c>
      <c r="K144" s="166" t="str">
        <f>D144&amp;-2</f>
        <v>18-2</v>
      </c>
      <c r="L144" s="170">
        <f t="shared" si="80"/>
        <v>0.2</v>
      </c>
      <c r="M144" s="170">
        <f t="shared" si="81"/>
        <v>150</v>
      </c>
      <c r="N144" s="170">
        <f t="shared" si="82"/>
        <v>750</v>
      </c>
    </row>
    <row r="145" spans="1:14" s="163" customFormat="1" ht="15.75" thickBot="1" x14ac:dyDescent="0.3">
      <c r="A145" s="229">
        <f t="shared" si="102"/>
        <v>903</v>
      </c>
      <c r="B145" s="230">
        <f t="shared" si="103"/>
        <v>135</v>
      </c>
      <c r="C145" s="218" t="str">
        <f t="shared" si="101"/>
        <v>L13X18#000_000_03</v>
      </c>
      <c r="D145" s="169">
        <f t="shared" si="99"/>
        <v>18</v>
      </c>
      <c r="E145" s="173">
        <f t="shared" si="85"/>
        <v>3.4804000000000004</v>
      </c>
      <c r="F145" s="170">
        <f t="shared" si="100"/>
        <v>19.335555555555558</v>
      </c>
      <c r="G145" s="170">
        <f t="shared" si="86"/>
        <v>15.468444444444447</v>
      </c>
      <c r="H145" s="170">
        <f t="shared" si="87"/>
        <v>9.6677777777777791</v>
      </c>
      <c r="I145" s="170">
        <f t="shared" si="79"/>
        <v>8</v>
      </c>
      <c r="J145" s="171">
        <f t="shared" si="104"/>
        <v>0</v>
      </c>
      <c r="K145" s="166" t="str">
        <f>D145&amp;-3</f>
        <v>18-3</v>
      </c>
      <c r="L145" s="170">
        <f t="shared" si="80"/>
        <v>0.2</v>
      </c>
      <c r="M145" s="170">
        <f t="shared" si="81"/>
        <v>150</v>
      </c>
      <c r="N145" s="170">
        <f t="shared" si="82"/>
        <v>750</v>
      </c>
    </row>
    <row r="146" spans="1:14" s="163" customFormat="1" ht="15.75" thickBot="1" x14ac:dyDescent="0.3">
      <c r="A146" s="229">
        <f t="shared" si="102"/>
        <v>904</v>
      </c>
      <c r="B146" s="230">
        <f t="shared" si="103"/>
        <v>136</v>
      </c>
      <c r="C146" s="218" t="str">
        <f t="shared" si="101"/>
        <v>L13X18#000_000_04</v>
      </c>
      <c r="D146" s="169">
        <f t="shared" si="99"/>
        <v>18</v>
      </c>
      <c r="E146" s="173">
        <f t="shared" si="85"/>
        <v>3.4804000000000004</v>
      </c>
      <c r="F146" s="170">
        <f t="shared" si="100"/>
        <v>19.335555555555558</v>
      </c>
      <c r="G146" s="170">
        <f t="shared" si="86"/>
        <v>15.468444444444447</v>
      </c>
      <c r="H146" s="170">
        <f t="shared" si="87"/>
        <v>9.6677777777777791</v>
      </c>
      <c r="I146" s="170">
        <f t="shared" si="79"/>
        <v>8</v>
      </c>
      <c r="J146" s="171">
        <f t="shared" si="104"/>
        <v>0</v>
      </c>
      <c r="K146" s="166" t="str">
        <f>D146&amp;-4</f>
        <v>18-4</v>
      </c>
      <c r="L146" s="170">
        <f t="shared" si="80"/>
        <v>0.2</v>
      </c>
      <c r="M146" s="170">
        <f t="shared" si="81"/>
        <v>150</v>
      </c>
      <c r="N146" s="170">
        <f t="shared" si="82"/>
        <v>750</v>
      </c>
    </row>
    <row r="147" spans="1:14" s="163" customFormat="1" ht="15.75" thickBot="1" x14ac:dyDescent="0.3">
      <c r="A147" s="229">
        <f t="shared" si="102"/>
        <v>905</v>
      </c>
      <c r="B147" s="230">
        <f t="shared" si="103"/>
        <v>137</v>
      </c>
      <c r="C147" s="218" t="str">
        <f t="shared" si="101"/>
        <v>L13X18#000_000_05</v>
      </c>
      <c r="D147" s="169">
        <f t="shared" si="99"/>
        <v>18</v>
      </c>
      <c r="E147" s="173">
        <f t="shared" si="85"/>
        <v>3.4804000000000004</v>
      </c>
      <c r="F147" s="170">
        <f t="shared" si="100"/>
        <v>19.335555555555558</v>
      </c>
      <c r="G147" s="170">
        <f t="shared" si="86"/>
        <v>15.468444444444447</v>
      </c>
      <c r="H147" s="170">
        <f t="shared" si="87"/>
        <v>9.6677777777777791</v>
      </c>
      <c r="I147" s="170">
        <f t="shared" si="79"/>
        <v>8</v>
      </c>
      <c r="J147" s="171">
        <f t="shared" si="104"/>
        <v>0</v>
      </c>
      <c r="K147" s="166" t="str">
        <f>D147&amp;-5</f>
        <v>18-5</v>
      </c>
      <c r="L147" s="170">
        <f t="shared" si="80"/>
        <v>0.2</v>
      </c>
      <c r="M147" s="170">
        <f t="shared" si="81"/>
        <v>150</v>
      </c>
      <c r="N147" s="170">
        <f t="shared" si="82"/>
        <v>750</v>
      </c>
    </row>
    <row r="148" spans="1:14" s="163" customFormat="1" ht="15.75" thickBot="1" x14ac:dyDescent="0.3">
      <c r="A148" s="229">
        <f t="shared" si="102"/>
        <v>906</v>
      </c>
      <c r="B148" s="230">
        <f t="shared" si="103"/>
        <v>138</v>
      </c>
      <c r="C148" s="218" t="str">
        <f t="shared" si="101"/>
        <v>L13X18#000_000_06</v>
      </c>
      <c r="D148" s="169">
        <f t="shared" si="99"/>
        <v>18</v>
      </c>
      <c r="E148" s="173">
        <f t="shared" si="85"/>
        <v>3.4804000000000004</v>
      </c>
      <c r="F148" s="170">
        <f t="shared" si="100"/>
        <v>19.335555555555558</v>
      </c>
      <c r="G148" s="170">
        <f t="shared" si="86"/>
        <v>15.468444444444447</v>
      </c>
      <c r="H148" s="170">
        <f t="shared" si="87"/>
        <v>9.6677777777777791</v>
      </c>
      <c r="I148" s="170">
        <f t="shared" si="79"/>
        <v>8</v>
      </c>
      <c r="J148" s="171">
        <f t="shared" si="104"/>
        <v>0</v>
      </c>
      <c r="K148" s="166" t="str">
        <f>D148&amp;-6</f>
        <v>18-6</v>
      </c>
      <c r="L148" s="170">
        <f t="shared" si="80"/>
        <v>0.2</v>
      </c>
      <c r="M148" s="170">
        <f t="shared" si="81"/>
        <v>150</v>
      </c>
      <c r="N148" s="170">
        <f t="shared" si="82"/>
        <v>750</v>
      </c>
    </row>
    <row r="149" spans="1:14" s="163" customFormat="1" ht="15.75" thickBot="1" x14ac:dyDescent="0.3">
      <c r="A149" s="229">
        <f t="shared" si="102"/>
        <v>907</v>
      </c>
      <c r="B149" s="230">
        <f t="shared" si="103"/>
        <v>139</v>
      </c>
      <c r="C149" s="218" t="str">
        <f t="shared" si="101"/>
        <v>L13X18#008_000_01</v>
      </c>
      <c r="D149" s="169">
        <f t="shared" si="99"/>
        <v>18</v>
      </c>
      <c r="E149" s="173">
        <f t="shared" si="85"/>
        <v>3.4804000000000004</v>
      </c>
      <c r="F149" s="170">
        <f t="shared" si="100"/>
        <v>19.335555555555558</v>
      </c>
      <c r="G149" s="170">
        <f t="shared" si="86"/>
        <v>15.468444444444447</v>
      </c>
      <c r="H149" s="170">
        <f t="shared" si="87"/>
        <v>9.6677777777777791</v>
      </c>
      <c r="I149" s="170">
        <f t="shared" ref="I149:I155" si="105">I148</f>
        <v>8</v>
      </c>
      <c r="J149" s="171">
        <f t="shared" ref="J149:J154" si="106">yaw_max</f>
        <v>8</v>
      </c>
      <c r="K149" s="166" t="str">
        <f>D149&amp;-1</f>
        <v>18-1</v>
      </c>
      <c r="L149" s="170">
        <f t="shared" ref="L149:N155" si="107">L148</f>
        <v>0.2</v>
      </c>
      <c r="M149" s="170">
        <f t="shared" si="107"/>
        <v>150</v>
      </c>
      <c r="N149" s="170">
        <f t="shared" si="107"/>
        <v>750</v>
      </c>
    </row>
    <row r="150" spans="1:14" s="163" customFormat="1" ht="15.75" thickBot="1" x14ac:dyDescent="0.3">
      <c r="A150" s="229">
        <f t="shared" si="102"/>
        <v>908</v>
      </c>
      <c r="B150" s="230">
        <f t="shared" si="103"/>
        <v>140</v>
      </c>
      <c r="C150" s="218" t="str">
        <f t="shared" si="101"/>
        <v>L13X18#008_000_02</v>
      </c>
      <c r="D150" s="169">
        <f t="shared" si="99"/>
        <v>18</v>
      </c>
      <c r="E150" s="173">
        <f t="shared" si="85"/>
        <v>3.4804000000000004</v>
      </c>
      <c r="F150" s="170">
        <f t="shared" si="100"/>
        <v>19.335555555555558</v>
      </c>
      <c r="G150" s="170">
        <f t="shared" si="86"/>
        <v>15.468444444444447</v>
      </c>
      <c r="H150" s="170">
        <f t="shared" si="87"/>
        <v>9.6677777777777791</v>
      </c>
      <c r="I150" s="170">
        <f t="shared" si="105"/>
        <v>8</v>
      </c>
      <c r="J150" s="171">
        <f t="shared" si="106"/>
        <v>8</v>
      </c>
      <c r="K150" s="166" t="str">
        <f>D150&amp;-2</f>
        <v>18-2</v>
      </c>
      <c r="L150" s="170">
        <f t="shared" si="107"/>
        <v>0.2</v>
      </c>
      <c r="M150" s="170">
        <f t="shared" si="107"/>
        <v>150</v>
      </c>
      <c r="N150" s="170">
        <f t="shared" si="107"/>
        <v>750</v>
      </c>
    </row>
    <row r="151" spans="1:14" s="163" customFormat="1" ht="15.75" thickBot="1" x14ac:dyDescent="0.3">
      <c r="A151" s="229">
        <f t="shared" si="102"/>
        <v>909</v>
      </c>
      <c r="B151" s="230">
        <f t="shared" si="103"/>
        <v>141</v>
      </c>
      <c r="C151" s="218" t="str">
        <f t="shared" si="101"/>
        <v>L13X18#008_000_03</v>
      </c>
      <c r="D151" s="169">
        <f t="shared" si="99"/>
        <v>18</v>
      </c>
      <c r="E151" s="173">
        <f t="shared" si="85"/>
        <v>3.4804000000000004</v>
      </c>
      <c r="F151" s="170">
        <f t="shared" si="100"/>
        <v>19.335555555555558</v>
      </c>
      <c r="G151" s="170">
        <f t="shared" si="86"/>
        <v>15.468444444444447</v>
      </c>
      <c r="H151" s="170">
        <f t="shared" si="87"/>
        <v>9.6677777777777791</v>
      </c>
      <c r="I151" s="170">
        <f t="shared" si="105"/>
        <v>8</v>
      </c>
      <c r="J151" s="171">
        <f t="shared" si="106"/>
        <v>8</v>
      </c>
      <c r="K151" s="166" t="str">
        <f>D151&amp;-3</f>
        <v>18-3</v>
      </c>
      <c r="L151" s="170">
        <f t="shared" si="107"/>
        <v>0.2</v>
      </c>
      <c r="M151" s="170">
        <f t="shared" si="107"/>
        <v>150</v>
      </c>
      <c r="N151" s="170">
        <f t="shared" si="107"/>
        <v>750</v>
      </c>
    </row>
    <row r="152" spans="1:14" s="163" customFormat="1" ht="15.75" thickBot="1" x14ac:dyDescent="0.3">
      <c r="A152" s="229">
        <f t="shared" si="102"/>
        <v>910</v>
      </c>
      <c r="B152" s="230">
        <f t="shared" si="103"/>
        <v>142</v>
      </c>
      <c r="C152" s="218" t="str">
        <f t="shared" si="101"/>
        <v>L13X18#008_000_04</v>
      </c>
      <c r="D152" s="169">
        <f t="shared" si="99"/>
        <v>18</v>
      </c>
      <c r="E152" s="173">
        <f t="shared" si="85"/>
        <v>3.4804000000000004</v>
      </c>
      <c r="F152" s="170">
        <f t="shared" si="100"/>
        <v>19.335555555555558</v>
      </c>
      <c r="G152" s="170">
        <f t="shared" si="86"/>
        <v>15.468444444444447</v>
      </c>
      <c r="H152" s="170">
        <f t="shared" si="87"/>
        <v>9.6677777777777791</v>
      </c>
      <c r="I152" s="170">
        <f t="shared" si="105"/>
        <v>8</v>
      </c>
      <c r="J152" s="171">
        <f t="shared" si="106"/>
        <v>8</v>
      </c>
      <c r="K152" s="166" t="str">
        <f>D152&amp;-4</f>
        <v>18-4</v>
      </c>
      <c r="L152" s="170">
        <f t="shared" si="107"/>
        <v>0.2</v>
      </c>
      <c r="M152" s="170">
        <f t="shared" si="107"/>
        <v>150</v>
      </c>
      <c r="N152" s="170">
        <f t="shared" si="107"/>
        <v>750</v>
      </c>
    </row>
    <row r="153" spans="1:14" s="163" customFormat="1" ht="15.75" thickBot="1" x14ac:dyDescent="0.3">
      <c r="A153" s="229">
        <f t="shared" si="102"/>
        <v>911</v>
      </c>
      <c r="B153" s="230">
        <f t="shared" si="103"/>
        <v>143</v>
      </c>
      <c r="C153" s="218" t="str">
        <f t="shared" si="101"/>
        <v>L13X18#008_000_05</v>
      </c>
      <c r="D153" s="169">
        <f t="shared" si="99"/>
        <v>18</v>
      </c>
      <c r="E153" s="173">
        <f t="shared" si="85"/>
        <v>3.4804000000000004</v>
      </c>
      <c r="F153" s="170">
        <f t="shared" si="100"/>
        <v>19.335555555555558</v>
      </c>
      <c r="G153" s="170">
        <f t="shared" si="86"/>
        <v>15.468444444444447</v>
      </c>
      <c r="H153" s="170">
        <f t="shared" si="87"/>
        <v>9.6677777777777791</v>
      </c>
      <c r="I153" s="170">
        <f t="shared" si="105"/>
        <v>8</v>
      </c>
      <c r="J153" s="171">
        <f t="shared" si="106"/>
        <v>8</v>
      </c>
      <c r="K153" s="166" t="str">
        <f>D153&amp;-5</f>
        <v>18-5</v>
      </c>
      <c r="L153" s="170">
        <f t="shared" si="107"/>
        <v>0.2</v>
      </c>
      <c r="M153" s="170">
        <f t="shared" si="107"/>
        <v>150</v>
      </c>
      <c r="N153" s="170">
        <f t="shared" si="107"/>
        <v>750</v>
      </c>
    </row>
    <row r="154" spans="1:14" s="163" customFormat="1" ht="15.75" thickBot="1" x14ac:dyDescent="0.3">
      <c r="A154" s="229">
        <f t="shared" si="102"/>
        <v>912</v>
      </c>
      <c r="B154" s="230">
        <f t="shared" si="103"/>
        <v>144</v>
      </c>
      <c r="C154" s="218" t="str">
        <f t="shared" si="101"/>
        <v>L13X18#008_000_06</v>
      </c>
      <c r="D154" s="169">
        <f t="shared" si="99"/>
        <v>18</v>
      </c>
      <c r="E154" s="173">
        <f t="shared" si="85"/>
        <v>3.4804000000000004</v>
      </c>
      <c r="F154" s="170">
        <f t="shared" si="100"/>
        <v>19.335555555555558</v>
      </c>
      <c r="G154" s="170">
        <f t="shared" si="86"/>
        <v>15.468444444444447</v>
      </c>
      <c r="H154" s="170">
        <f t="shared" si="87"/>
        <v>9.6677777777777791</v>
      </c>
      <c r="I154" s="170">
        <f t="shared" si="105"/>
        <v>8</v>
      </c>
      <c r="J154" s="171">
        <f t="shared" si="106"/>
        <v>8</v>
      </c>
      <c r="K154" s="166" t="str">
        <f>D154&amp;-6</f>
        <v>18-6</v>
      </c>
      <c r="L154" s="170">
        <f t="shared" si="107"/>
        <v>0.2</v>
      </c>
      <c r="M154" s="170">
        <f t="shared" si="107"/>
        <v>150</v>
      </c>
      <c r="N154" s="170">
        <f t="shared" si="107"/>
        <v>750</v>
      </c>
    </row>
    <row r="155" spans="1:14" s="163" customFormat="1" ht="15.75" thickBot="1" x14ac:dyDescent="0.3">
      <c r="A155" s="229">
        <f t="shared" si="102"/>
        <v>913</v>
      </c>
      <c r="B155" s="230">
        <f t="shared" si="103"/>
        <v>145</v>
      </c>
      <c r="C155" s="218" t="str">
        <f t="shared" si="101"/>
        <v>L13X20#352_000_01</v>
      </c>
      <c r="D155" s="169">
        <f>D154+v_step</f>
        <v>20</v>
      </c>
      <c r="E155" s="173">
        <f t="shared" si="85"/>
        <v>3.6164800000000006</v>
      </c>
      <c r="F155" s="170">
        <f t="shared" si="100"/>
        <v>18.082400000000003</v>
      </c>
      <c r="G155" s="170">
        <f t="shared" si="86"/>
        <v>14.465920000000004</v>
      </c>
      <c r="H155" s="170">
        <f t="shared" si="87"/>
        <v>9.0412000000000017</v>
      </c>
      <c r="I155" s="170">
        <f t="shared" si="105"/>
        <v>8</v>
      </c>
      <c r="J155" s="171">
        <f t="shared" ref="J155:J160" si="108">yaw_min</f>
        <v>-8</v>
      </c>
      <c r="K155" s="166" t="str">
        <f>D155&amp;-1</f>
        <v>20-1</v>
      </c>
      <c r="L155" s="170">
        <f t="shared" si="107"/>
        <v>0.2</v>
      </c>
      <c r="M155" s="170">
        <f t="shared" si="107"/>
        <v>150</v>
      </c>
      <c r="N155" s="170">
        <f t="shared" si="107"/>
        <v>750</v>
      </c>
    </row>
    <row r="156" spans="1:14" s="163" customFormat="1" ht="15.75" thickBot="1" x14ac:dyDescent="0.3">
      <c r="A156" s="229">
        <f t="shared" si="102"/>
        <v>914</v>
      </c>
      <c r="B156" s="230">
        <f t="shared" si="103"/>
        <v>146</v>
      </c>
      <c r="C156" s="218" t="str">
        <f t="shared" si="101"/>
        <v>L13X20#352_000_02</v>
      </c>
      <c r="D156" s="169">
        <f>D155</f>
        <v>20</v>
      </c>
      <c r="E156" s="173">
        <f t="shared" si="85"/>
        <v>3.6164800000000006</v>
      </c>
      <c r="F156" s="170">
        <f>E156/D156*100</f>
        <v>18.082400000000003</v>
      </c>
      <c r="G156" s="170">
        <f t="shared" si="86"/>
        <v>14.465920000000004</v>
      </c>
      <c r="H156" s="170">
        <f t="shared" si="87"/>
        <v>9.0412000000000017</v>
      </c>
      <c r="I156" s="170">
        <f>I155</f>
        <v>8</v>
      </c>
      <c r="J156" s="171">
        <f t="shared" si="108"/>
        <v>-8</v>
      </c>
      <c r="K156" s="166" t="str">
        <f>D156&amp;-2</f>
        <v>20-2</v>
      </c>
      <c r="L156" s="170">
        <f>L155</f>
        <v>0.2</v>
      </c>
      <c r="M156" s="170">
        <f>M155</f>
        <v>150</v>
      </c>
      <c r="N156" s="170">
        <f>N155</f>
        <v>750</v>
      </c>
    </row>
    <row r="157" spans="1:14" s="163" customFormat="1" ht="15.75" thickBot="1" x14ac:dyDescent="0.3">
      <c r="A157" s="229">
        <f t="shared" si="102"/>
        <v>915</v>
      </c>
      <c r="B157" s="230">
        <f t="shared" si="103"/>
        <v>147</v>
      </c>
      <c r="C157" s="218" t="str">
        <f t="shared" si="101"/>
        <v>L13X20#352_000_03</v>
      </c>
      <c r="D157" s="169">
        <f t="shared" ref="D157:D172" si="109">D156</f>
        <v>20</v>
      </c>
      <c r="E157" s="173">
        <f t="shared" si="85"/>
        <v>3.6164800000000006</v>
      </c>
      <c r="F157" s="170">
        <f t="shared" ref="F157:F173" si="110">E157/D157*100</f>
        <v>18.082400000000003</v>
      </c>
      <c r="G157" s="170">
        <f t="shared" si="86"/>
        <v>14.465920000000004</v>
      </c>
      <c r="H157" s="170">
        <f t="shared" si="87"/>
        <v>9.0412000000000017</v>
      </c>
      <c r="I157" s="170">
        <f t="shared" ref="I157:I173" si="111">I156</f>
        <v>8</v>
      </c>
      <c r="J157" s="171">
        <f t="shared" si="108"/>
        <v>-8</v>
      </c>
      <c r="K157" s="166" t="str">
        <f>D157&amp;-3</f>
        <v>20-3</v>
      </c>
      <c r="L157" s="170">
        <f t="shared" ref="L157:N172" si="112">L156</f>
        <v>0.2</v>
      </c>
      <c r="M157" s="170">
        <f t="shared" si="112"/>
        <v>150</v>
      </c>
      <c r="N157" s="170">
        <f t="shared" si="112"/>
        <v>750</v>
      </c>
    </row>
    <row r="158" spans="1:14" s="163" customFormat="1" ht="15.75" thickBot="1" x14ac:dyDescent="0.3">
      <c r="A158" s="229">
        <f t="shared" si="102"/>
        <v>916</v>
      </c>
      <c r="B158" s="230">
        <f t="shared" si="103"/>
        <v>148</v>
      </c>
      <c r="C158" s="218" t="str">
        <f t="shared" si="101"/>
        <v>L13X20#352_000_04</v>
      </c>
      <c r="D158" s="169">
        <f t="shared" si="109"/>
        <v>20</v>
      </c>
      <c r="E158" s="173">
        <f t="shared" si="85"/>
        <v>3.6164800000000006</v>
      </c>
      <c r="F158" s="170">
        <f t="shared" si="110"/>
        <v>18.082400000000003</v>
      </c>
      <c r="G158" s="170">
        <f t="shared" si="86"/>
        <v>14.465920000000004</v>
      </c>
      <c r="H158" s="170">
        <f t="shared" si="87"/>
        <v>9.0412000000000017</v>
      </c>
      <c r="I158" s="170">
        <f t="shared" si="111"/>
        <v>8</v>
      </c>
      <c r="J158" s="171">
        <f t="shared" si="108"/>
        <v>-8</v>
      </c>
      <c r="K158" s="166" t="str">
        <f>D158&amp;-4</f>
        <v>20-4</v>
      </c>
      <c r="L158" s="170">
        <f t="shared" si="112"/>
        <v>0.2</v>
      </c>
      <c r="M158" s="170">
        <f t="shared" si="112"/>
        <v>150</v>
      </c>
      <c r="N158" s="170">
        <f t="shared" si="112"/>
        <v>750</v>
      </c>
    </row>
    <row r="159" spans="1:14" s="163" customFormat="1" ht="15.75" thickBot="1" x14ac:dyDescent="0.3">
      <c r="A159" s="229">
        <f t="shared" si="102"/>
        <v>917</v>
      </c>
      <c r="B159" s="230">
        <f t="shared" si="103"/>
        <v>149</v>
      </c>
      <c r="C159" s="218" t="str">
        <f t="shared" si="101"/>
        <v>L13X20#352_000_05</v>
      </c>
      <c r="D159" s="169">
        <f t="shared" si="109"/>
        <v>20</v>
      </c>
      <c r="E159" s="173">
        <f t="shared" si="85"/>
        <v>3.6164800000000006</v>
      </c>
      <c r="F159" s="170">
        <f t="shared" si="110"/>
        <v>18.082400000000003</v>
      </c>
      <c r="G159" s="170">
        <f t="shared" si="86"/>
        <v>14.465920000000004</v>
      </c>
      <c r="H159" s="170">
        <f t="shared" si="87"/>
        <v>9.0412000000000017</v>
      </c>
      <c r="I159" s="170">
        <f t="shared" si="111"/>
        <v>8</v>
      </c>
      <c r="J159" s="171">
        <f t="shared" si="108"/>
        <v>-8</v>
      </c>
      <c r="K159" s="166" t="str">
        <f>D159&amp;-5</f>
        <v>20-5</v>
      </c>
      <c r="L159" s="170">
        <f t="shared" si="112"/>
        <v>0.2</v>
      </c>
      <c r="M159" s="170">
        <f t="shared" si="112"/>
        <v>150</v>
      </c>
      <c r="N159" s="170">
        <f t="shared" si="112"/>
        <v>750</v>
      </c>
    </row>
    <row r="160" spans="1:14" s="163" customFormat="1" ht="15.75" thickBot="1" x14ac:dyDescent="0.3">
      <c r="A160" s="229">
        <f t="shared" si="102"/>
        <v>918</v>
      </c>
      <c r="B160" s="230">
        <f t="shared" si="103"/>
        <v>150</v>
      </c>
      <c r="C160" s="218" t="str">
        <f t="shared" si="101"/>
        <v>L13X20#352_000_06</v>
      </c>
      <c r="D160" s="169">
        <f t="shared" si="109"/>
        <v>20</v>
      </c>
      <c r="E160" s="173">
        <f t="shared" si="85"/>
        <v>3.6164800000000006</v>
      </c>
      <c r="F160" s="170">
        <f t="shared" si="110"/>
        <v>18.082400000000003</v>
      </c>
      <c r="G160" s="170">
        <f t="shared" si="86"/>
        <v>14.465920000000004</v>
      </c>
      <c r="H160" s="170">
        <f t="shared" si="87"/>
        <v>9.0412000000000017</v>
      </c>
      <c r="I160" s="170">
        <f t="shared" si="111"/>
        <v>8</v>
      </c>
      <c r="J160" s="171">
        <f t="shared" si="108"/>
        <v>-8</v>
      </c>
      <c r="K160" s="166" t="str">
        <f>D160&amp;-6</f>
        <v>20-6</v>
      </c>
      <c r="L160" s="170">
        <f t="shared" si="112"/>
        <v>0.2</v>
      </c>
      <c r="M160" s="170">
        <f t="shared" si="112"/>
        <v>150</v>
      </c>
      <c r="N160" s="170">
        <f t="shared" si="112"/>
        <v>750</v>
      </c>
    </row>
    <row r="161" spans="1:14" s="163" customFormat="1" ht="15.75" thickBot="1" x14ac:dyDescent="0.3">
      <c r="A161" s="229">
        <f t="shared" si="102"/>
        <v>919</v>
      </c>
      <c r="B161" s="230">
        <f t="shared" si="103"/>
        <v>151</v>
      </c>
      <c r="C161" s="218" t="str">
        <f t="shared" si="101"/>
        <v>L13X20#000_000_01</v>
      </c>
      <c r="D161" s="169">
        <f t="shared" si="109"/>
        <v>20</v>
      </c>
      <c r="E161" s="173">
        <f t="shared" si="85"/>
        <v>3.6164800000000006</v>
      </c>
      <c r="F161" s="170">
        <f t="shared" si="110"/>
        <v>18.082400000000003</v>
      </c>
      <c r="G161" s="170">
        <f t="shared" si="86"/>
        <v>14.465920000000004</v>
      </c>
      <c r="H161" s="170">
        <f t="shared" si="87"/>
        <v>9.0412000000000017</v>
      </c>
      <c r="I161" s="170">
        <f t="shared" si="111"/>
        <v>8</v>
      </c>
      <c r="J161" s="171">
        <f t="shared" ref="J161:J166" si="113">yaw_null</f>
        <v>0</v>
      </c>
      <c r="K161" s="166" t="str">
        <f>D161&amp;-1</f>
        <v>20-1</v>
      </c>
      <c r="L161" s="170">
        <f t="shared" si="112"/>
        <v>0.2</v>
      </c>
      <c r="M161" s="170">
        <f t="shared" si="112"/>
        <v>150</v>
      </c>
      <c r="N161" s="170">
        <f t="shared" si="112"/>
        <v>750</v>
      </c>
    </row>
    <row r="162" spans="1:14" s="163" customFormat="1" ht="15.75" thickBot="1" x14ac:dyDescent="0.3">
      <c r="A162" s="229">
        <f t="shared" si="102"/>
        <v>920</v>
      </c>
      <c r="B162" s="230">
        <f t="shared" si="103"/>
        <v>152</v>
      </c>
      <c r="C162" s="218" t="str">
        <f t="shared" si="101"/>
        <v>L13X20#000_000_02</v>
      </c>
      <c r="D162" s="169">
        <f t="shared" si="109"/>
        <v>20</v>
      </c>
      <c r="E162" s="173">
        <f t="shared" si="85"/>
        <v>3.6164800000000006</v>
      </c>
      <c r="F162" s="170">
        <f t="shared" si="110"/>
        <v>18.082400000000003</v>
      </c>
      <c r="G162" s="170">
        <f t="shared" si="86"/>
        <v>14.465920000000004</v>
      </c>
      <c r="H162" s="170">
        <f t="shared" si="87"/>
        <v>9.0412000000000017</v>
      </c>
      <c r="I162" s="170">
        <f t="shared" si="111"/>
        <v>8</v>
      </c>
      <c r="J162" s="171">
        <f t="shared" si="113"/>
        <v>0</v>
      </c>
      <c r="K162" s="166" t="str">
        <f>D162&amp;-2</f>
        <v>20-2</v>
      </c>
      <c r="L162" s="170">
        <f t="shared" si="112"/>
        <v>0.2</v>
      </c>
      <c r="M162" s="170">
        <f t="shared" si="112"/>
        <v>150</v>
      </c>
      <c r="N162" s="170">
        <f t="shared" si="112"/>
        <v>750</v>
      </c>
    </row>
    <row r="163" spans="1:14" s="163" customFormat="1" ht="15.75" thickBot="1" x14ac:dyDescent="0.3">
      <c r="A163" s="229">
        <f t="shared" si="102"/>
        <v>921</v>
      </c>
      <c r="B163" s="230">
        <f t="shared" si="103"/>
        <v>153</v>
      </c>
      <c r="C163" s="218" t="str">
        <f t="shared" si="101"/>
        <v>L13X20#000_000_03</v>
      </c>
      <c r="D163" s="169">
        <f t="shared" si="109"/>
        <v>20</v>
      </c>
      <c r="E163" s="173">
        <f t="shared" si="85"/>
        <v>3.6164800000000006</v>
      </c>
      <c r="F163" s="170">
        <f t="shared" si="110"/>
        <v>18.082400000000003</v>
      </c>
      <c r="G163" s="170">
        <f t="shared" si="86"/>
        <v>14.465920000000004</v>
      </c>
      <c r="H163" s="170">
        <f t="shared" si="87"/>
        <v>9.0412000000000017</v>
      </c>
      <c r="I163" s="170">
        <f t="shared" si="111"/>
        <v>8</v>
      </c>
      <c r="J163" s="171">
        <f t="shared" si="113"/>
        <v>0</v>
      </c>
      <c r="K163" s="166" t="str">
        <f>D163&amp;-3</f>
        <v>20-3</v>
      </c>
      <c r="L163" s="170">
        <f t="shared" si="112"/>
        <v>0.2</v>
      </c>
      <c r="M163" s="170">
        <f t="shared" si="112"/>
        <v>150</v>
      </c>
      <c r="N163" s="170">
        <f t="shared" si="112"/>
        <v>750</v>
      </c>
    </row>
    <row r="164" spans="1:14" s="163" customFormat="1" ht="15.75" thickBot="1" x14ac:dyDescent="0.3">
      <c r="A164" s="229">
        <f t="shared" si="102"/>
        <v>922</v>
      </c>
      <c r="B164" s="230">
        <f t="shared" si="103"/>
        <v>154</v>
      </c>
      <c r="C164" s="218" t="str">
        <f t="shared" si="101"/>
        <v>L13X20#000_000_04</v>
      </c>
      <c r="D164" s="169">
        <f t="shared" si="109"/>
        <v>20</v>
      </c>
      <c r="E164" s="173">
        <f t="shared" si="85"/>
        <v>3.6164800000000006</v>
      </c>
      <c r="F164" s="170">
        <f t="shared" si="110"/>
        <v>18.082400000000003</v>
      </c>
      <c r="G164" s="170">
        <f t="shared" si="86"/>
        <v>14.465920000000004</v>
      </c>
      <c r="H164" s="170">
        <f t="shared" si="87"/>
        <v>9.0412000000000017</v>
      </c>
      <c r="I164" s="170">
        <f t="shared" si="111"/>
        <v>8</v>
      </c>
      <c r="J164" s="171">
        <f t="shared" si="113"/>
        <v>0</v>
      </c>
      <c r="K164" s="166" t="str">
        <f>D164&amp;-4</f>
        <v>20-4</v>
      </c>
      <c r="L164" s="170">
        <f t="shared" si="112"/>
        <v>0.2</v>
      </c>
      <c r="M164" s="170">
        <f t="shared" si="112"/>
        <v>150</v>
      </c>
      <c r="N164" s="170">
        <f t="shared" si="112"/>
        <v>750</v>
      </c>
    </row>
    <row r="165" spans="1:14" s="163" customFormat="1" ht="15.75" thickBot="1" x14ac:dyDescent="0.3">
      <c r="A165" s="229">
        <f t="shared" si="102"/>
        <v>923</v>
      </c>
      <c r="B165" s="230">
        <f t="shared" si="103"/>
        <v>155</v>
      </c>
      <c r="C165" s="218" t="str">
        <f t="shared" si="101"/>
        <v>L13X20#000_000_05</v>
      </c>
      <c r="D165" s="169">
        <f t="shared" si="109"/>
        <v>20</v>
      </c>
      <c r="E165" s="173">
        <f t="shared" ref="E165:E208" si="114">t_c*I_ref*(0.072*(v_ave/t_c+3)*(D165/t_c-4)+10)</f>
        <v>3.6164800000000006</v>
      </c>
      <c r="F165" s="170">
        <f t="shared" si="110"/>
        <v>18.082400000000003</v>
      </c>
      <c r="G165" s="170">
        <f t="shared" ref="G165:G208" si="115">m_ty*F165</f>
        <v>14.465920000000004</v>
      </c>
      <c r="H165" s="170">
        <f t="shared" ref="H165:H208" si="116">m_tz*F165</f>
        <v>9.0412000000000017</v>
      </c>
      <c r="I165" s="170">
        <f t="shared" si="111"/>
        <v>8</v>
      </c>
      <c r="J165" s="171">
        <f t="shared" si="113"/>
        <v>0</v>
      </c>
      <c r="K165" s="166" t="str">
        <f>D165&amp;-5</f>
        <v>20-5</v>
      </c>
      <c r="L165" s="170">
        <f t="shared" si="112"/>
        <v>0.2</v>
      </c>
      <c r="M165" s="170">
        <f t="shared" si="112"/>
        <v>150</v>
      </c>
      <c r="N165" s="170">
        <f t="shared" si="112"/>
        <v>750</v>
      </c>
    </row>
    <row r="166" spans="1:14" s="163" customFormat="1" ht="15.75" thickBot="1" x14ac:dyDescent="0.3">
      <c r="A166" s="229">
        <f t="shared" si="102"/>
        <v>924</v>
      </c>
      <c r="B166" s="230">
        <f t="shared" si="103"/>
        <v>156</v>
      </c>
      <c r="C166" s="218" t="str">
        <f t="shared" si="101"/>
        <v>L13X20#000_000_06</v>
      </c>
      <c r="D166" s="169">
        <f t="shared" si="109"/>
        <v>20</v>
      </c>
      <c r="E166" s="173">
        <f t="shared" si="114"/>
        <v>3.6164800000000006</v>
      </c>
      <c r="F166" s="170">
        <f t="shared" si="110"/>
        <v>18.082400000000003</v>
      </c>
      <c r="G166" s="170">
        <f t="shared" si="115"/>
        <v>14.465920000000004</v>
      </c>
      <c r="H166" s="170">
        <f t="shared" si="116"/>
        <v>9.0412000000000017</v>
      </c>
      <c r="I166" s="170">
        <f t="shared" si="111"/>
        <v>8</v>
      </c>
      <c r="J166" s="171">
        <f t="shared" si="113"/>
        <v>0</v>
      </c>
      <c r="K166" s="166" t="str">
        <f>D166&amp;-6</f>
        <v>20-6</v>
      </c>
      <c r="L166" s="170">
        <f t="shared" si="112"/>
        <v>0.2</v>
      </c>
      <c r="M166" s="170">
        <f t="shared" si="112"/>
        <v>150</v>
      </c>
      <c r="N166" s="170">
        <f t="shared" si="112"/>
        <v>750</v>
      </c>
    </row>
    <row r="167" spans="1:14" s="163" customFormat="1" ht="15.75" thickBot="1" x14ac:dyDescent="0.3">
      <c r="A167" s="229">
        <f t="shared" si="102"/>
        <v>925</v>
      </c>
      <c r="B167" s="230">
        <f t="shared" si="103"/>
        <v>157</v>
      </c>
      <c r="C167" s="218" t="str">
        <f t="shared" si="101"/>
        <v>L13X20#008_000_01</v>
      </c>
      <c r="D167" s="169">
        <f t="shared" si="109"/>
        <v>20</v>
      </c>
      <c r="E167" s="173">
        <f t="shared" si="114"/>
        <v>3.6164800000000006</v>
      </c>
      <c r="F167" s="170">
        <f t="shared" si="110"/>
        <v>18.082400000000003</v>
      </c>
      <c r="G167" s="170">
        <f t="shared" si="115"/>
        <v>14.465920000000004</v>
      </c>
      <c r="H167" s="170">
        <f t="shared" si="116"/>
        <v>9.0412000000000017</v>
      </c>
      <c r="I167" s="170">
        <f t="shared" si="111"/>
        <v>8</v>
      </c>
      <c r="J167" s="171">
        <f t="shared" ref="J167:J172" si="117">yaw_max</f>
        <v>8</v>
      </c>
      <c r="K167" s="166" t="str">
        <f>D167&amp;-1</f>
        <v>20-1</v>
      </c>
      <c r="L167" s="170">
        <f t="shared" si="112"/>
        <v>0.2</v>
      </c>
      <c r="M167" s="170">
        <f t="shared" si="112"/>
        <v>150</v>
      </c>
      <c r="N167" s="170">
        <f t="shared" si="112"/>
        <v>750</v>
      </c>
    </row>
    <row r="168" spans="1:14" s="163" customFormat="1" ht="15.75" thickBot="1" x14ac:dyDescent="0.3">
      <c r="A168" s="229">
        <f t="shared" si="102"/>
        <v>926</v>
      </c>
      <c r="B168" s="230">
        <f t="shared" si="103"/>
        <v>158</v>
      </c>
      <c r="C168" s="218" t="str">
        <f t="shared" si="101"/>
        <v>L13X20#008_000_02</v>
      </c>
      <c r="D168" s="169">
        <f t="shared" si="109"/>
        <v>20</v>
      </c>
      <c r="E168" s="173">
        <f t="shared" si="114"/>
        <v>3.6164800000000006</v>
      </c>
      <c r="F168" s="170">
        <f t="shared" si="110"/>
        <v>18.082400000000003</v>
      </c>
      <c r="G168" s="170">
        <f t="shared" si="115"/>
        <v>14.465920000000004</v>
      </c>
      <c r="H168" s="170">
        <f t="shared" si="116"/>
        <v>9.0412000000000017</v>
      </c>
      <c r="I168" s="170">
        <f t="shared" si="111"/>
        <v>8</v>
      </c>
      <c r="J168" s="171">
        <f t="shared" si="117"/>
        <v>8</v>
      </c>
      <c r="K168" s="166" t="str">
        <f>D168&amp;-2</f>
        <v>20-2</v>
      </c>
      <c r="L168" s="170">
        <f t="shared" si="112"/>
        <v>0.2</v>
      </c>
      <c r="M168" s="170">
        <f t="shared" si="112"/>
        <v>150</v>
      </c>
      <c r="N168" s="170">
        <f t="shared" si="112"/>
        <v>750</v>
      </c>
    </row>
    <row r="169" spans="1:14" s="163" customFormat="1" ht="15.75" thickBot="1" x14ac:dyDescent="0.3">
      <c r="A169" s="229">
        <f t="shared" si="102"/>
        <v>927</v>
      </c>
      <c r="B169" s="230">
        <f t="shared" si="103"/>
        <v>159</v>
      </c>
      <c r="C169" s="218" t="str">
        <f t="shared" si="101"/>
        <v>L13X20#008_000_03</v>
      </c>
      <c r="D169" s="169">
        <f t="shared" si="109"/>
        <v>20</v>
      </c>
      <c r="E169" s="173">
        <f t="shared" si="114"/>
        <v>3.6164800000000006</v>
      </c>
      <c r="F169" s="170">
        <f t="shared" si="110"/>
        <v>18.082400000000003</v>
      </c>
      <c r="G169" s="170">
        <f t="shared" si="115"/>
        <v>14.465920000000004</v>
      </c>
      <c r="H169" s="170">
        <f t="shared" si="116"/>
        <v>9.0412000000000017</v>
      </c>
      <c r="I169" s="170">
        <f t="shared" si="111"/>
        <v>8</v>
      </c>
      <c r="J169" s="171">
        <f t="shared" si="117"/>
        <v>8</v>
      </c>
      <c r="K169" s="166" t="str">
        <f>D169&amp;-3</f>
        <v>20-3</v>
      </c>
      <c r="L169" s="170">
        <f t="shared" si="112"/>
        <v>0.2</v>
      </c>
      <c r="M169" s="170">
        <f t="shared" si="112"/>
        <v>150</v>
      </c>
      <c r="N169" s="170">
        <f t="shared" si="112"/>
        <v>750</v>
      </c>
    </row>
    <row r="170" spans="1:14" s="163" customFormat="1" ht="15.75" thickBot="1" x14ac:dyDescent="0.3">
      <c r="A170" s="229">
        <f t="shared" si="102"/>
        <v>928</v>
      </c>
      <c r="B170" s="230">
        <f t="shared" si="103"/>
        <v>160</v>
      </c>
      <c r="C170" s="218" t="str">
        <f t="shared" si="101"/>
        <v>L13X20#008_000_04</v>
      </c>
      <c r="D170" s="169">
        <f t="shared" si="109"/>
        <v>20</v>
      </c>
      <c r="E170" s="173">
        <f t="shared" si="114"/>
        <v>3.6164800000000006</v>
      </c>
      <c r="F170" s="170">
        <f t="shared" si="110"/>
        <v>18.082400000000003</v>
      </c>
      <c r="G170" s="170">
        <f t="shared" si="115"/>
        <v>14.465920000000004</v>
      </c>
      <c r="H170" s="170">
        <f t="shared" si="116"/>
        <v>9.0412000000000017</v>
      </c>
      <c r="I170" s="170">
        <f t="shared" si="111"/>
        <v>8</v>
      </c>
      <c r="J170" s="171">
        <f t="shared" si="117"/>
        <v>8</v>
      </c>
      <c r="K170" s="166" t="str">
        <f>D170&amp;-4</f>
        <v>20-4</v>
      </c>
      <c r="L170" s="170">
        <f t="shared" si="112"/>
        <v>0.2</v>
      </c>
      <c r="M170" s="170">
        <f t="shared" si="112"/>
        <v>150</v>
      </c>
      <c r="N170" s="170">
        <f t="shared" si="112"/>
        <v>750</v>
      </c>
    </row>
    <row r="171" spans="1:14" s="163" customFormat="1" ht="15.75" thickBot="1" x14ac:dyDescent="0.3">
      <c r="A171" s="229">
        <f t="shared" si="102"/>
        <v>929</v>
      </c>
      <c r="B171" s="230">
        <f t="shared" si="103"/>
        <v>161</v>
      </c>
      <c r="C171" s="218" t="str">
        <f t="shared" si="101"/>
        <v>L13X20#008_000_05</v>
      </c>
      <c r="D171" s="169">
        <f t="shared" si="109"/>
        <v>20</v>
      </c>
      <c r="E171" s="173">
        <f t="shared" si="114"/>
        <v>3.6164800000000006</v>
      </c>
      <c r="F171" s="170">
        <f t="shared" si="110"/>
        <v>18.082400000000003</v>
      </c>
      <c r="G171" s="170">
        <f t="shared" si="115"/>
        <v>14.465920000000004</v>
      </c>
      <c r="H171" s="170">
        <f t="shared" si="116"/>
        <v>9.0412000000000017</v>
      </c>
      <c r="I171" s="170">
        <f t="shared" si="111"/>
        <v>8</v>
      </c>
      <c r="J171" s="171">
        <f t="shared" si="117"/>
        <v>8</v>
      </c>
      <c r="K171" s="166" t="str">
        <f>D171&amp;-5</f>
        <v>20-5</v>
      </c>
      <c r="L171" s="170">
        <f t="shared" si="112"/>
        <v>0.2</v>
      </c>
      <c r="M171" s="170">
        <f t="shared" si="112"/>
        <v>150</v>
      </c>
      <c r="N171" s="170">
        <f t="shared" si="112"/>
        <v>750</v>
      </c>
    </row>
    <row r="172" spans="1:14" s="163" customFormat="1" ht="15.75" thickBot="1" x14ac:dyDescent="0.3">
      <c r="A172" s="229">
        <f t="shared" si="102"/>
        <v>930</v>
      </c>
      <c r="B172" s="230">
        <f t="shared" si="103"/>
        <v>162</v>
      </c>
      <c r="C172" s="218" t="str">
        <f t="shared" si="101"/>
        <v>L13X20#008_000_06</v>
      </c>
      <c r="D172" s="169">
        <f t="shared" si="109"/>
        <v>20</v>
      </c>
      <c r="E172" s="173">
        <f t="shared" si="114"/>
        <v>3.6164800000000006</v>
      </c>
      <c r="F172" s="170">
        <f t="shared" si="110"/>
        <v>18.082400000000003</v>
      </c>
      <c r="G172" s="170">
        <f t="shared" si="115"/>
        <v>14.465920000000004</v>
      </c>
      <c r="H172" s="170">
        <f t="shared" si="116"/>
        <v>9.0412000000000017</v>
      </c>
      <c r="I172" s="170">
        <f t="shared" si="111"/>
        <v>8</v>
      </c>
      <c r="J172" s="171">
        <f t="shared" si="117"/>
        <v>8</v>
      </c>
      <c r="K172" s="166" t="str">
        <f>D172&amp;-6</f>
        <v>20-6</v>
      </c>
      <c r="L172" s="170">
        <f t="shared" si="112"/>
        <v>0.2</v>
      </c>
      <c r="M172" s="170">
        <f t="shared" si="112"/>
        <v>150</v>
      </c>
      <c r="N172" s="170">
        <f t="shared" si="112"/>
        <v>750</v>
      </c>
    </row>
    <row r="173" spans="1:14" s="163" customFormat="1" ht="15.75" thickBot="1" x14ac:dyDescent="0.3">
      <c r="A173" s="229">
        <f t="shared" si="102"/>
        <v>931</v>
      </c>
      <c r="B173" s="230">
        <f t="shared" si="103"/>
        <v>163</v>
      </c>
      <c r="C173" s="218" t="str">
        <f t="shared" si="101"/>
        <v>L13X22#352_000_01</v>
      </c>
      <c r="D173" s="169">
        <f>D172+v_step</f>
        <v>22</v>
      </c>
      <c r="E173" s="173">
        <f t="shared" si="114"/>
        <v>3.7525600000000008</v>
      </c>
      <c r="F173" s="170">
        <f t="shared" si="110"/>
        <v>17.057090909090913</v>
      </c>
      <c r="G173" s="170">
        <f t="shared" si="115"/>
        <v>13.645672727272732</v>
      </c>
      <c r="H173" s="170">
        <f t="shared" si="116"/>
        <v>8.5285454545454566</v>
      </c>
      <c r="I173" s="170">
        <f t="shared" si="111"/>
        <v>8</v>
      </c>
      <c r="J173" s="171">
        <f t="shared" ref="J173:J178" si="118">yaw_min</f>
        <v>-8</v>
      </c>
      <c r="K173" s="166" t="str">
        <f>D173&amp;-1</f>
        <v>22-1</v>
      </c>
      <c r="L173" s="170">
        <f t="shared" ref="L173:N173" si="119">L172</f>
        <v>0.2</v>
      </c>
      <c r="M173" s="170">
        <f t="shared" si="119"/>
        <v>150</v>
      </c>
      <c r="N173" s="170">
        <f t="shared" si="119"/>
        <v>750</v>
      </c>
    </row>
    <row r="174" spans="1:14" s="163" customFormat="1" ht="15.75" thickBot="1" x14ac:dyDescent="0.3">
      <c r="A174" s="229">
        <f t="shared" si="102"/>
        <v>932</v>
      </c>
      <c r="B174" s="230">
        <f t="shared" si="103"/>
        <v>164</v>
      </c>
      <c r="C174" s="218" t="str">
        <f t="shared" si="101"/>
        <v>L13X22#352_000_02</v>
      </c>
      <c r="D174" s="169">
        <f>D173</f>
        <v>22</v>
      </c>
      <c r="E174" s="173">
        <f t="shared" si="114"/>
        <v>3.7525600000000008</v>
      </c>
      <c r="F174" s="170">
        <f>E174/D174*100</f>
        <v>17.057090909090913</v>
      </c>
      <c r="G174" s="170">
        <f t="shared" si="115"/>
        <v>13.645672727272732</v>
      </c>
      <c r="H174" s="170">
        <f t="shared" si="116"/>
        <v>8.5285454545454566</v>
      </c>
      <c r="I174" s="170">
        <f>I173</f>
        <v>8</v>
      </c>
      <c r="J174" s="171">
        <f t="shared" si="118"/>
        <v>-8</v>
      </c>
      <c r="K174" s="166" t="str">
        <f>D174&amp;-2</f>
        <v>22-2</v>
      </c>
      <c r="L174" s="170">
        <f>L173</f>
        <v>0.2</v>
      </c>
      <c r="M174" s="170">
        <f>M173</f>
        <v>150</v>
      </c>
      <c r="N174" s="170">
        <f>N173</f>
        <v>750</v>
      </c>
    </row>
    <row r="175" spans="1:14" s="163" customFormat="1" ht="15.75" thickBot="1" x14ac:dyDescent="0.3">
      <c r="A175" s="229">
        <f t="shared" si="102"/>
        <v>933</v>
      </c>
      <c r="B175" s="230">
        <f t="shared" si="103"/>
        <v>165</v>
      </c>
      <c r="C175" s="218" t="str">
        <f t="shared" si="101"/>
        <v>L13X22#352_000_03</v>
      </c>
      <c r="D175" s="169">
        <f t="shared" ref="D175:D190" si="120">D174</f>
        <v>22</v>
      </c>
      <c r="E175" s="173">
        <f t="shared" si="114"/>
        <v>3.7525600000000008</v>
      </c>
      <c r="F175" s="170">
        <f t="shared" ref="F175:F191" si="121">E175/D175*100</f>
        <v>17.057090909090913</v>
      </c>
      <c r="G175" s="170">
        <f t="shared" si="115"/>
        <v>13.645672727272732</v>
      </c>
      <c r="H175" s="170">
        <f t="shared" si="116"/>
        <v>8.5285454545454566</v>
      </c>
      <c r="I175" s="170">
        <f t="shared" ref="I175:I191" si="122">I174</f>
        <v>8</v>
      </c>
      <c r="J175" s="171">
        <f t="shared" si="118"/>
        <v>-8</v>
      </c>
      <c r="K175" s="166" t="str">
        <f>D175&amp;-3</f>
        <v>22-3</v>
      </c>
      <c r="L175" s="170">
        <f t="shared" ref="L175:N190" si="123">L174</f>
        <v>0.2</v>
      </c>
      <c r="M175" s="170">
        <f t="shared" si="123"/>
        <v>150</v>
      </c>
      <c r="N175" s="170">
        <f t="shared" si="123"/>
        <v>750</v>
      </c>
    </row>
    <row r="176" spans="1:14" s="163" customFormat="1" ht="15.75" thickBot="1" x14ac:dyDescent="0.3">
      <c r="A176" s="229">
        <f t="shared" si="102"/>
        <v>934</v>
      </c>
      <c r="B176" s="230">
        <f t="shared" si="103"/>
        <v>166</v>
      </c>
      <c r="C176" s="218" t="str">
        <f t="shared" si="101"/>
        <v>L13X22#352_000_04</v>
      </c>
      <c r="D176" s="169">
        <f t="shared" si="120"/>
        <v>22</v>
      </c>
      <c r="E176" s="173">
        <f t="shared" si="114"/>
        <v>3.7525600000000008</v>
      </c>
      <c r="F176" s="170">
        <f t="shared" si="121"/>
        <v>17.057090909090913</v>
      </c>
      <c r="G176" s="170">
        <f t="shared" si="115"/>
        <v>13.645672727272732</v>
      </c>
      <c r="H176" s="170">
        <f t="shared" si="116"/>
        <v>8.5285454545454566</v>
      </c>
      <c r="I176" s="170">
        <f t="shared" si="122"/>
        <v>8</v>
      </c>
      <c r="J176" s="171">
        <f t="shared" si="118"/>
        <v>-8</v>
      </c>
      <c r="K176" s="166" t="str">
        <f>D176&amp;-4</f>
        <v>22-4</v>
      </c>
      <c r="L176" s="170">
        <f t="shared" si="123"/>
        <v>0.2</v>
      </c>
      <c r="M176" s="170">
        <f t="shared" si="123"/>
        <v>150</v>
      </c>
      <c r="N176" s="170">
        <f t="shared" si="123"/>
        <v>750</v>
      </c>
    </row>
    <row r="177" spans="1:14" s="163" customFormat="1" ht="15.75" thickBot="1" x14ac:dyDescent="0.3">
      <c r="A177" s="229">
        <f t="shared" si="102"/>
        <v>935</v>
      </c>
      <c r="B177" s="230">
        <f t="shared" si="103"/>
        <v>167</v>
      </c>
      <c r="C177" s="218" t="str">
        <f t="shared" si="101"/>
        <v>L13X22#352_000_05</v>
      </c>
      <c r="D177" s="169">
        <f t="shared" si="120"/>
        <v>22</v>
      </c>
      <c r="E177" s="173">
        <f t="shared" si="114"/>
        <v>3.7525600000000008</v>
      </c>
      <c r="F177" s="170">
        <f t="shared" si="121"/>
        <v>17.057090909090913</v>
      </c>
      <c r="G177" s="170">
        <f t="shared" si="115"/>
        <v>13.645672727272732</v>
      </c>
      <c r="H177" s="170">
        <f t="shared" si="116"/>
        <v>8.5285454545454566</v>
      </c>
      <c r="I177" s="170">
        <f t="shared" si="122"/>
        <v>8</v>
      </c>
      <c r="J177" s="171">
        <f t="shared" si="118"/>
        <v>-8</v>
      </c>
      <c r="K177" s="166" t="str">
        <f>D177&amp;-5</f>
        <v>22-5</v>
      </c>
      <c r="L177" s="170">
        <f t="shared" si="123"/>
        <v>0.2</v>
      </c>
      <c r="M177" s="170">
        <f t="shared" si="123"/>
        <v>150</v>
      </c>
      <c r="N177" s="170">
        <f t="shared" si="123"/>
        <v>750</v>
      </c>
    </row>
    <row r="178" spans="1:14" s="163" customFormat="1" ht="15.75" thickBot="1" x14ac:dyDescent="0.3">
      <c r="A178" s="229">
        <f t="shared" si="102"/>
        <v>936</v>
      </c>
      <c r="B178" s="230">
        <f t="shared" si="103"/>
        <v>168</v>
      </c>
      <c r="C178" s="218" t="str">
        <f t="shared" si="101"/>
        <v>L13X22#352_000_06</v>
      </c>
      <c r="D178" s="169">
        <f t="shared" si="120"/>
        <v>22</v>
      </c>
      <c r="E178" s="173">
        <f t="shared" si="114"/>
        <v>3.7525600000000008</v>
      </c>
      <c r="F178" s="170">
        <f t="shared" si="121"/>
        <v>17.057090909090913</v>
      </c>
      <c r="G178" s="170">
        <f t="shared" si="115"/>
        <v>13.645672727272732</v>
      </c>
      <c r="H178" s="170">
        <f t="shared" si="116"/>
        <v>8.5285454545454566</v>
      </c>
      <c r="I178" s="170">
        <f t="shared" si="122"/>
        <v>8</v>
      </c>
      <c r="J178" s="171">
        <f t="shared" si="118"/>
        <v>-8</v>
      </c>
      <c r="K178" s="166" t="str">
        <f>D178&amp;-6</f>
        <v>22-6</v>
      </c>
      <c r="L178" s="170">
        <f t="shared" si="123"/>
        <v>0.2</v>
      </c>
      <c r="M178" s="170">
        <f t="shared" si="123"/>
        <v>150</v>
      </c>
      <c r="N178" s="170">
        <f t="shared" si="123"/>
        <v>750</v>
      </c>
    </row>
    <row r="179" spans="1:14" s="163" customFormat="1" ht="15.75" thickBot="1" x14ac:dyDescent="0.3">
      <c r="A179" s="229">
        <f t="shared" si="102"/>
        <v>937</v>
      </c>
      <c r="B179" s="230">
        <f t="shared" si="103"/>
        <v>169</v>
      </c>
      <c r="C179" s="218" t="str">
        <f t="shared" si="101"/>
        <v>L13X22#000_000_01</v>
      </c>
      <c r="D179" s="169">
        <f t="shared" si="120"/>
        <v>22</v>
      </c>
      <c r="E179" s="173">
        <f t="shared" si="114"/>
        <v>3.7525600000000008</v>
      </c>
      <c r="F179" s="170">
        <f t="shared" si="121"/>
        <v>17.057090909090913</v>
      </c>
      <c r="G179" s="170">
        <f t="shared" si="115"/>
        <v>13.645672727272732</v>
      </c>
      <c r="H179" s="170">
        <f t="shared" si="116"/>
        <v>8.5285454545454566</v>
      </c>
      <c r="I179" s="170">
        <f t="shared" si="122"/>
        <v>8</v>
      </c>
      <c r="J179" s="171">
        <f t="shared" ref="J179:J184" si="124">yaw_null</f>
        <v>0</v>
      </c>
      <c r="K179" s="166" t="str">
        <f>D179&amp;-1</f>
        <v>22-1</v>
      </c>
      <c r="L179" s="170">
        <f t="shared" si="123"/>
        <v>0.2</v>
      </c>
      <c r="M179" s="170">
        <f t="shared" si="123"/>
        <v>150</v>
      </c>
      <c r="N179" s="170">
        <f t="shared" si="123"/>
        <v>750</v>
      </c>
    </row>
    <row r="180" spans="1:14" s="163" customFormat="1" ht="15.75" thickBot="1" x14ac:dyDescent="0.3">
      <c r="A180" s="229">
        <f t="shared" si="102"/>
        <v>938</v>
      </c>
      <c r="B180" s="230">
        <f t="shared" si="103"/>
        <v>170</v>
      </c>
      <c r="C180" s="218" t="str">
        <f t="shared" si="101"/>
        <v>L13X22#000_000_02</v>
      </c>
      <c r="D180" s="169">
        <f t="shared" si="120"/>
        <v>22</v>
      </c>
      <c r="E180" s="173">
        <f t="shared" si="114"/>
        <v>3.7525600000000008</v>
      </c>
      <c r="F180" s="170">
        <f t="shared" si="121"/>
        <v>17.057090909090913</v>
      </c>
      <c r="G180" s="170">
        <f t="shared" si="115"/>
        <v>13.645672727272732</v>
      </c>
      <c r="H180" s="170">
        <f t="shared" si="116"/>
        <v>8.5285454545454566</v>
      </c>
      <c r="I180" s="170">
        <f t="shared" si="122"/>
        <v>8</v>
      </c>
      <c r="J180" s="171">
        <f t="shared" si="124"/>
        <v>0</v>
      </c>
      <c r="K180" s="166" t="str">
        <f>D180&amp;-2</f>
        <v>22-2</v>
      </c>
      <c r="L180" s="170">
        <f t="shared" si="123"/>
        <v>0.2</v>
      </c>
      <c r="M180" s="170">
        <f t="shared" si="123"/>
        <v>150</v>
      </c>
      <c r="N180" s="170">
        <f t="shared" si="123"/>
        <v>750</v>
      </c>
    </row>
    <row r="181" spans="1:14" s="163" customFormat="1" ht="15.75" thickBot="1" x14ac:dyDescent="0.3">
      <c r="A181" s="229">
        <f t="shared" si="102"/>
        <v>939</v>
      </c>
      <c r="B181" s="230">
        <f t="shared" si="103"/>
        <v>171</v>
      </c>
      <c r="C181" s="218" t="str">
        <f t="shared" si="101"/>
        <v>L13X22#000_000_03</v>
      </c>
      <c r="D181" s="169">
        <f t="shared" si="120"/>
        <v>22</v>
      </c>
      <c r="E181" s="173">
        <f t="shared" si="114"/>
        <v>3.7525600000000008</v>
      </c>
      <c r="F181" s="170">
        <f t="shared" si="121"/>
        <v>17.057090909090913</v>
      </c>
      <c r="G181" s="170">
        <f t="shared" si="115"/>
        <v>13.645672727272732</v>
      </c>
      <c r="H181" s="170">
        <f t="shared" si="116"/>
        <v>8.5285454545454566</v>
      </c>
      <c r="I181" s="170">
        <f t="shared" si="122"/>
        <v>8</v>
      </c>
      <c r="J181" s="171">
        <f t="shared" si="124"/>
        <v>0</v>
      </c>
      <c r="K181" s="166" t="str">
        <f>D181&amp;-3</f>
        <v>22-3</v>
      </c>
      <c r="L181" s="170">
        <f t="shared" si="123"/>
        <v>0.2</v>
      </c>
      <c r="M181" s="170">
        <f t="shared" si="123"/>
        <v>150</v>
      </c>
      <c r="N181" s="170">
        <f t="shared" si="123"/>
        <v>750</v>
      </c>
    </row>
    <row r="182" spans="1:14" s="163" customFormat="1" ht="15.75" thickBot="1" x14ac:dyDescent="0.3">
      <c r="A182" s="229">
        <f t="shared" si="102"/>
        <v>940</v>
      </c>
      <c r="B182" s="230">
        <f t="shared" si="103"/>
        <v>172</v>
      </c>
      <c r="C182" s="218" t="str">
        <f t="shared" si="101"/>
        <v>L13X22#000_000_04</v>
      </c>
      <c r="D182" s="169">
        <f t="shared" si="120"/>
        <v>22</v>
      </c>
      <c r="E182" s="173">
        <f t="shared" si="114"/>
        <v>3.7525600000000008</v>
      </c>
      <c r="F182" s="170">
        <f t="shared" si="121"/>
        <v>17.057090909090913</v>
      </c>
      <c r="G182" s="170">
        <f t="shared" si="115"/>
        <v>13.645672727272732</v>
      </c>
      <c r="H182" s="170">
        <f t="shared" si="116"/>
        <v>8.5285454545454566</v>
      </c>
      <c r="I182" s="170">
        <f t="shared" si="122"/>
        <v>8</v>
      </c>
      <c r="J182" s="171">
        <f t="shared" si="124"/>
        <v>0</v>
      </c>
      <c r="K182" s="166" t="str">
        <f>D182&amp;-4</f>
        <v>22-4</v>
      </c>
      <c r="L182" s="170">
        <f t="shared" si="123"/>
        <v>0.2</v>
      </c>
      <c r="M182" s="170">
        <f t="shared" si="123"/>
        <v>150</v>
      </c>
      <c r="N182" s="170">
        <f t="shared" si="123"/>
        <v>750</v>
      </c>
    </row>
    <row r="183" spans="1:14" s="163" customFormat="1" ht="15.75" thickBot="1" x14ac:dyDescent="0.3">
      <c r="A183" s="229">
        <f t="shared" si="102"/>
        <v>941</v>
      </c>
      <c r="B183" s="230">
        <f t="shared" si="103"/>
        <v>173</v>
      </c>
      <c r="C183" s="218" t="str">
        <f t="shared" si="101"/>
        <v>L13X22#000_000_05</v>
      </c>
      <c r="D183" s="169">
        <f t="shared" si="120"/>
        <v>22</v>
      </c>
      <c r="E183" s="173">
        <f t="shared" si="114"/>
        <v>3.7525600000000008</v>
      </c>
      <c r="F183" s="170">
        <f t="shared" si="121"/>
        <v>17.057090909090913</v>
      </c>
      <c r="G183" s="170">
        <f t="shared" si="115"/>
        <v>13.645672727272732</v>
      </c>
      <c r="H183" s="170">
        <f t="shared" si="116"/>
        <v>8.5285454545454566</v>
      </c>
      <c r="I183" s="170">
        <f t="shared" si="122"/>
        <v>8</v>
      </c>
      <c r="J183" s="171">
        <f t="shared" si="124"/>
        <v>0</v>
      </c>
      <c r="K183" s="166" t="str">
        <f>D183&amp;-5</f>
        <v>22-5</v>
      </c>
      <c r="L183" s="170">
        <f t="shared" si="123"/>
        <v>0.2</v>
      </c>
      <c r="M183" s="170">
        <f t="shared" si="123"/>
        <v>150</v>
      </c>
      <c r="N183" s="170">
        <f t="shared" si="123"/>
        <v>750</v>
      </c>
    </row>
    <row r="184" spans="1:14" s="163" customFormat="1" ht="15.75" thickBot="1" x14ac:dyDescent="0.3">
      <c r="A184" s="229">
        <f t="shared" si="102"/>
        <v>942</v>
      </c>
      <c r="B184" s="230">
        <f t="shared" si="103"/>
        <v>174</v>
      </c>
      <c r="C184" s="218" t="str">
        <f t="shared" si="101"/>
        <v>L13X22#000_000_06</v>
      </c>
      <c r="D184" s="169">
        <f t="shared" si="120"/>
        <v>22</v>
      </c>
      <c r="E184" s="173">
        <f t="shared" si="114"/>
        <v>3.7525600000000008</v>
      </c>
      <c r="F184" s="170">
        <f t="shared" si="121"/>
        <v>17.057090909090913</v>
      </c>
      <c r="G184" s="170">
        <f t="shared" si="115"/>
        <v>13.645672727272732</v>
      </c>
      <c r="H184" s="170">
        <f t="shared" si="116"/>
        <v>8.5285454545454566</v>
      </c>
      <c r="I184" s="170">
        <f t="shared" si="122"/>
        <v>8</v>
      </c>
      <c r="J184" s="171">
        <f t="shared" si="124"/>
        <v>0</v>
      </c>
      <c r="K184" s="166" t="str">
        <f>D184&amp;-6</f>
        <v>22-6</v>
      </c>
      <c r="L184" s="170">
        <f t="shared" si="123"/>
        <v>0.2</v>
      </c>
      <c r="M184" s="170">
        <f t="shared" si="123"/>
        <v>150</v>
      </c>
      <c r="N184" s="170">
        <f t="shared" si="123"/>
        <v>750</v>
      </c>
    </row>
    <row r="185" spans="1:14" s="163" customFormat="1" ht="15.75" thickBot="1" x14ac:dyDescent="0.3">
      <c r="A185" s="229">
        <f t="shared" si="102"/>
        <v>943</v>
      </c>
      <c r="B185" s="230">
        <f t="shared" si="103"/>
        <v>175</v>
      </c>
      <c r="C185" s="218" t="str">
        <f t="shared" si="101"/>
        <v>L13X22#008_000_01</v>
      </c>
      <c r="D185" s="169">
        <f t="shared" si="120"/>
        <v>22</v>
      </c>
      <c r="E185" s="173">
        <f t="shared" si="114"/>
        <v>3.7525600000000008</v>
      </c>
      <c r="F185" s="170">
        <f t="shared" si="121"/>
        <v>17.057090909090913</v>
      </c>
      <c r="G185" s="170">
        <f t="shared" si="115"/>
        <v>13.645672727272732</v>
      </c>
      <c r="H185" s="170">
        <f t="shared" si="116"/>
        <v>8.5285454545454566</v>
      </c>
      <c r="I185" s="170">
        <f t="shared" si="122"/>
        <v>8</v>
      </c>
      <c r="J185" s="171">
        <f t="shared" ref="J185:J190" si="125">yaw_max</f>
        <v>8</v>
      </c>
      <c r="K185" s="166" t="str">
        <f>D185&amp;-1</f>
        <v>22-1</v>
      </c>
      <c r="L185" s="170">
        <f t="shared" si="123"/>
        <v>0.2</v>
      </c>
      <c r="M185" s="170">
        <f t="shared" si="123"/>
        <v>150</v>
      </c>
      <c r="N185" s="170">
        <f t="shared" si="123"/>
        <v>750</v>
      </c>
    </row>
    <row r="186" spans="1:14" s="163" customFormat="1" ht="15.75" thickBot="1" x14ac:dyDescent="0.3">
      <c r="A186" s="229">
        <f t="shared" si="102"/>
        <v>944</v>
      </c>
      <c r="B186" s="230">
        <f t="shared" si="103"/>
        <v>176</v>
      </c>
      <c r="C186" s="218" t="str">
        <f t="shared" si="101"/>
        <v>L13X22#008_000_02</v>
      </c>
      <c r="D186" s="169">
        <f t="shared" si="120"/>
        <v>22</v>
      </c>
      <c r="E186" s="173">
        <f t="shared" si="114"/>
        <v>3.7525600000000008</v>
      </c>
      <c r="F186" s="170">
        <f t="shared" si="121"/>
        <v>17.057090909090913</v>
      </c>
      <c r="G186" s="170">
        <f t="shared" si="115"/>
        <v>13.645672727272732</v>
      </c>
      <c r="H186" s="170">
        <f t="shared" si="116"/>
        <v>8.5285454545454566</v>
      </c>
      <c r="I186" s="170">
        <f t="shared" si="122"/>
        <v>8</v>
      </c>
      <c r="J186" s="171">
        <f t="shared" si="125"/>
        <v>8</v>
      </c>
      <c r="K186" s="166" t="str">
        <f>D186&amp;-2</f>
        <v>22-2</v>
      </c>
      <c r="L186" s="170">
        <f t="shared" si="123"/>
        <v>0.2</v>
      </c>
      <c r="M186" s="170">
        <f t="shared" si="123"/>
        <v>150</v>
      </c>
      <c r="N186" s="170">
        <f t="shared" si="123"/>
        <v>750</v>
      </c>
    </row>
    <row r="187" spans="1:14" s="163" customFormat="1" ht="15.75" thickBot="1" x14ac:dyDescent="0.3">
      <c r="A187" s="229">
        <f t="shared" si="102"/>
        <v>945</v>
      </c>
      <c r="B187" s="230">
        <f t="shared" si="103"/>
        <v>177</v>
      </c>
      <c r="C187" s="218" t="str">
        <f t="shared" si="101"/>
        <v>L13X22#008_000_03</v>
      </c>
      <c r="D187" s="169">
        <f t="shared" si="120"/>
        <v>22</v>
      </c>
      <c r="E187" s="173">
        <f t="shared" si="114"/>
        <v>3.7525600000000008</v>
      </c>
      <c r="F187" s="170">
        <f t="shared" si="121"/>
        <v>17.057090909090913</v>
      </c>
      <c r="G187" s="170">
        <f t="shared" si="115"/>
        <v>13.645672727272732</v>
      </c>
      <c r="H187" s="170">
        <f t="shared" si="116"/>
        <v>8.5285454545454566</v>
      </c>
      <c r="I187" s="170">
        <f t="shared" si="122"/>
        <v>8</v>
      </c>
      <c r="J187" s="171">
        <f t="shared" si="125"/>
        <v>8</v>
      </c>
      <c r="K187" s="166" t="str">
        <f>D187&amp;-3</f>
        <v>22-3</v>
      </c>
      <c r="L187" s="170">
        <f t="shared" si="123"/>
        <v>0.2</v>
      </c>
      <c r="M187" s="170">
        <f t="shared" si="123"/>
        <v>150</v>
      </c>
      <c r="N187" s="170">
        <f t="shared" si="123"/>
        <v>750</v>
      </c>
    </row>
    <row r="188" spans="1:14" s="163" customFormat="1" ht="15.75" thickBot="1" x14ac:dyDescent="0.3">
      <c r="A188" s="229">
        <f t="shared" si="102"/>
        <v>946</v>
      </c>
      <c r="B188" s="230">
        <f t="shared" si="103"/>
        <v>178</v>
      </c>
      <c r="C188" s="218" t="str">
        <f t="shared" si="101"/>
        <v>L13X22#008_000_04</v>
      </c>
      <c r="D188" s="169">
        <f t="shared" si="120"/>
        <v>22</v>
      </c>
      <c r="E188" s="173">
        <f t="shared" si="114"/>
        <v>3.7525600000000008</v>
      </c>
      <c r="F188" s="170">
        <f t="shared" si="121"/>
        <v>17.057090909090913</v>
      </c>
      <c r="G188" s="170">
        <f t="shared" si="115"/>
        <v>13.645672727272732</v>
      </c>
      <c r="H188" s="170">
        <f t="shared" si="116"/>
        <v>8.5285454545454566</v>
      </c>
      <c r="I188" s="170">
        <f t="shared" si="122"/>
        <v>8</v>
      </c>
      <c r="J188" s="171">
        <f t="shared" si="125"/>
        <v>8</v>
      </c>
      <c r="K188" s="166" t="str">
        <f>D188&amp;-4</f>
        <v>22-4</v>
      </c>
      <c r="L188" s="170">
        <f t="shared" si="123"/>
        <v>0.2</v>
      </c>
      <c r="M188" s="170">
        <f t="shared" si="123"/>
        <v>150</v>
      </c>
      <c r="N188" s="170">
        <f t="shared" si="123"/>
        <v>750</v>
      </c>
    </row>
    <row r="189" spans="1:14" s="163" customFormat="1" ht="15.75" thickBot="1" x14ac:dyDescent="0.3">
      <c r="A189" s="229">
        <f t="shared" si="102"/>
        <v>947</v>
      </c>
      <c r="B189" s="230">
        <f t="shared" si="103"/>
        <v>179</v>
      </c>
      <c r="C189" s="218" t="str">
        <f t="shared" si="101"/>
        <v>L13X22#008_000_05</v>
      </c>
      <c r="D189" s="169">
        <f t="shared" si="120"/>
        <v>22</v>
      </c>
      <c r="E189" s="173">
        <f t="shared" si="114"/>
        <v>3.7525600000000008</v>
      </c>
      <c r="F189" s="170">
        <f t="shared" si="121"/>
        <v>17.057090909090913</v>
      </c>
      <c r="G189" s="170">
        <f t="shared" si="115"/>
        <v>13.645672727272732</v>
      </c>
      <c r="H189" s="170">
        <f t="shared" si="116"/>
        <v>8.5285454545454566</v>
      </c>
      <c r="I189" s="170">
        <f t="shared" si="122"/>
        <v>8</v>
      </c>
      <c r="J189" s="171">
        <f t="shared" si="125"/>
        <v>8</v>
      </c>
      <c r="K189" s="166" t="str">
        <f>D189&amp;-5</f>
        <v>22-5</v>
      </c>
      <c r="L189" s="170">
        <f t="shared" si="123"/>
        <v>0.2</v>
      </c>
      <c r="M189" s="170">
        <f t="shared" si="123"/>
        <v>150</v>
      </c>
      <c r="N189" s="170">
        <f t="shared" si="123"/>
        <v>750</v>
      </c>
    </row>
    <row r="190" spans="1:14" s="163" customFormat="1" ht="15.75" thickBot="1" x14ac:dyDescent="0.3">
      <c r="A190" s="229">
        <f t="shared" si="102"/>
        <v>948</v>
      </c>
      <c r="B190" s="230">
        <f t="shared" si="103"/>
        <v>180</v>
      </c>
      <c r="C190" s="218" t="str">
        <f t="shared" si="101"/>
        <v>L13X22#008_000_06</v>
      </c>
      <c r="D190" s="169">
        <f t="shared" si="120"/>
        <v>22</v>
      </c>
      <c r="E190" s="173">
        <f t="shared" si="114"/>
        <v>3.7525600000000008</v>
      </c>
      <c r="F190" s="170">
        <f t="shared" si="121"/>
        <v>17.057090909090913</v>
      </c>
      <c r="G190" s="170">
        <f t="shared" si="115"/>
        <v>13.645672727272732</v>
      </c>
      <c r="H190" s="170">
        <f t="shared" si="116"/>
        <v>8.5285454545454566</v>
      </c>
      <c r="I190" s="170">
        <f t="shared" si="122"/>
        <v>8</v>
      </c>
      <c r="J190" s="171">
        <f t="shared" si="125"/>
        <v>8</v>
      </c>
      <c r="K190" s="166" t="str">
        <f>D190&amp;-6</f>
        <v>22-6</v>
      </c>
      <c r="L190" s="170">
        <f t="shared" si="123"/>
        <v>0.2</v>
      </c>
      <c r="M190" s="170">
        <f t="shared" si="123"/>
        <v>150</v>
      </c>
      <c r="N190" s="170">
        <f t="shared" si="123"/>
        <v>750</v>
      </c>
    </row>
    <row r="191" spans="1:14" s="163" customFormat="1" ht="15.75" thickBot="1" x14ac:dyDescent="0.3">
      <c r="A191" s="229">
        <f t="shared" si="102"/>
        <v>949</v>
      </c>
      <c r="B191" s="230">
        <f t="shared" si="103"/>
        <v>181</v>
      </c>
      <c r="C191" s="218" t="str">
        <f t="shared" si="101"/>
        <v>L13X24#352_000_01</v>
      </c>
      <c r="D191" s="169">
        <f>D190+v_step</f>
        <v>24</v>
      </c>
      <c r="E191" s="173">
        <f t="shared" si="114"/>
        <v>3.8886400000000005</v>
      </c>
      <c r="F191" s="170">
        <f t="shared" si="121"/>
        <v>16.202666666666669</v>
      </c>
      <c r="G191" s="170">
        <f t="shared" si="115"/>
        <v>12.962133333333336</v>
      </c>
      <c r="H191" s="170">
        <f t="shared" si="116"/>
        <v>8.1013333333333346</v>
      </c>
      <c r="I191" s="170">
        <f t="shared" si="122"/>
        <v>8</v>
      </c>
      <c r="J191" s="171">
        <f t="shared" ref="J191:J196" si="126">yaw_min</f>
        <v>-8</v>
      </c>
      <c r="K191" s="166" t="str">
        <f>D191&amp;-1</f>
        <v>24-1</v>
      </c>
      <c r="L191" s="170">
        <f t="shared" ref="L191:N191" si="127">L190</f>
        <v>0.2</v>
      </c>
      <c r="M191" s="170">
        <f t="shared" si="127"/>
        <v>150</v>
      </c>
      <c r="N191" s="170">
        <f t="shared" si="127"/>
        <v>750</v>
      </c>
    </row>
    <row r="192" spans="1:14" s="163" customFormat="1" ht="15.75" thickBot="1" x14ac:dyDescent="0.3">
      <c r="A192" s="229">
        <f t="shared" si="102"/>
        <v>950</v>
      </c>
      <c r="B192" s="230">
        <f t="shared" si="103"/>
        <v>182</v>
      </c>
      <c r="C192" s="218" t="str">
        <f t="shared" si="101"/>
        <v>L13X24#352_000_02</v>
      </c>
      <c r="D192" s="169">
        <f>D191</f>
        <v>24</v>
      </c>
      <c r="E192" s="173">
        <f t="shared" si="114"/>
        <v>3.8886400000000005</v>
      </c>
      <c r="F192" s="170">
        <f>E192/D192*100</f>
        <v>16.202666666666669</v>
      </c>
      <c r="G192" s="170">
        <f t="shared" si="115"/>
        <v>12.962133333333336</v>
      </c>
      <c r="H192" s="170">
        <f t="shared" si="116"/>
        <v>8.1013333333333346</v>
      </c>
      <c r="I192" s="170">
        <f>I191</f>
        <v>8</v>
      </c>
      <c r="J192" s="171">
        <f t="shared" si="126"/>
        <v>-8</v>
      </c>
      <c r="K192" s="166" t="str">
        <f>D192&amp;-2</f>
        <v>24-2</v>
      </c>
      <c r="L192" s="170">
        <f>L191</f>
        <v>0.2</v>
      </c>
      <c r="M192" s="170">
        <f>M191</f>
        <v>150</v>
      </c>
      <c r="N192" s="170">
        <f>N191</f>
        <v>750</v>
      </c>
    </row>
    <row r="193" spans="1:14" s="163" customFormat="1" ht="15.75" thickBot="1" x14ac:dyDescent="0.3">
      <c r="A193" s="229">
        <f t="shared" si="102"/>
        <v>951</v>
      </c>
      <c r="B193" s="230">
        <f t="shared" si="103"/>
        <v>183</v>
      </c>
      <c r="C193" s="218" t="str">
        <f t="shared" si="101"/>
        <v>L13X24#352_000_03</v>
      </c>
      <c r="D193" s="169">
        <f t="shared" ref="D193:D208" si="128">D192</f>
        <v>24</v>
      </c>
      <c r="E193" s="173">
        <f t="shared" si="114"/>
        <v>3.8886400000000005</v>
      </c>
      <c r="F193" s="170">
        <f t="shared" ref="F193:F209" si="129">E193/D193*100</f>
        <v>16.202666666666669</v>
      </c>
      <c r="G193" s="170">
        <f t="shared" si="115"/>
        <v>12.962133333333336</v>
      </c>
      <c r="H193" s="170">
        <f t="shared" si="116"/>
        <v>8.1013333333333346</v>
      </c>
      <c r="I193" s="170">
        <f t="shared" ref="I193:I226" si="130">I192</f>
        <v>8</v>
      </c>
      <c r="J193" s="171">
        <f t="shared" si="126"/>
        <v>-8</v>
      </c>
      <c r="K193" s="166" t="str">
        <f>D193&amp;-3</f>
        <v>24-3</v>
      </c>
      <c r="L193" s="170">
        <f t="shared" ref="L193:N208" si="131">L192</f>
        <v>0.2</v>
      </c>
      <c r="M193" s="170">
        <f t="shared" si="131"/>
        <v>150</v>
      </c>
      <c r="N193" s="170">
        <f t="shared" si="131"/>
        <v>750</v>
      </c>
    </row>
    <row r="194" spans="1:14" s="163" customFormat="1" ht="15.75" thickBot="1" x14ac:dyDescent="0.3">
      <c r="A194" s="229">
        <f t="shared" si="102"/>
        <v>952</v>
      </c>
      <c r="B194" s="230">
        <f t="shared" si="103"/>
        <v>184</v>
      </c>
      <c r="C194" s="218" t="str">
        <f t="shared" si="101"/>
        <v>L13X24#352_000_04</v>
      </c>
      <c r="D194" s="169">
        <f t="shared" si="128"/>
        <v>24</v>
      </c>
      <c r="E194" s="173">
        <f t="shared" si="114"/>
        <v>3.8886400000000005</v>
      </c>
      <c r="F194" s="170">
        <f t="shared" si="129"/>
        <v>16.202666666666669</v>
      </c>
      <c r="G194" s="170">
        <f t="shared" si="115"/>
        <v>12.962133333333336</v>
      </c>
      <c r="H194" s="170">
        <f t="shared" si="116"/>
        <v>8.1013333333333346</v>
      </c>
      <c r="I194" s="170">
        <f t="shared" si="130"/>
        <v>8</v>
      </c>
      <c r="J194" s="171">
        <f t="shared" si="126"/>
        <v>-8</v>
      </c>
      <c r="K194" s="166" t="str">
        <f>D194&amp;-4</f>
        <v>24-4</v>
      </c>
      <c r="L194" s="170">
        <f t="shared" si="131"/>
        <v>0.2</v>
      </c>
      <c r="M194" s="170">
        <f t="shared" si="131"/>
        <v>150</v>
      </c>
      <c r="N194" s="170">
        <f t="shared" si="131"/>
        <v>750</v>
      </c>
    </row>
    <row r="195" spans="1:14" s="163" customFormat="1" ht="15.75" thickBot="1" x14ac:dyDescent="0.3">
      <c r="A195" s="229">
        <f t="shared" si="102"/>
        <v>953</v>
      </c>
      <c r="B195" s="230">
        <f t="shared" si="103"/>
        <v>185</v>
      </c>
      <c r="C195" s="218" t="str">
        <f t="shared" si="101"/>
        <v>L13X24#352_000_05</v>
      </c>
      <c r="D195" s="169">
        <f t="shared" si="128"/>
        <v>24</v>
      </c>
      <c r="E195" s="173">
        <f t="shared" si="114"/>
        <v>3.8886400000000005</v>
      </c>
      <c r="F195" s="170">
        <f t="shared" si="129"/>
        <v>16.202666666666669</v>
      </c>
      <c r="G195" s="170">
        <f t="shared" si="115"/>
        <v>12.962133333333336</v>
      </c>
      <c r="H195" s="170">
        <f t="shared" si="116"/>
        <v>8.1013333333333346</v>
      </c>
      <c r="I195" s="170">
        <f t="shared" si="130"/>
        <v>8</v>
      </c>
      <c r="J195" s="171">
        <f t="shared" si="126"/>
        <v>-8</v>
      </c>
      <c r="K195" s="166" t="str">
        <f>D195&amp;-5</f>
        <v>24-5</v>
      </c>
      <c r="L195" s="170">
        <f t="shared" si="131"/>
        <v>0.2</v>
      </c>
      <c r="M195" s="170">
        <f t="shared" si="131"/>
        <v>150</v>
      </c>
      <c r="N195" s="170">
        <f t="shared" si="131"/>
        <v>750</v>
      </c>
    </row>
    <row r="196" spans="1:14" s="163" customFormat="1" ht="15.75" thickBot="1" x14ac:dyDescent="0.3">
      <c r="A196" s="229">
        <f t="shared" si="102"/>
        <v>954</v>
      </c>
      <c r="B196" s="230">
        <f t="shared" si="103"/>
        <v>186</v>
      </c>
      <c r="C196" s="218" t="str">
        <f t="shared" si="101"/>
        <v>L13X24#352_000_06</v>
      </c>
      <c r="D196" s="169">
        <f t="shared" si="128"/>
        <v>24</v>
      </c>
      <c r="E196" s="173">
        <f t="shared" si="114"/>
        <v>3.8886400000000005</v>
      </c>
      <c r="F196" s="170">
        <f t="shared" si="129"/>
        <v>16.202666666666669</v>
      </c>
      <c r="G196" s="170">
        <f t="shared" si="115"/>
        <v>12.962133333333336</v>
      </c>
      <c r="H196" s="170">
        <f t="shared" si="116"/>
        <v>8.1013333333333346</v>
      </c>
      <c r="I196" s="170">
        <f t="shared" si="130"/>
        <v>8</v>
      </c>
      <c r="J196" s="171">
        <f t="shared" si="126"/>
        <v>-8</v>
      </c>
      <c r="K196" s="166" t="str">
        <f>D196&amp;-6</f>
        <v>24-6</v>
      </c>
      <c r="L196" s="170">
        <f t="shared" si="131"/>
        <v>0.2</v>
      </c>
      <c r="M196" s="170">
        <f t="shared" si="131"/>
        <v>150</v>
      </c>
      <c r="N196" s="170">
        <f t="shared" si="131"/>
        <v>750</v>
      </c>
    </row>
    <row r="197" spans="1:14" s="163" customFormat="1" ht="15.75" thickBot="1" x14ac:dyDescent="0.3">
      <c r="A197" s="229">
        <f t="shared" si="102"/>
        <v>955</v>
      </c>
      <c r="B197" s="230">
        <f t="shared" si="103"/>
        <v>187</v>
      </c>
      <c r="C197" s="218" t="str">
        <f t="shared" si="101"/>
        <v>L13X24#000_000_01</v>
      </c>
      <c r="D197" s="169">
        <f t="shared" si="128"/>
        <v>24</v>
      </c>
      <c r="E197" s="173">
        <f t="shared" si="114"/>
        <v>3.8886400000000005</v>
      </c>
      <c r="F197" s="170">
        <f t="shared" si="129"/>
        <v>16.202666666666669</v>
      </c>
      <c r="G197" s="170">
        <f t="shared" si="115"/>
        <v>12.962133333333336</v>
      </c>
      <c r="H197" s="170">
        <f t="shared" si="116"/>
        <v>8.1013333333333346</v>
      </c>
      <c r="I197" s="170">
        <f t="shared" si="130"/>
        <v>8</v>
      </c>
      <c r="J197" s="171">
        <f t="shared" ref="J197:J202" si="132">yaw_null</f>
        <v>0</v>
      </c>
      <c r="K197" s="166" t="str">
        <f>D197&amp;-1</f>
        <v>24-1</v>
      </c>
      <c r="L197" s="170">
        <f t="shared" si="131"/>
        <v>0.2</v>
      </c>
      <c r="M197" s="170">
        <f t="shared" si="131"/>
        <v>150</v>
      </c>
      <c r="N197" s="170">
        <f t="shared" si="131"/>
        <v>750</v>
      </c>
    </row>
    <row r="198" spans="1:14" s="163" customFormat="1" ht="15.75" thickBot="1" x14ac:dyDescent="0.3">
      <c r="A198" s="229">
        <f t="shared" si="102"/>
        <v>956</v>
      </c>
      <c r="B198" s="230">
        <f t="shared" si="103"/>
        <v>188</v>
      </c>
      <c r="C198" s="218" t="str">
        <f t="shared" si="101"/>
        <v>L13X24#000_000_02</v>
      </c>
      <c r="D198" s="169">
        <f t="shared" si="128"/>
        <v>24</v>
      </c>
      <c r="E198" s="173">
        <f t="shared" si="114"/>
        <v>3.8886400000000005</v>
      </c>
      <c r="F198" s="170">
        <f t="shared" si="129"/>
        <v>16.202666666666669</v>
      </c>
      <c r="G198" s="170">
        <f t="shared" si="115"/>
        <v>12.962133333333336</v>
      </c>
      <c r="H198" s="170">
        <f t="shared" si="116"/>
        <v>8.1013333333333346</v>
      </c>
      <c r="I198" s="170">
        <f t="shared" si="130"/>
        <v>8</v>
      </c>
      <c r="J198" s="171">
        <f t="shared" si="132"/>
        <v>0</v>
      </c>
      <c r="K198" s="166" t="str">
        <f>D198&amp;-2</f>
        <v>24-2</v>
      </c>
      <c r="L198" s="170">
        <f t="shared" si="131"/>
        <v>0.2</v>
      </c>
      <c r="M198" s="170">
        <f t="shared" si="131"/>
        <v>150</v>
      </c>
      <c r="N198" s="170">
        <f t="shared" si="131"/>
        <v>750</v>
      </c>
    </row>
    <row r="199" spans="1:14" s="163" customFormat="1" ht="15.75" thickBot="1" x14ac:dyDescent="0.3">
      <c r="A199" s="229">
        <f t="shared" si="102"/>
        <v>957</v>
      </c>
      <c r="B199" s="230">
        <f t="shared" si="103"/>
        <v>189</v>
      </c>
      <c r="C199" s="218" t="str">
        <f t="shared" si="101"/>
        <v>L13X24#000_000_03</v>
      </c>
      <c r="D199" s="169">
        <f t="shared" si="128"/>
        <v>24</v>
      </c>
      <c r="E199" s="173">
        <f t="shared" si="114"/>
        <v>3.8886400000000005</v>
      </c>
      <c r="F199" s="170">
        <f t="shared" si="129"/>
        <v>16.202666666666669</v>
      </c>
      <c r="G199" s="170">
        <f t="shared" si="115"/>
        <v>12.962133333333336</v>
      </c>
      <c r="H199" s="170">
        <f t="shared" si="116"/>
        <v>8.1013333333333346</v>
      </c>
      <c r="I199" s="170">
        <f t="shared" si="130"/>
        <v>8</v>
      </c>
      <c r="J199" s="171">
        <f t="shared" si="132"/>
        <v>0</v>
      </c>
      <c r="K199" s="166" t="str">
        <f>D199&amp;-3</f>
        <v>24-3</v>
      </c>
      <c r="L199" s="170">
        <f t="shared" si="131"/>
        <v>0.2</v>
      </c>
      <c r="M199" s="170">
        <f t="shared" si="131"/>
        <v>150</v>
      </c>
      <c r="N199" s="170">
        <f t="shared" si="131"/>
        <v>750</v>
      </c>
    </row>
    <row r="200" spans="1:14" s="163" customFormat="1" ht="15.75" thickBot="1" x14ac:dyDescent="0.3">
      <c r="A200" s="229">
        <f t="shared" si="102"/>
        <v>958</v>
      </c>
      <c r="B200" s="230">
        <f t="shared" si="103"/>
        <v>190</v>
      </c>
      <c r="C200" s="218" t="str">
        <f t="shared" si="101"/>
        <v>L13X24#000_000_04</v>
      </c>
      <c r="D200" s="169">
        <f t="shared" si="128"/>
        <v>24</v>
      </c>
      <c r="E200" s="173">
        <f t="shared" si="114"/>
        <v>3.8886400000000005</v>
      </c>
      <c r="F200" s="170">
        <f t="shared" si="129"/>
        <v>16.202666666666669</v>
      </c>
      <c r="G200" s="170">
        <f t="shared" si="115"/>
        <v>12.962133333333336</v>
      </c>
      <c r="H200" s="170">
        <f t="shared" si="116"/>
        <v>8.1013333333333346</v>
      </c>
      <c r="I200" s="170">
        <f t="shared" si="130"/>
        <v>8</v>
      </c>
      <c r="J200" s="171">
        <f t="shared" si="132"/>
        <v>0</v>
      </c>
      <c r="K200" s="166" t="str">
        <f>D200&amp;-4</f>
        <v>24-4</v>
      </c>
      <c r="L200" s="170">
        <f t="shared" si="131"/>
        <v>0.2</v>
      </c>
      <c r="M200" s="170">
        <f t="shared" si="131"/>
        <v>150</v>
      </c>
      <c r="N200" s="170">
        <f t="shared" si="131"/>
        <v>750</v>
      </c>
    </row>
    <row r="201" spans="1:14" s="163" customFormat="1" ht="15.75" thickBot="1" x14ac:dyDescent="0.3">
      <c r="A201" s="229">
        <f t="shared" si="102"/>
        <v>959</v>
      </c>
      <c r="B201" s="230">
        <f t="shared" si="103"/>
        <v>191</v>
      </c>
      <c r="C201" s="218" t="str">
        <f t="shared" si="101"/>
        <v>L13X24#000_000_05</v>
      </c>
      <c r="D201" s="169">
        <f t="shared" si="128"/>
        <v>24</v>
      </c>
      <c r="E201" s="173">
        <f t="shared" si="114"/>
        <v>3.8886400000000005</v>
      </c>
      <c r="F201" s="170">
        <f t="shared" si="129"/>
        <v>16.202666666666669</v>
      </c>
      <c r="G201" s="170">
        <f t="shared" si="115"/>
        <v>12.962133333333336</v>
      </c>
      <c r="H201" s="170">
        <f t="shared" si="116"/>
        <v>8.1013333333333346</v>
      </c>
      <c r="I201" s="170">
        <f t="shared" si="130"/>
        <v>8</v>
      </c>
      <c r="J201" s="171">
        <f t="shared" si="132"/>
        <v>0</v>
      </c>
      <c r="K201" s="166" t="str">
        <f>D201&amp;-5</f>
        <v>24-5</v>
      </c>
      <c r="L201" s="170">
        <f t="shared" si="131"/>
        <v>0.2</v>
      </c>
      <c r="M201" s="170">
        <f t="shared" si="131"/>
        <v>150</v>
      </c>
      <c r="N201" s="170">
        <f t="shared" si="131"/>
        <v>750</v>
      </c>
    </row>
    <row r="202" spans="1:14" s="163" customFormat="1" ht="15.75" thickBot="1" x14ac:dyDescent="0.3">
      <c r="A202" s="229">
        <f t="shared" si="102"/>
        <v>960</v>
      </c>
      <c r="B202" s="230">
        <f t="shared" si="103"/>
        <v>192</v>
      </c>
      <c r="C202" s="218" t="str">
        <f t="shared" si="101"/>
        <v>L13X24#000_000_06</v>
      </c>
      <c r="D202" s="169">
        <f t="shared" si="128"/>
        <v>24</v>
      </c>
      <c r="E202" s="173">
        <f t="shared" si="114"/>
        <v>3.8886400000000005</v>
      </c>
      <c r="F202" s="170">
        <f t="shared" si="129"/>
        <v>16.202666666666669</v>
      </c>
      <c r="G202" s="170">
        <f t="shared" si="115"/>
        <v>12.962133333333336</v>
      </c>
      <c r="H202" s="170">
        <f t="shared" si="116"/>
        <v>8.1013333333333346</v>
      </c>
      <c r="I202" s="170">
        <f t="shared" si="130"/>
        <v>8</v>
      </c>
      <c r="J202" s="171">
        <f t="shared" si="132"/>
        <v>0</v>
      </c>
      <c r="K202" s="166" t="str">
        <f>D202&amp;-6</f>
        <v>24-6</v>
      </c>
      <c r="L202" s="170">
        <f t="shared" si="131"/>
        <v>0.2</v>
      </c>
      <c r="M202" s="170">
        <f t="shared" si="131"/>
        <v>150</v>
      </c>
      <c r="N202" s="170">
        <f t="shared" si="131"/>
        <v>750</v>
      </c>
    </row>
    <row r="203" spans="1:14" s="163" customFormat="1" ht="15.75" thickBot="1" x14ac:dyDescent="0.3">
      <c r="A203" s="229">
        <f t="shared" si="102"/>
        <v>961</v>
      </c>
      <c r="B203" s="230">
        <f t="shared" si="103"/>
        <v>193</v>
      </c>
      <c r="C203" s="218" t="str">
        <f t="shared" si="101"/>
        <v>L13X24#008_000_01</v>
      </c>
      <c r="D203" s="169">
        <f t="shared" si="128"/>
        <v>24</v>
      </c>
      <c r="E203" s="173">
        <f t="shared" si="114"/>
        <v>3.8886400000000005</v>
      </c>
      <c r="F203" s="170">
        <f t="shared" si="129"/>
        <v>16.202666666666669</v>
      </c>
      <c r="G203" s="170">
        <f t="shared" si="115"/>
        <v>12.962133333333336</v>
      </c>
      <c r="H203" s="170">
        <f t="shared" si="116"/>
        <v>8.1013333333333346</v>
      </c>
      <c r="I203" s="170">
        <f t="shared" si="130"/>
        <v>8</v>
      </c>
      <c r="J203" s="171">
        <f t="shared" ref="J203:J208" si="133">yaw_max</f>
        <v>8</v>
      </c>
      <c r="K203" s="166" t="str">
        <f>D203&amp;-1</f>
        <v>24-1</v>
      </c>
      <c r="L203" s="170">
        <f t="shared" si="131"/>
        <v>0.2</v>
      </c>
      <c r="M203" s="170">
        <f t="shared" si="131"/>
        <v>150</v>
      </c>
      <c r="N203" s="170">
        <f t="shared" si="131"/>
        <v>750</v>
      </c>
    </row>
    <row r="204" spans="1:14" s="163" customFormat="1" ht="15.75" thickBot="1" x14ac:dyDescent="0.3">
      <c r="A204" s="229">
        <f t="shared" si="102"/>
        <v>962</v>
      </c>
      <c r="B204" s="230">
        <f t="shared" si="103"/>
        <v>194</v>
      </c>
      <c r="C204" s="218" t="str">
        <f t="shared" ref="C204:C221" si="134">TEXT(RIGHT($B$2,LEN($B$2)-3),"L00")&amp;"X"&amp;TEXT(D204,"00")&amp;"#"&amp;IF(J204&lt;0,TEXT(360+J204,"000"),TEXT(J204,"000"))&amp;"_"&amp;"000"&amp;"_"&amp;TEXT(RIGHT(K204,LEN(K204)-FIND("-",K204)),"00")</f>
        <v>L13X24#008_000_02</v>
      </c>
      <c r="D204" s="169">
        <f t="shared" si="128"/>
        <v>24</v>
      </c>
      <c r="E204" s="173">
        <f t="shared" si="114"/>
        <v>3.8886400000000005</v>
      </c>
      <c r="F204" s="170">
        <f t="shared" si="129"/>
        <v>16.202666666666669</v>
      </c>
      <c r="G204" s="170">
        <f t="shared" si="115"/>
        <v>12.962133333333336</v>
      </c>
      <c r="H204" s="170">
        <f t="shared" si="116"/>
        <v>8.1013333333333346</v>
      </c>
      <c r="I204" s="170">
        <f t="shared" si="130"/>
        <v>8</v>
      </c>
      <c r="J204" s="171">
        <f t="shared" si="133"/>
        <v>8</v>
      </c>
      <c r="K204" s="166" t="str">
        <f>D204&amp;-2</f>
        <v>24-2</v>
      </c>
      <c r="L204" s="170">
        <f t="shared" si="131"/>
        <v>0.2</v>
      </c>
      <c r="M204" s="170">
        <f t="shared" si="131"/>
        <v>150</v>
      </c>
      <c r="N204" s="170">
        <f t="shared" si="131"/>
        <v>750</v>
      </c>
    </row>
    <row r="205" spans="1:14" s="163" customFormat="1" ht="15.75" thickBot="1" x14ac:dyDescent="0.3">
      <c r="A205" s="229">
        <f t="shared" ref="A205:A226" si="135">A204+1</f>
        <v>963</v>
      </c>
      <c r="B205" s="230">
        <f t="shared" ref="B205:B226" si="136">B204+1</f>
        <v>195</v>
      </c>
      <c r="C205" s="218" t="str">
        <f t="shared" si="134"/>
        <v>L13X24#008_000_03</v>
      </c>
      <c r="D205" s="169">
        <f t="shared" si="128"/>
        <v>24</v>
      </c>
      <c r="E205" s="173">
        <f t="shared" si="114"/>
        <v>3.8886400000000005</v>
      </c>
      <c r="F205" s="170">
        <f t="shared" si="129"/>
        <v>16.202666666666669</v>
      </c>
      <c r="G205" s="170">
        <f t="shared" si="115"/>
        <v>12.962133333333336</v>
      </c>
      <c r="H205" s="170">
        <f t="shared" si="116"/>
        <v>8.1013333333333346</v>
      </c>
      <c r="I205" s="170">
        <f t="shared" si="130"/>
        <v>8</v>
      </c>
      <c r="J205" s="171">
        <f t="shared" si="133"/>
        <v>8</v>
      </c>
      <c r="K205" s="166" t="str">
        <f>D205&amp;-3</f>
        <v>24-3</v>
      </c>
      <c r="L205" s="170">
        <f t="shared" si="131"/>
        <v>0.2</v>
      </c>
      <c r="M205" s="170">
        <f t="shared" si="131"/>
        <v>150</v>
      </c>
      <c r="N205" s="170">
        <f t="shared" si="131"/>
        <v>750</v>
      </c>
    </row>
    <row r="206" spans="1:14" s="163" customFormat="1" ht="15.75" thickBot="1" x14ac:dyDescent="0.3">
      <c r="A206" s="229">
        <f t="shared" si="135"/>
        <v>964</v>
      </c>
      <c r="B206" s="230">
        <f t="shared" si="136"/>
        <v>196</v>
      </c>
      <c r="C206" s="218" t="str">
        <f t="shared" si="134"/>
        <v>L13X24#008_000_04</v>
      </c>
      <c r="D206" s="169">
        <f t="shared" si="128"/>
        <v>24</v>
      </c>
      <c r="E206" s="173">
        <f t="shared" si="114"/>
        <v>3.8886400000000005</v>
      </c>
      <c r="F206" s="170">
        <f t="shared" si="129"/>
        <v>16.202666666666669</v>
      </c>
      <c r="G206" s="170">
        <f t="shared" si="115"/>
        <v>12.962133333333336</v>
      </c>
      <c r="H206" s="170">
        <f t="shared" si="116"/>
        <v>8.1013333333333346</v>
      </c>
      <c r="I206" s="170">
        <f t="shared" si="130"/>
        <v>8</v>
      </c>
      <c r="J206" s="171">
        <f t="shared" si="133"/>
        <v>8</v>
      </c>
      <c r="K206" s="166" t="str">
        <f>D206&amp;-4</f>
        <v>24-4</v>
      </c>
      <c r="L206" s="170">
        <f t="shared" si="131"/>
        <v>0.2</v>
      </c>
      <c r="M206" s="170">
        <f t="shared" si="131"/>
        <v>150</v>
      </c>
      <c r="N206" s="170">
        <f t="shared" si="131"/>
        <v>750</v>
      </c>
    </row>
    <row r="207" spans="1:14" s="163" customFormat="1" ht="15.75" thickBot="1" x14ac:dyDescent="0.3">
      <c r="A207" s="229">
        <f t="shared" si="135"/>
        <v>965</v>
      </c>
      <c r="B207" s="230">
        <f t="shared" si="136"/>
        <v>197</v>
      </c>
      <c r="C207" s="218" t="str">
        <f t="shared" si="134"/>
        <v>L13X24#008_000_05</v>
      </c>
      <c r="D207" s="169">
        <f t="shared" si="128"/>
        <v>24</v>
      </c>
      <c r="E207" s="173">
        <f t="shared" si="114"/>
        <v>3.8886400000000005</v>
      </c>
      <c r="F207" s="170">
        <f t="shared" si="129"/>
        <v>16.202666666666669</v>
      </c>
      <c r="G207" s="170">
        <f t="shared" si="115"/>
        <v>12.962133333333336</v>
      </c>
      <c r="H207" s="170">
        <f t="shared" si="116"/>
        <v>8.1013333333333346</v>
      </c>
      <c r="I207" s="170">
        <f t="shared" si="130"/>
        <v>8</v>
      </c>
      <c r="J207" s="171">
        <f t="shared" si="133"/>
        <v>8</v>
      </c>
      <c r="K207" s="166" t="str">
        <f>D207&amp;-5</f>
        <v>24-5</v>
      </c>
      <c r="L207" s="170">
        <f t="shared" si="131"/>
        <v>0.2</v>
      </c>
      <c r="M207" s="170">
        <f t="shared" si="131"/>
        <v>150</v>
      </c>
      <c r="N207" s="170">
        <f t="shared" si="131"/>
        <v>750</v>
      </c>
    </row>
    <row r="208" spans="1:14" s="163" customFormat="1" ht="15.75" thickBot="1" x14ac:dyDescent="0.3">
      <c r="A208" s="229">
        <f t="shared" si="135"/>
        <v>966</v>
      </c>
      <c r="B208" s="230">
        <f t="shared" si="136"/>
        <v>198</v>
      </c>
      <c r="C208" s="218" t="str">
        <f t="shared" si="134"/>
        <v>L13X24#008_000_06</v>
      </c>
      <c r="D208" s="169">
        <f t="shared" si="128"/>
        <v>24</v>
      </c>
      <c r="E208" s="173">
        <f t="shared" si="114"/>
        <v>3.8886400000000005</v>
      </c>
      <c r="F208" s="170">
        <f t="shared" si="129"/>
        <v>16.202666666666669</v>
      </c>
      <c r="G208" s="170">
        <f t="shared" si="115"/>
        <v>12.962133333333336</v>
      </c>
      <c r="H208" s="170">
        <f t="shared" si="116"/>
        <v>8.1013333333333346</v>
      </c>
      <c r="I208" s="170">
        <f t="shared" si="130"/>
        <v>8</v>
      </c>
      <c r="J208" s="171">
        <f t="shared" si="133"/>
        <v>8</v>
      </c>
      <c r="K208" s="166" t="str">
        <f>D208&amp;-6</f>
        <v>24-6</v>
      </c>
      <c r="L208" s="170">
        <f t="shared" si="131"/>
        <v>0.2</v>
      </c>
      <c r="M208" s="170">
        <f t="shared" si="131"/>
        <v>150</v>
      </c>
      <c r="N208" s="170">
        <f t="shared" si="131"/>
        <v>750</v>
      </c>
    </row>
    <row r="209" spans="1:14" ht="15.75" thickBot="1" x14ac:dyDescent="0.3">
      <c r="A209" s="229">
        <f t="shared" si="135"/>
        <v>967</v>
      </c>
      <c r="B209" s="230">
        <f t="shared" si="136"/>
        <v>199</v>
      </c>
      <c r="C209" s="218" t="str">
        <f t="shared" si="134"/>
        <v>L13X25#352_000_01</v>
      </c>
      <c r="D209" s="231">
        <f>v_out</f>
        <v>25</v>
      </c>
      <c r="E209" s="239">
        <f t="shared" ref="E209:E226" si="137">t_c*I_ref*(0.072*(v_ave/t_c+3)*(D209/t_c-4)+10)</f>
        <v>3.9566800000000004</v>
      </c>
      <c r="F209" s="232">
        <f t="shared" si="129"/>
        <v>15.826720000000002</v>
      </c>
      <c r="G209" s="232">
        <f t="shared" ref="G209:G226" si="138">m_ty*F209</f>
        <v>12.661376000000002</v>
      </c>
      <c r="H209" s="232">
        <f t="shared" ref="H209:H226" si="139">m_tz*F209</f>
        <v>7.9133600000000008</v>
      </c>
      <c r="I209" s="232">
        <f t="shared" si="130"/>
        <v>8</v>
      </c>
      <c r="J209" s="233">
        <f t="shared" ref="J209:J214" si="140">yaw_min</f>
        <v>-8</v>
      </c>
      <c r="K209" s="228" t="str">
        <f>D209&amp;-1</f>
        <v>25-1</v>
      </c>
      <c r="L209" s="232">
        <f t="shared" ref="L209:N209" si="141">L208</f>
        <v>0.2</v>
      </c>
      <c r="M209" s="232">
        <f t="shared" si="141"/>
        <v>150</v>
      </c>
      <c r="N209" s="232">
        <f t="shared" si="141"/>
        <v>750</v>
      </c>
    </row>
    <row r="210" spans="1:14" ht="15.75" thickBot="1" x14ac:dyDescent="0.3">
      <c r="A210" s="229">
        <f t="shared" si="135"/>
        <v>968</v>
      </c>
      <c r="B210" s="230">
        <f t="shared" si="136"/>
        <v>200</v>
      </c>
      <c r="C210" s="218" t="str">
        <f t="shared" si="134"/>
        <v>L13X25#352_000_02</v>
      </c>
      <c r="D210" s="231">
        <f>D209</f>
        <v>25</v>
      </c>
      <c r="E210" s="239">
        <f t="shared" si="137"/>
        <v>3.9566800000000004</v>
      </c>
      <c r="F210" s="232">
        <f>E210/D210*100</f>
        <v>15.826720000000002</v>
      </c>
      <c r="G210" s="232">
        <f t="shared" si="138"/>
        <v>12.661376000000002</v>
      </c>
      <c r="H210" s="232">
        <f t="shared" si="139"/>
        <v>7.9133600000000008</v>
      </c>
      <c r="I210" s="232">
        <f>I209</f>
        <v>8</v>
      </c>
      <c r="J210" s="233">
        <f t="shared" si="140"/>
        <v>-8</v>
      </c>
      <c r="K210" s="228" t="str">
        <f>D210&amp;-2</f>
        <v>25-2</v>
      </c>
      <c r="L210" s="232">
        <f>L209</f>
        <v>0.2</v>
      </c>
      <c r="M210" s="232">
        <f>M209</f>
        <v>150</v>
      </c>
      <c r="N210" s="232">
        <f>N209</f>
        <v>750</v>
      </c>
    </row>
    <row r="211" spans="1:14" ht="15.75" thickBot="1" x14ac:dyDescent="0.3">
      <c r="A211" s="229">
        <f t="shared" si="135"/>
        <v>969</v>
      </c>
      <c r="B211" s="230">
        <f t="shared" si="136"/>
        <v>201</v>
      </c>
      <c r="C211" s="218" t="str">
        <f t="shared" si="134"/>
        <v>L13X25#352_000_03</v>
      </c>
      <c r="D211" s="231">
        <f t="shared" ref="D211:D226" si="142">D210</f>
        <v>25</v>
      </c>
      <c r="E211" s="239">
        <f t="shared" si="137"/>
        <v>3.9566800000000004</v>
      </c>
      <c r="F211" s="232">
        <f t="shared" ref="F211:F226" si="143">E211/D211*100</f>
        <v>15.826720000000002</v>
      </c>
      <c r="G211" s="232">
        <f t="shared" si="138"/>
        <v>12.661376000000002</v>
      </c>
      <c r="H211" s="232">
        <f t="shared" si="139"/>
        <v>7.9133600000000008</v>
      </c>
      <c r="I211" s="232">
        <f t="shared" si="130"/>
        <v>8</v>
      </c>
      <c r="J211" s="233">
        <f t="shared" si="140"/>
        <v>-8</v>
      </c>
      <c r="K211" s="228" t="str">
        <f>D211&amp;-3</f>
        <v>25-3</v>
      </c>
      <c r="L211" s="232">
        <f t="shared" ref="L211:N211" si="144">L210</f>
        <v>0.2</v>
      </c>
      <c r="M211" s="232">
        <f t="shared" si="144"/>
        <v>150</v>
      </c>
      <c r="N211" s="232">
        <f t="shared" si="144"/>
        <v>750</v>
      </c>
    </row>
    <row r="212" spans="1:14" ht="15.75" thickBot="1" x14ac:dyDescent="0.3">
      <c r="A212" s="229">
        <f t="shared" si="135"/>
        <v>970</v>
      </c>
      <c r="B212" s="230">
        <f t="shared" si="136"/>
        <v>202</v>
      </c>
      <c r="C212" s="218" t="str">
        <f t="shared" si="134"/>
        <v>L13X25#352_000_04</v>
      </c>
      <c r="D212" s="231">
        <f t="shared" si="142"/>
        <v>25</v>
      </c>
      <c r="E212" s="239">
        <f t="shared" si="137"/>
        <v>3.9566800000000004</v>
      </c>
      <c r="F212" s="232">
        <f t="shared" si="143"/>
        <v>15.826720000000002</v>
      </c>
      <c r="G212" s="232">
        <f t="shared" si="138"/>
        <v>12.661376000000002</v>
      </c>
      <c r="H212" s="232">
        <f t="shared" si="139"/>
        <v>7.9133600000000008</v>
      </c>
      <c r="I212" s="232">
        <f t="shared" si="130"/>
        <v>8</v>
      </c>
      <c r="J212" s="233">
        <f t="shared" si="140"/>
        <v>-8</v>
      </c>
      <c r="K212" s="228" t="str">
        <f>D212&amp;-4</f>
        <v>25-4</v>
      </c>
      <c r="L212" s="232">
        <f t="shared" ref="L212:N212" si="145">L211</f>
        <v>0.2</v>
      </c>
      <c r="M212" s="232">
        <f t="shared" si="145"/>
        <v>150</v>
      </c>
      <c r="N212" s="232">
        <f t="shared" si="145"/>
        <v>750</v>
      </c>
    </row>
    <row r="213" spans="1:14" ht="15.75" thickBot="1" x14ac:dyDescent="0.3">
      <c r="A213" s="229">
        <f t="shared" si="135"/>
        <v>971</v>
      </c>
      <c r="B213" s="230">
        <f t="shared" si="136"/>
        <v>203</v>
      </c>
      <c r="C213" s="218" t="str">
        <f t="shared" si="134"/>
        <v>L13X25#352_000_05</v>
      </c>
      <c r="D213" s="231">
        <f t="shared" si="142"/>
        <v>25</v>
      </c>
      <c r="E213" s="239">
        <f t="shared" si="137"/>
        <v>3.9566800000000004</v>
      </c>
      <c r="F213" s="232">
        <f t="shared" si="143"/>
        <v>15.826720000000002</v>
      </c>
      <c r="G213" s="232">
        <f t="shared" si="138"/>
        <v>12.661376000000002</v>
      </c>
      <c r="H213" s="232">
        <f t="shared" si="139"/>
        <v>7.9133600000000008</v>
      </c>
      <c r="I213" s="232">
        <f t="shared" si="130"/>
        <v>8</v>
      </c>
      <c r="J213" s="233">
        <f t="shared" si="140"/>
        <v>-8</v>
      </c>
      <c r="K213" s="228" t="str">
        <f>D213&amp;-5</f>
        <v>25-5</v>
      </c>
      <c r="L213" s="232">
        <f t="shared" ref="L213:N213" si="146">L212</f>
        <v>0.2</v>
      </c>
      <c r="M213" s="232">
        <f t="shared" si="146"/>
        <v>150</v>
      </c>
      <c r="N213" s="232">
        <f t="shared" si="146"/>
        <v>750</v>
      </c>
    </row>
    <row r="214" spans="1:14" ht="15.75" thickBot="1" x14ac:dyDescent="0.3">
      <c r="A214" s="229">
        <f t="shared" si="135"/>
        <v>972</v>
      </c>
      <c r="B214" s="230">
        <f t="shared" si="136"/>
        <v>204</v>
      </c>
      <c r="C214" s="218" t="str">
        <f t="shared" si="134"/>
        <v>L13X25#352_000_06</v>
      </c>
      <c r="D214" s="231">
        <f t="shared" si="142"/>
        <v>25</v>
      </c>
      <c r="E214" s="239">
        <f t="shared" si="137"/>
        <v>3.9566800000000004</v>
      </c>
      <c r="F214" s="232">
        <f t="shared" si="143"/>
        <v>15.826720000000002</v>
      </c>
      <c r="G214" s="232">
        <f t="shared" si="138"/>
        <v>12.661376000000002</v>
      </c>
      <c r="H214" s="232">
        <f t="shared" si="139"/>
        <v>7.9133600000000008</v>
      </c>
      <c r="I214" s="232">
        <f t="shared" si="130"/>
        <v>8</v>
      </c>
      <c r="J214" s="233">
        <f t="shared" si="140"/>
        <v>-8</v>
      </c>
      <c r="K214" s="228" t="str">
        <f>D214&amp;-6</f>
        <v>25-6</v>
      </c>
      <c r="L214" s="232">
        <f t="shared" ref="L214:N214" si="147">L213</f>
        <v>0.2</v>
      </c>
      <c r="M214" s="232">
        <f t="shared" si="147"/>
        <v>150</v>
      </c>
      <c r="N214" s="232">
        <f t="shared" si="147"/>
        <v>750</v>
      </c>
    </row>
    <row r="215" spans="1:14" ht="15.75" thickBot="1" x14ac:dyDescent="0.3">
      <c r="A215" s="229">
        <f t="shared" si="135"/>
        <v>973</v>
      </c>
      <c r="B215" s="230">
        <f t="shared" si="136"/>
        <v>205</v>
      </c>
      <c r="C215" s="218" t="str">
        <f t="shared" si="134"/>
        <v>L13X25#000_000_01</v>
      </c>
      <c r="D215" s="231">
        <f t="shared" si="142"/>
        <v>25</v>
      </c>
      <c r="E215" s="239">
        <f t="shared" si="137"/>
        <v>3.9566800000000004</v>
      </c>
      <c r="F215" s="232">
        <f t="shared" si="143"/>
        <v>15.826720000000002</v>
      </c>
      <c r="G215" s="232">
        <f t="shared" si="138"/>
        <v>12.661376000000002</v>
      </c>
      <c r="H215" s="232">
        <f t="shared" si="139"/>
        <v>7.9133600000000008</v>
      </c>
      <c r="I215" s="232">
        <f t="shared" si="130"/>
        <v>8</v>
      </c>
      <c r="J215" s="233">
        <f t="shared" ref="J215:J220" si="148">yaw_null</f>
        <v>0</v>
      </c>
      <c r="K215" s="228" t="str">
        <f>D215&amp;-1</f>
        <v>25-1</v>
      </c>
      <c r="L215" s="232">
        <f t="shared" ref="L215:N215" si="149">L214</f>
        <v>0.2</v>
      </c>
      <c r="M215" s="232">
        <f t="shared" si="149"/>
        <v>150</v>
      </c>
      <c r="N215" s="232">
        <f t="shared" si="149"/>
        <v>750</v>
      </c>
    </row>
    <row r="216" spans="1:14" ht="15.75" thickBot="1" x14ac:dyDescent="0.3">
      <c r="A216" s="229">
        <f t="shared" si="135"/>
        <v>974</v>
      </c>
      <c r="B216" s="230">
        <f t="shared" si="136"/>
        <v>206</v>
      </c>
      <c r="C216" s="218" t="str">
        <f t="shared" si="134"/>
        <v>L13X25#000_000_02</v>
      </c>
      <c r="D216" s="231">
        <f t="shared" si="142"/>
        <v>25</v>
      </c>
      <c r="E216" s="239">
        <f t="shared" si="137"/>
        <v>3.9566800000000004</v>
      </c>
      <c r="F216" s="232">
        <f t="shared" si="143"/>
        <v>15.826720000000002</v>
      </c>
      <c r="G216" s="232">
        <f t="shared" si="138"/>
        <v>12.661376000000002</v>
      </c>
      <c r="H216" s="232">
        <f t="shared" si="139"/>
        <v>7.9133600000000008</v>
      </c>
      <c r="I216" s="232">
        <f t="shared" si="130"/>
        <v>8</v>
      </c>
      <c r="J216" s="233">
        <f t="shared" si="148"/>
        <v>0</v>
      </c>
      <c r="K216" s="228" t="str">
        <f>D216&amp;-2</f>
        <v>25-2</v>
      </c>
      <c r="L216" s="232">
        <f t="shared" ref="L216:N216" si="150">L215</f>
        <v>0.2</v>
      </c>
      <c r="M216" s="232">
        <f t="shared" si="150"/>
        <v>150</v>
      </c>
      <c r="N216" s="232">
        <f t="shared" si="150"/>
        <v>750</v>
      </c>
    </row>
    <row r="217" spans="1:14" ht="15.75" thickBot="1" x14ac:dyDescent="0.3">
      <c r="A217" s="229">
        <f t="shared" si="135"/>
        <v>975</v>
      </c>
      <c r="B217" s="230">
        <f t="shared" si="136"/>
        <v>207</v>
      </c>
      <c r="C217" s="218" t="str">
        <f t="shared" si="134"/>
        <v>L13X25#000_000_03</v>
      </c>
      <c r="D217" s="231">
        <f t="shared" si="142"/>
        <v>25</v>
      </c>
      <c r="E217" s="239">
        <f t="shared" si="137"/>
        <v>3.9566800000000004</v>
      </c>
      <c r="F217" s="232">
        <f t="shared" si="143"/>
        <v>15.826720000000002</v>
      </c>
      <c r="G217" s="232">
        <f t="shared" si="138"/>
        <v>12.661376000000002</v>
      </c>
      <c r="H217" s="232">
        <f t="shared" si="139"/>
        <v>7.9133600000000008</v>
      </c>
      <c r="I217" s="232">
        <f t="shared" si="130"/>
        <v>8</v>
      </c>
      <c r="J217" s="233">
        <f t="shared" si="148"/>
        <v>0</v>
      </c>
      <c r="K217" s="228" t="str">
        <f>D217&amp;-3</f>
        <v>25-3</v>
      </c>
      <c r="L217" s="232">
        <f t="shared" ref="L217:N217" si="151">L216</f>
        <v>0.2</v>
      </c>
      <c r="M217" s="232">
        <f t="shared" si="151"/>
        <v>150</v>
      </c>
      <c r="N217" s="232">
        <f t="shared" si="151"/>
        <v>750</v>
      </c>
    </row>
    <row r="218" spans="1:14" ht="15.75" thickBot="1" x14ac:dyDescent="0.3">
      <c r="A218" s="229">
        <f t="shared" si="135"/>
        <v>976</v>
      </c>
      <c r="B218" s="230">
        <f t="shared" si="136"/>
        <v>208</v>
      </c>
      <c r="C218" s="218" t="str">
        <f t="shared" si="134"/>
        <v>L13X25#000_000_04</v>
      </c>
      <c r="D218" s="231">
        <f t="shared" si="142"/>
        <v>25</v>
      </c>
      <c r="E218" s="239">
        <f t="shared" si="137"/>
        <v>3.9566800000000004</v>
      </c>
      <c r="F218" s="232">
        <f t="shared" si="143"/>
        <v>15.826720000000002</v>
      </c>
      <c r="G218" s="232">
        <f t="shared" si="138"/>
        <v>12.661376000000002</v>
      </c>
      <c r="H218" s="232">
        <f t="shared" si="139"/>
        <v>7.9133600000000008</v>
      </c>
      <c r="I218" s="232">
        <f t="shared" si="130"/>
        <v>8</v>
      </c>
      <c r="J218" s="233">
        <f t="shared" si="148"/>
        <v>0</v>
      </c>
      <c r="K218" s="228" t="str">
        <f>D218&amp;-4</f>
        <v>25-4</v>
      </c>
      <c r="L218" s="232">
        <f t="shared" ref="L218:N218" si="152">L217</f>
        <v>0.2</v>
      </c>
      <c r="M218" s="232">
        <f t="shared" si="152"/>
        <v>150</v>
      </c>
      <c r="N218" s="232">
        <f t="shared" si="152"/>
        <v>750</v>
      </c>
    </row>
    <row r="219" spans="1:14" ht="15.75" thickBot="1" x14ac:dyDescent="0.3">
      <c r="A219" s="229">
        <f t="shared" si="135"/>
        <v>977</v>
      </c>
      <c r="B219" s="230">
        <f t="shared" si="136"/>
        <v>209</v>
      </c>
      <c r="C219" s="218" t="str">
        <f t="shared" si="134"/>
        <v>L13X25#000_000_05</v>
      </c>
      <c r="D219" s="231">
        <f t="shared" si="142"/>
        <v>25</v>
      </c>
      <c r="E219" s="239">
        <f t="shared" si="137"/>
        <v>3.9566800000000004</v>
      </c>
      <c r="F219" s="232">
        <f t="shared" si="143"/>
        <v>15.826720000000002</v>
      </c>
      <c r="G219" s="232">
        <f t="shared" si="138"/>
        <v>12.661376000000002</v>
      </c>
      <c r="H219" s="232">
        <f t="shared" si="139"/>
        <v>7.9133600000000008</v>
      </c>
      <c r="I219" s="232">
        <f t="shared" si="130"/>
        <v>8</v>
      </c>
      <c r="J219" s="233">
        <f t="shared" si="148"/>
        <v>0</v>
      </c>
      <c r="K219" s="228" t="str">
        <f>D219&amp;-5</f>
        <v>25-5</v>
      </c>
      <c r="L219" s="232">
        <f t="shared" ref="L219:N219" si="153">L218</f>
        <v>0.2</v>
      </c>
      <c r="M219" s="232">
        <f t="shared" si="153"/>
        <v>150</v>
      </c>
      <c r="N219" s="232">
        <f t="shared" si="153"/>
        <v>750</v>
      </c>
    </row>
    <row r="220" spans="1:14" ht="15.75" thickBot="1" x14ac:dyDescent="0.3">
      <c r="A220" s="229">
        <f t="shared" si="135"/>
        <v>978</v>
      </c>
      <c r="B220" s="230">
        <f t="shared" si="136"/>
        <v>210</v>
      </c>
      <c r="C220" s="218" t="str">
        <f t="shared" si="134"/>
        <v>L13X25#000_000_06</v>
      </c>
      <c r="D220" s="231">
        <f t="shared" si="142"/>
        <v>25</v>
      </c>
      <c r="E220" s="239">
        <f t="shared" si="137"/>
        <v>3.9566800000000004</v>
      </c>
      <c r="F220" s="232">
        <f t="shared" si="143"/>
        <v>15.826720000000002</v>
      </c>
      <c r="G220" s="232">
        <f t="shared" si="138"/>
        <v>12.661376000000002</v>
      </c>
      <c r="H220" s="232">
        <f t="shared" si="139"/>
        <v>7.9133600000000008</v>
      </c>
      <c r="I220" s="232">
        <f t="shared" si="130"/>
        <v>8</v>
      </c>
      <c r="J220" s="233">
        <f t="shared" si="148"/>
        <v>0</v>
      </c>
      <c r="K220" s="228" t="str">
        <f>D220&amp;-6</f>
        <v>25-6</v>
      </c>
      <c r="L220" s="232">
        <f t="shared" ref="L220:N220" si="154">L219</f>
        <v>0.2</v>
      </c>
      <c r="M220" s="232">
        <f t="shared" si="154"/>
        <v>150</v>
      </c>
      <c r="N220" s="232">
        <f t="shared" si="154"/>
        <v>750</v>
      </c>
    </row>
    <row r="221" spans="1:14" ht="15.75" thickBot="1" x14ac:dyDescent="0.3">
      <c r="A221" s="229">
        <f t="shared" si="135"/>
        <v>979</v>
      </c>
      <c r="B221" s="230">
        <f t="shared" si="136"/>
        <v>211</v>
      </c>
      <c r="C221" s="218" t="str">
        <f t="shared" si="134"/>
        <v>L13X25#008_000_01</v>
      </c>
      <c r="D221" s="231">
        <f t="shared" si="142"/>
        <v>25</v>
      </c>
      <c r="E221" s="239">
        <f t="shared" si="137"/>
        <v>3.9566800000000004</v>
      </c>
      <c r="F221" s="232">
        <f t="shared" si="143"/>
        <v>15.826720000000002</v>
      </c>
      <c r="G221" s="232">
        <f t="shared" si="138"/>
        <v>12.661376000000002</v>
      </c>
      <c r="H221" s="232">
        <f t="shared" si="139"/>
        <v>7.9133600000000008</v>
      </c>
      <c r="I221" s="232">
        <f t="shared" si="130"/>
        <v>8</v>
      </c>
      <c r="J221" s="233">
        <f t="shared" ref="J221:J226" si="155">yaw_max</f>
        <v>8</v>
      </c>
      <c r="K221" s="228" t="str">
        <f>D221&amp;-1</f>
        <v>25-1</v>
      </c>
      <c r="L221" s="232">
        <f t="shared" ref="L221:N221" si="156">L220</f>
        <v>0.2</v>
      </c>
      <c r="M221" s="232">
        <f t="shared" si="156"/>
        <v>150</v>
      </c>
      <c r="N221" s="232">
        <f t="shared" si="156"/>
        <v>750</v>
      </c>
    </row>
    <row r="222" spans="1:14" ht="15.75" thickBot="1" x14ac:dyDescent="0.3">
      <c r="A222" s="229">
        <f t="shared" si="135"/>
        <v>980</v>
      </c>
      <c r="B222" s="230">
        <f t="shared" si="136"/>
        <v>212</v>
      </c>
      <c r="C222" s="218" t="str">
        <f t="shared" ref="C222:C226" si="157">TEXT(RIGHT($B$2,LEN($B$2)-3),"L00")&amp;"X"&amp;TEXT(D222,"00")&amp;"#"&amp;IF(J222&lt;0,TEXT(360+J222,"000"),TEXT(J222,"000"))&amp;"_"&amp;"000"&amp;"_"&amp;TEXT(RIGHT(K222,LEN(K222)-FIND("-",K222)),"00")</f>
        <v>L13X25#008_000_02</v>
      </c>
      <c r="D222" s="231">
        <f t="shared" si="142"/>
        <v>25</v>
      </c>
      <c r="E222" s="239">
        <f t="shared" si="137"/>
        <v>3.9566800000000004</v>
      </c>
      <c r="F222" s="232">
        <f t="shared" si="143"/>
        <v>15.826720000000002</v>
      </c>
      <c r="G222" s="232">
        <f t="shared" si="138"/>
        <v>12.661376000000002</v>
      </c>
      <c r="H222" s="232">
        <f t="shared" si="139"/>
        <v>7.9133600000000008</v>
      </c>
      <c r="I222" s="232">
        <f t="shared" si="130"/>
        <v>8</v>
      </c>
      <c r="J222" s="233">
        <f t="shared" si="155"/>
        <v>8</v>
      </c>
      <c r="K222" s="228" t="str">
        <f>D222&amp;-2</f>
        <v>25-2</v>
      </c>
      <c r="L222" s="232">
        <f t="shared" ref="L222:N222" si="158">L221</f>
        <v>0.2</v>
      </c>
      <c r="M222" s="232">
        <f t="shared" si="158"/>
        <v>150</v>
      </c>
      <c r="N222" s="232">
        <f t="shared" si="158"/>
        <v>750</v>
      </c>
    </row>
    <row r="223" spans="1:14" ht="15.75" thickBot="1" x14ac:dyDescent="0.3">
      <c r="A223" s="229">
        <f t="shared" si="135"/>
        <v>981</v>
      </c>
      <c r="B223" s="230">
        <f t="shared" si="136"/>
        <v>213</v>
      </c>
      <c r="C223" s="218" t="str">
        <f t="shared" si="157"/>
        <v>L13X25#008_000_03</v>
      </c>
      <c r="D223" s="231">
        <f t="shared" si="142"/>
        <v>25</v>
      </c>
      <c r="E223" s="239">
        <f t="shared" si="137"/>
        <v>3.9566800000000004</v>
      </c>
      <c r="F223" s="232">
        <f t="shared" si="143"/>
        <v>15.826720000000002</v>
      </c>
      <c r="G223" s="232">
        <f t="shared" si="138"/>
        <v>12.661376000000002</v>
      </c>
      <c r="H223" s="232">
        <f t="shared" si="139"/>
        <v>7.9133600000000008</v>
      </c>
      <c r="I223" s="232">
        <f t="shared" si="130"/>
        <v>8</v>
      </c>
      <c r="J223" s="233">
        <f t="shared" si="155"/>
        <v>8</v>
      </c>
      <c r="K223" s="228" t="str">
        <f>D223&amp;-3</f>
        <v>25-3</v>
      </c>
      <c r="L223" s="232">
        <f t="shared" ref="L223:N223" si="159">L222</f>
        <v>0.2</v>
      </c>
      <c r="M223" s="232">
        <f t="shared" si="159"/>
        <v>150</v>
      </c>
      <c r="N223" s="232">
        <f t="shared" si="159"/>
        <v>750</v>
      </c>
    </row>
    <row r="224" spans="1:14" ht="15.75" thickBot="1" x14ac:dyDescent="0.3">
      <c r="A224" s="229">
        <f t="shared" si="135"/>
        <v>982</v>
      </c>
      <c r="B224" s="230">
        <f t="shared" si="136"/>
        <v>214</v>
      </c>
      <c r="C224" s="218" t="str">
        <f t="shared" si="157"/>
        <v>L13X25#008_000_04</v>
      </c>
      <c r="D224" s="231">
        <f t="shared" si="142"/>
        <v>25</v>
      </c>
      <c r="E224" s="239">
        <f t="shared" si="137"/>
        <v>3.9566800000000004</v>
      </c>
      <c r="F224" s="232">
        <f t="shared" si="143"/>
        <v>15.826720000000002</v>
      </c>
      <c r="G224" s="232">
        <f t="shared" si="138"/>
        <v>12.661376000000002</v>
      </c>
      <c r="H224" s="232">
        <f t="shared" si="139"/>
        <v>7.9133600000000008</v>
      </c>
      <c r="I224" s="232">
        <f t="shared" si="130"/>
        <v>8</v>
      </c>
      <c r="J224" s="233">
        <f t="shared" si="155"/>
        <v>8</v>
      </c>
      <c r="K224" s="228" t="str">
        <f>D224&amp;-4</f>
        <v>25-4</v>
      </c>
      <c r="L224" s="232">
        <f t="shared" ref="L224:N224" si="160">L223</f>
        <v>0.2</v>
      </c>
      <c r="M224" s="232">
        <f t="shared" si="160"/>
        <v>150</v>
      </c>
      <c r="N224" s="232">
        <f t="shared" si="160"/>
        <v>750</v>
      </c>
    </row>
    <row r="225" spans="1:14" ht="15.75" thickBot="1" x14ac:dyDescent="0.3">
      <c r="A225" s="229">
        <f t="shared" si="135"/>
        <v>983</v>
      </c>
      <c r="B225" s="230">
        <f t="shared" si="136"/>
        <v>215</v>
      </c>
      <c r="C225" s="218" t="str">
        <f t="shared" si="157"/>
        <v>L13X25#008_000_05</v>
      </c>
      <c r="D225" s="231">
        <f t="shared" si="142"/>
        <v>25</v>
      </c>
      <c r="E225" s="239">
        <f t="shared" si="137"/>
        <v>3.9566800000000004</v>
      </c>
      <c r="F225" s="232">
        <f t="shared" si="143"/>
        <v>15.826720000000002</v>
      </c>
      <c r="G225" s="232">
        <f t="shared" si="138"/>
        <v>12.661376000000002</v>
      </c>
      <c r="H225" s="232">
        <f t="shared" si="139"/>
        <v>7.9133600000000008</v>
      </c>
      <c r="I225" s="232">
        <f t="shared" si="130"/>
        <v>8</v>
      </c>
      <c r="J225" s="233">
        <f t="shared" si="155"/>
        <v>8</v>
      </c>
      <c r="K225" s="228" t="str">
        <f>D225&amp;-5</f>
        <v>25-5</v>
      </c>
      <c r="L225" s="232">
        <f t="shared" ref="L225:N225" si="161">L224</f>
        <v>0.2</v>
      </c>
      <c r="M225" s="232">
        <f t="shared" si="161"/>
        <v>150</v>
      </c>
      <c r="N225" s="232">
        <f t="shared" si="161"/>
        <v>750</v>
      </c>
    </row>
    <row r="226" spans="1:14" x14ac:dyDescent="0.25">
      <c r="A226" s="229">
        <f t="shared" si="135"/>
        <v>984</v>
      </c>
      <c r="B226" s="230">
        <f t="shared" si="136"/>
        <v>216</v>
      </c>
      <c r="C226" s="218" t="str">
        <f t="shared" si="157"/>
        <v>L13X25#008_000_06</v>
      </c>
      <c r="D226" s="231">
        <f t="shared" si="142"/>
        <v>25</v>
      </c>
      <c r="E226" s="239">
        <f t="shared" si="137"/>
        <v>3.9566800000000004</v>
      </c>
      <c r="F226" s="232">
        <f t="shared" si="143"/>
        <v>15.826720000000002</v>
      </c>
      <c r="G226" s="232">
        <f t="shared" si="138"/>
        <v>12.661376000000002</v>
      </c>
      <c r="H226" s="232">
        <f t="shared" si="139"/>
        <v>7.9133600000000008</v>
      </c>
      <c r="I226" s="232">
        <f t="shared" si="130"/>
        <v>8</v>
      </c>
      <c r="J226" s="233">
        <f t="shared" si="155"/>
        <v>8</v>
      </c>
      <c r="K226" s="228" t="str">
        <f>D226&amp;-6</f>
        <v>25-6</v>
      </c>
      <c r="L226" s="232">
        <f t="shared" ref="L226:N226" si="162">L225</f>
        <v>0.2</v>
      </c>
      <c r="M226" s="232">
        <f t="shared" si="162"/>
        <v>150</v>
      </c>
      <c r="N226" s="232">
        <f t="shared" si="162"/>
        <v>750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6"/>
  <sheetViews>
    <sheetView zoomScaleNormal="100" workbookViewId="0">
      <selection activeCell="I1" sqref="I1:I7"/>
    </sheetView>
  </sheetViews>
  <sheetFormatPr defaultColWidth="9" defaultRowHeight="15" x14ac:dyDescent="0.15"/>
  <cols>
    <col min="1" max="1" width="7.375" style="23" customWidth="1"/>
    <col min="2" max="2" width="7.125" style="23" customWidth="1"/>
    <col min="3" max="3" width="33.375" style="23" customWidth="1"/>
    <col min="4" max="4" width="6.75" style="23" customWidth="1"/>
    <col min="5" max="5" width="6.875" style="23" customWidth="1"/>
    <col min="6" max="6" width="7.25" style="23" customWidth="1"/>
    <col min="7" max="7" width="7.375" style="23" customWidth="1"/>
    <col min="8" max="8" width="8" style="23" customWidth="1"/>
    <col min="9" max="9" width="7.75" style="23" customWidth="1"/>
    <col min="10" max="11" width="7.375" style="23" customWidth="1"/>
    <col min="12" max="12" width="6.75" style="23" customWidth="1"/>
    <col min="13" max="13" width="8.25" style="23" customWidth="1"/>
    <col min="14" max="14" width="7.125" style="23" customWidth="1"/>
    <col min="15" max="15" width="8.125" style="23" customWidth="1"/>
    <col min="16" max="16384" width="9" style="23"/>
  </cols>
  <sheetData>
    <row r="1" spans="1:15" x14ac:dyDescent="0.15">
      <c r="H1" s="216" t="s">
        <v>135</v>
      </c>
      <c r="I1" s="216" t="s">
        <v>3934</v>
      </c>
    </row>
    <row r="2" spans="1:15" x14ac:dyDescent="0.15">
      <c r="B2" s="22" t="s">
        <v>101</v>
      </c>
      <c r="C2" s="22"/>
      <c r="D2" s="22"/>
      <c r="E2" s="22"/>
      <c r="H2" s="216"/>
      <c r="I2" s="216" t="s">
        <v>3947</v>
      </c>
    </row>
    <row r="3" spans="1:15" x14ac:dyDescent="0.15">
      <c r="B3" s="22" t="s">
        <v>88</v>
      </c>
      <c r="C3" s="22"/>
      <c r="D3" s="22"/>
      <c r="E3" s="93" t="s">
        <v>910</v>
      </c>
      <c r="H3" s="216"/>
      <c r="I3" s="240" t="s">
        <v>3939</v>
      </c>
    </row>
    <row r="4" spans="1:15" x14ac:dyDescent="0.15">
      <c r="B4" s="22" t="s">
        <v>89</v>
      </c>
      <c r="C4" s="22"/>
      <c r="D4" s="22"/>
      <c r="E4" s="22" t="s">
        <v>90</v>
      </c>
      <c r="H4" s="216"/>
      <c r="I4" s="216" t="s">
        <v>3938</v>
      </c>
    </row>
    <row r="5" spans="1:15" x14ac:dyDescent="0.15">
      <c r="B5" s="22" t="s">
        <v>91</v>
      </c>
      <c r="C5" s="22"/>
      <c r="D5" s="22"/>
      <c r="E5" s="22" t="s">
        <v>99</v>
      </c>
      <c r="H5" s="216"/>
      <c r="I5" s="240" t="s">
        <v>3940</v>
      </c>
    </row>
    <row r="6" spans="1:15" x14ac:dyDescent="0.15">
      <c r="B6" s="22" t="s">
        <v>93</v>
      </c>
      <c r="C6" s="22"/>
      <c r="D6" s="22"/>
      <c r="E6" s="22" t="s">
        <v>100</v>
      </c>
      <c r="H6" s="216"/>
      <c r="I6" s="216" t="s">
        <v>3932</v>
      </c>
    </row>
    <row r="7" spans="1:15" x14ac:dyDescent="0.15">
      <c r="H7" s="139"/>
      <c r="I7" s="216" t="s">
        <v>3930</v>
      </c>
    </row>
    <row r="8" spans="1:15" ht="15.75" thickBot="1" x14ac:dyDescent="0.2"/>
    <row r="9" spans="1:15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25" t="s">
        <v>143</v>
      </c>
      <c r="F9" s="25" t="s">
        <v>146</v>
      </c>
      <c r="G9" s="27" t="s">
        <v>8</v>
      </c>
      <c r="H9" s="47" t="s">
        <v>21</v>
      </c>
      <c r="I9" s="25" t="s">
        <v>147</v>
      </c>
      <c r="J9" s="25" t="s">
        <v>1</v>
      </c>
      <c r="K9" s="25" t="s">
        <v>2</v>
      </c>
      <c r="L9" s="25" t="s">
        <v>10</v>
      </c>
      <c r="M9" s="25" t="s">
        <v>13</v>
      </c>
      <c r="N9" s="27" t="s">
        <v>138</v>
      </c>
      <c r="O9" s="27" t="s">
        <v>139</v>
      </c>
    </row>
    <row r="10" spans="1:15" ht="15.75" thickBot="1" x14ac:dyDescent="0.3">
      <c r="A10" s="29" t="s">
        <v>76</v>
      </c>
      <c r="B10" s="30" t="str">
        <f>B2</f>
        <v>DLC14</v>
      </c>
      <c r="C10" s="29"/>
      <c r="D10" s="30" t="s">
        <v>4</v>
      </c>
      <c r="E10" s="30" t="s">
        <v>4</v>
      </c>
      <c r="F10" s="30" t="s">
        <v>1719</v>
      </c>
      <c r="G10" s="32"/>
      <c r="H10" s="32" t="s">
        <v>17</v>
      </c>
      <c r="I10" s="32" t="s">
        <v>7</v>
      </c>
      <c r="J10" s="30" t="s">
        <v>6</v>
      </c>
      <c r="K10" s="30" t="s">
        <v>6</v>
      </c>
      <c r="L10" s="30"/>
      <c r="M10" s="32" t="s">
        <v>7</v>
      </c>
      <c r="N10" s="32" t="s">
        <v>7</v>
      </c>
      <c r="O10" s="32" t="s">
        <v>7</v>
      </c>
    </row>
    <row r="11" spans="1:15" ht="15.75" thickBot="1" x14ac:dyDescent="0.3">
      <c r="A11" s="24">
        <f>LOOKUP(9E+307,'DLC13'!A:A)+1</f>
        <v>985</v>
      </c>
      <c r="B11" s="27">
        <v>1</v>
      </c>
      <c r="C11" s="24" t="str">
        <f>TEXT(RIGHT($B$2,LEN($B$2)-3),"L00")&amp;IF(F11&gt;0,"A","B")&amp;TEXT(D11,"00")&amp;"#"&amp;IF(K11&lt;0,TEXT(360+K11,"000"),TEXT(K11,"000"))&amp;"_"&amp;TEXT(M11,"000")&amp;"_00"</f>
        <v>L14A08#000_000_00</v>
      </c>
      <c r="D11" s="34">
        <f t="shared" ref="D11:D18" si="0">vr_b</f>
        <v>7.8000000000000007</v>
      </c>
      <c r="E11" s="35">
        <f>ECD_v</f>
        <v>15</v>
      </c>
      <c r="F11" s="35">
        <f>720/D11</f>
        <v>92.307692307692292</v>
      </c>
      <c r="G11" s="42" t="s">
        <v>12</v>
      </c>
      <c r="H11" s="50">
        <f>ECD_t</f>
        <v>10</v>
      </c>
      <c r="I11" s="49">
        <f>trig_t</f>
        <v>160</v>
      </c>
      <c r="J11" s="35">
        <f>inflow</f>
        <v>8</v>
      </c>
      <c r="K11" s="35">
        <f>yaw_null</f>
        <v>0</v>
      </c>
      <c r="L11" s="36">
        <f>alpha_n</f>
        <v>0.2</v>
      </c>
      <c r="M11" s="49">
        <v>0</v>
      </c>
      <c r="N11" s="35">
        <f>t_out</f>
        <v>150</v>
      </c>
      <c r="O11" s="50">
        <f>N11+4*T_s2</f>
        <v>390</v>
      </c>
    </row>
    <row r="12" spans="1:15" ht="15.75" thickBot="1" x14ac:dyDescent="0.3">
      <c r="A12" s="41">
        <f t="shared" ref="A12:B18" si="1">A11+1</f>
        <v>986</v>
      </c>
      <c r="B12" s="42">
        <f t="shared" si="1"/>
        <v>2</v>
      </c>
      <c r="C12" s="218" t="str">
        <f t="shared" ref="C12:C34" si="2">TEXT(RIGHT($B$2,LEN($B$2)-3),"L00")&amp;IF(F12&gt;0,"A","B")&amp;TEXT(D12,"00")&amp;"#"&amp;IF(K12&lt;0,TEXT(360+K12,"000"),TEXT(K12,"000"))&amp;"_"&amp;TEXT(M12,"000")&amp;"_00"</f>
        <v>L14A08#000_030_00</v>
      </c>
      <c r="D12" s="43">
        <f t="shared" si="0"/>
        <v>7.8000000000000007</v>
      </c>
      <c r="E12" s="44">
        <f t="shared" ref="E12:L18" si="3">E11</f>
        <v>15</v>
      </c>
      <c r="F12" s="44">
        <f t="shared" si="3"/>
        <v>92.307692307692292</v>
      </c>
      <c r="G12" s="42" t="str">
        <f t="shared" si="3"/>
        <v>Half</v>
      </c>
      <c r="H12" s="50">
        <f t="shared" si="3"/>
        <v>10</v>
      </c>
      <c r="I12" s="49">
        <f t="shared" si="3"/>
        <v>160</v>
      </c>
      <c r="J12" s="44">
        <f t="shared" si="3"/>
        <v>8</v>
      </c>
      <c r="K12" s="44">
        <f t="shared" si="3"/>
        <v>0</v>
      </c>
      <c r="L12" s="45">
        <f t="shared" si="3"/>
        <v>0.2</v>
      </c>
      <c r="M12" s="49">
        <v>30</v>
      </c>
      <c r="N12" s="44">
        <f>N11</f>
        <v>150</v>
      </c>
      <c r="O12" s="50">
        <f>O11</f>
        <v>390</v>
      </c>
    </row>
    <row r="13" spans="1:15" ht="15.75" thickBot="1" x14ac:dyDescent="0.3">
      <c r="A13" s="41">
        <f t="shared" si="1"/>
        <v>987</v>
      </c>
      <c r="B13" s="42">
        <f t="shared" si="1"/>
        <v>3</v>
      </c>
      <c r="C13" s="218" t="str">
        <f t="shared" si="2"/>
        <v>L14A08#000_060_00</v>
      </c>
      <c r="D13" s="43">
        <f t="shared" si="0"/>
        <v>7.8000000000000007</v>
      </c>
      <c r="E13" s="44">
        <f t="shared" ref="E13" si="4">E12</f>
        <v>15</v>
      </c>
      <c r="F13" s="44">
        <f>F12</f>
        <v>92.307692307692292</v>
      </c>
      <c r="G13" s="42" t="str">
        <f t="shared" si="3"/>
        <v>Half</v>
      </c>
      <c r="H13" s="50">
        <f t="shared" si="3"/>
        <v>10</v>
      </c>
      <c r="I13" s="49">
        <f t="shared" si="3"/>
        <v>160</v>
      </c>
      <c r="J13" s="44">
        <f t="shared" si="3"/>
        <v>8</v>
      </c>
      <c r="K13" s="44">
        <f t="shared" si="3"/>
        <v>0</v>
      </c>
      <c r="L13" s="45">
        <f t="shared" si="3"/>
        <v>0.2</v>
      </c>
      <c r="M13" s="49">
        <v>60</v>
      </c>
      <c r="N13" s="44">
        <f t="shared" ref="N13:O18" si="5">N12</f>
        <v>150</v>
      </c>
      <c r="O13" s="50">
        <f t="shared" si="5"/>
        <v>390</v>
      </c>
    </row>
    <row r="14" spans="1:15" ht="15.75" thickBot="1" x14ac:dyDescent="0.3">
      <c r="A14" s="41">
        <f t="shared" si="1"/>
        <v>988</v>
      </c>
      <c r="B14" s="42">
        <f t="shared" si="1"/>
        <v>4</v>
      </c>
      <c r="C14" s="218" t="str">
        <f t="shared" si="2"/>
        <v>L14A08#000_090_00</v>
      </c>
      <c r="D14" s="43">
        <f t="shared" si="0"/>
        <v>7.8000000000000007</v>
      </c>
      <c r="E14" s="44">
        <f t="shared" ref="E14" si="6">E13</f>
        <v>15</v>
      </c>
      <c r="F14" s="44">
        <f>F13</f>
        <v>92.307692307692292</v>
      </c>
      <c r="G14" s="42" t="str">
        <f t="shared" si="3"/>
        <v>Half</v>
      </c>
      <c r="H14" s="50">
        <f t="shared" si="3"/>
        <v>10</v>
      </c>
      <c r="I14" s="49">
        <f t="shared" si="3"/>
        <v>160</v>
      </c>
      <c r="J14" s="44">
        <f t="shared" si="3"/>
        <v>8</v>
      </c>
      <c r="K14" s="44">
        <f t="shared" si="3"/>
        <v>0</v>
      </c>
      <c r="L14" s="45">
        <f t="shared" si="3"/>
        <v>0.2</v>
      </c>
      <c r="M14" s="49">
        <v>90</v>
      </c>
      <c r="N14" s="44">
        <f t="shared" si="5"/>
        <v>150</v>
      </c>
      <c r="O14" s="50">
        <f t="shared" si="5"/>
        <v>390</v>
      </c>
    </row>
    <row r="15" spans="1:15" ht="15.75" thickBot="1" x14ac:dyDescent="0.3">
      <c r="A15" s="41">
        <f>A14+1</f>
        <v>989</v>
      </c>
      <c r="B15" s="42">
        <f>B14+1</f>
        <v>5</v>
      </c>
      <c r="C15" s="218" t="str">
        <f t="shared" si="2"/>
        <v>L14B08#000_000_00</v>
      </c>
      <c r="D15" s="43">
        <f t="shared" si="0"/>
        <v>7.8000000000000007</v>
      </c>
      <c r="E15" s="44">
        <f>E14</f>
        <v>15</v>
      </c>
      <c r="F15" s="44">
        <f>-720/D15</f>
        <v>-92.307692307692292</v>
      </c>
      <c r="G15" s="42" t="str">
        <f>G14</f>
        <v>Half</v>
      </c>
      <c r="H15" s="50">
        <f>H14</f>
        <v>10</v>
      </c>
      <c r="I15" s="49">
        <f>I14</f>
        <v>160</v>
      </c>
      <c r="J15" s="44">
        <f>J14</f>
        <v>8</v>
      </c>
      <c r="K15" s="170">
        <f t="shared" ref="K15" si="7">K14</f>
        <v>0</v>
      </c>
      <c r="L15" s="45">
        <f>L14</f>
        <v>0.2</v>
      </c>
      <c r="M15" s="49">
        <v>0</v>
      </c>
      <c r="N15" s="44">
        <f>N14</f>
        <v>150</v>
      </c>
      <c r="O15" s="50">
        <f>O14</f>
        <v>390</v>
      </c>
    </row>
    <row r="16" spans="1:15" ht="15.75" thickBot="1" x14ac:dyDescent="0.3">
      <c r="A16" s="41">
        <f t="shared" si="1"/>
        <v>990</v>
      </c>
      <c r="B16" s="42">
        <f t="shared" si="1"/>
        <v>6</v>
      </c>
      <c r="C16" s="218" t="str">
        <f t="shared" si="2"/>
        <v>L14B08#000_030_00</v>
      </c>
      <c r="D16" s="43">
        <f t="shared" si="0"/>
        <v>7.8000000000000007</v>
      </c>
      <c r="E16" s="44">
        <f t="shared" ref="E16" si="8">E15</f>
        <v>15</v>
      </c>
      <c r="F16" s="44">
        <f>F15</f>
        <v>-92.307692307692292</v>
      </c>
      <c r="G16" s="42" t="str">
        <f t="shared" ref="G16:H18" si="9">G15</f>
        <v>Half</v>
      </c>
      <c r="H16" s="50">
        <f t="shared" si="9"/>
        <v>10</v>
      </c>
      <c r="I16" s="49">
        <f t="shared" si="3"/>
        <v>160</v>
      </c>
      <c r="J16" s="44">
        <f t="shared" si="3"/>
        <v>8</v>
      </c>
      <c r="K16" s="170">
        <f t="shared" ref="K16" si="10">K15</f>
        <v>0</v>
      </c>
      <c r="L16" s="45">
        <f t="shared" si="3"/>
        <v>0.2</v>
      </c>
      <c r="M16" s="49">
        <v>30</v>
      </c>
      <c r="N16" s="44">
        <f t="shared" si="5"/>
        <v>150</v>
      </c>
      <c r="O16" s="50">
        <f t="shared" si="5"/>
        <v>390</v>
      </c>
    </row>
    <row r="17" spans="1:15" ht="15.75" thickBot="1" x14ac:dyDescent="0.3">
      <c r="A17" s="41">
        <f t="shared" si="1"/>
        <v>991</v>
      </c>
      <c r="B17" s="42">
        <f t="shared" si="1"/>
        <v>7</v>
      </c>
      <c r="C17" s="218" t="str">
        <f t="shared" si="2"/>
        <v>L14B08#000_060_00</v>
      </c>
      <c r="D17" s="43">
        <f t="shared" si="0"/>
        <v>7.8000000000000007</v>
      </c>
      <c r="E17" s="44">
        <f t="shared" ref="E17" si="11">E16</f>
        <v>15</v>
      </c>
      <c r="F17" s="44">
        <f>F16</f>
        <v>-92.307692307692292</v>
      </c>
      <c r="G17" s="42" t="str">
        <f t="shared" si="9"/>
        <v>Half</v>
      </c>
      <c r="H17" s="50">
        <f t="shared" si="9"/>
        <v>10</v>
      </c>
      <c r="I17" s="49">
        <f t="shared" si="3"/>
        <v>160</v>
      </c>
      <c r="J17" s="44">
        <f t="shared" si="3"/>
        <v>8</v>
      </c>
      <c r="K17" s="170">
        <f t="shared" ref="K17" si="12">K16</f>
        <v>0</v>
      </c>
      <c r="L17" s="45">
        <f t="shared" si="3"/>
        <v>0.2</v>
      </c>
      <c r="M17" s="49">
        <v>60</v>
      </c>
      <c r="N17" s="44">
        <f t="shared" si="5"/>
        <v>150</v>
      </c>
      <c r="O17" s="50">
        <f t="shared" si="5"/>
        <v>390</v>
      </c>
    </row>
    <row r="18" spans="1:15" ht="15.75" thickBot="1" x14ac:dyDescent="0.3">
      <c r="A18" s="41">
        <f t="shared" si="1"/>
        <v>992</v>
      </c>
      <c r="B18" s="42">
        <f t="shared" si="1"/>
        <v>8</v>
      </c>
      <c r="C18" s="218" t="str">
        <f t="shared" si="2"/>
        <v>L14B08#000_090_00</v>
      </c>
      <c r="D18" s="43">
        <f t="shared" si="0"/>
        <v>7.8000000000000007</v>
      </c>
      <c r="E18" s="44">
        <f t="shared" ref="E18:E34" si="13">E17</f>
        <v>15</v>
      </c>
      <c r="F18" s="44">
        <f>F17</f>
        <v>-92.307692307692292</v>
      </c>
      <c r="G18" s="42" t="str">
        <f t="shared" si="9"/>
        <v>Half</v>
      </c>
      <c r="H18" s="50">
        <f t="shared" si="9"/>
        <v>10</v>
      </c>
      <c r="I18" s="49">
        <f t="shared" si="3"/>
        <v>160</v>
      </c>
      <c r="J18" s="44">
        <f t="shared" si="3"/>
        <v>8</v>
      </c>
      <c r="K18" s="170">
        <f t="shared" ref="K18" si="14">K17</f>
        <v>0</v>
      </c>
      <c r="L18" s="45">
        <f t="shared" si="3"/>
        <v>0.2</v>
      </c>
      <c r="M18" s="49">
        <v>90</v>
      </c>
      <c r="N18" s="44">
        <f t="shared" si="5"/>
        <v>150</v>
      </c>
      <c r="O18" s="50">
        <f t="shared" si="5"/>
        <v>390</v>
      </c>
    </row>
    <row r="19" spans="1:15" ht="15.75" thickBot="1" x14ac:dyDescent="0.3">
      <c r="A19" s="195">
        <f t="shared" ref="A19:B19" si="15">A18+1</f>
        <v>993</v>
      </c>
      <c r="B19" s="196">
        <f t="shared" si="15"/>
        <v>9</v>
      </c>
      <c r="C19" s="218" t="str">
        <f t="shared" si="2"/>
        <v>L14A10#000_000_00</v>
      </c>
      <c r="D19" s="43">
        <f t="shared" ref="D19:D26" si="16">v_r</f>
        <v>9.8000000000000007</v>
      </c>
      <c r="E19" s="170">
        <f>E18</f>
        <v>15</v>
      </c>
      <c r="F19" s="35">
        <f>720/D19</f>
        <v>73.469387755102034</v>
      </c>
      <c r="G19" s="196" t="str">
        <f t="shared" ref="G19:L19" si="17">G18</f>
        <v>Half</v>
      </c>
      <c r="H19" s="50">
        <f t="shared" si="17"/>
        <v>10</v>
      </c>
      <c r="I19" s="49">
        <f t="shared" si="17"/>
        <v>160</v>
      </c>
      <c r="J19" s="198">
        <f t="shared" si="17"/>
        <v>8</v>
      </c>
      <c r="K19" s="198">
        <f t="shared" si="17"/>
        <v>0</v>
      </c>
      <c r="L19" s="199">
        <f t="shared" si="17"/>
        <v>0.2</v>
      </c>
      <c r="M19" s="49">
        <v>0</v>
      </c>
      <c r="N19" s="198">
        <f t="shared" ref="N19:O19" si="18">N18</f>
        <v>150</v>
      </c>
      <c r="O19" s="50">
        <f t="shared" si="18"/>
        <v>390</v>
      </c>
    </row>
    <row r="20" spans="1:15" ht="15.75" thickBot="1" x14ac:dyDescent="0.3">
      <c r="A20" s="195">
        <f t="shared" ref="A20:B20" si="19">A19+1</f>
        <v>994</v>
      </c>
      <c r="B20" s="196">
        <f t="shared" si="19"/>
        <v>10</v>
      </c>
      <c r="C20" s="218" t="str">
        <f t="shared" si="2"/>
        <v>L14A10#000_030_00</v>
      </c>
      <c r="D20" s="43">
        <f t="shared" si="16"/>
        <v>9.8000000000000007</v>
      </c>
      <c r="E20" s="170">
        <f t="shared" si="13"/>
        <v>15</v>
      </c>
      <c r="F20" s="44">
        <f t="shared" ref="F20:L20" si="20">F19</f>
        <v>73.469387755102034</v>
      </c>
      <c r="G20" s="196" t="str">
        <f t="shared" si="20"/>
        <v>Half</v>
      </c>
      <c r="H20" s="50">
        <f t="shared" si="20"/>
        <v>10</v>
      </c>
      <c r="I20" s="49">
        <f t="shared" si="20"/>
        <v>160</v>
      </c>
      <c r="J20" s="198">
        <f t="shared" si="20"/>
        <v>8</v>
      </c>
      <c r="K20" s="198">
        <f t="shared" si="20"/>
        <v>0</v>
      </c>
      <c r="L20" s="199">
        <f t="shared" si="20"/>
        <v>0.2</v>
      </c>
      <c r="M20" s="49">
        <v>30</v>
      </c>
      <c r="N20" s="198">
        <f t="shared" ref="N20:O20" si="21">N19</f>
        <v>150</v>
      </c>
      <c r="O20" s="50">
        <f t="shared" si="21"/>
        <v>390</v>
      </c>
    </row>
    <row r="21" spans="1:15" ht="15.75" thickBot="1" x14ac:dyDescent="0.3">
      <c r="A21" s="195">
        <f t="shared" ref="A21:B21" si="22">A20+1</f>
        <v>995</v>
      </c>
      <c r="B21" s="196">
        <f t="shared" si="22"/>
        <v>11</v>
      </c>
      <c r="C21" s="218" t="str">
        <f t="shared" si="2"/>
        <v>L14A10#000_060_00</v>
      </c>
      <c r="D21" s="43">
        <f t="shared" si="16"/>
        <v>9.8000000000000007</v>
      </c>
      <c r="E21" s="170">
        <f t="shared" si="13"/>
        <v>15</v>
      </c>
      <c r="F21" s="44">
        <f>F20</f>
        <v>73.469387755102034</v>
      </c>
      <c r="G21" s="196" t="str">
        <f t="shared" ref="G21:L21" si="23">G20</f>
        <v>Half</v>
      </c>
      <c r="H21" s="50">
        <f t="shared" si="23"/>
        <v>10</v>
      </c>
      <c r="I21" s="49">
        <f t="shared" si="23"/>
        <v>160</v>
      </c>
      <c r="J21" s="198">
        <f t="shared" si="23"/>
        <v>8</v>
      </c>
      <c r="K21" s="198">
        <f t="shared" si="23"/>
        <v>0</v>
      </c>
      <c r="L21" s="199">
        <f t="shared" si="23"/>
        <v>0.2</v>
      </c>
      <c r="M21" s="49">
        <v>60</v>
      </c>
      <c r="N21" s="198">
        <f t="shared" ref="N21:O21" si="24">N20</f>
        <v>150</v>
      </c>
      <c r="O21" s="50">
        <f t="shared" si="24"/>
        <v>390</v>
      </c>
    </row>
    <row r="22" spans="1:15" ht="15.75" thickBot="1" x14ac:dyDescent="0.3">
      <c r="A22" s="195">
        <f t="shared" ref="A22:B22" si="25">A21+1</f>
        <v>996</v>
      </c>
      <c r="B22" s="196">
        <f t="shared" si="25"/>
        <v>12</v>
      </c>
      <c r="C22" s="218" t="str">
        <f t="shared" si="2"/>
        <v>L14A10#000_090_00</v>
      </c>
      <c r="D22" s="43">
        <f t="shared" si="16"/>
        <v>9.8000000000000007</v>
      </c>
      <c r="E22" s="170">
        <f t="shared" si="13"/>
        <v>15</v>
      </c>
      <c r="F22" s="44">
        <f>F21</f>
        <v>73.469387755102034</v>
      </c>
      <c r="G22" s="196" t="str">
        <f t="shared" ref="G22:L22" si="26">G21</f>
        <v>Half</v>
      </c>
      <c r="H22" s="50">
        <f t="shared" si="26"/>
        <v>10</v>
      </c>
      <c r="I22" s="49">
        <f t="shared" si="26"/>
        <v>160</v>
      </c>
      <c r="J22" s="198">
        <f t="shared" si="26"/>
        <v>8</v>
      </c>
      <c r="K22" s="198">
        <f t="shared" si="26"/>
        <v>0</v>
      </c>
      <c r="L22" s="199">
        <f t="shared" si="26"/>
        <v>0.2</v>
      </c>
      <c r="M22" s="49">
        <v>90</v>
      </c>
      <c r="N22" s="198">
        <f t="shared" ref="N22:O22" si="27">N21</f>
        <v>150</v>
      </c>
      <c r="O22" s="50">
        <f t="shared" si="27"/>
        <v>390</v>
      </c>
    </row>
    <row r="23" spans="1:15" ht="15.75" thickBot="1" x14ac:dyDescent="0.3">
      <c r="A23" s="195">
        <f t="shared" ref="A23:B23" si="28">A22+1</f>
        <v>997</v>
      </c>
      <c r="B23" s="196">
        <f t="shared" si="28"/>
        <v>13</v>
      </c>
      <c r="C23" s="218" t="str">
        <f t="shared" si="2"/>
        <v>L14B10#000_000_00</v>
      </c>
      <c r="D23" s="43">
        <f t="shared" si="16"/>
        <v>9.8000000000000007</v>
      </c>
      <c r="E23" s="170">
        <f t="shared" si="13"/>
        <v>15</v>
      </c>
      <c r="F23" s="44">
        <f>-720/D23</f>
        <v>-73.469387755102034</v>
      </c>
      <c r="G23" s="196" t="str">
        <f t="shared" ref="G23:L23" si="29">G22</f>
        <v>Half</v>
      </c>
      <c r="H23" s="50">
        <f t="shared" si="29"/>
        <v>10</v>
      </c>
      <c r="I23" s="49">
        <f t="shared" si="29"/>
        <v>160</v>
      </c>
      <c r="J23" s="198">
        <f t="shared" si="29"/>
        <v>8</v>
      </c>
      <c r="K23" s="198">
        <f t="shared" si="29"/>
        <v>0</v>
      </c>
      <c r="L23" s="199">
        <f t="shared" si="29"/>
        <v>0.2</v>
      </c>
      <c r="M23" s="49">
        <v>0</v>
      </c>
      <c r="N23" s="198">
        <f t="shared" ref="N23:O23" si="30">N22</f>
        <v>150</v>
      </c>
      <c r="O23" s="50">
        <f t="shared" si="30"/>
        <v>390</v>
      </c>
    </row>
    <row r="24" spans="1:15" ht="15.75" thickBot="1" x14ac:dyDescent="0.3">
      <c r="A24" s="195">
        <f t="shared" ref="A24:B24" si="31">A23+1</f>
        <v>998</v>
      </c>
      <c r="B24" s="196">
        <f t="shared" si="31"/>
        <v>14</v>
      </c>
      <c r="C24" s="218" t="str">
        <f t="shared" si="2"/>
        <v>L14B10#000_030_00</v>
      </c>
      <c r="D24" s="43">
        <f t="shared" si="16"/>
        <v>9.8000000000000007</v>
      </c>
      <c r="E24" s="170">
        <f t="shared" si="13"/>
        <v>15</v>
      </c>
      <c r="F24" s="44">
        <f t="shared" ref="F24:L26" si="32">F23</f>
        <v>-73.469387755102034</v>
      </c>
      <c r="G24" s="196" t="str">
        <f t="shared" si="32"/>
        <v>Half</v>
      </c>
      <c r="H24" s="50">
        <f t="shared" si="32"/>
        <v>10</v>
      </c>
      <c r="I24" s="49">
        <f t="shared" si="32"/>
        <v>160</v>
      </c>
      <c r="J24" s="198">
        <f t="shared" si="32"/>
        <v>8</v>
      </c>
      <c r="K24" s="198">
        <f t="shared" si="32"/>
        <v>0</v>
      </c>
      <c r="L24" s="199">
        <f t="shared" si="32"/>
        <v>0.2</v>
      </c>
      <c r="M24" s="49">
        <v>30</v>
      </c>
      <c r="N24" s="198">
        <f t="shared" ref="N24:O24" si="33">N23</f>
        <v>150</v>
      </c>
      <c r="O24" s="50">
        <f t="shared" si="33"/>
        <v>390</v>
      </c>
    </row>
    <row r="25" spans="1:15" ht="15.75" thickBot="1" x14ac:dyDescent="0.3">
      <c r="A25" s="195">
        <f t="shared" ref="A25:B25" si="34">A24+1</f>
        <v>999</v>
      </c>
      <c r="B25" s="196">
        <f t="shared" si="34"/>
        <v>15</v>
      </c>
      <c r="C25" s="218" t="str">
        <f t="shared" si="2"/>
        <v>L14B10#000_060_00</v>
      </c>
      <c r="D25" s="43">
        <f t="shared" si="16"/>
        <v>9.8000000000000007</v>
      </c>
      <c r="E25" s="170">
        <f t="shared" si="13"/>
        <v>15</v>
      </c>
      <c r="F25" s="44">
        <f t="shared" si="32"/>
        <v>-73.469387755102034</v>
      </c>
      <c r="G25" s="196" t="str">
        <f t="shared" si="32"/>
        <v>Half</v>
      </c>
      <c r="H25" s="50">
        <f t="shared" si="32"/>
        <v>10</v>
      </c>
      <c r="I25" s="49">
        <f t="shared" si="32"/>
        <v>160</v>
      </c>
      <c r="J25" s="198">
        <f t="shared" si="32"/>
        <v>8</v>
      </c>
      <c r="K25" s="198">
        <f t="shared" si="32"/>
        <v>0</v>
      </c>
      <c r="L25" s="199">
        <f t="shared" si="32"/>
        <v>0.2</v>
      </c>
      <c r="M25" s="49">
        <v>60</v>
      </c>
      <c r="N25" s="198">
        <f t="shared" ref="N25:O25" si="35">N24</f>
        <v>150</v>
      </c>
      <c r="O25" s="50">
        <f t="shared" si="35"/>
        <v>390</v>
      </c>
    </row>
    <row r="26" spans="1:15" ht="15.75" thickBot="1" x14ac:dyDescent="0.3">
      <c r="A26" s="195">
        <f t="shared" ref="A26:B26" si="36">A25+1</f>
        <v>1000</v>
      </c>
      <c r="B26" s="196">
        <f t="shared" si="36"/>
        <v>16</v>
      </c>
      <c r="C26" s="218" t="str">
        <f t="shared" si="2"/>
        <v>L14B10#000_090_00</v>
      </c>
      <c r="D26" s="43">
        <f t="shared" si="16"/>
        <v>9.8000000000000007</v>
      </c>
      <c r="E26" s="170">
        <f t="shared" si="13"/>
        <v>15</v>
      </c>
      <c r="F26" s="44">
        <f t="shared" si="32"/>
        <v>-73.469387755102034</v>
      </c>
      <c r="G26" s="196" t="str">
        <f t="shared" si="32"/>
        <v>Half</v>
      </c>
      <c r="H26" s="50">
        <f t="shared" si="32"/>
        <v>10</v>
      </c>
      <c r="I26" s="49">
        <f t="shared" si="32"/>
        <v>160</v>
      </c>
      <c r="J26" s="198">
        <f t="shared" si="32"/>
        <v>8</v>
      </c>
      <c r="K26" s="198">
        <f t="shared" si="32"/>
        <v>0</v>
      </c>
      <c r="L26" s="199">
        <f t="shared" si="32"/>
        <v>0.2</v>
      </c>
      <c r="M26" s="49">
        <v>90</v>
      </c>
      <c r="N26" s="198">
        <f t="shared" ref="N26:O26" si="37">N25</f>
        <v>150</v>
      </c>
      <c r="O26" s="50">
        <f t="shared" si="37"/>
        <v>390</v>
      </c>
    </row>
    <row r="27" spans="1:15" ht="15.75" thickBot="1" x14ac:dyDescent="0.3">
      <c r="A27" s="195">
        <f t="shared" ref="A27:B27" si="38">A26+1</f>
        <v>1001</v>
      </c>
      <c r="B27" s="196">
        <f t="shared" si="38"/>
        <v>17</v>
      </c>
      <c r="C27" s="218" t="str">
        <f t="shared" si="2"/>
        <v>L14A12#000_000_00</v>
      </c>
      <c r="D27" s="43">
        <f t="shared" ref="D27:D34" si="39">vr_a</f>
        <v>11.8</v>
      </c>
      <c r="E27" s="198">
        <f t="shared" si="13"/>
        <v>15</v>
      </c>
      <c r="F27" s="35">
        <f>720/D27</f>
        <v>61.016949152542367</v>
      </c>
      <c r="G27" s="196" t="str">
        <f t="shared" ref="G27:L27" si="40">G26</f>
        <v>Half</v>
      </c>
      <c r="H27" s="50">
        <f t="shared" si="40"/>
        <v>10</v>
      </c>
      <c r="I27" s="49">
        <f t="shared" si="40"/>
        <v>160</v>
      </c>
      <c r="J27" s="198">
        <f t="shared" si="40"/>
        <v>8</v>
      </c>
      <c r="K27" s="198">
        <f t="shared" si="40"/>
        <v>0</v>
      </c>
      <c r="L27" s="199">
        <f t="shared" si="40"/>
        <v>0.2</v>
      </c>
      <c r="M27" s="49">
        <v>0</v>
      </c>
      <c r="N27" s="198">
        <f t="shared" ref="N27:O27" si="41">N26</f>
        <v>150</v>
      </c>
      <c r="O27" s="50">
        <f t="shared" si="41"/>
        <v>390</v>
      </c>
    </row>
    <row r="28" spans="1:15" ht="15.75" thickBot="1" x14ac:dyDescent="0.3">
      <c r="A28" s="195">
        <f t="shared" ref="A28:B28" si="42">A27+1</f>
        <v>1002</v>
      </c>
      <c r="B28" s="196">
        <f t="shared" si="42"/>
        <v>18</v>
      </c>
      <c r="C28" s="218" t="str">
        <f t="shared" si="2"/>
        <v>L14A12#000_030_00</v>
      </c>
      <c r="D28" s="43">
        <f t="shared" si="39"/>
        <v>11.8</v>
      </c>
      <c r="E28" s="198">
        <f t="shared" si="13"/>
        <v>15</v>
      </c>
      <c r="F28" s="44">
        <f t="shared" ref="F28:L28" si="43">F27</f>
        <v>61.016949152542367</v>
      </c>
      <c r="G28" s="196" t="str">
        <f t="shared" si="43"/>
        <v>Half</v>
      </c>
      <c r="H28" s="50">
        <f t="shared" si="43"/>
        <v>10</v>
      </c>
      <c r="I28" s="49">
        <f t="shared" si="43"/>
        <v>160</v>
      </c>
      <c r="J28" s="198">
        <f t="shared" si="43"/>
        <v>8</v>
      </c>
      <c r="K28" s="198">
        <f t="shared" si="43"/>
        <v>0</v>
      </c>
      <c r="L28" s="199">
        <f t="shared" si="43"/>
        <v>0.2</v>
      </c>
      <c r="M28" s="49">
        <v>30</v>
      </c>
      <c r="N28" s="198">
        <f t="shared" ref="N28:O28" si="44">N27</f>
        <v>150</v>
      </c>
      <c r="O28" s="50">
        <f t="shared" si="44"/>
        <v>390</v>
      </c>
    </row>
    <row r="29" spans="1:15" ht="15.75" thickBot="1" x14ac:dyDescent="0.3">
      <c r="A29" s="195">
        <f t="shared" ref="A29:B29" si="45">A28+1</f>
        <v>1003</v>
      </c>
      <c r="B29" s="196">
        <f t="shared" si="45"/>
        <v>19</v>
      </c>
      <c r="C29" s="218" t="str">
        <f t="shared" si="2"/>
        <v>L14A12#000_060_00</v>
      </c>
      <c r="D29" s="43">
        <f t="shared" si="39"/>
        <v>11.8</v>
      </c>
      <c r="E29" s="198">
        <f t="shared" si="13"/>
        <v>15</v>
      </c>
      <c r="F29" s="44">
        <f>F28</f>
        <v>61.016949152542367</v>
      </c>
      <c r="G29" s="196" t="str">
        <f t="shared" ref="G29:L29" si="46">G28</f>
        <v>Half</v>
      </c>
      <c r="H29" s="50">
        <f t="shared" si="46"/>
        <v>10</v>
      </c>
      <c r="I29" s="49">
        <f t="shared" si="46"/>
        <v>160</v>
      </c>
      <c r="J29" s="198">
        <f t="shared" si="46"/>
        <v>8</v>
      </c>
      <c r="K29" s="198">
        <f t="shared" si="46"/>
        <v>0</v>
      </c>
      <c r="L29" s="199">
        <f t="shared" si="46"/>
        <v>0.2</v>
      </c>
      <c r="M29" s="49">
        <v>60</v>
      </c>
      <c r="N29" s="198">
        <f t="shared" ref="N29:O29" si="47">N28</f>
        <v>150</v>
      </c>
      <c r="O29" s="50">
        <f t="shared" si="47"/>
        <v>390</v>
      </c>
    </row>
    <row r="30" spans="1:15" ht="15.75" thickBot="1" x14ac:dyDescent="0.3">
      <c r="A30" s="195">
        <f t="shared" ref="A30:B30" si="48">A29+1</f>
        <v>1004</v>
      </c>
      <c r="B30" s="196">
        <f t="shared" si="48"/>
        <v>20</v>
      </c>
      <c r="C30" s="218" t="str">
        <f t="shared" si="2"/>
        <v>L14A12#000_090_00</v>
      </c>
      <c r="D30" s="43">
        <f t="shared" si="39"/>
        <v>11.8</v>
      </c>
      <c r="E30" s="198">
        <f t="shared" si="13"/>
        <v>15</v>
      </c>
      <c r="F30" s="44">
        <f>F29</f>
        <v>61.016949152542367</v>
      </c>
      <c r="G30" s="196" t="str">
        <f t="shared" ref="G30:L30" si="49">G29</f>
        <v>Half</v>
      </c>
      <c r="H30" s="50">
        <f t="shared" si="49"/>
        <v>10</v>
      </c>
      <c r="I30" s="49">
        <f t="shared" si="49"/>
        <v>160</v>
      </c>
      <c r="J30" s="198">
        <f t="shared" si="49"/>
        <v>8</v>
      </c>
      <c r="K30" s="198">
        <f t="shared" si="49"/>
        <v>0</v>
      </c>
      <c r="L30" s="199">
        <f t="shared" si="49"/>
        <v>0.2</v>
      </c>
      <c r="M30" s="49">
        <v>90</v>
      </c>
      <c r="N30" s="198">
        <f t="shared" ref="N30:O30" si="50">N29</f>
        <v>150</v>
      </c>
      <c r="O30" s="50">
        <f t="shared" si="50"/>
        <v>390</v>
      </c>
    </row>
    <row r="31" spans="1:15" ht="15.75" thickBot="1" x14ac:dyDescent="0.3">
      <c r="A31" s="195">
        <f t="shared" ref="A31:B31" si="51">A30+1</f>
        <v>1005</v>
      </c>
      <c r="B31" s="196">
        <f t="shared" si="51"/>
        <v>21</v>
      </c>
      <c r="C31" s="218" t="str">
        <f t="shared" si="2"/>
        <v>L14B12#000_000_00</v>
      </c>
      <c r="D31" s="43">
        <f t="shared" si="39"/>
        <v>11.8</v>
      </c>
      <c r="E31" s="198">
        <f t="shared" si="13"/>
        <v>15</v>
      </c>
      <c r="F31" s="44">
        <f>-720/D31</f>
        <v>-61.016949152542367</v>
      </c>
      <c r="G31" s="196" t="str">
        <f t="shared" ref="G31:L31" si="52">G30</f>
        <v>Half</v>
      </c>
      <c r="H31" s="50">
        <f t="shared" si="52"/>
        <v>10</v>
      </c>
      <c r="I31" s="49">
        <f t="shared" si="52"/>
        <v>160</v>
      </c>
      <c r="J31" s="198">
        <f t="shared" si="52"/>
        <v>8</v>
      </c>
      <c r="K31" s="198">
        <f t="shared" si="52"/>
        <v>0</v>
      </c>
      <c r="L31" s="199">
        <f t="shared" si="52"/>
        <v>0.2</v>
      </c>
      <c r="M31" s="49">
        <v>0</v>
      </c>
      <c r="N31" s="198">
        <f t="shared" ref="N31:O31" si="53">N30</f>
        <v>150</v>
      </c>
      <c r="O31" s="50">
        <f t="shared" si="53"/>
        <v>390</v>
      </c>
    </row>
    <row r="32" spans="1:15" ht="15.75" thickBot="1" x14ac:dyDescent="0.3">
      <c r="A32" s="195">
        <f t="shared" ref="A32:B32" si="54">A31+1</f>
        <v>1006</v>
      </c>
      <c r="B32" s="196">
        <f t="shared" si="54"/>
        <v>22</v>
      </c>
      <c r="C32" s="218" t="str">
        <f t="shared" si="2"/>
        <v>L14B12#000_030_00</v>
      </c>
      <c r="D32" s="43">
        <f t="shared" si="39"/>
        <v>11.8</v>
      </c>
      <c r="E32" s="198">
        <f t="shared" si="13"/>
        <v>15</v>
      </c>
      <c r="F32" s="44">
        <f t="shared" ref="F32:L32" si="55">F31</f>
        <v>-61.016949152542367</v>
      </c>
      <c r="G32" s="196" t="str">
        <f t="shared" si="55"/>
        <v>Half</v>
      </c>
      <c r="H32" s="50">
        <f t="shared" si="55"/>
        <v>10</v>
      </c>
      <c r="I32" s="49">
        <f t="shared" si="55"/>
        <v>160</v>
      </c>
      <c r="J32" s="198">
        <f t="shared" si="55"/>
        <v>8</v>
      </c>
      <c r="K32" s="198">
        <f t="shared" si="55"/>
        <v>0</v>
      </c>
      <c r="L32" s="199">
        <f t="shared" si="55"/>
        <v>0.2</v>
      </c>
      <c r="M32" s="49">
        <v>30</v>
      </c>
      <c r="N32" s="198">
        <f t="shared" ref="N32:O32" si="56">N31</f>
        <v>150</v>
      </c>
      <c r="O32" s="50">
        <f t="shared" si="56"/>
        <v>390</v>
      </c>
    </row>
    <row r="33" spans="1:15" ht="15.75" thickBot="1" x14ac:dyDescent="0.3">
      <c r="A33" s="195">
        <f t="shared" ref="A33:B33" si="57">A32+1</f>
        <v>1007</v>
      </c>
      <c r="B33" s="196">
        <f t="shared" si="57"/>
        <v>23</v>
      </c>
      <c r="C33" s="218" t="str">
        <f t="shared" si="2"/>
        <v>L14B12#000_060_00</v>
      </c>
      <c r="D33" s="43">
        <f t="shared" si="39"/>
        <v>11.8</v>
      </c>
      <c r="E33" s="198">
        <f t="shared" si="13"/>
        <v>15</v>
      </c>
      <c r="F33" s="44">
        <f t="shared" ref="F33:L33" si="58">F32</f>
        <v>-61.016949152542367</v>
      </c>
      <c r="G33" s="196" t="str">
        <f t="shared" si="58"/>
        <v>Half</v>
      </c>
      <c r="H33" s="50">
        <f t="shared" si="58"/>
        <v>10</v>
      </c>
      <c r="I33" s="49">
        <f t="shared" si="58"/>
        <v>160</v>
      </c>
      <c r="J33" s="198">
        <f t="shared" si="58"/>
        <v>8</v>
      </c>
      <c r="K33" s="198">
        <f t="shared" si="58"/>
        <v>0</v>
      </c>
      <c r="L33" s="199">
        <f t="shared" si="58"/>
        <v>0.2</v>
      </c>
      <c r="M33" s="49">
        <v>60</v>
      </c>
      <c r="N33" s="198">
        <f t="shared" ref="N33:O33" si="59">N32</f>
        <v>150</v>
      </c>
      <c r="O33" s="50">
        <f t="shared" si="59"/>
        <v>390</v>
      </c>
    </row>
    <row r="34" spans="1:15" x14ac:dyDescent="0.25">
      <c r="A34" s="195">
        <f t="shared" ref="A34:B34" si="60">A33+1</f>
        <v>1008</v>
      </c>
      <c r="B34" s="196">
        <f t="shared" si="60"/>
        <v>24</v>
      </c>
      <c r="C34" s="218" t="str">
        <f t="shared" si="2"/>
        <v>L14B12#000_090_00</v>
      </c>
      <c r="D34" s="43">
        <f t="shared" si="39"/>
        <v>11.8</v>
      </c>
      <c r="E34" s="198">
        <f t="shared" si="13"/>
        <v>15</v>
      </c>
      <c r="F34" s="44">
        <f t="shared" ref="F34:L34" si="61">F33</f>
        <v>-61.016949152542367</v>
      </c>
      <c r="G34" s="196" t="str">
        <f t="shared" si="61"/>
        <v>Half</v>
      </c>
      <c r="H34" s="50">
        <f t="shared" si="61"/>
        <v>10</v>
      </c>
      <c r="I34" s="49">
        <f t="shared" si="61"/>
        <v>160</v>
      </c>
      <c r="J34" s="198">
        <f t="shared" si="61"/>
        <v>8</v>
      </c>
      <c r="K34" s="198">
        <f t="shared" si="61"/>
        <v>0</v>
      </c>
      <c r="L34" s="199">
        <f t="shared" si="61"/>
        <v>0.2</v>
      </c>
      <c r="M34" s="49">
        <v>90</v>
      </c>
      <c r="N34" s="198">
        <f t="shared" ref="N34:O34" si="62">N33</f>
        <v>150</v>
      </c>
      <c r="O34" s="50">
        <f t="shared" si="62"/>
        <v>390</v>
      </c>
    </row>
    <row r="36" spans="1:15" x14ac:dyDescent="0.15">
      <c r="C36" s="23">
        <f>216/6*2</f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2"/>
  <sheetViews>
    <sheetView zoomScaleNormal="100" workbookViewId="0">
      <selection activeCell="I4" sqref="I4"/>
    </sheetView>
  </sheetViews>
  <sheetFormatPr defaultColWidth="9" defaultRowHeight="15" x14ac:dyDescent="0.15"/>
  <cols>
    <col min="1" max="1" width="7.875" style="23" customWidth="1"/>
    <col min="2" max="2" width="7.625" style="23" customWidth="1"/>
    <col min="3" max="3" width="35" style="23" customWidth="1"/>
    <col min="4" max="4" width="6.375" style="23" customWidth="1"/>
    <col min="5" max="5" width="7.25" style="23" customWidth="1"/>
    <col min="6" max="6" width="6.625" style="23" customWidth="1"/>
    <col min="7" max="7" width="7" style="23" customWidth="1"/>
    <col min="8" max="8" width="7.25" style="23" customWidth="1"/>
    <col min="9" max="9" width="8.125" style="23" customWidth="1"/>
    <col min="10" max="10" width="8" style="23" customWidth="1"/>
    <col min="11" max="11" width="8.25" style="23" customWidth="1"/>
    <col min="12" max="12" width="6.75" style="23" customWidth="1"/>
    <col min="13" max="13" width="7.25" style="23" customWidth="1"/>
    <col min="14" max="14" width="9" style="23"/>
    <col min="15" max="15" width="7.625" style="23" customWidth="1"/>
    <col min="16" max="16" width="8" style="23" customWidth="1"/>
    <col min="17" max="17" width="7.125" style="23" customWidth="1"/>
    <col min="18" max="19" width="7.375" style="23" customWidth="1"/>
    <col min="20" max="20" width="8.125" style="23" customWidth="1"/>
    <col min="21" max="16384" width="9" style="23"/>
  </cols>
  <sheetData>
    <row r="1" spans="1:20" x14ac:dyDescent="0.15">
      <c r="H1" s="216" t="s">
        <v>135</v>
      </c>
      <c r="I1" s="216" t="s">
        <v>3935</v>
      </c>
    </row>
    <row r="2" spans="1:20" x14ac:dyDescent="0.15">
      <c r="B2" s="22" t="s">
        <v>103</v>
      </c>
      <c r="C2" s="22"/>
      <c r="D2" s="22"/>
      <c r="E2" s="22"/>
      <c r="H2" s="216"/>
      <c r="I2" s="216" t="s">
        <v>3936</v>
      </c>
    </row>
    <row r="3" spans="1:20" x14ac:dyDescent="0.15">
      <c r="B3" s="22" t="s">
        <v>88</v>
      </c>
      <c r="C3" s="22"/>
      <c r="D3" s="22"/>
      <c r="E3" s="22" t="s">
        <v>105</v>
      </c>
      <c r="H3" s="216"/>
      <c r="I3" s="240" t="s">
        <v>3939</v>
      </c>
    </row>
    <row r="4" spans="1:20" x14ac:dyDescent="0.15">
      <c r="B4" s="22" t="s">
        <v>89</v>
      </c>
      <c r="C4" s="22"/>
      <c r="D4" s="22"/>
      <c r="E4" s="22" t="s">
        <v>104</v>
      </c>
      <c r="H4" s="216"/>
      <c r="I4" s="216" t="s">
        <v>3938</v>
      </c>
    </row>
    <row r="5" spans="1:20" x14ac:dyDescent="0.15">
      <c r="B5" s="22" t="s">
        <v>91</v>
      </c>
      <c r="C5" s="22"/>
      <c r="D5" s="22"/>
      <c r="E5" s="22" t="s">
        <v>99</v>
      </c>
      <c r="H5" s="216"/>
      <c r="I5" s="240" t="s">
        <v>3940</v>
      </c>
    </row>
    <row r="6" spans="1:20" x14ac:dyDescent="0.15">
      <c r="B6" s="22" t="s">
        <v>93</v>
      </c>
      <c r="C6" s="22"/>
      <c r="D6" s="22"/>
      <c r="E6" s="22" t="s">
        <v>100</v>
      </c>
      <c r="H6" s="216"/>
      <c r="I6" s="216" t="s">
        <v>3932</v>
      </c>
    </row>
    <row r="7" spans="1:20" x14ac:dyDescent="0.15">
      <c r="A7" s="46"/>
      <c r="B7" s="46"/>
      <c r="C7" s="46"/>
      <c r="D7" s="46"/>
      <c r="E7" s="46"/>
      <c r="F7" s="46"/>
      <c r="G7" s="46"/>
      <c r="H7" s="139"/>
      <c r="I7" s="216" t="s">
        <v>3930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</row>
    <row r="8" spans="1:20" ht="15.75" thickBot="1" x14ac:dyDescent="0.2">
      <c r="A8" s="46"/>
      <c r="B8" s="46"/>
      <c r="C8" s="46"/>
      <c r="D8" s="46"/>
      <c r="E8" s="46"/>
      <c r="F8" s="46"/>
      <c r="G8" s="46"/>
      <c r="H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</row>
    <row r="9" spans="1:20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62" t="s">
        <v>152</v>
      </c>
      <c r="G9" s="62" t="s">
        <v>11</v>
      </c>
      <c r="H9" s="65" t="s">
        <v>18</v>
      </c>
      <c r="I9" s="65" t="s">
        <v>19</v>
      </c>
      <c r="J9" s="27" t="s">
        <v>15</v>
      </c>
      <c r="K9" s="27" t="s">
        <v>158</v>
      </c>
      <c r="L9" s="27" t="s">
        <v>8</v>
      </c>
      <c r="M9" s="47" t="s">
        <v>21</v>
      </c>
      <c r="N9" s="25" t="s">
        <v>147</v>
      </c>
      <c r="O9" s="25" t="s">
        <v>144</v>
      </c>
      <c r="P9" s="25" t="s">
        <v>2</v>
      </c>
      <c r="Q9" s="25" t="s">
        <v>141</v>
      </c>
      <c r="R9" s="25" t="s">
        <v>13</v>
      </c>
      <c r="S9" s="27" t="s">
        <v>138</v>
      </c>
      <c r="T9" s="27" t="s">
        <v>139</v>
      </c>
    </row>
    <row r="10" spans="1:20" ht="15.75" thickBot="1" x14ac:dyDescent="0.3">
      <c r="A10" s="29" t="s">
        <v>76</v>
      </c>
      <c r="B10" s="30" t="str">
        <f>B2</f>
        <v>DLC15</v>
      </c>
      <c r="C10" s="29"/>
      <c r="D10" s="30" t="s">
        <v>4</v>
      </c>
      <c r="E10" s="59" t="s">
        <v>4</v>
      </c>
      <c r="F10" s="59" t="s">
        <v>14</v>
      </c>
      <c r="G10" s="59"/>
      <c r="H10" s="59" t="s">
        <v>4</v>
      </c>
      <c r="I10" s="59" t="s">
        <v>4</v>
      </c>
      <c r="J10" s="30" t="s">
        <v>4</v>
      </c>
      <c r="K10" s="48"/>
      <c r="L10" s="32"/>
      <c r="M10" s="32" t="s">
        <v>17</v>
      </c>
      <c r="N10" s="32" t="s">
        <v>7</v>
      </c>
      <c r="O10" s="30" t="s">
        <v>6</v>
      </c>
      <c r="P10" s="30" t="s">
        <v>6</v>
      </c>
      <c r="Q10" s="30"/>
      <c r="R10" s="32" t="s">
        <v>7</v>
      </c>
      <c r="S10" s="32" t="s">
        <v>7</v>
      </c>
      <c r="T10" s="32" t="s">
        <v>7</v>
      </c>
    </row>
    <row r="11" spans="1:20" ht="15.75" thickBot="1" x14ac:dyDescent="0.3">
      <c r="A11" s="24">
        <f>'DLC14'!A34+1</f>
        <v>1009</v>
      </c>
      <c r="B11" s="27">
        <v>1</v>
      </c>
      <c r="C11" s="24" t="str">
        <f>TEXT(RIGHT($B$2,LEN($B$2)-3),"L00")&amp;IF(K11="Vertical",IF(J11&gt;0,"A","B"),IF(J11&gt;0,"C","D"))&amp;TEXT(D11,"00")&amp;"#"&amp;IF(P11&lt;0,TEXT(360+P11,"000"),TEXT(P11,"000"))&amp;"_"&amp;TEXT(R11,"000")&amp;"_00"</f>
        <v>L15A08#352_000_00</v>
      </c>
      <c r="D11" s="34">
        <f t="shared" ref="D11:D58" si="0">vr_b</f>
        <v>7.8000000000000007</v>
      </c>
      <c r="E11" s="60">
        <f t="shared" ref="E11:E74" si="1">I_ref*(0.75*D11+5.6)</f>
        <v>1.603</v>
      </c>
      <c r="F11" s="60">
        <f t="shared" ref="F11:F74" si="2">tur_scale</f>
        <v>42</v>
      </c>
      <c r="G11" s="63">
        <f>EWS_b</f>
        <v>6.4</v>
      </c>
      <c r="H11" s="63">
        <f t="shared" ref="H11:H74" si="3">D11*((h_hub+diameter/2)/h_hub)^alpha_n</f>
        <v>8.783823926692623</v>
      </c>
      <c r="I11" s="63">
        <f t="shared" ref="I11:I74" si="4">D11*((h_hub+diameter/2)/h_hub)^alpha_n+(((h_hub+diameter/2)-h_hub)/diameter)*(2.5+0.2*G11*E11*(diameter/F11)^0.25)*(1-COS(-PI()))</f>
        <v>14.085509432453268</v>
      </c>
      <c r="J11" s="51">
        <f>2*(I11-H11)</f>
        <v>10.60337101152129</v>
      </c>
      <c r="K11" s="55" t="s">
        <v>3858</v>
      </c>
      <c r="L11" s="42" t="s">
        <v>9</v>
      </c>
      <c r="M11" s="50">
        <f>EWS_t</f>
        <v>12</v>
      </c>
      <c r="N11" s="49">
        <f>trig_t</f>
        <v>160</v>
      </c>
      <c r="O11" s="35">
        <f>inflow</f>
        <v>8</v>
      </c>
      <c r="P11" s="35">
        <f>yaw_min</f>
        <v>-8</v>
      </c>
      <c r="Q11" s="36">
        <f>alpha_n</f>
        <v>0.2</v>
      </c>
      <c r="R11" s="49">
        <v>0</v>
      </c>
      <c r="S11" s="35">
        <f>t_out</f>
        <v>150</v>
      </c>
      <c r="T11" s="50">
        <f>S11+T_s2</f>
        <v>210</v>
      </c>
    </row>
    <row r="12" spans="1:20" ht="15.75" thickBot="1" x14ac:dyDescent="0.3">
      <c r="A12" s="41">
        <f>A11+1</f>
        <v>1010</v>
      </c>
      <c r="B12" s="42">
        <f>B11+1</f>
        <v>2</v>
      </c>
      <c r="C12" s="218" t="str">
        <f t="shared" ref="C12:C75" si="5">TEXT(RIGHT($B$2,LEN($B$2)-3),"L00")&amp;IF(K12="Vertical",IF(J12&gt;0,"A","B"),IF(J12&gt;0,"C","D"))&amp;TEXT(D12,"00")&amp;"#"&amp;IF(P12&lt;0,TEXT(360+P12,"000"),TEXT(P12,"000"))&amp;"_"&amp;TEXT(R12,"000")&amp;"_00"</f>
        <v>L15A08#352_030_00</v>
      </c>
      <c r="D12" s="43">
        <f t="shared" si="0"/>
        <v>7.8000000000000007</v>
      </c>
      <c r="E12" s="61">
        <f t="shared" si="1"/>
        <v>1.603</v>
      </c>
      <c r="F12" s="61">
        <f t="shared" si="2"/>
        <v>42</v>
      </c>
      <c r="G12" s="64">
        <f>G11</f>
        <v>6.4</v>
      </c>
      <c r="H12" s="63">
        <f t="shared" si="3"/>
        <v>8.783823926692623</v>
      </c>
      <c r="I12" s="63">
        <f t="shared" si="4"/>
        <v>14.085509432453268</v>
      </c>
      <c r="J12" s="51">
        <f>2*(I12-H12)</f>
        <v>10.60337101152129</v>
      </c>
      <c r="K12" s="53" t="str">
        <f t="shared" ref="K12:Q27" si="6">K11</f>
        <v>Vertical</v>
      </c>
      <c r="L12" s="42" t="str">
        <f t="shared" si="6"/>
        <v>Full</v>
      </c>
      <c r="M12" s="50">
        <f t="shared" si="6"/>
        <v>12</v>
      </c>
      <c r="N12" s="49">
        <f t="shared" si="6"/>
        <v>160</v>
      </c>
      <c r="O12" s="44">
        <f t="shared" si="6"/>
        <v>8</v>
      </c>
      <c r="P12" s="44">
        <f t="shared" si="6"/>
        <v>-8</v>
      </c>
      <c r="Q12" s="45">
        <f t="shared" si="6"/>
        <v>0.2</v>
      </c>
      <c r="R12" s="49">
        <v>30</v>
      </c>
      <c r="S12" s="44">
        <f>S11</f>
        <v>150</v>
      </c>
      <c r="T12" s="50">
        <f>T11</f>
        <v>210</v>
      </c>
    </row>
    <row r="13" spans="1:20" ht="15.75" thickBot="1" x14ac:dyDescent="0.3">
      <c r="A13" s="229">
        <f t="shared" ref="A13:A76" si="7">A12+1</f>
        <v>1011</v>
      </c>
      <c r="B13" s="230">
        <f t="shared" ref="B13:B76" si="8">B12+1</f>
        <v>3</v>
      </c>
      <c r="C13" s="218" t="str">
        <f t="shared" si="5"/>
        <v>L15A08#352_060_00</v>
      </c>
      <c r="D13" s="43">
        <f t="shared" si="0"/>
        <v>7.8000000000000007</v>
      </c>
      <c r="E13" s="61">
        <f t="shared" si="1"/>
        <v>1.603</v>
      </c>
      <c r="F13" s="61">
        <f t="shared" si="2"/>
        <v>42</v>
      </c>
      <c r="G13" s="64">
        <f>G12</f>
        <v>6.4</v>
      </c>
      <c r="H13" s="63">
        <f t="shared" si="3"/>
        <v>8.783823926692623</v>
      </c>
      <c r="I13" s="63">
        <f t="shared" si="4"/>
        <v>14.085509432453268</v>
      </c>
      <c r="J13" s="51">
        <f t="shared" ref="J13:J22" si="9">2*(I13-H13)</f>
        <v>10.60337101152129</v>
      </c>
      <c r="K13" s="53" t="str">
        <f t="shared" si="6"/>
        <v>Vertical</v>
      </c>
      <c r="L13" s="42" t="str">
        <f t="shared" si="6"/>
        <v>Full</v>
      </c>
      <c r="M13" s="50">
        <f t="shared" si="6"/>
        <v>12</v>
      </c>
      <c r="N13" s="49">
        <f t="shared" si="6"/>
        <v>160</v>
      </c>
      <c r="O13" s="44">
        <f t="shared" si="6"/>
        <v>8</v>
      </c>
      <c r="P13" s="44">
        <f>P12</f>
        <v>-8</v>
      </c>
      <c r="Q13" s="45">
        <f t="shared" si="6"/>
        <v>0.2</v>
      </c>
      <c r="R13" s="49">
        <v>60</v>
      </c>
      <c r="S13" s="44">
        <f t="shared" ref="S13:T28" si="10">S12</f>
        <v>150</v>
      </c>
      <c r="T13" s="50">
        <f t="shared" si="10"/>
        <v>210</v>
      </c>
    </row>
    <row r="14" spans="1:20" ht="15.75" thickBot="1" x14ac:dyDescent="0.3">
      <c r="A14" s="229">
        <f t="shared" si="7"/>
        <v>1012</v>
      </c>
      <c r="B14" s="230">
        <f t="shared" si="8"/>
        <v>4</v>
      </c>
      <c r="C14" s="218" t="str">
        <f t="shared" si="5"/>
        <v>L15A08#352_090_00</v>
      </c>
      <c r="D14" s="43">
        <f t="shared" si="0"/>
        <v>7.8000000000000007</v>
      </c>
      <c r="E14" s="61">
        <f t="shared" si="1"/>
        <v>1.603</v>
      </c>
      <c r="F14" s="61">
        <f t="shared" si="2"/>
        <v>42</v>
      </c>
      <c r="G14" s="64">
        <f t="shared" ref="G14:G58" si="11">G13</f>
        <v>6.4</v>
      </c>
      <c r="H14" s="63">
        <f t="shared" si="3"/>
        <v>8.783823926692623</v>
      </c>
      <c r="I14" s="63">
        <f t="shared" si="4"/>
        <v>14.085509432453268</v>
      </c>
      <c r="J14" s="51">
        <f t="shared" si="9"/>
        <v>10.60337101152129</v>
      </c>
      <c r="K14" s="53" t="str">
        <f t="shared" si="6"/>
        <v>Vertical</v>
      </c>
      <c r="L14" s="42" t="str">
        <f t="shared" si="6"/>
        <v>Full</v>
      </c>
      <c r="M14" s="50">
        <f t="shared" si="6"/>
        <v>12</v>
      </c>
      <c r="N14" s="49">
        <f t="shared" si="6"/>
        <v>160</v>
      </c>
      <c r="O14" s="44">
        <f t="shared" si="6"/>
        <v>8</v>
      </c>
      <c r="P14" s="44">
        <f>P13</f>
        <v>-8</v>
      </c>
      <c r="Q14" s="45">
        <f t="shared" si="6"/>
        <v>0.2</v>
      </c>
      <c r="R14" s="49">
        <v>90</v>
      </c>
      <c r="S14" s="44">
        <f t="shared" si="10"/>
        <v>150</v>
      </c>
      <c r="T14" s="50">
        <f t="shared" si="10"/>
        <v>210</v>
      </c>
    </row>
    <row r="15" spans="1:20" ht="15.75" thickBot="1" x14ac:dyDescent="0.3">
      <c r="A15" s="229">
        <f t="shared" si="7"/>
        <v>1013</v>
      </c>
      <c r="B15" s="230">
        <f t="shared" si="8"/>
        <v>5</v>
      </c>
      <c r="C15" s="218" t="str">
        <f t="shared" si="5"/>
        <v>L15A08#000_000_00</v>
      </c>
      <c r="D15" s="43">
        <f t="shared" si="0"/>
        <v>7.8000000000000007</v>
      </c>
      <c r="E15" s="61">
        <f t="shared" si="1"/>
        <v>1.603</v>
      </c>
      <c r="F15" s="61">
        <f t="shared" si="2"/>
        <v>42</v>
      </c>
      <c r="G15" s="64">
        <f t="shared" si="11"/>
        <v>6.4</v>
      </c>
      <c r="H15" s="63">
        <f t="shared" si="3"/>
        <v>8.783823926692623</v>
      </c>
      <c r="I15" s="63">
        <f t="shared" si="4"/>
        <v>14.085509432453268</v>
      </c>
      <c r="J15" s="51">
        <f t="shared" si="9"/>
        <v>10.60337101152129</v>
      </c>
      <c r="K15" s="53" t="str">
        <f t="shared" si="6"/>
        <v>Vertical</v>
      </c>
      <c r="L15" s="42" t="str">
        <f t="shared" si="6"/>
        <v>Full</v>
      </c>
      <c r="M15" s="50">
        <f t="shared" si="6"/>
        <v>12</v>
      </c>
      <c r="N15" s="49">
        <f t="shared" si="6"/>
        <v>160</v>
      </c>
      <c r="O15" s="44">
        <f t="shared" si="6"/>
        <v>8</v>
      </c>
      <c r="P15" s="44">
        <f>yaw_null</f>
        <v>0</v>
      </c>
      <c r="Q15" s="45">
        <f t="shared" si="6"/>
        <v>0.2</v>
      </c>
      <c r="R15" s="49">
        <v>0</v>
      </c>
      <c r="S15" s="44">
        <f t="shared" si="10"/>
        <v>150</v>
      </c>
      <c r="T15" s="50">
        <f t="shared" si="10"/>
        <v>210</v>
      </c>
    </row>
    <row r="16" spans="1:20" ht="15.75" thickBot="1" x14ac:dyDescent="0.3">
      <c r="A16" s="229">
        <f t="shared" si="7"/>
        <v>1014</v>
      </c>
      <c r="B16" s="230">
        <f t="shared" si="8"/>
        <v>6</v>
      </c>
      <c r="C16" s="218" t="str">
        <f t="shared" si="5"/>
        <v>L15A08#000_030_00</v>
      </c>
      <c r="D16" s="43">
        <f t="shared" si="0"/>
        <v>7.8000000000000007</v>
      </c>
      <c r="E16" s="61">
        <f t="shared" si="1"/>
        <v>1.603</v>
      </c>
      <c r="F16" s="61">
        <f t="shared" si="2"/>
        <v>42</v>
      </c>
      <c r="G16" s="64">
        <f t="shared" si="11"/>
        <v>6.4</v>
      </c>
      <c r="H16" s="63">
        <f t="shared" si="3"/>
        <v>8.783823926692623</v>
      </c>
      <c r="I16" s="63">
        <f t="shared" si="4"/>
        <v>14.085509432453268</v>
      </c>
      <c r="J16" s="51">
        <f t="shared" si="9"/>
        <v>10.60337101152129</v>
      </c>
      <c r="K16" s="53" t="str">
        <f t="shared" si="6"/>
        <v>Vertical</v>
      </c>
      <c r="L16" s="42" t="str">
        <f t="shared" si="6"/>
        <v>Full</v>
      </c>
      <c r="M16" s="50">
        <f t="shared" si="6"/>
        <v>12</v>
      </c>
      <c r="N16" s="49">
        <f t="shared" si="6"/>
        <v>160</v>
      </c>
      <c r="O16" s="44">
        <f t="shared" si="6"/>
        <v>8</v>
      </c>
      <c r="P16" s="44">
        <f>P15</f>
        <v>0</v>
      </c>
      <c r="Q16" s="45">
        <f t="shared" si="6"/>
        <v>0.2</v>
      </c>
      <c r="R16" s="49">
        <v>30</v>
      </c>
      <c r="S16" s="44">
        <f t="shared" si="10"/>
        <v>150</v>
      </c>
      <c r="T16" s="50">
        <f t="shared" si="10"/>
        <v>210</v>
      </c>
    </row>
    <row r="17" spans="1:20" ht="15.75" thickBot="1" x14ac:dyDescent="0.3">
      <c r="A17" s="229">
        <f t="shared" si="7"/>
        <v>1015</v>
      </c>
      <c r="B17" s="230">
        <f t="shared" si="8"/>
        <v>7</v>
      </c>
      <c r="C17" s="218" t="str">
        <f t="shared" si="5"/>
        <v>L15A08#000_060_00</v>
      </c>
      <c r="D17" s="43">
        <f t="shared" si="0"/>
        <v>7.8000000000000007</v>
      </c>
      <c r="E17" s="61">
        <f t="shared" si="1"/>
        <v>1.603</v>
      </c>
      <c r="F17" s="61">
        <f t="shared" si="2"/>
        <v>42</v>
      </c>
      <c r="G17" s="64">
        <f t="shared" si="11"/>
        <v>6.4</v>
      </c>
      <c r="H17" s="63">
        <f t="shared" si="3"/>
        <v>8.783823926692623</v>
      </c>
      <c r="I17" s="63">
        <f t="shared" si="4"/>
        <v>14.085509432453268</v>
      </c>
      <c r="J17" s="51">
        <f t="shared" si="9"/>
        <v>10.60337101152129</v>
      </c>
      <c r="K17" s="53" t="str">
        <f t="shared" si="6"/>
        <v>Vertical</v>
      </c>
      <c r="L17" s="42" t="str">
        <f t="shared" si="6"/>
        <v>Full</v>
      </c>
      <c r="M17" s="50">
        <f t="shared" si="6"/>
        <v>12</v>
      </c>
      <c r="N17" s="49">
        <f t="shared" si="6"/>
        <v>160</v>
      </c>
      <c r="O17" s="44">
        <f t="shared" si="6"/>
        <v>8</v>
      </c>
      <c r="P17" s="44">
        <f>P16</f>
        <v>0</v>
      </c>
      <c r="Q17" s="45">
        <f t="shared" si="6"/>
        <v>0.2</v>
      </c>
      <c r="R17" s="49">
        <v>60</v>
      </c>
      <c r="S17" s="44">
        <f t="shared" si="10"/>
        <v>150</v>
      </c>
      <c r="T17" s="50">
        <f t="shared" si="10"/>
        <v>210</v>
      </c>
    </row>
    <row r="18" spans="1:20" ht="15.75" thickBot="1" x14ac:dyDescent="0.3">
      <c r="A18" s="229">
        <f t="shared" si="7"/>
        <v>1016</v>
      </c>
      <c r="B18" s="230">
        <f t="shared" si="8"/>
        <v>8</v>
      </c>
      <c r="C18" s="218" t="str">
        <f t="shared" si="5"/>
        <v>L15A08#000_090_00</v>
      </c>
      <c r="D18" s="43">
        <f t="shared" si="0"/>
        <v>7.8000000000000007</v>
      </c>
      <c r="E18" s="61">
        <f t="shared" si="1"/>
        <v>1.603</v>
      </c>
      <c r="F18" s="61">
        <f t="shared" si="2"/>
        <v>42</v>
      </c>
      <c r="G18" s="64">
        <f t="shared" si="11"/>
        <v>6.4</v>
      </c>
      <c r="H18" s="63">
        <f t="shared" si="3"/>
        <v>8.783823926692623</v>
      </c>
      <c r="I18" s="63">
        <f t="shared" si="4"/>
        <v>14.085509432453268</v>
      </c>
      <c r="J18" s="51">
        <f t="shared" si="9"/>
        <v>10.60337101152129</v>
      </c>
      <c r="K18" s="53" t="str">
        <f t="shared" si="6"/>
        <v>Vertical</v>
      </c>
      <c r="L18" s="42" t="str">
        <f t="shared" si="6"/>
        <v>Full</v>
      </c>
      <c r="M18" s="50">
        <f t="shared" si="6"/>
        <v>12</v>
      </c>
      <c r="N18" s="49">
        <f t="shared" si="6"/>
        <v>160</v>
      </c>
      <c r="O18" s="44">
        <f t="shared" si="6"/>
        <v>8</v>
      </c>
      <c r="P18" s="44">
        <f>P17</f>
        <v>0</v>
      </c>
      <c r="Q18" s="45">
        <f t="shared" si="6"/>
        <v>0.2</v>
      </c>
      <c r="R18" s="49">
        <v>90</v>
      </c>
      <c r="S18" s="44">
        <f t="shared" si="10"/>
        <v>150</v>
      </c>
      <c r="T18" s="50">
        <f t="shared" si="10"/>
        <v>210</v>
      </c>
    </row>
    <row r="19" spans="1:20" ht="15.75" thickBot="1" x14ac:dyDescent="0.3">
      <c r="A19" s="229">
        <f t="shared" si="7"/>
        <v>1017</v>
      </c>
      <c r="B19" s="230">
        <f t="shared" si="8"/>
        <v>9</v>
      </c>
      <c r="C19" s="218" t="str">
        <f t="shared" si="5"/>
        <v>L15A08#008_000_00</v>
      </c>
      <c r="D19" s="43">
        <f t="shared" si="0"/>
        <v>7.8000000000000007</v>
      </c>
      <c r="E19" s="61">
        <f t="shared" si="1"/>
        <v>1.603</v>
      </c>
      <c r="F19" s="61">
        <f t="shared" si="2"/>
        <v>42</v>
      </c>
      <c r="G19" s="64">
        <f t="shared" si="11"/>
        <v>6.4</v>
      </c>
      <c r="H19" s="63">
        <f t="shared" si="3"/>
        <v>8.783823926692623</v>
      </c>
      <c r="I19" s="63">
        <f t="shared" si="4"/>
        <v>14.085509432453268</v>
      </c>
      <c r="J19" s="51">
        <f t="shared" si="9"/>
        <v>10.60337101152129</v>
      </c>
      <c r="K19" s="53" t="str">
        <f t="shared" si="6"/>
        <v>Vertical</v>
      </c>
      <c r="L19" s="42" t="str">
        <f t="shared" si="6"/>
        <v>Full</v>
      </c>
      <c r="M19" s="50">
        <f t="shared" si="6"/>
        <v>12</v>
      </c>
      <c r="N19" s="49">
        <f t="shared" si="6"/>
        <v>160</v>
      </c>
      <c r="O19" s="44">
        <f t="shared" si="6"/>
        <v>8</v>
      </c>
      <c r="P19" s="44">
        <f>yaw_max</f>
        <v>8</v>
      </c>
      <c r="Q19" s="45">
        <f t="shared" si="6"/>
        <v>0.2</v>
      </c>
      <c r="R19" s="49">
        <v>0</v>
      </c>
      <c r="S19" s="44">
        <f t="shared" si="10"/>
        <v>150</v>
      </c>
      <c r="T19" s="50">
        <f t="shared" si="10"/>
        <v>210</v>
      </c>
    </row>
    <row r="20" spans="1:20" ht="15.75" thickBot="1" x14ac:dyDescent="0.3">
      <c r="A20" s="229">
        <f t="shared" si="7"/>
        <v>1018</v>
      </c>
      <c r="B20" s="230">
        <f t="shared" si="8"/>
        <v>10</v>
      </c>
      <c r="C20" s="218" t="str">
        <f t="shared" si="5"/>
        <v>L15A08#008_030_00</v>
      </c>
      <c r="D20" s="43">
        <f t="shared" si="0"/>
        <v>7.8000000000000007</v>
      </c>
      <c r="E20" s="61">
        <f t="shared" si="1"/>
        <v>1.603</v>
      </c>
      <c r="F20" s="61">
        <f t="shared" si="2"/>
        <v>42</v>
      </c>
      <c r="G20" s="64">
        <f t="shared" si="11"/>
        <v>6.4</v>
      </c>
      <c r="H20" s="63">
        <f t="shared" si="3"/>
        <v>8.783823926692623</v>
      </c>
      <c r="I20" s="63">
        <f t="shared" si="4"/>
        <v>14.085509432453268</v>
      </c>
      <c r="J20" s="51">
        <f t="shared" si="9"/>
        <v>10.60337101152129</v>
      </c>
      <c r="K20" s="53" t="str">
        <f t="shared" si="6"/>
        <v>Vertical</v>
      </c>
      <c r="L20" s="42" t="str">
        <f t="shared" si="6"/>
        <v>Full</v>
      </c>
      <c r="M20" s="50">
        <f t="shared" si="6"/>
        <v>12</v>
      </c>
      <c r="N20" s="49">
        <f t="shared" si="6"/>
        <v>160</v>
      </c>
      <c r="O20" s="44">
        <f t="shared" si="6"/>
        <v>8</v>
      </c>
      <c r="P20" s="44">
        <f>P19</f>
        <v>8</v>
      </c>
      <c r="Q20" s="45">
        <f t="shared" si="6"/>
        <v>0.2</v>
      </c>
      <c r="R20" s="49">
        <v>30</v>
      </c>
      <c r="S20" s="44">
        <f t="shared" si="10"/>
        <v>150</v>
      </c>
      <c r="T20" s="50">
        <f t="shared" si="10"/>
        <v>210</v>
      </c>
    </row>
    <row r="21" spans="1:20" ht="15.75" thickBot="1" x14ac:dyDescent="0.3">
      <c r="A21" s="229">
        <f t="shared" si="7"/>
        <v>1019</v>
      </c>
      <c r="B21" s="230">
        <f t="shared" si="8"/>
        <v>11</v>
      </c>
      <c r="C21" s="218" t="str">
        <f t="shared" si="5"/>
        <v>L15A08#008_060_00</v>
      </c>
      <c r="D21" s="43">
        <f t="shared" si="0"/>
        <v>7.8000000000000007</v>
      </c>
      <c r="E21" s="61">
        <f t="shared" si="1"/>
        <v>1.603</v>
      </c>
      <c r="F21" s="61">
        <f t="shared" si="2"/>
        <v>42</v>
      </c>
      <c r="G21" s="64">
        <f t="shared" si="11"/>
        <v>6.4</v>
      </c>
      <c r="H21" s="63">
        <f t="shared" si="3"/>
        <v>8.783823926692623</v>
      </c>
      <c r="I21" s="63">
        <f t="shared" si="4"/>
        <v>14.085509432453268</v>
      </c>
      <c r="J21" s="51">
        <f t="shared" si="9"/>
        <v>10.60337101152129</v>
      </c>
      <c r="K21" s="53" t="str">
        <f t="shared" si="6"/>
        <v>Vertical</v>
      </c>
      <c r="L21" s="42" t="str">
        <f t="shared" si="6"/>
        <v>Full</v>
      </c>
      <c r="M21" s="50">
        <f t="shared" si="6"/>
        <v>12</v>
      </c>
      <c r="N21" s="49">
        <f t="shared" si="6"/>
        <v>160</v>
      </c>
      <c r="O21" s="44">
        <f t="shared" si="6"/>
        <v>8</v>
      </c>
      <c r="P21" s="44">
        <f>P20</f>
        <v>8</v>
      </c>
      <c r="Q21" s="45">
        <f t="shared" si="6"/>
        <v>0.2</v>
      </c>
      <c r="R21" s="49">
        <v>60</v>
      </c>
      <c r="S21" s="44">
        <f t="shared" si="10"/>
        <v>150</v>
      </c>
      <c r="T21" s="50">
        <f t="shared" si="10"/>
        <v>210</v>
      </c>
    </row>
    <row r="22" spans="1:20" ht="15.75" thickBot="1" x14ac:dyDescent="0.3">
      <c r="A22" s="229">
        <f t="shared" si="7"/>
        <v>1020</v>
      </c>
      <c r="B22" s="230">
        <f t="shared" si="8"/>
        <v>12</v>
      </c>
      <c r="C22" s="218" t="str">
        <f t="shared" si="5"/>
        <v>L15A08#008_090_00</v>
      </c>
      <c r="D22" s="43">
        <f t="shared" si="0"/>
        <v>7.8000000000000007</v>
      </c>
      <c r="E22" s="61">
        <f t="shared" si="1"/>
        <v>1.603</v>
      </c>
      <c r="F22" s="61">
        <f t="shared" si="2"/>
        <v>42</v>
      </c>
      <c r="G22" s="64">
        <f t="shared" si="11"/>
        <v>6.4</v>
      </c>
      <c r="H22" s="63">
        <f t="shared" si="3"/>
        <v>8.783823926692623</v>
      </c>
      <c r="I22" s="63">
        <f t="shared" si="4"/>
        <v>14.085509432453268</v>
      </c>
      <c r="J22" s="51">
        <f t="shared" si="9"/>
        <v>10.60337101152129</v>
      </c>
      <c r="K22" s="53" t="str">
        <f t="shared" si="6"/>
        <v>Vertical</v>
      </c>
      <c r="L22" s="42" t="str">
        <f t="shared" si="6"/>
        <v>Full</v>
      </c>
      <c r="M22" s="50">
        <f t="shared" si="6"/>
        <v>12</v>
      </c>
      <c r="N22" s="49">
        <f t="shared" si="6"/>
        <v>160</v>
      </c>
      <c r="O22" s="44">
        <f t="shared" si="6"/>
        <v>8</v>
      </c>
      <c r="P22" s="44">
        <f>P21</f>
        <v>8</v>
      </c>
      <c r="Q22" s="45">
        <f t="shared" si="6"/>
        <v>0.2</v>
      </c>
      <c r="R22" s="49">
        <v>90</v>
      </c>
      <c r="S22" s="44">
        <f t="shared" si="10"/>
        <v>150</v>
      </c>
      <c r="T22" s="50">
        <f t="shared" si="10"/>
        <v>210</v>
      </c>
    </row>
    <row r="23" spans="1:20" ht="15.75" thickBot="1" x14ac:dyDescent="0.3">
      <c r="A23" s="229">
        <f t="shared" si="7"/>
        <v>1021</v>
      </c>
      <c r="B23" s="230">
        <f t="shared" si="8"/>
        <v>13</v>
      </c>
      <c r="C23" s="218" t="str">
        <f t="shared" si="5"/>
        <v>L15B08#352_000_00</v>
      </c>
      <c r="D23" s="43">
        <f t="shared" si="0"/>
        <v>7.8000000000000007</v>
      </c>
      <c r="E23" s="61">
        <f t="shared" si="1"/>
        <v>1.603</v>
      </c>
      <c r="F23" s="61">
        <f t="shared" si="2"/>
        <v>42</v>
      </c>
      <c r="G23" s="64">
        <f t="shared" si="11"/>
        <v>6.4</v>
      </c>
      <c r="H23" s="63">
        <f t="shared" si="3"/>
        <v>8.783823926692623</v>
      </c>
      <c r="I23" s="63">
        <f t="shared" si="4"/>
        <v>14.085509432453268</v>
      </c>
      <c r="J23" s="51">
        <f>-2*(I23-H23)</f>
        <v>-10.60337101152129</v>
      </c>
      <c r="K23" s="53" t="str">
        <f t="shared" si="6"/>
        <v>Vertical</v>
      </c>
      <c r="L23" s="42" t="str">
        <f t="shared" si="6"/>
        <v>Full</v>
      </c>
      <c r="M23" s="50">
        <f t="shared" si="6"/>
        <v>12</v>
      </c>
      <c r="N23" s="49">
        <f t="shared" si="6"/>
        <v>160</v>
      </c>
      <c r="O23" s="44">
        <f t="shared" si="6"/>
        <v>8</v>
      </c>
      <c r="P23" s="35">
        <f>yaw_min</f>
        <v>-8</v>
      </c>
      <c r="Q23" s="45">
        <f t="shared" si="6"/>
        <v>0.2</v>
      </c>
      <c r="R23" s="49">
        <v>0</v>
      </c>
      <c r="S23" s="44">
        <f t="shared" si="10"/>
        <v>150</v>
      </c>
      <c r="T23" s="50">
        <f t="shared" si="10"/>
        <v>210</v>
      </c>
    </row>
    <row r="24" spans="1:20" ht="15.75" thickBot="1" x14ac:dyDescent="0.3">
      <c r="A24" s="229">
        <f t="shared" si="7"/>
        <v>1022</v>
      </c>
      <c r="B24" s="230">
        <f t="shared" si="8"/>
        <v>14</v>
      </c>
      <c r="C24" s="218" t="str">
        <f t="shared" si="5"/>
        <v>L15B08#352_030_00</v>
      </c>
      <c r="D24" s="43">
        <f t="shared" si="0"/>
        <v>7.8000000000000007</v>
      </c>
      <c r="E24" s="61">
        <f t="shared" si="1"/>
        <v>1.603</v>
      </c>
      <c r="F24" s="61">
        <f t="shared" si="2"/>
        <v>42</v>
      </c>
      <c r="G24" s="64">
        <f t="shared" si="11"/>
        <v>6.4</v>
      </c>
      <c r="H24" s="63">
        <f t="shared" si="3"/>
        <v>8.783823926692623</v>
      </c>
      <c r="I24" s="63">
        <f t="shared" si="4"/>
        <v>14.085509432453268</v>
      </c>
      <c r="J24" s="53">
        <f>J23</f>
        <v>-10.60337101152129</v>
      </c>
      <c r="K24" s="53" t="str">
        <f t="shared" si="6"/>
        <v>Vertical</v>
      </c>
      <c r="L24" s="42" t="str">
        <f t="shared" si="6"/>
        <v>Full</v>
      </c>
      <c r="M24" s="50">
        <f t="shared" si="6"/>
        <v>12</v>
      </c>
      <c r="N24" s="49">
        <f t="shared" si="6"/>
        <v>160</v>
      </c>
      <c r="O24" s="44">
        <f t="shared" si="6"/>
        <v>8</v>
      </c>
      <c r="P24" s="44">
        <f>P23</f>
        <v>-8</v>
      </c>
      <c r="Q24" s="45">
        <f t="shared" si="6"/>
        <v>0.2</v>
      </c>
      <c r="R24" s="49">
        <v>30</v>
      </c>
      <c r="S24" s="44">
        <f t="shared" si="10"/>
        <v>150</v>
      </c>
      <c r="T24" s="50">
        <f t="shared" si="10"/>
        <v>210</v>
      </c>
    </row>
    <row r="25" spans="1:20" ht="15.75" thickBot="1" x14ac:dyDescent="0.3">
      <c r="A25" s="229">
        <f t="shared" si="7"/>
        <v>1023</v>
      </c>
      <c r="B25" s="230">
        <f t="shared" si="8"/>
        <v>15</v>
      </c>
      <c r="C25" s="218" t="str">
        <f t="shared" si="5"/>
        <v>L15B08#352_060_00</v>
      </c>
      <c r="D25" s="43">
        <f t="shared" si="0"/>
        <v>7.8000000000000007</v>
      </c>
      <c r="E25" s="61">
        <f t="shared" si="1"/>
        <v>1.603</v>
      </c>
      <c r="F25" s="61">
        <f t="shared" si="2"/>
        <v>42</v>
      </c>
      <c r="G25" s="64">
        <f t="shared" si="11"/>
        <v>6.4</v>
      </c>
      <c r="H25" s="63">
        <f t="shared" si="3"/>
        <v>8.783823926692623</v>
      </c>
      <c r="I25" s="63">
        <f t="shared" si="4"/>
        <v>14.085509432453268</v>
      </c>
      <c r="J25" s="53">
        <f t="shared" ref="J25:M40" si="12">J24</f>
        <v>-10.60337101152129</v>
      </c>
      <c r="K25" s="53" t="str">
        <f t="shared" si="6"/>
        <v>Vertical</v>
      </c>
      <c r="L25" s="42" t="str">
        <f t="shared" si="6"/>
        <v>Full</v>
      </c>
      <c r="M25" s="50">
        <f>M24</f>
        <v>12</v>
      </c>
      <c r="N25" s="49">
        <f t="shared" si="6"/>
        <v>160</v>
      </c>
      <c r="O25" s="44">
        <f t="shared" si="6"/>
        <v>8</v>
      </c>
      <c r="P25" s="44">
        <f>P24</f>
        <v>-8</v>
      </c>
      <c r="Q25" s="45">
        <f t="shared" si="6"/>
        <v>0.2</v>
      </c>
      <c r="R25" s="49">
        <v>60</v>
      </c>
      <c r="S25" s="44">
        <f t="shared" si="10"/>
        <v>150</v>
      </c>
      <c r="T25" s="50">
        <f t="shared" si="10"/>
        <v>210</v>
      </c>
    </row>
    <row r="26" spans="1:20" ht="15.75" thickBot="1" x14ac:dyDescent="0.3">
      <c r="A26" s="229">
        <f t="shared" si="7"/>
        <v>1024</v>
      </c>
      <c r="B26" s="230">
        <f t="shared" si="8"/>
        <v>16</v>
      </c>
      <c r="C26" s="218" t="str">
        <f t="shared" si="5"/>
        <v>L15B08#352_090_00</v>
      </c>
      <c r="D26" s="43">
        <f t="shared" si="0"/>
        <v>7.8000000000000007</v>
      </c>
      <c r="E26" s="61">
        <f t="shared" si="1"/>
        <v>1.603</v>
      </c>
      <c r="F26" s="61">
        <f t="shared" si="2"/>
        <v>42</v>
      </c>
      <c r="G26" s="64">
        <f t="shared" si="11"/>
        <v>6.4</v>
      </c>
      <c r="H26" s="63">
        <f t="shared" si="3"/>
        <v>8.783823926692623</v>
      </c>
      <c r="I26" s="63">
        <f t="shared" si="4"/>
        <v>14.085509432453268</v>
      </c>
      <c r="J26" s="53">
        <f t="shared" si="12"/>
        <v>-10.60337101152129</v>
      </c>
      <c r="K26" s="53" t="str">
        <f t="shared" si="6"/>
        <v>Vertical</v>
      </c>
      <c r="L26" s="42" t="str">
        <f t="shared" si="6"/>
        <v>Full</v>
      </c>
      <c r="M26" s="50">
        <f>M25</f>
        <v>12</v>
      </c>
      <c r="N26" s="49">
        <f t="shared" si="6"/>
        <v>160</v>
      </c>
      <c r="O26" s="44">
        <f t="shared" si="6"/>
        <v>8</v>
      </c>
      <c r="P26" s="44">
        <f>P25</f>
        <v>-8</v>
      </c>
      <c r="Q26" s="45">
        <f t="shared" si="6"/>
        <v>0.2</v>
      </c>
      <c r="R26" s="49">
        <v>90</v>
      </c>
      <c r="S26" s="44">
        <f t="shared" si="10"/>
        <v>150</v>
      </c>
      <c r="T26" s="50">
        <f t="shared" si="10"/>
        <v>210</v>
      </c>
    </row>
    <row r="27" spans="1:20" ht="15.75" thickBot="1" x14ac:dyDescent="0.3">
      <c r="A27" s="229">
        <f t="shared" si="7"/>
        <v>1025</v>
      </c>
      <c r="B27" s="230">
        <f t="shared" si="8"/>
        <v>17</v>
      </c>
      <c r="C27" s="218" t="str">
        <f t="shared" si="5"/>
        <v>L15B08#000_000_00</v>
      </c>
      <c r="D27" s="43">
        <f t="shared" si="0"/>
        <v>7.8000000000000007</v>
      </c>
      <c r="E27" s="61">
        <f t="shared" si="1"/>
        <v>1.603</v>
      </c>
      <c r="F27" s="61">
        <f t="shared" si="2"/>
        <v>42</v>
      </c>
      <c r="G27" s="64">
        <f t="shared" si="11"/>
        <v>6.4</v>
      </c>
      <c r="H27" s="63">
        <f t="shared" si="3"/>
        <v>8.783823926692623</v>
      </c>
      <c r="I27" s="63">
        <f t="shared" si="4"/>
        <v>14.085509432453268</v>
      </c>
      <c r="J27" s="53">
        <f t="shared" si="12"/>
        <v>-10.60337101152129</v>
      </c>
      <c r="K27" s="53" t="str">
        <f t="shared" si="6"/>
        <v>Vertical</v>
      </c>
      <c r="L27" s="42" t="str">
        <f t="shared" si="6"/>
        <v>Full</v>
      </c>
      <c r="M27" s="50">
        <f>M26</f>
        <v>12</v>
      </c>
      <c r="N27" s="49">
        <f t="shared" si="6"/>
        <v>160</v>
      </c>
      <c r="O27" s="44">
        <f t="shared" si="6"/>
        <v>8</v>
      </c>
      <c r="P27" s="44">
        <f>yaw_null</f>
        <v>0</v>
      </c>
      <c r="Q27" s="45">
        <f t="shared" si="6"/>
        <v>0.2</v>
      </c>
      <c r="R27" s="49">
        <v>0</v>
      </c>
      <c r="S27" s="44">
        <f t="shared" si="10"/>
        <v>150</v>
      </c>
      <c r="T27" s="50">
        <f t="shared" si="10"/>
        <v>210</v>
      </c>
    </row>
    <row r="28" spans="1:20" ht="15.75" thickBot="1" x14ac:dyDescent="0.3">
      <c r="A28" s="229">
        <f t="shared" si="7"/>
        <v>1026</v>
      </c>
      <c r="B28" s="230">
        <f t="shared" si="8"/>
        <v>18</v>
      </c>
      <c r="C28" s="218" t="str">
        <f t="shared" si="5"/>
        <v>L15B08#000_030_00</v>
      </c>
      <c r="D28" s="43">
        <f t="shared" si="0"/>
        <v>7.8000000000000007</v>
      </c>
      <c r="E28" s="61">
        <f t="shared" si="1"/>
        <v>1.603</v>
      </c>
      <c r="F28" s="61">
        <f t="shared" si="2"/>
        <v>42</v>
      </c>
      <c r="G28" s="64">
        <f t="shared" si="11"/>
        <v>6.4</v>
      </c>
      <c r="H28" s="63">
        <f t="shared" si="3"/>
        <v>8.783823926692623</v>
      </c>
      <c r="I28" s="63">
        <f t="shared" si="4"/>
        <v>14.085509432453268</v>
      </c>
      <c r="J28" s="53">
        <f t="shared" si="12"/>
        <v>-10.60337101152129</v>
      </c>
      <c r="K28" s="53" t="str">
        <f t="shared" si="12"/>
        <v>Vertical</v>
      </c>
      <c r="L28" s="42" t="str">
        <f t="shared" si="12"/>
        <v>Full</v>
      </c>
      <c r="M28" s="50">
        <f>M27</f>
        <v>12</v>
      </c>
      <c r="N28" s="49">
        <f t="shared" ref="N28:O43" si="13">N27</f>
        <v>160</v>
      </c>
      <c r="O28" s="44">
        <f t="shared" si="13"/>
        <v>8</v>
      </c>
      <c r="P28" s="44">
        <f>P27</f>
        <v>0</v>
      </c>
      <c r="Q28" s="45">
        <f t="shared" ref="Q28:Q91" si="14">Q27</f>
        <v>0.2</v>
      </c>
      <c r="R28" s="49">
        <v>30</v>
      </c>
      <c r="S28" s="44">
        <f t="shared" si="10"/>
        <v>150</v>
      </c>
      <c r="T28" s="50">
        <f t="shared" si="10"/>
        <v>210</v>
      </c>
    </row>
    <row r="29" spans="1:20" ht="15.75" thickBot="1" x14ac:dyDescent="0.3">
      <c r="A29" s="229">
        <f t="shared" si="7"/>
        <v>1027</v>
      </c>
      <c r="B29" s="230">
        <f t="shared" si="8"/>
        <v>19</v>
      </c>
      <c r="C29" s="218" t="str">
        <f t="shared" si="5"/>
        <v>L15B08#000_060_00</v>
      </c>
      <c r="D29" s="43">
        <f t="shared" si="0"/>
        <v>7.8000000000000007</v>
      </c>
      <c r="E29" s="61">
        <f t="shared" si="1"/>
        <v>1.603</v>
      </c>
      <c r="F29" s="61">
        <f t="shared" si="2"/>
        <v>42</v>
      </c>
      <c r="G29" s="64">
        <f t="shared" si="11"/>
        <v>6.4</v>
      </c>
      <c r="H29" s="63">
        <f t="shared" si="3"/>
        <v>8.783823926692623</v>
      </c>
      <c r="I29" s="63">
        <f t="shared" si="4"/>
        <v>14.085509432453268</v>
      </c>
      <c r="J29" s="53">
        <f t="shared" si="12"/>
        <v>-10.60337101152129</v>
      </c>
      <c r="K29" s="53" t="str">
        <f t="shared" si="12"/>
        <v>Vertical</v>
      </c>
      <c r="L29" s="42" t="str">
        <f t="shared" si="12"/>
        <v>Full</v>
      </c>
      <c r="M29" s="50">
        <f t="shared" si="12"/>
        <v>12</v>
      </c>
      <c r="N29" s="49">
        <f t="shared" si="13"/>
        <v>160</v>
      </c>
      <c r="O29" s="44">
        <f t="shared" si="13"/>
        <v>8</v>
      </c>
      <c r="P29" s="44">
        <f>P28</f>
        <v>0</v>
      </c>
      <c r="Q29" s="45">
        <f t="shared" si="14"/>
        <v>0.2</v>
      </c>
      <c r="R29" s="49">
        <v>60</v>
      </c>
      <c r="S29" s="44">
        <f t="shared" ref="S29:T44" si="15">S28</f>
        <v>150</v>
      </c>
      <c r="T29" s="50">
        <f t="shared" si="15"/>
        <v>210</v>
      </c>
    </row>
    <row r="30" spans="1:20" ht="15.75" thickBot="1" x14ac:dyDescent="0.3">
      <c r="A30" s="229">
        <f t="shared" si="7"/>
        <v>1028</v>
      </c>
      <c r="B30" s="230">
        <f t="shared" si="8"/>
        <v>20</v>
      </c>
      <c r="C30" s="218" t="str">
        <f t="shared" si="5"/>
        <v>L15B08#000_090_00</v>
      </c>
      <c r="D30" s="43">
        <f t="shared" si="0"/>
        <v>7.8000000000000007</v>
      </c>
      <c r="E30" s="61">
        <f t="shared" si="1"/>
        <v>1.603</v>
      </c>
      <c r="F30" s="61">
        <f t="shared" si="2"/>
        <v>42</v>
      </c>
      <c r="G30" s="64">
        <f t="shared" si="11"/>
        <v>6.4</v>
      </c>
      <c r="H30" s="63">
        <f t="shared" si="3"/>
        <v>8.783823926692623</v>
      </c>
      <c r="I30" s="63">
        <f t="shared" si="4"/>
        <v>14.085509432453268</v>
      </c>
      <c r="J30" s="53">
        <f t="shared" si="12"/>
        <v>-10.60337101152129</v>
      </c>
      <c r="K30" s="53" t="str">
        <f t="shared" si="12"/>
        <v>Vertical</v>
      </c>
      <c r="L30" s="42" t="str">
        <f t="shared" si="12"/>
        <v>Full</v>
      </c>
      <c r="M30" s="50">
        <f t="shared" si="12"/>
        <v>12</v>
      </c>
      <c r="N30" s="49">
        <f t="shared" si="13"/>
        <v>160</v>
      </c>
      <c r="O30" s="44">
        <f t="shared" si="13"/>
        <v>8</v>
      </c>
      <c r="P30" s="44">
        <f>P29</f>
        <v>0</v>
      </c>
      <c r="Q30" s="45">
        <f t="shared" si="14"/>
        <v>0.2</v>
      </c>
      <c r="R30" s="49">
        <v>90</v>
      </c>
      <c r="S30" s="44">
        <f t="shared" si="15"/>
        <v>150</v>
      </c>
      <c r="T30" s="50">
        <f t="shared" si="15"/>
        <v>210</v>
      </c>
    </row>
    <row r="31" spans="1:20" ht="15.75" thickBot="1" x14ac:dyDescent="0.3">
      <c r="A31" s="229">
        <f t="shared" si="7"/>
        <v>1029</v>
      </c>
      <c r="B31" s="230">
        <f t="shared" si="8"/>
        <v>21</v>
      </c>
      <c r="C31" s="218" t="str">
        <f t="shared" si="5"/>
        <v>L15B08#008_000_00</v>
      </c>
      <c r="D31" s="43">
        <f t="shared" si="0"/>
        <v>7.8000000000000007</v>
      </c>
      <c r="E31" s="61">
        <f t="shared" si="1"/>
        <v>1.603</v>
      </c>
      <c r="F31" s="61">
        <f t="shared" si="2"/>
        <v>42</v>
      </c>
      <c r="G31" s="64">
        <f t="shared" si="11"/>
        <v>6.4</v>
      </c>
      <c r="H31" s="63">
        <f t="shared" si="3"/>
        <v>8.783823926692623</v>
      </c>
      <c r="I31" s="63">
        <f t="shared" si="4"/>
        <v>14.085509432453268</v>
      </c>
      <c r="J31" s="53">
        <f t="shared" si="12"/>
        <v>-10.60337101152129</v>
      </c>
      <c r="K31" s="53" t="str">
        <f t="shared" si="12"/>
        <v>Vertical</v>
      </c>
      <c r="L31" s="42" t="str">
        <f t="shared" si="12"/>
        <v>Full</v>
      </c>
      <c r="M31" s="50">
        <f t="shared" si="12"/>
        <v>12</v>
      </c>
      <c r="N31" s="49">
        <f t="shared" si="13"/>
        <v>160</v>
      </c>
      <c r="O31" s="44">
        <f t="shared" si="13"/>
        <v>8</v>
      </c>
      <c r="P31" s="44">
        <f>yaw_max</f>
        <v>8</v>
      </c>
      <c r="Q31" s="45">
        <f t="shared" si="14"/>
        <v>0.2</v>
      </c>
      <c r="R31" s="49">
        <v>0</v>
      </c>
      <c r="S31" s="44">
        <f t="shared" si="15"/>
        <v>150</v>
      </c>
      <c r="T31" s="50">
        <f t="shared" si="15"/>
        <v>210</v>
      </c>
    </row>
    <row r="32" spans="1:20" ht="15.75" thickBot="1" x14ac:dyDescent="0.3">
      <c r="A32" s="229">
        <f t="shared" si="7"/>
        <v>1030</v>
      </c>
      <c r="B32" s="230">
        <f t="shared" si="8"/>
        <v>22</v>
      </c>
      <c r="C32" s="218" t="str">
        <f t="shared" si="5"/>
        <v>L15B08#008_030_00</v>
      </c>
      <c r="D32" s="43">
        <f t="shared" si="0"/>
        <v>7.8000000000000007</v>
      </c>
      <c r="E32" s="61">
        <f t="shared" si="1"/>
        <v>1.603</v>
      </c>
      <c r="F32" s="61">
        <f t="shared" si="2"/>
        <v>42</v>
      </c>
      <c r="G32" s="64">
        <f t="shared" si="11"/>
        <v>6.4</v>
      </c>
      <c r="H32" s="63">
        <f t="shared" si="3"/>
        <v>8.783823926692623</v>
      </c>
      <c r="I32" s="63">
        <f t="shared" si="4"/>
        <v>14.085509432453268</v>
      </c>
      <c r="J32" s="53">
        <f t="shared" si="12"/>
        <v>-10.60337101152129</v>
      </c>
      <c r="K32" s="53" t="str">
        <f t="shared" si="12"/>
        <v>Vertical</v>
      </c>
      <c r="L32" s="42" t="str">
        <f t="shared" si="12"/>
        <v>Full</v>
      </c>
      <c r="M32" s="50">
        <f t="shared" si="12"/>
        <v>12</v>
      </c>
      <c r="N32" s="49">
        <f t="shared" si="13"/>
        <v>160</v>
      </c>
      <c r="O32" s="44">
        <f t="shared" si="13"/>
        <v>8</v>
      </c>
      <c r="P32" s="44">
        <f>P31</f>
        <v>8</v>
      </c>
      <c r="Q32" s="45">
        <f t="shared" si="14"/>
        <v>0.2</v>
      </c>
      <c r="R32" s="49">
        <v>30</v>
      </c>
      <c r="S32" s="44">
        <f t="shared" si="15"/>
        <v>150</v>
      </c>
      <c r="T32" s="50">
        <f t="shared" si="15"/>
        <v>210</v>
      </c>
    </row>
    <row r="33" spans="1:20" ht="15.75" thickBot="1" x14ac:dyDescent="0.3">
      <c r="A33" s="229">
        <f t="shared" si="7"/>
        <v>1031</v>
      </c>
      <c r="B33" s="230">
        <f t="shared" si="8"/>
        <v>23</v>
      </c>
      <c r="C33" s="218" t="str">
        <f t="shared" si="5"/>
        <v>L15B08#008_060_00</v>
      </c>
      <c r="D33" s="43">
        <f t="shared" si="0"/>
        <v>7.8000000000000007</v>
      </c>
      <c r="E33" s="61">
        <f t="shared" si="1"/>
        <v>1.603</v>
      </c>
      <c r="F33" s="61">
        <f t="shared" si="2"/>
        <v>42</v>
      </c>
      <c r="G33" s="64">
        <f t="shared" si="11"/>
        <v>6.4</v>
      </c>
      <c r="H33" s="63">
        <f t="shared" si="3"/>
        <v>8.783823926692623</v>
      </c>
      <c r="I33" s="63">
        <f t="shared" si="4"/>
        <v>14.085509432453268</v>
      </c>
      <c r="J33" s="53">
        <f t="shared" si="12"/>
        <v>-10.60337101152129</v>
      </c>
      <c r="K33" s="53" t="str">
        <f t="shared" si="12"/>
        <v>Vertical</v>
      </c>
      <c r="L33" s="42" t="str">
        <f t="shared" si="12"/>
        <v>Full</v>
      </c>
      <c r="M33" s="50">
        <f t="shared" si="12"/>
        <v>12</v>
      </c>
      <c r="N33" s="49">
        <f t="shared" si="13"/>
        <v>160</v>
      </c>
      <c r="O33" s="44">
        <f t="shared" si="13"/>
        <v>8</v>
      </c>
      <c r="P33" s="44">
        <f>P32</f>
        <v>8</v>
      </c>
      <c r="Q33" s="45">
        <f t="shared" si="14"/>
        <v>0.2</v>
      </c>
      <c r="R33" s="49">
        <v>60</v>
      </c>
      <c r="S33" s="44">
        <f t="shared" si="15"/>
        <v>150</v>
      </c>
      <c r="T33" s="50">
        <f t="shared" si="15"/>
        <v>210</v>
      </c>
    </row>
    <row r="34" spans="1:20" ht="15.75" thickBot="1" x14ac:dyDescent="0.3">
      <c r="A34" s="229">
        <f t="shared" si="7"/>
        <v>1032</v>
      </c>
      <c r="B34" s="230">
        <f t="shared" si="8"/>
        <v>24</v>
      </c>
      <c r="C34" s="218" t="str">
        <f t="shared" si="5"/>
        <v>L15B08#008_090_00</v>
      </c>
      <c r="D34" s="43">
        <f t="shared" si="0"/>
        <v>7.8000000000000007</v>
      </c>
      <c r="E34" s="61">
        <f t="shared" si="1"/>
        <v>1.603</v>
      </c>
      <c r="F34" s="61">
        <f t="shared" si="2"/>
        <v>42</v>
      </c>
      <c r="G34" s="64">
        <f t="shared" si="11"/>
        <v>6.4</v>
      </c>
      <c r="H34" s="63">
        <f t="shared" si="3"/>
        <v>8.783823926692623</v>
      </c>
      <c r="I34" s="63">
        <f t="shared" si="4"/>
        <v>14.085509432453268</v>
      </c>
      <c r="J34" s="53">
        <f t="shared" si="12"/>
        <v>-10.60337101152129</v>
      </c>
      <c r="K34" s="53" t="str">
        <f t="shared" si="12"/>
        <v>Vertical</v>
      </c>
      <c r="L34" s="42" t="str">
        <f t="shared" si="12"/>
        <v>Full</v>
      </c>
      <c r="M34" s="50">
        <f t="shared" si="12"/>
        <v>12</v>
      </c>
      <c r="N34" s="49">
        <f t="shared" si="13"/>
        <v>160</v>
      </c>
      <c r="O34" s="44">
        <f t="shared" si="13"/>
        <v>8</v>
      </c>
      <c r="P34" s="44">
        <f>P33</f>
        <v>8</v>
      </c>
      <c r="Q34" s="45">
        <f t="shared" si="14"/>
        <v>0.2</v>
      </c>
      <c r="R34" s="49">
        <v>90</v>
      </c>
      <c r="S34" s="44">
        <f t="shared" si="15"/>
        <v>150</v>
      </c>
      <c r="T34" s="50">
        <f t="shared" si="15"/>
        <v>210</v>
      </c>
    </row>
    <row r="35" spans="1:20" ht="15.75" thickBot="1" x14ac:dyDescent="0.3">
      <c r="A35" s="229">
        <f t="shared" si="7"/>
        <v>1033</v>
      </c>
      <c r="B35" s="230">
        <f t="shared" si="8"/>
        <v>25</v>
      </c>
      <c r="C35" s="218" t="str">
        <f t="shared" si="5"/>
        <v>L15C08#352_000_00</v>
      </c>
      <c r="D35" s="43">
        <f t="shared" si="0"/>
        <v>7.8000000000000007</v>
      </c>
      <c r="E35" s="61">
        <f t="shared" si="1"/>
        <v>1.603</v>
      </c>
      <c r="F35" s="61">
        <f t="shared" si="2"/>
        <v>42</v>
      </c>
      <c r="G35" s="64">
        <f t="shared" si="11"/>
        <v>6.4</v>
      </c>
      <c r="H35" s="63">
        <f t="shared" si="3"/>
        <v>8.783823926692623</v>
      </c>
      <c r="I35" s="63">
        <f t="shared" si="4"/>
        <v>14.085509432453268</v>
      </c>
      <c r="J35" s="53">
        <f>2*(I35-H35)</f>
        <v>10.60337101152129</v>
      </c>
      <c r="K35" s="55" t="s">
        <v>124</v>
      </c>
      <c r="L35" s="42" t="str">
        <f t="shared" si="12"/>
        <v>Full</v>
      </c>
      <c r="M35" s="50">
        <f t="shared" si="12"/>
        <v>12</v>
      </c>
      <c r="N35" s="49">
        <f t="shared" si="13"/>
        <v>160</v>
      </c>
      <c r="O35" s="44">
        <f t="shared" si="13"/>
        <v>8</v>
      </c>
      <c r="P35" s="35">
        <f>yaw_min</f>
        <v>-8</v>
      </c>
      <c r="Q35" s="45">
        <f t="shared" si="14"/>
        <v>0.2</v>
      </c>
      <c r="R35" s="49">
        <v>0</v>
      </c>
      <c r="S35" s="44">
        <f t="shared" si="15"/>
        <v>150</v>
      </c>
      <c r="T35" s="50">
        <f t="shared" si="15"/>
        <v>210</v>
      </c>
    </row>
    <row r="36" spans="1:20" ht="15.75" thickBot="1" x14ac:dyDescent="0.3">
      <c r="A36" s="229">
        <f t="shared" si="7"/>
        <v>1034</v>
      </c>
      <c r="B36" s="230">
        <f t="shared" si="8"/>
        <v>26</v>
      </c>
      <c r="C36" s="218" t="str">
        <f t="shared" si="5"/>
        <v>L15C08#352_030_00</v>
      </c>
      <c r="D36" s="43">
        <f t="shared" si="0"/>
        <v>7.8000000000000007</v>
      </c>
      <c r="E36" s="61">
        <f t="shared" si="1"/>
        <v>1.603</v>
      </c>
      <c r="F36" s="61">
        <f t="shared" si="2"/>
        <v>42</v>
      </c>
      <c r="G36" s="64">
        <f t="shared" si="11"/>
        <v>6.4</v>
      </c>
      <c r="H36" s="63">
        <f t="shared" si="3"/>
        <v>8.783823926692623</v>
      </c>
      <c r="I36" s="63">
        <f t="shared" si="4"/>
        <v>14.085509432453268</v>
      </c>
      <c r="J36" s="53">
        <f t="shared" ref="J36:J46" si="16">2*(I36-H36)</f>
        <v>10.60337101152129</v>
      </c>
      <c r="K36" s="53" t="str">
        <f t="shared" si="12"/>
        <v>Horizontal</v>
      </c>
      <c r="L36" s="42" t="str">
        <f t="shared" si="12"/>
        <v>Full</v>
      </c>
      <c r="M36" s="50">
        <f t="shared" si="12"/>
        <v>12</v>
      </c>
      <c r="N36" s="49">
        <f t="shared" si="13"/>
        <v>160</v>
      </c>
      <c r="O36" s="44">
        <f t="shared" si="13"/>
        <v>8</v>
      </c>
      <c r="P36" s="44">
        <f>P35</f>
        <v>-8</v>
      </c>
      <c r="Q36" s="45">
        <f t="shared" si="14"/>
        <v>0.2</v>
      </c>
      <c r="R36" s="49">
        <v>30</v>
      </c>
      <c r="S36" s="44">
        <f t="shared" si="15"/>
        <v>150</v>
      </c>
      <c r="T36" s="50">
        <f t="shared" si="15"/>
        <v>210</v>
      </c>
    </row>
    <row r="37" spans="1:20" ht="15.75" thickBot="1" x14ac:dyDescent="0.3">
      <c r="A37" s="229">
        <f t="shared" si="7"/>
        <v>1035</v>
      </c>
      <c r="B37" s="230">
        <f t="shared" si="8"/>
        <v>27</v>
      </c>
      <c r="C37" s="218" t="str">
        <f t="shared" si="5"/>
        <v>L15C08#352_060_00</v>
      </c>
      <c r="D37" s="43">
        <f t="shared" si="0"/>
        <v>7.8000000000000007</v>
      </c>
      <c r="E37" s="61">
        <f t="shared" si="1"/>
        <v>1.603</v>
      </c>
      <c r="F37" s="61">
        <f t="shared" si="2"/>
        <v>42</v>
      </c>
      <c r="G37" s="64">
        <f t="shared" si="11"/>
        <v>6.4</v>
      </c>
      <c r="H37" s="63">
        <f t="shared" si="3"/>
        <v>8.783823926692623</v>
      </c>
      <c r="I37" s="63">
        <f t="shared" si="4"/>
        <v>14.085509432453268</v>
      </c>
      <c r="J37" s="53">
        <f t="shared" si="16"/>
        <v>10.60337101152129</v>
      </c>
      <c r="K37" s="53" t="str">
        <f t="shared" si="12"/>
        <v>Horizontal</v>
      </c>
      <c r="L37" s="42" t="str">
        <f t="shared" si="12"/>
        <v>Full</v>
      </c>
      <c r="M37" s="50">
        <f t="shared" si="12"/>
        <v>12</v>
      </c>
      <c r="N37" s="49">
        <f t="shared" si="13"/>
        <v>160</v>
      </c>
      <c r="O37" s="44">
        <f t="shared" si="13"/>
        <v>8</v>
      </c>
      <c r="P37" s="44">
        <f>P36</f>
        <v>-8</v>
      </c>
      <c r="Q37" s="45">
        <f t="shared" si="14"/>
        <v>0.2</v>
      </c>
      <c r="R37" s="49">
        <v>60</v>
      </c>
      <c r="S37" s="44">
        <f t="shared" si="15"/>
        <v>150</v>
      </c>
      <c r="T37" s="50">
        <f t="shared" si="15"/>
        <v>210</v>
      </c>
    </row>
    <row r="38" spans="1:20" ht="15.75" thickBot="1" x14ac:dyDescent="0.3">
      <c r="A38" s="229">
        <f t="shared" si="7"/>
        <v>1036</v>
      </c>
      <c r="B38" s="230">
        <f t="shared" si="8"/>
        <v>28</v>
      </c>
      <c r="C38" s="218" t="str">
        <f t="shared" si="5"/>
        <v>L15C08#352_090_00</v>
      </c>
      <c r="D38" s="43">
        <f t="shared" si="0"/>
        <v>7.8000000000000007</v>
      </c>
      <c r="E38" s="61">
        <f t="shared" si="1"/>
        <v>1.603</v>
      </c>
      <c r="F38" s="61">
        <f t="shared" si="2"/>
        <v>42</v>
      </c>
      <c r="G38" s="64">
        <f t="shared" si="11"/>
        <v>6.4</v>
      </c>
      <c r="H38" s="63">
        <f t="shared" si="3"/>
        <v>8.783823926692623</v>
      </c>
      <c r="I38" s="63">
        <f t="shared" si="4"/>
        <v>14.085509432453268</v>
      </c>
      <c r="J38" s="53">
        <f t="shared" si="16"/>
        <v>10.60337101152129</v>
      </c>
      <c r="K38" s="53" t="str">
        <f t="shared" si="12"/>
        <v>Horizontal</v>
      </c>
      <c r="L38" s="42" t="str">
        <f t="shared" si="12"/>
        <v>Full</v>
      </c>
      <c r="M38" s="50">
        <f t="shared" si="12"/>
        <v>12</v>
      </c>
      <c r="N38" s="49">
        <f t="shared" si="13"/>
        <v>160</v>
      </c>
      <c r="O38" s="44">
        <f t="shared" si="13"/>
        <v>8</v>
      </c>
      <c r="P38" s="44">
        <f>P37</f>
        <v>-8</v>
      </c>
      <c r="Q38" s="45">
        <f t="shared" si="14"/>
        <v>0.2</v>
      </c>
      <c r="R38" s="49">
        <v>90</v>
      </c>
      <c r="S38" s="44">
        <f t="shared" si="15"/>
        <v>150</v>
      </c>
      <c r="T38" s="50">
        <f t="shared" si="15"/>
        <v>210</v>
      </c>
    </row>
    <row r="39" spans="1:20" ht="15.75" thickBot="1" x14ac:dyDescent="0.3">
      <c r="A39" s="229">
        <f t="shared" si="7"/>
        <v>1037</v>
      </c>
      <c r="B39" s="230">
        <f t="shared" si="8"/>
        <v>29</v>
      </c>
      <c r="C39" s="218" t="str">
        <f t="shared" si="5"/>
        <v>L15C08#000_000_00</v>
      </c>
      <c r="D39" s="43">
        <f t="shared" si="0"/>
        <v>7.8000000000000007</v>
      </c>
      <c r="E39" s="61">
        <f t="shared" si="1"/>
        <v>1.603</v>
      </c>
      <c r="F39" s="61">
        <f t="shared" si="2"/>
        <v>42</v>
      </c>
      <c r="G39" s="64">
        <f t="shared" si="11"/>
        <v>6.4</v>
      </c>
      <c r="H39" s="63">
        <f t="shared" si="3"/>
        <v>8.783823926692623</v>
      </c>
      <c r="I39" s="63">
        <f t="shared" si="4"/>
        <v>14.085509432453268</v>
      </c>
      <c r="J39" s="53">
        <f t="shared" si="16"/>
        <v>10.60337101152129</v>
      </c>
      <c r="K39" s="53" t="str">
        <f t="shared" si="12"/>
        <v>Horizontal</v>
      </c>
      <c r="L39" s="42" t="str">
        <f t="shared" si="12"/>
        <v>Full</v>
      </c>
      <c r="M39" s="50">
        <f t="shared" si="12"/>
        <v>12</v>
      </c>
      <c r="N39" s="49">
        <f t="shared" si="13"/>
        <v>160</v>
      </c>
      <c r="O39" s="44">
        <f t="shared" si="13"/>
        <v>8</v>
      </c>
      <c r="P39" s="44">
        <f>yaw_null</f>
        <v>0</v>
      </c>
      <c r="Q39" s="45">
        <f t="shared" si="14"/>
        <v>0.2</v>
      </c>
      <c r="R39" s="49">
        <v>0</v>
      </c>
      <c r="S39" s="44">
        <f t="shared" si="15"/>
        <v>150</v>
      </c>
      <c r="T39" s="50">
        <f t="shared" si="15"/>
        <v>210</v>
      </c>
    </row>
    <row r="40" spans="1:20" ht="15.75" thickBot="1" x14ac:dyDescent="0.3">
      <c r="A40" s="229">
        <f t="shared" si="7"/>
        <v>1038</v>
      </c>
      <c r="B40" s="230">
        <f t="shared" si="8"/>
        <v>30</v>
      </c>
      <c r="C40" s="218" t="str">
        <f t="shared" si="5"/>
        <v>L15C08#000_030_00</v>
      </c>
      <c r="D40" s="43">
        <f t="shared" si="0"/>
        <v>7.8000000000000007</v>
      </c>
      <c r="E40" s="61">
        <f t="shared" si="1"/>
        <v>1.603</v>
      </c>
      <c r="F40" s="61">
        <f t="shared" si="2"/>
        <v>42</v>
      </c>
      <c r="G40" s="64">
        <f t="shared" si="11"/>
        <v>6.4</v>
      </c>
      <c r="H40" s="63">
        <f t="shared" si="3"/>
        <v>8.783823926692623</v>
      </c>
      <c r="I40" s="63">
        <f t="shared" si="4"/>
        <v>14.085509432453268</v>
      </c>
      <c r="J40" s="53">
        <f t="shared" si="16"/>
        <v>10.60337101152129</v>
      </c>
      <c r="K40" s="53" t="str">
        <f t="shared" si="12"/>
        <v>Horizontal</v>
      </c>
      <c r="L40" s="42" t="str">
        <f t="shared" si="12"/>
        <v>Full</v>
      </c>
      <c r="M40" s="50">
        <f t="shared" si="12"/>
        <v>12</v>
      </c>
      <c r="N40" s="49">
        <f t="shared" si="13"/>
        <v>160</v>
      </c>
      <c r="O40" s="44">
        <f t="shared" si="13"/>
        <v>8</v>
      </c>
      <c r="P40" s="44">
        <f>P39</f>
        <v>0</v>
      </c>
      <c r="Q40" s="45">
        <f t="shared" si="14"/>
        <v>0.2</v>
      </c>
      <c r="R40" s="49">
        <v>30</v>
      </c>
      <c r="S40" s="44">
        <f t="shared" si="15"/>
        <v>150</v>
      </c>
      <c r="T40" s="50">
        <f t="shared" si="15"/>
        <v>210</v>
      </c>
    </row>
    <row r="41" spans="1:20" ht="15.75" thickBot="1" x14ac:dyDescent="0.3">
      <c r="A41" s="229">
        <f t="shared" si="7"/>
        <v>1039</v>
      </c>
      <c r="B41" s="230">
        <f t="shared" si="8"/>
        <v>31</v>
      </c>
      <c r="C41" s="218" t="str">
        <f t="shared" si="5"/>
        <v>L15C08#000_060_00</v>
      </c>
      <c r="D41" s="43">
        <f t="shared" si="0"/>
        <v>7.8000000000000007</v>
      </c>
      <c r="E41" s="61">
        <f t="shared" si="1"/>
        <v>1.603</v>
      </c>
      <c r="F41" s="61">
        <f t="shared" si="2"/>
        <v>42</v>
      </c>
      <c r="G41" s="64">
        <f t="shared" si="11"/>
        <v>6.4</v>
      </c>
      <c r="H41" s="63">
        <f t="shared" si="3"/>
        <v>8.783823926692623</v>
      </c>
      <c r="I41" s="63">
        <f t="shared" si="4"/>
        <v>14.085509432453268</v>
      </c>
      <c r="J41" s="53">
        <f t="shared" si="16"/>
        <v>10.60337101152129</v>
      </c>
      <c r="K41" s="53" t="str">
        <f t="shared" ref="K41:O56" si="17">K40</f>
        <v>Horizontal</v>
      </c>
      <c r="L41" s="42" t="str">
        <f t="shared" si="17"/>
        <v>Full</v>
      </c>
      <c r="M41" s="50">
        <f t="shared" si="17"/>
        <v>12</v>
      </c>
      <c r="N41" s="49">
        <f t="shared" si="13"/>
        <v>160</v>
      </c>
      <c r="O41" s="44">
        <f t="shared" si="13"/>
        <v>8</v>
      </c>
      <c r="P41" s="44">
        <f>P40</f>
        <v>0</v>
      </c>
      <c r="Q41" s="45">
        <f t="shared" si="14"/>
        <v>0.2</v>
      </c>
      <c r="R41" s="49">
        <v>60</v>
      </c>
      <c r="S41" s="44">
        <f t="shared" si="15"/>
        <v>150</v>
      </c>
      <c r="T41" s="50">
        <f t="shared" si="15"/>
        <v>210</v>
      </c>
    </row>
    <row r="42" spans="1:20" ht="15.75" thickBot="1" x14ac:dyDescent="0.3">
      <c r="A42" s="229">
        <f t="shared" si="7"/>
        <v>1040</v>
      </c>
      <c r="B42" s="230">
        <f t="shared" si="8"/>
        <v>32</v>
      </c>
      <c r="C42" s="218" t="str">
        <f t="shared" si="5"/>
        <v>L15C08#000_090_00</v>
      </c>
      <c r="D42" s="43">
        <f t="shared" si="0"/>
        <v>7.8000000000000007</v>
      </c>
      <c r="E42" s="61">
        <f t="shared" si="1"/>
        <v>1.603</v>
      </c>
      <c r="F42" s="61">
        <f t="shared" si="2"/>
        <v>42</v>
      </c>
      <c r="G42" s="64">
        <f t="shared" si="11"/>
        <v>6.4</v>
      </c>
      <c r="H42" s="63">
        <f t="shared" si="3"/>
        <v>8.783823926692623</v>
      </c>
      <c r="I42" s="63">
        <f t="shared" si="4"/>
        <v>14.085509432453268</v>
      </c>
      <c r="J42" s="53">
        <f t="shared" si="16"/>
        <v>10.60337101152129</v>
      </c>
      <c r="K42" s="53" t="str">
        <f t="shared" si="17"/>
        <v>Horizontal</v>
      </c>
      <c r="L42" s="42" t="str">
        <f t="shared" si="17"/>
        <v>Full</v>
      </c>
      <c r="M42" s="50">
        <f t="shared" si="17"/>
        <v>12</v>
      </c>
      <c r="N42" s="49">
        <f t="shared" si="13"/>
        <v>160</v>
      </c>
      <c r="O42" s="44">
        <f t="shared" si="13"/>
        <v>8</v>
      </c>
      <c r="P42" s="44">
        <f>P41</f>
        <v>0</v>
      </c>
      <c r="Q42" s="45">
        <f t="shared" si="14"/>
        <v>0.2</v>
      </c>
      <c r="R42" s="49">
        <v>90</v>
      </c>
      <c r="S42" s="44">
        <f t="shared" si="15"/>
        <v>150</v>
      </c>
      <c r="T42" s="50">
        <f t="shared" si="15"/>
        <v>210</v>
      </c>
    </row>
    <row r="43" spans="1:20" ht="15.75" thickBot="1" x14ac:dyDescent="0.3">
      <c r="A43" s="229">
        <f t="shared" si="7"/>
        <v>1041</v>
      </c>
      <c r="B43" s="230">
        <f t="shared" si="8"/>
        <v>33</v>
      </c>
      <c r="C43" s="218" t="str">
        <f t="shared" si="5"/>
        <v>L15C08#008_000_00</v>
      </c>
      <c r="D43" s="43">
        <f t="shared" si="0"/>
        <v>7.8000000000000007</v>
      </c>
      <c r="E43" s="61">
        <f t="shared" si="1"/>
        <v>1.603</v>
      </c>
      <c r="F43" s="61">
        <f t="shared" si="2"/>
        <v>42</v>
      </c>
      <c r="G43" s="64">
        <f t="shared" si="11"/>
        <v>6.4</v>
      </c>
      <c r="H43" s="63">
        <f t="shared" si="3"/>
        <v>8.783823926692623</v>
      </c>
      <c r="I43" s="63">
        <f t="shared" si="4"/>
        <v>14.085509432453268</v>
      </c>
      <c r="J43" s="53">
        <f t="shared" si="16"/>
        <v>10.60337101152129</v>
      </c>
      <c r="K43" s="53" t="str">
        <f t="shared" si="17"/>
        <v>Horizontal</v>
      </c>
      <c r="L43" s="42" t="str">
        <f t="shared" si="17"/>
        <v>Full</v>
      </c>
      <c r="M43" s="50">
        <f t="shared" si="17"/>
        <v>12</v>
      </c>
      <c r="N43" s="49">
        <f t="shared" si="13"/>
        <v>160</v>
      </c>
      <c r="O43" s="44">
        <f t="shared" si="13"/>
        <v>8</v>
      </c>
      <c r="P43" s="44">
        <f>yaw_max</f>
        <v>8</v>
      </c>
      <c r="Q43" s="45">
        <f t="shared" si="14"/>
        <v>0.2</v>
      </c>
      <c r="R43" s="49">
        <v>0</v>
      </c>
      <c r="S43" s="44">
        <f t="shared" si="15"/>
        <v>150</v>
      </c>
      <c r="T43" s="50">
        <f t="shared" si="15"/>
        <v>210</v>
      </c>
    </row>
    <row r="44" spans="1:20" ht="15.75" thickBot="1" x14ac:dyDescent="0.3">
      <c r="A44" s="229">
        <f t="shared" si="7"/>
        <v>1042</v>
      </c>
      <c r="B44" s="230">
        <f t="shared" si="8"/>
        <v>34</v>
      </c>
      <c r="C44" s="218" t="str">
        <f t="shared" si="5"/>
        <v>L15C08#008_030_00</v>
      </c>
      <c r="D44" s="43">
        <f t="shared" si="0"/>
        <v>7.8000000000000007</v>
      </c>
      <c r="E44" s="61">
        <f t="shared" si="1"/>
        <v>1.603</v>
      </c>
      <c r="F44" s="61">
        <f t="shared" si="2"/>
        <v>42</v>
      </c>
      <c r="G44" s="64">
        <f t="shared" si="11"/>
        <v>6.4</v>
      </c>
      <c r="H44" s="63">
        <f t="shared" si="3"/>
        <v>8.783823926692623</v>
      </c>
      <c r="I44" s="63">
        <f t="shared" si="4"/>
        <v>14.085509432453268</v>
      </c>
      <c r="J44" s="53">
        <f t="shared" si="16"/>
        <v>10.60337101152129</v>
      </c>
      <c r="K44" s="53" t="str">
        <f t="shared" si="17"/>
        <v>Horizontal</v>
      </c>
      <c r="L44" s="42" t="str">
        <f t="shared" si="17"/>
        <v>Full</v>
      </c>
      <c r="M44" s="50">
        <f t="shared" si="17"/>
        <v>12</v>
      </c>
      <c r="N44" s="49">
        <f t="shared" si="17"/>
        <v>160</v>
      </c>
      <c r="O44" s="44">
        <f t="shared" si="17"/>
        <v>8</v>
      </c>
      <c r="P44" s="44">
        <f>P43</f>
        <v>8</v>
      </c>
      <c r="Q44" s="45">
        <f t="shared" si="14"/>
        <v>0.2</v>
      </c>
      <c r="R44" s="49">
        <v>30</v>
      </c>
      <c r="S44" s="44">
        <f t="shared" si="15"/>
        <v>150</v>
      </c>
      <c r="T44" s="50">
        <f t="shared" si="15"/>
        <v>210</v>
      </c>
    </row>
    <row r="45" spans="1:20" ht="15.75" thickBot="1" x14ac:dyDescent="0.3">
      <c r="A45" s="229">
        <f t="shared" si="7"/>
        <v>1043</v>
      </c>
      <c r="B45" s="230">
        <f t="shared" si="8"/>
        <v>35</v>
      </c>
      <c r="C45" s="218" t="str">
        <f t="shared" si="5"/>
        <v>L15C08#008_060_00</v>
      </c>
      <c r="D45" s="43">
        <f t="shared" si="0"/>
        <v>7.8000000000000007</v>
      </c>
      <c r="E45" s="61">
        <f t="shared" si="1"/>
        <v>1.603</v>
      </c>
      <c r="F45" s="61">
        <f t="shared" si="2"/>
        <v>42</v>
      </c>
      <c r="G45" s="64">
        <f t="shared" si="11"/>
        <v>6.4</v>
      </c>
      <c r="H45" s="63">
        <f t="shared" si="3"/>
        <v>8.783823926692623</v>
      </c>
      <c r="I45" s="63">
        <f t="shared" si="4"/>
        <v>14.085509432453268</v>
      </c>
      <c r="J45" s="53">
        <f t="shared" si="16"/>
        <v>10.60337101152129</v>
      </c>
      <c r="K45" s="53" t="str">
        <f t="shared" si="17"/>
        <v>Horizontal</v>
      </c>
      <c r="L45" s="42" t="str">
        <f t="shared" si="17"/>
        <v>Full</v>
      </c>
      <c r="M45" s="50">
        <f t="shared" si="17"/>
        <v>12</v>
      </c>
      <c r="N45" s="49">
        <f t="shared" si="17"/>
        <v>160</v>
      </c>
      <c r="O45" s="44">
        <f t="shared" si="17"/>
        <v>8</v>
      </c>
      <c r="P45" s="44">
        <f>P44</f>
        <v>8</v>
      </c>
      <c r="Q45" s="45">
        <f t="shared" si="14"/>
        <v>0.2</v>
      </c>
      <c r="R45" s="49">
        <v>60</v>
      </c>
      <c r="S45" s="44">
        <f t="shared" ref="S45:T58" si="18">S44</f>
        <v>150</v>
      </c>
      <c r="T45" s="50">
        <f t="shared" si="18"/>
        <v>210</v>
      </c>
    </row>
    <row r="46" spans="1:20" ht="15.75" thickBot="1" x14ac:dyDescent="0.3">
      <c r="A46" s="229">
        <f t="shared" si="7"/>
        <v>1044</v>
      </c>
      <c r="B46" s="230">
        <f t="shared" si="8"/>
        <v>36</v>
      </c>
      <c r="C46" s="218" t="str">
        <f t="shared" si="5"/>
        <v>L15C08#008_090_00</v>
      </c>
      <c r="D46" s="43">
        <f t="shared" si="0"/>
        <v>7.8000000000000007</v>
      </c>
      <c r="E46" s="61">
        <f t="shared" si="1"/>
        <v>1.603</v>
      </c>
      <c r="F46" s="61">
        <f t="shared" si="2"/>
        <v>42</v>
      </c>
      <c r="G46" s="64">
        <f t="shared" si="11"/>
        <v>6.4</v>
      </c>
      <c r="H46" s="63">
        <f t="shared" si="3"/>
        <v>8.783823926692623</v>
      </c>
      <c r="I46" s="63">
        <f t="shared" si="4"/>
        <v>14.085509432453268</v>
      </c>
      <c r="J46" s="53">
        <f t="shared" si="16"/>
        <v>10.60337101152129</v>
      </c>
      <c r="K46" s="53" t="str">
        <f t="shared" si="17"/>
        <v>Horizontal</v>
      </c>
      <c r="L46" s="42" t="str">
        <f t="shared" si="17"/>
        <v>Full</v>
      </c>
      <c r="M46" s="50">
        <f t="shared" si="17"/>
        <v>12</v>
      </c>
      <c r="N46" s="49">
        <f t="shared" si="17"/>
        <v>160</v>
      </c>
      <c r="O46" s="44">
        <f t="shared" si="17"/>
        <v>8</v>
      </c>
      <c r="P46" s="44">
        <f>P45</f>
        <v>8</v>
      </c>
      <c r="Q46" s="45">
        <f t="shared" si="14"/>
        <v>0.2</v>
      </c>
      <c r="R46" s="49">
        <v>90</v>
      </c>
      <c r="S46" s="44">
        <f t="shared" si="18"/>
        <v>150</v>
      </c>
      <c r="T46" s="50">
        <f t="shared" si="18"/>
        <v>210</v>
      </c>
    </row>
    <row r="47" spans="1:20" ht="15.75" thickBot="1" x14ac:dyDescent="0.3">
      <c r="A47" s="229">
        <f t="shared" si="7"/>
        <v>1045</v>
      </c>
      <c r="B47" s="230">
        <f t="shared" si="8"/>
        <v>37</v>
      </c>
      <c r="C47" s="218" t="str">
        <f t="shared" si="5"/>
        <v>L15D08#352_000_00</v>
      </c>
      <c r="D47" s="43">
        <f t="shared" si="0"/>
        <v>7.8000000000000007</v>
      </c>
      <c r="E47" s="61">
        <f t="shared" si="1"/>
        <v>1.603</v>
      </c>
      <c r="F47" s="61">
        <f t="shared" si="2"/>
        <v>42</v>
      </c>
      <c r="G47" s="64">
        <f t="shared" si="11"/>
        <v>6.4</v>
      </c>
      <c r="H47" s="63">
        <f t="shared" si="3"/>
        <v>8.783823926692623</v>
      </c>
      <c r="I47" s="63">
        <f t="shared" si="4"/>
        <v>14.085509432453268</v>
      </c>
      <c r="J47" s="53">
        <f>2*(H47-I47)</f>
        <v>-10.60337101152129</v>
      </c>
      <c r="K47" s="55" t="s">
        <v>20</v>
      </c>
      <c r="L47" s="42" t="str">
        <f t="shared" si="17"/>
        <v>Full</v>
      </c>
      <c r="M47" s="50">
        <f t="shared" si="17"/>
        <v>12</v>
      </c>
      <c r="N47" s="49">
        <f t="shared" si="17"/>
        <v>160</v>
      </c>
      <c r="O47" s="44">
        <f t="shared" si="17"/>
        <v>8</v>
      </c>
      <c r="P47" s="35">
        <f>yaw_min</f>
        <v>-8</v>
      </c>
      <c r="Q47" s="45">
        <f t="shared" si="14"/>
        <v>0.2</v>
      </c>
      <c r="R47" s="49">
        <v>0</v>
      </c>
      <c r="S47" s="44">
        <f t="shared" si="18"/>
        <v>150</v>
      </c>
      <c r="T47" s="50">
        <f t="shared" si="18"/>
        <v>210</v>
      </c>
    </row>
    <row r="48" spans="1:20" ht="15.75" thickBot="1" x14ac:dyDescent="0.3">
      <c r="A48" s="229">
        <f t="shared" si="7"/>
        <v>1046</v>
      </c>
      <c r="B48" s="230">
        <f t="shared" si="8"/>
        <v>38</v>
      </c>
      <c r="C48" s="218" t="str">
        <f t="shared" si="5"/>
        <v>L15D08#352_030_00</v>
      </c>
      <c r="D48" s="43">
        <f t="shared" si="0"/>
        <v>7.8000000000000007</v>
      </c>
      <c r="E48" s="61">
        <f t="shared" si="1"/>
        <v>1.603</v>
      </c>
      <c r="F48" s="61">
        <f t="shared" si="2"/>
        <v>42</v>
      </c>
      <c r="G48" s="64">
        <f t="shared" si="11"/>
        <v>6.4</v>
      </c>
      <c r="H48" s="63">
        <f t="shared" si="3"/>
        <v>8.783823926692623</v>
      </c>
      <c r="I48" s="63">
        <f t="shared" si="4"/>
        <v>14.085509432453268</v>
      </c>
      <c r="J48" s="53">
        <f t="shared" ref="J48:O63" si="19">J47</f>
        <v>-10.60337101152129</v>
      </c>
      <c r="K48" s="53" t="str">
        <f t="shared" si="19"/>
        <v>Horizontal</v>
      </c>
      <c r="L48" s="42" t="str">
        <f t="shared" si="17"/>
        <v>Full</v>
      </c>
      <c r="M48" s="50">
        <f t="shared" si="17"/>
        <v>12</v>
      </c>
      <c r="N48" s="49">
        <f t="shared" si="17"/>
        <v>160</v>
      </c>
      <c r="O48" s="44">
        <f t="shared" si="17"/>
        <v>8</v>
      </c>
      <c r="P48" s="44">
        <f>P47</f>
        <v>-8</v>
      </c>
      <c r="Q48" s="45">
        <f t="shared" si="14"/>
        <v>0.2</v>
      </c>
      <c r="R48" s="49">
        <v>30</v>
      </c>
      <c r="S48" s="44">
        <f t="shared" si="18"/>
        <v>150</v>
      </c>
      <c r="T48" s="50">
        <f t="shared" si="18"/>
        <v>210</v>
      </c>
    </row>
    <row r="49" spans="1:20" ht="15.75" thickBot="1" x14ac:dyDescent="0.3">
      <c r="A49" s="229">
        <f t="shared" si="7"/>
        <v>1047</v>
      </c>
      <c r="B49" s="230">
        <f t="shared" si="8"/>
        <v>39</v>
      </c>
      <c r="C49" s="218" t="str">
        <f t="shared" si="5"/>
        <v>L15D08#352_060_00</v>
      </c>
      <c r="D49" s="43">
        <f t="shared" si="0"/>
        <v>7.8000000000000007</v>
      </c>
      <c r="E49" s="61">
        <f t="shared" si="1"/>
        <v>1.603</v>
      </c>
      <c r="F49" s="61">
        <f t="shared" si="2"/>
        <v>42</v>
      </c>
      <c r="G49" s="64">
        <f t="shared" si="11"/>
        <v>6.4</v>
      </c>
      <c r="H49" s="63">
        <f t="shared" si="3"/>
        <v>8.783823926692623</v>
      </c>
      <c r="I49" s="63">
        <f t="shared" si="4"/>
        <v>14.085509432453268</v>
      </c>
      <c r="J49" s="53">
        <f t="shared" si="19"/>
        <v>-10.60337101152129</v>
      </c>
      <c r="K49" s="53" t="str">
        <f t="shared" si="19"/>
        <v>Horizontal</v>
      </c>
      <c r="L49" s="42" t="str">
        <f t="shared" si="17"/>
        <v>Full</v>
      </c>
      <c r="M49" s="50">
        <f t="shared" si="17"/>
        <v>12</v>
      </c>
      <c r="N49" s="49">
        <f t="shared" si="17"/>
        <v>160</v>
      </c>
      <c r="O49" s="44">
        <f t="shared" si="17"/>
        <v>8</v>
      </c>
      <c r="P49" s="44">
        <f>P48</f>
        <v>-8</v>
      </c>
      <c r="Q49" s="45">
        <f t="shared" si="14"/>
        <v>0.2</v>
      </c>
      <c r="R49" s="49">
        <v>60</v>
      </c>
      <c r="S49" s="44">
        <f t="shared" si="18"/>
        <v>150</v>
      </c>
      <c r="T49" s="50">
        <f t="shared" si="18"/>
        <v>210</v>
      </c>
    </row>
    <row r="50" spans="1:20" ht="15.75" thickBot="1" x14ac:dyDescent="0.3">
      <c r="A50" s="229">
        <f t="shared" si="7"/>
        <v>1048</v>
      </c>
      <c r="B50" s="230">
        <f t="shared" si="8"/>
        <v>40</v>
      </c>
      <c r="C50" s="218" t="str">
        <f t="shared" si="5"/>
        <v>L15D08#352_090_00</v>
      </c>
      <c r="D50" s="43">
        <f t="shared" si="0"/>
        <v>7.8000000000000007</v>
      </c>
      <c r="E50" s="61">
        <f t="shared" si="1"/>
        <v>1.603</v>
      </c>
      <c r="F50" s="61">
        <f t="shared" si="2"/>
        <v>42</v>
      </c>
      <c r="G50" s="64">
        <f t="shared" si="11"/>
        <v>6.4</v>
      </c>
      <c r="H50" s="63">
        <f t="shared" si="3"/>
        <v>8.783823926692623</v>
      </c>
      <c r="I50" s="63">
        <f t="shared" si="4"/>
        <v>14.085509432453268</v>
      </c>
      <c r="J50" s="53">
        <f t="shared" si="19"/>
        <v>-10.60337101152129</v>
      </c>
      <c r="K50" s="53" t="str">
        <f t="shared" si="19"/>
        <v>Horizontal</v>
      </c>
      <c r="L50" s="42" t="str">
        <f t="shared" si="17"/>
        <v>Full</v>
      </c>
      <c r="M50" s="50">
        <f t="shared" si="17"/>
        <v>12</v>
      </c>
      <c r="N50" s="49">
        <f t="shared" si="17"/>
        <v>160</v>
      </c>
      <c r="O50" s="44">
        <f t="shared" si="17"/>
        <v>8</v>
      </c>
      <c r="P50" s="44">
        <f>P49</f>
        <v>-8</v>
      </c>
      <c r="Q50" s="45">
        <f t="shared" si="14"/>
        <v>0.2</v>
      </c>
      <c r="R50" s="49">
        <v>90</v>
      </c>
      <c r="S50" s="44">
        <f t="shared" si="18"/>
        <v>150</v>
      </c>
      <c r="T50" s="50">
        <f t="shared" si="18"/>
        <v>210</v>
      </c>
    </row>
    <row r="51" spans="1:20" ht="15.75" thickBot="1" x14ac:dyDescent="0.3">
      <c r="A51" s="229">
        <f t="shared" si="7"/>
        <v>1049</v>
      </c>
      <c r="B51" s="230">
        <f t="shared" si="8"/>
        <v>41</v>
      </c>
      <c r="C51" s="218" t="str">
        <f t="shared" si="5"/>
        <v>L15D08#000_000_00</v>
      </c>
      <c r="D51" s="43">
        <f t="shared" si="0"/>
        <v>7.8000000000000007</v>
      </c>
      <c r="E51" s="61">
        <f t="shared" si="1"/>
        <v>1.603</v>
      </c>
      <c r="F51" s="61">
        <f t="shared" si="2"/>
        <v>42</v>
      </c>
      <c r="G51" s="64">
        <f t="shared" si="11"/>
        <v>6.4</v>
      </c>
      <c r="H51" s="63">
        <f t="shared" si="3"/>
        <v>8.783823926692623</v>
      </c>
      <c r="I51" s="63">
        <f t="shared" si="4"/>
        <v>14.085509432453268</v>
      </c>
      <c r="J51" s="53">
        <f t="shared" si="19"/>
        <v>-10.60337101152129</v>
      </c>
      <c r="K51" s="53" t="str">
        <f t="shared" si="19"/>
        <v>Horizontal</v>
      </c>
      <c r="L51" s="42" t="str">
        <f t="shared" si="17"/>
        <v>Full</v>
      </c>
      <c r="M51" s="50">
        <f t="shared" si="17"/>
        <v>12</v>
      </c>
      <c r="N51" s="49">
        <f t="shared" si="17"/>
        <v>160</v>
      </c>
      <c r="O51" s="44">
        <f t="shared" si="17"/>
        <v>8</v>
      </c>
      <c r="P51" s="44">
        <f>yaw_null</f>
        <v>0</v>
      </c>
      <c r="Q51" s="45">
        <f t="shared" si="14"/>
        <v>0.2</v>
      </c>
      <c r="R51" s="49">
        <v>0</v>
      </c>
      <c r="S51" s="44">
        <f t="shared" si="18"/>
        <v>150</v>
      </c>
      <c r="T51" s="50">
        <f t="shared" si="18"/>
        <v>210</v>
      </c>
    </row>
    <row r="52" spans="1:20" ht="15.75" thickBot="1" x14ac:dyDescent="0.3">
      <c r="A52" s="229">
        <f t="shared" si="7"/>
        <v>1050</v>
      </c>
      <c r="B52" s="230">
        <f t="shared" si="8"/>
        <v>42</v>
      </c>
      <c r="C52" s="218" t="str">
        <f t="shared" si="5"/>
        <v>L15D08#000_030_00</v>
      </c>
      <c r="D52" s="43">
        <f t="shared" si="0"/>
        <v>7.8000000000000007</v>
      </c>
      <c r="E52" s="61">
        <f t="shared" si="1"/>
        <v>1.603</v>
      </c>
      <c r="F52" s="61">
        <f t="shared" si="2"/>
        <v>42</v>
      </c>
      <c r="G52" s="64">
        <f t="shared" si="11"/>
        <v>6.4</v>
      </c>
      <c r="H52" s="63">
        <f t="shared" si="3"/>
        <v>8.783823926692623</v>
      </c>
      <c r="I52" s="63">
        <f t="shared" si="4"/>
        <v>14.085509432453268</v>
      </c>
      <c r="J52" s="53">
        <f t="shared" si="19"/>
        <v>-10.60337101152129</v>
      </c>
      <c r="K52" s="53" t="str">
        <f t="shared" si="19"/>
        <v>Horizontal</v>
      </c>
      <c r="L52" s="42" t="str">
        <f t="shared" si="17"/>
        <v>Full</v>
      </c>
      <c r="M52" s="50">
        <f t="shared" si="17"/>
        <v>12</v>
      </c>
      <c r="N52" s="49">
        <f t="shared" si="17"/>
        <v>160</v>
      </c>
      <c r="O52" s="44">
        <f t="shared" si="17"/>
        <v>8</v>
      </c>
      <c r="P52" s="44">
        <f>P51</f>
        <v>0</v>
      </c>
      <c r="Q52" s="45">
        <f t="shared" si="14"/>
        <v>0.2</v>
      </c>
      <c r="R52" s="49">
        <v>30</v>
      </c>
      <c r="S52" s="44">
        <f t="shared" si="18"/>
        <v>150</v>
      </c>
      <c r="T52" s="50">
        <f t="shared" si="18"/>
        <v>210</v>
      </c>
    </row>
    <row r="53" spans="1:20" ht="15.75" thickBot="1" x14ac:dyDescent="0.3">
      <c r="A53" s="229">
        <f t="shared" si="7"/>
        <v>1051</v>
      </c>
      <c r="B53" s="230">
        <f t="shared" si="8"/>
        <v>43</v>
      </c>
      <c r="C53" s="218" t="str">
        <f t="shared" si="5"/>
        <v>L15D08#000_060_00</v>
      </c>
      <c r="D53" s="43">
        <f t="shared" si="0"/>
        <v>7.8000000000000007</v>
      </c>
      <c r="E53" s="61">
        <f t="shared" si="1"/>
        <v>1.603</v>
      </c>
      <c r="F53" s="61">
        <f t="shared" si="2"/>
        <v>42</v>
      </c>
      <c r="G53" s="64">
        <f t="shared" si="11"/>
        <v>6.4</v>
      </c>
      <c r="H53" s="63">
        <f t="shared" si="3"/>
        <v>8.783823926692623</v>
      </c>
      <c r="I53" s="63">
        <f t="shared" si="4"/>
        <v>14.085509432453268</v>
      </c>
      <c r="J53" s="53">
        <f t="shared" si="19"/>
        <v>-10.60337101152129</v>
      </c>
      <c r="K53" s="53" t="str">
        <f t="shared" si="19"/>
        <v>Horizontal</v>
      </c>
      <c r="L53" s="42" t="str">
        <f t="shared" si="17"/>
        <v>Full</v>
      </c>
      <c r="M53" s="50">
        <f t="shared" si="17"/>
        <v>12</v>
      </c>
      <c r="N53" s="49">
        <f t="shared" si="17"/>
        <v>160</v>
      </c>
      <c r="O53" s="44">
        <f t="shared" si="17"/>
        <v>8</v>
      </c>
      <c r="P53" s="44">
        <f>P52</f>
        <v>0</v>
      </c>
      <c r="Q53" s="45">
        <f t="shared" si="14"/>
        <v>0.2</v>
      </c>
      <c r="R53" s="49">
        <v>60</v>
      </c>
      <c r="S53" s="44">
        <f t="shared" si="18"/>
        <v>150</v>
      </c>
      <c r="T53" s="50">
        <f t="shared" si="18"/>
        <v>210</v>
      </c>
    </row>
    <row r="54" spans="1:20" ht="15.75" thickBot="1" x14ac:dyDescent="0.3">
      <c r="A54" s="229">
        <f t="shared" si="7"/>
        <v>1052</v>
      </c>
      <c r="B54" s="230">
        <f t="shared" si="8"/>
        <v>44</v>
      </c>
      <c r="C54" s="218" t="str">
        <f t="shared" si="5"/>
        <v>L15D08#000_090_00</v>
      </c>
      <c r="D54" s="43">
        <f t="shared" si="0"/>
        <v>7.8000000000000007</v>
      </c>
      <c r="E54" s="61">
        <f t="shared" si="1"/>
        <v>1.603</v>
      </c>
      <c r="F54" s="61">
        <f t="shared" si="2"/>
        <v>42</v>
      </c>
      <c r="G54" s="64">
        <f t="shared" si="11"/>
        <v>6.4</v>
      </c>
      <c r="H54" s="63">
        <f t="shared" si="3"/>
        <v>8.783823926692623</v>
      </c>
      <c r="I54" s="63">
        <f t="shared" si="4"/>
        <v>14.085509432453268</v>
      </c>
      <c r="J54" s="53">
        <f t="shared" si="19"/>
        <v>-10.60337101152129</v>
      </c>
      <c r="K54" s="53" t="str">
        <f t="shared" si="19"/>
        <v>Horizontal</v>
      </c>
      <c r="L54" s="42" t="str">
        <f t="shared" si="17"/>
        <v>Full</v>
      </c>
      <c r="M54" s="50">
        <f t="shared" si="17"/>
        <v>12</v>
      </c>
      <c r="N54" s="49">
        <f t="shared" si="17"/>
        <v>160</v>
      </c>
      <c r="O54" s="44">
        <f t="shared" si="17"/>
        <v>8</v>
      </c>
      <c r="P54" s="44">
        <f>P53</f>
        <v>0</v>
      </c>
      <c r="Q54" s="45">
        <f t="shared" si="14"/>
        <v>0.2</v>
      </c>
      <c r="R54" s="49">
        <v>90</v>
      </c>
      <c r="S54" s="44">
        <f t="shared" si="18"/>
        <v>150</v>
      </c>
      <c r="T54" s="50">
        <f t="shared" si="18"/>
        <v>210</v>
      </c>
    </row>
    <row r="55" spans="1:20" ht="15.75" thickBot="1" x14ac:dyDescent="0.3">
      <c r="A55" s="229">
        <f t="shared" si="7"/>
        <v>1053</v>
      </c>
      <c r="B55" s="230">
        <f t="shared" si="8"/>
        <v>45</v>
      </c>
      <c r="C55" s="218" t="str">
        <f t="shared" si="5"/>
        <v>L15D08#008_000_00</v>
      </c>
      <c r="D55" s="43">
        <f t="shared" si="0"/>
        <v>7.8000000000000007</v>
      </c>
      <c r="E55" s="61">
        <f t="shared" si="1"/>
        <v>1.603</v>
      </c>
      <c r="F55" s="61">
        <f t="shared" si="2"/>
        <v>42</v>
      </c>
      <c r="G55" s="64">
        <f t="shared" si="11"/>
        <v>6.4</v>
      </c>
      <c r="H55" s="63">
        <f t="shared" si="3"/>
        <v>8.783823926692623</v>
      </c>
      <c r="I55" s="63">
        <f t="shared" si="4"/>
        <v>14.085509432453268</v>
      </c>
      <c r="J55" s="53">
        <f t="shared" si="19"/>
        <v>-10.60337101152129</v>
      </c>
      <c r="K55" s="53" t="str">
        <f t="shared" si="19"/>
        <v>Horizontal</v>
      </c>
      <c r="L55" s="42" t="str">
        <f t="shared" si="17"/>
        <v>Full</v>
      </c>
      <c r="M55" s="50">
        <f t="shared" si="17"/>
        <v>12</v>
      </c>
      <c r="N55" s="49">
        <f t="shared" si="17"/>
        <v>160</v>
      </c>
      <c r="O55" s="44">
        <f t="shared" si="17"/>
        <v>8</v>
      </c>
      <c r="P55" s="44">
        <f>yaw_max</f>
        <v>8</v>
      </c>
      <c r="Q55" s="45">
        <f t="shared" si="14"/>
        <v>0.2</v>
      </c>
      <c r="R55" s="49">
        <v>0</v>
      </c>
      <c r="S55" s="44">
        <f t="shared" si="18"/>
        <v>150</v>
      </c>
      <c r="T55" s="50">
        <f t="shared" si="18"/>
        <v>210</v>
      </c>
    </row>
    <row r="56" spans="1:20" ht="15.75" thickBot="1" x14ac:dyDescent="0.3">
      <c r="A56" s="229">
        <f t="shared" si="7"/>
        <v>1054</v>
      </c>
      <c r="B56" s="230">
        <f t="shared" si="8"/>
        <v>46</v>
      </c>
      <c r="C56" s="218" t="str">
        <f t="shared" si="5"/>
        <v>L15D08#008_030_00</v>
      </c>
      <c r="D56" s="43">
        <f t="shared" si="0"/>
        <v>7.8000000000000007</v>
      </c>
      <c r="E56" s="61">
        <f t="shared" si="1"/>
        <v>1.603</v>
      </c>
      <c r="F56" s="61">
        <f t="shared" si="2"/>
        <v>42</v>
      </c>
      <c r="G56" s="64">
        <f t="shared" si="11"/>
        <v>6.4</v>
      </c>
      <c r="H56" s="63">
        <f t="shared" si="3"/>
        <v>8.783823926692623</v>
      </c>
      <c r="I56" s="63">
        <f t="shared" si="4"/>
        <v>14.085509432453268</v>
      </c>
      <c r="J56" s="53">
        <f t="shared" si="19"/>
        <v>-10.60337101152129</v>
      </c>
      <c r="K56" s="53" t="str">
        <f t="shared" si="19"/>
        <v>Horizontal</v>
      </c>
      <c r="L56" s="42" t="str">
        <f t="shared" si="17"/>
        <v>Full</v>
      </c>
      <c r="M56" s="50">
        <f t="shared" si="17"/>
        <v>12</v>
      </c>
      <c r="N56" s="49">
        <f t="shared" si="17"/>
        <v>160</v>
      </c>
      <c r="O56" s="44">
        <f t="shared" si="17"/>
        <v>8</v>
      </c>
      <c r="P56" s="44">
        <f>P55</f>
        <v>8</v>
      </c>
      <c r="Q56" s="45">
        <f t="shared" si="14"/>
        <v>0.2</v>
      </c>
      <c r="R56" s="49">
        <v>30</v>
      </c>
      <c r="S56" s="44">
        <f t="shared" si="18"/>
        <v>150</v>
      </c>
      <c r="T56" s="50">
        <f t="shared" si="18"/>
        <v>210</v>
      </c>
    </row>
    <row r="57" spans="1:20" ht="15.75" thickBot="1" x14ac:dyDescent="0.3">
      <c r="A57" s="229">
        <f t="shared" si="7"/>
        <v>1055</v>
      </c>
      <c r="B57" s="230">
        <f t="shared" si="8"/>
        <v>47</v>
      </c>
      <c r="C57" s="218" t="str">
        <f t="shared" si="5"/>
        <v>L15D08#008_060_00</v>
      </c>
      <c r="D57" s="43">
        <f t="shared" si="0"/>
        <v>7.8000000000000007</v>
      </c>
      <c r="E57" s="61">
        <f t="shared" si="1"/>
        <v>1.603</v>
      </c>
      <c r="F57" s="61">
        <f t="shared" si="2"/>
        <v>42</v>
      </c>
      <c r="G57" s="64">
        <f t="shared" si="11"/>
        <v>6.4</v>
      </c>
      <c r="H57" s="63">
        <f t="shared" si="3"/>
        <v>8.783823926692623</v>
      </c>
      <c r="I57" s="63">
        <f t="shared" si="4"/>
        <v>14.085509432453268</v>
      </c>
      <c r="J57" s="53">
        <f t="shared" si="19"/>
        <v>-10.60337101152129</v>
      </c>
      <c r="K57" s="53" t="str">
        <f t="shared" si="19"/>
        <v>Horizontal</v>
      </c>
      <c r="L57" s="42" t="str">
        <f t="shared" si="19"/>
        <v>Full</v>
      </c>
      <c r="M57" s="50">
        <f t="shared" si="19"/>
        <v>12</v>
      </c>
      <c r="N57" s="49">
        <f t="shared" si="19"/>
        <v>160</v>
      </c>
      <c r="O57" s="44">
        <f t="shared" si="19"/>
        <v>8</v>
      </c>
      <c r="P57" s="44">
        <f>P56</f>
        <v>8</v>
      </c>
      <c r="Q57" s="45">
        <f t="shared" si="14"/>
        <v>0.2</v>
      </c>
      <c r="R57" s="49">
        <v>60</v>
      </c>
      <c r="S57" s="44">
        <f t="shared" si="18"/>
        <v>150</v>
      </c>
      <c r="T57" s="50">
        <f t="shared" si="18"/>
        <v>210</v>
      </c>
    </row>
    <row r="58" spans="1:20" ht="15.75" thickBot="1" x14ac:dyDescent="0.3">
      <c r="A58" s="229">
        <f t="shared" si="7"/>
        <v>1056</v>
      </c>
      <c r="B58" s="230">
        <f t="shared" si="8"/>
        <v>48</v>
      </c>
      <c r="C58" s="218" t="str">
        <f t="shared" si="5"/>
        <v>L15D08#008_090_00</v>
      </c>
      <c r="D58" s="43">
        <f t="shared" si="0"/>
        <v>7.8000000000000007</v>
      </c>
      <c r="E58" s="61">
        <f t="shared" si="1"/>
        <v>1.603</v>
      </c>
      <c r="F58" s="61">
        <f t="shared" si="2"/>
        <v>42</v>
      </c>
      <c r="G58" s="64">
        <f t="shared" si="11"/>
        <v>6.4</v>
      </c>
      <c r="H58" s="63">
        <f t="shared" si="3"/>
        <v>8.783823926692623</v>
      </c>
      <c r="I58" s="63">
        <f t="shared" si="4"/>
        <v>14.085509432453268</v>
      </c>
      <c r="J58" s="53">
        <f t="shared" si="19"/>
        <v>-10.60337101152129</v>
      </c>
      <c r="K58" s="53" t="str">
        <f t="shared" si="19"/>
        <v>Horizontal</v>
      </c>
      <c r="L58" s="42" t="str">
        <f t="shared" si="19"/>
        <v>Full</v>
      </c>
      <c r="M58" s="50">
        <f t="shared" si="19"/>
        <v>12</v>
      </c>
      <c r="N58" s="49">
        <f t="shared" si="19"/>
        <v>160</v>
      </c>
      <c r="O58" s="44">
        <f t="shared" si="19"/>
        <v>8</v>
      </c>
      <c r="P58" s="44">
        <f>P57</f>
        <v>8</v>
      </c>
      <c r="Q58" s="45">
        <f t="shared" si="14"/>
        <v>0.2</v>
      </c>
      <c r="R58" s="49">
        <v>90</v>
      </c>
      <c r="S58" s="44">
        <f t="shared" si="18"/>
        <v>150</v>
      </c>
      <c r="T58" s="50">
        <f t="shared" si="18"/>
        <v>210</v>
      </c>
    </row>
    <row r="59" spans="1:20" ht="15.75" thickBot="1" x14ac:dyDescent="0.3">
      <c r="A59" s="229">
        <f t="shared" si="7"/>
        <v>1057</v>
      </c>
      <c r="B59" s="230">
        <f t="shared" si="8"/>
        <v>49</v>
      </c>
      <c r="C59" s="218" t="str">
        <f t="shared" si="5"/>
        <v>L15A10#352_000_00</v>
      </c>
      <c r="D59" s="43">
        <f t="shared" ref="D59:D106" si="20">v_r</f>
        <v>9.8000000000000007</v>
      </c>
      <c r="E59" s="61">
        <f>I_ref*(0.75*D59+5.6)</f>
        <v>1.8130000000000002</v>
      </c>
      <c r="F59" s="61">
        <f t="shared" si="2"/>
        <v>42</v>
      </c>
      <c r="G59" s="64">
        <f>G58</f>
        <v>6.4</v>
      </c>
      <c r="H59" s="63">
        <f t="shared" si="3"/>
        <v>11.036086471998424</v>
      </c>
      <c r="I59" s="63">
        <f t="shared" si="4"/>
        <v>16.704805013448237</v>
      </c>
      <c r="J59" s="51">
        <f>2*(I59-H59)</f>
        <v>11.337437082899626</v>
      </c>
      <c r="K59" s="53" t="s">
        <v>122</v>
      </c>
      <c r="L59" s="42" t="str">
        <f>L58</f>
        <v>Full</v>
      </c>
      <c r="M59" s="50">
        <f t="shared" si="19"/>
        <v>12</v>
      </c>
      <c r="N59" s="49">
        <f>N58</f>
        <v>160</v>
      </c>
      <c r="O59" s="44">
        <f t="shared" si="19"/>
        <v>8</v>
      </c>
      <c r="P59" s="35">
        <f>yaw_min</f>
        <v>-8</v>
      </c>
      <c r="Q59" s="45">
        <f t="shared" si="14"/>
        <v>0.2</v>
      </c>
      <c r="R59" s="49">
        <v>0</v>
      </c>
      <c r="S59" s="44">
        <f>S58</f>
        <v>150</v>
      </c>
      <c r="T59" s="50">
        <f>T58</f>
        <v>210</v>
      </c>
    </row>
    <row r="60" spans="1:20" ht="15.75" thickBot="1" x14ac:dyDescent="0.3">
      <c r="A60" s="229">
        <f t="shared" si="7"/>
        <v>1058</v>
      </c>
      <c r="B60" s="230">
        <f t="shared" si="8"/>
        <v>50</v>
      </c>
      <c r="C60" s="218" t="str">
        <f t="shared" si="5"/>
        <v>L15A10#352_030_00</v>
      </c>
      <c r="D60" s="43">
        <f t="shared" si="20"/>
        <v>9.8000000000000007</v>
      </c>
      <c r="E60" s="61">
        <f t="shared" si="1"/>
        <v>1.8130000000000002</v>
      </c>
      <c r="F60" s="61">
        <f t="shared" si="2"/>
        <v>42</v>
      </c>
      <c r="G60" s="64">
        <f>G59</f>
        <v>6.4</v>
      </c>
      <c r="H60" s="63">
        <f t="shared" si="3"/>
        <v>11.036086471998424</v>
      </c>
      <c r="I60" s="63">
        <f t="shared" si="4"/>
        <v>16.704805013448237</v>
      </c>
      <c r="J60" s="51">
        <f t="shared" ref="J60:J70" si="21">2*(I60-H60)</f>
        <v>11.337437082899626</v>
      </c>
      <c r="K60" s="53" t="str">
        <f>K59</f>
        <v>Vertical</v>
      </c>
      <c r="L60" s="42" t="str">
        <f>L59</f>
        <v>Full</v>
      </c>
      <c r="M60" s="50">
        <f t="shared" si="19"/>
        <v>12</v>
      </c>
      <c r="N60" s="49">
        <f>N59</f>
        <v>160</v>
      </c>
      <c r="O60" s="44">
        <f t="shared" si="19"/>
        <v>8</v>
      </c>
      <c r="P60" s="44">
        <f>P59</f>
        <v>-8</v>
      </c>
      <c r="Q60" s="45">
        <f t="shared" si="14"/>
        <v>0.2</v>
      </c>
      <c r="R60" s="49">
        <v>30</v>
      </c>
      <c r="S60" s="44">
        <f>S59</f>
        <v>150</v>
      </c>
      <c r="T60" s="50">
        <f>T59</f>
        <v>210</v>
      </c>
    </row>
    <row r="61" spans="1:20" ht="15.75" thickBot="1" x14ac:dyDescent="0.3">
      <c r="A61" s="229">
        <f t="shared" si="7"/>
        <v>1059</v>
      </c>
      <c r="B61" s="230">
        <f t="shared" si="8"/>
        <v>51</v>
      </c>
      <c r="C61" s="218" t="str">
        <f t="shared" si="5"/>
        <v>L15A10#352_060_00</v>
      </c>
      <c r="D61" s="43">
        <f t="shared" si="20"/>
        <v>9.8000000000000007</v>
      </c>
      <c r="E61" s="61">
        <f t="shared" si="1"/>
        <v>1.8130000000000002</v>
      </c>
      <c r="F61" s="61">
        <f t="shared" si="2"/>
        <v>42</v>
      </c>
      <c r="G61" s="64">
        <f t="shared" ref="G61:G107" si="22">G60</f>
        <v>6.4</v>
      </c>
      <c r="H61" s="63">
        <f t="shared" si="3"/>
        <v>11.036086471998424</v>
      </c>
      <c r="I61" s="63">
        <f t="shared" si="4"/>
        <v>16.704805013448237</v>
      </c>
      <c r="J61" s="51">
        <f t="shared" si="21"/>
        <v>11.337437082899626</v>
      </c>
      <c r="K61" s="53" t="str">
        <f t="shared" ref="K61:O76" si="23">K60</f>
        <v>Vertical</v>
      </c>
      <c r="L61" s="42" t="str">
        <f t="shared" si="23"/>
        <v>Full</v>
      </c>
      <c r="M61" s="50">
        <f t="shared" si="19"/>
        <v>12</v>
      </c>
      <c r="N61" s="49">
        <f t="shared" si="19"/>
        <v>160</v>
      </c>
      <c r="O61" s="44">
        <f t="shared" si="19"/>
        <v>8</v>
      </c>
      <c r="P61" s="44">
        <f>P60</f>
        <v>-8</v>
      </c>
      <c r="Q61" s="45">
        <f t="shared" si="14"/>
        <v>0.2</v>
      </c>
      <c r="R61" s="49">
        <v>60</v>
      </c>
      <c r="S61" s="44">
        <f t="shared" ref="S61:T76" si="24">S60</f>
        <v>150</v>
      </c>
      <c r="T61" s="50">
        <f t="shared" si="24"/>
        <v>210</v>
      </c>
    </row>
    <row r="62" spans="1:20" ht="15.75" thickBot="1" x14ac:dyDescent="0.3">
      <c r="A62" s="229">
        <f t="shared" si="7"/>
        <v>1060</v>
      </c>
      <c r="B62" s="230">
        <f t="shared" si="8"/>
        <v>52</v>
      </c>
      <c r="C62" s="218" t="str">
        <f t="shared" si="5"/>
        <v>L15A10#352_090_00</v>
      </c>
      <c r="D62" s="43">
        <f t="shared" si="20"/>
        <v>9.8000000000000007</v>
      </c>
      <c r="E62" s="61">
        <f t="shared" si="1"/>
        <v>1.8130000000000002</v>
      </c>
      <c r="F62" s="61">
        <f t="shared" si="2"/>
        <v>42</v>
      </c>
      <c r="G62" s="64">
        <f t="shared" si="22"/>
        <v>6.4</v>
      </c>
      <c r="H62" s="63">
        <f t="shared" si="3"/>
        <v>11.036086471998424</v>
      </c>
      <c r="I62" s="63">
        <f t="shared" si="4"/>
        <v>16.704805013448237</v>
      </c>
      <c r="J62" s="51">
        <f t="shared" si="21"/>
        <v>11.337437082899626</v>
      </c>
      <c r="K62" s="53" t="str">
        <f t="shared" si="23"/>
        <v>Vertical</v>
      </c>
      <c r="L62" s="42" t="str">
        <f t="shared" si="23"/>
        <v>Full</v>
      </c>
      <c r="M62" s="50">
        <f t="shared" si="19"/>
        <v>12</v>
      </c>
      <c r="N62" s="49">
        <f t="shared" si="19"/>
        <v>160</v>
      </c>
      <c r="O62" s="44">
        <f t="shared" si="19"/>
        <v>8</v>
      </c>
      <c r="P62" s="44">
        <f>P61</f>
        <v>-8</v>
      </c>
      <c r="Q62" s="45">
        <f t="shared" si="14"/>
        <v>0.2</v>
      </c>
      <c r="R62" s="49">
        <v>90</v>
      </c>
      <c r="S62" s="44">
        <f t="shared" si="24"/>
        <v>150</v>
      </c>
      <c r="T62" s="50">
        <f t="shared" si="24"/>
        <v>210</v>
      </c>
    </row>
    <row r="63" spans="1:20" ht="15.75" thickBot="1" x14ac:dyDescent="0.3">
      <c r="A63" s="229">
        <f t="shared" si="7"/>
        <v>1061</v>
      </c>
      <c r="B63" s="230">
        <f t="shared" si="8"/>
        <v>53</v>
      </c>
      <c r="C63" s="218" t="str">
        <f t="shared" si="5"/>
        <v>L15A10#000_000_00</v>
      </c>
      <c r="D63" s="43">
        <f t="shared" si="20"/>
        <v>9.8000000000000007</v>
      </c>
      <c r="E63" s="61">
        <f t="shared" si="1"/>
        <v>1.8130000000000002</v>
      </c>
      <c r="F63" s="61">
        <f t="shared" si="2"/>
        <v>42</v>
      </c>
      <c r="G63" s="64">
        <f t="shared" si="22"/>
        <v>6.4</v>
      </c>
      <c r="H63" s="63">
        <f t="shared" si="3"/>
        <v>11.036086471998424</v>
      </c>
      <c r="I63" s="63">
        <f t="shared" si="4"/>
        <v>16.704805013448237</v>
      </c>
      <c r="J63" s="51">
        <f t="shared" si="21"/>
        <v>11.337437082899626</v>
      </c>
      <c r="K63" s="53" t="str">
        <f t="shared" si="23"/>
        <v>Vertical</v>
      </c>
      <c r="L63" s="42" t="str">
        <f t="shared" si="23"/>
        <v>Full</v>
      </c>
      <c r="M63" s="50">
        <f t="shared" si="19"/>
        <v>12</v>
      </c>
      <c r="N63" s="49">
        <f t="shared" si="19"/>
        <v>160</v>
      </c>
      <c r="O63" s="44">
        <f t="shared" si="19"/>
        <v>8</v>
      </c>
      <c r="P63" s="44">
        <f>yaw_null</f>
        <v>0</v>
      </c>
      <c r="Q63" s="45">
        <f t="shared" si="14"/>
        <v>0.2</v>
      </c>
      <c r="R63" s="49">
        <v>0</v>
      </c>
      <c r="S63" s="44">
        <f t="shared" si="24"/>
        <v>150</v>
      </c>
      <c r="T63" s="50">
        <f t="shared" si="24"/>
        <v>210</v>
      </c>
    </row>
    <row r="64" spans="1:20" ht="15.75" thickBot="1" x14ac:dyDescent="0.3">
      <c r="A64" s="229">
        <f t="shared" si="7"/>
        <v>1062</v>
      </c>
      <c r="B64" s="230">
        <f t="shared" si="8"/>
        <v>54</v>
      </c>
      <c r="C64" s="218" t="str">
        <f t="shared" si="5"/>
        <v>L15A10#000_030_00</v>
      </c>
      <c r="D64" s="43">
        <f t="shared" si="20"/>
        <v>9.8000000000000007</v>
      </c>
      <c r="E64" s="61">
        <f t="shared" si="1"/>
        <v>1.8130000000000002</v>
      </c>
      <c r="F64" s="61">
        <f t="shared" si="2"/>
        <v>42</v>
      </c>
      <c r="G64" s="64">
        <f t="shared" si="22"/>
        <v>6.4</v>
      </c>
      <c r="H64" s="63">
        <f t="shared" si="3"/>
        <v>11.036086471998424</v>
      </c>
      <c r="I64" s="63">
        <f t="shared" si="4"/>
        <v>16.704805013448237</v>
      </c>
      <c r="J64" s="51">
        <f t="shared" si="21"/>
        <v>11.337437082899626</v>
      </c>
      <c r="K64" s="53" t="str">
        <f t="shared" si="23"/>
        <v>Vertical</v>
      </c>
      <c r="L64" s="42" t="str">
        <f t="shared" si="23"/>
        <v>Full</v>
      </c>
      <c r="M64" s="50">
        <f t="shared" si="23"/>
        <v>12</v>
      </c>
      <c r="N64" s="49">
        <f t="shared" si="23"/>
        <v>160</v>
      </c>
      <c r="O64" s="44">
        <f t="shared" si="23"/>
        <v>8</v>
      </c>
      <c r="P64" s="44">
        <f>P63</f>
        <v>0</v>
      </c>
      <c r="Q64" s="45">
        <f t="shared" si="14"/>
        <v>0.2</v>
      </c>
      <c r="R64" s="49">
        <v>30</v>
      </c>
      <c r="S64" s="44">
        <f t="shared" si="24"/>
        <v>150</v>
      </c>
      <c r="T64" s="50">
        <f t="shared" si="24"/>
        <v>210</v>
      </c>
    </row>
    <row r="65" spans="1:20" ht="15.75" thickBot="1" x14ac:dyDescent="0.3">
      <c r="A65" s="229">
        <f t="shared" si="7"/>
        <v>1063</v>
      </c>
      <c r="B65" s="230">
        <f t="shared" si="8"/>
        <v>55</v>
      </c>
      <c r="C65" s="218" t="str">
        <f t="shared" si="5"/>
        <v>L15A10#000_060_00</v>
      </c>
      <c r="D65" s="43">
        <f t="shared" si="20"/>
        <v>9.8000000000000007</v>
      </c>
      <c r="E65" s="61">
        <f t="shared" si="1"/>
        <v>1.8130000000000002</v>
      </c>
      <c r="F65" s="61">
        <f t="shared" si="2"/>
        <v>42</v>
      </c>
      <c r="G65" s="64">
        <f t="shared" si="22"/>
        <v>6.4</v>
      </c>
      <c r="H65" s="63">
        <f t="shared" si="3"/>
        <v>11.036086471998424</v>
      </c>
      <c r="I65" s="63">
        <f t="shared" si="4"/>
        <v>16.704805013448237</v>
      </c>
      <c r="J65" s="51">
        <f t="shared" si="21"/>
        <v>11.337437082899626</v>
      </c>
      <c r="K65" s="53" t="str">
        <f t="shared" si="23"/>
        <v>Vertical</v>
      </c>
      <c r="L65" s="42" t="str">
        <f t="shared" si="23"/>
        <v>Full</v>
      </c>
      <c r="M65" s="50">
        <f t="shared" si="23"/>
        <v>12</v>
      </c>
      <c r="N65" s="49">
        <f t="shared" si="23"/>
        <v>160</v>
      </c>
      <c r="O65" s="44">
        <f t="shared" si="23"/>
        <v>8</v>
      </c>
      <c r="P65" s="44">
        <f>P64</f>
        <v>0</v>
      </c>
      <c r="Q65" s="45">
        <f t="shared" si="14"/>
        <v>0.2</v>
      </c>
      <c r="R65" s="49">
        <v>60</v>
      </c>
      <c r="S65" s="44">
        <f t="shared" si="24"/>
        <v>150</v>
      </c>
      <c r="T65" s="50">
        <f t="shared" si="24"/>
        <v>210</v>
      </c>
    </row>
    <row r="66" spans="1:20" ht="15.75" thickBot="1" x14ac:dyDescent="0.3">
      <c r="A66" s="229">
        <f t="shared" si="7"/>
        <v>1064</v>
      </c>
      <c r="B66" s="230">
        <f t="shared" si="8"/>
        <v>56</v>
      </c>
      <c r="C66" s="218" t="str">
        <f t="shared" si="5"/>
        <v>L15A10#000_090_00</v>
      </c>
      <c r="D66" s="43">
        <f t="shared" si="20"/>
        <v>9.8000000000000007</v>
      </c>
      <c r="E66" s="61">
        <f t="shared" si="1"/>
        <v>1.8130000000000002</v>
      </c>
      <c r="F66" s="61">
        <f t="shared" si="2"/>
        <v>42</v>
      </c>
      <c r="G66" s="64">
        <f t="shared" si="22"/>
        <v>6.4</v>
      </c>
      <c r="H66" s="63">
        <f t="shared" si="3"/>
        <v>11.036086471998424</v>
      </c>
      <c r="I66" s="63">
        <f t="shared" si="4"/>
        <v>16.704805013448237</v>
      </c>
      <c r="J66" s="51">
        <f t="shared" si="21"/>
        <v>11.337437082899626</v>
      </c>
      <c r="K66" s="53" t="str">
        <f t="shared" si="23"/>
        <v>Vertical</v>
      </c>
      <c r="L66" s="42" t="str">
        <f t="shared" si="23"/>
        <v>Full</v>
      </c>
      <c r="M66" s="50">
        <f t="shared" si="23"/>
        <v>12</v>
      </c>
      <c r="N66" s="49">
        <f t="shared" si="23"/>
        <v>160</v>
      </c>
      <c r="O66" s="44">
        <f t="shared" si="23"/>
        <v>8</v>
      </c>
      <c r="P66" s="44">
        <f>P65</f>
        <v>0</v>
      </c>
      <c r="Q66" s="45">
        <f t="shared" si="14"/>
        <v>0.2</v>
      </c>
      <c r="R66" s="49">
        <v>90</v>
      </c>
      <c r="S66" s="44">
        <f t="shared" si="24"/>
        <v>150</v>
      </c>
      <c r="T66" s="50">
        <f t="shared" si="24"/>
        <v>210</v>
      </c>
    </row>
    <row r="67" spans="1:20" ht="15.75" thickBot="1" x14ac:dyDescent="0.3">
      <c r="A67" s="229">
        <f t="shared" si="7"/>
        <v>1065</v>
      </c>
      <c r="B67" s="230">
        <f t="shared" si="8"/>
        <v>57</v>
      </c>
      <c r="C67" s="218" t="str">
        <f t="shared" si="5"/>
        <v>L15A10#008_000_00</v>
      </c>
      <c r="D67" s="43">
        <f t="shared" si="20"/>
        <v>9.8000000000000007</v>
      </c>
      <c r="E67" s="61">
        <f t="shared" si="1"/>
        <v>1.8130000000000002</v>
      </c>
      <c r="F67" s="61">
        <f t="shared" si="2"/>
        <v>42</v>
      </c>
      <c r="G67" s="64">
        <f t="shared" si="22"/>
        <v>6.4</v>
      </c>
      <c r="H67" s="63">
        <f t="shared" si="3"/>
        <v>11.036086471998424</v>
      </c>
      <c r="I67" s="63">
        <f t="shared" si="4"/>
        <v>16.704805013448237</v>
      </c>
      <c r="J67" s="51">
        <f t="shared" si="21"/>
        <v>11.337437082899626</v>
      </c>
      <c r="K67" s="53" t="str">
        <f t="shared" si="23"/>
        <v>Vertical</v>
      </c>
      <c r="L67" s="42" t="str">
        <f t="shared" si="23"/>
        <v>Full</v>
      </c>
      <c r="M67" s="50">
        <f t="shared" si="23"/>
        <v>12</v>
      </c>
      <c r="N67" s="49">
        <f t="shared" si="23"/>
        <v>160</v>
      </c>
      <c r="O67" s="44">
        <f t="shared" si="23"/>
        <v>8</v>
      </c>
      <c r="P67" s="44">
        <f>yaw_max</f>
        <v>8</v>
      </c>
      <c r="Q67" s="45">
        <f t="shared" si="14"/>
        <v>0.2</v>
      </c>
      <c r="R67" s="49">
        <v>0</v>
      </c>
      <c r="S67" s="44">
        <f t="shared" si="24"/>
        <v>150</v>
      </c>
      <c r="T67" s="50">
        <f t="shared" si="24"/>
        <v>210</v>
      </c>
    </row>
    <row r="68" spans="1:20" ht="15.75" thickBot="1" x14ac:dyDescent="0.3">
      <c r="A68" s="229">
        <f t="shared" si="7"/>
        <v>1066</v>
      </c>
      <c r="B68" s="230">
        <f t="shared" si="8"/>
        <v>58</v>
      </c>
      <c r="C68" s="218" t="str">
        <f t="shared" si="5"/>
        <v>L15A10#008_030_00</v>
      </c>
      <c r="D68" s="43">
        <f t="shared" si="20"/>
        <v>9.8000000000000007</v>
      </c>
      <c r="E68" s="61">
        <f t="shared" si="1"/>
        <v>1.8130000000000002</v>
      </c>
      <c r="F68" s="61">
        <f t="shared" si="2"/>
        <v>42</v>
      </c>
      <c r="G68" s="64">
        <f t="shared" si="22"/>
        <v>6.4</v>
      </c>
      <c r="H68" s="63">
        <f t="shared" si="3"/>
        <v>11.036086471998424</v>
      </c>
      <c r="I68" s="63">
        <f t="shared" si="4"/>
        <v>16.704805013448237</v>
      </c>
      <c r="J68" s="51">
        <f t="shared" si="21"/>
        <v>11.337437082899626</v>
      </c>
      <c r="K68" s="53" t="str">
        <f t="shared" si="23"/>
        <v>Vertical</v>
      </c>
      <c r="L68" s="42" t="str">
        <f t="shared" si="23"/>
        <v>Full</v>
      </c>
      <c r="M68" s="50">
        <f t="shared" si="23"/>
        <v>12</v>
      </c>
      <c r="N68" s="49">
        <f t="shared" si="23"/>
        <v>160</v>
      </c>
      <c r="O68" s="44">
        <f t="shared" si="23"/>
        <v>8</v>
      </c>
      <c r="P68" s="44">
        <f>P67</f>
        <v>8</v>
      </c>
      <c r="Q68" s="45">
        <f t="shared" si="14"/>
        <v>0.2</v>
      </c>
      <c r="R68" s="49">
        <v>30</v>
      </c>
      <c r="S68" s="44">
        <f t="shared" si="24"/>
        <v>150</v>
      </c>
      <c r="T68" s="50">
        <f t="shared" si="24"/>
        <v>210</v>
      </c>
    </row>
    <row r="69" spans="1:20" ht="15.75" thickBot="1" x14ac:dyDescent="0.3">
      <c r="A69" s="229">
        <f t="shared" si="7"/>
        <v>1067</v>
      </c>
      <c r="B69" s="230">
        <f t="shared" si="8"/>
        <v>59</v>
      </c>
      <c r="C69" s="218" t="str">
        <f t="shared" si="5"/>
        <v>L15A10#008_060_00</v>
      </c>
      <c r="D69" s="43">
        <f t="shared" si="20"/>
        <v>9.8000000000000007</v>
      </c>
      <c r="E69" s="61">
        <f t="shared" si="1"/>
        <v>1.8130000000000002</v>
      </c>
      <c r="F69" s="61">
        <f t="shared" si="2"/>
        <v>42</v>
      </c>
      <c r="G69" s="64">
        <f t="shared" si="22"/>
        <v>6.4</v>
      </c>
      <c r="H69" s="63">
        <f t="shared" si="3"/>
        <v>11.036086471998424</v>
      </c>
      <c r="I69" s="63">
        <f t="shared" si="4"/>
        <v>16.704805013448237</v>
      </c>
      <c r="J69" s="51">
        <f t="shared" si="21"/>
        <v>11.337437082899626</v>
      </c>
      <c r="K69" s="53" t="str">
        <f t="shared" si="23"/>
        <v>Vertical</v>
      </c>
      <c r="L69" s="42" t="str">
        <f t="shared" si="23"/>
        <v>Full</v>
      </c>
      <c r="M69" s="50">
        <f t="shared" si="23"/>
        <v>12</v>
      </c>
      <c r="N69" s="49">
        <f t="shared" si="23"/>
        <v>160</v>
      </c>
      <c r="O69" s="44">
        <f t="shared" si="23"/>
        <v>8</v>
      </c>
      <c r="P69" s="44">
        <f>P68</f>
        <v>8</v>
      </c>
      <c r="Q69" s="45">
        <f t="shared" si="14"/>
        <v>0.2</v>
      </c>
      <c r="R69" s="49">
        <v>60</v>
      </c>
      <c r="S69" s="44">
        <f t="shared" si="24"/>
        <v>150</v>
      </c>
      <c r="T69" s="50">
        <f t="shared" si="24"/>
        <v>210</v>
      </c>
    </row>
    <row r="70" spans="1:20" ht="15.75" thickBot="1" x14ac:dyDescent="0.3">
      <c r="A70" s="229">
        <f t="shared" si="7"/>
        <v>1068</v>
      </c>
      <c r="B70" s="230">
        <f t="shared" si="8"/>
        <v>60</v>
      </c>
      <c r="C70" s="218" t="str">
        <f t="shared" si="5"/>
        <v>L15A10#008_090_00</v>
      </c>
      <c r="D70" s="43">
        <f t="shared" si="20"/>
        <v>9.8000000000000007</v>
      </c>
      <c r="E70" s="61">
        <f t="shared" si="1"/>
        <v>1.8130000000000002</v>
      </c>
      <c r="F70" s="61">
        <f t="shared" si="2"/>
        <v>42</v>
      </c>
      <c r="G70" s="64">
        <f t="shared" si="22"/>
        <v>6.4</v>
      </c>
      <c r="H70" s="63">
        <f t="shared" si="3"/>
        <v>11.036086471998424</v>
      </c>
      <c r="I70" s="63">
        <f t="shared" si="4"/>
        <v>16.704805013448237</v>
      </c>
      <c r="J70" s="51">
        <f t="shared" si="21"/>
        <v>11.337437082899626</v>
      </c>
      <c r="K70" s="53" t="str">
        <f t="shared" si="23"/>
        <v>Vertical</v>
      </c>
      <c r="L70" s="42" t="str">
        <f t="shared" si="23"/>
        <v>Full</v>
      </c>
      <c r="M70" s="50">
        <f t="shared" si="23"/>
        <v>12</v>
      </c>
      <c r="N70" s="49">
        <f t="shared" si="23"/>
        <v>160</v>
      </c>
      <c r="O70" s="44">
        <f t="shared" si="23"/>
        <v>8</v>
      </c>
      <c r="P70" s="44">
        <f>P69</f>
        <v>8</v>
      </c>
      <c r="Q70" s="45">
        <f t="shared" si="14"/>
        <v>0.2</v>
      </c>
      <c r="R70" s="49">
        <v>90</v>
      </c>
      <c r="S70" s="44">
        <f t="shared" si="24"/>
        <v>150</v>
      </c>
      <c r="T70" s="50">
        <f t="shared" si="24"/>
        <v>210</v>
      </c>
    </row>
    <row r="71" spans="1:20" ht="15.75" thickBot="1" x14ac:dyDescent="0.3">
      <c r="A71" s="229">
        <f t="shared" si="7"/>
        <v>1069</v>
      </c>
      <c r="B71" s="230">
        <f t="shared" si="8"/>
        <v>61</v>
      </c>
      <c r="C71" s="218" t="str">
        <f t="shared" si="5"/>
        <v>L15B10#352_000_00</v>
      </c>
      <c r="D71" s="43">
        <f t="shared" si="20"/>
        <v>9.8000000000000007</v>
      </c>
      <c r="E71" s="61">
        <f t="shared" si="1"/>
        <v>1.8130000000000002</v>
      </c>
      <c r="F71" s="61">
        <f t="shared" si="2"/>
        <v>42</v>
      </c>
      <c r="G71" s="64">
        <f t="shared" si="22"/>
        <v>6.4</v>
      </c>
      <c r="H71" s="63">
        <f t="shared" si="3"/>
        <v>11.036086471998424</v>
      </c>
      <c r="I71" s="63">
        <f t="shared" si="4"/>
        <v>16.704805013448237</v>
      </c>
      <c r="J71" s="53">
        <f>2*(H71-I71)</f>
        <v>-11.337437082899626</v>
      </c>
      <c r="K71" s="53" t="str">
        <f t="shared" si="23"/>
        <v>Vertical</v>
      </c>
      <c r="L71" s="42" t="str">
        <f t="shared" si="23"/>
        <v>Full</v>
      </c>
      <c r="M71" s="50">
        <f t="shared" si="23"/>
        <v>12</v>
      </c>
      <c r="N71" s="49">
        <f t="shared" si="23"/>
        <v>160</v>
      </c>
      <c r="O71" s="44">
        <f t="shared" si="23"/>
        <v>8</v>
      </c>
      <c r="P71" s="35">
        <f>yaw_min</f>
        <v>-8</v>
      </c>
      <c r="Q71" s="45">
        <f t="shared" si="14"/>
        <v>0.2</v>
      </c>
      <c r="R71" s="49">
        <v>0</v>
      </c>
      <c r="S71" s="44">
        <f t="shared" si="24"/>
        <v>150</v>
      </c>
      <c r="T71" s="50">
        <f t="shared" si="24"/>
        <v>210</v>
      </c>
    </row>
    <row r="72" spans="1:20" ht="15.75" thickBot="1" x14ac:dyDescent="0.3">
      <c r="A72" s="229">
        <f t="shared" si="7"/>
        <v>1070</v>
      </c>
      <c r="B72" s="230">
        <f t="shared" si="8"/>
        <v>62</v>
      </c>
      <c r="C72" s="218" t="str">
        <f t="shared" si="5"/>
        <v>L15B10#352_030_00</v>
      </c>
      <c r="D72" s="43">
        <f t="shared" si="20"/>
        <v>9.8000000000000007</v>
      </c>
      <c r="E72" s="61">
        <f t="shared" si="1"/>
        <v>1.8130000000000002</v>
      </c>
      <c r="F72" s="61">
        <f t="shared" si="2"/>
        <v>42</v>
      </c>
      <c r="G72" s="64">
        <f t="shared" si="22"/>
        <v>6.4</v>
      </c>
      <c r="H72" s="63">
        <f t="shared" si="3"/>
        <v>11.036086471998424</v>
      </c>
      <c r="I72" s="63">
        <f t="shared" si="4"/>
        <v>16.704805013448237</v>
      </c>
      <c r="J72" s="53">
        <f t="shared" ref="J72:J82" si="25">2*(H72-I72)</f>
        <v>-11.337437082899626</v>
      </c>
      <c r="K72" s="53" t="str">
        <f t="shared" si="23"/>
        <v>Vertical</v>
      </c>
      <c r="L72" s="42" t="str">
        <f t="shared" si="23"/>
        <v>Full</v>
      </c>
      <c r="M72" s="50">
        <f t="shared" si="23"/>
        <v>12</v>
      </c>
      <c r="N72" s="49">
        <f t="shared" si="23"/>
        <v>160</v>
      </c>
      <c r="O72" s="44">
        <f t="shared" si="23"/>
        <v>8</v>
      </c>
      <c r="P72" s="44">
        <f>P71</f>
        <v>-8</v>
      </c>
      <c r="Q72" s="45">
        <f t="shared" si="14"/>
        <v>0.2</v>
      </c>
      <c r="R72" s="49">
        <v>30</v>
      </c>
      <c r="S72" s="44">
        <f t="shared" si="24"/>
        <v>150</v>
      </c>
      <c r="T72" s="50">
        <f t="shared" si="24"/>
        <v>210</v>
      </c>
    </row>
    <row r="73" spans="1:20" ht="15.75" thickBot="1" x14ac:dyDescent="0.3">
      <c r="A73" s="229">
        <f t="shared" si="7"/>
        <v>1071</v>
      </c>
      <c r="B73" s="230">
        <f t="shared" si="8"/>
        <v>63</v>
      </c>
      <c r="C73" s="218" t="str">
        <f t="shared" si="5"/>
        <v>L15B10#352_060_00</v>
      </c>
      <c r="D73" s="43">
        <f t="shared" si="20"/>
        <v>9.8000000000000007</v>
      </c>
      <c r="E73" s="61">
        <f t="shared" si="1"/>
        <v>1.8130000000000002</v>
      </c>
      <c r="F73" s="61">
        <f t="shared" si="2"/>
        <v>42</v>
      </c>
      <c r="G73" s="64">
        <f t="shared" si="22"/>
        <v>6.4</v>
      </c>
      <c r="H73" s="63">
        <f t="shared" si="3"/>
        <v>11.036086471998424</v>
      </c>
      <c r="I73" s="63">
        <f t="shared" si="4"/>
        <v>16.704805013448237</v>
      </c>
      <c r="J73" s="53">
        <f t="shared" si="25"/>
        <v>-11.337437082899626</v>
      </c>
      <c r="K73" s="53" t="str">
        <f t="shared" si="23"/>
        <v>Vertical</v>
      </c>
      <c r="L73" s="42" t="str">
        <f t="shared" si="23"/>
        <v>Full</v>
      </c>
      <c r="M73" s="50">
        <f t="shared" si="23"/>
        <v>12</v>
      </c>
      <c r="N73" s="49">
        <f t="shared" si="23"/>
        <v>160</v>
      </c>
      <c r="O73" s="44">
        <f t="shared" si="23"/>
        <v>8</v>
      </c>
      <c r="P73" s="44">
        <f>P72</f>
        <v>-8</v>
      </c>
      <c r="Q73" s="45">
        <f t="shared" si="14"/>
        <v>0.2</v>
      </c>
      <c r="R73" s="49">
        <v>60</v>
      </c>
      <c r="S73" s="44">
        <f t="shared" si="24"/>
        <v>150</v>
      </c>
      <c r="T73" s="50">
        <f t="shared" si="24"/>
        <v>210</v>
      </c>
    </row>
    <row r="74" spans="1:20" ht="15.75" thickBot="1" x14ac:dyDescent="0.3">
      <c r="A74" s="229">
        <f t="shared" si="7"/>
        <v>1072</v>
      </c>
      <c r="B74" s="230">
        <f t="shared" si="8"/>
        <v>64</v>
      </c>
      <c r="C74" s="218" t="str">
        <f t="shared" si="5"/>
        <v>L15B10#352_090_00</v>
      </c>
      <c r="D74" s="43">
        <f t="shared" si="20"/>
        <v>9.8000000000000007</v>
      </c>
      <c r="E74" s="61">
        <f t="shared" si="1"/>
        <v>1.8130000000000002</v>
      </c>
      <c r="F74" s="61">
        <f t="shared" si="2"/>
        <v>42</v>
      </c>
      <c r="G74" s="64">
        <f t="shared" si="22"/>
        <v>6.4</v>
      </c>
      <c r="H74" s="63">
        <f t="shared" si="3"/>
        <v>11.036086471998424</v>
      </c>
      <c r="I74" s="63">
        <f t="shared" si="4"/>
        <v>16.704805013448237</v>
      </c>
      <c r="J74" s="53">
        <f t="shared" si="25"/>
        <v>-11.337437082899626</v>
      </c>
      <c r="K74" s="53" t="str">
        <f t="shared" si="23"/>
        <v>Vertical</v>
      </c>
      <c r="L74" s="42" t="str">
        <f t="shared" si="23"/>
        <v>Full</v>
      </c>
      <c r="M74" s="50">
        <f t="shared" si="23"/>
        <v>12</v>
      </c>
      <c r="N74" s="49">
        <f t="shared" si="23"/>
        <v>160</v>
      </c>
      <c r="O74" s="44">
        <f t="shared" si="23"/>
        <v>8</v>
      </c>
      <c r="P74" s="44">
        <f>P73</f>
        <v>-8</v>
      </c>
      <c r="Q74" s="45">
        <f t="shared" si="14"/>
        <v>0.2</v>
      </c>
      <c r="R74" s="49">
        <v>90</v>
      </c>
      <c r="S74" s="44">
        <f t="shared" si="24"/>
        <v>150</v>
      </c>
      <c r="T74" s="50">
        <f t="shared" si="24"/>
        <v>210</v>
      </c>
    </row>
    <row r="75" spans="1:20" ht="15.75" thickBot="1" x14ac:dyDescent="0.3">
      <c r="A75" s="229">
        <f t="shared" si="7"/>
        <v>1073</v>
      </c>
      <c r="B75" s="230">
        <f t="shared" si="8"/>
        <v>65</v>
      </c>
      <c r="C75" s="218" t="str">
        <f t="shared" si="5"/>
        <v>L15B10#000_000_00</v>
      </c>
      <c r="D75" s="43">
        <f t="shared" si="20"/>
        <v>9.8000000000000007</v>
      </c>
      <c r="E75" s="61">
        <f t="shared" ref="E75:E138" si="26">I_ref*(0.75*D75+5.6)</f>
        <v>1.8130000000000002</v>
      </c>
      <c r="F75" s="61">
        <f t="shared" ref="F75:F138" si="27">tur_scale</f>
        <v>42</v>
      </c>
      <c r="G75" s="64">
        <f t="shared" si="22"/>
        <v>6.4</v>
      </c>
      <c r="H75" s="63">
        <f t="shared" ref="H75:H138" si="28">D75*((h_hub+diameter/2)/h_hub)^alpha_n</f>
        <v>11.036086471998424</v>
      </c>
      <c r="I75" s="63">
        <f t="shared" ref="I75:I138" si="29">D75*((h_hub+diameter/2)/h_hub)^alpha_n+(((h_hub+diameter/2)-h_hub)/diameter)*(2.5+0.2*G75*E75*(diameter/F75)^0.25)*(1-COS(-PI()))</f>
        <v>16.704805013448237</v>
      </c>
      <c r="J75" s="53">
        <f t="shared" si="25"/>
        <v>-11.337437082899626</v>
      </c>
      <c r="K75" s="53" t="str">
        <f t="shared" si="23"/>
        <v>Vertical</v>
      </c>
      <c r="L75" s="42" t="str">
        <f t="shared" si="23"/>
        <v>Full</v>
      </c>
      <c r="M75" s="50">
        <f t="shared" si="23"/>
        <v>12</v>
      </c>
      <c r="N75" s="49">
        <f t="shared" si="23"/>
        <v>160</v>
      </c>
      <c r="O75" s="44">
        <f t="shared" si="23"/>
        <v>8</v>
      </c>
      <c r="P75" s="44">
        <f>yaw_null</f>
        <v>0</v>
      </c>
      <c r="Q75" s="45">
        <f t="shared" si="14"/>
        <v>0.2</v>
      </c>
      <c r="R75" s="49">
        <v>0</v>
      </c>
      <c r="S75" s="44">
        <f t="shared" si="24"/>
        <v>150</v>
      </c>
      <c r="T75" s="50">
        <f t="shared" si="24"/>
        <v>210</v>
      </c>
    </row>
    <row r="76" spans="1:20" ht="15.75" thickBot="1" x14ac:dyDescent="0.3">
      <c r="A76" s="229">
        <f t="shared" si="7"/>
        <v>1074</v>
      </c>
      <c r="B76" s="230">
        <f t="shared" si="8"/>
        <v>66</v>
      </c>
      <c r="C76" s="218" t="str">
        <f t="shared" ref="C76:C139" si="30">TEXT(RIGHT($B$2,LEN($B$2)-3),"L00")&amp;IF(K76="Vertical",IF(J76&gt;0,"A","B"),IF(J76&gt;0,"C","D"))&amp;TEXT(D76,"00")&amp;"#"&amp;IF(P76&lt;0,TEXT(360+P76,"000"),TEXT(P76,"000"))&amp;"_"&amp;TEXT(R76,"000")&amp;"_00"</f>
        <v>L15B10#000_030_00</v>
      </c>
      <c r="D76" s="43">
        <f t="shared" si="20"/>
        <v>9.8000000000000007</v>
      </c>
      <c r="E76" s="61">
        <f t="shared" si="26"/>
        <v>1.8130000000000002</v>
      </c>
      <c r="F76" s="61">
        <f t="shared" si="27"/>
        <v>42</v>
      </c>
      <c r="G76" s="64">
        <f t="shared" si="22"/>
        <v>6.4</v>
      </c>
      <c r="H76" s="63">
        <f t="shared" si="28"/>
        <v>11.036086471998424</v>
      </c>
      <c r="I76" s="63">
        <f t="shared" si="29"/>
        <v>16.704805013448237</v>
      </c>
      <c r="J76" s="53">
        <f t="shared" si="25"/>
        <v>-11.337437082899626</v>
      </c>
      <c r="K76" s="53" t="str">
        <f t="shared" si="23"/>
        <v>Vertical</v>
      </c>
      <c r="L76" s="42" t="str">
        <f t="shared" si="23"/>
        <v>Full</v>
      </c>
      <c r="M76" s="50">
        <f t="shared" si="23"/>
        <v>12</v>
      </c>
      <c r="N76" s="49">
        <f t="shared" si="23"/>
        <v>160</v>
      </c>
      <c r="O76" s="44">
        <f t="shared" si="23"/>
        <v>8</v>
      </c>
      <c r="P76" s="44">
        <f>P75</f>
        <v>0</v>
      </c>
      <c r="Q76" s="45">
        <f t="shared" si="14"/>
        <v>0.2</v>
      </c>
      <c r="R76" s="49">
        <v>30</v>
      </c>
      <c r="S76" s="44">
        <f t="shared" si="24"/>
        <v>150</v>
      </c>
      <c r="T76" s="50">
        <f t="shared" si="24"/>
        <v>210</v>
      </c>
    </row>
    <row r="77" spans="1:20" ht="15.75" thickBot="1" x14ac:dyDescent="0.3">
      <c r="A77" s="229">
        <f t="shared" ref="A77:A140" si="31">A76+1</f>
        <v>1075</v>
      </c>
      <c r="B77" s="230">
        <f t="shared" ref="B77:B140" si="32">B76+1</f>
        <v>67</v>
      </c>
      <c r="C77" s="218" t="str">
        <f t="shared" si="30"/>
        <v>L15B10#000_060_00</v>
      </c>
      <c r="D77" s="43">
        <f t="shared" si="20"/>
        <v>9.8000000000000007</v>
      </c>
      <c r="E77" s="61">
        <f t="shared" si="26"/>
        <v>1.8130000000000002</v>
      </c>
      <c r="F77" s="61">
        <f t="shared" si="27"/>
        <v>42</v>
      </c>
      <c r="G77" s="64">
        <f t="shared" si="22"/>
        <v>6.4</v>
      </c>
      <c r="H77" s="63">
        <f t="shared" si="28"/>
        <v>11.036086471998424</v>
      </c>
      <c r="I77" s="63">
        <f t="shared" si="29"/>
        <v>16.704805013448237</v>
      </c>
      <c r="J77" s="53">
        <f t="shared" si="25"/>
        <v>-11.337437082899626</v>
      </c>
      <c r="K77" s="53" t="str">
        <f t="shared" ref="K77:O92" si="33">K76</f>
        <v>Vertical</v>
      </c>
      <c r="L77" s="42" t="str">
        <f t="shared" si="33"/>
        <v>Full</v>
      </c>
      <c r="M77" s="50">
        <f t="shared" si="33"/>
        <v>12</v>
      </c>
      <c r="N77" s="49">
        <f t="shared" si="33"/>
        <v>160</v>
      </c>
      <c r="O77" s="44">
        <f t="shared" si="33"/>
        <v>8</v>
      </c>
      <c r="P77" s="44">
        <f>P76</f>
        <v>0</v>
      </c>
      <c r="Q77" s="45">
        <f t="shared" si="14"/>
        <v>0.2</v>
      </c>
      <c r="R77" s="49">
        <v>60</v>
      </c>
      <c r="S77" s="44">
        <f t="shared" ref="S77:T92" si="34">S76</f>
        <v>150</v>
      </c>
      <c r="T77" s="50">
        <f t="shared" si="34"/>
        <v>210</v>
      </c>
    </row>
    <row r="78" spans="1:20" ht="15.75" thickBot="1" x14ac:dyDescent="0.3">
      <c r="A78" s="229">
        <f t="shared" si="31"/>
        <v>1076</v>
      </c>
      <c r="B78" s="230">
        <f t="shared" si="32"/>
        <v>68</v>
      </c>
      <c r="C78" s="218" t="str">
        <f t="shared" si="30"/>
        <v>L15B10#000_090_00</v>
      </c>
      <c r="D78" s="43">
        <f t="shared" si="20"/>
        <v>9.8000000000000007</v>
      </c>
      <c r="E78" s="61">
        <f t="shared" si="26"/>
        <v>1.8130000000000002</v>
      </c>
      <c r="F78" s="61">
        <f t="shared" si="27"/>
        <v>42</v>
      </c>
      <c r="G78" s="64">
        <f t="shared" si="22"/>
        <v>6.4</v>
      </c>
      <c r="H78" s="63">
        <f t="shared" si="28"/>
        <v>11.036086471998424</v>
      </c>
      <c r="I78" s="63">
        <f t="shared" si="29"/>
        <v>16.704805013448237</v>
      </c>
      <c r="J78" s="53">
        <f t="shared" si="25"/>
        <v>-11.337437082899626</v>
      </c>
      <c r="K78" s="53" t="str">
        <f t="shared" si="33"/>
        <v>Vertical</v>
      </c>
      <c r="L78" s="42" t="str">
        <f t="shared" si="33"/>
        <v>Full</v>
      </c>
      <c r="M78" s="50">
        <f t="shared" si="33"/>
        <v>12</v>
      </c>
      <c r="N78" s="49">
        <f t="shared" si="33"/>
        <v>160</v>
      </c>
      <c r="O78" s="44">
        <f t="shared" si="33"/>
        <v>8</v>
      </c>
      <c r="P78" s="44">
        <f>P77</f>
        <v>0</v>
      </c>
      <c r="Q78" s="45">
        <f t="shared" si="14"/>
        <v>0.2</v>
      </c>
      <c r="R78" s="49">
        <v>90</v>
      </c>
      <c r="S78" s="44">
        <f t="shared" si="34"/>
        <v>150</v>
      </c>
      <c r="T78" s="50">
        <f t="shared" si="34"/>
        <v>210</v>
      </c>
    </row>
    <row r="79" spans="1:20" ht="15.75" thickBot="1" x14ac:dyDescent="0.3">
      <c r="A79" s="229">
        <f t="shared" si="31"/>
        <v>1077</v>
      </c>
      <c r="B79" s="230">
        <f t="shared" si="32"/>
        <v>69</v>
      </c>
      <c r="C79" s="218" t="str">
        <f t="shared" si="30"/>
        <v>L15B10#008_000_00</v>
      </c>
      <c r="D79" s="43">
        <f t="shared" si="20"/>
        <v>9.8000000000000007</v>
      </c>
      <c r="E79" s="61">
        <f t="shared" si="26"/>
        <v>1.8130000000000002</v>
      </c>
      <c r="F79" s="61">
        <f t="shared" si="27"/>
        <v>42</v>
      </c>
      <c r="G79" s="64">
        <f t="shared" si="22"/>
        <v>6.4</v>
      </c>
      <c r="H79" s="63">
        <f t="shared" si="28"/>
        <v>11.036086471998424</v>
      </c>
      <c r="I79" s="63">
        <f t="shared" si="29"/>
        <v>16.704805013448237</v>
      </c>
      <c r="J79" s="53">
        <f t="shared" si="25"/>
        <v>-11.337437082899626</v>
      </c>
      <c r="K79" s="53" t="str">
        <f t="shared" si="33"/>
        <v>Vertical</v>
      </c>
      <c r="L79" s="42" t="str">
        <f t="shared" si="33"/>
        <v>Full</v>
      </c>
      <c r="M79" s="50">
        <f t="shared" si="33"/>
        <v>12</v>
      </c>
      <c r="N79" s="49">
        <f t="shared" si="33"/>
        <v>160</v>
      </c>
      <c r="O79" s="44">
        <f t="shared" si="33"/>
        <v>8</v>
      </c>
      <c r="P79" s="44">
        <f>yaw_max</f>
        <v>8</v>
      </c>
      <c r="Q79" s="45">
        <f t="shared" si="14"/>
        <v>0.2</v>
      </c>
      <c r="R79" s="49">
        <v>0</v>
      </c>
      <c r="S79" s="44">
        <f t="shared" si="34"/>
        <v>150</v>
      </c>
      <c r="T79" s="50">
        <f t="shared" si="34"/>
        <v>210</v>
      </c>
    </row>
    <row r="80" spans="1:20" ht="15.75" thickBot="1" x14ac:dyDescent="0.3">
      <c r="A80" s="229">
        <f t="shared" si="31"/>
        <v>1078</v>
      </c>
      <c r="B80" s="230">
        <f t="shared" si="32"/>
        <v>70</v>
      </c>
      <c r="C80" s="218" t="str">
        <f t="shared" si="30"/>
        <v>L15B10#008_030_00</v>
      </c>
      <c r="D80" s="43">
        <f t="shared" si="20"/>
        <v>9.8000000000000007</v>
      </c>
      <c r="E80" s="61">
        <f t="shared" si="26"/>
        <v>1.8130000000000002</v>
      </c>
      <c r="F80" s="61">
        <f t="shared" si="27"/>
        <v>42</v>
      </c>
      <c r="G80" s="64">
        <f t="shared" si="22"/>
        <v>6.4</v>
      </c>
      <c r="H80" s="63">
        <f t="shared" si="28"/>
        <v>11.036086471998424</v>
      </c>
      <c r="I80" s="63">
        <f t="shared" si="29"/>
        <v>16.704805013448237</v>
      </c>
      <c r="J80" s="53">
        <f t="shared" si="25"/>
        <v>-11.337437082899626</v>
      </c>
      <c r="K80" s="53" t="str">
        <f t="shared" si="33"/>
        <v>Vertical</v>
      </c>
      <c r="L80" s="42" t="str">
        <f t="shared" si="33"/>
        <v>Full</v>
      </c>
      <c r="M80" s="50">
        <f t="shared" si="33"/>
        <v>12</v>
      </c>
      <c r="N80" s="49">
        <f t="shared" si="33"/>
        <v>160</v>
      </c>
      <c r="O80" s="44">
        <f t="shared" si="33"/>
        <v>8</v>
      </c>
      <c r="P80" s="44">
        <f>P79</f>
        <v>8</v>
      </c>
      <c r="Q80" s="45">
        <f t="shared" si="14"/>
        <v>0.2</v>
      </c>
      <c r="R80" s="49">
        <v>30</v>
      </c>
      <c r="S80" s="44">
        <f t="shared" si="34"/>
        <v>150</v>
      </c>
      <c r="T80" s="50">
        <f t="shared" si="34"/>
        <v>210</v>
      </c>
    </row>
    <row r="81" spans="1:20" ht="15.75" thickBot="1" x14ac:dyDescent="0.3">
      <c r="A81" s="229">
        <f t="shared" si="31"/>
        <v>1079</v>
      </c>
      <c r="B81" s="230">
        <f t="shared" si="32"/>
        <v>71</v>
      </c>
      <c r="C81" s="218" t="str">
        <f t="shared" si="30"/>
        <v>L15B10#008_060_00</v>
      </c>
      <c r="D81" s="43">
        <f t="shared" si="20"/>
        <v>9.8000000000000007</v>
      </c>
      <c r="E81" s="61">
        <f t="shared" si="26"/>
        <v>1.8130000000000002</v>
      </c>
      <c r="F81" s="61">
        <f t="shared" si="27"/>
        <v>42</v>
      </c>
      <c r="G81" s="64">
        <f t="shared" si="22"/>
        <v>6.4</v>
      </c>
      <c r="H81" s="63">
        <f t="shared" si="28"/>
        <v>11.036086471998424</v>
      </c>
      <c r="I81" s="63">
        <f t="shared" si="29"/>
        <v>16.704805013448237</v>
      </c>
      <c r="J81" s="53">
        <f t="shared" si="25"/>
        <v>-11.337437082899626</v>
      </c>
      <c r="K81" s="53" t="str">
        <f t="shared" si="33"/>
        <v>Vertical</v>
      </c>
      <c r="L81" s="42" t="str">
        <f t="shared" si="33"/>
        <v>Full</v>
      </c>
      <c r="M81" s="50">
        <f t="shared" si="33"/>
        <v>12</v>
      </c>
      <c r="N81" s="49">
        <f t="shared" si="33"/>
        <v>160</v>
      </c>
      <c r="O81" s="44">
        <f t="shared" si="33"/>
        <v>8</v>
      </c>
      <c r="P81" s="44">
        <f>P80</f>
        <v>8</v>
      </c>
      <c r="Q81" s="45">
        <f t="shared" si="14"/>
        <v>0.2</v>
      </c>
      <c r="R81" s="49">
        <v>60</v>
      </c>
      <c r="S81" s="44">
        <f t="shared" si="34"/>
        <v>150</v>
      </c>
      <c r="T81" s="50">
        <f t="shared" si="34"/>
        <v>210</v>
      </c>
    </row>
    <row r="82" spans="1:20" ht="15.75" thickBot="1" x14ac:dyDescent="0.3">
      <c r="A82" s="229">
        <f t="shared" si="31"/>
        <v>1080</v>
      </c>
      <c r="B82" s="230">
        <f t="shared" si="32"/>
        <v>72</v>
      </c>
      <c r="C82" s="218" t="str">
        <f t="shared" si="30"/>
        <v>L15B10#008_090_00</v>
      </c>
      <c r="D82" s="43">
        <f t="shared" si="20"/>
        <v>9.8000000000000007</v>
      </c>
      <c r="E82" s="61">
        <f t="shared" si="26"/>
        <v>1.8130000000000002</v>
      </c>
      <c r="F82" s="61">
        <f t="shared" si="27"/>
        <v>42</v>
      </c>
      <c r="G82" s="64">
        <f t="shared" si="22"/>
        <v>6.4</v>
      </c>
      <c r="H82" s="63">
        <f t="shared" si="28"/>
        <v>11.036086471998424</v>
      </c>
      <c r="I82" s="63">
        <f t="shared" si="29"/>
        <v>16.704805013448237</v>
      </c>
      <c r="J82" s="53">
        <f t="shared" si="25"/>
        <v>-11.337437082899626</v>
      </c>
      <c r="K82" s="53" t="str">
        <f t="shared" si="33"/>
        <v>Vertical</v>
      </c>
      <c r="L82" s="42" t="str">
        <f t="shared" si="33"/>
        <v>Full</v>
      </c>
      <c r="M82" s="50">
        <f t="shared" si="33"/>
        <v>12</v>
      </c>
      <c r="N82" s="49">
        <f t="shared" si="33"/>
        <v>160</v>
      </c>
      <c r="O82" s="44">
        <f t="shared" si="33"/>
        <v>8</v>
      </c>
      <c r="P82" s="44">
        <f>P81</f>
        <v>8</v>
      </c>
      <c r="Q82" s="45">
        <f t="shared" si="14"/>
        <v>0.2</v>
      </c>
      <c r="R82" s="49">
        <v>90</v>
      </c>
      <c r="S82" s="44">
        <f t="shared" si="34"/>
        <v>150</v>
      </c>
      <c r="T82" s="50">
        <f t="shared" si="34"/>
        <v>210</v>
      </c>
    </row>
    <row r="83" spans="1:20" ht="15.75" thickBot="1" x14ac:dyDescent="0.3">
      <c r="A83" s="229">
        <f t="shared" si="31"/>
        <v>1081</v>
      </c>
      <c r="B83" s="230">
        <f t="shared" si="32"/>
        <v>73</v>
      </c>
      <c r="C83" s="218" t="str">
        <f t="shared" si="30"/>
        <v>L15C10#352_000_00</v>
      </c>
      <c r="D83" s="43">
        <f t="shared" si="20"/>
        <v>9.8000000000000007</v>
      </c>
      <c r="E83" s="61">
        <f t="shared" si="26"/>
        <v>1.8130000000000002</v>
      </c>
      <c r="F83" s="61">
        <f t="shared" si="27"/>
        <v>42</v>
      </c>
      <c r="G83" s="64">
        <f t="shared" si="22"/>
        <v>6.4</v>
      </c>
      <c r="H83" s="63">
        <f t="shared" si="28"/>
        <v>11.036086471998424</v>
      </c>
      <c r="I83" s="63">
        <f t="shared" si="29"/>
        <v>16.704805013448237</v>
      </c>
      <c r="J83" s="53">
        <f>2*(I83-H83)</f>
        <v>11.337437082899626</v>
      </c>
      <c r="K83" s="55" t="s">
        <v>20</v>
      </c>
      <c r="L83" s="42" t="str">
        <f t="shared" si="33"/>
        <v>Full</v>
      </c>
      <c r="M83" s="50">
        <f t="shared" si="33"/>
        <v>12</v>
      </c>
      <c r="N83" s="49">
        <f t="shared" si="33"/>
        <v>160</v>
      </c>
      <c r="O83" s="44">
        <f t="shared" si="33"/>
        <v>8</v>
      </c>
      <c r="P83" s="35">
        <f>yaw_min</f>
        <v>-8</v>
      </c>
      <c r="Q83" s="45">
        <f t="shared" si="14"/>
        <v>0.2</v>
      </c>
      <c r="R83" s="49">
        <v>0</v>
      </c>
      <c r="S83" s="44">
        <f t="shared" si="34"/>
        <v>150</v>
      </c>
      <c r="T83" s="50">
        <f t="shared" si="34"/>
        <v>210</v>
      </c>
    </row>
    <row r="84" spans="1:20" ht="15.75" thickBot="1" x14ac:dyDescent="0.3">
      <c r="A84" s="229">
        <f t="shared" si="31"/>
        <v>1082</v>
      </c>
      <c r="B84" s="230">
        <f t="shared" si="32"/>
        <v>74</v>
      </c>
      <c r="C84" s="218" t="str">
        <f t="shared" si="30"/>
        <v>L15C10#352_030_00</v>
      </c>
      <c r="D84" s="43">
        <f t="shared" si="20"/>
        <v>9.8000000000000007</v>
      </c>
      <c r="E84" s="61">
        <f t="shared" si="26"/>
        <v>1.8130000000000002</v>
      </c>
      <c r="F84" s="61">
        <f t="shared" si="27"/>
        <v>42</v>
      </c>
      <c r="G84" s="64">
        <f t="shared" si="22"/>
        <v>6.4</v>
      </c>
      <c r="H84" s="63">
        <f t="shared" si="28"/>
        <v>11.036086471998424</v>
      </c>
      <c r="I84" s="63">
        <f t="shared" si="29"/>
        <v>16.704805013448237</v>
      </c>
      <c r="J84" s="53">
        <f t="shared" ref="J84:J94" si="35">2*(I84-H84)</f>
        <v>11.337437082899626</v>
      </c>
      <c r="K84" s="53" t="str">
        <f t="shared" ref="K84:O99" si="36">K83</f>
        <v>Horizontal</v>
      </c>
      <c r="L84" s="42" t="str">
        <f t="shared" si="33"/>
        <v>Full</v>
      </c>
      <c r="M84" s="50">
        <f t="shared" si="33"/>
        <v>12</v>
      </c>
      <c r="N84" s="49">
        <f t="shared" si="33"/>
        <v>160</v>
      </c>
      <c r="O84" s="44">
        <f t="shared" si="33"/>
        <v>8</v>
      </c>
      <c r="P84" s="44">
        <f>P83</f>
        <v>-8</v>
      </c>
      <c r="Q84" s="45">
        <f t="shared" si="14"/>
        <v>0.2</v>
      </c>
      <c r="R84" s="49">
        <v>30</v>
      </c>
      <c r="S84" s="44">
        <f t="shared" si="34"/>
        <v>150</v>
      </c>
      <c r="T84" s="50">
        <f t="shared" si="34"/>
        <v>210</v>
      </c>
    </row>
    <row r="85" spans="1:20" ht="15.75" thickBot="1" x14ac:dyDescent="0.3">
      <c r="A85" s="229">
        <f t="shared" si="31"/>
        <v>1083</v>
      </c>
      <c r="B85" s="230">
        <f t="shared" si="32"/>
        <v>75</v>
      </c>
      <c r="C85" s="218" t="str">
        <f t="shared" si="30"/>
        <v>L15C10#352_060_00</v>
      </c>
      <c r="D85" s="43">
        <f t="shared" si="20"/>
        <v>9.8000000000000007</v>
      </c>
      <c r="E85" s="61">
        <f t="shared" si="26"/>
        <v>1.8130000000000002</v>
      </c>
      <c r="F85" s="61">
        <f t="shared" si="27"/>
        <v>42</v>
      </c>
      <c r="G85" s="64">
        <f t="shared" si="22"/>
        <v>6.4</v>
      </c>
      <c r="H85" s="63">
        <f t="shared" si="28"/>
        <v>11.036086471998424</v>
      </c>
      <c r="I85" s="63">
        <f t="shared" si="29"/>
        <v>16.704805013448237</v>
      </c>
      <c r="J85" s="53">
        <f t="shared" si="35"/>
        <v>11.337437082899626</v>
      </c>
      <c r="K85" s="53" t="str">
        <f t="shared" si="36"/>
        <v>Horizontal</v>
      </c>
      <c r="L85" s="42" t="str">
        <f t="shared" si="33"/>
        <v>Full</v>
      </c>
      <c r="M85" s="50">
        <f t="shared" si="33"/>
        <v>12</v>
      </c>
      <c r="N85" s="49">
        <f t="shared" si="33"/>
        <v>160</v>
      </c>
      <c r="O85" s="44">
        <f t="shared" si="33"/>
        <v>8</v>
      </c>
      <c r="P85" s="44">
        <f>P84</f>
        <v>-8</v>
      </c>
      <c r="Q85" s="45">
        <f t="shared" si="14"/>
        <v>0.2</v>
      </c>
      <c r="R85" s="49">
        <v>60</v>
      </c>
      <c r="S85" s="44">
        <f t="shared" si="34"/>
        <v>150</v>
      </c>
      <c r="T85" s="50">
        <f t="shared" si="34"/>
        <v>210</v>
      </c>
    </row>
    <row r="86" spans="1:20" ht="15.75" thickBot="1" x14ac:dyDescent="0.3">
      <c r="A86" s="229">
        <f t="shared" si="31"/>
        <v>1084</v>
      </c>
      <c r="B86" s="230">
        <f t="shared" si="32"/>
        <v>76</v>
      </c>
      <c r="C86" s="218" t="str">
        <f t="shared" si="30"/>
        <v>L15C10#352_090_00</v>
      </c>
      <c r="D86" s="43">
        <f t="shared" si="20"/>
        <v>9.8000000000000007</v>
      </c>
      <c r="E86" s="61">
        <f t="shared" si="26"/>
        <v>1.8130000000000002</v>
      </c>
      <c r="F86" s="61">
        <f t="shared" si="27"/>
        <v>42</v>
      </c>
      <c r="G86" s="64">
        <f t="shared" si="22"/>
        <v>6.4</v>
      </c>
      <c r="H86" s="63">
        <f t="shared" si="28"/>
        <v>11.036086471998424</v>
      </c>
      <c r="I86" s="63">
        <f t="shared" si="29"/>
        <v>16.704805013448237</v>
      </c>
      <c r="J86" s="53">
        <f t="shared" si="35"/>
        <v>11.337437082899626</v>
      </c>
      <c r="K86" s="53" t="str">
        <f t="shared" si="36"/>
        <v>Horizontal</v>
      </c>
      <c r="L86" s="42" t="str">
        <f t="shared" si="33"/>
        <v>Full</v>
      </c>
      <c r="M86" s="50">
        <f t="shared" si="33"/>
        <v>12</v>
      </c>
      <c r="N86" s="49">
        <f t="shared" si="33"/>
        <v>160</v>
      </c>
      <c r="O86" s="44">
        <f t="shared" si="33"/>
        <v>8</v>
      </c>
      <c r="P86" s="44">
        <f>P85</f>
        <v>-8</v>
      </c>
      <c r="Q86" s="45">
        <f t="shared" si="14"/>
        <v>0.2</v>
      </c>
      <c r="R86" s="49">
        <v>90</v>
      </c>
      <c r="S86" s="44">
        <f t="shared" si="34"/>
        <v>150</v>
      </c>
      <c r="T86" s="50">
        <f t="shared" si="34"/>
        <v>210</v>
      </c>
    </row>
    <row r="87" spans="1:20" ht="15.75" thickBot="1" x14ac:dyDescent="0.3">
      <c r="A87" s="229">
        <f t="shared" si="31"/>
        <v>1085</v>
      </c>
      <c r="B87" s="230">
        <f t="shared" si="32"/>
        <v>77</v>
      </c>
      <c r="C87" s="218" t="str">
        <f t="shared" si="30"/>
        <v>L15C10#000_000_00</v>
      </c>
      <c r="D87" s="43">
        <f t="shared" si="20"/>
        <v>9.8000000000000007</v>
      </c>
      <c r="E87" s="61">
        <f t="shared" si="26"/>
        <v>1.8130000000000002</v>
      </c>
      <c r="F87" s="61">
        <f t="shared" si="27"/>
        <v>42</v>
      </c>
      <c r="G87" s="64">
        <f t="shared" si="22"/>
        <v>6.4</v>
      </c>
      <c r="H87" s="63">
        <f t="shared" si="28"/>
        <v>11.036086471998424</v>
      </c>
      <c r="I87" s="63">
        <f t="shared" si="29"/>
        <v>16.704805013448237</v>
      </c>
      <c r="J87" s="53">
        <f t="shared" si="35"/>
        <v>11.337437082899626</v>
      </c>
      <c r="K87" s="53" t="str">
        <f t="shared" si="36"/>
        <v>Horizontal</v>
      </c>
      <c r="L87" s="42" t="str">
        <f t="shared" si="33"/>
        <v>Full</v>
      </c>
      <c r="M87" s="50">
        <f t="shared" si="33"/>
        <v>12</v>
      </c>
      <c r="N87" s="49">
        <f t="shared" si="33"/>
        <v>160</v>
      </c>
      <c r="O87" s="44">
        <f t="shared" si="33"/>
        <v>8</v>
      </c>
      <c r="P87" s="44">
        <f>yaw_null</f>
        <v>0</v>
      </c>
      <c r="Q87" s="45">
        <f t="shared" si="14"/>
        <v>0.2</v>
      </c>
      <c r="R87" s="49">
        <v>0</v>
      </c>
      <c r="S87" s="44">
        <f t="shared" si="34"/>
        <v>150</v>
      </c>
      <c r="T87" s="50">
        <f t="shared" si="34"/>
        <v>210</v>
      </c>
    </row>
    <row r="88" spans="1:20" ht="15.75" thickBot="1" x14ac:dyDescent="0.3">
      <c r="A88" s="229">
        <f t="shared" si="31"/>
        <v>1086</v>
      </c>
      <c r="B88" s="230">
        <f t="shared" si="32"/>
        <v>78</v>
      </c>
      <c r="C88" s="218" t="str">
        <f t="shared" si="30"/>
        <v>L15C10#000_030_00</v>
      </c>
      <c r="D88" s="43">
        <f t="shared" si="20"/>
        <v>9.8000000000000007</v>
      </c>
      <c r="E88" s="61">
        <f t="shared" si="26"/>
        <v>1.8130000000000002</v>
      </c>
      <c r="F88" s="61">
        <f t="shared" si="27"/>
        <v>42</v>
      </c>
      <c r="G88" s="64">
        <f t="shared" si="22"/>
        <v>6.4</v>
      </c>
      <c r="H88" s="63">
        <f t="shared" si="28"/>
        <v>11.036086471998424</v>
      </c>
      <c r="I88" s="63">
        <f t="shared" si="29"/>
        <v>16.704805013448237</v>
      </c>
      <c r="J88" s="53">
        <f t="shared" si="35"/>
        <v>11.337437082899626</v>
      </c>
      <c r="K88" s="53" t="str">
        <f t="shared" si="36"/>
        <v>Horizontal</v>
      </c>
      <c r="L88" s="42" t="str">
        <f t="shared" si="33"/>
        <v>Full</v>
      </c>
      <c r="M88" s="50">
        <f t="shared" si="33"/>
        <v>12</v>
      </c>
      <c r="N88" s="49">
        <f t="shared" si="33"/>
        <v>160</v>
      </c>
      <c r="O88" s="44">
        <f t="shared" si="33"/>
        <v>8</v>
      </c>
      <c r="P88" s="44">
        <f>P87</f>
        <v>0</v>
      </c>
      <c r="Q88" s="45">
        <f t="shared" si="14"/>
        <v>0.2</v>
      </c>
      <c r="R88" s="49">
        <v>30</v>
      </c>
      <c r="S88" s="44">
        <f t="shared" si="34"/>
        <v>150</v>
      </c>
      <c r="T88" s="50">
        <f t="shared" si="34"/>
        <v>210</v>
      </c>
    </row>
    <row r="89" spans="1:20" ht="15.75" thickBot="1" x14ac:dyDescent="0.3">
      <c r="A89" s="229">
        <f t="shared" si="31"/>
        <v>1087</v>
      </c>
      <c r="B89" s="230">
        <f t="shared" si="32"/>
        <v>79</v>
      </c>
      <c r="C89" s="218" t="str">
        <f t="shared" si="30"/>
        <v>L15C10#000_060_00</v>
      </c>
      <c r="D89" s="43">
        <f t="shared" si="20"/>
        <v>9.8000000000000007</v>
      </c>
      <c r="E89" s="61">
        <f t="shared" si="26"/>
        <v>1.8130000000000002</v>
      </c>
      <c r="F89" s="61">
        <f t="shared" si="27"/>
        <v>42</v>
      </c>
      <c r="G89" s="64">
        <f t="shared" si="22"/>
        <v>6.4</v>
      </c>
      <c r="H89" s="63">
        <f t="shared" si="28"/>
        <v>11.036086471998424</v>
      </c>
      <c r="I89" s="63">
        <f t="shared" si="29"/>
        <v>16.704805013448237</v>
      </c>
      <c r="J89" s="53">
        <f t="shared" si="35"/>
        <v>11.337437082899626</v>
      </c>
      <c r="K89" s="53" t="str">
        <f t="shared" si="36"/>
        <v>Horizontal</v>
      </c>
      <c r="L89" s="42" t="str">
        <f t="shared" si="33"/>
        <v>Full</v>
      </c>
      <c r="M89" s="50">
        <f t="shared" si="33"/>
        <v>12</v>
      </c>
      <c r="N89" s="49">
        <f t="shared" si="33"/>
        <v>160</v>
      </c>
      <c r="O89" s="44">
        <f t="shared" si="33"/>
        <v>8</v>
      </c>
      <c r="P89" s="44">
        <f>P88</f>
        <v>0</v>
      </c>
      <c r="Q89" s="45">
        <f t="shared" si="14"/>
        <v>0.2</v>
      </c>
      <c r="R89" s="49">
        <v>60</v>
      </c>
      <c r="S89" s="44">
        <f t="shared" si="34"/>
        <v>150</v>
      </c>
      <c r="T89" s="50">
        <f t="shared" si="34"/>
        <v>210</v>
      </c>
    </row>
    <row r="90" spans="1:20" ht="15.75" thickBot="1" x14ac:dyDescent="0.3">
      <c r="A90" s="229">
        <f t="shared" si="31"/>
        <v>1088</v>
      </c>
      <c r="B90" s="230">
        <f t="shared" si="32"/>
        <v>80</v>
      </c>
      <c r="C90" s="218" t="str">
        <f t="shared" si="30"/>
        <v>L15C10#000_090_00</v>
      </c>
      <c r="D90" s="43">
        <f t="shared" si="20"/>
        <v>9.8000000000000007</v>
      </c>
      <c r="E90" s="61">
        <f t="shared" si="26"/>
        <v>1.8130000000000002</v>
      </c>
      <c r="F90" s="61">
        <f t="shared" si="27"/>
        <v>42</v>
      </c>
      <c r="G90" s="64">
        <f t="shared" si="22"/>
        <v>6.4</v>
      </c>
      <c r="H90" s="63">
        <f t="shared" si="28"/>
        <v>11.036086471998424</v>
      </c>
      <c r="I90" s="63">
        <f t="shared" si="29"/>
        <v>16.704805013448237</v>
      </c>
      <c r="J90" s="53">
        <f t="shared" si="35"/>
        <v>11.337437082899626</v>
      </c>
      <c r="K90" s="53" t="str">
        <f t="shared" si="36"/>
        <v>Horizontal</v>
      </c>
      <c r="L90" s="42" t="str">
        <f t="shared" si="33"/>
        <v>Full</v>
      </c>
      <c r="M90" s="50">
        <f t="shared" si="33"/>
        <v>12</v>
      </c>
      <c r="N90" s="49">
        <f t="shared" si="33"/>
        <v>160</v>
      </c>
      <c r="O90" s="44">
        <f t="shared" si="33"/>
        <v>8</v>
      </c>
      <c r="P90" s="44">
        <f>P89</f>
        <v>0</v>
      </c>
      <c r="Q90" s="45">
        <f t="shared" si="14"/>
        <v>0.2</v>
      </c>
      <c r="R90" s="49">
        <v>90</v>
      </c>
      <c r="S90" s="44">
        <f t="shared" si="34"/>
        <v>150</v>
      </c>
      <c r="T90" s="50">
        <f t="shared" si="34"/>
        <v>210</v>
      </c>
    </row>
    <row r="91" spans="1:20" ht="15.75" thickBot="1" x14ac:dyDescent="0.3">
      <c r="A91" s="229">
        <f t="shared" si="31"/>
        <v>1089</v>
      </c>
      <c r="B91" s="230">
        <f t="shared" si="32"/>
        <v>81</v>
      </c>
      <c r="C91" s="218" t="str">
        <f t="shared" si="30"/>
        <v>L15C10#008_000_00</v>
      </c>
      <c r="D91" s="43">
        <f t="shared" si="20"/>
        <v>9.8000000000000007</v>
      </c>
      <c r="E91" s="61">
        <f t="shared" si="26"/>
        <v>1.8130000000000002</v>
      </c>
      <c r="F91" s="61">
        <f t="shared" si="27"/>
        <v>42</v>
      </c>
      <c r="G91" s="64">
        <f t="shared" si="22"/>
        <v>6.4</v>
      </c>
      <c r="H91" s="63">
        <f t="shared" si="28"/>
        <v>11.036086471998424</v>
      </c>
      <c r="I91" s="63">
        <f t="shared" si="29"/>
        <v>16.704805013448237</v>
      </c>
      <c r="J91" s="53">
        <f t="shared" si="35"/>
        <v>11.337437082899626</v>
      </c>
      <c r="K91" s="53" t="str">
        <f t="shared" si="36"/>
        <v>Horizontal</v>
      </c>
      <c r="L91" s="42" t="str">
        <f t="shared" si="33"/>
        <v>Full</v>
      </c>
      <c r="M91" s="50">
        <f t="shared" si="33"/>
        <v>12</v>
      </c>
      <c r="N91" s="49">
        <f t="shared" si="33"/>
        <v>160</v>
      </c>
      <c r="O91" s="44">
        <f t="shared" si="33"/>
        <v>8</v>
      </c>
      <c r="P91" s="44">
        <f>yaw_max</f>
        <v>8</v>
      </c>
      <c r="Q91" s="45">
        <f t="shared" si="14"/>
        <v>0.2</v>
      </c>
      <c r="R91" s="49">
        <v>0</v>
      </c>
      <c r="S91" s="44">
        <f t="shared" si="34"/>
        <v>150</v>
      </c>
      <c r="T91" s="50">
        <f t="shared" si="34"/>
        <v>210</v>
      </c>
    </row>
    <row r="92" spans="1:20" ht="15.75" thickBot="1" x14ac:dyDescent="0.3">
      <c r="A92" s="229">
        <f t="shared" si="31"/>
        <v>1090</v>
      </c>
      <c r="B92" s="230">
        <f t="shared" si="32"/>
        <v>82</v>
      </c>
      <c r="C92" s="218" t="str">
        <f t="shared" si="30"/>
        <v>L15C10#008_030_00</v>
      </c>
      <c r="D92" s="43">
        <f t="shared" si="20"/>
        <v>9.8000000000000007</v>
      </c>
      <c r="E92" s="61">
        <f t="shared" si="26"/>
        <v>1.8130000000000002</v>
      </c>
      <c r="F92" s="61">
        <f t="shared" si="27"/>
        <v>42</v>
      </c>
      <c r="G92" s="64">
        <f t="shared" si="22"/>
        <v>6.4</v>
      </c>
      <c r="H92" s="63">
        <f t="shared" si="28"/>
        <v>11.036086471998424</v>
      </c>
      <c r="I92" s="63">
        <f t="shared" si="29"/>
        <v>16.704805013448237</v>
      </c>
      <c r="J92" s="53">
        <f t="shared" si="35"/>
        <v>11.337437082899626</v>
      </c>
      <c r="K92" s="53" t="str">
        <f t="shared" si="36"/>
        <v>Horizontal</v>
      </c>
      <c r="L92" s="42" t="str">
        <f t="shared" si="33"/>
        <v>Full</v>
      </c>
      <c r="M92" s="50">
        <f t="shared" si="33"/>
        <v>12</v>
      </c>
      <c r="N92" s="49">
        <f t="shared" si="33"/>
        <v>160</v>
      </c>
      <c r="O92" s="44">
        <f t="shared" si="33"/>
        <v>8</v>
      </c>
      <c r="P92" s="44">
        <f>P91</f>
        <v>8</v>
      </c>
      <c r="Q92" s="45">
        <f t="shared" ref="Q92:Q155" si="37">Q91</f>
        <v>0.2</v>
      </c>
      <c r="R92" s="49">
        <v>30</v>
      </c>
      <c r="S92" s="44">
        <f t="shared" si="34"/>
        <v>150</v>
      </c>
      <c r="T92" s="50">
        <f t="shared" si="34"/>
        <v>210</v>
      </c>
    </row>
    <row r="93" spans="1:20" ht="15.75" thickBot="1" x14ac:dyDescent="0.3">
      <c r="A93" s="229">
        <f t="shared" si="31"/>
        <v>1091</v>
      </c>
      <c r="B93" s="230">
        <f t="shared" si="32"/>
        <v>83</v>
      </c>
      <c r="C93" s="218" t="str">
        <f t="shared" si="30"/>
        <v>L15C10#008_060_00</v>
      </c>
      <c r="D93" s="43">
        <f t="shared" si="20"/>
        <v>9.8000000000000007</v>
      </c>
      <c r="E93" s="61">
        <f t="shared" si="26"/>
        <v>1.8130000000000002</v>
      </c>
      <c r="F93" s="61">
        <f t="shared" si="27"/>
        <v>42</v>
      </c>
      <c r="G93" s="64">
        <f t="shared" si="22"/>
        <v>6.4</v>
      </c>
      <c r="H93" s="63">
        <f t="shared" si="28"/>
        <v>11.036086471998424</v>
      </c>
      <c r="I93" s="63">
        <f t="shared" si="29"/>
        <v>16.704805013448237</v>
      </c>
      <c r="J93" s="53">
        <f t="shared" si="35"/>
        <v>11.337437082899626</v>
      </c>
      <c r="K93" s="53" t="str">
        <f t="shared" si="36"/>
        <v>Horizontal</v>
      </c>
      <c r="L93" s="42" t="str">
        <f t="shared" si="36"/>
        <v>Full</v>
      </c>
      <c r="M93" s="50">
        <f t="shared" si="36"/>
        <v>12</v>
      </c>
      <c r="N93" s="49">
        <f t="shared" si="36"/>
        <v>160</v>
      </c>
      <c r="O93" s="44">
        <f t="shared" si="36"/>
        <v>8</v>
      </c>
      <c r="P93" s="44">
        <f>P92</f>
        <v>8</v>
      </c>
      <c r="Q93" s="45">
        <f t="shared" si="37"/>
        <v>0.2</v>
      </c>
      <c r="R93" s="49">
        <v>60</v>
      </c>
      <c r="S93" s="44">
        <f t="shared" ref="S93:T107" si="38">S92</f>
        <v>150</v>
      </c>
      <c r="T93" s="50">
        <f t="shared" si="38"/>
        <v>210</v>
      </c>
    </row>
    <row r="94" spans="1:20" ht="15.75" thickBot="1" x14ac:dyDescent="0.3">
      <c r="A94" s="229">
        <f t="shared" si="31"/>
        <v>1092</v>
      </c>
      <c r="B94" s="230">
        <f t="shared" si="32"/>
        <v>84</v>
      </c>
      <c r="C94" s="218" t="str">
        <f t="shared" si="30"/>
        <v>L15C10#008_090_00</v>
      </c>
      <c r="D94" s="43">
        <f t="shared" si="20"/>
        <v>9.8000000000000007</v>
      </c>
      <c r="E94" s="61">
        <f t="shared" si="26"/>
        <v>1.8130000000000002</v>
      </c>
      <c r="F94" s="61">
        <f t="shared" si="27"/>
        <v>42</v>
      </c>
      <c r="G94" s="64">
        <f t="shared" si="22"/>
        <v>6.4</v>
      </c>
      <c r="H94" s="63">
        <f t="shared" si="28"/>
        <v>11.036086471998424</v>
      </c>
      <c r="I94" s="63">
        <f t="shared" si="29"/>
        <v>16.704805013448237</v>
      </c>
      <c r="J94" s="53">
        <f t="shared" si="35"/>
        <v>11.337437082899626</v>
      </c>
      <c r="K94" s="53" t="str">
        <f t="shared" si="36"/>
        <v>Horizontal</v>
      </c>
      <c r="L94" s="42" t="str">
        <f t="shared" si="36"/>
        <v>Full</v>
      </c>
      <c r="M94" s="50">
        <f t="shared" si="36"/>
        <v>12</v>
      </c>
      <c r="N94" s="49">
        <f t="shared" si="36"/>
        <v>160</v>
      </c>
      <c r="O94" s="44">
        <f t="shared" si="36"/>
        <v>8</v>
      </c>
      <c r="P94" s="44">
        <f>P93</f>
        <v>8</v>
      </c>
      <c r="Q94" s="45">
        <f t="shared" si="37"/>
        <v>0.2</v>
      </c>
      <c r="R94" s="49">
        <v>90</v>
      </c>
      <c r="S94" s="44">
        <f t="shared" si="38"/>
        <v>150</v>
      </c>
      <c r="T94" s="50">
        <f t="shared" si="38"/>
        <v>210</v>
      </c>
    </row>
    <row r="95" spans="1:20" ht="15.75" thickBot="1" x14ac:dyDescent="0.3">
      <c r="A95" s="229">
        <f t="shared" si="31"/>
        <v>1093</v>
      </c>
      <c r="B95" s="230">
        <f t="shared" si="32"/>
        <v>85</v>
      </c>
      <c r="C95" s="218" t="str">
        <f t="shared" si="30"/>
        <v>L15D10#352_000_00</v>
      </c>
      <c r="D95" s="43">
        <f t="shared" si="20"/>
        <v>9.8000000000000007</v>
      </c>
      <c r="E95" s="61">
        <f t="shared" si="26"/>
        <v>1.8130000000000002</v>
      </c>
      <c r="F95" s="61">
        <f t="shared" si="27"/>
        <v>42</v>
      </c>
      <c r="G95" s="64">
        <f t="shared" si="22"/>
        <v>6.4</v>
      </c>
      <c r="H95" s="63">
        <f t="shared" si="28"/>
        <v>11.036086471998424</v>
      </c>
      <c r="I95" s="63">
        <f t="shared" si="29"/>
        <v>16.704805013448237</v>
      </c>
      <c r="J95" s="53">
        <f>2*(H95-I95)</f>
        <v>-11.337437082899626</v>
      </c>
      <c r="K95" s="55" t="s">
        <v>20</v>
      </c>
      <c r="L95" s="42" t="str">
        <f t="shared" si="36"/>
        <v>Full</v>
      </c>
      <c r="M95" s="50">
        <f t="shared" si="36"/>
        <v>12</v>
      </c>
      <c r="N95" s="49">
        <f t="shared" si="36"/>
        <v>160</v>
      </c>
      <c r="O95" s="44">
        <f t="shared" si="36"/>
        <v>8</v>
      </c>
      <c r="P95" s="35">
        <f>yaw_min</f>
        <v>-8</v>
      </c>
      <c r="Q95" s="45">
        <f t="shared" si="37"/>
        <v>0.2</v>
      </c>
      <c r="R95" s="49">
        <v>0</v>
      </c>
      <c r="S95" s="44">
        <f t="shared" si="38"/>
        <v>150</v>
      </c>
      <c r="T95" s="50">
        <f t="shared" si="38"/>
        <v>210</v>
      </c>
    </row>
    <row r="96" spans="1:20" ht="15.75" thickBot="1" x14ac:dyDescent="0.3">
      <c r="A96" s="229">
        <f t="shared" si="31"/>
        <v>1094</v>
      </c>
      <c r="B96" s="230">
        <f t="shared" si="32"/>
        <v>86</v>
      </c>
      <c r="C96" s="218" t="str">
        <f t="shared" si="30"/>
        <v>L15D10#352_030_00</v>
      </c>
      <c r="D96" s="43">
        <f t="shared" si="20"/>
        <v>9.8000000000000007</v>
      </c>
      <c r="E96" s="61">
        <f t="shared" si="26"/>
        <v>1.8130000000000002</v>
      </c>
      <c r="F96" s="61">
        <f t="shared" si="27"/>
        <v>42</v>
      </c>
      <c r="G96" s="64">
        <f t="shared" si="22"/>
        <v>6.4</v>
      </c>
      <c r="H96" s="63">
        <f t="shared" si="28"/>
        <v>11.036086471998424</v>
      </c>
      <c r="I96" s="63">
        <f t="shared" si="29"/>
        <v>16.704805013448237</v>
      </c>
      <c r="J96" s="53">
        <f t="shared" ref="J96:O111" si="39">J95</f>
        <v>-11.337437082899626</v>
      </c>
      <c r="K96" s="53" t="str">
        <f t="shared" si="39"/>
        <v>Horizontal</v>
      </c>
      <c r="L96" s="42" t="str">
        <f t="shared" si="36"/>
        <v>Full</v>
      </c>
      <c r="M96" s="50">
        <f t="shared" si="36"/>
        <v>12</v>
      </c>
      <c r="N96" s="49">
        <f t="shared" si="36"/>
        <v>160</v>
      </c>
      <c r="O96" s="44">
        <f t="shared" si="36"/>
        <v>8</v>
      </c>
      <c r="P96" s="44">
        <f>P95</f>
        <v>-8</v>
      </c>
      <c r="Q96" s="45">
        <f t="shared" si="37"/>
        <v>0.2</v>
      </c>
      <c r="R96" s="49">
        <v>30</v>
      </c>
      <c r="S96" s="44">
        <f t="shared" si="38"/>
        <v>150</v>
      </c>
      <c r="T96" s="50">
        <f t="shared" si="38"/>
        <v>210</v>
      </c>
    </row>
    <row r="97" spans="1:20" ht="15.75" thickBot="1" x14ac:dyDescent="0.3">
      <c r="A97" s="229">
        <f t="shared" si="31"/>
        <v>1095</v>
      </c>
      <c r="B97" s="230">
        <f t="shared" si="32"/>
        <v>87</v>
      </c>
      <c r="C97" s="218" t="str">
        <f t="shared" si="30"/>
        <v>L15D10#352_060_00</v>
      </c>
      <c r="D97" s="43">
        <f t="shared" si="20"/>
        <v>9.8000000000000007</v>
      </c>
      <c r="E97" s="61">
        <f t="shared" si="26"/>
        <v>1.8130000000000002</v>
      </c>
      <c r="F97" s="61">
        <f t="shared" si="27"/>
        <v>42</v>
      </c>
      <c r="G97" s="64">
        <f t="shared" si="22"/>
        <v>6.4</v>
      </c>
      <c r="H97" s="63">
        <f t="shared" si="28"/>
        <v>11.036086471998424</v>
      </c>
      <c r="I97" s="63">
        <f t="shared" si="29"/>
        <v>16.704805013448237</v>
      </c>
      <c r="J97" s="53">
        <f t="shared" si="39"/>
        <v>-11.337437082899626</v>
      </c>
      <c r="K97" s="53" t="str">
        <f t="shared" si="39"/>
        <v>Horizontal</v>
      </c>
      <c r="L97" s="42" t="str">
        <f t="shared" si="36"/>
        <v>Full</v>
      </c>
      <c r="M97" s="50">
        <f t="shared" si="36"/>
        <v>12</v>
      </c>
      <c r="N97" s="49">
        <f t="shared" si="36"/>
        <v>160</v>
      </c>
      <c r="O97" s="44">
        <f t="shared" si="36"/>
        <v>8</v>
      </c>
      <c r="P97" s="44">
        <f>P96</f>
        <v>-8</v>
      </c>
      <c r="Q97" s="45">
        <f t="shared" si="37"/>
        <v>0.2</v>
      </c>
      <c r="R97" s="49">
        <v>60</v>
      </c>
      <c r="S97" s="44">
        <f t="shared" si="38"/>
        <v>150</v>
      </c>
      <c r="T97" s="50">
        <f t="shared" si="38"/>
        <v>210</v>
      </c>
    </row>
    <row r="98" spans="1:20" ht="15.75" thickBot="1" x14ac:dyDescent="0.3">
      <c r="A98" s="229">
        <f t="shared" si="31"/>
        <v>1096</v>
      </c>
      <c r="B98" s="230">
        <f t="shared" si="32"/>
        <v>88</v>
      </c>
      <c r="C98" s="218" t="str">
        <f t="shared" si="30"/>
        <v>L15D10#352_090_00</v>
      </c>
      <c r="D98" s="43">
        <f t="shared" si="20"/>
        <v>9.8000000000000007</v>
      </c>
      <c r="E98" s="61">
        <f t="shared" si="26"/>
        <v>1.8130000000000002</v>
      </c>
      <c r="F98" s="61">
        <f t="shared" si="27"/>
        <v>42</v>
      </c>
      <c r="G98" s="64">
        <f t="shared" si="22"/>
        <v>6.4</v>
      </c>
      <c r="H98" s="63">
        <f t="shared" si="28"/>
        <v>11.036086471998424</v>
      </c>
      <c r="I98" s="63">
        <f t="shared" si="29"/>
        <v>16.704805013448237</v>
      </c>
      <c r="J98" s="53">
        <f t="shared" si="39"/>
        <v>-11.337437082899626</v>
      </c>
      <c r="K98" s="53" t="str">
        <f t="shared" si="39"/>
        <v>Horizontal</v>
      </c>
      <c r="L98" s="42" t="str">
        <f t="shared" si="36"/>
        <v>Full</v>
      </c>
      <c r="M98" s="50">
        <f t="shared" si="36"/>
        <v>12</v>
      </c>
      <c r="N98" s="49">
        <f t="shared" si="36"/>
        <v>160</v>
      </c>
      <c r="O98" s="44">
        <f t="shared" si="36"/>
        <v>8</v>
      </c>
      <c r="P98" s="44">
        <f>P97</f>
        <v>-8</v>
      </c>
      <c r="Q98" s="45">
        <f t="shared" si="37"/>
        <v>0.2</v>
      </c>
      <c r="R98" s="49">
        <v>90</v>
      </c>
      <c r="S98" s="44">
        <f t="shared" si="38"/>
        <v>150</v>
      </c>
      <c r="T98" s="50">
        <f t="shared" si="38"/>
        <v>210</v>
      </c>
    </row>
    <row r="99" spans="1:20" ht="15.75" thickBot="1" x14ac:dyDescent="0.3">
      <c r="A99" s="229">
        <f t="shared" si="31"/>
        <v>1097</v>
      </c>
      <c r="B99" s="230">
        <f t="shared" si="32"/>
        <v>89</v>
      </c>
      <c r="C99" s="218" t="str">
        <f t="shared" si="30"/>
        <v>L15D10#000_000_00</v>
      </c>
      <c r="D99" s="43">
        <f t="shared" si="20"/>
        <v>9.8000000000000007</v>
      </c>
      <c r="E99" s="61">
        <f t="shared" si="26"/>
        <v>1.8130000000000002</v>
      </c>
      <c r="F99" s="61">
        <f t="shared" si="27"/>
        <v>42</v>
      </c>
      <c r="G99" s="64">
        <f t="shared" si="22"/>
        <v>6.4</v>
      </c>
      <c r="H99" s="63">
        <f t="shared" si="28"/>
        <v>11.036086471998424</v>
      </c>
      <c r="I99" s="63">
        <f t="shared" si="29"/>
        <v>16.704805013448237</v>
      </c>
      <c r="J99" s="53">
        <f t="shared" si="39"/>
        <v>-11.337437082899626</v>
      </c>
      <c r="K99" s="53" t="str">
        <f t="shared" si="39"/>
        <v>Horizontal</v>
      </c>
      <c r="L99" s="42" t="str">
        <f t="shared" si="36"/>
        <v>Full</v>
      </c>
      <c r="M99" s="50">
        <f t="shared" si="36"/>
        <v>12</v>
      </c>
      <c r="N99" s="49">
        <f t="shared" si="36"/>
        <v>160</v>
      </c>
      <c r="O99" s="44">
        <f t="shared" si="36"/>
        <v>8</v>
      </c>
      <c r="P99" s="44">
        <f>yaw_null</f>
        <v>0</v>
      </c>
      <c r="Q99" s="45">
        <f t="shared" si="37"/>
        <v>0.2</v>
      </c>
      <c r="R99" s="49">
        <v>0</v>
      </c>
      <c r="S99" s="44">
        <f t="shared" si="38"/>
        <v>150</v>
      </c>
      <c r="T99" s="50">
        <f t="shared" si="38"/>
        <v>210</v>
      </c>
    </row>
    <row r="100" spans="1:20" ht="15.75" thickBot="1" x14ac:dyDescent="0.3">
      <c r="A100" s="229">
        <f t="shared" si="31"/>
        <v>1098</v>
      </c>
      <c r="B100" s="230">
        <f t="shared" si="32"/>
        <v>90</v>
      </c>
      <c r="C100" s="218" t="str">
        <f t="shared" si="30"/>
        <v>L15D10#000_030_00</v>
      </c>
      <c r="D100" s="43">
        <f t="shared" si="20"/>
        <v>9.8000000000000007</v>
      </c>
      <c r="E100" s="61">
        <f t="shared" si="26"/>
        <v>1.8130000000000002</v>
      </c>
      <c r="F100" s="61">
        <f t="shared" si="27"/>
        <v>42</v>
      </c>
      <c r="G100" s="64">
        <f t="shared" si="22"/>
        <v>6.4</v>
      </c>
      <c r="H100" s="63">
        <f t="shared" si="28"/>
        <v>11.036086471998424</v>
      </c>
      <c r="I100" s="63">
        <f t="shared" si="29"/>
        <v>16.704805013448237</v>
      </c>
      <c r="J100" s="53">
        <f t="shared" si="39"/>
        <v>-11.337437082899626</v>
      </c>
      <c r="K100" s="53" t="str">
        <f t="shared" si="39"/>
        <v>Horizontal</v>
      </c>
      <c r="L100" s="42" t="str">
        <f t="shared" si="39"/>
        <v>Full</v>
      </c>
      <c r="M100" s="50">
        <f t="shared" si="39"/>
        <v>12</v>
      </c>
      <c r="N100" s="49">
        <f t="shared" si="39"/>
        <v>160</v>
      </c>
      <c r="O100" s="44">
        <f t="shared" si="39"/>
        <v>8</v>
      </c>
      <c r="P100" s="44">
        <f>P99</f>
        <v>0</v>
      </c>
      <c r="Q100" s="45">
        <f t="shared" si="37"/>
        <v>0.2</v>
      </c>
      <c r="R100" s="49">
        <v>30</v>
      </c>
      <c r="S100" s="44">
        <f t="shared" si="38"/>
        <v>150</v>
      </c>
      <c r="T100" s="50">
        <f t="shared" si="38"/>
        <v>210</v>
      </c>
    </row>
    <row r="101" spans="1:20" ht="15.75" thickBot="1" x14ac:dyDescent="0.3">
      <c r="A101" s="229">
        <f t="shared" si="31"/>
        <v>1099</v>
      </c>
      <c r="B101" s="230">
        <f t="shared" si="32"/>
        <v>91</v>
      </c>
      <c r="C101" s="218" t="str">
        <f t="shared" si="30"/>
        <v>L15D10#000_060_00</v>
      </c>
      <c r="D101" s="43">
        <f t="shared" si="20"/>
        <v>9.8000000000000007</v>
      </c>
      <c r="E101" s="61">
        <f t="shared" si="26"/>
        <v>1.8130000000000002</v>
      </c>
      <c r="F101" s="61">
        <f t="shared" si="27"/>
        <v>42</v>
      </c>
      <c r="G101" s="64">
        <f t="shared" si="22"/>
        <v>6.4</v>
      </c>
      <c r="H101" s="63">
        <f t="shared" si="28"/>
        <v>11.036086471998424</v>
      </c>
      <c r="I101" s="63">
        <f t="shared" si="29"/>
        <v>16.704805013448237</v>
      </c>
      <c r="J101" s="53">
        <f t="shared" si="39"/>
        <v>-11.337437082899626</v>
      </c>
      <c r="K101" s="53" t="str">
        <f t="shared" si="39"/>
        <v>Horizontal</v>
      </c>
      <c r="L101" s="42" t="str">
        <f t="shared" si="39"/>
        <v>Full</v>
      </c>
      <c r="M101" s="50">
        <f t="shared" si="39"/>
        <v>12</v>
      </c>
      <c r="N101" s="49">
        <f t="shared" si="39"/>
        <v>160</v>
      </c>
      <c r="O101" s="44">
        <f t="shared" si="39"/>
        <v>8</v>
      </c>
      <c r="P101" s="44">
        <f>P100</f>
        <v>0</v>
      </c>
      <c r="Q101" s="45">
        <f t="shared" si="37"/>
        <v>0.2</v>
      </c>
      <c r="R101" s="49">
        <v>60</v>
      </c>
      <c r="S101" s="44">
        <f t="shared" si="38"/>
        <v>150</v>
      </c>
      <c r="T101" s="50">
        <f t="shared" si="38"/>
        <v>210</v>
      </c>
    </row>
    <row r="102" spans="1:20" ht="15.75" thickBot="1" x14ac:dyDescent="0.3">
      <c r="A102" s="229">
        <f t="shared" si="31"/>
        <v>1100</v>
      </c>
      <c r="B102" s="230">
        <f t="shared" si="32"/>
        <v>92</v>
      </c>
      <c r="C102" s="218" t="str">
        <f t="shared" si="30"/>
        <v>L15D10#000_090_00</v>
      </c>
      <c r="D102" s="43">
        <f t="shared" si="20"/>
        <v>9.8000000000000007</v>
      </c>
      <c r="E102" s="61">
        <f t="shared" si="26"/>
        <v>1.8130000000000002</v>
      </c>
      <c r="F102" s="61">
        <f t="shared" si="27"/>
        <v>42</v>
      </c>
      <c r="G102" s="64">
        <f t="shared" si="22"/>
        <v>6.4</v>
      </c>
      <c r="H102" s="63">
        <f t="shared" si="28"/>
        <v>11.036086471998424</v>
      </c>
      <c r="I102" s="63">
        <f t="shared" si="29"/>
        <v>16.704805013448237</v>
      </c>
      <c r="J102" s="53">
        <f t="shared" si="39"/>
        <v>-11.337437082899626</v>
      </c>
      <c r="K102" s="53" t="str">
        <f t="shared" si="39"/>
        <v>Horizontal</v>
      </c>
      <c r="L102" s="42" t="str">
        <f t="shared" si="39"/>
        <v>Full</v>
      </c>
      <c r="M102" s="50">
        <f t="shared" si="39"/>
        <v>12</v>
      </c>
      <c r="N102" s="49">
        <f t="shared" si="39"/>
        <v>160</v>
      </c>
      <c r="O102" s="44">
        <f t="shared" si="39"/>
        <v>8</v>
      </c>
      <c r="P102" s="44">
        <f>P101</f>
        <v>0</v>
      </c>
      <c r="Q102" s="45">
        <f t="shared" si="37"/>
        <v>0.2</v>
      </c>
      <c r="R102" s="49">
        <v>90</v>
      </c>
      <c r="S102" s="44">
        <f t="shared" si="38"/>
        <v>150</v>
      </c>
      <c r="T102" s="50">
        <f t="shared" si="38"/>
        <v>210</v>
      </c>
    </row>
    <row r="103" spans="1:20" ht="15.75" thickBot="1" x14ac:dyDescent="0.3">
      <c r="A103" s="229">
        <f t="shared" si="31"/>
        <v>1101</v>
      </c>
      <c r="B103" s="230">
        <f t="shared" si="32"/>
        <v>93</v>
      </c>
      <c r="C103" s="218" t="str">
        <f t="shared" si="30"/>
        <v>L15D10#008_000_00</v>
      </c>
      <c r="D103" s="43">
        <f t="shared" si="20"/>
        <v>9.8000000000000007</v>
      </c>
      <c r="E103" s="61">
        <f t="shared" si="26"/>
        <v>1.8130000000000002</v>
      </c>
      <c r="F103" s="61">
        <f t="shared" si="27"/>
        <v>42</v>
      </c>
      <c r="G103" s="64">
        <f t="shared" si="22"/>
        <v>6.4</v>
      </c>
      <c r="H103" s="63">
        <f t="shared" si="28"/>
        <v>11.036086471998424</v>
      </c>
      <c r="I103" s="63">
        <f t="shared" si="29"/>
        <v>16.704805013448237</v>
      </c>
      <c r="J103" s="53">
        <f t="shared" si="39"/>
        <v>-11.337437082899626</v>
      </c>
      <c r="K103" s="53" t="str">
        <f t="shared" si="39"/>
        <v>Horizontal</v>
      </c>
      <c r="L103" s="42" t="str">
        <f t="shared" si="39"/>
        <v>Full</v>
      </c>
      <c r="M103" s="50">
        <f t="shared" si="39"/>
        <v>12</v>
      </c>
      <c r="N103" s="49">
        <f t="shared" si="39"/>
        <v>160</v>
      </c>
      <c r="O103" s="44">
        <f t="shared" si="39"/>
        <v>8</v>
      </c>
      <c r="P103" s="44">
        <f>yaw_max</f>
        <v>8</v>
      </c>
      <c r="Q103" s="45">
        <f t="shared" si="37"/>
        <v>0.2</v>
      </c>
      <c r="R103" s="49">
        <v>0</v>
      </c>
      <c r="S103" s="44">
        <f t="shared" si="38"/>
        <v>150</v>
      </c>
      <c r="T103" s="50">
        <f t="shared" si="38"/>
        <v>210</v>
      </c>
    </row>
    <row r="104" spans="1:20" ht="15.75" thickBot="1" x14ac:dyDescent="0.3">
      <c r="A104" s="229">
        <f t="shared" si="31"/>
        <v>1102</v>
      </c>
      <c r="B104" s="230">
        <f t="shared" si="32"/>
        <v>94</v>
      </c>
      <c r="C104" s="218" t="str">
        <f t="shared" si="30"/>
        <v>L15D10#008_030_00</v>
      </c>
      <c r="D104" s="43">
        <f t="shared" si="20"/>
        <v>9.8000000000000007</v>
      </c>
      <c r="E104" s="61">
        <f t="shared" si="26"/>
        <v>1.8130000000000002</v>
      </c>
      <c r="F104" s="61">
        <f t="shared" si="27"/>
        <v>42</v>
      </c>
      <c r="G104" s="64">
        <f t="shared" si="22"/>
        <v>6.4</v>
      </c>
      <c r="H104" s="63">
        <f t="shared" si="28"/>
        <v>11.036086471998424</v>
      </c>
      <c r="I104" s="63">
        <f t="shared" si="29"/>
        <v>16.704805013448237</v>
      </c>
      <c r="J104" s="53">
        <f t="shared" si="39"/>
        <v>-11.337437082899626</v>
      </c>
      <c r="K104" s="53" t="str">
        <f t="shared" si="39"/>
        <v>Horizontal</v>
      </c>
      <c r="L104" s="42" t="str">
        <f t="shared" si="39"/>
        <v>Full</v>
      </c>
      <c r="M104" s="50">
        <f t="shared" si="39"/>
        <v>12</v>
      </c>
      <c r="N104" s="49">
        <f t="shared" si="39"/>
        <v>160</v>
      </c>
      <c r="O104" s="44">
        <f t="shared" si="39"/>
        <v>8</v>
      </c>
      <c r="P104" s="44">
        <f>P103</f>
        <v>8</v>
      </c>
      <c r="Q104" s="45">
        <f t="shared" si="37"/>
        <v>0.2</v>
      </c>
      <c r="R104" s="49">
        <v>30</v>
      </c>
      <c r="S104" s="44">
        <f t="shared" si="38"/>
        <v>150</v>
      </c>
      <c r="T104" s="50">
        <f t="shared" si="38"/>
        <v>210</v>
      </c>
    </row>
    <row r="105" spans="1:20" ht="15.75" thickBot="1" x14ac:dyDescent="0.3">
      <c r="A105" s="229">
        <f t="shared" si="31"/>
        <v>1103</v>
      </c>
      <c r="B105" s="230">
        <f t="shared" si="32"/>
        <v>95</v>
      </c>
      <c r="C105" s="218" t="str">
        <f t="shared" si="30"/>
        <v>L15D10#008_060_00</v>
      </c>
      <c r="D105" s="43">
        <f t="shared" si="20"/>
        <v>9.8000000000000007</v>
      </c>
      <c r="E105" s="61">
        <f t="shared" si="26"/>
        <v>1.8130000000000002</v>
      </c>
      <c r="F105" s="61">
        <f t="shared" si="27"/>
        <v>42</v>
      </c>
      <c r="G105" s="64">
        <f t="shared" si="22"/>
        <v>6.4</v>
      </c>
      <c r="H105" s="63">
        <f t="shared" si="28"/>
        <v>11.036086471998424</v>
      </c>
      <c r="I105" s="63">
        <f t="shared" si="29"/>
        <v>16.704805013448237</v>
      </c>
      <c r="J105" s="53">
        <f t="shared" si="39"/>
        <v>-11.337437082899626</v>
      </c>
      <c r="K105" s="53" t="str">
        <f t="shared" si="39"/>
        <v>Horizontal</v>
      </c>
      <c r="L105" s="42" t="str">
        <f t="shared" si="39"/>
        <v>Full</v>
      </c>
      <c r="M105" s="50">
        <f t="shared" si="39"/>
        <v>12</v>
      </c>
      <c r="N105" s="49">
        <f t="shared" si="39"/>
        <v>160</v>
      </c>
      <c r="O105" s="44">
        <f t="shared" si="39"/>
        <v>8</v>
      </c>
      <c r="P105" s="44">
        <f>P104</f>
        <v>8</v>
      </c>
      <c r="Q105" s="45">
        <f t="shared" si="37"/>
        <v>0.2</v>
      </c>
      <c r="R105" s="49">
        <v>60</v>
      </c>
      <c r="S105" s="44">
        <f t="shared" si="38"/>
        <v>150</v>
      </c>
      <c r="T105" s="50">
        <f t="shared" si="38"/>
        <v>210</v>
      </c>
    </row>
    <row r="106" spans="1:20" ht="15.75" thickBot="1" x14ac:dyDescent="0.3">
      <c r="A106" s="229">
        <f t="shared" si="31"/>
        <v>1104</v>
      </c>
      <c r="B106" s="230">
        <f t="shared" si="32"/>
        <v>96</v>
      </c>
      <c r="C106" s="218" t="str">
        <f t="shared" si="30"/>
        <v>L15D10#008_090_00</v>
      </c>
      <c r="D106" s="43">
        <f t="shared" si="20"/>
        <v>9.8000000000000007</v>
      </c>
      <c r="E106" s="61">
        <f t="shared" si="26"/>
        <v>1.8130000000000002</v>
      </c>
      <c r="F106" s="61">
        <f t="shared" si="27"/>
        <v>42</v>
      </c>
      <c r="G106" s="64">
        <f t="shared" si="22"/>
        <v>6.4</v>
      </c>
      <c r="H106" s="63">
        <f t="shared" si="28"/>
        <v>11.036086471998424</v>
      </c>
      <c r="I106" s="63">
        <f t="shared" si="29"/>
        <v>16.704805013448237</v>
      </c>
      <c r="J106" s="53">
        <f t="shared" si="39"/>
        <v>-11.337437082899626</v>
      </c>
      <c r="K106" s="53" t="str">
        <f t="shared" si="39"/>
        <v>Horizontal</v>
      </c>
      <c r="L106" s="42" t="str">
        <f t="shared" si="39"/>
        <v>Full</v>
      </c>
      <c r="M106" s="50">
        <f t="shared" si="39"/>
        <v>12</v>
      </c>
      <c r="N106" s="49">
        <f t="shared" si="39"/>
        <v>160</v>
      </c>
      <c r="O106" s="44">
        <f t="shared" si="39"/>
        <v>8</v>
      </c>
      <c r="P106" s="44">
        <f>P105</f>
        <v>8</v>
      </c>
      <c r="Q106" s="45">
        <f t="shared" si="37"/>
        <v>0.2</v>
      </c>
      <c r="R106" s="49">
        <v>90</v>
      </c>
      <c r="S106" s="44">
        <f t="shared" si="38"/>
        <v>150</v>
      </c>
      <c r="T106" s="50">
        <f t="shared" si="38"/>
        <v>210</v>
      </c>
    </row>
    <row r="107" spans="1:20" ht="15.75" thickBot="1" x14ac:dyDescent="0.3">
      <c r="A107" s="229">
        <f t="shared" si="31"/>
        <v>1105</v>
      </c>
      <c r="B107" s="230">
        <f t="shared" si="32"/>
        <v>97</v>
      </c>
      <c r="C107" s="218" t="str">
        <f t="shared" si="30"/>
        <v>L15A12#352_000_00</v>
      </c>
      <c r="D107" s="43">
        <f t="shared" ref="D107:D154" si="40">vr_a</f>
        <v>11.8</v>
      </c>
      <c r="E107" s="61">
        <f t="shared" si="26"/>
        <v>2.0230000000000001</v>
      </c>
      <c r="F107" s="61">
        <f t="shared" si="27"/>
        <v>42</v>
      </c>
      <c r="G107" s="64">
        <f t="shared" si="22"/>
        <v>6.4</v>
      </c>
      <c r="H107" s="63">
        <f t="shared" si="28"/>
        <v>13.288349017304224</v>
      </c>
      <c r="I107" s="63">
        <f t="shared" si="29"/>
        <v>19.324100594443202</v>
      </c>
      <c r="J107" s="51">
        <f>2*(I107-H107)</f>
        <v>12.071503154277956</v>
      </c>
      <c r="K107" s="53" t="s">
        <v>122</v>
      </c>
      <c r="L107" s="42" t="str">
        <f t="shared" si="39"/>
        <v>Full</v>
      </c>
      <c r="M107" s="50">
        <f t="shared" si="39"/>
        <v>12</v>
      </c>
      <c r="N107" s="49">
        <f t="shared" si="39"/>
        <v>160</v>
      </c>
      <c r="O107" s="44">
        <f t="shared" si="39"/>
        <v>8</v>
      </c>
      <c r="P107" s="35">
        <f>yaw_min</f>
        <v>-8</v>
      </c>
      <c r="Q107" s="45">
        <f t="shared" si="37"/>
        <v>0.2</v>
      </c>
      <c r="R107" s="49">
        <v>0</v>
      </c>
      <c r="S107" s="44">
        <f t="shared" si="38"/>
        <v>150</v>
      </c>
      <c r="T107" s="50">
        <f t="shared" si="38"/>
        <v>210</v>
      </c>
    </row>
    <row r="108" spans="1:20" ht="15.75" thickBot="1" x14ac:dyDescent="0.3">
      <c r="A108" s="229">
        <f t="shared" si="31"/>
        <v>1106</v>
      </c>
      <c r="B108" s="230">
        <f t="shared" si="32"/>
        <v>98</v>
      </c>
      <c r="C108" s="218" t="str">
        <f t="shared" si="30"/>
        <v>L15A12#352_030_00</v>
      </c>
      <c r="D108" s="43">
        <f t="shared" si="40"/>
        <v>11.8</v>
      </c>
      <c r="E108" s="61">
        <f t="shared" si="26"/>
        <v>2.0230000000000001</v>
      </c>
      <c r="F108" s="61">
        <f t="shared" si="27"/>
        <v>42</v>
      </c>
      <c r="G108" s="64">
        <f>G107</f>
        <v>6.4</v>
      </c>
      <c r="H108" s="63">
        <f t="shared" si="28"/>
        <v>13.288349017304224</v>
      </c>
      <c r="I108" s="63">
        <f t="shared" si="29"/>
        <v>19.324100594443202</v>
      </c>
      <c r="J108" s="51">
        <f t="shared" ref="J108:J118" si="41">2*(I108-H108)</f>
        <v>12.071503154277956</v>
      </c>
      <c r="K108" s="53" t="str">
        <f>K107</f>
        <v>Vertical</v>
      </c>
      <c r="L108" s="42" t="str">
        <f>L107</f>
        <v>Full</v>
      </c>
      <c r="M108" s="50">
        <f t="shared" si="39"/>
        <v>12</v>
      </c>
      <c r="N108" s="49">
        <f>N107</f>
        <v>160</v>
      </c>
      <c r="O108" s="44">
        <f t="shared" si="39"/>
        <v>8</v>
      </c>
      <c r="P108" s="44">
        <f>P107</f>
        <v>-8</v>
      </c>
      <c r="Q108" s="45">
        <f t="shared" si="37"/>
        <v>0.2</v>
      </c>
      <c r="R108" s="49">
        <v>30</v>
      </c>
      <c r="S108" s="44">
        <f>S107</f>
        <v>150</v>
      </c>
      <c r="T108" s="50">
        <f>T107</f>
        <v>210</v>
      </c>
    </row>
    <row r="109" spans="1:20" ht="15.75" thickBot="1" x14ac:dyDescent="0.3">
      <c r="A109" s="229">
        <f t="shared" si="31"/>
        <v>1107</v>
      </c>
      <c r="B109" s="230">
        <f t="shared" si="32"/>
        <v>99</v>
      </c>
      <c r="C109" s="218" t="str">
        <f t="shared" si="30"/>
        <v>L15A12#352_060_00</v>
      </c>
      <c r="D109" s="43">
        <f t="shared" si="40"/>
        <v>11.8</v>
      </c>
      <c r="E109" s="61">
        <f t="shared" si="26"/>
        <v>2.0230000000000001</v>
      </c>
      <c r="F109" s="61">
        <f t="shared" si="27"/>
        <v>42</v>
      </c>
      <c r="G109" s="64">
        <f t="shared" ref="G109:G155" si="42">G108</f>
        <v>6.4</v>
      </c>
      <c r="H109" s="63">
        <f t="shared" si="28"/>
        <v>13.288349017304224</v>
      </c>
      <c r="I109" s="63">
        <f t="shared" si="29"/>
        <v>19.324100594443202</v>
      </c>
      <c r="J109" s="51">
        <f t="shared" si="41"/>
        <v>12.071503154277956</v>
      </c>
      <c r="K109" s="53" t="str">
        <f t="shared" ref="K109:O124" si="43">K108</f>
        <v>Vertical</v>
      </c>
      <c r="L109" s="42" t="str">
        <f t="shared" si="43"/>
        <v>Full</v>
      </c>
      <c r="M109" s="50">
        <f t="shared" si="39"/>
        <v>12</v>
      </c>
      <c r="N109" s="49">
        <f t="shared" si="39"/>
        <v>160</v>
      </c>
      <c r="O109" s="44">
        <f t="shared" si="39"/>
        <v>8</v>
      </c>
      <c r="P109" s="44">
        <f>P108</f>
        <v>-8</v>
      </c>
      <c r="Q109" s="45">
        <f t="shared" si="37"/>
        <v>0.2</v>
      </c>
      <c r="R109" s="49">
        <v>60</v>
      </c>
      <c r="S109" s="44">
        <f t="shared" ref="S109:T124" si="44">S108</f>
        <v>150</v>
      </c>
      <c r="T109" s="50">
        <f t="shared" si="44"/>
        <v>210</v>
      </c>
    </row>
    <row r="110" spans="1:20" ht="15.75" thickBot="1" x14ac:dyDescent="0.3">
      <c r="A110" s="229">
        <f t="shared" si="31"/>
        <v>1108</v>
      </c>
      <c r="B110" s="230">
        <f t="shared" si="32"/>
        <v>100</v>
      </c>
      <c r="C110" s="218" t="str">
        <f t="shared" si="30"/>
        <v>L15A12#352_090_00</v>
      </c>
      <c r="D110" s="43">
        <f t="shared" si="40"/>
        <v>11.8</v>
      </c>
      <c r="E110" s="61">
        <f t="shared" si="26"/>
        <v>2.0230000000000001</v>
      </c>
      <c r="F110" s="61">
        <f t="shared" si="27"/>
        <v>42</v>
      </c>
      <c r="G110" s="64">
        <f t="shared" si="42"/>
        <v>6.4</v>
      </c>
      <c r="H110" s="63">
        <f t="shared" si="28"/>
        <v>13.288349017304224</v>
      </c>
      <c r="I110" s="63">
        <f t="shared" si="29"/>
        <v>19.324100594443202</v>
      </c>
      <c r="J110" s="51">
        <f t="shared" si="41"/>
        <v>12.071503154277956</v>
      </c>
      <c r="K110" s="53" t="str">
        <f t="shared" si="43"/>
        <v>Vertical</v>
      </c>
      <c r="L110" s="42" t="str">
        <f t="shared" si="43"/>
        <v>Full</v>
      </c>
      <c r="M110" s="50">
        <f t="shared" si="39"/>
        <v>12</v>
      </c>
      <c r="N110" s="49">
        <f t="shared" si="39"/>
        <v>160</v>
      </c>
      <c r="O110" s="44">
        <f t="shared" si="39"/>
        <v>8</v>
      </c>
      <c r="P110" s="44">
        <f>P109</f>
        <v>-8</v>
      </c>
      <c r="Q110" s="45">
        <f t="shared" si="37"/>
        <v>0.2</v>
      </c>
      <c r="R110" s="49">
        <v>90</v>
      </c>
      <c r="S110" s="44">
        <f t="shared" si="44"/>
        <v>150</v>
      </c>
      <c r="T110" s="50">
        <f t="shared" si="44"/>
        <v>210</v>
      </c>
    </row>
    <row r="111" spans="1:20" ht="15.75" thickBot="1" x14ac:dyDescent="0.3">
      <c r="A111" s="229">
        <f t="shared" si="31"/>
        <v>1109</v>
      </c>
      <c r="B111" s="230">
        <f t="shared" si="32"/>
        <v>101</v>
      </c>
      <c r="C111" s="218" t="str">
        <f t="shared" si="30"/>
        <v>L15A12#000_000_00</v>
      </c>
      <c r="D111" s="43">
        <f t="shared" si="40"/>
        <v>11.8</v>
      </c>
      <c r="E111" s="61">
        <f t="shared" si="26"/>
        <v>2.0230000000000001</v>
      </c>
      <c r="F111" s="61">
        <f t="shared" si="27"/>
        <v>42</v>
      </c>
      <c r="G111" s="64">
        <f t="shared" si="42"/>
        <v>6.4</v>
      </c>
      <c r="H111" s="63">
        <f t="shared" si="28"/>
        <v>13.288349017304224</v>
      </c>
      <c r="I111" s="63">
        <f t="shared" si="29"/>
        <v>19.324100594443202</v>
      </c>
      <c r="J111" s="51">
        <f t="shared" si="41"/>
        <v>12.071503154277956</v>
      </c>
      <c r="K111" s="53" t="str">
        <f t="shared" si="43"/>
        <v>Vertical</v>
      </c>
      <c r="L111" s="42" t="str">
        <f t="shared" si="43"/>
        <v>Full</v>
      </c>
      <c r="M111" s="50">
        <f t="shared" si="39"/>
        <v>12</v>
      </c>
      <c r="N111" s="49">
        <f t="shared" si="39"/>
        <v>160</v>
      </c>
      <c r="O111" s="44">
        <f t="shared" si="39"/>
        <v>8</v>
      </c>
      <c r="P111" s="44">
        <f>yaw_null</f>
        <v>0</v>
      </c>
      <c r="Q111" s="45">
        <f t="shared" si="37"/>
        <v>0.2</v>
      </c>
      <c r="R111" s="49">
        <v>0</v>
      </c>
      <c r="S111" s="44">
        <f t="shared" si="44"/>
        <v>150</v>
      </c>
      <c r="T111" s="50">
        <f t="shared" si="44"/>
        <v>210</v>
      </c>
    </row>
    <row r="112" spans="1:20" ht="15.75" thickBot="1" x14ac:dyDescent="0.3">
      <c r="A112" s="229">
        <f t="shared" si="31"/>
        <v>1110</v>
      </c>
      <c r="B112" s="230">
        <f t="shared" si="32"/>
        <v>102</v>
      </c>
      <c r="C112" s="218" t="str">
        <f t="shared" si="30"/>
        <v>L15A12#000_030_00</v>
      </c>
      <c r="D112" s="43">
        <f t="shared" si="40"/>
        <v>11.8</v>
      </c>
      <c r="E112" s="61">
        <f t="shared" si="26"/>
        <v>2.0230000000000001</v>
      </c>
      <c r="F112" s="61">
        <f t="shared" si="27"/>
        <v>42</v>
      </c>
      <c r="G112" s="64">
        <f t="shared" si="42"/>
        <v>6.4</v>
      </c>
      <c r="H112" s="63">
        <f t="shared" si="28"/>
        <v>13.288349017304224</v>
      </c>
      <c r="I112" s="63">
        <f t="shared" si="29"/>
        <v>19.324100594443202</v>
      </c>
      <c r="J112" s="51">
        <f t="shared" si="41"/>
        <v>12.071503154277956</v>
      </c>
      <c r="K112" s="53" t="str">
        <f t="shared" si="43"/>
        <v>Vertical</v>
      </c>
      <c r="L112" s="42" t="str">
        <f t="shared" si="43"/>
        <v>Full</v>
      </c>
      <c r="M112" s="50">
        <f t="shared" si="43"/>
        <v>12</v>
      </c>
      <c r="N112" s="49">
        <f t="shared" si="43"/>
        <v>160</v>
      </c>
      <c r="O112" s="44">
        <f t="shared" si="43"/>
        <v>8</v>
      </c>
      <c r="P112" s="44">
        <f>P111</f>
        <v>0</v>
      </c>
      <c r="Q112" s="45">
        <f t="shared" si="37"/>
        <v>0.2</v>
      </c>
      <c r="R112" s="49">
        <v>30</v>
      </c>
      <c r="S112" s="44">
        <f t="shared" si="44"/>
        <v>150</v>
      </c>
      <c r="T112" s="50">
        <f t="shared" si="44"/>
        <v>210</v>
      </c>
    </row>
    <row r="113" spans="1:20" ht="15.75" thickBot="1" x14ac:dyDescent="0.3">
      <c r="A113" s="229">
        <f t="shared" si="31"/>
        <v>1111</v>
      </c>
      <c r="B113" s="230">
        <f t="shared" si="32"/>
        <v>103</v>
      </c>
      <c r="C113" s="218" t="str">
        <f t="shared" si="30"/>
        <v>L15A12#000_060_00</v>
      </c>
      <c r="D113" s="43">
        <f t="shared" si="40"/>
        <v>11.8</v>
      </c>
      <c r="E113" s="61">
        <f t="shared" si="26"/>
        <v>2.0230000000000001</v>
      </c>
      <c r="F113" s="61">
        <f t="shared" si="27"/>
        <v>42</v>
      </c>
      <c r="G113" s="64">
        <f t="shared" si="42"/>
        <v>6.4</v>
      </c>
      <c r="H113" s="63">
        <f t="shared" si="28"/>
        <v>13.288349017304224</v>
      </c>
      <c r="I113" s="63">
        <f t="shared" si="29"/>
        <v>19.324100594443202</v>
      </c>
      <c r="J113" s="51">
        <f t="shared" si="41"/>
        <v>12.071503154277956</v>
      </c>
      <c r="K113" s="53" t="str">
        <f t="shared" si="43"/>
        <v>Vertical</v>
      </c>
      <c r="L113" s="42" t="str">
        <f t="shared" si="43"/>
        <v>Full</v>
      </c>
      <c r="M113" s="50">
        <f t="shared" si="43"/>
        <v>12</v>
      </c>
      <c r="N113" s="49">
        <f t="shared" si="43"/>
        <v>160</v>
      </c>
      <c r="O113" s="44">
        <f t="shared" si="43"/>
        <v>8</v>
      </c>
      <c r="P113" s="44">
        <f>P112</f>
        <v>0</v>
      </c>
      <c r="Q113" s="45">
        <f t="shared" si="37"/>
        <v>0.2</v>
      </c>
      <c r="R113" s="49">
        <v>60</v>
      </c>
      <c r="S113" s="44">
        <f t="shared" si="44"/>
        <v>150</v>
      </c>
      <c r="T113" s="50">
        <f t="shared" si="44"/>
        <v>210</v>
      </c>
    </row>
    <row r="114" spans="1:20" ht="15.75" thickBot="1" x14ac:dyDescent="0.3">
      <c r="A114" s="229">
        <f t="shared" si="31"/>
        <v>1112</v>
      </c>
      <c r="B114" s="230">
        <f t="shared" si="32"/>
        <v>104</v>
      </c>
      <c r="C114" s="218" t="str">
        <f t="shared" si="30"/>
        <v>L15A12#000_090_00</v>
      </c>
      <c r="D114" s="43">
        <f t="shared" si="40"/>
        <v>11.8</v>
      </c>
      <c r="E114" s="61">
        <f t="shared" si="26"/>
        <v>2.0230000000000001</v>
      </c>
      <c r="F114" s="61">
        <f t="shared" si="27"/>
        <v>42</v>
      </c>
      <c r="G114" s="64">
        <f t="shared" si="42"/>
        <v>6.4</v>
      </c>
      <c r="H114" s="63">
        <f t="shared" si="28"/>
        <v>13.288349017304224</v>
      </c>
      <c r="I114" s="63">
        <f t="shared" si="29"/>
        <v>19.324100594443202</v>
      </c>
      <c r="J114" s="51">
        <f t="shared" si="41"/>
        <v>12.071503154277956</v>
      </c>
      <c r="K114" s="53" t="str">
        <f t="shared" si="43"/>
        <v>Vertical</v>
      </c>
      <c r="L114" s="42" t="str">
        <f t="shared" si="43"/>
        <v>Full</v>
      </c>
      <c r="M114" s="50">
        <f t="shared" si="43"/>
        <v>12</v>
      </c>
      <c r="N114" s="49">
        <f t="shared" si="43"/>
        <v>160</v>
      </c>
      <c r="O114" s="44">
        <f t="shared" si="43"/>
        <v>8</v>
      </c>
      <c r="P114" s="44">
        <f>P113</f>
        <v>0</v>
      </c>
      <c r="Q114" s="45">
        <f t="shared" si="37"/>
        <v>0.2</v>
      </c>
      <c r="R114" s="49">
        <v>90</v>
      </c>
      <c r="S114" s="44">
        <f t="shared" si="44"/>
        <v>150</v>
      </c>
      <c r="T114" s="50">
        <f t="shared" si="44"/>
        <v>210</v>
      </c>
    </row>
    <row r="115" spans="1:20" ht="15.75" thickBot="1" x14ac:dyDescent="0.3">
      <c r="A115" s="229">
        <f t="shared" si="31"/>
        <v>1113</v>
      </c>
      <c r="B115" s="230">
        <f t="shared" si="32"/>
        <v>105</v>
      </c>
      <c r="C115" s="218" t="str">
        <f t="shared" si="30"/>
        <v>L15A12#008_000_00</v>
      </c>
      <c r="D115" s="43">
        <f t="shared" si="40"/>
        <v>11.8</v>
      </c>
      <c r="E115" s="61">
        <f t="shared" si="26"/>
        <v>2.0230000000000001</v>
      </c>
      <c r="F115" s="61">
        <f t="shared" si="27"/>
        <v>42</v>
      </c>
      <c r="G115" s="64">
        <f t="shared" si="42"/>
        <v>6.4</v>
      </c>
      <c r="H115" s="63">
        <f t="shared" si="28"/>
        <v>13.288349017304224</v>
      </c>
      <c r="I115" s="63">
        <f t="shared" si="29"/>
        <v>19.324100594443202</v>
      </c>
      <c r="J115" s="51">
        <f t="shared" si="41"/>
        <v>12.071503154277956</v>
      </c>
      <c r="K115" s="53" t="str">
        <f t="shared" si="43"/>
        <v>Vertical</v>
      </c>
      <c r="L115" s="42" t="str">
        <f t="shared" si="43"/>
        <v>Full</v>
      </c>
      <c r="M115" s="50">
        <f t="shared" si="43"/>
        <v>12</v>
      </c>
      <c r="N115" s="49">
        <f t="shared" si="43"/>
        <v>160</v>
      </c>
      <c r="O115" s="44">
        <f t="shared" si="43"/>
        <v>8</v>
      </c>
      <c r="P115" s="44">
        <f>yaw_max</f>
        <v>8</v>
      </c>
      <c r="Q115" s="45">
        <f t="shared" si="37"/>
        <v>0.2</v>
      </c>
      <c r="R115" s="49">
        <v>0</v>
      </c>
      <c r="S115" s="44">
        <f t="shared" si="44"/>
        <v>150</v>
      </c>
      <c r="T115" s="50">
        <f t="shared" si="44"/>
        <v>210</v>
      </c>
    </row>
    <row r="116" spans="1:20" ht="15.75" thickBot="1" x14ac:dyDescent="0.3">
      <c r="A116" s="229">
        <f t="shared" si="31"/>
        <v>1114</v>
      </c>
      <c r="B116" s="230">
        <f t="shared" si="32"/>
        <v>106</v>
      </c>
      <c r="C116" s="218" t="str">
        <f t="shared" si="30"/>
        <v>L15A12#008_030_00</v>
      </c>
      <c r="D116" s="43">
        <f t="shared" si="40"/>
        <v>11.8</v>
      </c>
      <c r="E116" s="61">
        <f t="shared" si="26"/>
        <v>2.0230000000000001</v>
      </c>
      <c r="F116" s="61">
        <f t="shared" si="27"/>
        <v>42</v>
      </c>
      <c r="G116" s="64">
        <f t="shared" si="42"/>
        <v>6.4</v>
      </c>
      <c r="H116" s="63">
        <f t="shared" si="28"/>
        <v>13.288349017304224</v>
      </c>
      <c r="I116" s="63">
        <f t="shared" si="29"/>
        <v>19.324100594443202</v>
      </c>
      <c r="J116" s="51">
        <f t="shared" si="41"/>
        <v>12.071503154277956</v>
      </c>
      <c r="K116" s="53" t="str">
        <f t="shared" si="43"/>
        <v>Vertical</v>
      </c>
      <c r="L116" s="42" t="str">
        <f t="shared" si="43"/>
        <v>Full</v>
      </c>
      <c r="M116" s="50">
        <f t="shared" si="43"/>
        <v>12</v>
      </c>
      <c r="N116" s="49">
        <f t="shared" si="43"/>
        <v>160</v>
      </c>
      <c r="O116" s="44">
        <f t="shared" si="43"/>
        <v>8</v>
      </c>
      <c r="P116" s="44">
        <f>P115</f>
        <v>8</v>
      </c>
      <c r="Q116" s="45">
        <f t="shared" si="37"/>
        <v>0.2</v>
      </c>
      <c r="R116" s="49">
        <v>30</v>
      </c>
      <c r="S116" s="44">
        <f t="shared" si="44"/>
        <v>150</v>
      </c>
      <c r="T116" s="50">
        <f t="shared" si="44"/>
        <v>210</v>
      </c>
    </row>
    <row r="117" spans="1:20" ht="15.75" thickBot="1" x14ac:dyDescent="0.3">
      <c r="A117" s="229">
        <f t="shared" si="31"/>
        <v>1115</v>
      </c>
      <c r="B117" s="230">
        <f t="shared" si="32"/>
        <v>107</v>
      </c>
      <c r="C117" s="218" t="str">
        <f t="shared" si="30"/>
        <v>L15A12#008_060_00</v>
      </c>
      <c r="D117" s="43">
        <f t="shared" si="40"/>
        <v>11.8</v>
      </c>
      <c r="E117" s="61">
        <f t="shared" si="26"/>
        <v>2.0230000000000001</v>
      </c>
      <c r="F117" s="61">
        <f t="shared" si="27"/>
        <v>42</v>
      </c>
      <c r="G117" s="64">
        <f t="shared" si="42"/>
        <v>6.4</v>
      </c>
      <c r="H117" s="63">
        <f t="shared" si="28"/>
        <v>13.288349017304224</v>
      </c>
      <c r="I117" s="63">
        <f t="shared" si="29"/>
        <v>19.324100594443202</v>
      </c>
      <c r="J117" s="51">
        <f t="shared" si="41"/>
        <v>12.071503154277956</v>
      </c>
      <c r="K117" s="53" t="str">
        <f t="shared" si="43"/>
        <v>Vertical</v>
      </c>
      <c r="L117" s="42" t="str">
        <f t="shared" si="43"/>
        <v>Full</v>
      </c>
      <c r="M117" s="50">
        <f t="shared" si="43"/>
        <v>12</v>
      </c>
      <c r="N117" s="49">
        <f t="shared" si="43"/>
        <v>160</v>
      </c>
      <c r="O117" s="44">
        <f t="shared" si="43"/>
        <v>8</v>
      </c>
      <c r="P117" s="44">
        <f>P116</f>
        <v>8</v>
      </c>
      <c r="Q117" s="45">
        <f t="shared" si="37"/>
        <v>0.2</v>
      </c>
      <c r="R117" s="49">
        <v>60</v>
      </c>
      <c r="S117" s="44">
        <f t="shared" si="44"/>
        <v>150</v>
      </c>
      <c r="T117" s="50">
        <f t="shared" si="44"/>
        <v>210</v>
      </c>
    </row>
    <row r="118" spans="1:20" ht="15.75" thickBot="1" x14ac:dyDescent="0.3">
      <c r="A118" s="229">
        <f t="shared" si="31"/>
        <v>1116</v>
      </c>
      <c r="B118" s="230">
        <f t="shared" si="32"/>
        <v>108</v>
      </c>
      <c r="C118" s="218" t="str">
        <f t="shared" si="30"/>
        <v>L15A12#008_090_00</v>
      </c>
      <c r="D118" s="43">
        <f t="shared" si="40"/>
        <v>11.8</v>
      </c>
      <c r="E118" s="61">
        <f t="shared" si="26"/>
        <v>2.0230000000000001</v>
      </c>
      <c r="F118" s="61">
        <f t="shared" si="27"/>
        <v>42</v>
      </c>
      <c r="G118" s="64">
        <f t="shared" si="42"/>
        <v>6.4</v>
      </c>
      <c r="H118" s="63">
        <f t="shared" si="28"/>
        <v>13.288349017304224</v>
      </c>
      <c r="I118" s="63">
        <f t="shared" si="29"/>
        <v>19.324100594443202</v>
      </c>
      <c r="J118" s="51">
        <f t="shared" si="41"/>
        <v>12.071503154277956</v>
      </c>
      <c r="K118" s="53" t="str">
        <f t="shared" si="43"/>
        <v>Vertical</v>
      </c>
      <c r="L118" s="42" t="str">
        <f t="shared" si="43"/>
        <v>Full</v>
      </c>
      <c r="M118" s="50">
        <f t="shared" si="43"/>
        <v>12</v>
      </c>
      <c r="N118" s="49">
        <f t="shared" si="43"/>
        <v>160</v>
      </c>
      <c r="O118" s="44">
        <f t="shared" si="43"/>
        <v>8</v>
      </c>
      <c r="P118" s="44">
        <f>P117</f>
        <v>8</v>
      </c>
      <c r="Q118" s="45">
        <f t="shared" si="37"/>
        <v>0.2</v>
      </c>
      <c r="R118" s="49">
        <v>90</v>
      </c>
      <c r="S118" s="44">
        <f t="shared" si="44"/>
        <v>150</v>
      </c>
      <c r="T118" s="50">
        <f t="shared" si="44"/>
        <v>210</v>
      </c>
    </row>
    <row r="119" spans="1:20" ht="15.75" thickBot="1" x14ac:dyDescent="0.3">
      <c r="A119" s="229">
        <f t="shared" si="31"/>
        <v>1117</v>
      </c>
      <c r="B119" s="230">
        <f t="shared" si="32"/>
        <v>109</v>
      </c>
      <c r="C119" s="218" t="str">
        <f t="shared" si="30"/>
        <v>L15B12#352_000_00</v>
      </c>
      <c r="D119" s="43">
        <f t="shared" si="40"/>
        <v>11.8</v>
      </c>
      <c r="E119" s="61">
        <f t="shared" si="26"/>
        <v>2.0230000000000001</v>
      </c>
      <c r="F119" s="61">
        <f t="shared" si="27"/>
        <v>42</v>
      </c>
      <c r="G119" s="64">
        <f t="shared" si="42"/>
        <v>6.4</v>
      </c>
      <c r="H119" s="63">
        <f t="shared" si="28"/>
        <v>13.288349017304224</v>
      </c>
      <c r="I119" s="63">
        <f t="shared" si="29"/>
        <v>19.324100594443202</v>
      </c>
      <c r="J119" s="53">
        <f>2*(H119-I119)</f>
        <v>-12.071503154277956</v>
      </c>
      <c r="K119" s="53" t="str">
        <f t="shared" si="43"/>
        <v>Vertical</v>
      </c>
      <c r="L119" s="42" t="str">
        <f t="shared" si="43"/>
        <v>Full</v>
      </c>
      <c r="M119" s="50">
        <f t="shared" si="43"/>
        <v>12</v>
      </c>
      <c r="N119" s="49">
        <f t="shared" si="43"/>
        <v>160</v>
      </c>
      <c r="O119" s="44">
        <f t="shared" si="43"/>
        <v>8</v>
      </c>
      <c r="P119" s="35">
        <f>yaw_min</f>
        <v>-8</v>
      </c>
      <c r="Q119" s="45">
        <f t="shared" si="37"/>
        <v>0.2</v>
      </c>
      <c r="R119" s="49">
        <v>0</v>
      </c>
      <c r="S119" s="44">
        <f t="shared" si="44"/>
        <v>150</v>
      </c>
      <c r="T119" s="50">
        <f t="shared" si="44"/>
        <v>210</v>
      </c>
    </row>
    <row r="120" spans="1:20" ht="15.75" thickBot="1" x14ac:dyDescent="0.3">
      <c r="A120" s="229">
        <f t="shared" si="31"/>
        <v>1118</v>
      </c>
      <c r="B120" s="230">
        <f t="shared" si="32"/>
        <v>110</v>
      </c>
      <c r="C120" s="218" t="str">
        <f t="shared" si="30"/>
        <v>L15B12#352_030_00</v>
      </c>
      <c r="D120" s="43">
        <f t="shared" si="40"/>
        <v>11.8</v>
      </c>
      <c r="E120" s="61">
        <f t="shared" si="26"/>
        <v>2.0230000000000001</v>
      </c>
      <c r="F120" s="61">
        <f t="shared" si="27"/>
        <v>42</v>
      </c>
      <c r="G120" s="64">
        <f t="shared" si="42"/>
        <v>6.4</v>
      </c>
      <c r="H120" s="63">
        <f t="shared" si="28"/>
        <v>13.288349017304224</v>
      </c>
      <c r="I120" s="63">
        <f t="shared" si="29"/>
        <v>19.324100594443202</v>
      </c>
      <c r="J120" s="53">
        <f t="shared" ref="J120:J130" si="45">2*(H120-I120)</f>
        <v>-12.071503154277956</v>
      </c>
      <c r="K120" s="53" t="str">
        <f t="shared" si="43"/>
        <v>Vertical</v>
      </c>
      <c r="L120" s="42" t="str">
        <f t="shared" si="43"/>
        <v>Full</v>
      </c>
      <c r="M120" s="50">
        <f t="shared" si="43"/>
        <v>12</v>
      </c>
      <c r="N120" s="49">
        <f t="shared" si="43"/>
        <v>160</v>
      </c>
      <c r="O120" s="44">
        <f t="shared" si="43"/>
        <v>8</v>
      </c>
      <c r="P120" s="44">
        <f>P119</f>
        <v>-8</v>
      </c>
      <c r="Q120" s="45">
        <f t="shared" si="37"/>
        <v>0.2</v>
      </c>
      <c r="R120" s="49">
        <v>30</v>
      </c>
      <c r="S120" s="44">
        <f t="shared" si="44"/>
        <v>150</v>
      </c>
      <c r="T120" s="50">
        <f t="shared" si="44"/>
        <v>210</v>
      </c>
    </row>
    <row r="121" spans="1:20" ht="15.75" thickBot="1" x14ac:dyDescent="0.3">
      <c r="A121" s="229">
        <f t="shared" si="31"/>
        <v>1119</v>
      </c>
      <c r="B121" s="230">
        <f t="shared" si="32"/>
        <v>111</v>
      </c>
      <c r="C121" s="218" t="str">
        <f t="shared" si="30"/>
        <v>L15B12#352_060_00</v>
      </c>
      <c r="D121" s="43">
        <f t="shared" si="40"/>
        <v>11.8</v>
      </c>
      <c r="E121" s="61">
        <f t="shared" si="26"/>
        <v>2.0230000000000001</v>
      </c>
      <c r="F121" s="61">
        <f t="shared" si="27"/>
        <v>42</v>
      </c>
      <c r="G121" s="64">
        <f t="shared" si="42"/>
        <v>6.4</v>
      </c>
      <c r="H121" s="63">
        <f t="shared" si="28"/>
        <v>13.288349017304224</v>
      </c>
      <c r="I121" s="63">
        <f t="shared" si="29"/>
        <v>19.324100594443202</v>
      </c>
      <c r="J121" s="53">
        <f t="shared" si="45"/>
        <v>-12.071503154277956</v>
      </c>
      <c r="K121" s="53" t="str">
        <f t="shared" si="43"/>
        <v>Vertical</v>
      </c>
      <c r="L121" s="42" t="str">
        <f t="shared" si="43"/>
        <v>Full</v>
      </c>
      <c r="M121" s="50">
        <f t="shared" si="43"/>
        <v>12</v>
      </c>
      <c r="N121" s="49">
        <f t="shared" si="43"/>
        <v>160</v>
      </c>
      <c r="O121" s="44">
        <f t="shared" si="43"/>
        <v>8</v>
      </c>
      <c r="P121" s="44">
        <f>P120</f>
        <v>-8</v>
      </c>
      <c r="Q121" s="45">
        <f t="shared" si="37"/>
        <v>0.2</v>
      </c>
      <c r="R121" s="49">
        <v>60</v>
      </c>
      <c r="S121" s="44">
        <f t="shared" si="44"/>
        <v>150</v>
      </c>
      <c r="T121" s="50">
        <f t="shared" si="44"/>
        <v>210</v>
      </c>
    </row>
    <row r="122" spans="1:20" ht="15.75" thickBot="1" x14ac:dyDescent="0.3">
      <c r="A122" s="229">
        <f t="shared" si="31"/>
        <v>1120</v>
      </c>
      <c r="B122" s="230">
        <f t="shared" si="32"/>
        <v>112</v>
      </c>
      <c r="C122" s="218" t="str">
        <f t="shared" si="30"/>
        <v>L15B12#352_090_00</v>
      </c>
      <c r="D122" s="43">
        <f t="shared" si="40"/>
        <v>11.8</v>
      </c>
      <c r="E122" s="61">
        <f t="shared" si="26"/>
        <v>2.0230000000000001</v>
      </c>
      <c r="F122" s="61">
        <f t="shared" si="27"/>
        <v>42</v>
      </c>
      <c r="G122" s="64">
        <f t="shared" si="42"/>
        <v>6.4</v>
      </c>
      <c r="H122" s="63">
        <f t="shared" si="28"/>
        <v>13.288349017304224</v>
      </c>
      <c r="I122" s="63">
        <f t="shared" si="29"/>
        <v>19.324100594443202</v>
      </c>
      <c r="J122" s="53">
        <f t="shared" si="45"/>
        <v>-12.071503154277956</v>
      </c>
      <c r="K122" s="53" t="str">
        <f t="shared" si="43"/>
        <v>Vertical</v>
      </c>
      <c r="L122" s="42" t="str">
        <f t="shared" si="43"/>
        <v>Full</v>
      </c>
      <c r="M122" s="50">
        <f t="shared" si="43"/>
        <v>12</v>
      </c>
      <c r="N122" s="49">
        <f t="shared" si="43"/>
        <v>160</v>
      </c>
      <c r="O122" s="44">
        <f t="shared" si="43"/>
        <v>8</v>
      </c>
      <c r="P122" s="44">
        <f>P121</f>
        <v>-8</v>
      </c>
      <c r="Q122" s="45">
        <f t="shared" si="37"/>
        <v>0.2</v>
      </c>
      <c r="R122" s="49">
        <v>90</v>
      </c>
      <c r="S122" s="44">
        <f t="shared" si="44"/>
        <v>150</v>
      </c>
      <c r="T122" s="50">
        <f t="shared" si="44"/>
        <v>210</v>
      </c>
    </row>
    <row r="123" spans="1:20" ht="15.75" thickBot="1" x14ac:dyDescent="0.3">
      <c r="A123" s="229">
        <f t="shared" si="31"/>
        <v>1121</v>
      </c>
      <c r="B123" s="230">
        <f t="shared" si="32"/>
        <v>113</v>
      </c>
      <c r="C123" s="218" t="str">
        <f t="shared" si="30"/>
        <v>L15B12#000_000_00</v>
      </c>
      <c r="D123" s="43">
        <f t="shared" si="40"/>
        <v>11.8</v>
      </c>
      <c r="E123" s="61">
        <f t="shared" si="26"/>
        <v>2.0230000000000001</v>
      </c>
      <c r="F123" s="61">
        <f t="shared" si="27"/>
        <v>42</v>
      </c>
      <c r="G123" s="64">
        <f t="shared" si="42"/>
        <v>6.4</v>
      </c>
      <c r="H123" s="63">
        <f t="shared" si="28"/>
        <v>13.288349017304224</v>
      </c>
      <c r="I123" s="63">
        <f t="shared" si="29"/>
        <v>19.324100594443202</v>
      </c>
      <c r="J123" s="53">
        <f t="shared" si="45"/>
        <v>-12.071503154277956</v>
      </c>
      <c r="K123" s="53" t="str">
        <f t="shared" si="43"/>
        <v>Vertical</v>
      </c>
      <c r="L123" s="42" t="str">
        <f t="shared" si="43"/>
        <v>Full</v>
      </c>
      <c r="M123" s="50">
        <f t="shared" si="43"/>
        <v>12</v>
      </c>
      <c r="N123" s="49">
        <f t="shared" si="43"/>
        <v>160</v>
      </c>
      <c r="O123" s="44">
        <f t="shared" si="43"/>
        <v>8</v>
      </c>
      <c r="P123" s="44">
        <f>yaw_null</f>
        <v>0</v>
      </c>
      <c r="Q123" s="45">
        <f t="shared" si="37"/>
        <v>0.2</v>
      </c>
      <c r="R123" s="49">
        <v>0</v>
      </c>
      <c r="S123" s="44">
        <f t="shared" si="44"/>
        <v>150</v>
      </c>
      <c r="T123" s="50">
        <f t="shared" si="44"/>
        <v>210</v>
      </c>
    </row>
    <row r="124" spans="1:20" ht="15.75" thickBot="1" x14ac:dyDescent="0.3">
      <c r="A124" s="229">
        <f t="shared" si="31"/>
        <v>1122</v>
      </c>
      <c r="B124" s="230">
        <f t="shared" si="32"/>
        <v>114</v>
      </c>
      <c r="C124" s="218" t="str">
        <f t="shared" si="30"/>
        <v>L15B12#000_030_00</v>
      </c>
      <c r="D124" s="43">
        <f t="shared" si="40"/>
        <v>11.8</v>
      </c>
      <c r="E124" s="61">
        <f t="shared" si="26"/>
        <v>2.0230000000000001</v>
      </c>
      <c r="F124" s="61">
        <f t="shared" si="27"/>
        <v>42</v>
      </c>
      <c r="G124" s="64">
        <f t="shared" si="42"/>
        <v>6.4</v>
      </c>
      <c r="H124" s="63">
        <f t="shared" si="28"/>
        <v>13.288349017304224</v>
      </c>
      <c r="I124" s="63">
        <f t="shared" si="29"/>
        <v>19.324100594443202</v>
      </c>
      <c r="J124" s="53">
        <f t="shared" si="45"/>
        <v>-12.071503154277956</v>
      </c>
      <c r="K124" s="53" t="str">
        <f t="shared" si="43"/>
        <v>Vertical</v>
      </c>
      <c r="L124" s="42" t="str">
        <f t="shared" si="43"/>
        <v>Full</v>
      </c>
      <c r="M124" s="50">
        <f t="shared" si="43"/>
        <v>12</v>
      </c>
      <c r="N124" s="49">
        <f t="shared" si="43"/>
        <v>160</v>
      </c>
      <c r="O124" s="44">
        <f t="shared" si="43"/>
        <v>8</v>
      </c>
      <c r="P124" s="44">
        <f>P123</f>
        <v>0</v>
      </c>
      <c r="Q124" s="45">
        <f t="shared" si="37"/>
        <v>0.2</v>
      </c>
      <c r="R124" s="49">
        <v>30</v>
      </c>
      <c r="S124" s="44">
        <f t="shared" si="44"/>
        <v>150</v>
      </c>
      <c r="T124" s="50">
        <f t="shared" si="44"/>
        <v>210</v>
      </c>
    </row>
    <row r="125" spans="1:20" ht="15.75" thickBot="1" x14ac:dyDescent="0.3">
      <c r="A125" s="229">
        <f t="shared" si="31"/>
        <v>1123</v>
      </c>
      <c r="B125" s="230">
        <f t="shared" si="32"/>
        <v>115</v>
      </c>
      <c r="C125" s="218" t="str">
        <f t="shared" si="30"/>
        <v>L15B12#000_060_00</v>
      </c>
      <c r="D125" s="43">
        <f t="shared" si="40"/>
        <v>11.8</v>
      </c>
      <c r="E125" s="61">
        <f t="shared" si="26"/>
        <v>2.0230000000000001</v>
      </c>
      <c r="F125" s="61">
        <f t="shared" si="27"/>
        <v>42</v>
      </c>
      <c r="G125" s="64">
        <f t="shared" si="42"/>
        <v>6.4</v>
      </c>
      <c r="H125" s="63">
        <f t="shared" si="28"/>
        <v>13.288349017304224</v>
      </c>
      <c r="I125" s="63">
        <f t="shared" si="29"/>
        <v>19.324100594443202</v>
      </c>
      <c r="J125" s="53">
        <f t="shared" si="45"/>
        <v>-12.071503154277956</v>
      </c>
      <c r="K125" s="53" t="str">
        <f t="shared" ref="K125:O140" si="46">K124</f>
        <v>Vertical</v>
      </c>
      <c r="L125" s="42" t="str">
        <f t="shared" si="46"/>
        <v>Full</v>
      </c>
      <c r="M125" s="50">
        <f t="shared" si="46"/>
        <v>12</v>
      </c>
      <c r="N125" s="49">
        <f t="shared" si="46"/>
        <v>160</v>
      </c>
      <c r="O125" s="44">
        <f t="shared" si="46"/>
        <v>8</v>
      </c>
      <c r="P125" s="44">
        <f>P124</f>
        <v>0</v>
      </c>
      <c r="Q125" s="45">
        <f t="shared" si="37"/>
        <v>0.2</v>
      </c>
      <c r="R125" s="49">
        <v>60</v>
      </c>
      <c r="S125" s="44">
        <f t="shared" ref="S125:T140" si="47">S124</f>
        <v>150</v>
      </c>
      <c r="T125" s="50">
        <f t="shared" si="47"/>
        <v>210</v>
      </c>
    </row>
    <row r="126" spans="1:20" ht="15.75" thickBot="1" x14ac:dyDescent="0.3">
      <c r="A126" s="229">
        <f t="shared" si="31"/>
        <v>1124</v>
      </c>
      <c r="B126" s="230">
        <f t="shared" si="32"/>
        <v>116</v>
      </c>
      <c r="C126" s="218" t="str">
        <f t="shared" si="30"/>
        <v>L15B12#000_090_00</v>
      </c>
      <c r="D126" s="43">
        <f t="shared" si="40"/>
        <v>11.8</v>
      </c>
      <c r="E126" s="61">
        <f t="shared" si="26"/>
        <v>2.0230000000000001</v>
      </c>
      <c r="F126" s="61">
        <f t="shared" si="27"/>
        <v>42</v>
      </c>
      <c r="G126" s="64">
        <f t="shared" si="42"/>
        <v>6.4</v>
      </c>
      <c r="H126" s="63">
        <f t="shared" si="28"/>
        <v>13.288349017304224</v>
      </c>
      <c r="I126" s="63">
        <f t="shared" si="29"/>
        <v>19.324100594443202</v>
      </c>
      <c r="J126" s="53">
        <f t="shared" si="45"/>
        <v>-12.071503154277956</v>
      </c>
      <c r="K126" s="53" t="str">
        <f t="shared" si="46"/>
        <v>Vertical</v>
      </c>
      <c r="L126" s="42" t="str">
        <f t="shared" si="46"/>
        <v>Full</v>
      </c>
      <c r="M126" s="50">
        <f t="shared" si="46"/>
        <v>12</v>
      </c>
      <c r="N126" s="49">
        <f t="shared" si="46"/>
        <v>160</v>
      </c>
      <c r="O126" s="44">
        <f t="shared" si="46"/>
        <v>8</v>
      </c>
      <c r="P126" s="44">
        <f>P125</f>
        <v>0</v>
      </c>
      <c r="Q126" s="45">
        <f t="shared" si="37"/>
        <v>0.2</v>
      </c>
      <c r="R126" s="49">
        <v>90</v>
      </c>
      <c r="S126" s="44">
        <f t="shared" si="47"/>
        <v>150</v>
      </c>
      <c r="T126" s="50">
        <f t="shared" si="47"/>
        <v>210</v>
      </c>
    </row>
    <row r="127" spans="1:20" ht="15.75" thickBot="1" x14ac:dyDescent="0.3">
      <c r="A127" s="229">
        <f t="shared" si="31"/>
        <v>1125</v>
      </c>
      <c r="B127" s="230">
        <f t="shared" si="32"/>
        <v>117</v>
      </c>
      <c r="C127" s="218" t="str">
        <f t="shared" si="30"/>
        <v>L15B12#008_000_00</v>
      </c>
      <c r="D127" s="43">
        <f t="shared" si="40"/>
        <v>11.8</v>
      </c>
      <c r="E127" s="61">
        <f t="shared" si="26"/>
        <v>2.0230000000000001</v>
      </c>
      <c r="F127" s="61">
        <f t="shared" si="27"/>
        <v>42</v>
      </c>
      <c r="G127" s="64">
        <f t="shared" si="42"/>
        <v>6.4</v>
      </c>
      <c r="H127" s="63">
        <f t="shared" si="28"/>
        <v>13.288349017304224</v>
      </c>
      <c r="I127" s="63">
        <f t="shared" si="29"/>
        <v>19.324100594443202</v>
      </c>
      <c r="J127" s="53">
        <f t="shared" si="45"/>
        <v>-12.071503154277956</v>
      </c>
      <c r="K127" s="53" t="str">
        <f t="shared" si="46"/>
        <v>Vertical</v>
      </c>
      <c r="L127" s="42" t="str">
        <f t="shared" si="46"/>
        <v>Full</v>
      </c>
      <c r="M127" s="50">
        <f t="shared" si="46"/>
        <v>12</v>
      </c>
      <c r="N127" s="49">
        <f t="shared" si="46"/>
        <v>160</v>
      </c>
      <c r="O127" s="44">
        <f t="shared" si="46"/>
        <v>8</v>
      </c>
      <c r="P127" s="44">
        <f>yaw_max</f>
        <v>8</v>
      </c>
      <c r="Q127" s="45">
        <f t="shared" si="37"/>
        <v>0.2</v>
      </c>
      <c r="R127" s="49">
        <v>0</v>
      </c>
      <c r="S127" s="44">
        <f t="shared" si="47"/>
        <v>150</v>
      </c>
      <c r="T127" s="50">
        <f t="shared" si="47"/>
        <v>210</v>
      </c>
    </row>
    <row r="128" spans="1:20" ht="15.75" thickBot="1" x14ac:dyDescent="0.3">
      <c r="A128" s="229">
        <f t="shared" si="31"/>
        <v>1126</v>
      </c>
      <c r="B128" s="230">
        <f t="shared" si="32"/>
        <v>118</v>
      </c>
      <c r="C128" s="218" t="str">
        <f t="shared" si="30"/>
        <v>L15B12#008_030_00</v>
      </c>
      <c r="D128" s="43">
        <f t="shared" si="40"/>
        <v>11.8</v>
      </c>
      <c r="E128" s="61">
        <f t="shared" si="26"/>
        <v>2.0230000000000001</v>
      </c>
      <c r="F128" s="61">
        <f t="shared" si="27"/>
        <v>42</v>
      </c>
      <c r="G128" s="64">
        <f t="shared" si="42"/>
        <v>6.4</v>
      </c>
      <c r="H128" s="63">
        <f t="shared" si="28"/>
        <v>13.288349017304224</v>
      </c>
      <c r="I128" s="63">
        <f t="shared" si="29"/>
        <v>19.324100594443202</v>
      </c>
      <c r="J128" s="53">
        <f t="shared" si="45"/>
        <v>-12.071503154277956</v>
      </c>
      <c r="K128" s="53" t="str">
        <f t="shared" si="46"/>
        <v>Vertical</v>
      </c>
      <c r="L128" s="42" t="str">
        <f t="shared" si="46"/>
        <v>Full</v>
      </c>
      <c r="M128" s="50">
        <f t="shared" si="46"/>
        <v>12</v>
      </c>
      <c r="N128" s="49">
        <f t="shared" si="46"/>
        <v>160</v>
      </c>
      <c r="O128" s="44">
        <f t="shared" si="46"/>
        <v>8</v>
      </c>
      <c r="P128" s="44">
        <f>P127</f>
        <v>8</v>
      </c>
      <c r="Q128" s="45">
        <f t="shared" si="37"/>
        <v>0.2</v>
      </c>
      <c r="R128" s="49">
        <v>30</v>
      </c>
      <c r="S128" s="44">
        <f t="shared" si="47"/>
        <v>150</v>
      </c>
      <c r="T128" s="50">
        <f t="shared" si="47"/>
        <v>210</v>
      </c>
    </row>
    <row r="129" spans="1:20" ht="15.75" thickBot="1" x14ac:dyDescent="0.3">
      <c r="A129" s="229">
        <f t="shared" si="31"/>
        <v>1127</v>
      </c>
      <c r="B129" s="230">
        <f t="shared" si="32"/>
        <v>119</v>
      </c>
      <c r="C129" s="218" t="str">
        <f t="shared" si="30"/>
        <v>L15B12#008_060_00</v>
      </c>
      <c r="D129" s="43">
        <f t="shared" si="40"/>
        <v>11.8</v>
      </c>
      <c r="E129" s="61">
        <f t="shared" si="26"/>
        <v>2.0230000000000001</v>
      </c>
      <c r="F129" s="61">
        <f t="shared" si="27"/>
        <v>42</v>
      </c>
      <c r="G129" s="64">
        <f t="shared" si="42"/>
        <v>6.4</v>
      </c>
      <c r="H129" s="63">
        <f t="shared" si="28"/>
        <v>13.288349017304224</v>
      </c>
      <c r="I129" s="63">
        <f t="shared" si="29"/>
        <v>19.324100594443202</v>
      </c>
      <c r="J129" s="53">
        <f t="shared" si="45"/>
        <v>-12.071503154277956</v>
      </c>
      <c r="K129" s="53" t="str">
        <f t="shared" si="46"/>
        <v>Vertical</v>
      </c>
      <c r="L129" s="42" t="str">
        <f t="shared" si="46"/>
        <v>Full</v>
      </c>
      <c r="M129" s="50">
        <f t="shared" si="46"/>
        <v>12</v>
      </c>
      <c r="N129" s="49">
        <f t="shared" si="46"/>
        <v>160</v>
      </c>
      <c r="O129" s="44">
        <f t="shared" si="46"/>
        <v>8</v>
      </c>
      <c r="P129" s="44">
        <f>P128</f>
        <v>8</v>
      </c>
      <c r="Q129" s="45">
        <f t="shared" si="37"/>
        <v>0.2</v>
      </c>
      <c r="R129" s="49">
        <v>60</v>
      </c>
      <c r="S129" s="44">
        <f t="shared" si="47"/>
        <v>150</v>
      </c>
      <c r="T129" s="50">
        <f t="shared" si="47"/>
        <v>210</v>
      </c>
    </row>
    <row r="130" spans="1:20" ht="15.75" thickBot="1" x14ac:dyDescent="0.3">
      <c r="A130" s="229">
        <f t="shared" si="31"/>
        <v>1128</v>
      </c>
      <c r="B130" s="230">
        <f t="shared" si="32"/>
        <v>120</v>
      </c>
      <c r="C130" s="218" t="str">
        <f t="shared" si="30"/>
        <v>L15B12#008_090_00</v>
      </c>
      <c r="D130" s="43">
        <f t="shared" si="40"/>
        <v>11.8</v>
      </c>
      <c r="E130" s="61">
        <f t="shared" si="26"/>
        <v>2.0230000000000001</v>
      </c>
      <c r="F130" s="61">
        <f t="shared" si="27"/>
        <v>42</v>
      </c>
      <c r="G130" s="64">
        <f t="shared" si="42"/>
        <v>6.4</v>
      </c>
      <c r="H130" s="63">
        <f t="shared" si="28"/>
        <v>13.288349017304224</v>
      </c>
      <c r="I130" s="63">
        <f t="shared" si="29"/>
        <v>19.324100594443202</v>
      </c>
      <c r="J130" s="53">
        <f t="shared" si="45"/>
        <v>-12.071503154277956</v>
      </c>
      <c r="K130" s="53" t="str">
        <f t="shared" si="46"/>
        <v>Vertical</v>
      </c>
      <c r="L130" s="42" t="str">
        <f t="shared" si="46"/>
        <v>Full</v>
      </c>
      <c r="M130" s="50">
        <f t="shared" si="46"/>
        <v>12</v>
      </c>
      <c r="N130" s="49">
        <f t="shared" si="46"/>
        <v>160</v>
      </c>
      <c r="O130" s="44">
        <f t="shared" si="46"/>
        <v>8</v>
      </c>
      <c r="P130" s="44">
        <f>P129</f>
        <v>8</v>
      </c>
      <c r="Q130" s="45">
        <f t="shared" si="37"/>
        <v>0.2</v>
      </c>
      <c r="R130" s="49">
        <v>90</v>
      </c>
      <c r="S130" s="44">
        <f t="shared" si="47"/>
        <v>150</v>
      </c>
      <c r="T130" s="50">
        <f t="shared" si="47"/>
        <v>210</v>
      </c>
    </row>
    <row r="131" spans="1:20" ht="15.75" thickBot="1" x14ac:dyDescent="0.3">
      <c r="A131" s="229">
        <f t="shared" si="31"/>
        <v>1129</v>
      </c>
      <c r="B131" s="230">
        <f t="shared" si="32"/>
        <v>121</v>
      </c>
      <c r="C131" s="218" t="str">
        <f t="shared" si="30"/>
        <v>L15C12#352_000_00</v>
      </c>
      <c r="D131" s="43">
        <f t="shared" si="40"/>
        <v>11.8</v>
      </c>
      <c r="E131" s="61">
        <f t="shared" si="26"/>
        <v>2.0230000000000001</v>
      </c>
      <c r="F131" s="61">
        <f t="shared" si="27"/>
        <v>42</v>
      </c>
      <c r="G131" s="64">
        <f t="shared" si="42"/>
        <v>6.4</v>
      </c>
      <c r="H131" s="63">
        <f t="shared" si="28"/>
        <v>13.288349017304224</v>
      </c>
      <c r="I131" s="63">
        <f t="shared" si="29"/>
        <v>19.324100594443202</v>
      </c>
      <c r="J131" s="53">
        <f>2*(I131-H131)</f>
        <v>12.071503154277956</v>
      </c>
      <c r="K131" s="55" t="s">
        <v>20</v>
      </c>
      <c r="L131" s="42" t="str">
        <f t="shared" si="46"/>
        <v>Full</v>
      </c>
      <c r="M131" s="50">
        <f t="shared" si="46"/>
        <v>12</v>
      </c>
      <c r="N131" s="49">
        <f t="shared" si="46"/>
        <v>160</v>
      </c>
      <c r="O131" s="44">
        <f t="shared" si="46"/>
        <v>8</v>
      </c>
      <c r="P131" s="35">
        <f>yaw_min</f>
        <v>-8</v>
      </c>
      <c r="Q131" s="45">
        <f t="shared" si="37"/>
        <v>0.2</v>
      </c>
      <c r="R131" s="49">
        <v>0</v>
      </c>
      <c r="S131" s="44">
        <f t="shared" si="47"/>
        <v>150</v>
      </c>
      <c r="T131" s="50">
        <f t="shared" si="47"/>
        <v>210</v>
      </c>
    </row>
    <row r="132" spans="1:20" ht="15.75" thickBot="1" x14ac:dyDescent="0.3">
      <c r="A132" s="229">
        <f t="shared" si="31"/>
        <v>1130</v>
      </c>
      <c r="B132" s="230">
        <f t="shared" si="32"/>
        <v>122</v>
      </c>
      <c r="C132" s="218" t="str">
        <f t="shared" si="30"/>
        <v>L15C12#352_030_00</v>
      </c>
      <c r="D132" s="43">
        <f t="shared" si="40"/>
        <v>11.8</v>
      </c>
      <c r="E132" s="61">
        <f t="shared" si="26"/>
        <v>2.0230000000000001</v>
      </c>
      <c r="F132" s="61">
        <f t="shared" si="27"/>
        <v>42</v>
      </c>
      <c r="G132" s="64">
        <f t="shared" si="42"/>
        <v>6.4</v>
      </c>
      <c r="H132" s="63">
        <f t="shared" si="28"/>
        <v>13.288349017304224</v>
      </c>
      <c r="I132" s="63">
        <f t="shared" si="29"/>
        <v>19.324100594443202</v>
      </c>
      <c r="J132" s="53">
        <f t="shared" ref="J132:J142" si="48">2*(I132-H132)</f>
        <v>12.071503154277956</v>
      </c>
      <c r="K132" s="53" t="str">
        <f t="shared" ref="K132:O147" si="49">K131</f>
        <v>Horizontal</v>
      </c>
      <c r="L132" s="42" t="str">
        <f t="shared" si="46"/>
        <v>Full</v>
      </c>
      <c r="M132" s="50">
        <f t="shared" si="46"/>
        <v>12</v>
      </c>
      <c r="N132" s="49">
        <f t="shared" si="46"/>
        <v>160</v>
      </c>
      <c r="O132" s="44">
        <f t="shared" si="46"/>
        <v>8</v>
      </c>
      <c r="P132" s="44">
        <f>P131</f>
        <v>-8</v>
      </c>
      <c r="Q132" s="45">
        <f t="shared" si="37"/>
        <v>0.2</v>
      </c>
      <c r="R132" s="49">
        <v>30</v>
      </c>
      <c r="S132" s="44">
        <f t="shared" si="47"/>
        <v>150</v>
      </c>
      <c r="T132" s="50">
        <f t="shared" si="47"/>
        <v>210</v>
      </c>
    </row>
    <row r="133" spans="1:20" ht="15.75" thickBot="1" x14ac:dyDescent="0.3">
      <c r="A133" s="229">
        <f t="shared" si="31"/>
        <v>1131</v>
      </c>
      <c r="B133" s="230">
        <f t="shared" si="32"/>
        <v>123</v>
      </c>
      <c r="C133" s="218" t="str">
        <f t="shared" si="30"/>
        <v>L15C12#352_060_00</v>
      </c>
      <c r="D133" s="43">
        <f t="shared" si="40"/>
        <v>11.8</v>
      </c>
      <c r="E133" s="61">
        <f t="shared" si="26"/>
        <v>2.0230000000000001</v>
      </c>
      <c r="F133" s="61">
        <f t="shared" si="27"/>
        <v>42</v>
      </c>
      <c r="G133" s="64">
        <f t="shared" si="42"/>
        <v>6.4</v>
      </c>
      <c r="H133" s="63">
        <f t="shared" si="28"/>
        <v>13.288349017304224</v>
      </c>
      <c r="I133" s="63">
        <f t="shared" si="29"/>
        <v>19.324100594443202</v>
      </c>
      <c r="J133" s="53">
        <f t="shared" si="48"/>
        <v>12.071503154277956</v>
      </c>
      <c r="K133" s="53" t="str">
        <f t="shared" si="49"/>
        <v>Horizontal</v>
      </c>
      <c r="L133" s="42" t="str">
        <f t="shared" si="46"/>
        <v>Full</v>
      </c>
      <c r="M133" s="50">
        <f t="shared" si="46"/>
        <v>12</v>
      </c>
      <c r="N133" s="49">
        <f t="shared" si="46"/>
        <v>160</v>
      </c>
      <c r="O133" s="44">
        <f t="shared" si="46"/>
        <v>8</v>
      </c>
      <c r="P133" s="44">
        <f>P132</f>
        <v>-8</v>
      </c>
      <c r="Q133" s="45">
        <f t="shared" si="37"/>
        <v>0.2</v>
      </c>
      <c r="R133" s="49">
        <v>60</v>
      </c>
      <c r="S133" s="44">
        <f t="shared" si="47"/>
        <v>150</v>
      </c>
      <c r="T133" s="50">
        <f t="shared" si="47"/>
        <v>210</v>
      </c>
    </row>
    <row r="134" spans="1:20" ht="15.75" thickBot="1" x14ac:dyDescent="0.3">
      <c r="A134" s="229">
        <f t="shared" si="31"/>
        <v>1132</v>
      </c>
      <c r="B134" s="230">
        <f t="shared" si="32"/>
        <v>124</v>
      </c>
      <c r="C134" s="218" t="str">
        <f t="shared" si="30"/>
        <v>L15C12#352_090_00</v>
      </c>
      <c r="D134" s="43">
        <f t="shared" si="40"/>
        <v>11.8</v>
      </c>
      <c r="E134" s="61">
        <f t="shared" si="26"/>
        <v>2.0230000000000001</v>
      </c>
      <c r="F134" s="61">
        <f t="shared" si="27"/>
        <v>42</v>
      </c>
      <c r="G134" s="64">
        <f t="shared" si="42"/>
        <v>6.4</v>
      </c>
      <c r="H134" s="63">
        <f t="shared" si="28"/>
        <v>13.288349017304224</v>
      </c>
      <c r="I134" s="63">
        <f t="shared" si="29"/>
        <v>19.324100594443202</v>
      </c>
      <c r="J134" s="53">
        <f t="shared" si="48"/>
        <v>12.071503154277956</v>
      </c>
      <c r="K134" s="53" t="str">
        <f t="shared" si="49"/>
        <v>Horizontal</v>
      </c>
      <c r="L134" s="42" t="str">
        <f t="shared" si="46"/>
        <v>Full</v>
      </c>
      <c r="M134" s="50">
        <f t="shared" si="46"/>
        <v>12</v>
      </c>
      <c r="N134" s="49">
        <f t="shared" si="46"/>
        <v>160</v>
      </c>
      <c r="O134" s="44">
        <f t="shared" si="46"/>
        <v>8</v>
      </c>
      <c r="P134" s="44">
        <f>P133</f>
        <v>-8</v>
      </c>
      <c r="Q134" s="45">
        <f t="shared" si="37"/>
        <v>0.2</v>
      </c>
      <c r="R134" s="49">
        <v>90</v>
      </c>
      <c r="S134" s="44">
        <f t="shared" si="47"/>
        <v>150</v>
      </c>
      <c r="T134" s="50">
        <f t="shared" si="47"/>
        <v>210</v>
      </c>
    </row>
    <row r="135" spans="1:20" ht="15.75" thickBot="1" x14ac:dyDescent="0.3">
      <c r="A135" s="229">
        <f t="shared" si="31"/>
        <v>1133</v>
      </c>
      <c r="B135" s="230">
        <f t="shared" si="32"/>
        <v>125</v>
      </c>
      <c r="C135" s="218" t="str">
        <f t="shared" si="30"/>
        <v>L15C12#000_000_00</v>
      </c>
      <c r="D135" s="43">
        <f t="shared" si="40"/>
        <v>11.8</v>
      </c>
      <c r="E135" s="61">
        <f t="shared" si="26"/>
        <v>2.0230000000000001</v>
      </c>
      <c r="F135" s="61">
        <f t="shared" si="27"/>
        <v>42</v>
      </c>
      <c r="G135" s="64">
        <f t="shared" si="42"/>
        <v>6.4</v>
      </c>
      <c r="H135" s="63">
        <f t="shared" si="28"/>
        <v>13.288349017304224</v>
      </c>
      <c r="I135" s="63">
        <f t="shared" si="29"/>
        <v>19.324100594443202</v>
      </c>
      <c r="J135" s="53">
        <f t="shared" si="48"/>
        <v>12.071503154277956</v>
      </c>
      <c r="K135" s="53" t="str">
        <f t="shared" si="49"/>
        <v>Horizontal</v>
      </c>
      <c r="L135" s="42" t="str">
        <f t="shared" si="46"/>
        <v>Full</v>
      </c>
      <c r="M135" s="50">
        <f t="shared" si="46"/>
        <v>12</v>
      </c>
      <c r="N135" s="49">
        <f t="shared" si="46"/>
        <v>160</v>
      </c>
      <c r="O135" s="44">
        <f t="shared" si="46"/>
        <v>8</v>
      </c>
      <c r="P135" s="44">
        <f>yaw_null</f>
        <v>0</v>
      </c>
      <c r="Q135" s="45">
        <f t="shared" si="37"/>
        <v>0.2</v>
      </c>
      <c r="R135" s="49">
        <v>0</v>
      </c>
      <c r="S135" s="44">
        <f t="shared" si="47"/>
        <v>150</v>
      </c>
      <c r="T135" s="50">
        <f t="shared" si="47"/>
        <v>210</v>
      </c>
    </row>
    <row r="136" spans="1:20" ht="15.75" thickBot="1" x14ac:dyDescent="0.3">
      <c r="A136" s="229">
        <f t="shared" si="31"/>
        <v>1134</v>
      </c>
      <c r="B136" s="230">
        <f t="shared" si="32"/>
        <v>126</v>
      </c>
      <c r="C136" s="218" t="str">
        <f t="shared" si="30"/>
        <v>L15C12#000_030_00</v>
      </c>
      <c r="D136" s="43">
        <f t="shared" si="40"/>
        <v>11.8</v>
      </c>
      <c r="E136" s="61">
        <f t="shared" si="26"/>
        <v>2.0230000000000001</v>
      </c>
      <c r="F136" s="61">
        <f t="shared" si="27"/>
        <v>42</v>
      </c>
      <c r="G136" s="64">
        <f t="shared" si="42"/>
        <v>6.4</v>
      </c>
      <c r="H136" s="63">
        <f t="shared" si="28"/>
        <v>13.288349017304224</v>
      </c>
      <c r="I136" s="63">
        <f t="shared" si="29"/>
        <v>19.324100594443202</v>
      </c>
      <c r="J136" s="53">
        <f t="shared" si="48"/>
        <v>12.071503154277956</v>
      </c>
      <c r="K136" s="53" t="str">
        <f t="shared" si="49"/>
        <v>Horizontal</v>
      </c>
      <c r="L136" s="42" t="str">
        <f t="shared" si="46"/>
        <v>Full</v>
      </c>
      <c r="M136" s="50">
        <f t="shared" si="46"/>
        <v>12</v>
      </c>
      <c r="N136" s="49">
        <f t="shared" si="46"/>
        <v>160</v>
      </c>
      <c r="O136" s="44">
        <f t="shared" si="46"/>
        <v>8</v>
      </c>
      <c r="P136" s="44">
        <f>P135</f>
        <v>0</v>
      </c>
      <c r="Q136" s="45">
        <f t="shared" si="37"/>
        <v>0.2</v>
      </c>
      <c r="R136" s="49">
        <v>30</v>
      </c>
      <c r="S136" s="44">
        <f t="shared" si="47"/>
        <v>150</v>
      </c>
      <c r="T136" s="50">
        <f t="shared" si="47"/>
        <v>210</v>
      </c>
    </row>
    <row r="137" spans="1:20" ht="15.75" thickBot="1" x14ac:dyDescent="0.3">
      <c r="A137" s="229">
        <f t="shared" si="31"/>
        <v>1135</v>
      </c>
      <c r="B137" s="230">
        <f t="shared" si="32"/>
        <v>127</v>
      </c>
      <c r="C137" s="218" t="str">
        <f t="shared" si="30"/>
        <v>L15C12#000_060_00</v>
      </c>
      <c r="D137" s="43">
        <f t="shared" si="40"/>
        <v>11.8</v>
      </c>
      <c r="E137" s="61">
        <f t="shared" si="26"/>
        <v>2.0230000000000001</v>
      </c>
      <c r="F137" s="61">
        <f t="shared" si="27"/>
        <v>42</v>
      </c>
      <c r="G137" s="64">
        <f t="shared" si="42"/>
        <v>6.4</v>
      </c>
      <c r="H137" s="63">
        <f t="shared" si="28"/>
        <v>13.288349017304224</v>
      </c>
      <c r="I137" s="63">
        <f t="shared" si="29"/>
        <v>19.324100594443202</v>
      </c>
      <c r="J137" s="53">
        <f t="shared" si="48"/>
        <v>12.071503154277956</v>
      </c>
      <c r="K137" s="53" t="str">
        <f t="shared" si="49"/>
        <v>Horizontal</v>
      </c>
      <c r="L137" s="42" t="str">
        <f t="shared" si="46"/>
        <v>Full</v>
      </c>
      <c r="M137" s="50">
        <f t="shared" si="46"/>
        <v>12</v>
      </c>
      <c r="N137" s="49">
        <f t="shared" si="46"/>
        <v>160</v>
      </c>
      <c r="O137" s="44">
        <f t="shared" si="46"/>
        <v>8</v>
      </c>
      <c r="P137" s="44">
        <f>P136</f>
        <v>0</v>
      </c>
      <c r="Q137" s="45">
        <f t="shared" si="37"/>
        <v>0.2</v>
      </c>
      <c r="R137" s="49">
        <v>60</v>
      </c>
      <c r="S137" s="44">
        <f t="shared" si="47"/>
        <v>150</v>
      </c>
      <c r="T137" s="50">
        <f t="shared" si="47"/>
        <v>210</v>
      </c>
    </row>
    <row r="138" spans="1:20" ht="15.75" thickBot="1" x14ac:dyDescent="0.3">
      <c r="A138" s="229">
        <f t="shared" si="31"/>
        <v>1136</v>
      </c>
      <c r="B138" s="230">
        <f t="shared" si="32"/>
        <v>128</v>
      </c>
      <c r="C138" s="218" t="str">
        <f t="shared" si="30"/>
        <v>L15C12#000_090_00</v>
      </c>
      <c r="D138" s="43">
        <f t="shared" si="40"/>
        <v>11.8</v>
      </c>
      <c r="E138" s="61">
        <f t="shared" si="26"/>
        <v>2.0230000000000001</v>
      </c>
      <c r="F138" s="61">
        <f t="shared" si="27"/>
        <v>42</v>
      </c>
      <c r="G138" s="64">
        <f t="shared" si="42"/>
        <v>6.4</v>
      </c>
      <c r="H138" s="63">
        <f t="shared" si="28"/>
        <v>13.288349017304224</v>
      </c>
      <c r="I138" s="63">
        <f t="shared" si="29"/>
        <v>19.324100594443202</v>
      </c>
      <c r="J138" s="53">
        <f t="shared" si="48"/>
        <v>12.071503154277956</v>
      </c>
      <c r="K138" s="53" t="str">
        <f t="shared" si="49"/>
        <v>Horizontal</v>
      </c>
      <c r="L138" s="42" t="str">
        <f t="shared" si="46"/>
        <v>Full</v>
      </c>
      <c r="M138" s="50">
        <f t="shared" si="46"/>
        <v>12</v>
      </c>
      <c r="N138" s="49">
        <f t="shared" si="46"/>
        <v>160</v>
      </c>
      <c r="O138" s="44">
        <f t="shared" si="46"/>
        <v>8</v>
      </c>
      <c r="P138" s="44">
        <f>P137</f>
        <v>0</v>
      </c>
      <c r="Q138" s="45">
        <f t="shared" si="37"/>
        <v>0.2</v>
      </c>
      <c r="R138" s="49">
        <v>90</v>
      </c>
      <c r="S138" s="44">
        <f t="shared" si="47"/>
        <v>150</v>
      </c>
      <c r="T138" s="50">
        <f t="shared" si="47"/>
        <v>210</v>
      </c>
    </row>
    <row r="139" spans="1:20" ht="15.75" thickBot="1" x14ac:dyDescent="0.3">
      <c r="A139" s="229">
        <f t="shared" si="31"/>
        <v>1137</v>
      </c>
      <c r="B139" s="230">
        <f t="shared" si="32"/>
        <v>129</v>
      </c>
      <c r="C139" s="218" t="str">
        <f t="shared" si="30"/>
        <v>L15C12#008_000_00</v>
      </c>
      <c r="D139" s="43">
        <f t="shared" si="40"/>
        <v>11.8</v>
      </c>
      <c r="E139" s="61">
        <f t="shared" ref="E139:E202" si="50">I_ref*(0.75*D139+5.6)</f>
        <v>2.0230000000000001</v>
      </c>
      <c r="F139" s="61">
        <f t="shared" ref="F139:F202" si="51">tur_scale</f>
        <v>42</v>
      </c>
      <c r="G139" s="64">
        <f t="shared" si="42"/>
        <v>6.4</v>
      </c>
      <c r="H139" s="63">
        <f t="shared" ref="H139:H202" si="52">D139*((h_hub+diameter/2)/h_hub)^alpha_n</f>
        <v>13.288349017304224</v>
      </c>
      <c r="I139" s="63">
        <f t="shared" ref="I139:I202" si="53">D139*((h_hub+diameter/2)/h_hub)^alpha_n+(((h_hub+diameter/2)-h_hub)/diameter)*(2.5+0.2*G139*E139*(diameter/F139)^0.25)*(1-COS(-PI()))</f>
        <v>19.324100594443202</v>
      </c>
      <c r="J139" s="53">
        <f t="shared" si="48"/>
        <v>12.071503154277956</v>
      </c>
      <c r="K139" s="53" t="str">
        <f t="shared" si="49"/>
        <v>Horizontal</v>
      </c>
      <c r="L139" s="42" t="str">
        <f t="shared" si="46"/>
        <v>Full</v>
      </c>
      <c r="M139" s="50">
        <f t="shared" si="46"/>
        <v>12</v>
      </c>
      <c r="N139" s="49">
        <f t="shared" si="46"/>
        <v>160</v>
      </c>
      <c r="O139" s="44">
        <f t="shared" si="46"/>
        <v>8</v>
      </c>
      <c r="P139" s="44">
        <f>yaw_max</f>
        <v>8</v>
      </c>
      <c r="Q139" s="45">
        <f t="shared" si="37"/>
        <v>0.2</v>
      </c>
      <c r="R139" s="49">
        <v>0</v>
      </c>
      <c r="S139" s="44">
        <f t="shared" si="47"/>
        <v>150</v>
      </c>
      <c r="T139" s="50">
        <f t="shared" si="47"/>
        <v>210</v>
      </c>
    </row>
    <row r="140" spans="1:20" ht="15.75" thickBot="1" x14ac:dyDescent="0.3">
      <c r="A140" s="229">
        <f t="shared" si="31"/>
        <v>1138</v>
      </c>
      <c r="B140" s="230">
        <f t="shared" si="32"/>
        <v>130</v>
      </c>
      <c r="C140" s="218" t="str">
        <f t="shared" ref="C140:C202" si="54">TEXT(RIGHT($B$2,LEN($B$2)-3),"L00")&amp;IF(K140="Vertical",IF(J140&gt;0,"A","B"),IF(J140&gt;0,"C","D"))&amp;TEXT(D140,"00")&amp;"#"&amp;IF(P140&lt;0,TEXT(360+P140,"000"),TEXT(P140,"000"))&amp;"_"&amp;TEXT(R140,"000")&amp;"_00"</f>
        <v>L15C12#008_030_00</v>
      </c>
      <c r="D140" s="43">
        <f t="shared" si="40"/>
        <v>11.8</v>
      </c>
      <c r="E140" s="61">
        <f t="shared" si="50"/>
        <v>2.0230000000000001</v>
      </c>
      <c r="F140" s="61">
        <f t="shared" si="51"/>
        <v>42</v>
      </c>
      <c r="G140" s="64">
        <f t="shared" si="42"/>
        <v>6.4</v>
      </c>
      <c r="H140" s="63">
        <f t="shared" si="52"/>
        <v>13.288349017304224</v>
      </c>
      <c r="I140" s="63">
        <f t="shared" si="53"/>
        <v>19.324100594443202</v>
      </c>
      <c r="J140" s="53">
        <f t="shared" si="48"/>
        <v>12.071503154277956</v>
      </c>
      <c r="K140" s="53" t="str">
        <f t="shared" si="49"/>
        <v>Horizontal</v>
      </c>
      <c r="L140" s="42" t="str">
        <f t="shared" si="46"/>
        <v>Full</v>
      </c>
      <c r="M140" s="50">
        <f t="shared" si="46"/>
        <v>12</v>
      </c>
      <c r="N140" s="49">
        <f t="shared" si="46"/>
        <v>160</v>
      </c>
      <c r="O140" s="44">
        <f t="shared" si="46"/>
        <v>8</v>
      </c>
      <c r="P140" s="44">
        <f>P139</f>
        <v>8</v>
      </c>
      <c r="Q140" s="45">
        <f t="shared" si="37"/>
        <v>0.2</v>
      </c>
      <c r="R140" s="49">
        <v>30</v>
      </c>
      <c r="S140" s="44">
        <f t="shared" si="47"/>
        <v>150</v>
      </c>
      <c r="T140" s="50">
        <f t="shared" si="47"/>
        <v>210</v>
      </c>
    </row>
    <row r="141" spans="1:20" ht="15.75" thickBot="1" x14ac:dyDescent="0.3">
      <c r="A141" s="229">
        <f t="shared" ref="A141:A202" si="55">A140+1</f>
        <v>1139</v>
      </c>
      <c r="B141" s="230">
        <f t="shared" ref="B141:B202" si="56">B140+1</f>
        <v>131</v>
      </c>
      <c r="C141" s="218" t="str">
        <f t="shared" si="54"/>
        <v>L15C12#008_060_00</v>
      </c>
      <c r="D141" s="43">
        <f t="shared" si="40"/>
        <v>11.8</v>
      </c>
      <c r="E141" s="61">
        <f t="shared" si="50"/>
        <v>2.0230000000000001</v>
      </c>
      <c r="F141" s="61">
        <f t="shared" si="51"/>
        <v>42</v>
      </c>
      <c r="G141" s="64">
        <f t="shared" si="42"/>
        <v>6.4</v>
      </c>
      <c r="H141" s="63">
        <f t="shared" si="52"/>
        <v>13.288349017304224</v>
      </c>
      <c r="I141" s="63">
        <f t="shared" si="53"/>
        <v>19.324100594443202</v>
      </c>
      <c r="J141" s="53">
        <f t="shared" si="48"/>
        <v>12.071503154277956</v>
      </c>
      <c r="K141" s="53" t="str">
        <f t="shared" si="49"/>
        <v>Horizontal</v>
      </c>
      <c r="L141" s="42" t="str">
        <f t="shared" si="49"/>
        <v>Full</v>
      </c>
      <c r="M141" s="50">
        <f t="shared" si="49"/>
        <v>12</v>
      </c>
      <c r="N141" s="49">
        <f t="shared" si="49"/>
        <v>160</v>
      </c>
      <c r="O141" s="44">
        <f t="shared" si="49"/>
        <v>8</v>
      </c>
      <c r="P141" s="44">
        <f>P140</f>
        <v>8</v>
      </c>
      <c r="Q141" s="45">
        <f t="shared" si="37"/>
        <v>0.2</v>
      </c>
      <c r="R141" s="49">
        <v>60</v>
      </c>
      <c r="S141" s="44">
        <f t="shared" ref="S141:T155" si="57">S140</f>
        <v>150</v>
      </c>
      <c r="T141" s="50">
        <f t="shared" si="57"/>
        <v>210</v>
      </c>
    </row>
    <row r="142" spans="1:20" ht="15.75" thickBot="1" x14ac:dyDescent="0.3">
      <c r="A142" s="229">
        <f t="shared" si="55"/>
        <v>1140</v>
      </c>
      <c r="B142" s="230">
        <f t="shared" si="56"/>
        <v>132</v>
      </c>
      <c r="C142" s="218" t="str">
        <f t="shared" si="54"/>
        <v>L15C12#008_090_00</v>
      </c>
      <c r="D142" s="43">
        <f t="shared" si="40"/>
        <v>11.8</v>
      </c>
      <c r="E142" s="61">
        <f t="shared" si="50"/>
        <v>2.0230000000000001</v>
      </c>
      <c r="F142" s="61">
        <f t="shared" si="51"/>
        <v>42</v>
      </c>
      <c r="G142" s="64">
        <f t="shared" si="42"/>
        <v>6.4</v>
      </c>
      <c r="H142" s="63">
        <f t="shared" si="52"/>
        <v>13.288349017304224</v>
      </c>
      <c r="I142" s="63">
        <f t="shared" si="53"/>
        <v>19.324100594443202</v>
      </c>
      <c r="J142" s="53">
        <f t="shared" si="48"/>
        <v>12.071503154277956</v>
      </c>
      <c r="K142" s="53" t="str">
        <f t="shared" si="49"/>
        <v>Horizontal</v>
      </c>
      <c r="L142" s="42" t="str">
        <f t="shared" si="49"/>
        <v>Full</v>
      </c>
      <c r="M142" s="50">
        <f t="shared" si="49"/>
        <v>12</v>
      </c>
      <c r="N142" s="49">
        <f t="shared" si="49"/>
        <v>160</v>
      </c>
      <c r="O142" s="44">
        <f t="shared" si="49"/>
        <v>8</v>
      </c>
      <c r="P142" s="44">
        <f>P141</f>
        <v>8</v>
      </c>
      <c r="Q142" s="45">
        <f t="shared" si="37"/>
        <v>0.2</v>
      </c>
      <c r="R142" s="49">
        <v>90</v>
      </c>
      <c r="S142" s="44">
        <f t="shared" si="57"/>
        <v>150</v>
      </c>
      <c r="T142" s="50">
        <f t="shared" si="57"/>
        <v>210</v>
      </c>
    </row>
    <row r="143" spans="1:20" ht="15.75" thickBot="1" x14ac:dyDescent="0.3">
      <c r="A143" s="229">
        <f t="shared" si="55"/>
        <v>1141</v>
      </c>
      <c r="B143" s="230">
        <f t="shared" si="56"/>
        <v>133</v>
      </c>
      <c r="C143" s="218" t="str">
        <f t="shared" si="54"/>
        <v>L15D12#352_000_00</v>
      </c>
      <c r="D143" s="43">
        <f t="shared" si="40"/>
        <v>11.8</v>
      </c>
      <c r="E143" s="61">
        <f t="shared" si="50"/>
        <v>2.0230000000000001</v>
      </c>
      <c r="F143" s="61">
        <f t="shared" si="51"/>
        <v>42</v>
      </c>
      <c r="G143" s="64">
        <f t="shared" si="42"/>
        <v>6.4</v>
      </c>
      <c r="H143" s="63">
        <f t="shared" si="52"/>
        <v>13.288349017304224</v>
      </c>
      <c r="I143" s="63">
        <f t="shared" si="53"/>
        <v>19.324100594443202</v>
      </c>
      <c r="J143" s="53">
        <f>2*(H143-I143)</f>
        <v>-12.071503154277956</v>
      </c>
      <c r="K143" s="55" t="s">
        <v>20</v>
      </c>
      <c r="L143" s="42" t="str">
        <f t="shared" si="49"/>
        <v>Full</v>
      </c>
      <c r="M143" s="50">
        <f t="shared" si="49"/>
        <v>12</v>
      </c>
      <c r="N143" s="49">
        <f t="shared" si="49"/>
        <v>160</v>
      </c>
      <c r="O143" s="44">
        <f t="shared" si="49"/>
        <v>8</v>
      </c>
      <c r="P143" s="35">
        <f>yaw_min</f>
        <v>-8</v>
      </c>
      <c r="Q143" s="45">
        <f t="shared" si="37"/>
        <v>0.2</v>
      </c>
      <c r="R143" s="49">
        <v>0</v>
      </c>
      <c r="S143" s="44">
        <f t="shared" si="57"/>
        <v>150</v>
      </c>
      <c r="T143" s="50">
        <f t="shared" si="57"/>
        <v>210</v>
      </c>
    </row>
    <row r="144" spans="1:20" ht="15.75" thickBot="1" x14ac:dyDescent="0.3">
      <c r="A144" s="229">
        <f t="shared" si="55"/>
        <v>1142</v>
      </c>
      <c r="B144" s="230">
        <f t="shared" si="56"/>
        <v>134</v>
      </c>
      <c r="C144" s="218" t="str">
        <f t="shared" si="54"/>
        <v>L15D12#352_030_00</v>
      </c>
      <c r="D144" s="43">
        <f t="shared" si="40"/>
        <v>11.8</v>
      </c>
      <c r="E144" s="61">
        <f t="shared" si="50"/>
        <v>2.0230000000000001</v>
      </c>
      <c r="F144" s="61">
        <f t="shared" si="51"/>
        <v>42</v>
      </c>
      <c r="G144" s="64">
        <f t="shared" si="42"/>
        <v>6.4</v>
      </c>
      <c r="H144" s="63">
        <f t="shared" si="52"/>
        <v>13.288349017304224</v>
      </c>
      <c r="I144" s="63">
        <f t="shared" si="53"/>
        <v>19.324100594443202</v>
      </c>
      <c r="J144" s="53">
        <f t="shared" ref="J144:O159" si="58">J143</f>
        <v>-12.071503154277956</v>
      </c>
      <c r="K144" s="53" t="str">
        <f t="shared" si="58"/>
        <v>Horizontal</v>
      </c>
      <c r="L144" s="42" t="str">
        <f t="shared" si="49"/>
        <v>Full</v>
      </c>
      <c r="M144" s="50">
        <f t="shared" si="49"/>
        <v>12</v>
      </c>
      <c r="N144" s="49">
        <f t="shared" si="49"/>
        <v>160</v>
      </c>
      <c r="O144" s="44">
        <f t="shared" si="49"/>
        <v>8</v>
      </c>
      <c r="P144" s="44">
        <f>P143</f>
        <v>-8</v>
      </c>
      <c r="Q144" s="45">
        <f t="shared" si="37"/>
        <v>0.2</v>
      </c>
      <c r="R144" s="49">
        <v>30</v>
      </c>
      <c r="S144" s="44">
        <f t="shared" si="57"/>
        <v>150</v>
      </c>
      <c r="T144" s="50">
        <f t="shared" si="57"/>
        <v>210</v>
      </c>
    </row>
    <row r="145" spans="1:20" ht="15.75" thickBot="1" x14ac:dyDescent="0.3">
      <c r="A145" s="229">
        <f t="shared" si="55"/>
        <v>1143</v>
      </c>
      <c r="B145" s="230">
        <f t="shared" si="56"/>
        <v>135</v>
      </c>
      <c r="C145" s="218" t="str">
        <f t="shared" si="54"/>
        <v>L15D12#352_060_00</v>
      </c>
      <c r="D145" s="43">
        <f t="shared" si="40"/>
        <v>11.8</v>
      </c>
      <c r="E145" s="61">
        <f t="shared" si="50"/>
        <v>2.0230000000000001</v>
      </c>
      <c r="F145" s="61">
        <f t="shared" si="51"/>
        <v>42</v>
      </c>
      <c r="G145" s="64">
        <f t="shared" si="42"/>
        <v>6.4</v>
      </c>
      <c r="H145" s="63">
        <f t="shared" si="52"/>
        <v>13.288349017304224</v>
      </c>
      <c r="I145" s="63">
        <f t="shared" si="53"/>
        <v>19.324100594443202</v>
      </c>
      <c r="J145" s="53">
        <f t="shared" si="58"/>
        <v>-12.071503154277956</v>
      </c>
      <c r="K145" s="53" t="str">
        <f t="shared" si="58"/>
        <v>Horizontal</v>
      </c>
      <c r="L145" s="42" t="str">
        <f t="shared" si="49"/>
        <v>Full</v>
      </c>
      <c r="M145" s="50">
        <f t="shared" si="49"/>
        <v>12</v>
      </c>
      <c r="N145" s="49">
        <f t="shared" si="49"/>
        <v>160</v>
      </c>
      <c r="O145" s="44">
        <f t="shared" si="49"/>
        <v>8</v>
      </c>
      <c r="P145" s="44">
        <f>P144</f>
        <v>-8</v>
      </c>
      <c r="Q145" s="45">
        <f t="shared" si="37"/>
        <v>0.2</v>
      </c>
      <c r="R145" s="49">
        <v>60</v>
      </c>
      <c r="S145" s="44">
        <f t="shared" si="57"/>
        <v>150</v>
      </c>
      <c r="T145" s="50">
        <f t="shared" si="57"/>
        <v>210</v>
      </c>
    </row>
    <row r="146" spans="1:20" ht="15.75" thickBot="1" x14ac:dyDescent="0.3">
      <c r="A146" s="229">
        <f t="shared" si="55"/>
        <v>1144</v>
      </c>
      <c r="B146" s="230">
        <f t="shared" si="56"/>
        <v>136</v>
      </c>
      <c r="C146" s="218" t="str">
        <f t="shared" si="54"/>
        <v>L15D12#352_090_00</v>
      </c>
      <c r="D146" s="43">
        <f t="shared" si="40"/>
        <v>11.8</v>
      </c>
      <c r="E146" s="61">
        <f t="shared" si="50"/>
        <v>2.0230000000000001</v>
      </c>
      <c r="F146" s="61">
        <f t="shared" si="51"/>
        <v>42</v>
      </c>
      <c r="G146" s="64">
        <f t="shared" si="42"/>
        <v>6.4</v>
      </c>
      <c r="H146" s="63">
        <f t="shared" si="52"/>
        <v>13.288349017304224</v>
      </c>
      <c r="I146" s="63">
        <f t="shared" si="53"/>
        <v>19.324100594443202</v>
      </c>
      <c r="J146" s="53">
        <f t="shared" si="58"/>
        <v>-12.071503154277956</v>
      </c>
      <c r="K146" s="53" t="str">
        <f t="shared" si="58"/>
        <v>Horizontal</v>
      </c>
      <c r="L146" s="42" t="str">
        <f t="shared" si="49"/>
        <v>Full</v>
      </c>
      <c r="M146" s="50">
        <f t="shared" si="49"/>
        <v>12</v>
      </c>
      <c r="N146" s="49">
        <f t="shared" si="49"/>
        <v>160</v>
      </c>
      <c r="O146" s="44">
        <f t="shared" si="49"/>
        <v>8</v>
      </c>
      <c r="P146" s="44">
        <f>P145</f>
        <v>-8</v>
      </c>
      <c r="Q146" s="45">
        <f t="shared" si="37"/>
        <v>0.2</v>
      </c>
      <c r="R146" s="49">
        <v>90</v>
      </c>
      <c r="S146" s="44">
        <f t="shared" si="57"/>
        <v>150</v>
      </c>
      <c r="T146" s="50">
        <f t="shared" si="57"/>
        <v>210</v>
      </c>
    </row>
    <row r="147" spans="1:20" ht="15.75" thickBot="1" x14ac:dyDescent="0.3">
      <c r="A147" s="229">
        <f t="shared" si="55"/>
        <v>1145</v>
      </c>
      <c r="B147" s="230">
        <f t="shared" si="56"/>
        <v>137</v>
      </c>
      <c r="C147" s="218" t="str">
        <f t="shared" si="54"/>
        <v>L15D12#000_000_00</v>
      </c>
      <c r="D147" s="43">
        <f t="shared" si="40"/>
        <v>11.8</v>
      </c>
      <c r="E147" s="61">
        <f t="shared" si="50"/>
        <v>2.0230000000000001</v>
      </c>
      <c r="F147" s="61">
        <f t="shared" si="51"/>
        <v>42</v>
      </c>
      <c r="G147" s="64">
        <f t="shared" si="42"/>
        <v>6.4</v>
      </c>
      <c r="H147" s="63">
        <f t="shared" si="52"/>
        <v>13.288349017304224</v>
      </c>
      <c r="I147" s="63">
        <f t="shared" si="53"/>
        <v>19.324100594443202</v>
      </c>
      <c r="J147" s="53">
        <f t="shared" si="58"/>
        <v>-12.071503154277956</v>
      </c>
      <c r="K147" s="53" t="str">
        <f t="shared" si="58"/>
        <v>Horizontal</v>
      </c>
      <c r="L147" s="42" t="str">
        <f t="shared" si="49"/>
        <v>Full</v>
      </c>
      <c r="M147" s="50">
        <f t="shared" si="49"/>
        <v>12</v>
      </c>
      <c r="N147" s="49">
        <f t="shared" si="49"/>
        <v>160</v>
      </c>
      <c r="O147" s="44">
        <f t="shared" si="49"/>
        <v>8</v>
      </c>
      <c r="P147" s="44">
        <f>yaw_null</f>
        <v>0</v>
      </c>
      <c r="Q147" s="45">
        <f t="shared" si="37"/>
        <v>0.2</v>
      </c>
      <c r="R147" s="49">
        <v>0</v>
      </c>
      <c r="S147" s="44">
        <f t="shared" si="57"/>
        <v>150</v>
      </c>
      <c r="T147" s="50">
        <f t="shared" si="57"/>
        <v>210</v>
      </c>
    </row>
    <row r="148" spans="1:20" ht="15.75" thickBot="1" x14ac:dyDescent="0.3">
      <c r="A148" s="229">
        <f t="shared" si="55"/>
        <v>1146</v>
      </c>
      <c r="B148" s="230">
        <f t="shared" si="56"/>
        <v>138</v>
      </c>
      <c r="C148" s="218" t="str">
        <f t="shared" si="54"/>
        <v>L15D12#000_030_00</v>
      </c>
      <c r="D148" s="43">
        <f t="shared" si="40"/>
        <v>11.8</v>
      </c>
      <c r="E148" s="61">
        <f t="shared" si="50"/>
        <v>2.0230000000000001</v>
      </c>
      <c r="F148" s="61">
        <f t="shared" si="51"/>
        <v>42</v>
      </c>
      <c r="G148" s="64">
        <f t="shared" si="42"/>
        <v>6.4</v>
      </c>
      <c r="H148" s="63">
        <f t="shared" si="52"/>
        <v>13.288349017304224</v>
      </c>
      <c r="I148" s="63">
        <f t="shared" si="53"/>
        <v>19.324100594443202</v>
      </c>
      <c r="J148" s="53">
        <f t="shared" si="58"/>
        <v>-12.071503154277956</v>
      </c>
      <c r="K148" s="53" t="str">
        <f t="shared" si="58"/>
        <v>Horizontal</v>
      </c>
      <c r="L148" s="42" t="str">
        <f t="shared" si="58"/>
        <v>Full</v>
      </c>
      <c r="M148" s="50">
        <f t="shared" si="58"/>
        <v>12</v>
      </c>
      <c r="N148" s="49">
        <f t="shared" si="58"/>
        <v>160</v>
      </c>
      <c r="O148" s="44">
        <f t="shared" si="58"/>
        <v>8</v>
      </c>
      <c r="P148" s="44">
        <f>P147</f>
        <v>0</v>
      </c>
      <c r="Q148" s="45">
        <f t="shared" si="37"/>
        <v>0.2</v>
      </c>
      <c r="R148" s="49">
        <v>30</v>
      </c>
      <c r="S148" s="44">
        <f t="shared" si="57"/>
        <v>150</v>
      </c>
      <c r="T148" s="50">
        <f t="shared" si="57"/>
        <v>210</v>
      </c>
    </row>
    <row r="149" spans="1:20" ht="15.75" thickBot="1" x14ac:dyDescent="0.3">
      <c r="A149" s="229">
        <f t="shared" si="55"/>
        <v>1147</v>
      </c>
      <c r="B149" s="230">
        <f t="shared" si="56"/>
        <v>139</v>
      </c>
      <c r="C149" s="218" t="str">
        <f t="shared" si="54"/>
        <v>L15D12#000_060_00</v>
      </c>
      <c r="D149" s="43">
        <f t="shared" si="40"/>
        <v>11.8</v>
      </c>
      <c r="E149" s="61">
        <f t="shared" si="50"/>
        <v>2.0230000000000001</v>
      </c>
      <c r="F149" s="61">
        <f t="shared" si="51"/>
        <v>42</v>
      </c>
      <c r="G149" s="64">
        <f t="shared" si="42"/>
        <v>6.4</v>
      </c>
      <c r="H149" s="63">
        <f t="shared" si="52"/>
        <v>13.288349017304224</v>
      </c>
      <c r="I149" s="63">
        <f t="shared" si="53"/>
        <v>19.324100594443202</v>
      </c>
      <c r="J149" s="53">
        <f t="shared" si="58"/>
        <v>-12.071503154277956</v>
      </c>
      <c r="K149" s="53" t="str">
        <f t="shared" si="58"/>
        <v>Horizontal</v>
      </c>
      <c r="L149" s="42" t="str">
        <f t="shared" si="58"/>
        <v>Full</v>
      </c>
      <c r="M149" s="50">
        <f t="shared" si="58"/>
        <v>12</v>
      </c>
      <c r="N149" s="49">
        <f t="shared" si="58"/>
        <v>160</v>
      </c>
      <c r="O149" s="44">
        <f t="shared" si="58"/>
        <v>8</v>
      </c>
      <c r="P149" s="44">
        <f>P148</f>
        <v>0</v>
      </c>
      <c r="Q149" s="45">
        <f t="shared" si="37"/>
        <v>0.2</v>
      </c>
      <c r="R149" s="49">
        <v>60</v>
      </c>
      <c r="S149" s="44">
        <f t="shared" si="57"/>
        <v>150</v>
      </c>
      <c r="T149" s="50">
        <f t="shared" si="57"/>
        <v>210</v>
      </c>
    </row>
    <row r="150" spans="1:20" ht="15.75" thickBot="1" x14ac:dyDescent="0.3">
      <c r="A150" s="229">
        <f t="shared" si="55"/>
        <v>1148</v>
      </c>
      <c r="B150" s="230">
        <f t="shared" si="56"/>
        <v>140</v>
      </c>
      <c r="C150" s="218" t="str">
        <f t="shared" si="54"/>
        <v>L15D12#000_090_00</v>
      </c>
      <c r="D150" s="43">
        <f t="shared" si="40"/>
        <v>11.8</v>
      </c>
      <c r="E150" s="61">
        <f t="shared" si="50"/>
        <v>2.0230000000000001</v>
      </c>
      <c r="F150" s="61">
        <f t="shared" si="51"/>
        <v>42</v>
      </c>
      <c r="G150" s="64">
        <f t="shared" si="42"/>
        <v>6.4</v>
      </c>
      <c r="H150" s="63">
        <f t="shared" si="52"/>
        <v>13.288349017304224</v>
      </c>
      <c r="I150" s="63">
        <f t="shared" si="53"/>
        <v>19.324100594443202</v>
      </c>
      <c r="J150" s="53">
        <f t="shared" si="58"/>
        <v>-12.071503154277956</v>
      </c>
      <c r="K150" s="53" t="str">
        <f t="shared" si="58"/>
        <v>Horizontal</v>
      </c>
      <c r="L150" s="42" t="str">
        <f t="shared" si="58"/>
        <v>Full</v>
      </c>
      <c r="M150" s="50">
        <f t="shared" si="58"/>
        <v>12</v>
      </c>
      <c r="N150" s="49">
        <f t="shared" si="58"/>
        <v>160</v>
      </c>
      <c r="O150" s="44">
        <f t="shared" si="58"/>
        <v>8</v>
      </c>
      <c r="P150" s="44">
        <f>P149</f>
        <v>0</v>
      </c>
      <c r="Q150" s="45">
        <f t="shared" si="37"/>
        <v>0.2</v>
      </c>
      <c r="R150" s="49">
        <v>90</v>
      </c>
      <c r="S150" s="44">
        <f t="shared" si="57"/>
        <v>150</v>
      </c>
      <c r="T150" s="50">
        <f t="shared" si="57"/>
        <v>210</v>
      </c>
    </row>
    <row r="151" spans="1:20" ht="15.75" thickBot="1" x14ac:dyDescent="0.3">
      <c r="A151" s="229">
        <f t="shared" si="55"/>
        <v>1149</v>
      </c>
      <c r="B151" s="230">
        <f t="shared" si="56"/>
        <v>141</v>
      </c>
      <c r="C151" s="218" t="str">
        <f t="shared" si="54"/>
        <v>L15D12#008_000_00</v>
      </c>
      <c r="D151" s="43">
        <f t="shared" si="40"/>
        <v>11.8</v>
      </c>
      <c r="E151" s="61">
        <f t="shared" si="50"/>
        <v>2.0230000000000001</v>
      </c>
      <c r="F151" s="61">
        <f t="shared" si="51"/>
        <v>42</v>
      </c>
      <c r="G151" s="64">
        <f t="shared" si="42"/>
        <v>6.4</v>
      </c>
      <c r="H151" s="63">
        <f t="shared" si="52"/>
        <v>13.288349017304224</v>
      </c>
      <c r="I151" s="63">
        <f t="shared" si="53"/>
        <v>19.324100594443202</v>
      </c>
      <c r="J151" s="53">
        <f t="shared" si="58"/>
        <v>-12.071503154277956</v>
      </c>
      <c r="K151" s="53" t="str">
        <f t="shared" si="58"/>
        <v>Horizontal</v>
      </c>
      <c r="L151" s="42" t="str">
        <f t="shared" si="58"/>
        <v>Full</v>
      </c>
      <c r="M151" s="50">
        <f t="shared" si="58"/>
        <v>12</v>
      </c>
      <c r="N151" s="49">
        <f t="shared" si="58"/>
        <v>160</v>
      </c>
      <c r="O151" s="44">
        <f t="shared" si="58"/>
        <v>8</v>
      </c>
      <c r="P151" s="44">
        <f>yaw_max</f>
        <v>8</v>
      </c>
      <c r="Q151" s="45">
        <f t="shared" si="37"/>
        <v>0.2</v>
      </c>
      <c r="R151" s="49">
        <v>0</v>
      </c>
      <c r="S151" s="44">
        <f t="shared" si="57"/>
        <v>150</v>
      </c>
      <c r="T151" s="50">
        <f t="shared" si="57"/>
        <v>210</v>
      </c>
    </row>
    <row r="152" spans="1:20" ht="15.75" thickBot="1" x14ac:dyDescent="0.3">
      <c r="A152" s="229">
        <f t="shared" si="55"/>
        <v>1150</v>
      </c>
      <c r="B152" s="230">
        <f t="shared" si="56"/>
        <v>142</v>
      </c>
      <c r="C152" s="218" t="str">
        <f t="shared" si="54"/>
        <v>L15D12#008_030_00</v>
      </c>
      <c r="D152" s="43">
        <f t="shared" si="40"/>
        <v>11.8</v>
      </c>
      <c r="E152" s="61">
        <f t="shared" si="50"/>
        <v>2.0230000000000001</v>
      </c>
      <c r="F152" s="61">
        <f t="shared" si="51"/>
        <v>42</v>
      </c>
      <c r="G152" s="64">
        <f t="shared" si="42"/>
        <v>6.4</v>
      </c>
      <c r="H152" s="63">
        <f t="shared" si="52"/>
        <v>13.288349017304224</v>
      </c>
      <c r="I152" s="63">
        <f t="shared" si="53"/>
        <v>19.324100594443202</v>
      </c>
      <c r="J152" s="53">
        <f t="shared" si="58"/>
        <v>-12.071503154277956</v>
      </c>
      <c r="K152" s="53" t="str">
        <f t="shared" si="58"/>
        <v>Horizontal</v>
      </c>
      <c r="L152" s="42" t="str">
        <f t="shared" si="58"/>
        <v>Full</v>
      </c>
      <c r="M152" s="50">
        <f t="shared" si="58"/>
        <v>12</v>
      </c>
      <c r="N152" s="49">
        <f t="shared" si="58"/>
        <v>160</v>
      </c>
      <c r="O152" s="44">
        <f t="shared" si="58"/>
        <v>8</v>
      </c>
      <c r="P152" s="44">
        <f>P151</f>
        <v>8</v>
      </c>
      <c r="Q152" s="45">
        <f t="shared" si="37"/>
        <v>0.2</v>
      </c>
      <c r="R152" s="49">
        <v>30</v>
      </c>
      <c r="S152" s="44">
        <f t="shared" si="57"/>
        <v>150</v>
      </c>
      <c r="T152" s="50">
        <f t="shared" si="57"/>
        <v>210</v>
      </c>
    </row>
    <row r="153" spans="1:20" ht="15.75" thickBot="1" x14ac:dyDescent="0.3">
      <c r="A153" s="229">
        <f t="shared" si="55"/>
        <v>1151</v>
      </c>
      <c r="B153" s="230">
        <f t="shared" si="56"/>
        <v>143</v>
      </c>
      <c r="C153" s="218" t="str">
        <f t="shared" si="54"/>
        <v>L15D12#008_060_00</v>
      </c>
      <c r="D153" s="43">
        <f t="shared" si="40"/>
        <v>11.8</v>
      </c>
      <c r="E153" s="61">
        <f t="shared" si="50"/>
        <v>2.0230000000000001</v>
      </c>
      <c r="F153" s="61">
        <f t="shared" si="51"/>
        <v>42</v>
      </c>
      <c r="G153" s="64">
        <f t="shared" si="42"/>
        <v>6.4</v>
      </c>
      <c r="H153" s="63">
        <f t="shared" si="52"/>
        <v>13.288349017304224</v>
      </c>
      <c r="I153" s="63">
        <f t="shared" si="53"/>
        <v>19.324100594443202</v>
      </c>
      <c r="J153" s="53">
        <f t="shared" si="58"/>
        <v>-12.071503154277956</v>
      </c>
      <c r="K153" s="53" t="str">
        <f t="shared" si="58"/>
        <v>Horizontal</v>
      </c>
      <c r="L153" s="42" t="str">
        <f t="shared" si="58"/>
        <v>Full</v>
      </c>
      <c r="M153" s="50">
        <f t="shared" si="58"/>
        <v>12</v>
      </c>
      <c r="N153" s="49">
        <f t="shared" si="58"/>
        <v>160</v>
      </c>
      <c r="O153" s="44">
        <f t="shared" si="58"/>
        <v>8</v>
      </c>
      <c r="P153" s="44">
        <f>P152</f>
        <v>8</v>
      </c>
      <c r="Q153" s="45">
        <f t="shared" si="37"/>
        <v>0.2</v>
      </c>
      <c r="R153" s="49">
        <v>60</v>
      </c>
      <c r="S153" s="44">
        <f t="shared" si="57"/>
        <v>150</v>
      </c>
      <c r="T153" s="50">
        <f t="shared" si="57"/>
        <v>210</v>
      </c>
    </row>
    <row r="154" spans="1:20" ht="15.75" thickBot="1" x14ac:dyDescent="0.3">
      <c r="A154" s="229">
        <f t="shared" si="55"/>
        <v>1152</v>
      </c>
      <c r="B154" s="230">
        <f t="shared" si="56"/>
        <v>144</v>
      </c>
      <c r="C154" s="218" t="str">
        <f t="shared" si="54"/>
        <v>L15D12#008_090_00</v>
      </c>
      <c r="D154" s="43">
        <f t="shared" si="40"/>
        <v>11.8</v>
      </c>
      <c r="E154" s="61">
        <f t="shared" si="50"/>
        <v>2.0230000000000001</v>
      </c>
      <c r="F154" s="61">
        <f t="shared" si="51"/>
        <v>42</v>
      </c>
      <c r="G154" s="64">
        <f t="shared" si="42"/>
        <v>6.4</v>
      </c>
      <c r="H154" s="63">
        <f t="shared" si="52"/>
        <v>13.288349017304224</v>
      </c>
      <c r="I154" s="63">
        <f t="shared" si="53"/>
        <v>19.324100594443202</v>
      </c>
      <c r="J154" s="53">
        <f t="shared" si="58"/>
        <v>-12.071503154277956</v>
      </c>
      <c r="K154" s="53" t="str">
        <f t="shared" si="58"/>
        <v>Horizontal</v>
      </c>
      <c r="L154" s="42" t="str">
        <f t="shared" si="58"/>
        <v>Full</v>
      </c>
      <c r="M154" s="50">
        <f t="shared" si="58"/>
        <v>12</v>
      </c>
      <c r="N154" s="49">
        <f t="shared" si="58"/>
        <v>160</v>
      </c>
      <c r="O154" s="44">
        <f t="shared" si="58"/>
        <v>8</v>
      </c>
      <c r="P154" s="44">
        <f>P153</f>
        <v>8</v>
      </c>
      <c r="Q154" s="45">
        <f t="shared" si="37"/>
        <v>0.2</v>
      </c>
      <c r="R154" s="49">
        <v>90</v>
      </c>
      <c r="S154" s="44">
        <f t="shared" si="57"/>
        <v>150</v>
      </c>
      <c r="T154" s="50">
        <f t="shared" si="57"/>
        <v>210</v>
      </c>
    </row>
    <row r="155" spans="1:20" ht="15.75" thickBot="1" x14ac:dyDescent="0.3">
      <c r="A155" s="229">
        <f t="shared" si="55"/>
        <v>1153</v>
      </c>
      <c r="B155" s="230">
        <f t="shared" si="56"/>
        <v>145</v>
      </c>
      <c r="C155" s="218" t="str">
        <f t="shared" si="54"/>
        <v>L15A25#352_000_00</v>
      </c>
      <c r="D155" s="43">
        <f t="shared" ref="D155:D202" si="59">v_out</f>
        <v>25</v>
      </c>
      <c r="E155" s="61">
        <f t="shared" si="50"/>
        <v>3.4090000000000007</v>
      </c>
      <c r="F155" s="61">
        <f t="shared" si="51"/>
        <v>42</v>
      </c>
      <c r="G155" s="64">
        <f t="shared" si="42"/>
        <v>6.4</v>
      </c>
      <c r="H155" s="63">
        <f t="shared" si="52"/>
        <v>28.153281816322504</v>
      </c>
      <c r="I155" s="63">
        <f t="shared" si="53"/>
        <v>36.611451429009989</v>
      </c>
      <c r="J155" s="51">
        <f>2*(I155-H155)</f>
        <v>16.916339225374969</v>
      </c>
      <c r="K155" s="53" t="s">
        <v>122</v>
      </c>
      <c r="L155" s="42" t="str">
        <f t="shared" si="58"/>
        <v>Full</v>
      </c>
      <c r="M155" s="50">
        <f t="shared" si="58"/>
        <v>12</v>
      </c>
      <c r="N155" s="49">
        <f t="shared" si="58"/>
        <v>160</v>
      </c>
      <c r="O155" s="44">
        <f t="shared" si="58"/>
        <v>8</v>
      </c>
      <c r="P155" s="35">
        <f>yaw_min</f>
        <v>-8</v>
      </c>
      <c r="Q155" s="45">
        <f t="shared" si="37"/>
        <v>0.2</v>
      </c>
      <c r="R155" s="49">
        <v>0</v>
      </c>
      <c r="S155" s="44">
        <f t="shared" si="57"/>
        <v>150</v>
      </c>
      <c r="T155" s="50">
        <f t="shared" si="57"/>
        <v>210</v>
      </c>
    </row>
    <row r="156" spans="1:20" ht="15.75" thickBot="1" x14ac:dyDescent="0.3">
      <c r="A156" s="229">
        <f t="shared" si="55"/>
        <v>1154</v>
      </c>
      <c r="B156" s="230">
        <f t="shared" si="56"/>
        <v>146</v>
      </c>
      <c r="C156" s="218" t="str">
        <f t="shared" si="54"/>
        <v>L15A25#352_030_00</v>
      </c>
      <c r="D156" s="169">
        <f t="shared" si="59"/>
        <v>25</v>
      </c>
      <c r="E156" s="61">
        <f t="shared" si="50"/>
        <v>3.4090000000000007</v>
      </c>
      <c r="F156" s="61">
        <f t="shared" si="51"/>
        <v>42</v>
      </c>
      <c r="G156" s="64">
        <f>G155</f>
        <v>6.4</v>
      </c>
      <c r="H156" s="63">
        <f t="shared" si="52"/>
        <v>28.153281816322504</v>
      </c>
      <c r="I156" s="63">
        <f t="shared" si="53"/>
        <v>36.611451429009989</v>
      </c>
      <c r="J156" s="51">
        <f t="shared" ref="J156:J166" si="60">2*(I156-H156)</f>
        <v>16.916339225374969</v>
      </c>
      <c r="K156" s="53" t="str">
        <f>K155</f>
        <v>Vertical</v>
      </c>
      <c r="L156" s="42" t="str">
        <f>L155</f>
        <v>Full</v>
      </c>
      <c r="M156" s="50">
        <f t="shared" si="58"/>
        <v>12</v>
      </c>
      <c r="N156" s="49">
        <f>N155</f>
        <v>160</v>
      </c>
      <c r="O156" s="44">
        <f t="shared" si="58"/>
        <v>8</v>
      </c>
      <c r="P156" s="44">
        <f>P155</f>
        <v>-8</v>
      </c>
      <c r="Q156" s="45">
        <f t="shared" ref="Q156:Q202" si="61">Q155</f>
        <v>0.2</v>
      </c>
      <c r="R156" s="49">
        <v>30</v>
      </c>
      <c r="S156" s="44">
        <f>S155</f>
        <v>150</v>
      </c>
      <c r="T156" s="50">
        <f>T155</f>
        <v>210</v>
      </c>
    </row>
    <row r="157" spans="1:20" ht="15.75" thickBot="1" x14ac:dyDescent="0.3">
      <c r="A157" s="229">
        <f t="shared" si="55"/>
        <v>1155</v>
      </c>
      <c r="B157" s="230">
        <f t="shared" si="56"/>
        <v>147</v>
      </c>
      <c r="C157" s="218" t="str">
        <f t="shared" si="54"/>
        <v>L15A25#352_060_00</v>
      </c>
      <c r="D157" s="169">
        <f t="shared" si="59"/>
        <v>25</v>
      </c>
      <c r="E157" s="61">
        <f t="shared" si="50"/>
        <v>3.4090000000000007</v>
      </c>
      <c r="F157" s="61">
        <f t="shared" si="51"/>
        <v>42</v>
      </c>
      <c r="G157" s="64">
        <f t="shared" ref="G157:G202" si="62">G156</f>
        <v>6.4</v>
      </c>
      <c r="H157" s="63">
        <f t="shared" si="52"/>
        <v>28.153281816322504</v>
      </c>
      <c r="I157" s="63">
        <f t="shared" si="53"/>
        <v>36.611451429009989</v>
      </c>
      <c r="J157" s="51">
        <f t="shared" si="60"/>
        <v>16.916339225374969</v>
      </c>
      <c r="K157" s="53" t="str">
        <f t="shared" ref="K157:O172" si="63">K156</f>
        <v>Vertical</v>
      </c>
      <c r="L157" s="42" t="str">
        <f t="shared" si="63"/>
        <v>Full</v>
      </c>
      <c r="M157" s="50">
        <f t="shared" si="58"/>
        <v>12</v>
      </c>
      <c r="N157" s="49">
        <f t="shared" si="58"/>
        <v>160</v>
      </c>
      <c r="O157" s="44">
        <f t="shared" si="58"/>
        <v>8</v>
      </c>
      <c r="P157" s="44">
        <f>P156</f>
        <v>-8</v>
      </c>
      <c r="Q157" s="45">
        <f t="shared" si="61"/>
        <v>0.2</v>
      </c>
      <c r="R157" s="49">
        <v>60</v>
      </c>
      <c r="S157" s="44">
        <f t="shared" ref="S157:T172" si="64">S156</f>
        <v>150</v>
      </c>
      <c r="T157" s="50">
        <f t="shared" si="64"/>
        <v>210</v>
      </c>
    </row>
    <row r="158" spans="1:20" ht="15.75" thickBot="1" x14ac:dyDescent="0.3">
      <c r="A158" s="229">
        <f t="shared" si="55"/>
        <v>1156</v>
      </c>
      <c r="B158" s="230">
        <f t="shared" si="56"/>
        <v>148</v>
      </c>
      <c r="C158" s="218" t="str">
        <f t="shared" si="54"/>
        <v>L15A25#352_090_00</v>
      </c>
      <c r="D158" s="169">
        <f t="shared" si="59"/>
        <v>25</v>
      </c>
      <c r="E158" s="61">
        <f t="shared" si="50"/>
        <v>3.4090000000000007</v>
      </c>
      <c r="F158" s="61">
        <f t="shared" si="51"/>
        <v>42</v>
      </c>
      <c r="G158" s="64">
        <f t="shared" si="62"/>
        <v>6.4</v>
      </c>
      <c r="H158" s="63">
        <f t="shared" si="52"/>
        <v>28.153281816322504</v>
      </c>
      <c r="I158" s="63">
        <f t="shared" si="53"/>
        <v>36.611451429009989</v>
      </c>
      <c r="J158" s="51">
        <f t="shared" si="60"/>
        <v>16.916339225374969</v>
      </c>
      <c r="K158" s="53" t="str">
        <f t="shared" si="63"/>
        <v>Vertical</v>
      </c>
      <c r="L158" s="42" t="str">
        <f t="shared" si="63"/>
        <v>Full</v>
      </c>
      <c r="M158" s="50">
        <f t="shared" si="58"/>
        <v>12</v>
      </c>
      <c r="N158" s="49">
        <f t="shared" si="58"/>
        <v>160</v>
      </c>
      <c r="O158" s="44">
        <f t="shared" si="58"/>
        <v>8</v>
      </c>
      <c r="P158" s="44">
        <f>P157</f>
        <v>-8</v>
      </c>
      <c r="Q158" s="45">
        <f t="shared" si="61"/>
        <v>0.2</v>
      </c>
      <c r="R158" s="49">
        <v>90</v>
      </c>
      <c r="S158" s="44">
        <f t="shared" si="64"/>
        <v>150</v>
      </c>
      <c r="T158" s="50">
        <f t="shared" si="64"/>
        <v>210</v>
      </c>
    </row>
    <row r="159" spans="1:20" ht="15.75" thickBot="1" x14ac:dyDescent="0.3">
      <c r="A159" s="229">
        <f t="shared" si="55"/>
        <v>1157</v>
      </c>
      <c r="B159" s="230">
        <f t="shared" si="56"/>
        <v>149</v>
      </c>
      <c r="C159" s="218" t="str">
        <f t="shared" si="54"/>
        <v>L15A25#000_000_00</v>
      </c>
      <c r="D159" s="169">
        <f t="shared" si="59"/>
        <v>25</v>
      </c>
      <c r="E159" s="61">
        <f t="shared" si="50"/>
        <v>3.4090000000000007</v>
      </c>
      <c r="F159" s="61">
        <f t="shared" si="51"/>
        <v>42</v>
      </c>
      <c r="G159" s="64">
        <f t="shared" si="62"/>
        <v>6.4</v>
      </c>
      <c r="H159" s="63">
        <f t="shared" si="52"/>
        <v>28.153281816322504</v>
      </c>
      <c r="I159" s="63">
        <f t="shared" si="53"/>
        <v>36.611451429009989</v>
      </c>
      <c r="J159" s="51">
        <f t="shared" si="60"/>
        <v>16.916339225374969</v>
      </c>
      <c r="K159" s="53" t="str">
        <f t="shared" si="63"/>
        <v>Vertical</v>
      </c>
      <c r="L159" s="42" t="str">
        <f t="shared" si="63"/>
        <v>Full</v>
      </c>
      <c r="M159" s="50">
        <f t="shared" si="58"/>
        <v>12</v>
      </c>
      <c r="N159" s="49">
        <f t="shared" si="58"/>
        <v>160</v>
      </c>
      <c r="O159" s="44">
        <f t="shared" si="58"/>
        <v>8</v>
      </c>
      <c r="P159" s="44">
        <f>yaw_null</f>
        <v>0</v>
      </c>
      <c r="Q159" s="45">
        <f t="shared" si="61"/>
        <v>0.2</v>
      </c>
      <c r="R159" s="49">
        <v>0</v>
      </c>
      <c r="S159" s="44">
        <f t="shared" si="64"/>
        <v>150</v>
      </c>
      <c r="T159" s="50">
        <f t="shared" si="64"/>
        <v>210</v>
      </c>
    </row>
    <row r="160" spans="1:20" ht="15.75" thickBot="1" x14ac:dyDescent="0.3">
      <c r="A160" s="229">
        <f t="shared" si="55"/>
        <v>1158</v>
      </c>
      <c r="B160" s="230">
        <f t="shared" si="56"/>
        <v>150</v>
      </c>
      <c r="C160" s="218" t="str">
        <f t="shared" si="54"/>
        <v>L15A25#000_030_00</v>
      </c>
      <c r="D160" s="169">
        <f t="shared" si="59"/>
        <v>25</v>
      </c>
      <c r="E160" s="61">
        <f t="shared" si="50"/>
        <v>3.4090000000000007</v>
      </c>
      <c r="F160" s="61">
        <f t="shared" si="51"/>
        <v>42</v>
      </c>
      <c r="G160" s="64">
        <f t="shared" si="62"/>
        <v>6.4</v>
      </c>
      <c r="H160" s="63">
        <f t="shared" si="52"/>
        <v>28.153281816322504</v>
      </c>
      <c r="I160" s="63">
        <f t="shared" si="53"/>
        <v>36.611451429009989</v>
      </c>
      <c r="J160" s="51">
        <f t="shared" si="60"/>
        <v>16.916339225374969</v>
      </c>
      <c r="K160" s="53" t="str">
        <f t="shared" si="63"/>
        <v>Vertical</v>
      </c>
      <c r="L160" s="42" t="str">
        <f t="shared" si="63"/>
        <v>Full</v>
      </c>
      <c r="M160" s="50">
        <f t="shared" si="63"/>
        <v>12</v>
      </c>
      <c r="N160" s="49">
        <f t="shared" si="63"/>
        <v>160</v>
      </c>
      <c r="O160" s="44">
        <f t="shared" si="63"/>
        <v>8</v>
      </c>
      <c r="P160" s="44">
        <f>P159</f>
        <v>0</v>
      </c>
      <c r="Q160" s="45">
        <f t="shared" si="61"/>
        <v>0.2</v>
      </c>
      <c r="R160" s="49">
        <v>30</v>
      </c>
      <c r="S160" s="44">
        <f t="shared" si="64"/>
        <v>150</v>
      </c>
      <c r="T160" s="50">
        <f t="shared" si="64"/>
        <v>210</v>
      </c>
    </row>
    <row r="161" spans="1:20" ht="15.75" thickBot="1" x14ac:dyDescent="0.3">
      <c r="A161" s="229">
        <f t="shared" si="55"/>
        <v>1159</v>
      </c>
      <c r="B161" s="230">
        <f t="shared" si="56"/>
        <v>151</v>
      </c>
      <c r="C161" s="218" t="str">
        <f t="shared" si="54"/>
        <v>L15A25#000_060_00</v>
      </c>
      <c r="D161" s="169">
        <f t="shared" si="59"/>
        <v>25</v>
      </c>
      <c r="E161" s="61">
        <f t="shared" si="50"/>
        <v>3.4090000000000007</v>
      </c>
      <c r="F161" s="61">
        <f t="shared" si="51"/>
        <v>42</v>
      </c>
      <c r="G161" s="64">
        <f t="shared" si="62"/>
        <v>6.4</v>
      </c>
      <c r="H161" s="63">
        <f t="shared" si="52"/>
        <v>28.153281816322504</v>
      </c>
      <c r="I161" s="63">
        <f t="shared" si="53"/>
        <v>36.611451429009989</v>
      </c>
      <c r="J161" s="51">
        <f t="shared" si="60"/>
        <v>16.916339225374969</v>
      </c>
      <c r="K161" s="53" t="str">
        <f t="shared" si="63"/>
        <v>Vertical</v>
      </c>
      <c r="L161" s="42" t="str">
        <f t="shared" si="63"/>
        <v>Full</v>
      </c>
      <c r="M161" s="50">
        <f t="shared" si="63"/>
        <v>12</v>
      </c>
      <c r="N161" s="49">
        <f t="shared" si="63"/>
        <v>160</v>
      </c>
      <c r="O161" s="44">
        <f t="shared" si="63"/>
        <v>8</v>
      </c>
      <c r="P161" s="44">
        <f>P160</f>
        <v>0</v>
      </c>
      <c r="Q161" s="45">
        <f t="shared" si="61"/>
        <v>0.2</v>
      </c>
      <c r="R161" s="49">
        <v>60</v>
      </c>
      <c r="S161" s="44">
        <f t="shared" si="64"/>
        <v>150</v>
      </c>
      <c r="T161" s="50">
        <f t="shared" si="64"/>
        <v>210</v>
      </c>
    </row>
    <row r="162" spans="1:20" ht="15.75" thickBot="1" x14ac:dyDescent="0.3">
      <c r="A162" s="229">
        <f t="shared" si="55"/>
        <v>1160</v>
      </c>
      <c r="B162" s="230">
        <f t="shared" si="56"/>
        <v>152</v>
      </c>
      <c r="C162" s="218" t="str">
        <f t="shared" si="54"/>
        <v>L15A25#000_090_00</v>
      </c>
      <c r="D162" s="169">
        <f t="shared" si="59"/>
        <v>25</v>
      </c>
      <c r="E162" s="61">
        <f t="shared" si="50"/>
        <v>3.4090000000000007</v>
      </c>
      <c r="F162" s="61">
        <f t="shared" si="51"/>
        <v>42</v>
      </c>
      <c r="G162" s="64">
        <f t="shared" si="62"/>
        <v>6.4</v>
      </c>
      <c r="H162" s="63">
        <f t="shared" si="52"/>
        <v>28.153281816322504</v>
      </c>
      <c r="I162" s="63">
        <f t="shared" si="53"/>
        <v>36.611451429009989</v>
      </c>
      <c r="J162" s="51">
        <f t="shared" si="60"/>
        <v>16.916339225374969</v>
      </c>
      <c r="K162" s="53" t="str">
        <f t="shared" si="63"/>
        <v>Vertical</v>
      </c>
      <c r="L162" s="42" t="str">
        <f t="shared" si="63"/>
        <v>Full</v>
      </c>
      <c r="M162" s="50">
        <f t="shared" si="63"/>
        <v>12</v>
      </c>
      <c r="N162" s="49">
        <f t="shared" si="63"/>
        <v>160</v>
      </c>
      <c r="O162" s="44">
        <f t="shared" si="63"/>
        <v>8</v>
      </c>
      <c r="P162" s="44">
        <f>P161</f>
        <v>0</v>
      </c>
      <c r="Q162" s="45">
        <f t="shared" si="61"/>
        <v>0.2</v>
      </c>
      <c r="R162" s="49">
        <v>90</v>
      </c>
      <c r="S162" s="44">
        <f t="shared" si="64"/>
        <v>150</v>
      </c>
      <c r="T162" s="50">
        <f t="shared" si="64"/>
        <v>210</v>
      </c>
    </row>
    <row r="163" spans="1:20" ht="15.75" thickBot="1" x14ac:dyDescent="0.3">
      <c r="A163" s="229">
        <f t="shared" si="55"/>
        <v>1161</v>
      </c>
      <c r="B163" s="230">
        <f t="shared" si="56"/>
        <v>153</v>
      </c>
      <c r="C163" s="218" t="str">
        <f t="shared" si="54"/>
        <v>L15A25#008_000_00</v>
      </c>
      <c r="D163" s="169">
        <f t="shared" si="59"/>
        <v>25</v>
      </c>
      <c r="E163" s="61">
        <f t="shared" si="50"/>
        <v>3.4090000000000007</v>
      </c>
      <c r="F163" s="61">
        <f t="shared" si="51"/>
        <v>42</v>
      </c>
      <c r="G163" s="64">
        <f t="shared" si="62"/>
        <v>6.4</v>
      </c>
      <c r="H163" s="63">
        <f t="shared" si="52"/>
        <v>28.153281816322504</v>
      </c>
      <c r="I163" s="63">
        <f t="shared" si="53"/>
        <v>36.611451429009989</v>
      </c>
      <c r="J163" s="51">
        <f t="shared" si="60"/>
        <v>16.916339225374969</v>
      </c>
      <c r="K163" s="53" t="str">
        <f t="shared" si="63"/>
        <v>Vertical</v>
      </c>
      <c r="L163" s="42" t="str">
        <f t="shared" si="63"/>
        <v>Full</v>
      </c>
      <c r="M163" s="50">
        <f t="shared" si="63"/>
        <v>12</v>
      </c>
      <c r="N163" s="49">
        <f t="shared" si="63"/>
        <v>160</v>
      </c>
      <c r="O163" s="44">
        <f t="shared" si="63"/>
        <v>8</v>
      </c>
      <c r="P163" s="44">
        <f>yaw_max</f>
        <v>8</v>
      </c>
      <c r="Q163" s="45">
        <f t="shared" si="61"/>
        <v>0.2</v>
      </c>
      <c r="R163" s="49">
        <v>0</v>
      </c>
      <c r="S163" s="44">
        <f t="shared" si="64"/>
        <v>150</v>
      </c>
      <c r="T163" s="50">
        <f t="shared" si="64"/>
        <v>210</v>
      </c>
    </row>
    <row r="164" spans="1:20" ht="15.75" thickBot="1" x14ac:dyDescent="0.3">
      <c r="A164" s="229">
        <f t="shared" si="55"/>
        <v>1162</v>
      </c>
      <c r="B164" s="230">
        <f t="shared" si="56"/>
        <v>154</v>
      </c>
      <c r="C164" s="218" t="str">
        <f t="shared" si="54"/>
        <v>L15A25#008_030_00</v>
      </c>
      <c r="D164" s="169">
        <f t="shared" si="59"/>
        <v>25</v>
      </c>
      <c r="E164" s="61">
        <f t="shared" si="50"/>
        <v>3.4090000000000007</v>
      </c>
      <c r="F164" s="61">
        <f t="shared" si="51"/>
        <v>42</v>
      </c>
      <c r="G164" s="64">
        <f t="shared" si="62"/>
        <v>6.4</v>
      </c>
      <c r="H164" s="63">
        <f t="shared" si="52"/>
        <v>28.153281816322504</v>
      </c>
      <c r="I164" s="63">
        <f t="shared" si="53"/>
        <v>36.611451429009989</v>
      </c>
      <c r="J164" s="51">
        <f t="shared" si="60"/>
        <v>16.916339225374969</v>
      </c>
      <c r="K164" s="53" t="str">
        <f t="shared" si="63"/>
        <v>Vertical</v>
      </c>
      <c r="L164" s="42" t="str">
        <f t="shared" si="63"/>
        <v>Full</v>
      </c>
      <c r="M164" s="50">
        <f t="shared" si="63"/>
        <v>12</v>
      </c>
      <c r="N164" s="49">
        <f t="shared" si="63"/>
        <v>160</v>
      </c>
      <c r="O164" s="44">
        <f t="shared" si="63"/>
        <v>8</v>
      </c>
      <c r="P164" s="44">
        <f>P163</f>
        <v>8</v>
      </c>
      <c r="Q164" s="45">
        <f t="shared" si="61"/>
        <v>0.2</v>
      </c>
      <c r="R164" s="49">
        <v>30</v>
      </c>
      <c r="S164" s="44">
        <f t="shared" si="64"/>
        <v>150</v>
      </c>
      <c r="T164" s="50">
        <f t="shared" si="64"/>
        <v>210</v>
      </c>
    </row>
    <row r="165" spans="1:20" ht="15.75" thickBot="1" x14ac:dyDescent="0.3">
      <c r="A165" s="229">
        <f t="shared" si="55"/>
        <v>1163</v>
      </c>
      <c r="B165" s="230">
        <f t="shared" si="56"/>
        <v>155</v>
      </c>
      <c r="C165" s="218" t="str">
        <f t="shared" si="54"/>
        <v>L15A25#008_060_00</v>
      </c>
      <c r="D165" s="169">
        <f t="shared" si="59"/>
        <v>25</v>
      </c>
      <c r="E165" s="61">
        <f t="shared" si="50"/>
        <v>3.4090000000000007</v>
      </c>
      <c r="F165" s="61">
        <f t="shared" si="51"/>
        <v>42</v>
      </c>
      <c r="G165" s="64">
        <f t="shared" si="62"/>
        <v>6.4</v>
      </c>
      <c r="H165" s="63">
        <f t="shared" si="52"/>
        <v>28.153281816322504</v>
      </c>
      <c r="I165" s="63">
        <f t="shared" si="53"/>
        <v>36.611451429009989</v>
      </c>
      <c r="J165" s="51">
        <f t="shared" si="60"/>
        <v>16.916339225374969</v>
      </c>
      <c r="K165" s="53" t="str">
        <f t="shared" si="63"/>
        <v>Vertical</v>
      </c>
      <c r="L165" s="42" t="str">
        <f t="shared" si="63"/>
        <v>Full</v>
      </c>
      <c r="M165" s="50">
        <f t="shared" si="63"/>
        <v>12</v>
      </c>
      <c r="N165" s="49">
        <f t="shared" si="63"/>
        <v>160</v>
      </c>
      <c r="O165" s="44">
        <f t="shared" si="63"/>
        <v>8</v>
      </c>
      <c r="P165" s="44">
        <f>P164</f>
        <v>8</v>
      </c>
      <c r="Q165" s="45">
        <f t="shared" si="61"/>
        <v>0.2</v>
      </c>
      <c r="R165" s="49">
        <v>60</v>
      </c>
      <c r="S165" s="44">
        <f t="shared" si="64"/>
        <v>150</v>
      </c>
      <c r="T165" s="50">
        <f t="shared" si="64"/>
        <v>210</v>
      </c>
    </row>
    <row r="166" spans="1:20" ht="15.75" thickBot="1" x14ac:dyDescent="0.3">
      <c r="A166" s="229">
        <f t="shared" si="55"/>
        <v>1164</v>
      </c>
      <c r="B166" s="230">
        <f t="shared" si="56"/>
        <v>156</v>
      </c>
      <c r="C166" s="218" t="str">
        <f t="shared" si="54"/>
        <v>L15A25#008_090_00</v>
      </c>
      <c r="D166" s="169">
        <f t="shared" si="59"/>
        <v>25</v>
      </c>
      <c r="E166" s="61">
        <f t="shared" si="50"/>
        <v>3.4090000000000007</v>
      </c>
      <c r="F166" s="61">
        <f t="shared" si="51"/>
        <v>42</v>
      </c>
      <c r="G166" s="64">
        <f t="shared" si="62"/>
        <v>6.4</v>
      </c>
      <c r="H166" s="63">
        <f t="shared" si="52"/>
        <v>28.153281816322504</v>
      </c>
      <c r="I166" s="63">
        <f t="shared" si="53"/>
        <v>36.611451429009989</v>
      </c>
      <c r="J166" s="51">
        <f t="shared" si="60"/>
        <v>16.916339225374969</v>
      </c>
      <c r="K166" s="53" t="str">
        <f t="shared" si="63"/>
        <v>Vertical</v>
      </c>
      <c r="L166" s="42" t="str">
        <f t="shared" si="63"/>
        <v>Full</v>
      </c>
      <c r="M166" s="50">
        <f t="shared" si="63"/>
        <v>12</v>
      </c>
      <c r="N166" s="49">
        <f t="shared" si="63"/>
        <v>160</v>
      </c>
      <c r="O166" s="44">
        <f t="shared" si="63"/>
        <v>8</v>
      </c>
      <c r="P166" s="44">
        <f>P165</f>
        <v>8</v>
      </c>
      <c r="Q166" s="45">
        <f t="shared" si="61"/>
        <v>0.2</v>
      </c>
      <c r="R166" s="49">
        <v>90</v>
      </c>
      <c r="S166" s="44">
        <f t="shared" si="64"/>
        <v>150</v>
      </c>
      <c r="T166" s="50">
        <f t="shared" si="64"/>
        <v>210</v>
      </c>
    </row>
    <row r="167" spans="1:20" ht="15.75" thickBot="1" x14ac:dyDescent="0.3">
      <c r="A167" s="229">
        <f t="shared" si="55"/>
        <v>1165</v>
      </c>
      <c r="B167" s="230">
        <f t="shared" si="56"/>
        <v>157</v>
      </c>
      <c r="C167" s="218" t="str">
        <f t="shared" si="54"/>
        <v>L15B25#352_000_00</v>
      </c>
      <c r="D167" s="169">
        <f t="shared" si="59"/>
        <v>25</v>
      </c>
      <c r="E167" s="61">
        <f t="shared" si="50"/>
        <v>3.4090000000000007</v>
      </c>
      <c r="F167" s="61">
        <f t="shared" si="51"/>
        <v>42</v>
      </c>
      <c r="G167" s="64">
        <f t="shared" si="62"/>
        <v>6.4</v>
      </c>
      <c r="H167" s="63">
        <f t="shared" si="52"/>
        <v>28.153281816322504</v>
      </c>
      <c r="I167" s="63">
        <f t="shared" si="53"/>
        <v>36.611451429009989</v>
      </c>
      <c r="J167" s="53">
        <f>2*(H167-I167)</f>
        <v>-16.916339225374969</v>
      </c>
      <c r="K167" s="53" t="str">
        <f t="shared" si="63"/>
        <v>Vertical</v>
      </c>
      <c r="L167" s="42" t="str">
        <f t="shared" si="63"/>
        <v>Full</v>
      </c>
      <c r="M167" s="50">
        <f t="shared" si="63"/>
        <v>12</v>
      </c>
      <c r="N167" s="49">
        <f t="shared" si="63"/>
        <v>160</v>
      </c>
      <c r="O167" s="44">
        <f t="shared" si="63"/>
        <v>8</v>
      </c>
      <c r="P167" s="35">
        <f>yaw_min</f>
        <v>-8</v>
      </c>
      <c r="Q167" s="45">
        <f t="shared" si="61"/>
        <v>0.2</v>
      </c>
      <c r="R167" s="49">
        <v>0</v>
      </c>
      <c r="S167" s="44">
        <f t="shared" si="64"/>
        <v>150</v>
      </c>
      <c r="T167" s="50">
        <f t="shared" si="64"/>
        <v>210</v>
      </c>
    </row>
    <row r="168" spans="1:20" ht="15.75" thickBot="1" x14ac:dyDescent="0.3">
      <c r="A168" s="229">
        <f t="shared" si="55"/>
        <v>1166</v>
      </c>
      <c r="B168" s="230">
        <f t="shared" si="56"/>
        <v>158</v>
      </c>
      <c r="C168" s="218" t="str">
        <f t="shared" si="54"/>
        <v>L15B25#352_030_00</v>
      </c>
      <c r="D168" s="169">
        <f t="shared" si="59"/>
        <v>25</v>
      </c>
      <c r="E168" s="61">
        <f t="shared" si="50"/>
        <v>3.4090000000000007</v>
      </c>
      <c r="F168" s="61">
        <f t="shared" si="51"/>
        <v>42</v>
      </c>
      <c r="G168" s="64">
        <f t="shared" si="62"/>
        <v>6.4</v>
      </c>
      <c r="H168" s="63">
        <f t="shared" si="52"/>
        <v>28.153281816322504</v>
      </c>
      <c r="I168" s="63">
        <f t="shared" si="53"/>
        <v>36.611451429009989</v>
      </c>
      <c r="J168" s="53">
        <f t="shared" ref="J168:J178" si="65">2*(H168-I168)</f>
        <v>-16.916339225374969</v>
      </c>
      <c r="K168" s="53" t="str">
        <f t="shared" si="63"/>
        <v>Vertical</v>
      </c>
      <c r="L168" s="42" t="str">
        <f t="shared" si="63"/>
        <v>Full</v>
      </c>
      <c r="M168" s="50">
        <f t="shared" si="63"/>
        <v>12</v>
      </c>
      <c r="N168" s="49">
        <f t="shared" si="63"/>
        <v>160</v>
      </c>
      <c r="O168" s="44">
        <f t="shared" si="63"/>
        <v>8</v>
      </c>
      <c r="P168" s="44">
        <f>P167</f>
        <v>-8</v>
      </c>
      <c r="Q168" s="45">
        <f t="shared" si="61"/>
        <v>0.2</v>
      </c>
      <c r="R168" s="49">
        <v>30</v>
      </c>
      <c r="S168" s="44">
        <f t="shared" si="64"/>
        <v>150</v>
      </c>
      <c r="T168" s="50">
        <f t="shared" si="64"/>
        <v>210</v>
      </c>
    </row>
    <row r="169" spans="1:20" ht="15.75" thickBot="1" x14ac:dyDescent="0.3">
      <c r="A169" s="229">
        <f t="shared" si="55"/>
        <v>1167</v>
      </c>
      <c r="B169" s="230">
        <f t="shared" si="56"/>
        <v>159</v>
      </c>
      <c r="C169" s="218" t="str">
        <f t="shared" si="54"/>
        <v>L15B25#352_060_00</v>
      </c>
      <c r="D169" s="169">
        <f t="shared" si="59"/>
        <v>25</v>
      </c>
      <c r="E169" s="61">
        <f t="shared" si="50"/>
        <v>3.4090000000000007</v>
      </c>
      <c r="F169" s="61">
        <f t="shared" si="51"/>
        <v>42</v>
      </c>
      <c r="G169" s="64">
        <f t="shared" si="62"/>
        <v>6.4</v>
      </c>
      <c r="H169" s="63">
        <f t="shared" si="52"/>
        <v>28.153281816322504</v>
      </c>
      <c r="I169" s="63">
        <f t="shared" si="53"/>
        <v>36.611451429009989</v>
      </c>
      <c r="J169" s="53">
        <f t="shared" si="65"/>
        <v>-16.916339225374969</v>
      </c>
      <c r="K169" s="53" t="str">
        <f t="shared" si="63"/>
        <v>Vertical</v>
      </c>
      <c r="L169" s="42" t="str">
        <f t="shared" si="63"/>
        <v>Full</v>
      </c>
      <c r="M169" s="50">
        <f t="shared" si="63"/>
        <v>12</v>
      </c>
      <c r="N169" s="49">
        <f t="shared" si="63"/>
        <v>160</v>
      </c>
      <c r="O169" s="44">
        <f t="shared" si="63"/>
        <v>8</v>
      </c>
      <c r="P169" s="44">
        <f>P168</f>
        <v>-8</v>
      </c>
      <c r="Q169" s="45">
        <f t="shared" si="61"/>
        <v>0.2</v>
      </c>
      <c r="R169" s="49">
        <v>60</v>
      </c>
      <c r="S169" s="44">
        <f t="shared" si="64"/>
        <v>150</v>
      </c>
      <c r="T169" s="50">
        <f t="shared" si="64"/>
        <v>210</v>
      </c>
    </row>
    <row r="170" spans="1:20" ht="15.75" thickBot="1" x14ac:dyDescent="0.3">
      <c r="A170" s="229">
        <f t="shared" si="55"/>
        <v>1168</v>
      </c>
      <c r="B170" s="230">
        <f t="shared" si="56"/>
        <v>160</v>
      </c>
      <c r="C170" s="218" t="str">
        <f t="shared" si="54"/>
        <v>L15B25#352_090_00</v>
      </c>
      <c r="D170" s="169">
        <f t="shared" si="59"/>
        <v>25</v>
      </c>
      <c r="E170" s="61">
        <f t="shared" si="50"/>
        <v>3.4090000000000007</v>
      </c>
      <c r="F170" s="61">
        <f t="shared" si="51"/>
        <v>42</v>
      </c>
      <c r="G170" s="64">
        <f t="shared" si="62"/>
        <v>6.4</v>
      </c>
      <c r="H170" s="63">
        <f t="shared" si="52"/>
        <v>28.153281816322504</v>
      </c>
      <c r="I170" s="63">
        <f t="shared" si="53"/>
        <v>36.611451429009989</v>
      </c>
      <c r="J170" s="53">
        <f t="shared" si="65"/>
        <v>-16.916339225374969</v>
      </c>
      <c r="K170" s="53" t="str">
        <f t="shared" si="63"/>
        <v>Vertical</v>
      </c>
      <c r="L170" s="42" t="str">
        <f t="shared" si="63"/>
        <v>Full</v>
      </c>
      <c r="M170" s="50">
        <f t="shared" si="63"/>
        <v>12</v>
      </c>
      <c r="N170" s="49">
        <f t="shared" si="63"/>
        <v>160</v>
      </c>
      <c r="O170" s="44">
        <f t="shared" si="63"/>
        <v>8</v>
      </c>
      <c r="P170" s="44">
        <f>P169</f>
        <v>-8</v>
      </c>
      <c r="Q170" s="45">
        <f t="shared" si="61"/>
        <v>0.2</v>
      </c>
      <c r="R170" s="49">
        <v>90</v>
      </c>
      <c r="S170" s="44">
        <f t="shared" si="64"/>
        <v>150</v>
      </c>
      <c r="T170" s="50">
        <f t="shared" si="64"/>
        <v>210</v>
      </c>
    </row>
    <row r="171" spans="1:20" ht="15.75" thickBot="1" x14ac:dyDescent="0.3">
      <c r="A171" s="229">
        <f t="shared" si="55"/>
        <v>1169</v>
      </c>
      <c r="B171" s="230">
        <f t="shared" si="56"/>
        <v>161</v>
      </c>
      <c r="C171" s="218" t="str">
        <f t="shared" si="54"/>
        <v>L15B25#000_000_00</v>
      </c>
      <c r="D171" s="169">
        <f t="shared" si="59"/>
        <v>25</v>
      </c>
      <c r="E171" s="61">
        <f t="shared" si="50"/>
        <v>3.4090000000000007</v>
      </c>
      <c r="F171" s="61">
        <f t="shared" si="51"/>
        <v>42</v>
      </c>
      <c r="G171" s="64">
        <f t="shared" si="62"/>
        <v>6.4</v>
      </c>
      <c r="H171" s="63">
        <f t="shared" si="52"/>
        <v>28.153281816322504</v>
      </c>
      <c r="I171" s="63">
        <f t="shared" si="53"/>
        <v>36.611451429009989</v>
      </c>
      <c r="J171" s="53">
        <f t="shared" si="65"/>
        <v>-16.916339225374969</v>
      </c>
      <c r="K171" s="53" t="str">
        <f t="shared" si="63"/>
        <v>Vertical</v>
      </c>
      <c r="L171" s="42" t="str">
        <f t="shared" si="63"/>
        <v>Full</v>
      </c>
      <c r="M171" s="50">
        <f t="shared" si="63"/>
        <v>12</v>
      </c>
      <c r="N171" s="49">
        <f t="shared" si="63"/>
        <v>160</v>
      </c>
      <c r="O171" s="44">
        <f t="shared" si="63"/>
        <v>8</v>
      </c>
      <c r="P171" s="44">
        <f>yaw_null</f>
        <v>0</v>
      </c>
      <c r="Q171" s="45">
        <f t="shared" si="61"/>
        <v>0.2</v>
      </c>
      <c r="R171" s="49">
        <v>0</v>
      </c>
      <c r="S171" s="44">
        <f t="shared" si="64"/>
        <v>150</v>
      </c>
      <c r="T171" s="50">
        <f t="shared" si="64"/>
        <v>210</v>
      </c>
    </row>
    <row r="172" spans="1:20" ht="15.75" thickBot="1" x14ac:dyDescent="0.3">
      <c r="A172" s="229">
        <f t="shared" si="55"/>
        <v>1170</v>
      </c>
      <c r="B172" s="230">
        <f t="shared" si="56"/>
        <v>162</v>
      </c>
      <c r="C172" s="218" t="str">
        <f t="shared" si="54"/>
        <v>L15B25#000_030_00</v>
      </c>
      <c r="D172" s="169">
        <f t="shared" si="59"/>
        <v>25</v>
      </c>
      <c r="E172" s="61">
        <f t="shared" si="50"/>
        <v>3.4090000000000007</v>
      </c>
      <c r="F172" s="61">
        <f t="shared" si="51"/>
        <v>42</v>
      </c>
      <c r="G172" s="64">
        <f t="shared" si="62"/>
        <v>6.4</v>
      </c>
      <c r="H172" s="63">
        <f t="shared" si="52"/>
        <v>28.153281816322504</v>
      </c>
      <c r="I172" s="63">
        <f t="shared" si="53"/>
        <v>36.611451429009989</v>
      </c>
      <c r="J172" s="53">
        <f t="shared" si="65"/>
        <v>-16.916339225374969</v>
      </c>
      <c r="K172" s="53" t="str">
        <f t="shared" si="63"/>
        <v>Vertical</v>
      </c>
      <c r="L172" s="42" t="str">
        <f t="shared" si="63"/>
        <v>Full</v>
      </c>
      <c r="M172" s="50">
        <f t="shared" si="63"/>
        <v>12</v>
      </c>
      <c r="N172" s="49">
        <f t="shared" si="63"/>
        <v>160</v>
      </c>
      <c r="O172" s="44">
        <f t="shared" si="63"/>
        <v>8</v>
      </c>
      <c r="P172" s="44">
        <f>P171</f>
        <v>0</v>
      </c>
      <c r="Q172" s="45">
        <f t="shared" si="61"/>
        <v>0.2</v>
      </c>
      <c r="R172" s="49">
        <v>30</v>
      </c>
      <c r="S172" s="44">
        <f t="shared" si="64"/>
        <v>150</v>
      </c>
      <c r="T172" s="50">
        <f t="shared" si="64"/>
        <v>210</v>
      </c>
    </row>
    <row r="173" spans="1:20" ht="15.75" thickBot="1" x14ac:dyDescent="0.3">
      <c r="A173" s="229">
        <f t="shared" si="55"/>
        <v>1171</v>
      </c>
      <c r="B173" s="230">
        <f t="shared" si="56"/>
        <v>163</v>
      </c>
      <c r="C173" s="218" t="str">
        <f t="shared" si="54"/>
        <v>L15B25#000_060_00</v>
      </c>
      <c r="D173" s="169">
        <f t="shared" si="59"/>
        <v>25</v>
      </c>
      <c r="E173" s="61">
        <f t="shared" si="50"/>
        <v>3.4090000000000007</v>
      </c>
      <c r="F173" s="61">
        <f t="shared" si="51"/>
        <v>42</v>
      </c>
      <c r="G173" s="64">
        <f t="shared" si="62"/>
        <v>6.4</v>
      </c>
      <c r="H173" s="63">
        <f t="shared" si="52"/>
        <v>28.153281816322504</v>
      </c>
      <c r="I173" s="63">
        <f t="shared" si="53"/>
        <v>36.611451429009989</v>
      </c>
      <c r="J173" s="53">
        <f t="shared" si="65"/>
        <v>-16.916339225374969</v>
      </c>
      <c r="K173" s="53" t="str">
        <f t="shared" ref="K173:O188" si="66">K172</f>
        <v>Vertical</v>
      </c>
      <c r="L173" s="42" t="str">
        <f t="shared" si="66"/>
        <v>Full</v>
      </c>
      <c r="M173" s="50">
        <f t="shared" si="66"/>
        <v>12</v>
      </c>
      <c r="N173" s="49">
        <f t="shared" si="66"/>
        <v>160</v>
      </c>
      <c r="O173" s="44">
        <f t="shared" si="66"/>
        <v>8</v>
      </c>
      <c r="P173" s="44">
        <f>P172</f>
        <v>0</v>
      </c>
      <c r="Q173" s="45">
        <f t="shared" si="61"/>
        <v>0.2</v>
      </c>
      <c r="R173" s="49">
        <v>60</v>
      </c>
      <c r="S173" s="44">
        <f t="shared" ref="S173:T188" si="67">S172</f>
        <v>150</v>
      </c>
      <c r="T173" s="50">
        <f t="shared" si="67"/>
        <v>210</v>
      </c>
    </row>
    <row r="174" spans="1:20" ht="15.75" thickBot="1" x14ac:dyDescent="0.3">
      <c r="A174" s="229">
        <f t="shared" si="55"/>
        <v>1172</v>
      </c>
      <c r="B174" s="230">
        <f t="shared" si="56"/>
        <v>164</v>
      </c>
      <c r="C174" s="218" t="str">
        <f t="shared" si="54"/>
        <v>L15B25#000_090_00</v>
      </c>
      <c r="D174" s="169">
        <f t="shared" si="59"/>
        <v>25</v>
      </c>
      <c r="E174" s="61">
        <f t="shared" si="50"/>
        <v>3.4090000000000007</v>
      </c>
      <c r="F174" s="61">
        <f t="shared" si="51"/>
        <v>42</v>
      </c>
      <c r="G174" s="64">
        <f t="shared" si="62"/>
        <v>6.4</v>
      </c>
      <c r="H174" s="63">
        <f t="shared" si="52"/>
        <v>28.153281816322504</v>
      </c>
      <c r="I174" s="63">
        <f t="shared" si="53"/>
        <v>36.611451429009989</v>
      </c>
      <c r="J174" s="53">
        <f t="shared" si="65"/>
        <v>-16.916339225374969</v>
      </c>
      <c r="K174" s="53" t="str">
        <f t="shared" si="66"/>
        <v>Vertical</v>
      </c>
      <c r="L174" s="42" t="str">
        <f t="shared" si="66"/>
        <v>Full</v>
      </c>
      <c r="M174" s="50">
        <f t="shared" si="66"/>
        <v>12</v>
      </c>
      <c r="N174" s="49">
        <f t="shared" si="66"/>
        <v>160</v>
      </c>
      <c r="O174" s="44">
        <f t="shared" si="66"/>
        <v>8</v>
      </c>
      <c r="P174" s="44">
        <f>P173</f>
        <v>0</v>
      </c>
      <c r="Q174" s="45">
        <f t="shared" si="61"/>
        <v>0.2</v>
      </c>
      <c r="R174" s="49">
        <v>90</v>
      </c>
      <c r="S174" s="44">
        <f t="shared" si="67"/>
        <v>150</v>
      </c>
      <c r="T174" s="50">
        <f t="shared" si="67"/>
        <v>210</v>
      </c>
    </row>
    <row r="175" spans="1:20" ht="15.75" thickBot="1" x14ac:dyDescent="0.3">
      <c r="A175" s="229">
        <f t="shared" si="55"/>
        <v>1173</v>
      </c>
      <c r="B175" s="230">
        <f t="shared" si="56"/>
        <v>165</v>
      </c>
      <c r="C175" s="218" t="str">
        <f t="shared" si="54"/>
        <v>L15B25#008_000_00</v>
      </c>
      <c r="D175" s="169">
        <f t="shared" si="59"/>
        <v>25</v>
      </c>
      <c r="E175" s="61">
        <f t="shared" si="50"/>
        <v>3.4090000000000007</v>
      </c>
      <c r="F175" s="61">
        <f t="shared" si="51"/>
        <v>42</v>
      </c>
      <c r="G175" s="64">
        <f t="shared" si="62"/>
        <v>6.4</v>
      </c>
      <c r="H175" s="63">
        <f t="shared" si="52"/>
        <v>28.153281816322504</v>
      </c>
      <c r="I175" s="63">
        <f t="shared" si="53"/>
        <v>36.611451429009989</v>
      </c>
      <c r="J175" s="53">
        <f t="shared" si="65"/>
        <v>-16.916339225374969</v>
      </c>
      <c r="K175" s="53" t="str">
        <f t="shared" si="66"/>
        <v>Vertical</v>
      </c>
      <c r="L175" s="42" t="str">
        <f t="shared" si="66"/>
        <v>Full</v>
      </c>
      <c r="M175" s="50">
        <f t="shared" si="66"/>
        <v>12</v>
      </c>
      <c r="N175" s="49">
        <f t="shared" si="66"/>
        <v>160</v>
      </c>
      <c r="O175" s="44">
        <f t="shared" si="66"/>
        <v>8</v>
      </c>
      <c r="P175" s="44">
        <f>yaw_max</f>
        <v>8</v>
      </c>
      <c r="Q175" s="45">
        <f t="shared" si="61"/>
        <v>0.2</v>
      </c>
      <c r="R175" s="49">
        <v>0</v>
      </c>
      <c r="S175" s="44">
        <f t="shared" si="67"/>
        <v>150</v>
      </c>
      <c r="T175" s="50">
        <f t="shared" si="67"/>
        <v>210</v>
      </c>
    </row>
    <row r="176" spans="1:20" ht="15.75" thickBot="1" x14ac:dyDescent="0.3">
      <c r="A176" s="229">
        <f t="shared" si="55"/>
        <v>1174</v>
      </c>
      <c r="B176" s="230">
        <f t="shared" si="56"/>
        <v>166</v>
      </c>
      <c r="C176" s="218" t="str">
        <f t="shared" si="54"/>
        <v>L15B25#008_030_00</v>
      </c>
      <c r="D176" s="169">
        <f t="shared" si="59"/>
        <v>25</v>
      </c>
      <c r="E176" s="61">
        <f t="shared" si="50"/>
        <v>3.4090000000000007</v>
      </c>
      <c r="F176" s="61">
        <f t="shared" si="51"/>
        <v>42</v>
      </c>
      <c r="G176" s="64">
        <f t="shared" si="62"/>
        <v>6.4</v>
      </c>
      <c r="H176" s="63">
        <f t="shared" si="52"/>
        <v>28.153281816322504</v>
      </c>
      <c r="I176" s="63">
        <f t="shared" si="53"/>
        <v>36.611451429009989</v>
      </c>
      <c r="J176" s="53">
        <f t="shared" si="65"/>
        <v>-16.916339225374969</v>
      </c>
      <c r="K176" s="53" t="str">
        <f t="shared" si="66"/>
        <v>Vertical</v>
      </c>
      <c r="L176" s="42" t="str">
        <f t="shared" si="66"/>
        <v>Full</v>
      </c>
      <c r="M176" s="50">
        <f t="shared" si="66"/>
        <v>12</v>
      </c>
      <c r="N176" s="49">
        <f t="shared" si="66"/>
        <v>160</v>
      </c>
      <c r="O176" s="44">
        <f t="shared" si="66"/>
        <v>8</v>
      </c>
      <c r="P176" s="44">
        <f>P175</f>
        <v>8</v>
      </c>
      <c r="Q176" s="45">
        <f t="shared" si="61"/>
        <v>0.2</v>
      </c>
      <c r="R176" s="49">
        <v>30</v>
      </c>
      <c r="S176" s="44">
        <f t="shared" si="67"/>
        <v>150</v>
      </c>
      <c r="T176" s="50">
        <f t="shared" si="67"/>
        <v>210</v>
      </c>
    </row>
    <row r="177" spans="1:20" ht="15.75" thickBot="1" x14ac:dyDescent="0.3">
      <c r="A177" s="229">
        <f t="shared" si="55"/>
        <v>1175</v>
      </c>
      <c r="B177" s="230">
        <f t="shared" si="56"/>
        <v>167</v>
      </c>
      <c r="C177" s="218" t="str">
        <f t="shared" si="54"/>
        <v>L15B25#008_060_00</v>
      </c>
      <c r="D177" s="169">
        <f t="shared" si="59"/>
        <v>25</v>
      </c>
      <c r="E177" s="61">
        <f t="shared" si="50"/>
        <v>3.4090000000000007</v>
      </c>
      <c r="F177" s="61">
        <f t="shared" si="51"/>
        <v>42</v>
      </c>
      <c r="G177" s="64">
        <f t="shared" si="62"/>
        <v>6.4</v>
      </c>
      <c r="H177" s="63">
        <f t="shared" si="52"/>
        <v>28.153281816322504</v>
      </c>
      <c r="I177" s="63">
        <f t="shared" si="53"/>
        <v>36.611451429009989</v>
      </c>
      <c r="J177" s="53">
        <f t="shared" si="65"/>
        <v>-16.916339225374969</v>
      </c>
      <c r="K177" s="53" t="str">
        <f t="shared" si="66"/>
        <v>Vertical</v>
      </c>
      <c r="L177" s="42" t="str">
        <f t="shared" si="66"/>
        <v>Full</v>
      </c>
      <c r="M177" s="50">
        <f t="shared" si="66"/>
        <v>12</v>
      </c>
      <c r="N177" s="49">
        <f t="shared" si="66"/>
        <v>160</v>
      </c>
      <c r="O177" s="44">
        <f t="shared" si="66"/>
        <v>8</v>
      </c>
      <c r="P177" s="44">
        <f>P176</f>
        <v>8</v>
      </c>
      <c r="Q177" s="45">
        <f t="shared" si="61"/>
        <v>0.2</v>
      </c>
      <c r="R177" s="49">
        <v>60</v>
      </c>
      <c r="S177" s="44">
        <f t="shared" si="67"/>
        <v>150</v>
      </c>
      <c r="T177" s="50">
        <f t="shared" si="67"/>
        <v>210</v>
      </c>
    </row>
    <row r="178" spans="1:20" ht="15.75" thickBot="1" x14ac:dyDescent="0.3">
      <c r="A178" s="229">
        <f t="shared" si="55"/>
        <v>1176</v>
      </c>
      <c r="B178" s="230">
        <f t="shared" si="56"/>
        <v>168</v>
      </c>
      <c r="C178" s="218" t="str">
        <f t="shared" si="54"/>
        <v>L15B25#008_090_00</v>
      </c>
      <c r="D178" s="169">
        <f t="shared" si="59"/>
        <v>25</v>
      </c>
      <c r="E178" s="61">
        <f t="shared" si="50"/>
        <v>3.4090000000000007</v>
      </c>
      <c r="F178" s="61">
        <f t="shared" si="51"/>
        <v>42</v>
      </c>
      <c r="G178" s="64">
        <f t="shared" si="62"/>
        <v>6.4</v>
      </c>
      <c r="H178" s="63">
        <f t="shared" si="52"/>
        <v>28.153281816322504</v>
      </c>
      <c r="I178" s="63">
        <f t="shared" si="53"/>
        <v>36.611451429009989</v>
      </c>
      <c r="J178" s="53">
        <f t="shared" si="65"/>
        <v>-16.916339225374969</v>
      </c>
      <c r="K178" s="53" t="str">
        <f t="shared" si="66"/>
        <v>Vertical</v>
      </c>
      <c r="L178" s="42" t="str">
        <f t="shared" si="66"/>
        <v>Full</v>
      </c>
      <c r="M178" s="50">
        <f t="shared" si="66"/>
        <v>12</v>
      </c>
      <c r="N178" s="49">
        <f t="shared" si="66"/>
        <v>160</v>
      </c>
      <c r="O178" s="44">
        <f t="shared" si="66"/>
        <v>8</v>
      </c>
      <c r="P178" s="44">
        <f>P177</f>
        <v>8</v>
      </c>
      <c r="Q178" s="45">
        <f t="shared" si="61"/>
        <v>0.2</v>
      </c>
      <c r="R178" s="49">
        <v>90</v>
      </c>
      <c r="S178" s="44">
        <f t="shared" si="67"/>
        <v>150</v>
      </c>
      <c r="T178" s="50">
        <f t="shared" si="67"/>
        <v>210</v>
      </c>
    </row>
    <row r="179" spans="1:20" ht="15.75" thickBot="1" x14ac:dyDescent="0.3">
      <c r="A179" s="229">
        <f t="shared" si="55"/>
        <v>1177</v>
      </c>
      <c r="B179" s="230">
        <f t="shared" si="56"/>
        <v>169</v>
      </c>
      <c r="C179" s="218" t="str">
        <f t="shared" si="54"/>
        <v>L15C25#352_000_00</v>
      </c>
      <c r="D179" s="169">
        <f t="shared" si="59"/>
        <v>25</v>
      </c>
      <c r="E179" s="61">
        <f t="shared" si="50"/>
        <v>3.4090000000000007</v>
      </c>
      <c r="F179" s="61">
        <f t="shared" si="51"/>
        <v>42</v>
      </c>
      <c r="G179" s="64">
        <f t="shared" si="62"/>
        <v>6.4</v>
      </c>
      <c r="H179" s="63">
        <f t="shared" si="52"/>
        <v>28.153281816322504</v>
      </c>
      <c r="I179" s="63">
        <f t="shared" si="53"/>
        <v>36.611451429009989</v>
      </c>
      <c r="J179" s="53">
        <f>2*(I179-H179)</f>
        <v>16.916339225374969</v>
      </c>
      <c r="K179" s="55" t="s">
        <v>20</v>
      </c>
      <c r="L179" s="42" t="str">
        <f t="shared" si="66"/>
        <v>Full</v>
      </c>
      <c r="M179" s="50">
        <f t="shared" si="66"/>
        <v>12</v>
      </c>
      <c r="N179" s="49">
        <f t="shared" si="66"/>
        <v>160</v>
      </c>
      <c r="O179" s="44">
        <f t="shared" si="66"/>
        <v>8</v>
      </c>
      <c r="P179" s="35">
        <f>yaw_min</f>
        <v>-8</v>
      </c>
      <c r="Q179" s="45">
        <f t="shared" si="61"/>
        <v>0.2</v>
      </c>
      <c r="R179" s="49">
        <v>0</v>
      </c>
      <c r="S179" s="44">
        <f t="shared" si="67"/>
        <v>150</v>
      </c>
      <c r="T179" s="50">
        <f t="shared" si="67"/>
        <v>210</v>
      </c>
    </row>
    <row r="180" spans="1:20" ht="15.75" thickBot="1" x14ac:dyDescent="0.3">
      <c r="A180" s="229">
        <f t="shared" si="55"/>
        <v>1178</v>
      </c>
      <c r="B180" s="230">
        <f t="shared" si="56"/>
        <v>170</v>
      </c>
      <c r="C180" s="218" t="str">
        <f t="shared" si="54"/>
        <v>L15C25#352_030_00</v>
      </c>
      <c r="D180" s="169">
        <f t="shared" si="59"/>
        <v>25</v>
      </c>
      <c r="E180" s="61">
        <f t="shared" si="50"/>
        <v>3.4090000000000007</v>
      </c>
      <c r="F180" s="61">
        <f t="shared" si="51"/>
        <v>42</v>
      </c>
      <c r="G180" s="64">
        <f t="shared" si="62"/>
        <v>6.4</v>
      </c>
      <c r="H180" s="63">
        <f t="shared" si="52"/>
        <v>28.153281816322504</v>
      </c>
      <c r="I180" s="63">
        <f t="shared" si="53"/>
        <v>36.611451429009989</v>
      </c>
      <c r="J180" s="53">
        <f t="shared" ref="J180:J190" si="68">2*(I180-H180)</f>
        <v>16.916339225374969</v>
      </c>
      <c r="K180" s="53" t="str">
        <f t="shared" ref="K180:O195" si="69">K179</f>
        <v>Horizontal</v>
      </c>
      <c r="L180" s="42" t="str">
        <f t="shared" si="66"/>
        <v>Full</v>
      </c>
      <c r="M180" s="50">
        <f t="shared" si="66"/>
        <v>12</v>
      </c>
      <c r="N180" s="49">
        <f t="shared" si="66"/>
        <v>160</v>
      </c>
      <c r="O180" s="44">
        <f t="shared" si="66"/>
        <v>8</v>
      </c>
      <c r="P180" s="44">
        <f>P179</f>
        <v>-8</v>
      </c>
      <c r="Q180" s="45">
        <f t="shared" si="61"/>
        <v>0.2</v>
      </c>
      <c r="R180" s="49">
        <v>30</v>
      </c>
      <c r="S180" s="44">
        <f t="shared" si="67"/>
        <v>150</v>
      </c>
      <c r="T180" s="50">
        <f t="shared" si="67"/>
        <v>210</v>
      </c>
    </row>
    <row r="181" spans="1:20" ht="15.75" thickBot="1" x14ac:dyDescent="0.3">
      <c r="A181" s="229">
        <f t="shared" si="55"/>
        <v>1179</v>
      </c>
      <c r="B181" s="230">
        <f t="shared" si="56"/>
        <v>171</v>
      </c>
      <c r="C181" s="218" t="str">
        <f t="shared" si="54"/>
        <v>L15C25#352_060_00</v>
      </c>
      <c r="D181" s="169">
        <f t="shared" si="59"/>
        <v>25</v>
      </c>
      <c r="E181" s="61">
        <f t="shared" si="50"/>
        <v>3.4090000000000007</v>
      </c>
      <c r="F181" s="61">
        <f t="shared" si="51"/>
        <v>42</v>
      </c>
      <c r="G181" s="64">
        <f t="shared" si="62"/>
        <v>6.4</v>
      </c>
      <c r="H181" s="63">
        <f t="shared" si="52"/>
        <v>28.153281816322504</v>
      </c>
      <c r="I181" s="63">
        <f t="shared" si="53"/>
        <v>36.611451429009989</v>
      </c>
      <c r="J181" s="53">
        <f t="shared" si="68"/>
        <v>16.916339225374969</v>
      </c>
      <c r="K181" s="53" t="str">
        <f t="shared" si="69"/>
        <v>Horizontal</v>
      </c>
      <c r="L181" s="42" t="str">
        <f t="shared" si="66"/>
        <v>Full</v>
      </c>
      <c r="M181" s="50">
        <f t="shared" si="66"/>
        <v>12</v>
      </c>
      <c r="N181" s="49">
        <f t="shared" si="66"/>
        <v>160</v>
      </c>
      <c r="O181" s="44">
        <f t="shared" si="66"/>
        <v>8</v>
      </c>
      <c r="P181" s="44">
        <f>P180</f>
        <v>-8</v>
      </c>
      <c r="Q181" s="45">
        <f t="shared" si="61"/>
        <v>0.2</v>
      </c>
      <c r="R181" s="49">
        <v>60</v>
      </c>
      <c r="S181" s="44">
        <f t="shared" si="67"/>
        <v>150</v>
      </c>
      <c r="T181" s="50">
        <f t="shared" si="67"/>
        <v>210</v>
      </c>
    </row>
    <row r="182" spans="1:20" ht="15.75" thickBot="1" x14ac:dyDescent="0.3">
      <c r="A182" s="229">
        <f t="shared" si="55"/>
        <v>1180</v>
      </c>
      <c r="B182" s="230">
        <f t="shared" si="56"/>
        <v>172</v>
      </c>
      <c r="C182" s="218" t="str">
        <f t="shared" si="54"/>
        <v>L15C25#352_090_00</v>
      </c>
      <c r="D182" s="169">
        <f t="shared" si="59"/>
        <v>25</v>
      </c>
      <c r="E182" s="61">
        <f t="shared" si="50"/>
        <v>3.4090000000000007</v>
      </c>
      <c r="F182" s="61">
        <f t="shared" si="51"/>
        <v>42</v>
      </c>
      <c r="G182" s="64">
        <f t="shared" si="62"/>
        <v>6.4</v>
      </c>
      <c r="H182" s="63">
        <f t="shared" si="52"/>
        <v>28.153281816322504</v>
      </c>
      <c r="I182" s="63">
        <f t="shared" si="53"/>
        <v>36.611451429009989</v>
      </c>
      <c r="J182" s="53">
        <f t="shared" si="68"/>
        <v>16.916339225374969</v>
      </c>
      <c r="K182" s="53" t="str">
        <f t="shared" si="69"/>
        <v>Horizontal</v>
      </c>
      <c r="L182" s="42" t="str">
        <f t="shared" si="66"/>
        <v>Full</v>
      </c>
      <c r="M182" s="50">
        <f t="shared" si="66"/>
        <v>12</v>
      </c>
      <c r="N182" s="49">
        <f t="shared" si="66"/>
        <v>160</v>
      </c>
      <c r="O182" s="44">
        <f t="shared" si="66"/>
        <v>8</v>
      </c>
      <c r="P182" s="44">
        <f>P181</f>
        <v>-8</v>
      </c>
      <c r="Q182" s="45">
        <f t="shared" si="61"/>
        <v>0.2</v>
      </c>
      <c r="R182" s="49">
        <v>90</v>
      </c>
      <c r="S182" s="44">
        <f t="shared" si="67"/>
        <v>150</v>
      </c>
      <c r="T182" s="50">
        <f t="shared" si="67"/>
        <v>210</v>
      </c>
    </row>
    <row r="183" spans="1:20" ht="15.75" thickBot="1" x14ac:dyDescent="0.3">
      <c r="A183" s="229">
        <f t="shared" si="55"/>
        <v>1181</v>
      </c>
      <c r="B183" s="230">
        <f t="shared" si="56"/>
        <v>173</v>
      </c>
      <c r="C183" s="218" t="str">
        <f t="shared" si="54"/>
        <v>L15C25#000_000_00</v>
      </c>
      <c r="D183" s="169">
        <f t="shared" si="59"/>
        <v>25</v>
      </c>
      <c r="E183" s="61">
        <f t="shared" si="50"/>
        <v>3.4090000000000007</v>
      </c>
      <c r="F183" s="61">
        <f t="shared" si="51"/>
        <v>42</v>
      </c>
      <c r="G183" s="64">
        <f t="shared" si="62"/>
        <v>6.4</v>
      </c>
      <c r="H183" s="63">
        <f t="shared" si="52"/>
        <v>28.153281816322504</v>
      </c>
      <c r="I183" s="63">
        <f t="shared" si="53"/>
        <v>36.611451429009989</v>
      </c>
      <c r="J183" s="53">
        <f t="shared" si="68"/>
        <v>16.916339225374969</v>
      </c>
      <c r="K183" s="53" t="str">
        <f t="shared" si="69"/>
        <v>Horizontal</v>
      </c>
      <c r="L183" s="42" t="str">
        <f t="shared" si="66"/>
        <v>Full</v>
      </c>
      <c r="M183" s="50">
        <f t="shared" si="66"/>
        <v>12</v>
      </c>
      <c r="N183" s="49">
        <f t="shared" si="66"/>
        <v>160</v>
      </c>
      <c r="O183" s="44">
        <f t="shared" si="66"/>
        <v>8</v>
      </c>
      <c r="P183" s="44">
        <f>yaw_null</f>
        <v>0</v>
      </c>
      <c r="Q183" s="45">
        <f t="shared" si="61"/>
        <v>0.2</v>
      </c>
      <c r="R183" s="49">
        <v>0</v>
      </c>
      <c r="S183" s="44">
        <f t="shared" si="67"/>
        <v>150</v>
      </c>
      <c r="T183" s="50">
        <f t="shared" si="67"/>
        <v>210</v>
      </c>
    </row>
    <row r="184" spans="1:20" ht="15.75" thickBot="1" x14ac:dyDescent="0.3">
      <c r="A184" s="229">
        <f t="shared" si="55"/>
        <v>1182</v>
      </c>
      <c r="B184" s="230">
        <f t="shared" si="56"/>
        <v>174</v>
      </c>
      <c r="C184" s="218" t="str">
        <f t="shared" si="54"/>
        <v>L15C25#000_030_00</v>
      </c>
      <c r="D184" s="169">
        <f t="shared" si="59"/>
        <v>25</v>
      </c>
      <c r="E184" s="61">
        <f t="shared" si="50"/>
        <v>3.4090000000000007</v>
      </c>
      <c r="F184" s="61">
        <f t="shared" si="51"/>
        <v>42</v>
      </c>
      <c r="G184" s="64">
        <f t="shared" si="62"/>
        <v>6.4</v>
      </c>
      <c r="H184" s="63">
        <f t="shared" si="52"/>
        <v>28.153281816322504</v>
      </c>
      <c r="I184" s="63">
        <f t="shared" si="53"/>
        <v>36.611451429009989</v>
      </c>
      <c r="J184" s="53">
        <f t="shared" si="68"/>
        <v>16.916339225374969</v>
      </c>
      <c r="K184" s="53" t="str">
        <f t="shared" si="69"/>
        <v>Horizontal</v>
      </c>
      <c r="L184" s="42" t="str">
        <f t="shared" si="66"/>
        <v>Full</v>
      </c>
      <c r="M184" s="50">
        <f t="shared" si="66"/>
        <v>12</v>
      </c>
      <c r="N184" s="49">
        <f t="shared" si="66"/>
        <v>160</v>
      </c>
      <c r="O184" s="44">
        <f t="shared" si="66"/>
        <v>8</v>
      </c>
      <c r="P184" s="44">
        <f>P183</f>
        <v>0</v>
      </c>
      <c r="Q184" s="45">
        <f t="shared" si="61"/>
        <v>0.2</v>
      </c>
      <c r="R184" s="49">
        <v>30</v>
      </c>
      <c r="S184" s="44">
        <f t="shared" si="67"/>
        <v>150</v>
      </c>
      <c r="T184" s="50">
        <f t="shared" si="67"/>
        <v>210</v>
      </c>
    </row>
    <row r="185" spans="1:20" ht="15.75" thickBot="1" x14ac:dyDescent="0.3">
      <c r="A185" s="229">
        <f t="shared" si="55"/>
        <v>1183</v>
      </c>
      <c r="B185" s="230">
        <f t="shared" si="56"/>
        <v>175</v>
      </c>
      <c r="C185" s="218" t="str">
        <f t="shared" si="54"/>
        <v>L15C25#000_060_00</v>
      </c>
      <c r="D185" s="169">
        <f t="shared" si="59"/>
        <v>25</v>
      </c>
      <c r="E185" s="61">
        <f t="shared" si="50"/>
        <v>3.4090000000000007</v>
      </c>
      <c r="F185" s="61">
        <f t="shared" si="51"/>
        <v>42</v>
      </c>
      <c r="G185" s="64">
        <f t="shared" si="62"/>
        <v>6.4</v>
      </c>
      <c r="H185" s="63">
        <f t="shared" si="52"/>
        <v>28.153281816322504</v>
      </c>
      <c r="I185" s="63">
        <f t="shared" si="53"/>
        <v>36.611451429009989</v>
      </c>
      <c r="J185" s="53">
        <f t="shared" si="68"/>
        <v>16.916339225374969</v>
      </c>
      <c r="K185" s="53" t="str">
        <f t="shared" si="69"/>
        <v>Horizontal</v>
      </c>
      <c r="L185" s="42" t="str">
        <f t="shared" si="66"/>
        <v>Full</v>
      </c>
      <c r="M185" s="50">
        <f t="shared" si="66"/>
        <v>12</v>
      </c>
      <c r="N185" s="49">
        <f t="shared" si="66"/>
        <v>160</v>
      </c>
      <c r="O185" s="44">
        <f t="shared" si="66"/>
        <v>8</v>
      </c>
      <c r="P185" s="44">
        <f>P184</f>
        <v>0</v>
      </c>
      <c r="Q185" s="45">
        <f t="shared" si="61"/>
        <v>0.2</v>
      </c>
      <c r="R185" s="49">
        <v>60</v>
      </c>
      <c r="S185" s="44">
        <f t="shared" si="67"/>
        <v>150</v>
      </c>
      <c r="T185" s="50">
        <f t="shared" si="67"/>
        <v>210</v>
      </c>
    </row>
    <row r="186" spans="1:20" ht="15.75" thickBot="1" x14ac:dyDescent="0.3">
      <c r="A186" s="229">
        <f t="shared" si="55"/>
        <v>1184</v>
      </c>
      <c r="B186" s="230">
        <f t="shared" si="56"/>
        <v>176</v>
      </c>
      <c r="C186" s="218" t="str">
        <f t="shared" si="54"/>
        <v>L15C25#000_090_00</v>
      </c>
      <c r="D186" s="169">
        <f t="shared" si="59"/>
        <v>25</v>
      </c>
      <c r="E186" s="61">
        <f t="shared" si="50"/>
        <v>3.4090000000000007</v>
      </c>
      <c r="F186" s="61">
        <f t="shared" si="51"/>
        <v>42</v>
      </c>
      <c r="G186" s="64">
        <f t="shared" si="62"/>
        <v>6.4</v>
      </c>
      <c r="H186" s="63">
        <f t="shared" si="52"/>
        <v>28.153281816322504</v>
      </c>
      <c r="I186" s="63">
        <f t="shared" si="53"/>
        <v>36.611451429009989</v>
      </c>
      <c r="J186" s="53">
        <f t="shared" si="68"/>
        <v>16.916339225374969</v>
      </c>
      <c r="K186" s="53" t="str">
        <f t="shared" si="69"/>
        <v>Horizontal</v>
      </c>
      <c r="L186" s="42" t="str">
        <f t="shared" si="66"/>
        <v>Full</v>
      </c>
      <c r="M186" s="50">
        <f t="shared" si="66"/>
        <v>12</v>
      </c>
      <c r="N186" s="49">
        <f t="shared" si="66"/>
        <v>160</v>
      </c>
      <c r="O186" s="44">
        <f t="shared" si="66"/>
        <v>8</v>
      </c>
      <c r="P186" s="44">
        <f>P185</f>
        <v>0</v>
      </c>
      <c r="Q186" s="45">
        <f t="shared" si="61"/>
        <v>0.2</v>
      </c>
      <c r="R186" s="49">
        <v>90</v>
      </c>
      <c r="S186" s="44">
        <f t="shared" si="67"/>
        <v>150</v>
      </c>
      <c r="T186" s="50">
        <f t="shared" si="67"/>
        <v>210</v>
      </c>
    </row>
    <row r="187" spans="1:20" ht="15.75" thickBot="1" x14ac:dyDescent="0.3">
      <c r="A187" s="229">
        <f t="shared" si="55"/>
        <v>1185</v>
      </c>
      <c r="B187" s="230">
        <f t="shared" si="56"/>
        <v>177</v>
      </c>
      <c r="C187" s="218" t="str">
        <f t="shared" si="54"/>
        <v>L15C25#008_000_00</v>
      </c>
      <c r="D187" s="169">
        <f t="shared" si="59"/>
        <v>25</v>
      </c>
      <c r="E187" s="61">
        <f t="shared" si="50"/>
        <v>3.4090000000000007</v>
      </c>
      <c r="F187" s="61">
        <f t="shared" si="51"/>
        <v>42</v>
      </c>
      <c r="G187" s="64">
        <f t="shared" si="62"/>
        <v>6.4</v>
      </c>
      <c r="H187" s="63">
        <f t="shared" si="52"/>
        <v>28.153281816322504</v>
      </c>
      <c r="I187" s="63">
        <f t="shared" si="53"/>
        <v>36.611451429009989</v>
      </c>
      <c r="J187" s="53">
        <f t="shared" si="68"/>
        <v>16.916339225374969</v>
      </c>
      <c r="K187" s="53" t="str">
        <f t="shared" si="69"/>
        <v>Horizontal</v>
      </c>
      <c r="L187" s="42" t="str">
        <f t="shared" si="66"/>
        <v>Full</v>
      </c>
      <c r="M187" s="50">
        <f t="shared" si="66"/>
        <v>12</v>
      </c>
      <c r="N187" s="49">
        <f t="shared" si="66"/>
        <v>160</v>
      </c>
      <c r="O187" s="44">
        <f t="shared" si="66"/>
        <v>8</v>
      </c>
      <c r="P187" s="44">
        <f>yaw_max</f>
        <v>8</v>
      </c>
      <c r="Q187" s="45">
        <f t="shared" si="61"/>
        <v>0.2</v>
      </c>
      <c r="R187" s="49">
        <v>0</v>
      </c>
      <c r="S187" s="44">
        <f t="shared" si="67"/>
        <v>150</v>
      </c>
      <c r="T187" s="50">
        <f t="shared" si="67"/>
        <v>210</v>
      </c>
    </row>
    <row r="188" spans="1:20" ht="15.75" thickBot="1" x14ac:dyDescent="0.3">
      <c r="A188" s="229">
        <f t="shared" si="55"/>
        <v>1186</v>
      </c>
      <c r="B188" s="230">
        <f t="shared" si="56"/>
        <v>178</v>
      </c>
      <c r="C188" s="218" t="str">
        <f t="shared" si="54"/>
        <v>L15C25#008_030_00</v>
      </c>
      <c r="D188" s="169">
        <f t="shared" si="59"/>
        <v>25</v>
      </c>
      <c r="E188" s="61">
        <f t="shared" si="50"/>
        <v>3.4090000000000007</v>
      </c>
      <c r="F188" s="61">
        <f t="shared" si="51"/>
        <v>42</v>
      </c>
      <c r="G188" s="64">
        <f t="shared" si="62"/>
        <v>6.4</v>
      </c>
      <c r="H188" s="63">
        <f t="shared" si="52"/>
        <v>28.153281816322504</v>
      </c>
      <c r="I188" s="63">
        <f t="shared" si="53"/>
        <v>36.611451429009989</v>
      </c>
      <c r="J188" s="53">
        <f t="shared" si="68"/>
        <v>16.916339225374969</v>
      </c>
      <c r="K188" s="53" t="str">
        <f t="shared" si="69"/>
        <v>Horizontal</v>
      </c>
      <c r="L188" s="42" t="str">
        <f t="shared" si="66"/>
        <v>Full</v>
      </c>
      <c r="M188" s="50">
        <f t="shared" si="66"/>
        <v>12</v>
      </c>
      <c r="N188" s="49">
        <f t="shared" si="66"/>
        <v>160</v>
      </c>
      <c r="O188" s="44">
        <f t="shared" si="66"/>
        <v>8</v>
      </c>
      <c r="P188" s="44">
        <f>P187</f>
        <v>8</v>
      </c>
      <c r="Q188" s="45">
        <f t="shared" si="61"/>
        <v>0.2</v>
      </c>
      <c r="R188" s="49">
        <v>30</v>
      </c>
      <c r="S188" s="44">
        <f t="shared" si="67"/>
        <v>150</v>
      </c>
      <c r="T188" s="50">
        <f t="shared" si="67"/>
        <v>210</v>
      </c>
    </row>
    <row r="189" spans="1:20" ht="15.75" thickBot="1" x14ac:dyDescent="0.3">
      <c r="A189" s="229">
        <f t="shared" si="55"/>
        <v>1187</v>
      </c>
      <c r="B189" s="230">
        <f t="shared" si="56"/>
        <v>179</v>
      </c>
      <c r="C189" s="218" t="str">
        <f t="shared" si="54"/>
        <v>L15C25#008_060_00</v>
      </c>
      <c r="D189" s="169">
        <f t="shared" si="59"/>
        <v>25</v>
      </c>
      <c r="E189" s="61">
        <f t="shared" si="50"/>
        <v>3.4090000000000007</v>
      </c>
      <c r="F189" s="61">
        <f t="shared" si="51"/>
        <v>42</v>
      </c>
      <c r="G189" s="64">
        <f t="shared" si="62"/>
        <v>6.4</v>
      </c>
      <c r="H189" s="63">
        <f t="shared" si="52"/>
        <v>28.153281816322504</v>
      </c>
      <c r="I189" s="63">
        <f t="shared" si="53"/>
        <v>36.611451429009989</v>
      </c>
      <c r="J189" s="53">
        <f t="shared" si="68"/>
        <v>16.916339225374969</v>
      </c>
      <c r="K189" s="53" t="str">
        <f t="shared" si="69"/>
        <v>Horizontal</v>
      </c>
      <c r="L189" s="42" t="str">
        <f t="shared" si="69"/>
        <v>Full</v>
      </c>
      <c r="M189" s="50">
        <f t="shared" si="69"/>
        <v>12</v>
      </c>
      <c r="N189" s="49">
        <f t="shared" si="69"/>
        <v>160</v>
      </c>
      <c r="O189" s="44">
        <f t="shared" si="69"/>
        <v>8</v>
      </c>
      <c r="P189" s="44">
        <f>P188</f>
        <v>8</v>
      </c>
      <c r="Q189" s="45">
        <f t="shared" si="61"/>
        <v>0.2</v>
      </c>
      <c r="R189" s="49">
        <v>60</v>
      </c>
      <c r="S189" s="44">
        <f t="shared" ref="S189:T202" si="70">S188</f>
        <v>150</v>
      </c>
      <c r="T189" s="50">
        <f t="shared" si="70"/>
        <v>210</v>
      </c>
    </row>
    <row r="190" spans="1:20" ht="15.75" thickBot="1" x14ac:dyDescent="0.3">
      <c r="A190" s="229">
        <f t="shared" si="55"/>
        <v>1188</v>
      </c>
      <c r="B190" s="230">
        <f t="shared" si="56"/>
        <v>180</v>
      </c>
      <c r="C190" s="218" t="str">
        <f t="shared" si="54"/>
        <v>L15C25#008_090_00</v>
      </c>
      <c r="D190" s="169">
        <f t="shared" si="59"/>
        <v>25</v>
      </c>
      <c r="E190" s="61">
        <f t="shared" si="50"/>
        <v>3.4090000000000007</v>
      </c>
      <c r="F190" s="61">
        <f t="shared" si="51"/>
        <v>42</v>
      </c>
      <c r="G190" s="64">
        <f t="shared" si="62"/>
        <v>6.4</v>
      </c>
      <c r="H190" s="63">
        <f t="shared" si="52"/>
        <v>28.153281816322504</v>
      </c>
      <c r="I190" s="63">
        <f t="shared" si="53"/>
        <v>36.611451429009989</v>
      </c>
      <c r="J190" s="53">
        <f t="shared" si="68"/>
        <v>16.916339225374969</v>
      </c>
      <c r="K190" s="53" t="str">
        <f t="shared" si="69"/>
        <v>Horizontal</v>
      </c>
      <c r="L190" s="42" t="str">
        <f t="shared" si="69"/>
        <v>Full</v>
      </c>
      <c r="M190" s="50">
        <f t="shared" si="69"/>
        <v>12</v>
      </c>
      <c r="N190" s="49">
        <f t="shared" si="69"/>
        <v>160</v>
      </c>
      <c r="O190" s="44">
        <f t="shared" si="69"/>
        <v>8</v>
      </c>
      <c r="P190" s="44">
        <f>P189</f>
        <v>8</v>
      </c>
      <c r="Q190" s="45">
        <f t="shared" si="61"/>
        <v>0.2</v>
      </c>
      <c r="R190" s="49">
        <v>90</v>
      </c>
      <c r="S190" s="44">
        <f t="shared" si="70"/>
        <v>150</v>
      </c>
      <c r="T190" s="50">
        <f t="shared" si="70"/>
        <v>210</v>
      </c>
    </row>
    <row r="191" spans="1:20" ht="15.75" thickBot="1" x14ac:dyDescent="0.3">
      <c r="A191" s="229">
        <f t="shared" si="55"/>
        <v>1189</v>
      </c>
      <c r="B191" s="230">
        <f t="shared" si="56"/>
        <v>181</v>
      </c>
      <c r="C191" s="218" t="str">
        <f t="shared" si="54"/>
        <v>L15D25#352_000_00</v>
      </c>
      <c r="D191" s="169">
        <f t="shared" si="59"/>
        <v>25</v>
      </c>
      <c r="E191" s="61">
        <f t="shared" si="50"/>
        <v>3.4090000000000007</v>
      </c>
      <c r="F191" s="61">
        <f t="shared" si="51"/>
        <v>42</v>
      </c>
      <c r="G191" s="64">
        <f t="shared" si="62"/>
        <v>6.4</v>
      </c>
      <c r="H191" s="63">
        <f t="shared" si="52"/>
        <v>28.153281816322504</v>
      </c>
      <c r="I191" s="63">
        <f t="shared" si="53"/>
        <v>36.611451429009989</v>
      </c>
      <c r="J191" s="53">
        <f>2*(H191-I191)</f>
        <v>-16.916339225374969</v>
      </c>
      <c r="K191" s="55" t="s">
        <v>20</v>
      </c>
      <c r="L191" s="42" t="str">
        <f t="shared" si="69"/>
        <v>Full</v>
      </c>
      <c r="M191" s="50">
        <f t="shared" si="69"/>
        <v>12</v>
      </c>
      <c r="N191" s="49">
        <f t="shared" si="69"/>
        <v>160</v>
      </c>
      <c r="O191" s="44">
        <f t="shared" si="69"/>
        <v>8</v>
      </c>
      <c r="P191" s="35">
        <f>yaw_min</f>
        <v>-8</v>
      </c>
      <c r="Q191" s="45">
        <f t="shared" si="61"/>
        <v>0.2</v>
      </c>
      <c r="R191" s="49">
        <v>0</v>
      </c>
      <c r="S191" s="44">
        <f t="shared" si="70"/>
        <v>150</v>
      </c>
      <c r="T191" s="50">
        <f t="shared" si="70"/>
        <v>210</v>
      </c>
    </row>
    <row r="192" spans="1:20" ht="15.75" thickBot="1" x14ac:dyDescent="0.3">
      <c r="A192" s="229">
        <f t="shared" si="55"/>
        <v>1190</v>
      </c>
      <c r="B192" s="230">
        <f t="shared" si="56"/>
        <v>182</v>
      </c>
      <c r="C192" s="218" t="str">
        <f t="shared" si="54"/>
        <v>L15D25#352_030_00</v>
      </c>
      <c r="D192" s="169">
        <f t="shared" si="59"/>
        <v>25</v>
      </c>
      <c r="E192" s="61">
        <f t="shared" si="50"/>
        <v>3.4090000000000007</v>
      </c>
      <c r="F192" s="61">
        <f t="shared" si="51"/>
        <v>42</v>
      </c>
      <c r="G192" s="64">
        <f t="shared" si="62"/>
        <v>6.4</v>
      </c>
      <c r="H192" s="63">
        <f t="shared" si="52"/>
        <v>28.153281816322504</v>
      </c>
      <c r="I192" s="63">
        <f t="shared" si="53"/>
        <v>36.611451429009989</v>
      </c>
      <c r="J192" s="53">
        <f t="shared" ref="J192:O202" si="71">J191</f>
        <v>-16.916339225374969</v>
      </c>
      <c r="K192" s="53" t="str">
        <f t="shared" si="71"/>
        <v>Horizontal</v>
      </c>
      <c r="L192" s="42" t="str">
        <f t="shared" si="69"/>
        <v>Full</v>
      </c>
      <c r="M192" s="50">
        <f t="shared" si="69"/>
        <v>12</v>
      </c>
      <c r="N192" s="49">
        <f t="shared" si="69"/>
        <v>160</v>
      </c>
      <c r="O192" s="44">
        <f t="shared" si="69"/>
        <v>8</v>
      </c>
      <c r="P192" s="44">
        <f>P191</f>
        <v>-8</v>
      </c>
      <c r="Q192" s="45">
        <f t="shared" si="61"/>
        <v>0.2</v>
      </c>
      <c r="R192" s="49">
        <v>30</v>
      </c>
      <c r="S192" s="44">
        <f t="shared" si="70"/>
        <v>150</v>
      </c>
      <c r="T192" s="50">
        <f t="shared" si="70"/>
        <v>210</v>
      </c>
    </row>
    <row r="193" spans="1:20" ht="15.75" thickBot="1" x14ac:dyDescent="0.3">
      <c r="A193" s="229">
        <f t="shared" si="55"/>
        <v>1191</v>
      </c>
      <c r="B193" s="230">
        <f t="shared" si="56"/>
        <v>183</v>
      </c>
      <c r="C193" s="218" t="str">
        <f t="shared" si="54"/>
        <v>L15D25#352_060_00</v>
      </c>
      <c r="D193" s="169">
        <f t="shared" si="59"/>
        <v>25</v>
      </c>
      <c r="E193" s="61">
        <f t="shared" si="50"/>
        <v>3.4090000000000007</v>
      </c>
      <c r="F193" s="61">
        <f t="shared" si="51"/>
        <v>42</v>
      </c>
      <c r="G193" s="64">
        <f t="shared" si="62"/>
        <v>6.4</v>
      </c>
      <c r="H193" s="63">
        <f t="shared" si="52"/>
        <v>28.153281816322504</v>
      </c>
      <c r="I193" s="63">
        <f t="shared" si="53"/>
        <v>36.611451429009989</v>
      </c>
      <c r="J193" s="53">
        <f t="shared" si="71"/>
        <v>-16.916339225374969</v>
      </c>
      <c r="K193" s="53" t="str">
        <f t="shared" si="71"/>
        <v>Horizontal</v>
      </c>
      <c r="L193" s="42" t="str">
        <f t="shared" si="69"/>
        <v>Full</v>
      </c>
      <c r="M193" s="50">
        <f t="shared" si="69"/>
        <v>12</v>
      </c>
      <c r="N193" s="49">
        <f t="shared" si="69"/>
        <v>160</v>
      </c>
      <c r="O193" s="44">
        <f t="shared" si="69"/>
        <v>8</v>
      </c>
      <c r="P193" s="44">
        <f>P192</f>
        <v>-8</v>
      </c>
      <c r="Q193" s="45">
        <f t="shared" si="61"/>
        <v>0.2</v>
      </c>
      <c r="R193" s="49">
        <v>60</v>
      </c>
      <c r="S193" s="44">
        <f t="shared" si="70"/>
        <v>150</v>
      </c>
      <c r="T193" s="50">
        <f t="shared" si="70"/>
        <v>210</v>
      </c>
    </row>
    <row r="194" spans="1:20" ht="15.75" thickBot="1" x14ac:dyDescent="0.3">
      <c r="A194" s="229">
        <f t="shared" si="55"/>
        <v>1192</v>
      </c>
      <c r="B194" s="230">
        <f t="shared" si="56"/>
        <v>184</v>
      </c>
      <c r="C194" s="218" t="str">
        <f t="shared" si="54"/>
        <v>L15D25#352_090_00</v>
      </c>
      <c r="D194" s="169">
        <f t="shared" si="59"/>
        <v>25</v>
      </c>
      <c r="E194" s="61">
        <f t="shared" si="50"/>
        <v>3.4090000000000007</v>
      </c>
      <c r="F194" s="61">
        <f t="shared" si="51"/>
        <v>42</v>
      </c>
      <c r="G194" s="64">
        <f t="shared" si="62"/>
        <v>6.4</v>
      </c>
      <c r="H194" s="63">
        <f t="shared" si="52"/>
        <v>28.153281816322504</v>
      </c>
      <c r="I194" s="63">
        <f t="shared" si="53"/>
        <v>36.611451429009989</v>
      </c>
      <c r="J194" s="53">
        <f t="shared" si="71"/>
        <v>-16.916339225374969</v>
      </c>
      <c r="K194" s="53" t="str">
        <f t="shared" si="71"/>
        <v>Horizontal</v>
      </c>
      <c r="L194" s="42" t="str">
        <f t="shared" si="69"/>
        <v>Full</v>
      </c>
      <c r="M194" s="50">
        <f t="shared" si="69"/>
        <v>12</v>
      </c>
      <c r="N194" s="49">
        <f t="shared" si="69"/>
        <v>160</v>
      </c>
      <c r="O194" s="44">
        <f t="shared" si="69"/>
        <v>8</v>
      </c>
      <c r="P194" s="44">
        <f>P193</f>
        <v>-8</v>
      </c>
      <c r="Q194" s="45">
        <f t="shared" si="61"/>
        <v>0.2</v>
      </c>
      <c r="R194" s="49">
        <v>90</v>
      </c>
      <c r="S194" s="44">
        <f t="shared" si="70"/>
        <v>150</v>
      </c>
      <c r="T194" s="50">
        <f t="shared" si="70"/>
        <v>210</v>
      </c>
    </row>
    <row r="195" spans="1:20" ht="15.75" thickBot="1" x14ac:dyDescent="0.3">
      <c r="A195" s="229">
        <f t="shared" si="55"/>
        <v>1193</v>
      </c>
      <c r="B195" s="230">
        <f t="shared" si="56"/>
        <v>185</v>
      </c>
      <c r="C195" s="218" t="str">
        <f t="shared" si="54"/>
        <v>L15D25#000_000_00</v>
      </c>
      <c r="D195" s="169">
        <f t="shared" si="59"/>
        <v>25</v>
      </c>
      <c r="E195" s="61">
        <f t="shared" si="50"/>
        <v>3.4090000000000007</v>
      </c>
      <c r="F195" s="61">
        <f t="shared" si="51"/>
        <v>42</v>
      </c>
      <c r="G195" s="64">
        <f t="shared" si="62"/>
        <v>6.4</v>
      </c>
      <c r="H195" s="63">
        <f t="shared" si="52"/>
        <v>28.153281816322504</v>
      </c>
      <c r="I195" s="63">
        <f t="shared" si="53"/>
        <v>36.611451429009989</v>
      </c>
      <c r="J195" s="53">
        <f t="shared" si="71"/>
        <v>-16.916339225374969</v>
      </c>
      <c r="K195" s="53" t="str">
        <f t="shared" si="71"/>
        <v>Horizontal</v>
      </c>
      <c r="L195" s="42" t="str">
        <f t="shared" si="69"/>
        <v>Full</v>
      </c>
      <c r="M195" s="50">
        <f t="shared" si="69"/>
        <v>12</v>
      </c>
      <c r="N195" s="49">
        <f t="shared" si="69"/>
        <v>160</v>
      </c>
      <c r="O195" s="44">
        <f t="shared" si="69"/>
        <v>8</v>
      </c>
      <c r="P195" s="44">
        <f>yaw_null</f>
        <v>0</v>
      </c>
      <c r="Q195" s="45">
        <f t="shared" si="61"/>
        <v>0.2</v>
      </c>
      <c r="R195" s="49">
        <v>0</v>
      </c>
      <c r="S195" s="44">
        <f t="shared" si="70"/>
        <v>150</v>
      </c>
      <c r="T195" s="50">
        <f t="shared" si="70"/>
        <v>210</v>
      </c>
    </row>
    <row r="196" spans="1:20" ht="15.75" thickBot="1" x14ac:dyDescent="0.3">
      <c r="A196" s="229">
        <f t="shared" si="55"/>
        <v>1194</v>
      </c>
      <c r="B196" s="230">
        <f t="shared" si="56"/>
        <v>186</v>
      </c>
      <c r="C196" s="218" t="str">
        <f t="shared" si="54"/>
        <v>L15D25#000_030_00</v>
      </c>
      <c r="D196" s="169">
        <f t="shared" si="59"/>
        <v>25</v>
      </c>
      <c r="E196" s="61">
        <f t="shared" si="50"/>
        <v>3.4090000000000007</v>
      </c>
      <c r="F196" s="61">
        <f t="shared" si="51"/>
        <v>42</v>
      </c>
      <c r="G196" s="64">
        <f t="shared" si="62"/>
        <v>6.4</v>
      </c>
      <c r="H196" s="63">
        <f t="shared" si="52"/>
        <v>28.153281816322504</v>
      </c>
      <c r="I196" s="63">
        <f t="shared" si="53"/>
        <v>36.611451429009989</v>
      </c>
      <c r="J196" s="53">
        <f t="shared" si="71"/>
        <v>-16.916339225374969</v>
      </c>
      <c r="K196" s="53" t="str">
        <f t="shared" si="71"/>
        <v>Horizontal</v>
      </c>
      <c r="L196" s="42" t="str">
        <f t="shared" si="71"/>
        <v>Full</v>
      </c>
      <c r="M196" s="50">
        <f t="shared" si="71"/>
        <v>12</v>
      </c>
      <c r="N196" s="49">
        <f t="shared" si="71"/>
        <v>160</v>
      </c>
      <c r="O196" s="44">
        <f t="shared" si="71"/>
        <v>8</v>
      </c>
      <c r="P196" s="44">
        <f>P195</f>
        <v>0</v>
      </c>
      <c r="Q196" s="45">
        <f t="shared" si="61"/>
        <v>0.2</v>
      </c>
      <c r="R196" s="49">
        <v>30</v>
      </c>
      <c r="S196" s="44">
        <f t="shared" si="70"/>
        <v>150</v>
      </c>
      <c r="T196" s="50">
        <f t="shared" si="70"/>
        <v>210</v>
      </c>
    </row>
    <row r="197" spans="1:20" ht="15.75" thickBot="1" x14ac:dyDescent="0.3">
      <c r="A197" s="229">
        <f t="shared" si="55"/>
        <v>1195</v>
      </c>
      <c r="B197" s="230">
        <f t="shared" si="56"/>
        <v>187</v>
      </c>
      <c r="C197" s="218" t="str">
        <f t="shared" si="54"/>
        <v>L15D25#000_060_00</v>
      </c>
      <c r="D197" s="169">
        <f t="shared" si="59"/>
        <v>25</v>
      </c>
      <c r="E197" s="61">
        <f t="shared" si="50"/>
        <v>3.4090000000000007</v>
      </c>
      <c r="F197" s="61">
        <f t="shared" si="51"/>
        <v>42</v>
      </c>
      <c r="G197" s="64">
        <f t="shared" si="62"/>
        <v>6.4</v>
      </c>
      <c r="H197" s="63">
        <f t="shared" si="52"/>
        <v>28.153281816322504</v>
      </c>
      <c r="I197" s="63">
        <f t="shared" si="53"/>
        <v>36.611451429009989</v>
      </c>
      <c r="J197" s="53">
        <f t="shared" si="71"/>
        <v>-16.916339225374969</v>
      </c>
      <c r="K197" s="53" t="str">
        <f t="shared" si="71"/>
        <v>Horizontal</v>
      </c>
      <c r="L197" s="42" t="str">
        <f t="shared" si="71"/>
        <v>Full</v>
      </c>
      <c r="M197" s="50">
        <f t="shared" si="71"/>
        <v>12</v>
      </c>
      <c r="N197" s="49">
        <f t="shared" si="71"/>
        <v>160</v>
      </c>
      <c r="O197" s="44">
        <f t="shared" si="71"/>
        <v>8</v>
      </c>
      <c r="P197" s="44">
        <f>P196</f>
        <v>0</v>
      </c>
      <c r="Q197" s="45">
        <f t="shared" si="61"/>
        <v>0.2</v>
      </c>
      <c r="R197" s="49">
        <v>60</v>
      </c>
      <c r="S197" s="44">
        <f t="shared" si="70"/>
        <v>150</v>
      </c>
      <c r="T197" s="50">
        <f t="shared" si="70"/>
        <v>210</v>
      </c>
    </row>
    <row r="198" spans="1:20" ht="15.75" thickBot="1" x14ac:dyDescent="0.3">
      <c r="A198" s="229">
        <f t="shared" si="55"/>
        <v>1196</v>
      </c>
      <c r="B198" s="230">
        <f t="shared" si="56"/>
        <v>188</v>
      </c>
      <c r="C198" s="218" t="str">
        <f t="shared" si="54"/>
        <v>L15D25#000_090_00</v>
      </c>
      <c r="D198" s="169">
        <f t="shared" si="59"/>
        <v>25</v>
      </c>
      <c r="E198" s="61">
        <f t="shared" si="50"/>
        <v>3.4090000000000007</v>
      </c>
      <c r="F198" s="61">
        <f t="shared" si="51"/>
        <v>42</v>
      </c>
      <c r="G198" s="64">
        <f t="shared" si="62"/>
        <v>6.4</v>
      </c>
      <c r="H198" s="63">
        <f t="shared" si="52"/>
        <v>28.153281816322504</v>
      </c>
      <c r="I198" s="63">
        <f t="shared" si="53"/>
        <v>36.611451429009989</v>
      </c>
      <c r="J198" s="53">
        <f t="shared" si="71"/>
        <v>-16.916339225374969</v>
      </c>
      <c r="K198" s="53" t="str">
        <f t="shared" si="71"/>
        <v>Horizontal</v>
      </c>
      <c r="L198" s="42" t="str">
        <f t="shared" si="71"/>
        <v>Full</v>
      </c>
      <c r="M198" s="50">
        <f t="shared" si="71"/>
        <v>12</v>
      </c>
      <c r="N198" s="49">
        <f t="shared" si="71"/>
        <v>160</v>
      </c>
      <c r="O198" s="44">
        <f t="shared" si="71"/>
        <v>8</v>
      </c>
      <c r="P198" s="44">
        <f>P197</f>
        <v>0</v>
      </c>
      <c r="Q198" s="45">
        <f t="shared" si="61"/>
        <v>0.2</v>
      </c>
      <c r="R198" s="49">
        <v>90</v>
      </c>
      <c r="S198" s="44">
        <f t="shared" si="70"/>
        <v>150</v>
      </c>
      <c r="T198" s="50">
        <f t="shared" si="70"/>
        <v>210</v>
      </c>
    </row>
    <row r="199" spans="1:20" ht="15.75" thickBot="1" x14ac:dyDescent="0.3">
      <c r="A199" s="229">
        <f t="shared" si="55"/>
        <v>1197</v>
      </c>
      <c r="B199" s="230">
        <f t="shared" si="56"/>
        <v>189</v>
      </c>
      <c r="C199" s="218" t="str">
        <f t="shared" si="54"/>
        <v>L15D25#008_000_00</v>
      </c>
      <c r="D199" s="169">
        <f t="shared" si="59"/>
        <v>25</v>
      </c>
      <c r="E199" s="61">
        <f t="shared" si="50"/>
        <v>3.4090000000000007</v>
      </c>
      <c r="F199" s="61">
        <f t="shared" si="51"/>
        <v>42</v>
      </c>
      <c r="G199" s="64">
        <f t="shared" si="62"/>
        <v>6.4</v>
      </c>
      <c r="H199" s="63">
        <f t="shared" si="52"/>
        <v>28.153281816322504</v>
      </c>
      <c r="I199" s="63">
        <f t="shared" si="53"/>
        <v>36.611451429009989</v>
      </c>
      <c r="J199" s="53">
        <f t="shared" si="71"/>
        <v>-16.916339225374969</v>
      </c>
      <c r="K199" s="53" t="str">
        <f t="shared" si="71"/>
        <v>Horizontal</v>
      </c>
      <c r="L199" s="42" t="str">
        <f t="shared" si="71"/>
        <v>Full</v>
      </c>
      <c r="M199" s="50">
        <f t="shared" si="71"/>
        <v>12</v>
      </c>
      <c r="N199" s="49">
        <f t="shared" si="71"/>
        <v>160</v>
      </c>
      <c r="O199" s="44">
        <f t="shared" si="71"/>
        <v>8</v>
      </c>
      <c r="P199" s="44">
        <f>yaw_max</f>
        <v>8</v>
      </c>
      <c r="Q199" s="45">
        <f t="shared" si="61"/>
        <v>0.2</v>
      </c>
      <c r="R199" s="49">
        <v>0</v>
      </c>
      <c r="S199" s="44">
        <f t="shared" si="70"/>
        <v>150</v>
      </c>
      <c r="T199" s="50">
        <f t="shared" si="70"/>
        <v>210</v>
      </c>
    </row>
    <row r="200" spans="1:20" ht="15.75" thickBot="1" x14ac:dyDescent="0.3">
      <c r="A200" s="229">
        <f t="shared" si="55"/>
        <v>1198</v>
      </c>
      <c r="B200" s="230">
        <f t="shared" si="56"/>
        <v>190</v>
      </c>
      <c r="C200" s="218" t="str">
        <f t="shared" si="54"/>
        <v>L15D25#008_030_00</v>
      </c>
      <c r="D200" s="169">
        <f t="shared" si="59"/>
        <v>25</v>
      </c>
      <c r="E200" s="61">
        <f t="shared" si="50"/>
        <v>3.4090000000000007</v>
      </c>
      <c r="F200" s="61">
        <f t="shared" si="51"/>
        <v>42</v>
      </c>
      <c r="G200" s="64">
        <f t="shared" si="62"/>
        <v>6.4</v>
      </c>
      <c r="H200" s="63">
        <f t="shared" si="52"/>
        <v>28.153281816322504</v>
      </c>
      <c r="I200" s="63">
        <f t="shared" si="53"/>
        <v>36.611451429009989</v>
      </c>
      <c r="J200" s="53">
        <f t="shared" si="71"/>
        <v>-16.916339225374969</v>
      </c>
      <c r="K200" s="53" t="str">
        <f t="shared" si="71"/>
        <v>Horizontal</v>
      </c>
      <c r="L200" s="42" t="str">
        <f t="shared" si="71"/>
        <v>Full</v>
      </c>
      <c r="M200" s="50">
        <f t="shared" si="71"/>
        <v>12</v>
      </c>
      <c r="N200" s="49">
        <f t="shared" si="71"/>
        <v>160</v>
      </c>
      <c r="O200" s="44">
        <f t="shared" si="71"/>
        <v>8</v>
      </c>
      <c r="P200" s="44">
        <f>P199</f>
        <v>8</v>
      </c>
      <c r="Q200" s="45">
        <f t="shared" si="61"/>
        <v>0.2</v>
      </c>
      <c r="R200" s="49">
        <v>30</v>
      </c>
      <c r="S200" s="44">
        <f t="shared" si="70"/>
        <v>150</v>
      </c>
      <c r="T200" s="50">
        <f t="shared" si="70"/>
        <v>210</v>
      </c>
    </row>
    <row r="201" spans="1:20" ht="15.75" thickBot="1" x14ac:dyDescent="0.3">
      <c r="A201" s="229">
        <f t="shared" si="55"/>
        <v>1199</v>
      </c>
      <c r="B201" s="230">
        <f t="shared" si="56"/>
        <v>191</v>
      </c>
      <c r="C201" s="218" t="str">
        <f t="shared" si="54"/>
        <v>L15D25#008_060_00</v>
      </c>
      <c r="D201" s="169">
        <f t="shared" si="59"/>
        <v>25</v>
      </c>
      <c r="E201" s="61">
        <f t="shared" si="50"/>
        <v>3.4090000000000007</v>
      </c>
      <c r="F201" s="61">
        <f t="shared" si="51"/>
        <v>42</v>
      </c>
      <c r="G201" s="64">
        <f t="shared" si="62"/>
        <v>6.4</v>
      </c>
      <c r="H201" s="63">
        <f t="shared" si="52"/>
        <v>28.153281816322504</v>
      </c>
      <c r="I201" s="63">
        <f t="shared" si="53"/>
        <v>36.611451429009989</v>
      </c>
      <c r="J201" s="53">
        <f t="shared" si="71"/>
        <v>-16.916339225374969</v>
      </c>
      <c r="K201" s="53" t="str">
        <f t="shared" si="71"/>
        <v>Horizontal</v>
      </c>
      <c r="L201" s="42" t="str">
        <f t="shared" si="71"/>
        <v>Full</v>
      </c>
      <c r="M201" s="50">
        <f t="shared" si="71"/>
        <v>12</v>
      </c>
      <c r="N201" s="49">
        <f t="shared" si="71"/>
        <v>160</v>
      </c>
      <c r="O201" s="44">
        <f t="shared" si="71"/>
        <v>8</v>
      </c>
      <c r="P201" s="44">
        <f>P200</f>
        <v>8</v>
      </c>
      <c r="Q201" s="45">
        <f t="shared" si="61"/>
        <v>0.2</v>
      </c>
      <c r="R201" s="49">
        <v>60</v>
      </c>
      <c r="S201" s="44">
        <f t="shared" si="70"/>
        <v>150</v>
      </c>
      <c r="T201" s="50">
        <f t="shared" si="70"/>
        <v>210</v>
      </c>
    </row>
    <row r="202" spans="1:20" x14ac:dyDescent="0.25">
      <c r="A202" s="229">
        <f t="shared" si="55"/>
        <v>1200</v>
      </c>
      <c r="B202" s="230">
        <f t="shared" si="56"/>
        <v>192</v>
      </c>
      <c r="C202" s="218" t="str">
        <f t="shared" si="54"/>
        <v>L15D25#008_090_00</v>
      </c>
      <c r="D202" s="169">
        <f t="shared" si="59"/>
        <v>25</v>
      </c>
      <c r="E202" s="61">
        <f t="shared" si="50"/>
        <v>3.4090000000000007</v>
      </c>
      <c r="F202" s="61">
        <f t="shared" si="51"/>
        <v>42</v>
      </c>
      <c r="G202" s="64">
        <f t="shared" si="62"/>
        <v>6.4</v>
      </c>
      <c r="H202" s="63">
        <f t="shared" si="52"/>
        <v>28.153281816322504</v>
      </c>
      <c r="I202" s="63">
        <f t="shared" si="53"/>
        <v>36.611451429009989</v>
      </c>
      <c r="J202" s="53">
        <f t="shared" si="71"/>
        <v>-16.916339225374969</v>
      </c>
      <c r="K202" s="53" t="str">
        <f t="shared" si="71"/>
        <v>Horizontal</v>
      </c>
      <c r="L202" s="42" t="str">
        <f t="shared" si="71"/>
        <v>Full</v>
      </c>
      <c r="M202" s="50">
        <f t="shared" si="71"/>
        <v>12</v>
      </c>
      <c r="N202" s="49">
        <f t="shared" si="71"/>
        <v>160</v>
      </c>
      <c r="O202" s="44">
        <f t="shared" si="71"/>
        <v>8</v>
      </c>
      <c r="P202" s="44">
        <f>P201</f>
        <v>8</v>
      </c>
      <c r="Q202" s="45">
        <f t="shared" si="61"/>
        <v>0.2</v>
      </c>
      <c r="R202" s="49">
        <v>90</v>
      </c>
      <c r="S202" s="44">
        <f t="shared" si="70"/>
        <v>150</v>
      </c>
      <c r="T202" s="50">
        <f t="shared" si="70"/>
        <v>210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70"/>
  <sheetViews>
    <sheetView zoomScaleNormal="100" workbookViewId="0">
      <selection activeCell="I2" sqref="I2"/>
    </sheetView>
  </sheetViews>
  <sheetFormatPr defaultColWidth="9" defaultRowHeight="15" x14ac:dyDescent="0.15"/>
  <cols>
    <col min="1" max="1" width="7" style="182" customWidth="1"/>
    <col min="2" max="2" width="7.375" style="182" customWidth="1"/>
    <col min="3" max="3" width="20" style="182" customWidth="1"/>
    <col min="4" max="4" width="6.875" style="182" customWidth="1"/>
    <col min="5" max="5" width="7.375" style="182" customWidth="1"/>
    <col min="6" max="6" width="8.125" style="182" customWidth="1"/>
    <col min="7" max="8" width="7.5" style="182" customWidth="1"/>
    <col min="9" max="9" width="8" style="182" customWidth="1"/>
    <col min="10" max="10" width="7.25" style="182" customWidth="1"/>
    <col min="11" max="11" width="8.875" style="182" customWidth="1"/>
    <col min="12" max="12" width="7.375" style="182" customWidth="1"/>
    <col min="13" max="13" width="7.125" style="182" customWidth="1"/>
    <col min="14" max="14" width="6.75" style="182" customWidth="1"/>
    <col min="15" max="15" width="8.25" style="182" customWidth="1"/>
    <col min="16" max="16" width="7" style="182" customWidth="1"/>
    <col min="17" max="17" width="11.25" style="182" customWidth="1"/>
    <col min="18" max="16384" width="9" style="182"/>
  </cols>
  <sheetData>
    <row r="1" spans="1:24" x14ac:dyDescent="0.15">
      <c r="H1" s="216" t="s">
        <v>135</v>
      </c>
      <c r="I1" s="216" t="s">
        <v>3943</v>
      </c>
      <c r="J1" s="180"/>
    </row>
    <row r="2" spans="1:24" x14ac:dyDescent="0.15">
      <c r="B2" s="181" t="s">
        <v>3686</v>
      </c>
      <c r="C2" s="181"/>
      <c r="D2" s="181"/>
      <c r="E2" s="181"/>
      <c r="F2" s="181"/>
      <c r="G2" s="181"/>
      <c r="H2" s="216"/>
      <c r="I2" s="216" t="s">
        <v>3928</v>
      </c>
      <c r="J2" s="180"/>
      <c r="Q2" s="206"/>
      <c r="R2" s="206"/>
      <c r="S2" s="206"/>
      <c r="T2" s="206"/>
      <c r="U2" s="206"/>
    </row>
    <row r="3" spans="1:24" x14ac:dyDescent="0.15">
      <c r="B3" s="181" t="s">
        <v>3645</v>
      </c>
      <c r="C3" s="181"/>
      <c r="D3" s="181"/>
      <c r="E3" s="181" t="s">
        <v>3646</v>
      </c>
      <c r="F3" s="181"/>
      <c r="G3" s="181"/>
      <c r="H3" s="216"/>
      <c r="I3" s="240" t="s">
        <v>3939</v>
      </c>
      <c r="J3" s="180"/>
      <c r="Q3" s="206"/>
      <c r="R3" s="206"/>
      <c r="S3" s="206"/>
      <c r="T3" s="206"/>
      <c r="U3" s="206"/>
    </row>
    <row r="4" spans="1:24" x14ac:dyDescent="0.15">
      <c r="B4" s="181" t="s">
        <v>3647</v>
      </c>
      <c r="C4" s="181"/>
      <c r="D4" s="181"/>
      <c r="E4" s="181" t="s">
        <v>3681</v>
      </c>
      <c r="F4" s="181"/>
      <c r="G4" s="181"/>
      <c r="H4" s="216"/>
      <c r="I4" s="216" t="s">
        <v>3942</v>
      </c>
      <c r="J4" s="180"/>
      <c r="Q4" s="206"/>
      <c r="R4" s="206"/>
      <c r="S4" s="206"/>
      <c r="T4" s="206"/>
      <c r="U4" s="206"/>
    </row>
    <row r="5" spans="1:24" x14ac:dyDescent="0.15">
      <c r="B5" s="181" t="s">
        <v>3648</v>
      </c>
      <c r="C5" s="181"/>
      <c r="D5" s="181"/>
      <c r="E5" s="181" t="s">
        <v>3649</v>
      </c>
      <c r="F5" s="181"/>
      <c r="G5" s="181"/>
      <c r="H5" s="216"/>
      <c r="I5" s="240" t="s">
        <v>3940</v>
      </c>
      <c r="J5" s="180"/>
      <c r="Q5" s="206"/>
      <c r="R5" s="206"/>
      <c r="S5" s="206"/>
      <c r="T5" s="206"/>
      <c r="U5" s="206"/>
    </row>
    <row r="6" spans="1:24" x14ac:dyDescent="0.15">
      <c r="B6" s="181" t="s">
        <v>3650</v>
      </c>
      <c r="C6" s="181"/>
      <c r="D6" s="181"/>
      <c r="E6" s="181" t="s">
        <v>3651</v>
      </c>
      <c r="F6" s="181"/>
      <c r="G6" s="181"/>
      <c r="H6" s="216"/>
      <c r="I6" s="216" t="s">
        <v>3932</v>
      </c>
      <c r="J6" s="180"/>
      <c r="Q6" s="206"/>
      <c r="R6" s="206"/>
      <c r="S6" s="206"/>
      <c r="T6" s="206"/>
      <c r="U6" s="206"/>
    </row>
    <row r="7" spans="1:24" x14ac:dyDescent="0.15">
      <c r="H7" s="139"/>
      <c r="I7" s="216" t="s">
        <v>3930</v>
      </c>
    </row>
    <row r="8" spans="1:24" ht="15.75" thickBot="1" x14ac:dyDescent="0.2">
      <c r="A8" s="182">
        <v>1</v>
      </c>
      <c r="B8" s="182">
        <v>2</v>
      </c>
      <c r="C8" s="182">
        <v>3</v>
      </c>
      <c r="D8" s="182">
        <v>4</v>
      </c>
      <c r="E8" s="182">
        <v>5</v>
      </c>
      <c r="F8" s="182">
        <v>6</v>
      </c>
      <c r="G8" s="182">
        <v>7</v>
      </c>
      <c r="H8" s="182">
        <v>8</v>
      </c>
      <c r="I8" s="182">
        <v>9</v>
      </c>
      <c r="J8" s="182">
        <v>10</v>
      </c>
      <c r="K8" s="182">
        <v>11</v>
      </c>
      <c r="L8" s="182">
        <v>12</v>
      </c>
      <c r="M8" s="182">
        <v>13</v>
      </c>
      <c r="N8" s="182">
        <v>14</v>
      </c>
      <c r="O8" s="182">
        <v>15</v>
      </c>
      <c r="P8" s="182">
        <v>16</v>
      </c>
      <c r="Q8" s="182">
        <v>18</v>
      </c>
    </row>
    <row r="9" spans="1:24" x14ac:dyDescent="0.25">
      <c r="A9" s="183" t="s">
        <v>3652</v>
      </c>
      <c r="B9" s="184" t="s">
        <v>3653</v>
      </c>
      <c r="C9" s="183" t="s">
        <v>0</v>
      </c>
      <c r="D9" s="184" t="s">
        <v>3654</v>
      </c>
      <c r="E9" s="201" t="s">
        <v>3655</v>
      </c>
      <c r="F9" s="184" t="s">
        <v>3656</v>
      </c>
      <c r="G9" s="184" t="s">
        <v>3657</v>
      </c>
      <c r="H9" s="184" t="s">
        <v>3658</v>
      </c>
      <c r="I9" s="184" t="s">
        <v>3659</v>
      </c>
      <c r="J9" s="184" t="s">
        <v>3660</v>
      </c>
      <c r="K9" s="185" t="s">
        <v>3661</v>
      </c>
      <c r="L9" s="184" t="s">
        <v>3662</v>
      </c>
      <c r="M9" s="184" t="s">
        <v>13</v>
      </c>
      <c r="N9" s="186" t="s">
        <v>3663</v>
      </c>
      <c r="O9" s="200" t="s">
        <v>3664</v>
      </c>
      <c r="P9" s="186" t="s">
        <v>139</v>
      </c>
      <c r="Q9" s="186" t="s">
        <v>3665</v>
      </c>
    </row>
    <row r="10" spans="1:24" ht="15.75" thickBot="1" x14ac:dyDescent="0.3">
      <c r="A10" s="187" t="s">
        <v>3666</v>
      </c>
      <c r="B10" s="188" t="str">
        <f>B2</f>
        <v>DLC21a</v>
      </c>
      <c r="C10" s="187"/>
      <c r="D10" s="188" t="s">
        <v>4</v>
      </c>
      <c r="E10" s="202" t="s">
        <v>4</v>
      </c>
      <c r="F10" s="188" t="s">
        <v>5</v>
      </c>
      <c r="G10" s="188" t="s">
        <v>5</v>
      </c>
      <c r="H10" s="188" t="s">
        <v>5</v>
      </c>
      <c r="I10" s="188" t="s">
        <v>6</v>
      </c>
      <c r="J10" s="188" t="s">
        <v>6</v>
      </c>
      <c r="K10" s="189"/>
      <c r="L10" s="188"/>
      <c r="M10" s="190" t="s">
        <v>7</v>
      </c>
      <c r="N10" s="190" t="s">
        <v>7</v>
      </c>
      <c r="O10" s="190" t="s">
        <v>7</v>
      </c>
      <c r="P10" s="190" t="s">
        <v>7</v>
      </c>
      <c r="Q10" s="190" t="s">
        <v>257</v>
      </c>
    </row>
    <row r="11" spans="1:24" ht="15.75" thickBot="1" x14ac:dyDescent="0.3">
      <c r="A11" s="183">
        <f>'DLC15'!A202+1</f>
        <v>1201</v>
      </c>
      <c r="B11" s="186">
        <v>1</v>
      </c>
      <c r="C11" s="183" t="str">
        <f>TEXT(RIGHT($B$2,LEN($B$2)-3),"000")&amp;"X"&amp;TEXT(D11,"00")&amp;"+"&amp;IF(J11&lt;0,TEXT(360+J11,"000"),TEXT(J11,"000"))&amp;"_"&amp;TEXT(M11,"000")&amp;"_"&amp;TEXT(RIGHT(K11,LEN(K11)-FIND("-",K11)),"00")</f>
        <v>21aX08+000_000_01</v>
      </c>
      <c r="D11" s="191">
        <f t="shared" ref="D11" si="0">vr_b</f>
        <v>7.8000000000000007</v>
      </c>
      <c r="E11" s="203">
        <f t="shared" ref="E11:E22" si="1">I_ref*(0.75*D11+5.6)</f>
        <v>1.603</v>
      </c>
      <c r="F11" s="192">
        <f>E11/D11*100</f>
        <v>20.551282051282051</v>
      </c>
      <c r="G11" s="192">
        <f t="shared" ref="G11:G13" si="2">m_ty*F11</f>
        <v>16.441025641025643</v>
      </c>
      <c r="H11" s="192">
        <f t="shared" ref="H11:H13" si="3">m_tz*F11</f>
        <v>10.275641025641026</v>
      </c>
      <c r="I11" s="192">
        <f>inflow</f>
        <v>8</v>
      </c>
      <c r="J11" s="193">
        <f>yaw_null</f>
        <v>0</v>
      </c>
      <c r="K11" s="194" t="str">
        <f>D11&amp;-1</f>
        <v>7.8-1</v>
      </c>
      <c r="L11" s="192">
        <f>alpha_n</f>
        <v>0.2</v>
      </c>
      <c r="M11" s="49">
        <v>0</v>
      </c>
      <c r="N11" s="198">
        <f>t_out</f>
        <v>150</v>
      </c>
      <c r="O11" s="198">
        <f>trig_t</f>
        <v>160</v>
      </c>
      <c r="P11" s="198">
        <f>N11+2*T_s2</f>
        <v>270</v>
      </c>
      <c r="Q11" s="196" t="s">
        <v>76</v>
      </c>
    </row>
    <row r="12" spans="1:24" ht="15.75" thickBot="1" x14ac:dyDescent="0.3">
      <c r="A12" s="195">
        <f>A11+1</f>
        <v>1202</v>
      </c>
      <c r="B12" s="196">
        <f>B11+1</f>
        <v>2</v>
      </c>
      <c r="C12" s="218" t="str">
        <f t="shared" ref="C12:C70" si="4">TEXT(RIGHT($B$2,LEN($B$2)-3),"000")&amp;"X"&amp;TEXT(D12,"00")&amp;"+"&amp;IF(J12&lt;0,TEXT(360+J12,"000"),TEXT(J12,"000"))&amp;"_"&amp;TEXT(M12,"000")&amp;"_"&amp;TEXT(RIGHT(K12,LEN(K12)-FIND("-",K12)),"00")</f>
        <v>21aX08+000_030_02</v>
      </c>
      <c r="D12" s="197">
        <f>D11</f>
        <v>7.8000000000000007</v>
      </c>
      <c r="E12" s="204">
        <f t="shared" si="1"/>
        <v>1.603</v>
      </c>
      <c r="F12" s="198">
        <f>E12/D12*100</f>
        <v>20.551282051282051</v>
      </c>
      <c r="G12" s="198">
        <f t="shared" si="2"/>
        <v>16.441025641025643</v>
      </c>
      <c r="H12" s="198">
        <f t="shared" si="3"/>
        <v>10.275641025641026</v>
      </c>
      <c r="I12" s="198">
        <f>I11</f>
        <v>8</v>
      </c>
      <c r="J12" s="199">
        <f>J11</f>
        <v>0</v>
      </c>
      <c r="K12" s="194" t="str">
        <f>D12&amp;-2</f>
        <v>7.8-2</v>
      </c>
      <c r="L12" s="198">
        <f t="shared" ref="L12:Q22" si="5">L11</f>
        <v>0.2</v>
      </c>
      <c r="M12" s="49">
        <v>30</v>
      </c>
      <c r="N12" s="198">
        <f t="shared" si="5"/>
        <v>150</v>
      </c>
      <c r="O12" s="198">
        <f t="shared" si="5"/>
        <v>160</v>
      </c>
      <c r="P12" s="198">
        <f t="shared" si="5"/>
        <v>270</v>
      </c>
      <c r="Q12" s="196" t="str">
        <f t="shared" si="5"/>
        <v>-</v>
      </c>
    </row>
    <row r="13" spans="1:24" ht="15.75" thickBot="1" x14ac:dyDescent="0.3">
      <c r="A13" s="229">
        <f t="shared" ref="A13:A70" si="6">A12+1</f>
        <v>1203</v>
      </c>
      <c r="B13" s="230">
        <f t="shared" ref="B13:B70" si="7">B12+1</f>
        <v>3</v>
      </c>
      <c r="C13" s="218" t="str">
        <f t="shared" si="4"/>
        <v>21aX08+000_060_03</v>
      </c>
      <c r="D13" s="197">
        <f t="shared" ref="D13:D22" si="8">D12</f>
        <v>7.8000000000000007</v>
      </c>
      <c r="E13" s="204">
        <f t="shared" si="1"/>
        <v>1.603</v>
      </c>
      <c r="F13" s="198">
        <f t="shared" ref="F13:F22" si="9">E13/D13*100</f>
        <v>20.551282051282051</v>
      </c>
      <c r="G13" s="198">
        <f t="shared" si="2"/>
        <v>16.441025641025643</v>
      </c>
      <c r="H13" s="198">
        <f t="shared" si="3"/>
        <v>10.275641025641026</v>
      </c>
      <c r="I13" s="198">
        <f t="shared" ref="I13:J22" si="10">I12</f>
        <v>8</v>
      </c>
      <c r="J13" s="199">
        <f t="shared" si="10"/>
        <v>0</v>
      </c>
      <c r="K13" s="194" t="str">
        <f>D13&amp;-3</f>
        <v>7.8-3</v>
      </c>
      <c r="L13" s="198">
        <f t="shared" si="5"/>
        <v>0.2</v>
      </c>
      <c r="M13" s="49">
        <v>60</v>
      </c>
      <c r="N13" s="198">
        <f t="shared" si="5"/>
        <v>150</v>
      </c>
      <c r="O13" s="198">
        <f t="shared" si="5"/>
        <v>160</v>
      </c>
      <c r="P13" s="198">
        <f t="shared" si="5"/>
        <v>270</v>
      </c>
      <c r="Q13" s="196" t="str">
        <f t="shared" si="5"/>
        <v>-</v>
      </c>
      <c r="S13" s="206"/>
      <c r="T13" s="206"/>
      <c r="U13" s="206"/>
      <c r="V13" s="206"/>
      <c r="W13" s="206"/>
      <c r="X13" s="206"/>
    </row>
    <row r="14" spans="1:24" ht="15.75" thickBot="1" x14ac:dyDescent="0.3">
      <c r="A14" s="229">
        <f t="shared" si="6"/>
        <v>1204</v>
      </c>
      <c r="B14" s="230">
        <f t="shared" si="7"/>
        <v>4</v>
      </c>
      <c r="C14" s="218" t="str">
        <f t="shared" si="4"/>
        <v>21aX08+000_090_04</v>
      </c>
      <c r="D14" s="197">
        <f t="shared" si="8"/>
        <v>7.8000000000000007</v>
      </c>
      <c r="E14" s="204">
        <f t="shared" si="1"/>
        <v>1.603</v>
      </c>
      <c r="F14" s="198">
        <f t="shared" si="9"/>
        <v>20.551282051282051</v>
      </c>
      <c r="G14" s="198">
        <f t="shared" ref="G14:G22" si="11">m_ty*F14</f>
        <v>16.441025641025643</v>
      </c>
      <c r="H14" s="198">
        <f t="shared" ref="H14:H22" si="12">m_tz*F14</f>
        <v>10.275641025641026</v>
      </c>
      <c r="I14" s="198">
        <f t="shared" si="10"/>
        <v>8</v>
      </c>
      <c r="J14" s="199">
        <f t="shared" si="10"/>
        <v>0</v>
      </c>
      <c r="K14" s="194" t="str">
        <f>D14&amp;-4</f>
        <v>7.8-4</v>
      </c>
      <c r="L14" s="198">
        <f t="shared" si="5"/>
        <v>0.2</v>
      </c>
      <c r="M14" s="49">
        <v>90</v>
      </c>
      <c r="N14" s="198">
        <f t="shared" si="5"/>
        <v>150</v>
      </c>
      <c r="O14" s="198">
        <f t="shared" si="5"/>
        <v>160</v>
      </c>
      <c r="P14" s="198">
        <f t="shared" si="5"/>
        <v>270</v>
      </c>
      <c r="Q14" s="196" t="str">
        <f t="shared" si="5"/>
        <v>-</v>
      </c>
      <c r="S14" s="206"/>
      <c r="T14" s="206"/>
      <c r="U14" s="206"/>
      <c r="V14" s="206"/>
      <c r="W14" s="206"/>
      <c r="X14" s="206"/>
    </row>
    <row r="15" spans="1:24" ht="15.75" thickBot="1" x14ac:dyDescent="0.3">
      <c r="A15" s="229">
        <f t="shared" si="6"/>
        <v>1205</v>
      </c>
      <c r="B15" s="230">
        <f t="shared" si="7"/>
        <v>5</v>
      </c>
      <c r="C15" s="218" t="str">
        <f t="shared" si="4"/>
        <v>21aX08+000_000_05</v>
      </c>
      <c r="D15" s="197">
        <f t="shared" si="8"/>
        <v>7.8000000000000007</v>
      </c>
      <c r="E15" s="204">
        <f t="shared" si="1"/>
        <v>1.603</v>
      </c>
      <c r="F15" s="198">
        <f t="shared" si="9"/>
        <v>20.551282051282051</v>
      </c>
      <c r="G15" s="198">
        <f t="shared" si="11"/>
        <v>16.441025641025643</v>
      </c>
      <c r="H15" s="198">
        <f t="shared" si="12"/>
        <v>10.275641025641026</v>
      </c>
      <c r="I15" s="198">
        <f t="shared" si="10"/>
        <v>8</v>
      </c>
      <c r="J15" s="199">
        <f t="shared" si="10"/>
        <v>0</v>
      </c>
      <c r="K15" s="194" t="str">
        <f>D15&amp;-5</f>
        <v>7.8-5</v>
      </c>
      <c r="L15" s="198">
        <f t="shared" si="5"/>
        <v>0.2</v>
      </c>
      <c r="M15" s="49">
        <v>0</v>
      </c>
      <c r="N15" s="198">
        <f t="shared" si="5"/>
        <v>150</v>
      </c>
      <c r="O15" s="198">
        <f t="shared" si="5"/>
        <v>160</v>
      </c>
      <c r="P15" s="198">
        <f t="shared" si="5"/>
        <v>270</v>
      </c>
      <c r="Q15" s="196" t="str">
        <f t="shared" si="5"/>
        <v>-</v>
      </c>
      <c r="S15" s="206"/>
      <c r="T15" s="206"/>
      <c r="U15" s="206"/>
      <c r="V15" s="206"/>
      <c r="W15" s="206"/>
      <c r="X15" s="206"/>
    </row>
    <row r="16" spans="1:24" ht="15.75" thickBot="1" x14ac:dyDescent="0.3">
      <c r="A16" s="229">
        <f t="shared" si="6"/>
        <v>1206</v>
      </c>
      <c r="B16" s="230">
        <f t="shared" si="7"/>
        <v>6</v>
      </c>
      <c r="C16" s="218" t="str">
        <f t="shared" si="4"/>
        <v>21aX08+000_030_06</v>
      </c>
      <c r="D16" s="197">
        <f t="shared" si="8"/>
        <v>7.8000000000000007</v>
      </c>
      <c r="E16" s="204">
        <f t="shared" si="1"/>
        <v>1.603</v>
      </c>
      <c r="F16" s="198">
        <f t="shared" si="9"/>
        <v>20.551282051282051</v>
      </c>
      <c r="G16" s="198">
        <f t="shared" si="11"/>
        <v>16.441025641025643</v>
      </c>
      <c r="H16" s="198">
        <f t="shared" si="12"/>
        <v>10.275641025641026</v>
      </c>
      <c r="I16" s="198">
        <f t="shared" si="10"/>
        <v>8</v>
      </c>
      <c r="J16" s="199">
        <f t="shared" si="10"/>
        <v>0</v>
      </c>
      <c r="K16" s="194" t="str">
        <f>D16&amp;-6</f>
        <v>7.8-6</v>
      </c>
      <c r="L16" s="198">
        <f t="shared" si="5"/>
        <v>0.2</v>
      </c>
      <c r="M16" s="49">
        <v>30</v>
      </c>
      <c r="N16" s="198">
        <f t="shared" si="5"/>
        <v>150</v>
      </c>
      <c r="O16" s="198">
        <f t="shared" si="5"/>
        <v>160</v>
      </c>
      <c r="P16" s="198">
        <f t="shared" si="5"/>
        <v>270</v>
      </c>
      <c r="Q16" s="196" t="str">
        <f t="shared" si="5"/>
        <v>-</v>
      </c>
      <c r="S16" s="206"/>
      <c r="T16" s="206"/>
      <c r="U16" s="206"/>
      <c r="V16" s="206"/>
      <c r="W16" s="206"/>
      <c r="X16" s="206"/>
    </row>
    <row r="17" spans="1:24" ht="15.75" thickBot="1" x14ac:dyDescent="0.3">
      <c r="A17" s="229">
        <f t="shared" si="6"/>
        <v>1207</v>
      </c>
      <c r="B17" s="230">
        <f t="shared" si="7"/>
        <v>7</v>
      </c>
      <c r="C17" s="218" t="str">
        <f t="shared" si="4"/>
        <v>21aX08+000_060_07</v>
      </c>
      <c r="D17" s="197">
        <f t="shared" si="8"/>
        <v>7.8000000000000007</v>
      </c>
      <c r="E17" s="204">
        <f t="shared" si="1"/>
        <v>1.603</v>
      </c>
      <c r="F17" s="198">
        <f t="shared" si="9"/>
        <v>20.551282051282051</v>
      </c>
      <c r="G17" s="198">
        <f t="shared" si="11"/>
        <v>16.441025641025643</v>
      </c>
      <c r="H17" s="198">
        <f t="shared" si="12"/>
        <v>10.275641025641026</v>
      </c>
      <c r="I17" s="198">
        <f t="shared" si="10"/>
        <v>8</v>
      </c>
      <c r="J17" s="199">
        <f t="shared" si="10"/>
        <v>0</v>
      </c>
      <c r="K17" s="194" t="str">
        <f>D17&amp;-7</f>
        <v>7.8-7</v>
      </c>
      <c r="L17" s="198">
        <f t="shared" si="5"/>
        <v>0.2</v>
      </c>
      <c r="M17" s="49">
        <v>60</v>
      </c>
      <c r="N17" s="198">
        <f t="shared" si="5"/>
        <v>150</v>
      </c>
      <c r="O17" s="198">
        <f t="shared" si="5"/>
        <v>160</v>
      </c>
      <c r="P17" s="198">
        <f t="shared" si="5"/>
        <v>270</v>
      </c>
      <c r="Q17" s="196" t="str">
        <f t="shared" si="5"/>
        <v>-</v>
      </c>
      <c r="S17" s="206"/>
      <c r="T17" s="206"/>
      <c r="U17" s="206"/>
      <c r="V17" s="206"/>
      <c r="W17" s="206"/>
      <c r="X17" s="206"/>
    </row>
    <row r="18" spans="1:24" ht="15.75" thickBot="1" x14ac:dyDescent="0.3">
      <c r="A18" s="229">
        <f t="shared" si="6"/>
        <v>1208</v>
      </c>
      <c r="B18" s="230">
        <f t="shared" si="7"/>
        <v>8</v>
      </c>
      <c r="C18" s="218" t="str">
        <f t="shared" si="4"/>
        <v>21aX08+000_090_08</v>
      </c>
      <c r="D18" s="197">
        <f t="shared" si="8"/>
        <v>7.8000000000000007</v>
      </c>
      <c r="E18" s="204">
        <f t="shared" si="1"/>
        <v>1.603</v>
      </c>
      <c r="F18" s="198">
        <f t="shared" si="9"/>
        <v>20.551282051282051</v>
      </c>
      <c r="G18" s="198">
        <f t="shared" si="11"/>
        <v>16.441025641025643</v>
      </c>
      <c r="H18" s="198">
        <f t="shared" si="12"/>
        <v>10.275641025641026</v>
      </c>
      <c r="I18" s="198">
        <f t="shared" si="10"/>
        <v>8</v>
      </c>
      <c r="J18" s="199">
        <f t="shared" si="10"/>
        <v>0</v>
      </c>
      <c r="K18" s="194" t="str">
        <f>D18&amp;-8</f>
        <v>7.8-8</v>
      </c>
      <c r="L18" s="198">
        <f t="shared" si="5"/>
        <v>0.2</v>
      </c>
      <c r="M18" s="49">
        <v>90</v>
      </c>
      <c r="N18" s="198">
        <f t="shared" si="5"/>
        <v>150</v>
      </c>
      <c r="O18" s="198">
        <f t="shared" si="5"/>
        <v>160</v>
      </c>
      <c r="P18" s="198">
        <f t="shared" si="5"/>
        <v>270</v>
      </c>
      <c r="Q18" s="196" t="str">
        <f t="shared" si="5"/>
        <v>-</v>
      </c>
      <c r="S18" s="206"/>
      <c r="T18" s="206"/>
      <c r="U18" s="206"/>
      <c r="V18" s="206"/>
      <c r="W18" s="206"/>
      <c r="X18" s="206"/>
    </row>
    <row r="19" spans="1:24" ht="15.75" thickBot="1" x14ac:dyDescent="0.3">
      <c r="A19" s="229">
        <f t="shared" si="6"/>
        <v>1209</v>
      </c>
      <c r="B19" s="230">
        <f t="shared" si="7"/>
        <v>9</v>
      </c>
      <c r="C19" s="218" t="str">
        <f t="shared" si="4"/>
        <v>21aX08+000_000_09</v>
      </c>
      <c r="D19" s="197">
        <f t="shared" si="8"/>
        <v>7.8000000000000007</v>
      </c>
      <c r="E19" s="204">
        <f t="shared" si="1"/>
        <v>1.603</v>
      </c>
      <c r="F19" s="198">
        <f t="shared" si="9"/>
        <v>20.551282051282051</v>
      </c>
      <c r="G19" s="198">
        <f t="shared" si="11"/>
        <v>16.441025641025643</v>
      </c>
      <c r="H19" s="198">
        <f t="shared" si="12"/>
        <v>10.275641025641026</v>
      </c>
      <c r="I19" s="198">
        <f t="shared" si="10"/>
        <v>8</v>
      </c>
      <c r="J19" s="199">
        <f t="shared" si="10"/>
        <v>0</v>
      </c>
      <c r="K19" s="194" t="str">
        <f>D19&amp;-9</f>
        <v>7.8-9</v>
      </c>
      <c r="L19" s="198">
        <f t="shared" si="5"/>
        <v>0.2</v>
      </c>
      <c r="M19" s="49">
        <v>0</v>
      </c>
      <c r="N19" s="198">
        <f t="shared" si="5"/>
        <v>150</v>
      </c>
      <c r="O19" s="198">
        <f t="shared" si="5"/>
        <v>160</v>
      </c>
      <c r="P19" s="198">
        <f t="shared" si="5"/>
        <v>270</v>
      </c>
      <c r="Q19" s="196" t="str">
        <f t="shared" si="5"/>
        <v>-</v>
      </c>
      <c r="S19" s="206"/>
      <c r="T19" s="206"/>
      <c r="U19" s="206"/>
      <c r="V19" s="206"/>
      <c r="W19" s="206"/>
      <c r="X19" s="206"/>
    </row>
    <row r="20" spans="1:24" ht="15.75" thickBot="1" x14ac:dyDescent="0.3">
      <c r="A20" s="229">
        <f t="shared" si="6"/>
        <v>1210</v>
      </c>
      <c r="B20" s="230">
        <f t="shared" si="7"/>
        <v>10</v>
      </c>
      <c r="C20" s="218" t="str">
        <f t="shared" si="4"/>
        <v>21aX08+000_030_10</v>
      </c>
      <c r="D20" s="197">
        <f t="shared" si="8"/>
        <v>7.8000000000000007</v>
      </c>
      <c r="E20" s="204">
        <f t="shared" si="1"/>
        <v>1.603</v>
      </c>
      <c r="F20" s="198">
        <f t="shared" si="9"/>
        <v>20.551282051282051</v>
      </c>
      <c r="G20" s="198">
        <f t="shared" si="11"/>
        <v>16.441025641025643</v>
      </c>
      <c r="H20" s="198">
        <f t="shared" si="12"/>
        <v>10.275641025641026</v>
      </c>
      <c r="I20" s="198">
        <f t="shared" si="10"/>
        <v>8</v>
      </c>
      <c r="J20" s="199">
        <f t="shared" si="10"/>
        <v>0</v>
      </c>
      <c r="K20" s="194" t="str">
        <f>D20&amp;-10</f>
        <v>7.8-10</v>
      </c>
      <c r="L20" s="198">
        <f t="shared" si="5"/>
        <v>0.2</v>
      </c>
      <c r="M20" s="49">
        <v>30</v>
      </c>
      <c r="N20" s="198">
        <f t="shared" si="5"/>
        <v>150</v>
      </c>
      <c r="O20" s="198">
        <f t="shared" si="5"/>
        <v>160</v>
      </c>
      <c r="P20" s="198">
        <f t="shared" si="5"/>
        <v>270</v>
      </c>
      <c r="Q20" s="196" t="str">
        <f t="shared" si="5"/>
        <v>-</v>
      </c>
      <c r="S20" s="206"/>
      <c r="T20" s="206"/>
      <c r="U20" s="206"/>
      <c r="V20" s="206"/>
      <c r="W20" s="206"/>
      <c r="X20" s="206"/>
    </row>
    <row r="21" spans="1:24" ht="15.75" thickBot="1" x14ac:dyDescent="0.3">
      <c r="A21" s="229">
        <f t="shared" si="6"/>
        <v>1211</v>
      </c>
      <c r="B21" s="230">
        <f t="shared" si="7"/>
        <v>11</v>
      </c>
      <c r="C21" s="218" t="str">
        <f t="shared" si="4"/>
        <v>21aX08+000_060_11</v>
      </c>
      <c r="D21" s="197">
        <f t="shared" si="8"/>
        <v>7.8000000000000007</v>
      </c>
      <c r="E21" s="204">
        <f t="shared" si="1"/>
        <v>1.603</v>
      </c>
      <c r="F21" s="198">
        <f t="shared" si="9"/>
        <v>20.551282051282051</v>
      </c>
      <c r="G21" s="198">
        <f t="shared" si="11"/>
        <v>16.441025641025643</v>
      </c>
      <c r="H21" s="198">
        <f t="shared" si="12"/>
        <v>10.275641025641026</v>
      </c>
      <c r="I21" s="198">
        <f t="shared" si="10"/>
        <v>8</v>
      </c>
      <c r="J21" s="199">
        <f t="shared" si="10"/>
        <v>0</v>
      </c>
      <c r="K21" s="194" t="str">
        <f>D21&amp;-11</f>
        <v>7.8-11</v>
      </c>
      <c r="L21" s="198">
        <f t="shared" si="5"/>
        <v>0.2</v>
      </c>
      <c r="M21" s="49">
        <v>60</v>
      </c>
      <c r="N21" s="198">
        <f t="shared" si="5"/>
        <v>150</v>
      </c>
      <c r="O21" s="198">
        <f t="shared" si="5"/>
        <v>160</v>
      </c>
      <c r="P21" s="198">
        <f t="shared" si="5"/>
        <v>270</v>
      </c>
      <c r="Q21" s="196" t="str">
        <f t="shared" si="5"/>
        <v>-</v>
      </c>
      <c r="S21" s="206"/>
      <c r="T21" s="206"/>
      <c r="U21" s="206"/>
      <c r="V21" s="206"/>
      <c r="W21" s="206"/>
      <c r="X21" s="206"/>
    </row>
    <row r="22" spans="1:24" ht="15.75" thickBot="1" x14ac:dyDescent="0.3">
      <c r="A22" s="229">
        <f t="shared" si="6"/>
        <v>1212</v>
      </c>
      <c r="B22" s="230">
        <f t="shared" si="7"/>
        <v>12</v>
      </c>
      <c r="C22" s="218" t="str">
        <f t="shared" si="4"/>
        <v>21aX08+000_090_12</v>
      </c>
      <c r="D22" s="197">
        <f t="shared" si="8"/>
        <v>7.8000000000000007</v>
      </c>
      <c r="E22" s="204">
        <f t="shared" si="1"/>
        <v>1.603</v>
      </c>
      <c r="F22" s="198">
        <f t="shared" si="9"/>
        <v>20.551282051282051</v>
      </c>
      <c r="G22" s="198">
        <f t="shared" si="11"/>
        <v>16.441025641025643</v>
      </c>
      <c r="H22" s="198">
        <f t="shared" si="12"/>
        <v>10.275641025641026</v>
      </c>
      <c r="I22" s="198">
        <f t="shared" si="10"/>
        <v>8</v>
      </c>
      <c r="J22" s="199">
        <f t="shared" si="10"/>
        <v>0</v>
      </c>
      <c r="K22" s="194" t="str">
        <f>D22&amp;-12</f>
        <v>7.8-12</v>
      </c>
      <c r="L22" s="198">
        <f t="shared" si="5"/>
        <v>0.2</v>
      </c>
      <c r="M22" s="49">
        <v>90</v>
      </c>
      <c r="N22" s="198">
        <f t="shared" si="5"/>
        <v>150</v>
      </c>
      <c r="O22" s="198">
        <f t="shared" si="5"/>
        <v>160</v>
      </c>
      <c r="P22" s="198">
        <f t="shared" si="5"/>
        <v>270</v>
      </c>
      <c r="Q22" s="196" t="str">
        <f t="shared" si="5"/>
        <v>-</v>
      </c>
      <c r="S22" s="206"/>
      <c r="T22" s="206"/>
      <c r="U22" s="206"/>
      <c r="V22" s="206"/>
      <c r="W22" s="206"/>
      <c r="X22" s="206"/>
    </row>
    <row r="23" spans="1:24" ht="15.75" thickBot="1" x14ac:dyDescent="0.3">
      <c r="A23" s="229">
        <f t="shared" si="6"/>
        <v>1213</v>
      </c>
      <c r="B23" s="230">
        <f t="shared" si="7"/>
        <v>13</v>
      </c>
      <c r="C23" s="218" t="str">
        <f t="shared" si="4"/>
        <v>21aX10+000_000_01</v>
      </c>
      <c r="D23" s="197">
        <f t="shared" ref="D23:D34" si="13">v_r</f>
        <v>9.8000000000000007</v>
      </c>
      <c r="E23" s="204">
        <f t="shared" ref="E23:E34" si="14">I_ref*(0.75*D23+5.6)</f>
        <v>1.8130000000000002</v>
      </c>
      <c r="F23" s="198">
        <f>E23/D23*100</f>
        <v>18.5</v>
      </c>
      <c r="G23" s="198">
        <f t="shared" ref="G23:G34" si="15">m_ty*F23</f>
        <v>14.8</v>
      </c>
      <c r="H23" s="198">
        <f t="shared" ref="H23:H34" si="16">m_tz*F23</f>
        <v>9.25</v>
      </c>
      <c r="I23" s="198">
        <f>inflow</f>
        <v>8</v>
      </c>
      <c r="J23" s="199">
        <f>yaw_null</f>
        <v>0</v>
      </c>
      <c r="K23" s="194" t="str">
        <f>D23&amp;-1</f>
        <v>9.8-1</v>
      </c>
      <c r="L23" s="198">
        <f>alpha_n</f>
        <v>0.2</v>
      </c>
      <c r="M23" s="49">
        <v>0</v>
      </c>
      <c r="N23" s="198">
        <f>t_out</f>
        <v>150</v>
      </c>
      <c r="O23" s="198">
        <f>trig_t</f>
        <v>160</v>
      </c>
      <c r="P23" s="198">
        <f>N23+2*T_s2</f>
        <v>270</v>
      </c>
      <c r="Q23" s="196" t="s">
        <v>76</v>
      </c>
    </row>
    <row r="24" spans="1:24" ht="15.75" thickBot="1" x14ac:dyDescent="0.3">
      <c r="A24" s="229">
        <f t="shared" si="6"/>
        <v>1214</v>
      </c>
      <c r="B24" s="230">
        <f t="shared" si="7"/>
        <v>14</v>
      </c>
      <c r="C24" s="218" t="str">
        <f t="shared" si="4"/>
        <v>21aX10+000_030_02</v>
      </c>
      <c r="D24" s="197">
        <f t="shared" si="13"/>
        <v>9.8000000000000007</v>
      </c>
      <c r="E24" s="204">
        <f t="shared" si="14"/>
        <v>1.8130000000000002</v>
      </c>
      <c r="F24" s="198">
        <f>E24/D24*100</f>
        <v>18.5</v>
      </c>
      <c r="G24" s="198">
        <f t="shared" si="15"/>
        <v>14.8</v>
      </c>
      <c r="H24" s="198">
        <f t="shared" si="16"/>
        <v>9.25</v>
      </c>
      <c r="I24" s="198">
        <f t="shared" ref="I24:J34" si="17">I23</f>
        <v>8</v>
      </c>
      <c r="J24" s="199">
        <f>J23</f>
        <v>0</v>
      </c>
      <c r="K24" s="194" t="str">
        <f>D24&amp;-2</f>
        <v>9.8-2</v>
      </c>
      <c r="L24" s="198">
        <f t="shared" ref="L24:Q27" si="18">L23</f>
        <v>0.2</v>
      </c>
      <c r="M24" s="49">
        <v>30</v>
      </c>
      <c r="N24" s="198">
        <f t="shared" si="18"/>
        <v>150</v>
      </c>
      <c r="O24" s="198">
        <f t="shared" si="18"/>
        <v>160</v>
      </c>
      <c r="P24" s="198">
        <f t="shared" si="18"/>
        <v>270</v>
      </c>
      <c r="Q24" s="196" t="str">
        <f t="shared" si="18"/>
        <v>-</v>
      </c>
    </row>
    <row r="25" spans="1:24" ht="15.75" thickBot="1" x14ac:dyDescent="0.3">
      <c r="A25" s="229">
        <f t="shared" si="6"/>
        <v>1215</v>
      </c>
      <c r="B25" s="230">
        <f t="shared" si="7"/>
        <v>15</v>
      </c>
      <c r="C25" s="218" t="str">
        <f t="shared" si="4"/>
        <v>21aX10+000_060_03</v>
      </c>
      <c r="D25" s="197">
        <f t="shared" si="13"/>
        <v>9.8000000000000007</v>
      </c>
      <c r="E25" s="204">
        <f t="shared" si="14"/>
        <v>1.8130000000000002</v>
      </c>
      <c r="F25" s="198">
        <f t="shared" ref="F25:F34" si="19">E25/D25*100</f>
        <v>18.5</v>
      </c>
      <c r="G25" s="198">
        <f t="shared" si="15"/>
        <v>14.8</v>
      </c>
      <c r="H25" s="198">
        <f t="shared" si="16"/>
        <v>9.25</v>
      </c>
      <c r="I25" s="198">
        <f t="shared" si="17"/>
        <v>8</v>
      </c>
      <c r="J25" s="199">
        <f t="shared" si="17"/>
        <v>0</v>
      </c>
      <c r="K25" s="194" t="str">
        <f>D25&amp;-3</f>
        <v>9.8-3</v>
      </c>
      <c r="L25" s="198">
        <f t="shared" si="18"/>
        <v>0.2</v>
      </c>
      <c r="M25" s="49">
        <v>60</v>
      </c>
      <c r="N25" s="198">
        <f t="shared" si="18"/>
        <v>150</v>
      </c>
      <c r="O25" s="198">
        <f t="shared" si="18"/>
        <v>160</v>
      </c>
      <c r="P25" s="198">
        <f t="shared" si="18"/>
        <v>270</v>
      </c>
      <c r="Q25" s="196" t="str">
        <f t="shared" si="18"/>
        <v>-</v>
      </c>
    </row>
    <row r="26" spans="1:24" ht="15.75" thickBot="1" x14ac:dyDescent="0.3">
      <c r="A26" s="229">
        <f t="shared" si="6"/>
        <v>1216</v>
      </c>
      <c r="B26" s="230">
        <f t="shared" si="7"/>
        <v>16</v>
      </c>
      <c r="C26" s="218" t="str">
        <f t="shared" si="4"/>
        <v>21aX10+000_090_04</v>
      </c>
      <c r="D26" s="197">
        <f t="shared" si="13"/>
        <v>9.8000000000000007</v>
      </c>
      <c r="E26" s="204">
        <f t="shared" si="14"/>
        <v>1.8130000000000002</v>
      </c>
      <c r="F26" s="198">
        <f t="shared" si="19"/>
        <v>18.5</v>
      </c>
      <c r="G26" s="198">
        <f t="shared" si="15"/>
        <v>14.8</v>
      </c>
      <c r="H26" s="198">
        <f t="shared" si="16"/>
        <v>9.25</v>
      </c>
      <c r="I26" s="198">
        <f t="shared" si="17"/>
        <v>8</v>
      </c>
      <c r="J26" s="199">
        <f t="shared" si="17"/>
        <v>0</v>
      </c>
      <c r="K26" s="194" t="str">
        <f>D26&amp;-4</f>
        <v>9.8-4</v>
      </c>
      <c r="L26" s="198">
        <f t="shared" si="18"/>
        <v>0.2</v>
      </c>
      <c r="M26" s="49">
        <v>90</v>
      </c>
      <c r="N26" s="198">
        <f t="shared" si="18"/>
        <v>150</v>
      </c>
      <c r="O26" s="198">
        <f t="shared" si="18"/>
        <v>160</v>
      </c>
      <c r="P26" s="198">
        <f t="shared" si="18"/>
        <v>270</v>
      </c>
      <c r="Q26" s="196" t="str">
        <f t="shared" si="18"/>
        <v>-</v>
      </c>
    </row>
    <row r="27" spans="1:24" ht="15.75" thickBot="1" x14ac:dyDescent="0.3">
      <c r="A27" s="229">
        <f t="shared" si="6"/>
        <v>1217</v>
      </c>
      <c r="B27" s="230">
        <f t="shared" si="7"/>
        <v>17</v>
      </c>
      <c r="C27" s="218" t="str">
        <f t="shared" si="4"/>
        <v>21aX10+000_000_05</v>
      </c>
      <c r="D27" s="197">
        <f t="shared" si="13"/>
        <v>9.8000000000000007</v>
      </c>
      <c r="E27" s="204">
        <f t="shared" si="14"/>
        <v>1.8130000000000002</v>
      </c>
      <c r="F27" s="198">
        <f t="shared" si="19"/>
        <v>18.5</v>
      </c>
      <c r="G27" s="198">
        <f t="shared" si="15"/>
        <v>14.8</v>
      </c>
      <c r="H27" s="198">
        <f t="shared" si="16"/>
        <v>9.25</v>
      </c>
      <c r="I27" s="198">
        <f t="shared" si="17"/>
        <v>8</v>
      </c>
      <c r="J27" s="199">
        <f t="shared" si="17"/>
        <v>0</v>
      </c>
      <c r="K27" s="194" t="str">
        <f>D27&amp;-5</f>
        <v>9.8-5</v>
      </c>
      <c r="L27" s="198">
        <f t="shared" si="18"/>
        <v>0.2</v>
      </c>
      <c r="M27" s="49">
        <v>0</v>
      </c>
      <c r="N27" s="198">
        <f t="shared" si="18"/>
        <v>150</v>
      </c>
      <c r="O27" s="198">
        <f t="shared" si="18"/>
        <v>160</v>
      </c>
      <c r="P27" s="198">
        <f t="shared" si="18"/>
        <v>270</v>
      </c>
      <c r="Q27" s="196" t="str">
        <f t="shared" si="18"/>
        <v>-</v>
      </c>
    </row>
    <row r="28" spans="1:24" ht="15.75" thickBot="1" x14ac:dyDescent="0.3">
      <c r="A28" s="229">
        <f t="shared" si="6"/>
        <v>1218</v>
      </c>
      <c r="B28" s="230">
        <f t="shared" si="7"/>
        <v>18</v>
      </c>
      <c r="C28" s="218" t="str">
        <f t="shared" si="4"/>
        <v>21aX10+000_030_06</v>
      </c>
      <c r="D28" s="197">
        <f t="shared" si="13"/>
        <v>9.8000000000000007</v>
      </c>
      <c r="E28" s="204">
        <f t="shared" si="14"/>
        <v>1.8130000000000002</v>
      </c>
      <c r="F28" s="198">
        <f t="shared" si="19"/>
        <v>18.5</v>
      </c>
      <c r="G28" s="198">
        <f t="shared" si="15"/>
        <v>14.8</v>
      </c>
      <c r="H28" s="198">
        <f t="shared" si="16"/>
        <v>9.25</v>
      </c>
      <c r="I28" s="198">
        <f t="shared" si="17"/>
        <v>8</v>
      </c>
      <c r="J28" s="199">
        <f t="shared" si="17"/>
        <v>0</v>
      </c>
      <c r="K28" s="194" t="str">
        <f>D28&amp;-6</f>
        <v>9.8-6</v>
      </c>
      <c r="L28" s="198">
        <f t="shared" ref="L28:Q34" si="20">L27</f>
        <v>0.2</v>
      </c>
      <c r="M28" s="49">
        <v>30</v>
      </c>
      <c r="N28" s="198">
        <f t="shared" si="20"/>
        <v>150</v>
      </c>
      <c r="O28" s="198">
        <f t="shared" si="20"/>
        <v>160</v>
      </c>
      <c r="P28" s="198">
        <f t="shared" si="20"/>
        <v>270</v>
      </c>
      <c r="Q28" s="196" t="str">
        <f t="shared" si="20"/>
        <v>-</v>
      </c>
    </row>
    <row r="29" spans="1:24" ht="15.75" thickBot="1" x14ac:dyDescent="0.3">
      <c r="A29" s="229">
        <f t="shared" si="6"/>
        <v>1219</v>
      </c>
      <c r="B29" s="230">
        <f t="shared" si="7"/>
        <v>19</v>
      </c>
      <c r="C29" s="218" t="str">
        <f t="shared" si="4"/>
        <v>21aX10+000_060_07</v>
      </c>
      <c r="D29" s="197">
        <f t="shared" si="13"/>
        <v>9.8000000000000007</v>
      </c>
      <c r="E29" s="204">
        <f t="shared" si="14"/>
        <v>1.8130000000000002</v>
      </c>
      <c r="F29" s="198">
        <f t="shared" si="19"/>
        <v>18.5</v>
      </c>
      <c r="G29" s="198">
        <f t="shared" si="15"/>
        <v>14.8</v>
      </c>
      <c r="H29" s="198">
        <f t="shared" si="16"/>
        <v>9.25</v>
      </c>
      <c r="I29" s="198">
        <f t="shared" si="17"/>
        <v>8</v>
      </c>
      <c r="J29" s="199">
        <f t="shared" si="17"/>
        <v>0</v>
      </c>
      <c r="K29" s="194" t="str">
        <f>D29&amp;-7</f>
        <v>9.8-7</v>
      </c>
      <c r="L29" s="198">
        <f t="shared" si="20"/>
        <v>0.2</v>
      </c>
      <c r="M29" s="49">
        <v>60</v>
      </c>
      <c r="N29" s="198">
        <f t="shared" si="20"/>
        <v>150</v>
      </c>
      <c r="O29" s="198">
        <f t="shared" si="20"/>
        <v>160</v>
      </c>
      <c r="P29" s="198">
        <f t="shared" si="20"/>
        <v>270</v>
      </c>
      <c r="Q29" s="196" t="str">
        <f t="shared" si="20"/>
        <v>-</v>
      </c>
    </row>
    <row r="30" spans="1:24" ht="15.75" thickBot="1" x14ac:dyDescent="0.3">
      <c r="A30" s="229">
        <f t="shared" si="6"/>
        <v>1220</v>
      </c>
      <c r="B30" s="230">
        <f t="shared" si="7"/>
        <v>20</v>
      </c>
      <c r="C30" s="218" t="str">
        <f t="shared" si="4"/>
        <v>21aX10+000_090_08</v>
      </c>
      <c r="D30" s="197">
        <f t="shared" si="13"/>
        <v>9.8000000000000007</v>
      </c>
      <c r="E30" s="204">
        <f t="shared" si="14"/>
        <v>1.8130000000000002</v>
      </c>
      <c r="F30" s="198">
        <f t="shared" si="19"/>
        <v>18.5</v>
      </c>
      <c r="G30" s="198">
        <f t="shared" si="15"/>
        <v>14.8</v>
      </c>
      <c r="H30" s="198">
        <f t="shared" si="16"/>
        <v>9.25</v>
      </c>
      <c r="I30" s="198">
        <f t="shared" si="17"/>
        <v>8</v>
      </c>
      <c r="J30" s="199">
        <f t="shared" si="17"/>
        <v>0</v>
      </c>
      <c r="K30" s="194" t="str">
        <f>D30&amp;-8</f>
        <v>9.8-8</v>
      </c>
      <c r="L30" s="198">
        <f t="shared" si="20"/>
        <v>0.2</v>
      </c>
      <c r="M30" s="49">
        <v>90</v>
      </c>
      <c r="N30" s="198">
        <f t="shared" si="20"/>
        <v>150</v>
      </c>
      <c r="O30" s="198">
        <f t="shared" si="20"/>
        <v>160</v>
      </c>
      <c r="P30" s="198">
        <f t="shared" si="20"/>
        <v>270</v>
      </c>
      <c r="Q30" s="196" t="str">
        <f t="shared" si="20"/>
        <v>-</v>
      </c>
    </row>
    <row r="31" spans="1:24" ht="15.75" thickBot="1" x14ac:dyDescent="0.3">
      <c r="A31" s="229">
        <f t="shared" si="6"/>
        <v>1221</v>
      </c>
      <c r="B31" s="230">
        <f t="shared" si="7"/>
        <v>21</v>
      </c>
      <c r="C31" s="218" t="str">
        <f t="shared" si="4"/>
        <v>21aX10+000_000_09</v>
      </c>
      <c r="D31" s="197">
        <f t="shared" si="13"/>
        <v>9.8000000000000007</v>
      </c>
      <c r="E31" s="204">
        <f t="shared" si="14"/>
        <v>1.8130000000000002</v>
      </c>
      <c r="F31" s="198">
        <f t="shared" si="19"/>
        <v>18.5</v>
      </c>
      <c r="G31" s="198">
        <f t="shared" si="15"/>
        <v>14.8</v>
      </c>
      <c r="H31" s="198">
        <f t="shared" si="16"/>
        <v>9.25</v>
      </c>
      <c r="I31" s="198">
        <f t="shared" si="17"/>
        <v>8</v>
      </c>
      <c r="J31" s="199">
        <f t="shared" si="17"/>
        <v>0</v>
      </c>
      <c r="K31" s="194" t="str">
        <f>D31&amp;-9</f>
        <v>9.8-9</v>
      </c>
      <c r="L31" s="198">
        <f t="shared" si="20"/>
        <v>0.2</v>
      </c>
      <c r="M31" s="49">
        <v>0</v>
      </c>
      <c r="N31" s="198">
        <f t="shared" si="20"/>
        <v>150</v>
      </c>
      <c r="O31" s="198">
        <f t="shared" si="20"/>
        <v>160</v>
      </c>
      <c r="P31" s="198">
        <f t="shared" si="20"/>
        <v>270</v>
      </c>
      <c r="Q31" s="196" t="str">
        <f t="shared" si="20"/>
        <v>-</v>
      </c>
    </row>
    <row r="32" spans="1:24" ht="15.75" thickBot="1" x14ac:dyDescent="0.3">
      <c r="A32" s="229">
        <f t="shared" si="6"/>
        <v>1222</v>
      </c>
      <c r="B32" s="230">
        <f t="shared" si="7"/>
        <v>22</v>
      </c>
      <c r="C32" s="218" t="str">
        <f t="shared" si="4"/>
        <v>21aX10+000_030_10</v>
      </c>
      <c r="D32" s="197">
        <f t="shared" si="13"/>
        <v>9.8000000000000007</v>
      </c>
      <c r="E32" s="204">
        <f t="shared" si="14"/>
        <v>1.8130000000000002</v>
      </c>
      <c r="F32" s="198">
        <f t="shared" si="19"/>
        <v>18.5</v>
      </c>
      <c r="G32" s="198">
        <f t="shared" si="15"/>
        <v>14.8</v>
      </c>
      <c r="H32" s="198">
        <f t="shared" si="16"/>
        <v>9.25</v>
      </c>
      <c r="I32" s="198">
        <f t="shared" si="17"/>
        <v>8</v>
      </c>
      <c r="J32" s="199">
        <f t="shared" si="17"/>
        <v>0</v>
      </c>
      <c r="K32" s="194" t="str">
        <f>D32&amp;-10</f>
        <v>9.8-10</v>
      </c>
      <c r="L32" s="198">
        <f t="shared" si="20"/>
        <v>0.2</v>
      </c>
      <c r="M32" s="49">
        <v>30</v>
      </c>
      <c r="N32" s="198">
        <f t="shared" si="20"/>
        <v>150</v>
      </c>
      <c r="O32" s="198">
        <f t="shared" si="20"/>
        <v>160</v>
      </c>
      <c r="P32" s="198">
        <f t="shared" si="20"/>
        <v>270</v>
      </c>
      <c r="Q32" s="196" t="str">
        <f t="shared" si="20"/>
        <v>-</v>
      </c>
    </row>
    <row r="33" spans="1:17" ht="15.75" thickBot="1" x14ac:dyDescent="0.3">
      <c r="A33" s="229">
        <f t="shared" si="6"/>
        <v>1223</v>
      </c>
      <c r="B33" s="230">
        <f t="shared" si="7"/>
        <v>23</v>
      </c>
      <c r="C33" s="218" t="str">
        <f t="shared" si="4"/>
        <v>21aX10+000_060_11</v>
      </c>
      <c r="D33" s="197">
        <f t="shared" si="13"/>
        <v>9.8000000000000007</v>
      </c>
      <c r="E33" s="204">
        <f t="shared" si="14"/>
        <v>1.8130000000000002</v>
      </c>
      <c r="F33" s="198">
        <f t="shared" si="19"/>
        <v>18.5</v>
      </c>
      <c r="G33" s="198">
        <f t="shared" si="15"/>
        <v>14.8</v>
      </c>
      <c r="H33" s="198">
        <f t="shared" si="16"/>
        <v>9.25</v>
      </c>
      <c r="I33" s="198">
        <f t="shared" si="17"/>
        <v>8</v>
      </c>
      <c r="J33" s="199">
        <f t="shared" si="17"/>
        <v>0</v>
      </c>
      <c r="K33" s="194" t="str">
        <f>D33&amp;-11</f>
        <v>9.8-11</v>
      </c>
      <c r="L33" s="198">
        <f t="shared" si="20"/>
        <v>0.2</v>
      </c>
      <c r="M33" s="49">
        <v>60</v>
      </c>
      <c r="N33" s="198">
        <f t="shared" si="20"/>
        <v>150</v>
      </c>
      <c r="O33" s="198">
        <f t="shared" si="20"/>
        <v>160</v>
      </c>
      <c r="P33" s="198">
        <f t="shared" si="20"/>
        <v>270</v>
      </c>
      <c r="Q33" s="196" t="str">
        <f t="shared" si="20"/>
        <v>-</v>
      </c>
    </row>
    <row r="34" spans="1:17" ht="15.75" thickBot="1" x14ac:dyDescent="0.3">
      <c r="A34" s="229">
        <f t="shared" si="6"/>
        <v>1224</v>
      </c>
      <c r="B34" s="230">
        <f t="shared" si="7"/>
        <v>24</v>
      </c>
      <c r="C34" s="218" t="str">
        <f t="shared" si="4"/>
        <v>21aX10+000_090_12</v>
      </c>
      <c r="D34" s="197">
        <f t="shared" si="13"/>
        <v>9.8000000000000007</v>
      </c>
      <c r="E34" s="204">
        <f t="shared" si="14"/>
        <v>1.8130000000000002</v>
      </c>
      <c r="F34" s="198">
        <f t="shared" si="19"/>
        <v>18.5</v>
      </c>
      <c r="G34" s="198">
        <f t="shared" si="15"/>
        <v>14.8</v>
      </c>
      <c r="H34" s="198">
        <f t="shared" si="16"/>
        <v>9.25</v>
      </c>
      <c r="I34" s="198">
        <f t="shared" si="17"/>
        <v>8</v>
      </c>
      <c r="J34" s="199">
        <f t="shared" si="17"/>
        <v>0</v>
      </c>
      <c r="K34" s="194" t="str">
        <f>D34&amp;-12</f>
        <v>9.8-12</v>
      </c>
      <c r="L34" s="198">
        <f t="shared" si="20"/>
        <v>0.2</v>
      </c>
      <c r="M34" s="49">
        <v>90</v>
      </c>
      <c r="N34" s="198">
        <f t="shared" si="20"/>
        <v>150</v>
      </c>
      <c r="O34" s="198">
        <f t="shared" si="20"/>
        <v>160</v>
      </c>
      <c r="P34" s="198">
        <f t="shared" si="20"/>
        <v>270</v>
      </c>
      <c r="Q34" s="196" t="str">
        <f t="shared" si="20"/>
        <v>-</v>
      </c>
    </row>
    <row r="35" spans="1:17" ht="15.75" thickBot="1" x14ac:dyDescent="0.3">
      <c r="A35" s="229">
        <f t="shared" si="6"/>
        <v>1225</v>
      </c>
      <c r="B35" s="230">
        <f t="shared" si="7"/>
        <v>25</v>
      </c>
      <c r="C35" s="218" t="str">
        <f t="shared" si="4"/>
        <v>21aX12+000_000_01</v>
      </c>
      <c r="D35" s="197">
        <f>vr_a</f>
        <v>11.8</v>
      </c>
      <c r="E35" s="204">
        <f t="shared" ref="E35:E46" si="21">I_ref*(0.75*D35+5.6)</f>
        <v>2.0230000000000001</v>
      </c>
      <c r="F35" s="198">
        <f>E35/D35*100</f>
        <v>17.14406779661017</v>
      </c>
      <c r="G35" s="198">
        <f t="shared" ref="G35:G46" si="22">m_ty*F35</f>
        <v>13.715254237288136</v>
      </c>
      <c r="H35" s="198">
        <f t="shared" ref="H35:H46" si="23">m_tz*F35</f>
        <v>8.5720338983050848</v>
      </c>
      <c r="I35" s="198">
        <f>inflow</f>
        <v>8</v>
      </c>
      <c r="J35" s="199">
        <f>yaw_null</f>
        <v>0</v>
      </c>
      <c r="K35" s="194" t="str">
        <f>D35&amp;-1</f>
        <v>11.8-1</v>
      </c>
      <c r="L35" s="198">
        <f>alpha_n</f>
        <v>0.2</v>
      </c>
      <c r="M35" s="49">
        <v>0</v>
      </c>
      <c r="N35" s="198">
        <f>t_out</f>
        <v>150</v>
      </c>
      <c r="O35" s="198">
        <f>trig_t</f>
        <v>160</v>
      </c>
      <c r="P35" s="198">
        <f>N35+2*T_s2</f>
        <v>270</v>
      </c>
      <c r="Q35" s="196" t="s">
        <v>76</v>
      </c>
    </row>
    <row r="36" spans="1:17" ht="15.75" thickBot="1" x14ac:dyDescent="0.3">
      <c r="A36" s="229">
        <f t="shared" si="6"/>
        <v>1226</v>
      </c>
      <c r="B36" s="230">
        <f t="shared" si="7"/>
        <v>26</v>
      </c>
      <c r="C36" s="218" t="str">
        <f t="shared" si="4"/>
        <v>21aX12+000_030_02</v>
      </c>
      <c r="D36" s="197">
        <f>D35</f>
        <v>11.8</v>
      </c>
      <c r="E36" s="204">
        <f t="shared" si="21"/>
        <v>2.0230000000000001</v>
      </c>
      <c r="F36" s="198">
        <f>E36/D36*100</f>
        <v>17.14406779661017</v>
      </c>
      <c r="G36" s="198">
        <f t="shared" si="22"/>
        <v>13.715254237288136</v>
      </c>
      <c r="H36" s="198">
        <f t="shared" si="23"/>
        <v>8.5720338983050848</v>
      </c>
      <c r="I36" s="198">
        <f t="shared" ref="I36" si="24">I35</f>
        <v>8</v>
      </c>
      <c r="J36" s="199">
        <f>J35</f>
        <v>0</v>
      </c>
      <c r="K36" s="194" t="str">
        <f>D36&amp;-2</f>
        <v>11.8-2</v>
      </c>
      <c r="L36" s="198">
        <f t="shared" ref="L36" si="25">L35</f>
        <v>0.2</v>
      </c>
      <c r="M36" s="49">
        <v>30</v>
      </c>
      <c r="N36" s="198">
        <f t="shared" ref="N36:Q36" si="26">N35</f>
        <v>150</v>
      </c>
      <c r="O36" s="198">
        <f t="shared" si="26"/>
        <v>160</v>
      </c>
      <c r="P36" s="198">
        <f t="shared" si="26"/>
        <v>270</v>
      </c>
      <c r="Q36" s="196" t="str">
        <f t="shared" si="26"/>
        <v>-</v>
      </c>
    </row>
    <row r="37" spans="1:17" ht="15.75" thickBot="1" x14ac:dyDescent="0.3">
      <c r="A37" s="229">
        <f t="shared" si="6"/>
        <v>1227</v>
      </c>
      <c r="B37" s="230">
        <f t="shared" si="7"/>
        <v>27</v>
      </c>
      <c r="C37" s="218" t="str">
        <f t="shared" si="4"/>
        <v>21aX12+000_060_03</v>
      </c>
      <c r="D37" s="197">
        <f t="shared" ref="D37:D46" si="27">D36</f>
        <v>11.8</v>
      </c>
      <c r="E37" s="204">
        <f t="shared" si="21"/>
        <v>2.0230000000000001</v>
      </c>
      <c r="F37" s="198">
        <f t="shared" ref="F37:F46" si="28">E37/D37*100</f>
        <v>17.14406779661017</v>
      </c>
      <c r="G37" s="198">
        <f t="shared" si="22"/>
        <v>13.715254237288136</v>
      </c>
      <c r="H37" s="198">
        <f t="shared" si="23"/>
        <v>8.5720338983050848</v>
      </c>
      <c r="I37" s="198">
        <f t="shared" ref="I37:J37" si="29">I36</f>
        <v>8</v>
      </c>
      <c r="J37" s="199">
        <f t="shared" si="29"/>
        <v>0</v>
      </c>
      <c r="K37" s="194" t="str">
        <f>D37&amp;-3</f>
        <v>11.8-3</v>
      </c>
      <c r="L37" s="198">
        <f t="shared" ref="L37" si="30">L36</f>
        <v>0.2</v>
      </c>
      <c r="M37" s="49">
        <v>60</v>
      </c>
      <c r="N37" s="198">
        <f t="shared" ref="N37:P37" si="31">N36</f>
        <v>150</v>
      </c>
      <c r="O37" s="198">
        <f t="shared" si="31"/>
        <v>160</v>
      </c>
      <c r="P37" s="198">
        <f t="shared" si="31"/>
        <v>270</v>
      </c>
      <c r="Q37" s="196" t="str">
        <f t="shared" ref="Q37" si="32">Q36</f>
        <v>-</v>
      </c>
    </row>
    <row r="38" spans="1:17" ht="15.75" thickBot="1" x14ac:dyDescent="0.3">
      <c r="A38" s="229">
        <f t="shared" si="6"/>
        <v>1228</v>
      </c>
      <c r="B38" s="230">
        <f t="shared" si="7"/>
        <v>28</v>
      </c>
      <c r="C38" s="218" t="str">
        <f t="shared" si="4"/>
        <v>21aX12+000_090_04</v>
      </c>
      <c r="D38" s="197">
        <f t="shared" si="27"/>
        <v>11.8</v>
      </c>
      <c r="E38" s="204">
        <f t="shared" si="21"/>
        <v>2.0230000000000001</v>
      </c>
      <c r="F38" s="198">
        <f t="shared" si="28"/>
        <v>17.14406779661017</v>
      </c>
      <c r="G38" s="198">
        <f t="shared" si="22"/>
        <v>13.715254237288136</v>
      </c>
      <c r="H38" s="198">
        <f t="shared" si="23"/>
        <v>8.5720338983050848</v>
      </c>
      <c r="I38" s="198">
        <f t="shared" ref="I38:J38" si="33">I37</f>
        <v>8</v>
      </c>
      <c r="J38" s="199">
        <f t="shared" si="33"/>
        <v>0</v>
      </c>
      <c r="K38" s="194" t="str">
        <f>D38&amp;-4</f>
        <v>11.8-4</v>
      </c>
      <c r="L38" s="198">
        <f t="shared" ref="L38" si="34">L37</f>
        <v>0.2</v>
      </c>
      <c r="M38" s="49">
        <v>90</v>
      </c>
      <c r="N38" s="198">
        <f t="shared" ref="N38:Q38" si="35">N37</f>
        <v>150</v>
      </c>
      <c r="O38" s="198">
        <f t="shared" si="35"/>
        <v>160</v>
      </c>
      <c r="P38" s="198">
        <f t="shared" si="35"/>
        <v>270</v>
      </c>
      <c r="Q38" s="196" t="str">
        <f t="shared" si="35"/>
        <v>-</v>
      </c>
    </row>
    <row r="39" spans="1:17" ht="15.75" thickBot="1" x14ac:dyDescent="0.3">
      <c r="A39" s="229">
        <f t="shared" si="6"/>
        <v>1229</v>
      </c>
      <c r="B39" s="230">
        <f t="shared" si="7"/>
        <v>29</v>
      </c>
      <c r="C39" s="218" t="str">
        <f t="shared" si="4"/>
        <v>21aX12+000_000_05</v>
      </c>
      <c r="D39" s="197">
        <f t="shared" si="27"/>
        <v>11.8</v>
      </c>
      <c r="E39" s="204">
        <f t="shared" si="21"/>
        <v>2.0230000000000001</v>
      </c>
      <c r="F39" s="198">
        <f t="shared" si="28"/>
        <v>17.14406779661017</v>
      </c>
      <c r="G39" s="198">
        <f t="shared" si="22"/>
        <v>13.715254237288136</v>
      </c>
      <c r="H39" s="198">
        <f t="shared" si="23"/>
        <v>8.5720338983050848</v>
      </c>
      <c r="I39" s="198">
        <f t="shared" ref="I39:J39" si="36">I38</f>
        <v>8</v>
      </c>
      <c r="J39" s="199">
        <f t="shared" si="36"/>
        <v>0</v>
      </c>
      <c r="K39" s="194" t="str">
        <f>D39&amp;-5</f>
        <v>11.8-5</v>
      </c>
      <c r="L39" s="198">
        <f t="shared" ref="L39" si="37">L38</f>
        <v>0.2</v>
      </c>
      <c r="M39" s="49">
        <v>0</v>
      </c>
      <c r="N39" s="198">
        <f t="shared" ref="N39:Q39" si="38">N38</f>
        <v>150</v>
      </c>
      <c r="O39" s="198">
        <f t="shared" si="38"/>
        <v>160</v>
      </c>
      <c r="P39" s="198">
        <f t="shared" si="38"/>
        <v>270</v>
      </c>
      <c r="Q39" s="196" t="str">
        <f t="shared" si="38"/>
        <v>-</v>
      </c>
    </row>
    <row r="40" spans="1:17" ht="15.75" thickBot="1" x14ac:dyDescent="0.3">
      <c r="A40" s="229">
        <f t="shared" si="6"/>
        <v>1230</v>
      </c>
      <c r="B40" s="230">
        <f t="shared" si="7"/>
        <v>30</v>
      </c>
      <c r="C40" s="218" t="str">
        <f t="shared" si="4"/>
        <v>21aX12+000_030_06</v>
      </c>
      <c r="D40" s="197">
        <f t="shared" si="27"/>
        <v>11.8</v>
      </c>
      <c r="E40" s="204">
        <f t="shared" si="21"/>
        <v>2.0230000000000001</v>
      </c>
      <c r="F40" s="198">
        <f t="shared" si="28"/>
        <v>17.14406779661017</v>
      </c>
      <c r="G40" s="198">
        <f t="shared" si="22"/>
        <v>13.715254237288136</v>
      </c>
      <c r="H40" s="198">
        <f t="shared" si="23"/>
        <v>8.5720338983050848</v>
      </c>
      <c r="I40" s="198">
        <f t="shared" ref="I40:J40" si="39">I39</f>
        <v>8</v>
      </c>
      <c r="J40" s="199">
        <f t="shared" si="39"/>
        <v>0</v>
      </c>
      <c r="K40" s="194" t="str">
        <f>D40&amp;-6</f>
        <v>11.8-6</v>
      </c>
      <c r="L40" s="198">
        <f t="shared" ref="L40" si="40">L39</f>
        <v>0.2</v>
      </c>
      <c r="M40" s="49">
        <v>30</v>
      </c>
      <c r="N40" s="198">
        <f t="shared" ref="N40:Q40" si="41">N39</f>
        <v>150</v>
      </c>
      <c r="O40" s="198">
        <f t="shared" si="41"/>
        <v>160</v>
      </c>
      <c r="P40" s="198">
        <f t="shared" si="41"/>
        <v>270</v>
      </c>
      <c r="Q40" s="196" t="str">
        <f t="shared" si="41"/>
        <v>-</v>
      </c>
    </row>
    <row r="41" spans="1:17" ht="15.75" thickBot="1" x14ac:dyDescent="0.3">
      <c r="A41" s="229">
        <f t="shared" si="6"/>
        <v>1231</v>
      </c>
      <c r="B41" s="230">
        <f t="shared" si="7"/>
        <v>31</v>
      </c>
      <c r="C41" s="218" t="str">
        <f t="shared" si="4"/>
        <v>21aX12+000_060_07</v>
      </c>
      <c r="D41" s="197">
        <f t="shared" si="27"/>
        <v>11.8</v>
      </c>
      <c r="E41" s="204">
        <f t="shared" si="21"/>
        <v>2.0230000000000001</v>
      </c>
      <c r="F41" s="198">
        <f t="shared" si="28"/>
        <v>17.14406779661017</v>
      </c>
      <c r="G41" s="198">
        <f t="shared" si="22"/>
        <v>13.715254237288136</v>
      </c>
      <c r="H41" s="198">
        <f t="shared" si="23"/>
        <v>8.5720338983050848</v>
      </c>
      <c r="I41" s="198">
        <f t="shared" ref="I41:J41" si="42">I40</f>
        <v>8</v>
      </c>
      <c r="J41" s="199">
        <f t="shared" si="42"/>
        <v>0</v>
      </c>
      <c r="K41" s="194" t="str">
        <f>D41&amp;-7</f>
        <v>11.8-7</v>
      </c>
      <c r="L41" s="198">
        <f t="shared" ref="L41" si="43">L40</f>
        <v>0.2</v>
      </c>
      <c r="M41" s="49">
        <v>60</v>
      </c>
      <c r="N41" s="198">
        <f t="shared" ref="N41:Q41" si="44">N40</f>
        <v>150</v>
      </c>
      <c r="O41" s="198">
        <f t="shared" si="44"/>
        <v>160</v>
      </c>
      <c r="P41" s="198">
        <f t="shared" si="44"/>
        <v>270</v>
      </c>
      <c r="Q41" s="196" t="str">
        <f t="shared" si="44"/>
        <v>-</v>
      </c>
    </row>
    <row r="42" spans="1:17" ht="15.75" thickBot="1" x14ac:dyDescent="0.3">
      <c r="A42" s="229">
        <f t="shared" si="6"/>
        <v>1232</v>
      </c>
      <c r="B42" s="230">
        <f t="shared" si="7"/>
        <v>32</v>
      </c>
      <c r="C42" s="218" t="str">
        <f t="shared" si="4"/>
        <v>21aX12+000_090_08</v>
      </c>
      <c r="D42" s="197">
        <f t="shared" si="27"/>
        <v>11.8</v>
      </c>
      <c r="E42" s="204">
        <f t="shared" si="21"/>
        <v>2.0230000000000001</v>
      </c>
      <c r="F42" s="198">
        <f t="shared" si="28"/>
        <v>17.14406779661017</v>
      </c>
      <c r="G42" s="198">
        <f t="shared" si="22"/>
        <v>13.715254237288136</v>
      </c>
      <c r="H42" s="198">
        <f t="shared" si="23"/>
        <v>8.5720338983050848</v>
      </c>
      <c r="I42" s="198">
        <f t="shared" ref="I42:J42" si="45">I41</f>
        <v>8</v>
      </c>
      <c r="J42" s="199">
        <f t="shared" si="45"/>
        <v>0</v>
      </c>
      <c r="K42" s="194" t="str">
        <f>D42&amp;-8</f>
        <v>11.8-8</v>
      </c>
      <c r="L42" s="198">
        <f t="shared" ref="L42" si="46">L41</f>
        <v>0.2</v>
      </c>
      <c r="M42" s="49">
        <v>90</v>
      </c>
      <c r="N42" s="198">
        <f t="shared" ref="N42:Q42" si="47">N41</f>
        <v>150</v>
      </c>
      <c r="O42" s="198">
        <f t="shared" si="47"/>
        <v>160</v>
      </c>
      <c r="P42" s="198">
        <f t="shared" si="47"/>
        <v>270</v>
      </c>
      <c r="Q42" s="196" t="str">
        <f t="shared" si="47"/>
        <v>-</v>
      </c>
    </row>
    <row r="43" spans="1:17" ht="15.75" thickBot="1" x14ac:dyDescent="0.3">
      <c r="A43" s="229">
        <f t="shared" si="6"/>
        <v>1233</v>
      </c>
      <c r="B43" s="230">
        <f t="shared" si="7"/>
        <v>33</v>
      </c>
      <c r="C43" s="218" t="str">
        <f t="shared" si="4"/>
        <v>21aX12+000_000_09</v>
      </c>
      <c r="D43" s="197">
        <f t="shared" si="27"/>
        <v>11.8</v>
      </c>
      <c r="E43" s="204">
        <f t="shared" si="21"/>
        <v>2.0230000000000001</v>
      </c>
      <c r="F43" s="198">
        <f t="shared" si="28"/>
        <v>17.14406779661017</v>
      </c>
      <c r="G43" s="198">
        <f t="shared" si="22"/>
        <v>13.715254237288136</v>
      </c>
      <c r="H43" s="198">
        <f t="shared" si="23"/>
        <v>8.5720338983050848</v>
      </c>
      <c r="I43" s="198">
        <f t="shared" ref="I43:J43" si="48">I42</f>
        <v>8</v>
      </c>
      <c r="J43" s="199">
        <f t="shared" si="48"/>
        <v>0</v>
      </c>
      <c r="K43" s="194" t="str">
        <f>D43&amp;-9</f>
        <v>11.8-9</v>
      </c>
      <c r="L43" s="198">
        <f t="shared" ref="L43" si="49">L42</f>
        <v>0.2</v>
      </c>
      <c r="M43" s="49">
        <v>0</v>
      </c>
      <c r="N43" s="198">
        <f t="shared" ref="N43:Q43" si="50">N42</f>
        <v>150</v>
      </c>
      <c r="O43" s="198">
        <f t="shared" si="50"/>
        <v>160</v>
      </c>
      <c r="P43" s="198">
        <f t="shared" si="50"/>
        <v>270</v>
      </c>
      <c r="Q43" s="196" t="str">
        <f t="shared" si="50"/>
        <v>-</v>
      </c>
    </row>
    <row r="44" spans="1:17" ht="15.75" thickBot="1" x14ac:dyDescent="0.3">
      <c r="A44" s="229">
        <f t="shared" si="6"/>
        <v>1234</v>
      </c>
      <c r="B44" s="230">
        <f t="shared" si="7"/>
        <v>34</v>
      </c>
      <c r="C44" s="218" t="str">
        <f t="shared" si="4"/>
        <v>21aX12+000_030_10</v>
      </c>
      <c r="D44" s="197">
        <f t="shared" si="27"/>
        <v>11.8</v>
      </c>
      <c r="E44" s="204">
        <f t="shared" si="21"/>
        <v>2.0230000000000001</v>
      </c>
      <c r="F44" s="198">
        <f t="shared" si="28"/>
        <v>17.14406779661017</v>
      </c>
      <c r="G44" s="198">
        <f t="shared" si="22"/>
        <v>13.715254237288136</v>
      </c>
      <c r="H44" s="198">
        <f t="shared" si="23"/>
        <v>8.5720338983050848</v>
      </c>
      <c r="I44" s="198">
        <f t="shared" ref="I44:J44" si="51">I43</f>
        <v>8</v>
      </c>
      <c r="J44" s="199">
        <f t="shared" si="51"/>
        <v>0</v>
      </c>
      <c r="K44" s="194" t="str">
        <f>D44&amp;-10</f>
        <v>11.8-10</v>
      </c>
      <c r="L44" s="198">
        <f t="shared" ref="L44" si="52">L43</f>
        <v>0.2</v>
      </c>
      <c r="M44" s="49">
        <v>30</v>
      </c>
      <c r="N44" s="198">
        <f t="shared" ref="N44:Q44" si="53">N43</f>
        <v>150</v>
      </c>
      <c r="O44" s="198">
        <f t="shared" si="53"/>
        <v>160</v>
      </c>
      <c r="P44" s="198">
        <f t="shared" si="53"/>
        <v>270</v>
      </c>
      <c r="Q44" s="196" t="str">
        <f t="shared" si="53"/>
        <v>-</v>
      </c>
    </row>
    <row r="45" spans="1:17" ht="15.75" thickBot="1" x14ac:dyDescent="0.3">
      <c r="A45" s="229">
        <f t="shared" si="6"/>
        <v>1235</v>
      </c>
      <c r="B45" s="230">
        <f t="shared" si="7"/>
        <v>35</v>
      </c>
      <c r="C45" s="218" t="str">
        <f t="shared" si="4"/>
        <v>21aX12+000_060_11</v>
      </c>
      <c r="D45" s="197">
        <f t="shared" si="27"/>
        <v>11.8</v>
      </c>
      <c r="E45" s="204">
        <f t="shared" si="21"/>
        <v>2.0230000000000001</v>
      </c>
      <c r="F45" s="198">
        <f t="shared" si="28"/>
        <v>17.14406779661017</v>
      </c>
      <c r="G45" s="198">
        <f t="shared" si="22"/>
        <v>13.715254237288136</v>
      </c>
      <c r="H45" s="198">
        <f t="shared" si="23"/>
        <v>8.5720338983050848</v>
      </c>
      <c r="I45" s="198">
        <f t="shared" ref="I45:J45" si="54">I44</f>
        <v>8</v>
      </c>
      <c r="J45" s="199">
        <f t="shared" si="54"/>
        <v>0</v>
      </c>
      <c r="K45" s="194" t="str">
        <f>D45&amp;-11</f>
        <v>11.8-11</v>
      </c>
      <c r="L45" s="198">
        <f t="shared" ref="L45" si="55">L44</f>
        <v>0.2</v>
      </c>
      <c r="M45" s="49">
        <v>60</v>
      </c>
      <c r="N45" s="198">
        <f t="shared" ref="N45:Q45" si="56">N44</f>
        <v>150</v>
      </c>
      <c r="O45" s="198">
        <f t="shared" si="56"/>
        <v>160</v>
      </c>
      <c r="P45" s="198">
        <f t="shared" si="56"/>
        <v>270</v>
      </c>
      <c r="Q45" s="196" t="str">
        <f t="shared" si="56"/>
        <v>-</v>
      </c>
    </row>
    <row r="46" spans="1:17" ht="15.75" thickBot="1" x14ac:dyDescent="0.3">
      <c r="A46" s="229">
        <f t="shared" si="6"/>
        <v>1236</v>
      </c>
      <c r="B46" s="230">
        <f t="shared" si="7"/>
        <v>36</v>
      </c>
      <c r="C46" s="218" t="str">
        <f t="shared" si="4"/>
        <v>21aX12+000_090_12</v>
      </c>
      <c r="D46" s="197">
        <f t="shared" si="27"/>
        <v>11.8</v>
      </c>
      <c r="E46" s="204">
        <f t="shared" si="21"/>
        <v>2.0230000000000001</v>
      </c>
      <c r="F46" s="198">
        <f t="shared" si="28"/>
        <v>17.14406779661017</v>
      </c>
      <c r="G46" s="198">
        <f t="shared" si="22"/>
        <v>13.715254237288136</v>
      </c>
      <c r="H46" s="198">
        <f t="shared" si="23"/>
        <v>8.5720338983050848</v>
      </c>
      <c r="I46" s="198">
        <f t="shared" ref="I46:J46" si="57">I45</f>
        <v>8</v>
      </c>
      <c r="J46" s="199">
        <f t="shared" si="57"/>
        <v>0</v>
      </c>
      <c r="K46" s="194" t="str">
        <f>D46&amp;-12</f>
        <v>11.8-12</v>
      </c>
      <c r="L46" s="198">
        <f t="shared" ref="L46" si="58">L45</f>
        <v>0.2</v>
      </c>
      <c r="M46" s="49">
        <v>90</v>
      </c>
      <c r="N46" s="198">
        <f t="shared" ref="N46:Q46" si="59">N45</f>
        <v>150</v>
      </c>
      <c r="O46" s="198">
        <f t="shared" si="59"/>
        <v>160</v>
      </c>
      <c r="P46" s="198">
        <f t="shared" si="59"/>
        <v>270</v>
      </c>
      <c r="Q46" s="196" t="str">
        <f t="shared" si="59"/>
        <v>-</v>
      </c>
    </row>
    <row r="47" spans="1:17" ht="15.75" thickBot="1" x14ac:dyDescent="0.3">
      <c r="A47" s="229">
        <f t="shared" si="6"/>
        <v>1237</v>
      </c>
      <c r="B47" s="230">
        <f t="shared" si="7"/>
        <v>37</v>
      </c>
      <c r="C47" s="218" t="str">
        <f t="shared" si="4"/>
        <v>21aX20+000_000_01</v>
      </c>
      <c r="D47" s="197">
        <f>v_c</f>
        <v>20</v>
      </c>
      <c r="E47" s="204">
        <f t="shared" ref="E47:E58" si="60">I_ref*(0.75*D47+5.6)</f>
        <v>2.8840000000000003</v>
      </c>
      <c r="F47" s="198">
        <f>E47/D47*100</f>
        <v>14.420000000000002</v>
      </c>
      <c r="G47" s="198">
        <f t="shared" ref="G47:G58" si="61">m_ty*F47</f>
        <v>11.536000000000001</v>
      </c>
      <c r="H47" s="198">
        <f t="shared" ref="H47:H58" si="62">m_tz*F47</f>
        <v>7.2100000000000009</v>
      </c>
      <c r="I47" s="198">
        <f>inflow</f>
        <v>8</v>
      </c>
      <c r="J47" s="199">
        <f>yaw_null</f>
        <v>0</v>
      </c>
      <c r="K47" s="194" t="str">
        <f>D47&amp;-1</f>
        <v>20-1</v>
      </c>
      <c r="L47" s="198">
        <f>alpha_n</f>
        <v>0.2</v>
      </c>
      <c r="M47" s="49">
        <v>0</v>
      </c>
      <c r="N47" s="198">
        <f>t_out</f>
        <v>150</v>
      </c>
      <c r="O47" s="198">
        <f>trig_t</f>
        <v>160</v>
      </c>
      <c r="P47" s="198">
        <f>N47+2*T_s2</f>
        <v>270</v>
      </c>
      <c r="Q47" s="196" t="s">
        <v>76</v>
      </c>
    </row>
    <row r="48" spans="1:17" ht="15.75" thickBot="1" x14ac:dyDescent="0.3">
      <c r="A48" s="229">
        <f t="shared" si="6"/>
        <v>1238</v>
      </c>
      <c r="B48" s="230">
        <f t="shared" si="7"/>
        <v>38</v>
      </c>
      <c r="C48" s="218" t="str">
        <f t="shared" si="4"/>
        <v>21aX20+000_030_02</v>
      </c>
      <c r="D48" s="197">
        <f>D47</f>
        <v>20</v>
      </c>
      <c r="E48" s="204">
        <f t="shared" si="60"/>
        <v>2.8840000000000003</v>
      </c>
      <c r="F48" s="198">
        <f>E48/D48*100</f>
        <v>14.420000000000002</v>
      </c>
      <c r="G48" s="198">
        <f t="shared" si="61"/>
        <v>11.536000000000001</v>
      </c>
      <c r="H48" s="198">
        <f t="shared" si="62"/>
        <v>7.2100000000000009</v>
      </c>
      <c r="I48" s="198">
        <f t="shared" ref="I48" si="63">I47</f>
        <v>8</v>
      </c>
      <c r="J48" s="199">
        <f>J47</f>
        <v>0</v>
      </c>
      <c r="K48" s="194" t="str">
        <f>D48&amp;-2</f>
        <v>20-2</v>
      </c>
      <c r="L48" s="198">
        <f t="shared" ref="L48:L70" si="64">L47</f>
        <v>0.2</v>
      </c>
      <c r="M48" s="49">
        <v>30</v>
      </c>
      <c r="N48" s="198">
        <f t="shared" ref="N48:Q49" si="65">N47</f>
        <v>150</v>
      </c>
      <c r="O48" s="198">
        <f t="shared" si="65"/>
        <v>160</v>
      </c>
      <c r="P48" s="198">
        <f t="shared" si="65"/>
        <v>270</v>
      </c>
      <c r="Q48" s="196" t="str">
        <f t="shared" si="65"/>
        <v>-</v>
      </c>
    </row>
    <row r="49" spans="1:17" ht="15.75" thickBot="1" x14ac:dyDescent="0.3">
      <c r="A49" s="229">
        <f t="shared" si="6"/>
        <v>1239</v>
      </c>
      <c r="B49" s="230">
        <f t="shared" si="7"/>
        <v>39</v>
      </c>
      <c r="C49" s="218" t="str">
        <f t="shared" si="4"/>
        <v>21aX20+000_060_03</v>
      </c>
      <c r="D49" s="197">
        <f t="shared" ref="D49:D58" si="66">D48</f>
        <v>20</v>
      </c>
      <c r="E49" s="204">
        <f t="shared" si="60"/>
        <v>2.8840000000000003</v>
      </c>
      <c r="F49" s="198">
        <f t="shared" ref="F49:F58" si="67">E49/D49*100</f>
        <v>14.420000000000002</v>
      </c>
      <c r="G49" s="198">
        <f t="shared" si="61"/>
        <v>11.536000000000001</v>
      </c>
      <c r="H49" s="198">
        <f t="shared" si="62"/>
        <v>7.2100000000000009</v>
      </c>
      <c r="I49" s="198">
        <f t="shared" ref="I49:J49" si="68">I48</f>
        <v>8</v>
      </c>
      <c r="J49" s="199">
        <f t="shared" si="68"/>
        <v>0</v>
      </c>
      <c r="K49" s="194" t="str">
        <f>D49&amp;-3</f>
        <v>20-3</v>
      </c>
      <c r="L49" s="198">
        <f t="shared" si="64"/>
        <v>0.2</v>
      </c>
      <c r="M49" s="49">
        <v>60</v>
      </c>
      <c r="N49" s="198">
        <f t="shared" ref="N49:P49" si="69">N48</f>
        <v>150</v>
      </c>
      <c r="O49" s="198">
        <f t="shared" si="69"/>
        <v>160</v>
      </c>
      <c r="P49" s="198">
        <f t="shared" si="69"/>
        <v>270</v>
      </c>
      <c r="Q49" s="196" t="str">
        <f t="shared" si="65"/>
        <v>-</v>
      </c>
    </row>
    <row r="50" spans="1:17" ht="15.75" thickBot="1" x14ac:dyDescent="0.3">
      <c r="A50" s="229">
        <f t="shared" si="6"/>
        <v>1240</v>
      </c>
      <c r="B50" s="230">
        <f t="shared" si="7"/>
        <v>40</v>
      </c>
      <c r="C50" s="218" t="str">
        <f t="shared" si="4"/>
        <v>21aX20+000_090_04</v>
      </c>
      <c r="D50" s="197">
        <f t="shared" si="66"/>
        <v>20</v>
      </c>
      <c r="E50" s="204">
        <f t="shared" si="60"/>
        <v>2.8840000000000003</v>
      </c>
      <c r="F50" s="198">
        <f t="shared" si="67"/>
        <v>14.420000000000002</v>
      </c>
      <c r="G50" s="198">
        <f t="shared" si="61"/>
        <v>11.536000000000001</v>
      </c>
      <c r="H50" s="198">
        <f t="shared" si="62"/>
        <v>7.2100000000000009</v>
      </c>
      <c r="I50" s="198">
        <f t="shared" ref="I50:J50" si="70">I49</f>
        <v>8</v>
      </c>
      <c r="J50" s="199">
        <f t="shared" si="70"/>
        <v>0</v>
      </c>
      <c r="K50" s="194" t="str">
        <f>D50&amp;-4</f>
        <v>20-4</v>
      </c>
      <c r="L50" s="198">
        <f t="shared" si="64"/>
        <v>0.2</v>
      </c>
      <c r="M50" s="49">
        <v>90</v>
      </c>
      <c r="N50" s="198">
        <f t="shared" ref="N50:Q50" si="71">N49</f>
        <v>150</v>
      </c>
      <c r="O50" s="198">
        <f t="shared" si="71"/>
        <v>160</v>
      </c>
      <c r="P50" s="198">
        <f t="shared" si="71"/>
        <v>270</v>
      </c>
      <c r="Q50" s="196" t="str">
        <f t="shared" si="71"/>
        <v>-</v>
      </c>
    </row>
    <row r="51" spans="1:17" ht="15.75" thickBot="1" x14ac:dyDescent="0.3">
      <c r="A51" s="229">
        <f t="shared" si="6"/>
        <v>1241</v>
      </c>
      <c r="B51" s="230">
        <f t="shared" si="7"/>
        <v>41</v>
      </c>
      <c r="C51" s="218" t="str">
        <f t="shared" si="4"/>
        <v>21aX20+000_000_05</v>
      </c>
      <c r="D51" s="197">
        <f t="shared" si="66"/>
        <v>20</v>
      </c>
      <c r="E51" s="204">
        <f t="shared" si="60"/>
        <v>2.8840000000000003</v>
      </c>
      <c r="F51" s="198">
        <f t="shared" si="67"/>
        <v>14.420000000000002</v>
      </c>
      <c r="G51" s="198">
        <f t="shared" si="61"/>
        <v>11.536000000000001</v>
      </c>
      <c r="H51" s="198">
        <f t="shared" si="62"/>
        <v>7.2100000000000009</v>
      </c>
      <c r="I51" s="198">
        <f t="shared" ref="I51:J51" si="72">I50</f>
        <v>8</v>
      </c>
      <c r="J51" s="199">
        <f t="shared" si="72"/>
        <v>0</v>
      </c>
      <c r="K51" s="194" t="str">
        <f>D51&amp;-5</f>
        <v>20-5</v>
      </c>
      <c r="L51" s="198">
        <f t="shared" si="64"/>
        <v>0.2</v>
      </c>
      <c r="M51" s="49">
        <v>0</v>
      </c>
      <c r="N51" s="198">
        <f t="shared" ref="N51:Q51" si="73">N50</f>
        <v>150</v>
      </c>
      <c r="O51" s="198">
        <f t="shared" si="73"/>
        <v>160</v>
      </c>
      <c r="P51" s="198">
        <f t="shared" si="73"/>
        <v>270</v>
      </c>
      <c r="Q51" s="196" t="str">
        <f t="shared" si="73"/>
        <v>-</v>
      </c>
    </row>
    <row r="52" spans="1:17" ht="15.75" thickBot="1" x14ac:dyDescent="0.3">
      <c r="A52" s="229">
        <f t="shared" si="6"/>
        <v>1242</v>
      </c>
      <c r="B52" s="230">
        <f t="shared" si="7"/>
        <v>42</v>
      </c>
      <c r="C52" s="218" t="str">
        <f t="shared" si="4"/>
        <v>21aX20+000_030_06</v>
      </c>
      <c r="D52" s="197">
        <f t="shared" si="66"/>
        <v>20</v>
      </c>
      <c r="E52" s="204">
        <f t="shared" si="60"/>
        <v>2.8840000000000003</v>
      </c>
      <c r="F52" s="198">
        <f t="shared" si="67"/>
        <v>14.420000000000002</v>
      </c>
      <c r="G52" s="198">
        <f t="shared" si="61"/>
        <v>11.536000000000001</v>
      </c>
      <c r="H52" s="198">
        <f t="shared" si="62"/>
        <v>7.2100000000000009</v>
      </c>
      <c r="I52" s="198">
        <f t="shared" ref="I52:J52" si="74">I51</f>
        <v>8</v>
      </c>
      <c r="J52" s="199">
        <f t="shared" si="74"/>
        <v>0</v>
      </c>
      <c r="K52" s="194" t="str">
        <f>D52&amp;-6</f>
        <v>20-6</v>
      </c>
      <c r="L52" s="198">
        <f t="shared" si="64"/>
        <v>0.2</v>
      </c>
      <c r="M52" s="49">
        <v>30</v>
      </c>
      <c r="N52" s="198">
        <f t="shared" ref="N52:Q52" si="75">N51</f>
        <v>150</v>
      </c>
      <c r="O52" s="198">
        <f t="shared" si="75"/>
        <v>160</v>
      </c>
      <c r="P52" s="198">
        <f t="shared" si="75"/>
        <v>270</v>
      </c>
      <c r="Q52" s="196" t="str">
        <f t="shared" si="75"/>
        <v>-</v>
      </c>
    </row>
    <row r="53" spans="1:17" ht="15.75" thickBot="1" x14ac:dyDescent="0.3">
      <c r="A53" s="229">
        <f t="shared" si="6"/>
        <v>1243</v>
      </c>
      <c r="B53" s="230">
        <f t="shared" si="7"/>
        <v>43</v>
      </c>
      <c r="C53" s="218" t="str">
        <f t="shared" si="4"/>
        <v>21aX20+000_060_07</v>
      </c>
      <c r="D53" s="197">
        <f t="shared" si="66"/>
        <v>20</v>
      </c>
      <c r="E53" s="204">
        <f t="shared" si="60"/>
        <v>2.8840000000000003</v>
      </c>
      <c r="F53" s="198">
        <f t="shared" si="67"/>
        <v>14.420000000000002</v>
      </c>
      <c r="G53" s="198">
        <f t="shared" si="61"/>
        <v>11.536000000000001</v>
      </c>
      <c r="H53" s="198">
        <f t="shared" si="62"/>
        <v>7.2100000000000009</v>
      </c>
      <c r="I53" s="198">
        <f t="shared" ref="I53:J53" si="76">I52</f>
        <v>8</v>
      </c>
      <c r="J53" s="199">
        <f t="shared" si="76"/>
        <v>0</v>
      </c>
      <c r="K53" s="194" t="str">
        <f>D53&amp;-7</f>
        <v>20-7</v>
      </c>
      <c r="L53" s="198">
        <f t="shared" si="64"/>
        <v>0.2</v>
      </c>
      <c r="M53" s="49">
        <v>60</v>
      </c>
      <c r="N53" s="198">
        <f t="shared" ref="N53:Q53" si="77">N52</f>
        <v>150</v>
      </c>
      <c r="O53" s="198">
        <f t="shared" si="77"/>
        <v>160</v>
      </c>
      <c r="P53" s="198">
        <f t="shared" si="77"/>
        <v>270</v>
      </c>
      <c r="Q53" s="196" t="str">
        <f t="shared" si="77"/>
        <v>-</v>
      </c>
    </row>
    <row r="54" spans="1:17" ht="15.75" thickBot="1" x14ac:dyDescent="0.3">
      <c r="A54" s="229">
        <f t="shared" si="6"/>
        <v>1244</v>
      </c>
      <c r="B54" s="230">
        <f t="shared" si="7"/>
        <v>44</v>
      </c>
      <c r="C54" s="218" t="str">
        <f t="shared" si="4"/>
        <v>21aX20+000_090_08</v>
      </c>
      <c r="D54" s="197">
        <f t="shared" si="66"/>
        <v>20</v>
      </c>
      <c r="E54" s="204">
        <f t="shared" si="60"/>
        <v>2.8840000000000003</v>
      </c>
      <c r="F54" s="198">
        <f t="shared" si="67"/>
        <v>14.420000000000002</v>
      </c>
      <c r="G54" s="198">
        <f t="shared" si="61"/>
        <v>11.536000000000001</v>
      </c>
      <c r="H54" s="198">
        <f t="shared" si="62"/>
        <v>7.2100000000000009</v>
      </c>
      <c r="I54" s="198">
        <f t="shared" ref="I54:J54" si="78">I53</f>
        <v>8</v>
      </c>
      <c r="J54" s="199">
        <f t="shared" si="78"/>
        <v>0</v>
      </c>
      <c r="K54" s="194" t="str">
        <f>D54&amp;-8</f>
        <v>20-8</v>
      </c>
      <c r="L54" s="198">
        <f t="shared" si="64"/>
        <v>0.2</v>
      </c>
      <c r="M54" s="49">
        <v>90</v>
      </c>
      <c r="N54" s="198">
        <f t="shared" ref="N54:Q54" si="79">N53</f>
        <v>150</v>
      </c>
      <c r="O54" s="198">
        <f t="shared" si="79"/>
        <v>160</v>
      </c>
      <c r="P54" s="198">
        <f t="shared" si="79"/>
        <v>270</v>
      </c>
      <c r="Q54" s="196" t="str">
        <f t="shared" si="79"/>
        <v>-</v>
      </c>
    </row>
    <row r="55" spans="1:17" ht="15.75" thickBot="1" x14ac:dyDescent="0.3">
      <c r="A55" s="229">
        <f t="shared" si="6"/>
        <v>1245</v>
      </c>
      <c r="B55" s="230">
        <f t="shared" si="7"/>
        <v>45</v>
      </c>
      <c r="C55" s="218" t="str">
        <f t="shared" si="4"/>
        <v>21aX20+000_000_09</v>
      </c>
      <c r="D55" s="197">
        <f t="shared" si="66"/>
        <v>20</v>
      </c>
      <c r="E55" s="204">
        <f t="shared" si="60"/>
        <v>2.8840000000000003</v>
      </c>
      <c r="F55" s="198">
        <f t="shared" si="67"/>
        <v>14.420000000000002</v>
      </c>
      <c r="G55" s="198">
        <f t="shared" si="61"/>
        <v>11.536000000000001</v>
      </c>
      <c r="H55" s="198">
        <f t="shared" si="62"/>
        <v>7.2100000000000009</v>
      </c>
      <c r="I55" s="198">
        <f t="shared" ref="I55:J55" si="80">I54</f>
        <v>8</v>
      </c>
      <c r="J55" s="199">
        <f t="shared" si="80"/>
        <v>0</v>
      </c>
      <c r="K55" s="194" t="str">
        <f>D55&amp;-9</f>
        <v>20-9</v>
      </c>
      <c r="L55" s="198">
        <f t="shared" si="64"/>
        <v>0.2</v>
      </c>
      <c r="M55" s="49">
        <v>0</v>
      </c>
      <c r="N55" s="198">
        <f t="shared" ref="N55:Q55" si="81">N54</f>
        <v>150</v>
      </c>
      <c r="O55" s="198">
        <f t="shared" si="81"/>
        <v>160</v>
      </c>
      <c r="P55" s="198">
        <f t="shared" si="81"/>
        <v>270</v>
      </c>
      <c r="Q55" s="196" t="str">
        <f t="shared" si="81"/>
        <v>-</v>
      </c>
    </row>
    <row r="56" spans="1:17" ht="15.75" thickBot="1" x14ac:dyDescent="0.3">
      <c r="A56" s="229">
        <f t="shared" si="6"/>
        <v>1246</v>
      </c>
      <c r="B56" s="230">
        <f t="shared" si="7"/>
        <v>46</v>
      </c>
      <c r="C56" s="218" t="str">
        <f t="shared" si="4"/>
        <v>21aX20+000_030_10</v>
      </c>
      <c r="D56" s="197">
        <f t="shared" si="66"/>
        <v>20</v>
      </c>
      <c r="E56" s="204">
        <f t="shared" si="60"/>
        <v>2.8840000000000003</v>
      </c>
      <c r="F56" s="198">
        <f t="shared" si="67"/>
        <v>14.420000000000002</v>
      </c>
      <c r="G56" s="198">
        <f t="shared" si="61"/>
        <v>11.536000000000001</v>
      </c>
      <c r="H56" s="198">
        <f t="shared" si="62"/>
        <v>7.2100000000000009</v>
      </c>
      <c r="I56" s="198">
        <f t="shared" ref="I56:J56" si="82">I55</f>
        <v>8</v>
      </c>
      <c r="J56" s="199">
        <f t="shared" si="82"/>
        <v>0</v>
      </c>
      <c r="K56" s="194" t="str">
        <f>D56&amp;-10</f>
        <v>20-10</v>
      </c>
      <c r="L56" s="198">
        <f t="shared" si="64"/>
        <v>0.2</v>
      </c>
      <c r="M56" s="49">
        <v>30</v>
      </c>
      <c r="N56" s="198">
        <f t="shared" ref="N56:Q56" si="83">N55</f>
        <v>150</v>
      </c>
      <c r="O56" s="198">
        <f t="shared" si="83"/>
        <v>160</v>
      </c>
      <c r="P56" s="198">
        <f t="shared" si="83"/>
        <v>270</v>
      </c>
      <c r="Q56" s="196" t="str">
        <f t="shared" si="83"/>
        <v>-</v>
      </c>
    </row>
    <row r="57" spans="1:17" ht="15.75" thickBot="1" x14ac:dyDescent="0.3">
      <c r="A57" s="229">
        <f t="shared" si="6"/>
        <v>1247</v>
      </c>
      <c r="B57" s="230">
        <f t="shared" si="7"/>
        <v>47</v>
      </c>
      <c r="C57" s="218" t="str">
        <f t="shared" si="4"/>
        <v>21aX20+000_060_11</v>
      </c>
      <c r="D57" s="197">
        <f t="shared" si="66"/>
        <v>20</v>
      </c>
      <c r="E57" s="204">
        <f t="shared" si="60"/>
        <v>2.8840000000000003</v>
      </c>
      <c r="F57" s="198">
        <f t="shared" si="67"/>
        <v>14.420000000000002</v>
      </c>
      <c r="G57" s="198">
        <f t="shared" si="61"/>
        <v>11.536000000000001</v>
      </c>
      <c r="H57" s="198">
        <f t="shared" si="62"/>
        <v>7.2100000000000009</v>
      </c>
      <c r="I57" s="198">
        <f t="shared" ref="I57:J57" si="84">I56</f>
        <v>8</v>
      </c>
      <c r="J57" s="199">
        <f t="shared" si="84"/>
        <v>0</v>
      </c>
      <c r="K57" s="194" t="str">
        <f>D57&amp;-11</f>
        <v>20-11</v>
      </c>
      <c r="L57" s="198">
        <f t="shared" si="64"/>
        <v>0.2</v>
      </c>
      <c r="M57" s="49">
        <v>60</v>
      </c>
      <c r="N57" s="198">
        <f t="shared" ref="N57:Q57" si="85">N56</f>
        <v>150</v>
      </c>
      <c r="O57" s="198">
        <f t="shared" si="85"/>
        <v>160</v>
      </c>
      <c r="P57" s="198">
        <f t="shared" si="85"/>
        <v>270</v>
      </c>
      <c r="Q57" s="196" t="str">
        <f t="shared" si="85"/>
        <v>-</v>
      </c>
    </row>
    <row r="58" spans="1:17" ht="15.75" thickBot="1" x14ac:dyDescent="0.3">
      <c r="A58" s="229">
        <f t="shared" si="6"/>
        <v>1248</v>
      </c>
      <c r="B58" s="230">
        <f t="shared" si="7"/>
        <v>48</v>
      </c>
      <c r="C58" s="218" t="str">
        <f t="shared" si="4"/>
        <v>21aX20+000_090_12</v>
      </c>
      <c r="D58" s="197">
        <f t="shared" si="66"/>
        <v>20</v>
      </c>
      <c r="E58" s="204">
        <f t="shared" si="60"/>
        <v>2.8840000000000003</v>
      </c>
      <c r="F58" s="198">
        <f t="shared" si="67"/>
        <v>14.420000000000002</v>
      </c>
      <c r="G58" s="198">
        <f t="shared" si="61"/>
        <v>11.536000000000001</v>
      </c>
      <c r="H58" s="198">
        <f t="shared" si="62"/>
        <v>7.2100000000000009</v>
      </c>
      <c r="I58" s="198">
        <f t="shared" ref="I58:J58" si="86">I57</f>
        <v>8</v>
      </c>
      <c r="J58" s="199">
        <f t="shared" si="86"/>
        <v>0</v>
      </c>
      <c r="K58" s="194" t="str">
        <f>D58&amp;-12</f>
        <v>20-12</v>
      </c>
      <c r="L58" s="198">
        <f t="shared" si="64"/>
        <v>0.2</v>
      </c>
      <c r="M58" s="49">
        <v>90</v>
      </c>
      <c r="N58" s="198">
        <f t="shared" ref="N58:Q58" si="87">N57</f>
        <v>150</v>
      </c>
      <c r="O58" s="198">
        <f t="shared" si="87"/>
        <v>160</v>
      </c>
      <c r="P58" s="198">
        <f t="shared" si="87"/>
        <v>270</v>
      </c>
      <c r="Q58" s="196" t="str">
        <f t="shared" si="87"/>
        <v>-</v>
      </c>
    </row>
    <row r="59" spans="1:17" s="217" customFormat="1" ht="15.75" thickBot="1" x14ac:dyDescent="0.3">
      <c r="A59" s="229">
        <f t="shared" si="6"/>
        <v>1249</v>
      </c>
      <c r="B59" s="230">
        <f t="shared" si="7"/>
        <v>49</v>
      </c>
      <c r="C59" s="218" t="str">
        <f t="shared" si="4"/>
        <v>21aX25+000_000_01</v>
      </c>
      <c r="D59" s="231">
        <f>v_out</f>
        <v>25</v>
      </c>
      <c r="E59" s="239">
        <f t="shared" ref="E59:E70" si="88">I_ref*(0.75*D59+5.6)</f>
        <v>3.4090000000000007</v>
      </c>
      <c r="F59" s="232">
        <f>E59/D59*100</f>
        <v>13.636000000000003</v>
      </c>
      <c r="G59" s="232">
        <f t="shared" ref="G59:G70" si="89">m_ty*F59</f>
        <v>10.908800000000003</v>
      </c>
      <c r="H59" s="232">
        <f t="shared" ref="H59:H70" si="90">m_tz*F59</f>
        <v>6.8180000000000014</v>
      </c>
      <c r="I59" s="232">
        <f>inflow</f>
        <v>8</v>
      </c>
      <c r="J59" s="233">
        <f>yaw_null</f>
        <v>0</v>
      </c>
      <c r="K59" s="228" t="str">
        <f>D59&amp;-1</f>
        <v>25-1</v>
      </c>
      <c r="L59" s="232">
        <f>alpha_n</f>
        <v>0.2</v>
      </c>
      <c r="M59" s="235">
        <v>0</v>
      </c>
      <c r="N59" s="232">
        <f>t_out</f>
        <v>150</v>
      </c>
      <c r="O59" s="232">
        <f>trig_t</f>
        <v>160</v>
      </c>
      <c r="P59" s="232">
        <f>N59+2*T_s2</f>
        <v>270</v>
      </c>
      <c r="Q59" s="230" t="s">
        <v>76</v>
      </c>
    </row>
    <row r="60" spans="1:17" s="217" customFormat="1" ht="15.75" thickBot="1" x14ac:dyDescent="0.3">
      <c r="A60" s="229">
        <f t="shared" si="6"/>
        <v>1250</v>
      </c>
      <c r="B60" s="230">
        <f t="shared" si="7"/>
        <v>50</v>
      </c>
      <c r="C60" s="218" t="str">
        <f t="shared" si="4"/>
        <v>21aX25+000_030_02</v>
      </c>
      <c r="D60" s="231">
        <f>D59</f>
        <v>25</v>
      </c>
      <c r="E60" s="239">
        <f t="shared" si="88"/>
        <v>3.4090000000000007</v>
      </c>
      <c r="F60" s="232">
        <f>E60/D60*100</f>
        <v>13.636000000000003</v>
      </c>
      <c r="G60" s="232">
        <f t="shared" si="89"/>
        <v>10.908800000000003</v>
      </c>
      <c r="H60" s="232">
        <f t="shared" si="90"/>
        <v>6.8180000000000014</v>
      </c>
      <c r="I60" s="232">
        <f t="shared" ref="I60" si="91">I59</f>
        <v>8</v>
      </c>
      <c r="J60" s="233">
        <f>J59</f>
        <v>0</v>
      </c>
      <c r="K60" s="228" t="str">
        <f>D60&amp;-2</f>
        <v>25-2</v>
      </c>
      <c r="L60" s="232">
        <f t="shared" si="64"/>
        <v>0.2</v>
      </c>
      <c r="M60" s="235">
        <v>30</v>
      </c>
      <c r="N60" s="232">
        <f t="shared" ref="N60:Q60" si="92">N59</f>
        <v>150</v>
      </c>
      <c r="O60" s="232">
        <f t="shared" si="92"/>
        <v>160</v>
      </c>
      <c r="P60" s="232">
        <f t="shared" si="92"/>
        <v>270</v>
      </c>
      <c r="Q60" s="230" t="str">
        <f t="shared" si="92"/>
        <v>-</v>
      </c>
    </row>
    <row r="61" spans="1:17" s="217" customFormat="1" ht="15.75" thickBot="1" x14ac:dyDescent="0.3">
      <c r="A61" s="229">
        <f t="shared" si="6"/>
        <v>1251</v>
      </c>
      <c r="B61" s="230">
        <f t="shared" si="7"/>
        <v>51</v>
      </c>
      <c r="C61" s="218" t="str">
        <f t="shared" si="4"/>
        <v>21aX25+000_060_03</v>
      </c>
      <c r="D61" s="231">
        <f t="shared" ref="D61:D70" si="93">D60</f>
        <v>25</v>
      </c>
      <c r="E61" s="239">
        <f t="shared" si="88"/>
        <v>3.4090000000000007</v>
      </c>
      <c r="F61" s="232">
        <f t="shared" ref="F61:F70" si="94">E61/D61*100</f>
        <v>13.636000000000003</v>
      </c>
      <c r="G61" s="232">
        <f t="shared" si="89"/>
        <v>10.908800000000003</v>
      </c>
      <c r="H61" s="232">
        <f t="shared" si="90"/>
        <v>6.8180000000000014</v>
      </c>
      <c r="I61" s="232">
        <f t="shared" ref="I61:J61" si="95">I60</f>
        <v>8</v>
      </c>
      <c r="J61" s="233">
        <f t="shared" si="95"/>
        <v>0</v>
      </c>
      <c r="K61" s="228" t="str">
        <f>D61&amp;-3</f>
        <v>25-3</v>
      </c>
      <c r="L61" s="232">
        <f t="shared" si="64"/>
        <v>0.2</v>
      </c>
      <c r="M61" s="235">
        <v>60</v>
      </c>
      <c r="N61" s="232">
        <f t="shared" ref="N61:Q61" si="96">N60</f>
        <v>150</v>
      </c>
      <c r="O61" s="232">
        <f t="shared" si="96"/>
        <v>160</v>
      </c>
      <c r="P61" s="232">
        <f t="shared" si="96"/>
        <v>270</v>
      </c>
      <c r="Q61" s="230" t="str">
        <f t="shared" si="96"/>
        <v>-</v>
      </c>
    </row>
    <row r="62" spans="1:17" s="217" customFormat="1" ht="15.75" thickBot="1" x14ac:dyDescent="0.3">
      <c r="A62" s="229">
        <f t="shared" si="6"/>
        <v>1252</v>
      </c>
      <c r="B62" s="230">
        <f t="shared" si="7"/>
        <v>52</v>
      </c>
      <c r="C62" s="218" t="str">
        <f t="shared" si="4"/>
        <v>21aX25+000_090_04</v>
      </c>
      <c r="D62" s="231">
        <f t="shared" si="93"/>
        <v>25</v>
      </c>
      <c r="E62" s="239">
        <f t="shared" si="88"/>
        <v>3.4090000000000007</v>
      </c>
      <c r="F62" s="232">
        <f t="shared" si="94"/>
        <v>13.636000000000003</v>
      </c>
      <c r="G62" s="232">
        <f t="shared" si="89"/>
        <v>10.908800000000003</v>
      </c>
      <c r="H62" s="232">
        <f t="shared" si="90"/>
        <v>6.8180000000000014</v>
      </c>
      <c r="I62" s="232">
        <f t="shared" ref="I62:J62" si="97">I61</f>
        <v>8</v>
      </c>
      <c r="J62" s="233">
        <f t="shared" si="97"/>
        <v>0</v>
      </c>
      <c r="K62" s="228" t="str">
        <f>D62&amp;-4</f>
        <v>25-4</v>
      </c>
      <c r="L62" s="232">
        <f t="shared" si="64"/>
        <v>0.2</v>
      </c>
      <c r="M62" s="235">
        <v>90</v>
      </c>
      <c r="N62" s="232">
        <f t="shared" ref="N62:Q62" si="98">N61</f>
        <v>150</v>
      </c>
      <c r="O62" s="232">
        <f t="shared" si="98"/>
        <v>160</v>
      </c>
      <c r="P62" s="232">
        <f t="shared" si="98"/>
        <v>270</v>
      </c>
      <c r="Q62" s="230" t="str">
        <f t="shared" si="98"/>
        <v>-</v>
      </c>
    </row>
    <row r="63" spans="1:17" s="217" customFormat="1" ht="15.75" thickBot="1" x14ac:dyDescent="0.3">
      <c r="A63" s="229">
        <f t="shared" si="6"/>
        <v>1253</v>
      </c>
      <c r="B63" s="230">
        <f t="shared" si="7"/>
        <v>53</v>
      </c>
      <c r="C63" s="218" t="str">
        <f t="shared" si="4"/>
        <v>21aX25+000_000_05</v>
      </c>
      <c r="D63" s="231">
        <f t="shared" si="93"/>
        <v>25</v>
      </c>
      <c r="E63" s="239">
        <f t="shared" si="88"/>
        <v>3.4090000000000007</v>
      </c>
      <c r="F63" s="232">
        <f t="shared" si="94"/>
        <v>13.636000000000003</v>
      </c>
      <c r="G63" s="232">
        <f t="shared" si="89"/>
        <v>10.908800000000003</v>
      </c>
      <c r="H63" s="232">
        <f t="shared" si="90"/>
        <v>6.8180000000000014</v>
      </c>
      <c r="I63" s="232">
        <f t="shared" ref="I63:J63" si="99">I62</f>
        <v>8</v>
      </c>
      <c r="J63" s="233">
        <f t="shared" si="99"/>
        <v>0</v>
      </c>
      <c r="K63" s="228" t="str">
        <f>D63&amp;-5</f>
        <v>25-5</v>
      </c>
      <c r="L63" s="232">
        <f t="shared" si="64"/>
        <v>0.2</v>
      </c>
      <c r="M63" s="235">
        <v>0</v>
      </c>
      <c r="N63" s="232">
        <f t="shared" ref="N63:Q63" si="100">N62</f>
        <v>150</v>
      </c>
      <c r="O63" s="232">
        <f t="shared" si="100"/>
        <v>160</v>
      </c>
      <c r="P63" s="232">
        <f t="shared" si="100"/>
        <v>270</v>
      </c>
      <c r="Q63" s="230" t="str">
        <f t="shared" si="100"/>
        <v>-</v>
      </c>
    </row>
    <row r="64" spans="1:17" s="217" customFormat="1" ht="15.75" thickBot="1" x14ac:dyDescent="0.3">
      <c r="A64" s="229">
        <f t="shared" si="6"/>
        <v>1254</v>
      </c>
      <c r="B64" s="230">
        <f t="shared" si="7"/>
        <v>54</v>
      </c>
      <c r="C64" s="218" t="str">
        <f t="shared" si="4"/>
        <v>21aX25+000_030_06</v>
      </c>
      <c r="D64" s="231">
        <f t="shared" si="93"/>
        <v>25</v>
      </c>
      <c r="E64" s="239">
        <f t="shared" si="88"/>
        <v>3.4090000000000007</v>
      </c>
      <c r="F64" s="232">
        <f t="shared" si="94"/>
        <v>13.636000000000003</v>
      </c>
      <c r="G64" s="232">
        <f t="shared" si="89"/>
        <v>10.908800000000003</v>
      </c>
      <c r="H64" s="232">
        <f t="shared" si="90"/>
        <v>6.8180000000000014</v>
      </c>
      <c r="I64" s="232">
        <f t="shared" ref="I64:J64" si="101">I63</f>
        <v>8</v>
      </c>
      <c r="J64" s="233">
        <f t="shared" si="101"/>
        <v>0</v>
      </c>
      <c r="K64" s="228" t="str">
        <f>D64&amp;-6</f>
        <v>25-6</v>
      </c>
      <c r="L64" s="232">
        <f t="shared" si="64"/>
        <v>0.2</v>
      </c>
      <c r="M64" s="235">
        <v>30</v>
      </c>
      <c r="N64" s="232">
        <f t="shared" ref="N64:Q64" si="102">N63</f>
        <v>150</v>
      </c>
      <c r="O64" s="232">
        <f t="shared" si="102"/>
        <v>160</v>
      </c>
      <c r="P64" s="232">
        <f t="shared" si="102"/>
        <v>270</v>
      </c>
      <c r="Q64" s="230" t="str">
        <f t="shared" si="102"/>
        <v>-</v>
      </c>
    </row>
    <row r="65" spans="1:17" s="217" customFormat="1" ht="15.75" thickBot="1" x14ac:dyDescent="0.3">
      <c r="A65" s="229">
        <f t="shared" si="6"/>
        <v>1255</v>
      </c>
      <c r="B65" s="230">
        <f t="shared" si="7"/>
        <v>55</v>
      </c>
      <c r="C65" s="218" t="str">
        <f t="shared" si="4"/>
        <v>21aX25+000_060_07</v>
      </c>
      <c r="D65" s="231">
        <f t="shared" si="93"/>
        <v>25</v>
      </c>
      <c r="E65" s="239">
        <f t="shared" si="88"/>
        <v>3.4090000000000007</v>
      </c>
      <c r="F65" s="232">
        <f t="shared" si="94"/>
        <v>13.636000000000003</v>
      </c>
      <c r="G65" s="232">
        <f t="shared" si="89"/>
        <v>10.908800000000003</v>
      </c>
      <c r="H65" s="232">
        <f t="shared" si="90"/>
        <v>6.8180000000000014</v>
      </c>
      <c r="I65" s="232">
        <f t="shared" ref="I65:J65" si="103">I64</f>
        <v>8</v>
      </c>
      <c r="J65" s="233">
        <f t="shared" si="103"/>
        <v>0</v>
      </c>
      <c r="K65" s="228" t="str">
        <f>D65&amp;-7</f>
        <v>25-7</v>
      </c>
      <c r="L65" s="232">
        <f t="shared" si="64"/>
        <v>0.2</v>
      </c>
      <c r="M65" s="235">
        <v>60</v>
      </c>
      <c r="N65" s="232">
        <f t="shared" ref="N65:Q65" si="104">N64</f>
        <v>150</v>
      </c>
      <c r="O65" s="232">
        <f t="shared" si="104"/>
        <v>160</v>
      </c>
      <c r="P65" s="232">
        <f t="shared" si="104"/>
        <v>270</v>
      </c>
      <c r="Q65" s="230" t="str">
        <f t="shared" si="104"/>
        <v>-</v>
      </c>
    </row>
    <row r="66" spans="1:17" s="217" customFormat="1" ht="15.75" thickBot="1" x14ac:dyDescent="0.3">
      <c r="A66" s="229">
        <f t="shared" si="6"/>
        <v>1256</v>
      </c>
      <c r="B66" s="230">
        <f t="shared" si="7"/>
        <v>56</v>
      </c>
      <c r="C66" s="218" t="str">
        <f t="shared" si="4"/>
        <v>21aX25+000_090_08</v>
      </c>
      <c r="D66" s="231">
        <f t="shared" si="93"/>
        <v>25</v>
      </c>
      <c r="E66" s="239">
        <f t="shared" si="88"/>
        <v>3.4090000000000007</v>
      </c>
      <c r="F66" s="232">
        <f t="shared" si="94"/>
        <v>13.636000000000003</v>
      </c>
      <c r="G66" s="232">
        <f t="shared" si="89"/>
        <v>10.908800000000003</v>
      </c>
      <c r="H66" s="232">
        <f t="shared" si="90"/>
        <v>6.8180000000000014</v>
      </c>
      <c r="I66" s="232">
        <f t="shared" ref="I66:J66" si="105">I65</f>
        <v>8</v>
      </c>
      <c r="J66" s="233">
        <f t="shared" si="105"/>
        <v>0</v>
      </c>
      <c r="K66" s="228" t="str">
        <f>D66&amp;-8</f>
        <v>25-8</v>
      </c>
      <c r="L66" s="232">
        <f t="shared" si="64"/>
        <v>0.2</v>
      </c>
      <c r="M66" s="235">
        <v>90</v>
      </c>
      <c r="N66" s="232">
        <f t="shared" ref="N66:Q66" si="106">N65</f>
        <v>150</v>
      </c>
      <c r="O66" s="232">
        <f t="shared" si="106"/>
        <v>160</v>
      </c>
      <c r="P66" s="232">
        <f t="shared" si="106"/>
        <v>270</v>
      </c>
      <c r="Q66" s="230" t="str">
        <f t="shared" si="106"/>
        <v>-</v>
      </c>
    </row>
    <row r="67" spans="1:17" s="217" customFormat="1" ht="15.75" thickBot="1" x14ac:dyDescent="0.3">
      <c r="A67" s="229">
        <f t="shared" si="6"/>
        <v>1257</v>
      </c>
      <c r="B67" s="230">
        <f t="shared" si="7"/>
        <v>57</v>
      </c>
      <c r="C67" s="218" t="str">
        <f t="shared" si="4"/>
        <v>21aX25+000_000_09</v>
      </c>
      <c r="D67" s="231">
        <f t="shared" si="93"/>
        <v>25</v>
      </c>
      <c r="E67" s="239">
        <f t="shared" si="88"/>
        <v>3.4090000000000007</v>
      </c>
      <c r="F67" s="232">
        <f t="shared" si="94"/>
        <v>13.636000000000003</v>
      </c>
      <c r="G67" s="232">
        <f t="shared" si="89"/>
        <v>10.908800000000003</v>
      </c>
      <c r="H67" s="232">
        <f t="shared" si="90"/>
        <v>6.8180000000000014</v>
      </c>
      <c r="I67" s="232">
        <f t="shared" ref="I67:J67" si="107">I66</f>
        <v>8</v>
      </c>
      <c r="J67" s="233">
        <f t="shared" si="107"/>
        <v>0</v>
      </c>
      <c r="K67" s="228" t="str">
        <f>D67&amp;-9</f>
        <v>25-9</v>
      </c>
      <c r="L67" s="232">
        <f t="shared" si="64"/>
        <v>0.2</v>
      </c>
      <c r="M67" s="235">
        <v>0</v>
      </c>
      <c r="N67" s="232">
        <f t="shared" ref="N67:Q67" si="108">N66</f>
        <v>150</v>
      </c>
      <c r="O67" s="232">
        <f t="shared" si="108"/>
        <v>160</v>
      </c>
      <c r="P67" s="232">
        <f t="shared" si="108"/>
        <v>270</v>
      </c>
      <c r="Q67" s="230" t="str">
        <f t="shared" si="108"/>
        <v>-</v>
      </c>
    </row>
    <row r="68" spans="1:17" s="217" customFormat="1" ht="15.75" thickBot="1" x14ac:dyDescent="0.3">
      <c r="A68" s="229">
        <f t="shared" si="6"/>
        <v>1258</v>
      </c>
      <c r="B68" s="230">
        <f t="shared" si="7"/>
        <v>58</v>
      </c>
      <c r="C68" s="218" t="str">
        <f t="shared" si="4"/>
        <v>21aX25+000_030_10</v>
      </c>
      <c r="D68" s="231">
        <f t="shared" si="93"/>
        <v>25</v>
      </c>
      <c r="E68" s="239">
        <f t="shared" si="88"/>
        <v>3.4090000000000007</v>
      </c>
      <c r="F68" s="232">
        <f t="shared" si="94"/>
        <v>13.636000000000003</v>
      </c>
      <c r="G68" s="232">
        <f t="shared" si="89"/>
        <v>10.908800000000003</v>
      </c>
      <c r="H68" s="232">
        <f t="shared" si="90"/>
        <v>6.8180000000000014</v>
      </c>
      <c r="I68" s="232">
        <f t="shared" ref="I68:J68" si="109">I67</f>
        <v>8</v>
      </c>
      <c r="J68" s="233">
        <f t="shared" si="109"/>
        <v>0</v>
      </c>
      <c r="K68" s="228" t="str">
        <f>D68&amp;-10</f>
        <v>25-10</v>
      </c>
      <c r="L68" s="232">
        <f t="shared" si="64"/>
        <v>0.2</v>
      </c>
      <c r="M68" s="235">
        <v>30</v>
      </c>
      <c r="N68" s="232">
        <f t="shared" ref="N68:Q68" si="110">N67</f>
        <v>150</v>
      </c>
      <c r="O68" s="232">
        <f t="shared" si="110"/>
        <v>160</v>
      </c>
      <c r="P68" s="232">
        <f t="shared" si="110"/>
        <v>270</v>
      </c>
      <c r="Q68" s="230" t="str">
        <f t="shared" si="110"/>
        <v>-</v>
      </c>
    </row>
    <row r="69" spans="1:17" s="217" customFormat="1" ht="15.75" thickBot="1" x14ac:dyDescent="0.3">
      <c r="A69" s="229">
        <f t="shared" si="6"/>
        <v>1259</v>
      </c>
      <c r="B69" s="230">
        <f t="shared" si="7"/>
        <v>59</v>
      </c>
      <c r="C69" s="218" t="str">
        <f t="shared" si="4"/>
        <v>21aX25+000_060_11</v>
      </c>
      <c r="D69" s="231">
        <f t="shared" si="93"/>
        <v>25</v>
      </c>
      <c r="E69" s="239">
        <f t="shared" si="88"/>
        <v>3.4090000000000007</v>
      </c>
      <c r="F69" s="232">
        <f t="shared" si="94"/>
        <v>13.636000000000003</v>
      </c>
      <c r="G69" s="232">
        <f t="shared" si="89"/>
        <v>10.908800000000003</v>
      </c>
      <c r="H69" s="232">
        <f t="shared" si="90"/>
        <v>6.8180000000000014</v>
      </c>
      <c r="I69" s="232">
        <f t="shared" ref="I69:J69" si="111">I68</f>
        <v>8</v>
      </c>
      <c r="J69" s="233">
        <f t="shared" si="111"/>
        <v>0</v>
      </c>
      <c r="K69" s="228" t="str">
        <f>D69&amp;-11</f>
        <v>25-11</v>
      </c>
      <c r="L69" s="232">
        <f t="shared" si="64"/>
        <v>0.2</v>
      </c>
      <c r="M69" s="235">
        <v>60</v>
      </c>
      <c r="N69" s="232">
        <f t="shared" ref="N69:Q69" si="112">N68</f>
        <v>150</v>
      </c>
      <c r="O69" s="232">
        <f t="shared" si="112"/>
        <v>160</v>
      </c>
      <c r="P69" s="232">
        <f t="shared" si="112"/>
        <v>270</v>
      </c>
      <c r="Q69" s="230" t="str">
        <f t="shared" si="112"/>
        <v>-</v>
      </c>
    </row>
    <row r="70" spans="1:17" s="217" customFormat="1" x14ac:dyDescent="0.25">
      <c r="A70" s="229">
        <f t="shared" si="6"/>
        <v>1260</v>
      </c>
      <c r="B70" s="230">
        <f t="shared" si="7"/>
        <v>60</v>
      </c>
      <c r="C70" s="218" t="str">
        <f t="shared" si="4"/>
        <v>21aX25+000_090_12</v>
      </c>
      <c r="D70" s="231">
        <f t="shared" si="93"/>
        <v>25</v>
      </c>
      <c r="E70" s="239">
        <f t="shared" si="88"/>
        <v>3.4090000000000007</v>
      </c>
      <c r="F70" s="232">
        <f t="shared" si="94"/>
        <v>13.636000000000003</v>
      </c>
      <c r="G70" s="232">
        <f t="shared" si="89"/>
        <v>10.908800000000003</v>
      </c>
      <c r="H70" s="232">
        <f t="shared" si="90"/>
        <v>6.8180000000000014</v>
      </c>
      <c r="I70" s="232">
        <f t="shared" ref="I70:J70" si="113">I69</f>
        <v>8</v>
      </c>
      <c r="J70" s="233">
        <f t="shared" si="113"/>
        <v>0</v>
      </c>
      <c r="K70" s="228" t="str">
        <f>D70&amp;-12</f>
        <v>25-12</v>
      </c>
      <c r="L70" s="232">
        <f t="shared" si="64"/>
        <v>0.2</v>
      </c>
      <c r="M70" s="235">
        <v>90</v>
      </c>
      <c r="N70" s="232">
        <f t="shared" ref="N70:Q70" si="114">N69</f>
        <v>150</v>
      </c>
      <c r="O70" s="232">
        <f t="shared" si="114"/>
        <v>160</v>
      </c>
      <c r="P70" s="232">
        <f t="shared" si="114"/>
        <v>270</v>
      </c>
      <c r="Q70" s="230" t="str">
        <f t="shared" si="114"/>
        <v>-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250"/>
  <sheetViews>
    <sheetView zoomScaleNormal="100" workbookViewId="0">
      <selection activeCell="I1" sqref="I1:I7"/>
    </sheetView>
  </sheetViews>
  <sheetFormatPr defaultColWidth="9" defaultRowHeight="15" x14ac:dyDescent="0.15"/>
  <cols>
    <col min="1" max="1" width="7" style="182" customWidth="1"/>
    <col min="2" max="2" width="7.375" style="182" customWidth="1"/>
    <col min="3" max="3" width="24.25" style="182" customWidth="1"/>
    <col min="4" max="4" width="6.875" style="182" customWidth="1"/>
    <col min="5" max="5" width="7.375" style="182" customWidth="1"/>
    <col min="6" max="6" width="8.125" style="182" customWidth="1"/>
    <col min="7" max="8" width="7.5" style="182" customWidth="1"/>
    <col min="9" max="9" width="8" style="182" customWidth="1"/>
    <col min="10" max="10" width="7.25" style="182" customWidth="1"/>
    <col min="11" max="11" width="8.875" style="182" customWidth="1"/>
    <col min="12" max="12" width="7.375" style="182" customWidth="1"/>
    <col min="13" max="13" width="7.125" style="182" customWidth="1"/>
    <col min="14" max="14" width="6.75" style="182" customWidth="1"/>
    <col min="15" max="15" width="8.25" style="182" customWidth="1"/>
    <col min="16" max="16" width="7" style="182" customWidth="1"/>
    <col min="17" max="17" width="11.25" style="182" customWidth="1"/>
    <col min="18" max="16384" width="9" style="182"/>
  </cols>
  <sheetData>
    <row r="1" spans="1:21" x14ac:dyDescent="0.15">
      <c r="H1" s="181" t="s">
        <v>135</v>
      </c>
      <c r="I1" s="216" t="s">
        <v>3944</v>
      </c>
      <c r="J1" s="180"/>
    </row>
    <row r="2" spans="1:21" x14ac:dyDescent="0.15">
      <c r="B2" s="181" t="s">
        <v>3687</v>
      </c>
      <c r="C2" s="181"/>
      <c r="D2" s="181"/>
      <c r="E2" s="181"/>
      <c r="F2" s="181"/>
      <c r="G2" s="181"/>
      <c r="H2" s="181"/>
      <c r="I2" s="216" t="s">
        <v>3928</v>
      </c>
      <c r="J2" s="180"/>
      <c r="Q2" s="206"/>
      <c r="R2" s="206"/>
      <c r="S2" s="206"/>
      <c r="T2" s="206"/>
      <c r="U2" s="206"/>
    </row>
    <row r="3" spans="1:21" x14ac:dyDescent="0.15">
      <c r="B3" s="181" t="s">
        <v>88</v>
      </c>
      <c r="C3" s="181"/>
      <c r="D3" s="181"/>
      <c r="E3" s="181" t="s">
        <v>95</v>
      </c>
      <c r="F3" s="181"/>
      <c r="G3" s="181"/>
      <c r="H3" s="181"/>
      <c r="I3" s="240" t="s">
        <v>3939</v>
      </c>
      <c r="J3" s="180"/>
      <c r="Q3" s="206"/>
      <c r="R3" s="206"/>
      <c r="S3" s="206"/>
      <c r="T3" s="206"/>
      <c r="U3" s="206"/>
    </row>
    <row r="4" spans="1:21" x14ac:dyDescent="0.15">
      <c r="B4" s="181" t="s">
        <v>89</v>
      </c>
      <c r="C4" s="181"/>
      <c r="D4" s="181"/>
      <c r="E4" s="181" t="s">
        <v>3682</v>
      </c>
      <c r="F4" s="181"/>
      <c r="G4" s="181"/>
      <c r="H4" s="181"/>
      <c r="I4" s="216" t="s">
        <v>3942</v>
      </c>
      <c r="J4" s="180"/>
      <c r="Q4" s="206"/>
      <c r="R4" s="206"/>
      <c r="S4" s="206"/>
      <c r="T4" s="206"/>
      <c r="U4" s="206"/>
    </row>
    <row r="5" spans="1:21" x14ac:dyDescent="0.15">
      <c r="B5" s="181" t="s">
        <v>91</v>
      </c>
      <c r="C5" s="181"/>
      <c r="D5" s="181"/>
      <c r="E5" s="181" t="s">
        <v>99</v>
      </c>
      <c r="F5" s="181"/>
      <c r="G5" s="181"/>
      <c r="H5" s="181"/>
      <c r="I5" s="240" t="s">
        <v>3940</v>
      </c>
      <c r="J5" s="180"/>
      <c r="Q5" s="206"/>
      <c r="R5" s="206"/>
      <c r="S5" s="206"/>
      <c r="T5" s="206"/>
      <c r="U5" s="206"/>
    </row>
    <row r="6" spans="1:21" x14ac:dyDescent="0.15">
      <c r="B6" s="181" t="s">
        <v>93</v>
      </c>
      <c r="C6" s="181"/>
      <c r="D6" s="181"/>
      <c r="E6" s="181" t="s">
        <v>100</v>
      </c>
      <c r="F6" s="181"/>
      <c r="G6" s="181"/>
      <c r="H6" s="181"/>
      <c r="I6" s="216" t="s">
        <v>3932</v>
      </c>
      <c r="J6" s="180"/>
      <c r="Q6" s="206"/>
      <c r="R6" s="206"/>
      <c r="S6" s="206"/>
      <c r="T6" s="206"/>
      <c r="U6" s="206"/>
    </row>
    <row r="7" spans="1:21" x14ac:dyDescent="0.15">
      <c r="I7" s="216" t="s">
        <v>3930</v>
      </c>
    </row>
    <row r="8" spans="1:21" ht="15.75" thickBot="1" x14ac:dyDescent="0.2">
      <c r="A8" s="182">
        <v>1</v>
      </c>
      <c r="B8" s="182">
        <v>2</v>
      </c>
      <c r="C8" s="182">
        <v>3</v>
      </c>
      <c r="D8" s="182">
        <v>4</v>
      </c>
      <c r="E8" s="182">
        <v>5</v>
      </c>
      <c r="F8" s="182">
        <v>6</v>
      </c>
      <c r="G8" s="182">
        <v>7</v>
      </c>
      <c r="H8" s="182">
        <v>8</v>
      </c>
      <c r="I8" s="182">
        <v>9</v>
      </c>
      <c r="J8" s="182">
        <v>10</v>
      </c>
      <c r="K8" s="182">
        <v>11</v>
      </c>
      <c r="L8" s="182">
        <v>12</v>
      </c>
      <c r="M8" s="182">
        <v>13</v>
      </c>
      <c r="N8" s="182">
        <v>14</v>
      </c>
      <c r="O8" s="182">
        <v>15</v>
      </c>
      <c r="P8" s="182">
        <v>16</v>
      </c>
      <c r="Q8" s="182">
        <v>17</v>
      </c>
    </row>
    <row r="9" spans="1:21" x14ac:dyDescent="0.25">
      <c r="A9" s="183" t="s">
        <v>97</v>
      </c>
      <c r="B9" s="184" t="s">
        <v>96</v>
      </c>
      <c r="C9" s="183" t="s">
        <v>0</v>
      </c>
      <c r="D9" s="184" t="s">
        <v>137</v>
      </c>
      <c r="E9" s="201" t="s">
        <v>142</v>
      </c>
      <c r="F9" s="184" t="s">
        <v>119</v>
      </c>
      <c r="G9" s="184" t="s">
        <v>120</v>
      </c>
      <c r="H9" s="184" t="s">
        <v>121</v>
      </c>
      <c r="I9" s="184" t="s">
        <v>144</v>
      </c>
      <c r="J9" s="184" t="s">
        <v>140</v>
      </c>
      <c r="K9" s="185" t="s">
        <v>3263</v>
      </c>
      <c r="L9" s="184" t="s">
        <v>141</v>
      </c>
      <c r="M9" s="184" t="s">
        <v>13</v>
      </c>
      <c r="N9" s="186" t="s">
        <v>138</v>
      </c>
      <c r="O9" s="200" t="s">
        <v>160</v>
      </c>
      <c r="P9" s="186" t="s">
        <v>139</v>
      </c>
      <c r="Q9" s="186" t="s">
        <v>256</v>
      </c>
    </row>
    <row r="10" spans="1:21" ht="15.75" thickBot="1" x14ac:dyDescent="0.3">
      <c r="A10" s="187" t="s">
        <v>76</v>
      </c>
      <c r="B10" s="188" t="str">
        <f>B2</f>
        <v>DLC21b</v>
      </c>
      <c r="C10" s="187"/>
      <c r="D10" s="188" t="s">
        <v>4</v>
      </c>
      <c r="E10" s="202" t="s">
        <v>4</v>
      </c>
      <c r="F10" s="188" t="s">
        <v>5</v>
      </c>
      <c r="G10" s="188" t="s">
        <v>5</v>
      </c>
      <c r="H10" s="188" t="s">
        <v>5</v>
      </c>
      <c r="I10" s="188" t="s">
        <v>6</v>
      </c>
      <c r="J10" s="188" t="s">
        <v>6</v>
      </c>
      <c r="K10" s="189"/>
      <c r="L10" s="188"/>
      <c r="M10" s="190" t="s">
        <v>7</v>
      </c>
      <c r="N10" s="190" t="s">
        <v>7</v>
      </c>
      <c r="O10" s="190" t="s">
        <v>7</v>
      </c>
      <c r="P10" s="190" t="s">
        <v>7</v>
      </c>
      <c r="Q10" s="190" t="s">
        <v>257</v>
      </c>
    </row>
    <row r="11" spans="1:21" x14ac:dyDescent="0.25">
      <c r="A11" s="195">
        <f>DLC21a!A70+1</f>
        <v>1261</v>
      </c>
      <c r="B11" s="196">
        <v>1</v>
      </c>
      <c r="C11" s="195" t="str">
        <f>TEXT(RIGHT($B$2,LEN($B$2)-3),"000")&amp;"X"&amp;TEXT(D11,"00")&amp;"+"&amp;IF(J11&lt;0,TEXT(360+J11,"000"),TEXT(J11,"000"))&amp;"_"&amp;TEXT(M11,"000")&amp;"_"&amp;TEXT(RIGHT(K11,LEN(K11)-FIND("-",K11)),"00")</f>
        <v>21bX08+000_000_01</v>
      </c>
      <c r="D11" s="197">
        <f t="shared" ref="D11" si="0">vr_b</f>
        <v>7.8000000000000007</v>
      </c>
      <c r="E11" s="204">
        <f t="shared" ref="E11" si="1">I_ref*(0.75*D11+5.6)</f>
        <v>1.603</v>
      </c>
      <c r="F11" s="198">
        <f>E11/D11*100</f>
        <v>20.551282051282051</v>
      </c>
      <c r="G11" s="198">
        <f t="shared" ref="G11" si="2">m_ty*F11</f>
        <v>16.441025641025643</v>
      </c>
      <c r="H11" s="198">
        <f t="shared" ref="H11" si="3">m_tz*F11</f>
        <v>10.275641025641026</v>
      </c>
      <c r="I11" s="198">
        <f>inflow</f>
        <v>8</v>
      </c>
      <c r="J11" s="199">
        <f>yaw_null</f>
        <v>0</v>
      </c>
      <c r="K11" s="194" t="str">
        <f>D11&amp;-1</f>
        <v>7.8-1</v>
      </c>
      <c r="L11" s="198">
        <f>alpha_n</f>
        <v>0.2</v>
      </c>
      <c r="M11" s="49">
        <v>0</v>
      </c>
      <c r="N11" s="198">
        <f>t_out</f>
        <v>150</v>
      </c>
      <c r="O11" s="198">
        <f>trig_t</f>
        <v>160</v>
      </c>
      <c r="P11" s="198">
        <f>N11+2*T_s2</f>
        <v>270</v>
      </c>
      <c r="Q11" s="196">
        <f t="shared" ref="Q11:Q58" si="4">1*pitch_runaway_feather</f>
        <v>6</v>
      </c>
    </row>
    <row r="12" spans="1:21" x14ac:dyDescent="0.25">
      <c r="A12" s="195">
        <f t="shared" ref="A12:B12" si="5">A11+1</f>
        <v>1262</v>
      </c>
      <c r="B12" s="196">
        <f t="shared" si="5"/>
        <v>2</v>
      </c>
      <c r="C12" s="229" t="str">
        <f t="shared" ref="C12:C75" si="6">TEXT(RIGHT($B$2,LEN($B$2)-3),"000")&amp;"X"&amp;TEXT(D12,"00")&amp;"+"&amp;IF(J12&lt;0,TEXT(360+J12,"000"),TEXT(J12,"000"))&amp;"_"&amp;TEXT(M12,"000")&amp;"_"&amp;TEXT(RIGHT(K12,LEN(K12)-FIND("-",K12)),"00")</f>
        <v>21bX08+000_030_01</v>
      </c>
      <c r="D12" s="197">
        <f t="shared" ref="D12:D58" si="7">D11</f>
        <v>7.8000000000000007</v>
      </c>
      <c r="E12" s="204">
        <f t="shared" ref="E12:E58" si="8">I_ref*(0.75*D12+5.6)</f>
        <v>1.603</v>
      </c>
      <c r="F12" s="198">
        <f t="shared" ref="F12:F58" si="9">E12/D12*100</f>
        <v>20.551282051282051</v>
      </c>
      <c r="G12" s="198">
        <f t="shared" ref="G12:G58" si="10">m_ty*F12</f>
        <v>16.441025641025643</v>
      </c>
      <c r="H12" s="198">
        <f t="shared" ref="H12:H58" si="11">m_tz*F12</f>
        <v>10.275641025641026</v>
      </c>
      <c r="I12" s="198">
        <f t="shared" ref="I12:J16" si="12">I11</f>
        <v>8</v>
      </c>
      <c r="J12" s="199">
        <f>J11</f>
        <v>0</v>
      </c>
      <c r="K12" s="194" t="str">
        <f t="shared" ref="K12:K14" si="13">D12&amp;-1</f>
        <v>7.8-1</v>
      </c>
      <c r="L12" s="198">
        <f t="shared" ref="L12:P15" si="14">L11</f>
        <v>0.2</v>
      </c>
      <c r="M12" s="49">
        <v>30</v>
      </c>
      <c r="N12" s="198">
        <f t="shared" si="14"/>
        <v>150</v>
      </c>
      <c r="O12" s="198">
        <f t="shared" si="14"/>
        <v>160</v>
      </c>
      <c r="P12" s="198">
        <f t="shared" si="14"/>
        <v>270</v>
      </c>
      <c r="Q12" s="196">
        <f t="shared" si="4"/>
        <v>6</v>
      </c>
    </row>
    <row r="13" spans="1:21" x14ac:dyDescent="0.25">
      <c r="A13" s="229">
        <f t="shared" ref="A13:B13" si="15">A12+1</f>
        <v>1263</v>
      </c>
      <c r="B13" s="230">
        <f t="shared" si="15"/>
        <v>3</v>
      </c>
      <c r="C13" s="229" t="str">
        <f t="shared" si="6"/>
        <v>21bX08+000_060_01</v>
      </c>
      <c r="D13" s="197">
        <f t="shared" si="7"/>
        <v>7.8000000000000007</v>
      </c>
      <c r="E13" s="204">
        <f t="shared" si="8"/>
        <v>1.603</v>
      </c>
      <c r="F13" s="198">
        <f t="shared" si="9"/>
        <v>20.551282051282051</v>
      </c>
      <c r="G13" s="198">
        <f t="shared" si="10"/>
        <v>16.441025641025643</v>
      </c>
      <c r="H13" s="198">
        <f t="shared" si="11"/>
        <v>10.275641025641026</v>
      </c>
      <c r="I13" s="198">
        <f t="shared" si="12"/>
        <v>8</v>
      </c>
      <c r="J13" s="199">
        <f t="shared" si="12"/>
        <v>0</v>
      </c>
      <c r="K13" s="194" t="str">
        <f t="shared" si="13"/>
        <v>7.8-1</v>
      </c>
      <c r="L13" s="198">
        <f t="shared" si="14"/>
        <v>0.2</v>
      </c>
      <c r="M13" s="49">
        <v>60</v>
      </c>
      <c r="N13" s="198">
        <f t="shared" si="14"/>
        <v>150</v>
      </c>
      <c r="O13" s="198">
        <f t="shared" si="14"/>
        <v>160</v>
      </c>
      <c r="P13" s="198">
        <f t="shared" si="14"/>
        <v>270</v>
      </c>
      <c r="Q13" s="196">
        <f t="shared" si="4"/>
        <v>6</v>
      </c>
    </row>
    <row r="14" spans="1:21" x14ac:dyDescent="0.25">
      <c r="A14" s="229">
        <f t="shared" ref="A14:B14" si="16">A13+1</f>
        <v>1264</v>
      </c>
      <c r="B14" s="230">
        <f t="shared" si="16"/>
        <v>4</v>
      </c>
      <c r="C14" s="229" t="str">
        <f t="shared" si="6"/>
        <v>21bX08+000_090_01</v>
      </c>
      <c r="D14" s="197">
        <f t="shared" si="7"/>
        <v>7.8000000000000007</v>
      </c>
      <c r="E14" s="204">
        <f t="shared" si="8"/>
        <v>1.603</v>
      </c>
      <c r="F14" s="198">
        <f t="shared" si="9"/>
        <v>20.551282051282051</v>
      </c>
      <c r="G14" s="198">
        <f t="shared" si="10"/>
        <v>16.441025641025643</v>
      </c>
      <c r="H14" s="198">
        <f t="shared" si="11"/>
        <v>10.275641025641026</v>
      </c>
      <c r="I14" s="198">
        <f t="shared" si="12"/>
        <v>8</v>
      </c>
      <c r="J14" s="199">
        <f t="shared" si="12"/>
        <v>0</v>
      </c>
      <c r="K14" s="194" t="str">
        <f t="shared" si="13"/>
        <v>7.8-1</v>
      </c>
      <c r="L14" s="198">
        <f t="shared" si="14"/>
        <v>0.2</v>
      </c>
      <c r="M14" s="49">
        <v>90</v>
      </c>
      <c r="N14" s="198">
        <f t="shared" si="14"/>
        <v>150</v>
      </c>
      <c r="O14" s="198">
        <f t="shared" si="14"/>
        <v>160</v>
      </c>
      <c r="P14" s="198">
        <f t="shared" si="14"/>
        <v>270</v>
      </c>
      <c r="Q14" s="196">
        <f t="shared" si="4"/>
        <v>6</v>
      </c>
    </row>
    <row r="15" spans="1:21" x14ac:dyDescent="0.25">
      <c r="A15" s="229">
        <f t="shared" ref="A15:B15" si="17">A14+1</f>
        <v>1265</v>
      </c>
      <c r="B15" s="230">
        <f t="shared" si="17"/>
        <v>5</v>
      </c>
      <c r="C15" s="229" t="str">
        <f t="shared" si="6"/>
        <v>21bX08+000_000_02</v>
      </c>
      <c r="D15" s="197">
        <f t="shared" si="7"/>
        <v>7.8000000000000007</v>
      </c>
      <c r="E15" s="204">
        <f t="shared" si="8"/>
        <v>1.603</v>
      </c>
      <c r="F15" s="198">
        <f t="shared" si="9"/>
        <v>20.551282051282051</v>
      </c>
      <c r="G15" s="198">
        <f t="shared" si="10"/>
        <v>16.441025641025643</v>
      </c>
      <c r="H15" s="198">
        <f t="shared" si="11"/>
        <v>10.275641025641026</v>
      </c>
      <c r="I15" s="198">
        <f t="shared" si="12"/>
        <v>8</v>
      </c>
      <c r="J15" s="199">
        <f t="shared" si="12"/>
        <v>0</v>
      </c>
      <c r="K15" s="194" t="str">
        <f>D15&amp;-2</f>
        <v>7.8-2</v>
      </c>
      <c r="L15" s="198">
        <f t="shared" si="14"/>
        <v>0.2</v>
      </c>
      <c r="M15" s="49">
        <v>0</v>
      </c>
      <c r="N15" s="198">
        <f t="shared" si="14"/>
        <v>150</v>
      </c>
      <c r="O15" s="198">
        <f t="shared" si="14"/>
        <v>160</v>
      </c>
      <c r="P15" s="198">
        <f t="shared" si="14"/>
        <v>270</v>
      </c>
      <c r="Q15" s="196">
        <f t="shared" si="4"/>
        <v>6</v>
      </c>
    </row>
    <row r="16" spans="1:21" x14ac:dyDescent="0.25">
      <c r="A16" s="229">
        <f t="shared" ref="A16:B16" si="18">A15+1</f>
        <v>1266</v>
      </c>
      <c r="B16" s="230">
        <f t="shared" si="18"/>
        <v>6</v>
      </c>
      <c r="C16" s="229" t="str">
        <f t="shared" si="6"/>
        <v>21bX08+000_030_02</v>
      </c>
      <c r="D16" s="197">
        <f t="shared" si="7"/>
        <v>7.8000000000000007</v>
      </c>
      <c r="E16" s="204">
        <f t="shared" si="8"/>
        <v>1.603</v>
      </c>
      <c r="F16" s="198">
        <f t="shared" si="9"/>
        <v>20.551282051282051</v>
      </c>
      <c r="G16" s="198">
        <f t="shared" si="10"/>
        <v>16.441025641025643</v>
      </c>
      <c r="H16" s="198">
        <f t="shared" si="11"/>
        <v>10.275641025641026</v>
      </c>
      <c r="I16" s="198">
        <f t="shared" si="12"/>
        <v>8</v>
      </c>
      <c r="J16" s="199">
        <f t="shared" si="12"/>
        <v>0</v>
      </c>
      <c r="K16" s="194" t="str">
        <f t="shared" ref="K16:K18" si="19">D16&amp;-2</f>
        <v>7.8-2</v>
      </c>
      <c r="L16" s="198">
        <f t="shared" ref="L16:P31" si="20">L15</f>
        <v>0.2</v>
      </c>
      <c r="M16" s="49">
        <v>30</v>
      </c>
      <c r="N16" s="198">
        <f t="shared" si="20"/>
        <v>150</v>
      </c>
      <c r="O16" s="198">
        <f t="shared" si="20"/>
        <v>160</v>
      </c>
      <c r="P16" s="198">
        <f t="shared" si="20"/>
        <v>270</v>
      </c>
      <c r="Q16" s="196">
        <f t="shared" si="4"/>
        <v>6</v>
      </c>
    </row>
    <row r="17" spans="1:17" x14ac:dyDescent="0.25">
      <c r="A17" s="229">
        <f t="shared" ref="A17:B17" si="21">A16+1</f>
        <v>1267</v>
      </c>
      <c r="B17" s="230">
        <f t="shared" si="21"/>
        <v>7</v>
      </c>
      <c r="C17" s="229" t="str">
        <f t="shared" si="6"/>
        <v>21bX08+000_060_02</v>
      </c>
      <c r="D17" s="197">
        <f t="shared" si="7"/>
        <v>7.8000000000000007</v>
      </c>
      <c r="E17" s="204">
        <f t="shared" si="8"/>
        <v>1.603</v>
      </c>
      <c r="F17" s="198">
        <f t="shared" si="9"/>
        <v>20.551282051282051</v>
      </c>
      <c r="G17" s="198">
        <f t="shared" si="10"/>
        <v>16.441025641025643</v>
      </c>
      <c r="H17" s="198">
        <f t="shared" si="11"/>
        <v>10.275641025641026</v>
      </c>
      <c r="I17" s="198">
        <f t="shared" ref="I17:J32" si="22">I16</f>
        <v>8</v>
      </c>
      <c r="J17" s="199">
        <f t="shared" si="22"/>
        <v>0</v>
      </c>
      <c r="K17" s="194" t="str">
        <f t="shared" si="19"/>
        <v>7.8-2</v>
      </c>
      <c r="L17" s="198">
        <f t="shared" si="20"/>
        <v>0.2</v>
      </c>
      <c r="M17" s="49">
        <v>60</v>
      </c>
      <c r="N17" s="198">
        <f t="shared" si="20"/>
        <v>150</v>
      </c>
      <c r="O17" s="198">
        <f t="shared" si="20"/>
        <v>160</v>
      </c>
      <c r="P17" s="198">
        <f t="shared" si="20"/>
        <v>270</v>
      </c>
      <c r="Q17" s="196">
        <f t="shared" si="4"/>
        <v>6</v>
      </c>
    </row>
    <row r="18" spans="1:17" x14ac:dyDescent="0.25">
      <c r="A18" s="229">
        <f t="shared" ref="A18:B18" si="23">A17+1</f>
        <v>1268</v>
      </c>
      <c r="B18" s="230">
        <f t="shared" si="23"/>
        <v>8</v>
      </c>
      <c r="C18" s="229" t="str">
        <f t="shared" si="6"/>
        <v>21bX08+000_090_02</v>
      </c>
      <c r="D18" s="197">
        <f t="shared" si="7"/>
        <v>7.8000000000000007</v>
      </c>
      <c r="E18" s="204">
        <f t="shared" si="8"/>
        <v>1.603</v>
      </c>
      <c r="F18" s="198">
        <f t="shared" si="9"/>
        <v>20.551282051282051</v>
      </c>
      <c r="G18" s="198">
        <f t="shared" si="10"/>
        <v>16.441025641025643</v>
      </c>
      <c r="H18" s="198">
        <f t="shared" si="11"/>
        <v>10.275641025641026</v>
      </c>
      <c r="I18" s="198">
        <f t="shared" si="22"/>
        <v>8</v>
      </c>
      <c r="J18" s="199">
        <f t="shared" si="22"/>
        <v>0</v>
      </c>
      <c r="K18" s="194" t="str">
        <f t="shared" si="19"/>
        <v>7.8-2</v>
      </c>
      <c r="L18" s="198">
        <f t="shared" si="20"/>
        <v>0.2</v>
      </c>
      <c r="M18" s="49">
        <v>90</v>
      </c>
      <c r="N18" s="198">
        <f t="shared" si="20"/>
        <v>150</v>
      </c>
      <c r="O18" s="198">
        <f t="shared" si="20"/>
        <v>160</v>
      </c>
      <c r="P18" s="198">
        <f t="shared" si="20"/>
        <v>270</v>
      </c>
      <c r="Q18" s="196">
        <f t="shared" si="4"/>
        <v>6</v>
      </c>
    </row>
    <row r="19" spans="1:17" x14ac:dyDescent="0.25">
      <c r="A19" s="229">
        <f t="shared" ref="A19:B19" si="24">A18+1</f>
        <v>1269</v>
      </c>
      <c r="B19" s="230">
        <f t="shared" si="24"/>
        <v>9</v>
      </c>
      <c r="C19" s="229" t="str">
        <f t="shared" si="6"/>
        <v>21bX08+000_000_03</v>
      </c>
      <c r="D19" s="197">
        <f t="shared" si="7"/>
        <v>7.8000000000000007</v>
      </c>
      <c r="E19" s="204">
        <f t="shared" si="8"/>
        <v>1.603</v>
      </c>
      <c r="F19" s="198">
        <f t="shared" si="9"/>
        <v>20.551282051282051</v>
      </c>
      <c r="G19" s="198">
        <f t="shared" si="10"/>
        <v>16.441025641025643</v>
      </c>
      <c r="H19" s="198">
        <f t="shared" si="11"/>
        <v>10.275641025641026</v>
      </c>
      <c r="I19" s="198">
        <f t="shared" si="22"/>
        <v>8</v>
      </c>
      <c r="J19" s="199">
        <f t="shared" si="22"/>
        <v>0</v>
      </c>
      <c r="K19" s="194" t="str">
        <f>D19&amp;-3</f>
        <v>7.8-3</v>
      </c>
      <c r="L19" s="198">
        <f t="shared" si="20"/>
        <v>0.2</v>
      </c>
      <c r="M19" s="49">
        <v>0</v>
      </c>
      <c r="N19" s="198">
        <f t="shared" si="20"/>
        <v>150</v>
      </c>
      <c r="O19" s="198">
        <f t="shared" si="20"/>
        <v>160</v>
      </c>
      <c r="P19" s="198">
        <f t="shared" si="20"/>
        <v>270</v>
      </c>
      <c r="Q19" s="196">
        <f t="shared" si="4"/>
        <v>6</v>
      </c>
    </row>
    <row r="20" spans="1:17" x14ac:dyDescent="0.25">
      <c r="A20" s="229">
        <f t="shared" ref="A20:B20" si="25">A19+1</f>
        <v>1270</v>
      </c>
      <c r="B20" s="230">
        <f t="shared" si="25"/>
        <v>10</v>
      </c>
      <c r="C20" s="229" t="str">
        <f t="shared" si="6"/>
        <v>21bX08+000_030_03</v>
      </c>
      <c r="D20" s="197">
        <f t="shared" si="7"/>
        <v>7.8000000000000007</v>
      </c>
      <c r="E20" s="204">
        <f t="shared" si="8"/>
        <v>1.603</v>
      </c>
      <c r="F20" s="198">
        <f t="shared" si="9"/>
        <v>20.551282051282051</v>
      </c>
      <c r="G20" s="198">
        <f t="shared" si="10"/>
        <v>16.441025641025643</v>
      </c>
      <c r="H20" s="198">
        <f t="shared" si="11"/>
        <v>10.275641025641026</v>
      </c>
      <c r="I20" s="198">
        <f t="shared" si="22"/>
        <v>8</v>
      </c>
      <c r="J20" s="199">
        <f t="shared" si="22"/>
        <v>0</v>
      </c>
      <c r="K20" s="194" t="str">
        <f t="shared" ref="K20:K22" si="26">D20&amp;-3</f>
        <v>7.8-3</v>
      </c>
      <c r="L20" s="198">
        <f t="shared" si="20"/>
        <v>0.2</v>
      </c>
      <c r="M20" s="49">
        <v>30</v>
      </c>
      <c r="N20" s="198">
        <f t="shared" si="20"/>
        <v>150</v>
      </c>
      <c r="O20" s="198">
        <f t="shared" si="20"/>
        <v>160</v>
      </c>
      <c r="P20" s="198">
        <f t="shared" si="20"/>
        <v>270</v>
      </c>
      <c r="Q20" s="196">
        <f t="shared" si="4"/>
        <v>6</v>
      </c>
    </row>
    <row r="21" spans="1:17" x14ac:dyDescent="0.25">
      <c r="A21" s="229">
        <f t="shared" ref="A21:B21" si="27">A20+1</f>
        <v>1271</v>
      </c>
      <c r="B21" s="230">
        <f t="shared" si="27"/>
        <v>11</v>
      </c>
      <c r="C21" s="229" t="str">
        <f t="shared" si="6"/>
        <v>21bX08+000_060_03</v>
      </c>
      <c r="D21" s="197">
        <f t="shared" si="7"/>
        <v>7.8000000000000007</v>
      </c>
      <c r="E21" s="204">
        <f t="shared" si="8"/>
        <v>1.603</v>
      </c>
      <c r="F21" s="198">
        <f t="shared" si="9"/>
        <v>20.551282051282051</v>
      </c>
      <c r="G21" s="198">
        <f t="shared" si="10"/>
        <v>16.441025641025643</v>
      </c>
      <c r="H21" s="198">
        <f t="shared" si="11"/>
        <v>10.275641025641026</v>
      </c>
      <c r="I21" s="198">
        <f t="shared" si="22"/>
        <v>8</v>
      </c>
      <c r="J21" s="199">
        <f t="shared" si="22"/>
        <v>0</v>
      </c>
      <c r="K21" s="194" t="str">
        <f t="shared" si="26"/>
        <v>7.8-3</v>
      </c>
      <c r="L21" s="198">
        <f t="shared" si="20"/>
        <v>0.2</v>
      </c>
      <c r="M21" s="49">
        <v>60</v>
      </c>
      <c r="N21" s="198">
        <f t="shared" si="20"/>
        <v>150</v>
      </c>
      <c r="O21" s="198">
        <f t="shared" si="20"/>
        <v>160</v>
      </c>
      <c r="P21" s="198">
        <f t="shared" si="20"/>
        <v>270</v>
      </c>
      <c r="Q21" s="196">
        <f t="shared" si="4"/>
        <v>6</v>
      </c>
    </row>
    <row r="22" spans="1:17" x14ac:dyDescent="0.25">
      <c r="A22" s="229">
        <f t="shared" ref="A22:B22" si="28">A21+1</f>
        <v>1272</v>
      </c>
      <c r="B22" s="230">
        <f t="shared" si="28"/>
        <v>12</v>
      </c>
      <c r="C22" s="229" t="str">
        <f t="shared" si="6"/>
        <v>21bX08+000_090_03</v>
      </c>
      <c r="D22" s="197">
        <f t="shared" si="7"/>
        <v>7.8000000000000007</v>
      </c>
      <c r="E22" s="204">
        <f t="shared" si="8"/>
        <v>1.603</v>
      </c>
      <c r="F22" s="198">
        <f t="shared" si="9"/>
        <v>20.551282051282051</v>
      </c>
      <c r="G22" s="198">
        <f t="shared" si="10"/>
        <v>16.441025641025643</v>
      </c>
      <c r="H22" s="198">
        <f t="shared" si="11"/>
        <v>10.275641025641026</v>
      </c>
      <c r="I22" s="198">
        <f t="shared" si="22"/>
        <v>8</v>
      </c>
      <c r="J22" s="199">
        <f t="shared" si="22"/>
        <v>0</v>
      </c>
      <c r="K22" s="194" t="str">
        <f t="shared" si="26"/>
        <v>7.8-3</v>
      </c>
      <c r="L22" s="198">
        <f t="shared" si="20"/>
        <v>0.2</v>
      </c>
      <c r="M22" s="49">
        <v>90</v>
      </c>
      <c r="N22" s="198">
        <f t="shared" si="20"/>
        <v>150</v>
      </c>
      <c r="O22" s="198">
        <f t="shared" si="20"/>
        <v>160</v>
      </c>
      <c r="P22" s="198">
        <f t="shared" si="20"/>
        <v>270</v>
      </c>
      <c r="Q22" s="196">
        <f t="shared" si="4"/>
        <v>6</v>
      </c>
    </row>
    <row r="23" spans="1:17" x14ac:dyDescent="0.25">
      <c r="A23" s="229">
        <f t="shared" ref="A23:B23" si="29">A22+1</f>
        <v>1273</v>
      </c>
      <c r="B23" s="230">
        <f t="shared" si="29"/>
        <v>13</v>
      </c>
      <c r="C23" s="229" t="str">
        <f t="shared" si="6"/>
        <v>21bX08+000_000_04</v>
      </c>
      <c r="D23" s="197">
        <f t="shared" si="7"/>
        <v>7.8000000000000007</v>
      </c>
      <c r="E23" s="204">
        <f t="shared" si="8"/>
        <v>1.603</v>
      </c>
      <c r="F23" s="198">
        <f t="shared" si="9"/>
        <v>20.551282051282051</v>
      </c>
      <c r="G23" s="198">
        <f t="shared" si="10"/>
        <v>16.441025641025643</v>
      </c>
      <c r="H23" s="198">
        <f t="shared" si="11"/>
        <v>10.275641025641026</v>
      </c>
      <c r="I23" s="198">
        <f t="shared" si="22"/>
        <v>8</v>
      </c>
      <c r="J23" s="199">
        <f t="shared" si="22"/>
        <v>0</v>
      </c>
      <c r="K23" s="194" t="str">
        <f>D23&amp;-4</f>
        <v>7.8-4</v>
      </c>
      <c r="L23" s="198">
        <f t="shared" si="20"/>
        <v>0.2</v>
      </c>
      <c r="M23" s="49">
        <v>0</v>
      </c>
      <c r="N23" s="198">
        <f t="shared" si="20"/>
        <v>150</v>
      </c>
      <c r="O23" s="198">
        <f t="shared" si="20"/>
        <v>160</v>
      </c>
      <c r="P23" s="198">
        <f t="shared" si="20"/>
        <v>270</v>
      </c>
      <c r="Q23" s="196">
        <f t="shared" si="4"/>
        <v>6</v>
      </c>
    </row>
    <row r="24" spans="1:17" x14ac:dyDescent="0.25">
      <c r="A24" s="229">
        <f t="shared" ref="A24:B24" si="30">A23+1</f>
        <v>1274</v>
      </c>
      <c r="B24" s="230">
        <f t="shared" si="30"/>
        <v>14</v>
      </c>
      <c r="C24" s="229" t="str">
        <f t="shared" si="6"/>
        <v>21bX08+000_030_04</v>
      </c>
      <c r="D24" s="197">
        <f t="shared" si="7"/>
        <v>7.8000000000000007</v>
      </c>
      <c r="E24" s="204">
        <f t="shared" si="8"/>
        <v>1.603</v>
      </c>
      <c r="F24" s="198">
        <f t="shared" si="9"/>
        <v>20.551282051282051</v>
      </c>
      <c r="G24" s="198">
        <f t="shared" si="10"/>
        <v>16.441025641025643</v>
      </c>
      <c r="H24" s="198">
        <f t="shared" si="11"/>
        <v>10.275641025641026</v>
      </c>
      <c r="I24" s="198">
        <f t="shared" si="22"/>
        <v>8</v>
      </c>
      <c r="J24" s="199">
        <f t="shared" si="22"/>
        <v>0</v>
      </c>
      <c r="K24" s="194" t="str">
        <f t="shared" ref="K24:K26" si="31">D24&amp;-4</f>
        <v>7.8-4</v>
      </c>
      <c r="L24" s="198">
        <f t="shared" si="20"/>
        <v>0.2</v>
      </c>
      <c r="M24" s="49">
        <v>30</v>
      </c>
      <c r="N24" s="198">
        <f t="shared" si="20"/>
        <v>150</v>
      </c>
      <c r="O24" s="198">
        <f t="shared" si="20"/>
        <v>160</v>
      </c>
      <c r="P24" s="198">
        <f t="shared" si="20"/>
        <v>270</v>
      </c>
      <c r="Q24" s="196">
        <f t="shared" si="4"/>
        <v>6</v>
      </c>
    </row>
    <row r="25" spans="1:17" x14ac:dyDescent="0.25">
      <c r="A25" s="229">
        <f t="shared" ref="A25:B25" si="32">A24+1</f>
        <v>1275</v>
      </c>
      <c r="B25" s="230">
        <f t="shared" si="32"/>
        <v>15</v>
      </c>
      <c r="C25" s="229" t="str">
        <f t="shared" si="6"/>
        <v>21bX08+000_060_04</v>
      </c>
      <c r="D25" s="197">
        <f t="shared" si="7"/>
        <v>7.8000000000000007</v>
      </c>
      <c r="E25" s="204">
        <f t="shared" si="8"/>
        <v>1.603</v>
      </c>
      <c r="F25" s="198">
        <f t="shared" si="9"/>
        <v>20.551282051282051</v>
      </c>
      <c r="G25" s="198">
        <f t="shared" si="10"/>
        <v>16.441025641025643</v>
      </c>
      <c r="H25" s="198">
        <f t="shared" si="11"/>
        <v>10.275641025641026</v>
      </c>
      <c r="I25" s="198">
        <f t="shared" si="22"/>
        <v>8</v>
      </c>
      <c r="J25" s="199">
        <f t="shared" si="22"/>
        <v>0</v>
      </c>
      <c r="K25" s="194" t="str">
        <f t="shared" si="31"/>
        <v>7.8-4</v>
      </c>
      <c r="L25" s="198">
        <f t="shared" si="20"/>
        <v>0.2</v>
      </c>
      <c r="M25" s="49">
        <v>60</v>
      </c>
      <c r="N25" s="198">
        <f t="shared" si="20"/>
        <v>150</v>
      </c>
      <c r="O25" s="198">
        <f t="shared" si="20"/>
        <v>160</v>
      </c>
      <c r="P25" s="198">
        <f t="shared" si="20"/>
        <v>270</v>
      </c>
      <c r="Q25" s="196">
        <f t="shared" si="4"/>
        <v>6</v>
      </c>
    </row>
    <row r="26" spans="1:17" x14ac:dyDescent="0.25">
      <c r="A26" s="229">
        <f t="shared" ref="A26:B26" si="33">A25+1</f>
        <v>1276</v>
      </c>
      <c r="B26" s="230">
        <f t="shared" si="33"/>
        <v>16</v>
      </c>
      <c r="C26" s="229" t="str">
        <f t="shared" si="6"/>
        <v>21bX08+000_090_04</v>
      </c>
      <c r="D26" s="197">
        <f t="shared" si="7"/>
        <v>7.8000000000000007</v>
      </c>
      <c r="E26" s="204">
        <f t="shared" si="8"/>
        <v>1.603</v>
      </c>
      <c r="F26" s="198">
        <f t="shared" si="9"/>
        <v>20.551282051282051</v>
      </c>
      <c r="G26" s="198">
        <f t="shared" si="10"/>
        <v>16.441025641025643</v>
      </c>
      <c r="H26" s="198">
        <f t="shared" si="11"/>
        <v>10.275641025641026</v>
      </c>
      <c r="I26" s="198">
        <f t="shared" si="22"/>
        <v>8</v>
      </c>
      <c r="J26" s="199">
        <f t="shared" si="22"/>
        <v>0</v>
      </c>
      <c r="K26" s="194" t="str">
        <f t="shared" si="31"/>
        <v>7.8-4</v>
      </c>
      <c r="L26" s="198">
        <f t="shared" si="20"/>
        <v>0.2</v>
      </c>
      <c r="M26" s="49">
        <v>90</v>
      </c>
      <c r="N26" s="198">
        <f t="shared" si="20"/>
        <v>150</v>
      </c>
      <c r="O26" s="198">
        <f t="shared" si="20"/>
        <v>160</v>
      </c>
      <c r="P26" s="198">
        <f t="shared" si="20"/>
        <v>270</v>
      </c>
      <c r="Q26" s="196">
        <f t="shared" si="4"/>
        <v>6</v>
      </c>
    </row>
    <row r="27" spans="1:17" x14ac:dyDescent="0.25">
      <c r="A27" s="229">
        <f t="shared" ref="A27:B27" si="34">A26+1</f>
        <v>1277</v>
      </c>
      <c r="B27" s="230">
        <f t="shared" si="34"/>
        <v>17</v>
      </c>
      <c r="C27" s="229" t="str">
        <f t="shared" si="6"/>
        <v>21bX08+000_000_05</v>
      </c>
      <c r="D27" s="197">
        <f t="shared" si="7"/>
        <v>7.8000000000000007</v>
      </c>
      <c r="E27" s="204">
        <f t="shared" si="8"/>
        <v>1.603</v>
      </c>
      <c r="F27" s="198">
        <f t="shared" si="9"/>
        <v>20.551282051282051</v>
      </c>
      <c r="G27" s="198">
        <f t="shared" si="10"/>
        <v>16.441025641025643</v>
      </c>
      <c r="H27" s="198">
        <f t="shared" si="11"/>
        <v>10.275641025641026</v>
      </c>
      <c r="I27" s="198">
        <f t="shared" si="22"/>
        <v>8</v>
      </c>
      <c r="J27" s="199">
        <f t="shared" si="22"/>
        <v>0</v>
      </c>
      <c r="K27" s="194" t="str">
        <f>D27&amp;-5</f>
        <v>7.8-5</v>
      </c>
      <c r="L27" s="198">
        <f t="shared" si="20"/>
        <v>0.2</v>
      </c>
      <c r="M27" s="49">
        <v>0</v>
      </c>
      <c r="N27" s="198">
        <f t="shared" si="20"/>
        <v>150</v>
      </c>
      <c r="O27" s="198">
        <f t="shared" si="20"/>
        <v>160</v>
      </c>
      <c r="P27" s="198">
        <f t="shared" si="20"/>
        <v>270</v>
      </c>
      <c r="Q27" s="196">
        <f t="shared" si="4"/>
        <v>6</v>
      </c>
    </row>
    <row r="28" spans="1:17" x14ac:dyDescent="0.25">
      <c r="A28" s="229">
        <f t="shared" ref="A28:B28" si="35">A27+1</f>
        <v>1278</v>
      </c>
      <c r="B28" s="230">
        <f t="shared" si="35"/>
        <v>18</v>
      </c>
      <c r="C28" s="229" t="str">
        <f t="shared" si="6"/>
        <v>21bX08+000_030_05</v>
      </c>
      <c r="D28" s="197">
        <f t="shared" si="7"/>
        <v>7.8000000000000007</v>
      </c>
      <c r="E28" s="204">
        <f t="shared" si="8"/>
        <v>1.603</v>
      </c>
      <c r="F28" s="198">
        <f t="shared" si="9"/>
        <v>20.551282051282051</v>
      </c>
      <c r="G28" s="198">
        <f t="shared" si="10"/>
        <v>16.441025641025643</v>
      </c>
      <c r="H28" s="198">
        <f t="shared" si="11"/>
        <v>10.275641025641026</v>
      </c>
      <c r="I28" s="198">
        <f t="shared" si="22"/>
        <v>8</v>
      </c>
      <c r="J28" s="199">
        <f>J27</f>
        <v>0</v>
      </c>
      <c r="K28" s="194" t="str">
        <f t="shared" ref="K28:K30" si="36">D28&amp;-5</f>
        <v>7.8-5</v>
      </c>
      <c r="L28" s="198">
        <f t="shared" si="20"/>
        <v>0.2</v>
      </c>
      <c r="M28" s="49">
        <v>30</v>
      </c>
      <c r="N28" s="198">
        <f t="shared" si="20"/>
        <v>150</v>
      </c>
      <c r="O28" s="198">
        <f t="shared" si="20"/>
        <v>160</v>
      </c>
      <c r="P28" s="198">
        <f t="shared" si="20"/>
        <v>270</v>
      </c>
      <c r="Q28" s="196">
        <f t="shared" si="4"/>
        <v>6</v>
      </c>
    </row>
    <row r="29" spans="1:17" x14ac:dyDescent="0.25">
      <c r="A29" s="229">
        <f t="shared" ref="A29:B29" si="37">A28+1</f>
        <v>1279</v>
      </c>
      <c r="B29" s="230">
        <f t="shared" si="37"/>
        <v>19</v>
      </c>
      <c r="C29" s="229" t="str">
        <f t="shared" si="6"/>
        <v>21bX08+000_060_05</v>
      </c>
      <c r="D29" s="197">
        <f t="shared" si="7"/>
        <v>7.8000000000000007</v>
      </c>
      <c r="E29" s="204">
        <f t="shared" si="8"/>
        <v>1.603</v>
      </c>
      <c r="F29" s="198">
        <f t="shared" si="9"/>
        <v>20.551282051282051</v>
      </c>
      <c r="G29" s="198">
        <f t="shared" si="10"/>
        <v>16.441025641025643</v>
      </c>
      <c r="H29" s="198">
        <f t="shared" si="11"/>
        <v>10.275641025641026</v>
      </c>
      <c r="I29" s="198">
        <f t="shared" si="22"/>
        <v>8</v>
      </c>
      <c r="J29" s="199">
        <f t="shared" si="22"/>
        <v>0</v>
      </c>
      <c r="K29" s="194" t="str">
        <f t="shared" si="36"/>
        <v>7.8-5</v>
      </c>
      <c r="L29" s="198">
        <f t="shared" si="20"/>
        <v>0.2</v>
      </c>
      <c r="M29" s="49">
        <v>60</v>
      </c>
      <c r="N29" s="198">
        <f t="shared" si="20"/>
        <v>150</v>
      </c>
      <c r="O29" s="198">
        <f t="shared" si="20"/>
        <v>160</v>
      </c>
      <c r="P29" s="198">
        <f t="shared" si="20"/>
        <v>270</v>
      </c>
      <c r="Q29" s="196">
        <f t="shared" si="4"/>
        <v>6</v>
      </c>
    </row>
    <row r="30" spans="1:17" x14ac:dyDescent="0.25">
      <c r="A30" s="229">
        <f t="shared" ref="A30:B30" si="38">A29+1</f>
        <v>1280</v>
      </c>
      <c r="B30" s="230">
        <f t="shared" si="38"/>
        <v>20</v>
      </c>
      <c r="C30" s="229" t="str">
        <f t="shared" si="6"/>
        <v>21bX08+000_090_05</v>
      </c>
      <c r="D30" s="197">
        <f t="shared" si="7"/>
        <v>7.8000000000000007</v>
      </c>
      <c r="E30" s="204">
        <f t="shared" si="8"/>
        <v>1.603</v>
      </c>
      <c r="F30" s="198">
        <f t="shared" si="9"/>
        <v>20.551282051282051</v>
      </c>
      <c r="G30" s="198">
        <f t="shared" si="10"/>
        <v>16.441025641025643</v>
      </c>
      <c r="H30" s="198">
        <f t="shared" si="11"/>
        <v>10.275641025641026</v>
      </c>
      <c r="I30" s="198">
        <f t="shared" si="22"/>
        <v>8</v>
      </c>
      <c r="J30" s="199">
        <f t="shared" si="22"/>
        <v>0</v>
      </c>
      <c r="K30" s="194" t="str">
        <f t="shared" si="36"/>
        <v>7.8-5</v>
      </c>
      <c r="L30" s="198">
        <f t="shared" si="20"/>
        <v>0.2</v>
      </c>
      <c r="M30" s="49">
        <v>90</v>
      </c>
      <c r="N30" s="198">
        <f t="shared" si="20"/>
        <v>150</v>
      </c>
      <c r="O30" s="198">
        <f t="shared" si="20"/>
        <v>160</v>
      </c>
      <c r="P30" s="198">
        <f t="shared" si="20"/>
        <v>270</v>
      </c>
      <c r="Q30" s="196">
        <f t="shared" si="4"/>
        <v>6</v>
      </c>
    </row>
    <row r="31" spans="1:17" x14ac:dyDescent="0.25">
      <c r="A31" s="229">
        <f t="shared" ref="A31:B31" si="39">A30+1</f>
        <v>1281</v>
      </c>
      <c r="B31" s="230">
        <f t="shared" si="39"/>
        <v>21</v>
      </c>
      <c r="C31" s="229" t="str">
        <f t="shared" si="6"/>
        <v>21bX08+000_000_06</v>
      </c>
      <c r="D31" s="197">
        <f t="shared" si="7"/>
        <v>7.8000000000000007</v>
      </c>
      <c r="E31" s="204">
        <f t="shared" si="8"/>
        <v>1.603</v>
      </c>
      <c r="F31" s="198">
        <f t="shared" si="9"/>
        <v>20.551282051282051</v>
      </c>
      <c r="G31" s="198">
        <f t="shared" si="10"/>
        <v>16.441025641025643</v>
      </c>
      <c r="H31" s="198">
        <f t="shared" si="11"/>
        <v>10.275641025641026</v>
      </c>
      <c r="I31" s="198">
        <f t="shared" si="22"/>
        <v>8</v>
      </c>
      <c r="J31" s="199">
        <f t="shared" si="22"/>
        <v>0</v>
      </c>
      <c r="K31" s="194" t="str">
        <f>D31&amp;-6</f>
        <v>7.8-6</v>
      </c>
      <c r="L31" s="198">
        <f t="shared" si="20"/>
        <v>0.2</v>
      </c>
      <c r="M31" s="49">
        <v>0</v>
      </c>
      <c r="N31" s="198">
        <f t="shared" si="20"/>
        <v>150</v>
      </c>
      <c r="O31" s="198">
        <f t="shared" si="20"/>
        <v>160</v>
      </c>
      <c r="P31" s="198">
        <f t="shared" si="20"/>
        <v>270</v>
      </c>
      <c r="Q31" s="196">
        <f t="shared" si="4"/>
        <v>6</v>
      </c>
    </row>
    <row r="32" spans="1:17" x14ac:dyDescent="0.25">
      <c r="A32" s="229">
        <f t="shared" ref="A32:B32" si="40">A31+1</f>
        <v>1282</v>
      </c>
      <c r="B32" s="230">
        <f t="shared" si="40"/>
        <v>22</v>
      </c>
      <c r="C32" s="229" t="str">
        <f t="shared" si="6"/>
        <v>21bX08+000_030_06</v>
      </c>
      <c r="D32" s="197">
        <f t="shared" si="7"/>
        <v>7.8000000000000007</v>
      </c>
      <c r="E32" s="204">
        <f t="shared" si="8"/>
        <v>1.603</v>
      </c>
      <c r="F32" s="198">
        <f t="shared" si="9"/>
        <v>20.551282051282051</v>
      </c>
      <c r="G32" s="198">
        <f t="shared" si="10"/>
        <v>16.441025641025643</v>
      </c>
      <c r="H32" s="198">
        <f t="shared" si="11"/>
        <v>10.275641025641026</v>
      </c>
      <c r="I32" s="198">
        <f t="shared" si="22"/>
        <v>8</v>
      </c>
      <c r="J32" s="199">
        <f t="shared" si="22"/>
        <v>0</v>
      </c>
      <c r="K32" s="194" t="str">
        <f t="shared" ref="K32:K34" si="41">D32&amp;-6</f>
        <v>7.8-6</v>
      </c>
      <c r="L32" s="198">
        <f t="shared" ref="L32:L58" si="42">L31</f>
        <v>0.2</v>
      </c>
      <c r="M32" s="49">
        <v>30</v>
      </c>
      <c r="N32" s="198">
        <f t="shared" ref="N32:P47" si="43">N31</f>
        <v>150</v>
      </c>
      <c r="O32" s="198">
        <f t="shared" si="43"/>
        <v>160</v>
      </c>
      <c r="P32" s="198">
        <f t="shared" si="43"/>
        <v>270</v>
      </c>
      <c r="Q32" s="196">
        <f t="shared" si="4"/>
        <v>6</v>
      </c>
    </row>
    <row r="33" spans="1:17" x14ac:dyDescent="0.25">
      <c r="A33" s="229">
        <f t="shared" ref="A33:B33" si="44">A32+1</f>
        <v>1283</v>
      </c>
      <c r="B33" s="230">
        <f t="shared" si="44"/>
        <v>23</v>
      </c>
      <c r="C33" s="229" t="str">
        <f t="shared" si="6"/>
        <v>21bX08+000_060_06</v>
      </c>
      <c r="D33" s="197">
        <f t="shared" si="7"/>
        <v>7.8000000000000007</v>
      </c>
      <c r="E33" s="204">
        <f t="shared" si="8"/>
        <v>1.603</v>
      </c>
      <c r="F33" s="198">
        <f t="shared" si="9"/>
        <v>20.551282051282051</v>
      </c>
      <c r="G33" s="198">
        <f t="shared" si="10"/>
        <v>16.441025641025643</v>
      </c>
      <c r="H33" s="198">
        <f t="shared" si="11"/>
        <v>10.275641025641026</v>
      </c>
      <c r="I33" s="198">
        <f t="shared" ref="I33:J48" si="45">I32</f>
        <v>8</v>
      </c>
      <c r="J33" s="199">
        <f t="shared" si="45"/>
        <v>0</v>
      </c>
      <c r="K33" s="194" t="str">
        <f t="shared" si="41"/>
        <v>7.8-6</v>
      </c>
      <c r="L33" s="198">
        <f t="shared" si="42"/>
        <v>0.2</v>
      </c>
      <c r="M33" s="49">
        <v>60</v>
      </c>
      <c r="N33" s="198">
        <f t="shared" si="43"/>
        <v>150</v>
      </c>
      <c r="O33" s="198">
        <f t="shared" si="43"/>
        <v>160</v>
      </c>
      <c r="P33" s="198">
        <f t="shared" si="43"/>
        <v>270</v>
      </c>
      <c r="Q33" s="196">
        <f t="shared" si="4"/>
        <v>6</v>
      </c>
    </row>
    <row r="34" spans="1:17" x14ac:dyDescent="0.25">
      <c r="A34" s="229">
        <f t="shared" ref="A34:B34" si="46">A33+1</f>
        <v>1284</v>
      </c>
      <c r="B34" s="230">
        <f t="shared" si="46"/>
        <v>24</v>
      </c>
      <c r="C34" s="229" t="str">
        <f t="shared" si="6"/>
        <v>21bX08+000_090_06</v>
      </c>
      <c r="D34" s="197">
        <f t="shared" si="7"/>
        <v>7.8000000000000007</v>
      </c>
      <c r="E34" s="204">
        <f t="shared" si="8"/>
        <v>1.603</v>
      </c>
      <c r="F34" s="198">
        <f t="shared" si="9"/>
        <v>20.551282051282051</v>
      </c>
      <c r="G34" s="198">
        <f t="shared" si="10"/>
        <v>16.441025641025643</v>
      </c>
      <c r="H34" s="198">
        <f t="shared" si="11"/>
        <v>10.275641025641026</v>
      </c>
      <c r="I34" s="198">
        <f t="shared" si="45"/>
        <v>8</v>
      </c>
      <c r="J34" s="199">
        <f t="shared" si="45"/>
        <v>0</v>
      </c>
      <c r="K34" s="194" t="str">
        <f t="shared" si="41"/>
        <v>7.8-6</v>
      </c>
      <c r="L34" s="198">
        <f t="shared" si="42"/>
        <v>0.2</v>
      </c>
      <c r="M34" s="49">
        <v>90</v>
      </c>
      <c r="N34" s="198">
        <f t="shared" si="43"/>
        <v>150</v>
      </c>
      <c r="O34" s="198">
        <f t="shared" si="43"/>
        <v>160</v>
      </c>
      <c r="P34" s="198">
        <f t="shared" si="43"/>
        <v>270</v>
      </c>
      <c r="Q34" s="196">
        <f t="shared" si="4"/>
        <v>6</v>
      </c>
    </row>
    <row r="35" spans="1:17" x14ac:dyDescent="0.25">
      <c r="A35" s="229">
        <f t="shared" ref="A35:B35" si="47">A34+1</f>
        <v>1285</v>
      </c>
      <c r="B35" s="230">
        <f t="shared" si="47"/>
        <v>25</v>
      </c>
      <c r="C35" s="229" t="str">
        <f t="shared" si="6"/>
        <v>21bX08+000_000_07</v>
      </c>
      <c r="D35" s="197">
        <f t="shared" si="7"/>
        <v>7.8000000000000007</v>
      </c>
      <c r="E35" s="204">
        <f t="shared" si="8"/>
        <v>1.603</v>
      </c>
      <c r="F35" s="198">
        <f t="shared" si="9"/>
        <v>20.551282051282051</v>
      </c>
      <c r="G35" s="198">
        <f t="shared" si="10"/>
        <v>16.441025641025643</v>
      </c>
      <c r="H35" s="198">
        <f t="shared" si="11"/>
        <v>10.275641025641026</v>
      </c>
      <c r="I35" s="198">
        <f t="shared" si="45"/>
        <v>8</v>
      </c>
      <c r="J35" s="199">
        <f t="shared" si="45"/>
        <v>0</v>
      </c>
      <c r="K35" s="194" t="str">
        <f>D35&amp;-7</f>
        <v>7.8-7</v>
      </c>
      <c r="L35" s="198">
        <f t="shared" si="42"/>
        <v>0.2</v>
      </c>
      <c r="M35" s="49">
        <v>0</v>
      </c>
      <c r="N35" s="198">
        <f t="shared" si="43"/>
        <v>150</v>
      </c>
      <c r="O35" s="198">
        <f t="shared" si="43"/>
        <v>160</v>
      </c>
      <c r="P35" s="198">
        <f t="shared" si="43"/>
        <v>270</v>
      </c>
      <c r="Q35" s="196">
        <f t="shared" si="4"/>
        <v>6</v>
      </c>
    </row>
    <row r="36" spans="1:17" x14ac:dyDescent="0.25">
      <c r="A36" s="229">
        <f t="shared" ref="A36:B36" si="48">A35+1</f>
        <v>1286</v>
      </c>
      <c r="B36" s="230">
        <f t="shared" si="48"/>
        <v>26</v>
      </c>
      <c r="C36" s="229" t="str">
        <f t="shared" si="6"/>
        <v>21bX08+000_030_07</v>
      </c>
      <c r="D36" s="197">
        <f t="shared" si="7"/>
        <v>7.8000000000000007</v>
      </c>
      <c r="E36" s="204">
        <f t="shared" si="8"/>
        <v>1.603</v>
      </c>
      <c r="F36" s="198">
        <f t="shared" si="9"/>
        <v>20.551282051282051</v>
      </c>
      <c r="G36" s="198">
        <f t="shared" si="10"/>
        <v>16.441025641025643</v>
      </c>
      <c r="H36" s="198">
        <f t="shared" si="11"/>
        <v>10.275641025641026</v>
      </c>
      <c r="I36" s="198">
        <f t="shared" si="45"/>
        <v>8</v>
      </c>
      <c r="J36" s="199">
        <f t="shared" si="45"/>
        <v>0</v>
      </c>
      <c r="K36" s="194" t="str">
        <f t="shared" ref="K36:K38" si="49">D36&amp;-7</f>
        <v>7.8-7</v>
      </c>
      <c r="L36" s="198">
        <f t="shared" si="42"/>
        <v>0.2</v>
      </c>
      <c r="M36" s="49">
        <v>30</v>
      </c>
      <c r="N36" s="198">
        <f t="shared" si="43"/>
        <v>150</v>
      </c>
      <c r="O36" s="198">
        <f t="shared" si="43"/>
        <v>160</v>
      </c>
      <c r="P36" s="198">
        <f t="shared" si="43"/>
        <v>270</v>
      </c>
      <c r="Q36" s="196">
        <f t="shared" si="4"/>
        <v>6</v>
      </c>
    </row>
    <row r="37" spans="1:17" x14ac:dyDescent="0.25">
      <c r="A37" s="229">
        <f t="shared" ref="A37:B37" si="50">A36+1</f>
        <v>1287</v>
      </c>
      <c r="B37" s="230">
        <f t="shared" si="50"/>
        <v>27</v>
      </c>
      <c r="C37" s="229" t="str">
        <f t="shared" si="6"/>
        <v>21bX08+000_060_07</v>
      </c>
      <c r="D37" s="197">
        <f t="shared" si="7"/>
        <v>7.8000000000000007</v>
      </c>
      <c r="E37" s="204">
        <f t="shared" si="8"/>
        <v>1.603</v>
      </c>
      <c r="F37" s="198">
        <f t="shared" si="9"/>
        <v>20.551282051282051</v>
      </c>
      <c r="G37" s="198">
        <f t="shared" si="10"/>
        <v>16.441025641025643</v>
      </c>
      <c r="H37" s="198">
        <f t="shared" si="11"/>
        <v>10.275641025641026</v>
      </c>
      <c r="I37" s="198">
        <f t="shared" si="45"/>
        <v>8</v>
      </c>
      <c r="J37" s="199">
        <f t="shared" si="45"/>
        <v>0</v>
      </c>
      <c r="K37" s="194" t="str">
        <f t="shared" si="49"/>
        <v>7.8-7</v>
      </c>
      <c r="L37" s="198">
        <f t="shared" si="42"/>
        <v>0.2</v>
      </c>
      <c r="M37" s="49">
        <v>60</v>
      </c>
      <c r="N37" s="198">
        <f t="shared" si="43"/>
        <v>150</v>
      </c>
      <c r="O37" s="198">
        <f t="shared" si="43"/>
        <v>160</v>
      </c>
      <c r="P37" s="198">
        <f t="shared" si="43"/>
        <v>270</v>
      </c>
      <c r="Q37" s="196">
        <f t="shared" si="4"/>
        <v>6</v>
      </c>
    </row>
    <row r="38" spans="1:17" x14ac:dyDescent="0.25">
      <c r="A38" s="229">
        <f t="shared" ref="A38:B38" si="51">A37+1</f>
        <v>1288</v>
      </c>
      <c r="B38" s="230">
        <f t="shared" si="51"/>
        <v>28</v>
      </c>
      <c r="C38" s="229" t="str">
        <f t="shared" si="6"/>
        <v>21bX08+000_090_07</v>
      </c>
      <c r="D38" s="197">
        <f t="shared" si="7"/>
        <v>7.8000000000000007</v>
      </c>
      <c r="E38" s="204">
        <f t="shared" si="8"/>
        <v>1.603</v>
      </c>
      <c r="F38" s="198">
        <f t="shared" si="9"/>
        <v>20.551282051282051</v>
      </c>
      <c r="G38" s="198">
        <f t="shared" si="10"/>
        <v>16.441025641025643</v>
      </c>
      <c r="H38" s="198">
        <f t="shared" si="11"/>
        <v>10.275641025641026</v>
      </c>
      <c r="I38" s="198">
        <f t="shared" si="45"/>
        <v>8</v>
      </c>
      <c r="J38" s="199">
        <f t="shared" si="45"/>
        <v>0</v>
      </c>
      <c r="K38" s="194" t="str">
        <f t="shared" si="49"/>
        <v>7.8-7</v>
      </c>
      <c r="L38" s="198">
        <f t="shared" si="42"/>
        <v>0.2</v>
      </c>
      <c r="M38" s="49">
        <v>90</v>
      </c>
      <c r="N38" s="198">
        <f t="shared" si="43"/>
        <v>150</v>
      </c>
      <c r="O38" s="198">
        <f t="shared" si="43"/>
        <v>160</v>
      </c>
      <c r="P38" s="198">
        <f t="shared" si="43"/>
        <v>270</v>
      </c>
      <c r="Q38" s="196">
        <f t="shared" si="4"/>
        <v>6</v>
      </c>
    </row>
    <row r="39" spans="1:17" x14ac:dyDescent="0.25">
      <c r="A39" s="229">
        <f t="shared" ref="A39:B39" si="52">A38+1</f>
        <v>1289</v>
      </c>
      <c r="B39" s="230">
        <f t="shared" si="52"/>
        <v>29</v>
      </c>
      <c r="C39" s="229" t="str">
        <f t="shared" si="6"/>
        <v>21bX08+000_000_08</v>
      </c>
      <c r="D39" s="197">
        <f t="shared" si="7"/>
        <v>7.8000000000000007</v>
      </c>
      <c r="E39" s="204">
        <f t="shared" si="8"/>
        <v>1.603</v>
      </c>
      <c r="F39" s="198">
        <f t="shared" si="9"/>
        <v>20.551282051282051</v>
      </c>
      <c r="G39" s="198">
        <f t="shared" si="10"/>
        <v>16.441025641025643</v>
      </c>
      <c r="H39" s="198">
        <f t="shared" si="11"/>
        <v>10.275641025641026</v>
      </c>
      <c r="I39" s="198">
        <f t="shared" si="45"/>
        <v>8</v>
      </c>
      <c r="J39" s="199">
        <f t="shared" si="45"/>
        <v>0</v>
      </c>
      <c r="K39" s="194" t="str">
        <f>D39&amp;-8</f>
        <v>7.8-8</v>
      </c>
      <c r="L39" s="198">
        <f t="shared" si="42"/>
        <v>0.2</v>
      </c>
      <c r="M39" s="49">
        <v>0</v>
      </c>
      <c r="N39" s="198">
        <f t="shared" si="43"/>
        <v>150</v>
      </c>
      <c r="O39" s="198">
        <f t="shared" si="43"/>
        <v>160</v>
      </c>
      <c r="P39" s="198">
        <f t="shared" si="43"/>
        <v>270</v>
      </c>
      <c r="Q39" s="196">
        <f t="shared" si="4"/>
        <v>6</v>
      </c>
    </row>
    <row r="40" spans="1:17" x14ac:dyDescent="0.25">
      <c r="A40" s="229">
        <f t="shared" ref="A40:B40" si="53">A39+1</f>
        <v>1290</v>
      </c>
      <c r="B40" s="230">
        <f t="shared" si="53"/>
        <v>30</v>
      </c>
      <c r="C40" s="229" t="str">
        <f t="shared" si="6"/>
        <v>21bX08+000_030_08</v>
      </c>
      <c r="D40" s="197">
        <f t="shared" si="7"/>
        <v>7.8000000000000007</v>
      </c>
      <c r="E40" s="204">
        <f t="shared" si="8"/>
        <v>1.603</v>
      </c>
      <c r="F40" s="198">
        <f t="shared" si="9"/>
        <v>20.551282051282051</v>
      </c>
      <c r="G40" s="198">
        <f t="shared" si="10"/>
        <v>16.441025641025643</v>
      </c>
      <c r="H40" s="198">
        <f t="shared" si="11"/>
        <v>10.275641025641026</v>
      </c>
      <c r="I40" s="198">
        <f t="shared" si="45"/>
        <v>8</v>
      </c>
      <c r="J40" s="199">
        <f t="shared" si="45"/>
        <v>0</v>
      </c>
      <c r="K40" s="194" t="str">
        <f t="shared" ref="K40:K42" si="54">D40&amp;-8</f>
        <v>7.8-8</v>
      </c>
      <c r="L40" s="198">
        <f t="shared" si="42"/>
        <v>0.2</v>
      </c>
      <c r="M40" s="49">
        <v>30</v>
      </c>
      <c r="N40" s="198">
        <f t="shared" si="43"/>
        <v>150</v>
      </c>
      <c r="O40" s="198">
        <f t="shared" si="43"/>
        <v>160</v>
      </c>
      <c r="P40" s="198">
        <f t="shared" si="43"/>
        <v>270</v>
      </c>
      <c r="Q40" s="196">
        <f t="shared" si="4"/>
        <v>6</v>
      </c>
    </row>
    <row r="41" spans="1:17" x14ac:dyDescent="0.25">
      <c r="A41" s="229">
        <f t="shared" ref="A41:B41" si="55">A40+1</f>
        <v>1291</v>
      </c>
      <c r="B41" s="230">
        <f t="shared" si="55"/>
        <v>31</v>
      </c>
      <c r="C41" s="229" t="str">
        <f t="shared" si="6"/>
        <v>21bX08+000_060_08</v>
      </c>
      <c r="D41" s="197">
        <f t="shared" si="7"/>
        <v>7.8000000000000007</v>
      </c>
      <c r="E41" s="204">
        <f t="shared" si="8"/>
        <v>1.603</v>
      </c>
      <c r="F41" s="198">
        <f t="shared" si="9"/>
        <v>20.551282051282051</v>
      </c>
      <c r="G41" s="198">
        <f t="shared" si="10"/>
        <v>16.441025641025643</v>
      </c>
      <c r="H41" s="198">
        <f t="shared" si="11"/>
        <v>10.275641025641026</v>
      </c>
      <c r="I41" s="198">
        <f t="shared" si="45"/>
        <v>8</v>
      </c>
      <c r="J41" s="199">
        <f t="shared" si="45"/>
        <v>0</v>
      </c>
      <c r="K41" s="194" t="str">
        <f t="shared" si="54"/>
        <v>7.8-8</v>
      </c>
      <c r="L41" s="198">
        <f t="shared" si="42"/>
        <v>0.2</v>
      </c>
      <c r="M41" s="49">
        <v>60</v>
      </c>
      <c r="N41" s="198">
        <f t="shared" si="43"/>
        <v>150</v>
      </c>
      <c r="O41" s="198">
        <f t="shared" si="43"/>
        <v>160</v>
      </c>
      <c r="P41" s="198">
        <f t="shared" si="43"/>
        <v>270</v>
      </c>
      <c r="Q41" s="196">
        <f t="shared" si="4"/>
        <v>6</v>
      </c>
    </row>
    <row r="42" spans="1:17" x14ac:dyDescent="0.25">
      <c r="A42" s="229">
        <f t="shared" ref="A42:B42" si="56">A41+1</f>
        <v>1292</v>
      </c>
      <c r="B42" s="230">
        <f t="shared" si="56"/>
        <v>32</v>
      </c>
      <c r="C42" s="229" t="str">
        <f t="shared" si="6"/>
        <v>21bX08+000_090_08</v>
      </c>
      <c r="D42" s="197">
        <f t="shared" si="7"/>
        <v>7.8000000000000007</v>
      </c>
      <c r="E42" s="204">
        <f t="shared" si="8"/>
        <v>1.603</v>
      </c>
      <c r="F42" s="198">
        <f t="shared" si="9"/>
        <v>20.551282051282051</v>
      </c>
      <c r="G42" s="198">
        <f t="shared" si="10"/>
        <v>16.441025641025643</v>
      </c>
      <c r="H42" s="198">
        <f t="shared" si="11"/>
        <v>10.275641025641026</v>
      </c>
      <c r="I42" s="198">
        <f t="shared" si="45"/>
        <v>8</v>
      </c>
      <c r="J42" s="199">
        <f t="shared" si="45"/>
        <v>0</v>
      </c>
      <c r="K42" s="194" t="str">
        <f t="shared" si="54"/>
        <v>7.8-8</v>
      </c>
      <c r="L42" s="198">
        <f t="shared" si="42"/>
        <v>0.2</v>
      </c>
      <c r="M42" s="49">
        <v>90</v>
      </c>
      <c r="N42" s="198">
        <f t="shared" si="43"/>
        <v>150</v>
      </c>
      <c r="O42" s="198">
        <f t="shared" si="43"/>
        <v>160</v>
      </c>
      <c r="P42" s="198">
        <f t="shared" si="43"/>
        <v>270</v>
      </c>
      <c r="Q42" s="196">
        <f t="shared" si="4"/>
        <v>6</v>
      </c>
    </row>
    <row r="43" spans="1:17" x14ac:dyDescent="0.25">
      <c r="A43" s="229">
        <f t="shared" ref="A43:B43" si="57">A42+1</f>
        <v>1293</v>
      </c>
      <c r="B43" s="230">
        <f t="shared" si="57"/>
        <v>33</v>
      </c>
      <c r="C43" s="229" t="str">
        <f t="shared" si="6"/>
        <v>21bX08+000_000_09</v>
      </c>
      <c r="D43" s="197">
        <f t="shared" si="7"/>
        <v>7.8000000000000007</v>
      </c>
      <c r="E43" s="204">
        <f t="shared" si="8"/>
        <v>1.603</v>
      </c>
      <c r="F43" s="198">
        <f t="shared" si="9"/>
        <v>20.551282051282051</v>
      </c>
      <c r="G43" s="198">
        <f t="shared" si="10"/>
        <v>16.441025641025643</v>
      </c>
      <c r="H43" s="198">
        <f t="shared" si="11"/>
        <v>10.275641025641026</v>
      </c>
      <c r="I43" s="198">
        <f t="shared" si="45"/>
        <v>8</v>
      </c>
      <c r="J43" s="199">
        <f t="shared" si="45"/>
        <v>0</v>
      </c>
      <c r="K43" s="194" t="str">
        <f>D43&amp;-9</f>
        <v>7.8-9</v>
      </c>
      <c r="L43" s="198">
        <f t="shared" si="42"/>
        <v>0.2</v>
      </c>
      <c r="M43" s="49">
        <v>0</v>
      </c>
      <c r="N43" s="198">
        <f t="shared" si="43"/>
        <v>150</v>
      </c>
      <c r="O43" s="198">
        <f t="shared" si="43"/>
        <v>160</v>
      </c>
      <c r="P43" s="198">
        <f t="shared" si="43"/>
        <v>270</v>
      </c>
      <c r="Q43" s="196">
        <f t="shared" si="4"/>
        <v>6</v>
      </c>
    </row>
    <row r="44" spans="1:17" x14ac:dyDescent="0.25">
      <c r="A44" s="229">
        <f t="shared" ref="A44:B44" si="58">A43+1</f>
        <v>1294</v>
      </c>
      <c r="B44" s="230">
        <f t="shared" si="58"/>
        <v>34</v>
      </c>
      <c r="C44" s="229" t="str">
        <f t="shared" si="6"/>
        <v>21bX08+000_030_09</v>
      </c>
      <c r="D44" s="197">
        <f t="shared" si="7"/>
        <v>7.8000000000000007</v>
      </c>
      <c r="E44" s="204">
        <f t="shared" si="8"/>
        <v>1.603</v>
      </c>
      <c r="F44" s="198">
        <f t="shared" si="9"/>
        <v>20.551282051282051</v>
      </c>
      <c r="G44" s="198">
        <f t="shared" si="10"/>
        <v>16.441025641025643</v>
      </c>
      <c r="H44" s="198">
        <f t="shared" si="11"/>
        <v>10.275641025641026</v>
      </c>
      <c r="I44" s="198">
        <f t="shared" si="45"/>
        <v>8</v>
      </c>
      <c r="J44" s="199">
        <f t="shared" si="45"/>
        <v>0</v>
      </c>
      <c r="K44" s="194" t="str">
        <f t="shared" ref="K44:K46" si="59">D44&amp;-9</f>
        <v>7.8-9</v>
      </c>
      <c r="L44" s="198">
        <f t="shared" si="42"/>
        <v>0.2</v>
      </c>
      <c r="M44" s="49">
        <v>30</v>
      </c>
      <c r="N44" s="198">
        <f t="shared" si="43"/>
        <v>150</v>
      </c>
      <c r="O44" s="198">
        <f t="shared" si="43"/>
        <v>160</v>
      </c>
      <c r="P44" s="198">
        <f t="shared" si="43"/>
        <v>270</v>
      </c>
      <c r="Q44" s="196">
        <f t="shared" si="4"/>
        <v>6</v>
      </c>
    </row>
    <row r="45" spans="1:17" x14ac:dyDescent="0.25">
      <c r="A45" s="229">
        <f t="shared" ref="A45:B45" si="60">A44+1</f>
        <v>1295</v>
      </c>
      <c r="B45" s="230">
        <f t="shared" si="60"/>
        <v>35</v>
      </c>
      <c r="C45" s="229" t="str">
        <f t="shared" si="6"/>
        <v>21bX08+000_060_09</v>
      </c>
      <c r="D45" s="197">
        <f t="shared" si="7"/>
        <v>7.8000000000000007</v>
      </c>
      <c r="E45" s="204">
        <f t="shared" si="8"/>
        <v>1.603</v>
      </c>
      <c r="F45" s="198">
        <f t="shared" si="9"/>
        <v>20.551282051282051</v>
      </c>
      <c r="G45" s="198">
        <f t="shared" si="10"/>
        <v>16.441025641025643</v>
      </c>
      <c r="H45" s="198">
        <f t="shared" si="11"/>
        <v>10.275641025641026</v>
      </c>
      <c r="I45" s="198">
        <f t="shared" si="45"/>
        <v>8</v>
      </c>
      <c r="J45" s="199">
        <f t="shared" si="45"/>
        <v>0</v>
      </c>
      <c r="K45" s="194" t="str">
        <f t="shared" si="59"/>
        <v>7.8-9</v>
      </c>
      <c r="L45" s="198">
        <f t="shared" si="42"/>
        <v>0.2</v>
      </c>
      <c r="M45" s="49">
        <v>60</v>
      </c>
      <c r="N45" s="198">
        <f t="shared" si="43"/>
        <v>150</v>
      </c>
      <c r="O45" s="198">
        <f t="shared" si="43"/>
        <v>160</v>
      </c>
      <c r="P45" s="198">
        <f t="shared" si="43"/>
        <v>270</v>
      </c>
      <c r="Q45" s="196">
        <f t="shared" si="4"/>
        <v>6</v>
      </c>
    </row>
    <row r="46" spans="1:17" x14ac:dyDescent="0.25">
      <c r="A46" s="229">
        <f t="shared" ref="A46:B46" si="61">A45+1</f>
        <v>1296</v>
      </c>
      <c r="B46" s="230">
        <f t="shared" si="61"/>
        <v>36</v>
      </c>
      <c r="C46" s="229" t="str">
        <f t="shared" si="6"/>
        <v>21bX08+000_090_09</v>
      </c>
      <c r="D46" s="197">
        <f t="shared" si="7"/>
        <v>7.8000000000000007</v>
      </c>
      <c r="E46" s="204">
        <f t="shared" si="8"/>
        <v>1.603</v>
      </c>
      <c r="F46" s="198">
        <f t="shared" si="9"/>
        <v>20.551282051282051</v>
      </c>
      <c r="G46" s="198">
        <f t="shared" si="10"/>
        <v>16.441025641025643</v>
      </c>
      <c r="H46" s="198">
        <f t="shared" si="11"/>
        <v>10.275641025641026</v>
      </c>
      <c r="I46" s="198">
        <f t="shared" si="45"/>
        <v>8</v>
      </c>
      <c r="J46" s="199">
        <f t="shared" si="45"/>
        <v>0</v>
      </c>
      <c r="K46" s="194" t="str">
        <f t="shared" si="59"/>
        <v>7.8-9</v>
      </c>
      <c r="L46" s="198">
        <f t="shared" si="42"/>
        <v>0.2</v>
      </c>
      <c r="M46" s="49">
        <v>90</v>
      </c>
      <c r="N46" s="198">
        <f t="shared" si="43"/>
        <v>150</v>
      </c>
      <c r="O46" s="198">
        <f t="shared" si="43"/>
        <v>160</v>
      </c>
      <c r="P46" s="198">
        <f t="shared" si="43"/>
        <v>270</v>
      </c>
      <c r="Q46" s="196">
        <f t="shared" si="4"/>
        <v>6</v>
      </c>
    </row>
    <row r="47" spans="1:17" x14ac:dyDescent="0.25">
      <c r="A47" s="229">
        <f t="shared" ref="A47:B47" si="62">A46+1</f>
        <v>1297</v>
      </c>
      <c r="B47" s="230">
        <f t="shared" si="62"/>
        <v>37</v>
      </c>
      <c r="C47" s="229" t="str">
        <f t="shared" si="6"/>
        <v>21bX08+000_000_10</v>
      </c>
      <c r="D47" s="197">
        <f t="shared" si="7"/>
        <v>7.8000000000000007</v>
      </c>
      <c r="E47" s="204">
        <f t="shared" si="8"/>
        <v>1.603</v>
      </c>
      <c r="F47" s="198">
        <f t="shared" si="9"/>
        <v>20.551282051282051</v>
      </c>
      <c r="G47" s="198">
        <f t="shared" si="10"/>
        <v>16.441025641025643</v>
      </c>
      <c r="H47" s="198">
        <f t="shared" si="11"/>
        <v>10.275641025641026</v>
      </c>
      <c r="I47" s="198">
        <f t="shared" si="45"/>
        <v>8</v>
      </c>
      <c r="J47" s="199">
        <f t="shared" si="45"/>
        <v>0</v>
      </c>
      <c r="K47" s="194" t="str">
        <f>D47&amp;-10</f>
        <v>7.8-10</v>
      </c>
      <c r="L47" s="198">
        <f t="shared" si="42"/>
        <v>0.2</v>
      </c>
      <c r="M47" s="49">
        <v>0</v>
      </c>
      <c r="N47" s="198">
        <f t="shared" si="43"/>
        <v>150</v>
      </c>
      <c r="O47" s="198">
        <f t="shared" si="43"/>
        <v>160</v>
      </c>
      <c r="P47" s="198">
        <f t="shared" si="43"/>
        <v>270</v>
      </c>
      <c r="Q47" s="196">
        <f t="shared" si="4"/>
        <v>6</v>
      </c>
    </row>
    <row r="48" spans="1:17" x14ac:dyDescent="0.25">
      <c r="A48" s="229">
        <f t="shared" ref="A48:B48" si="63">A47+1</f>
        <v>1298</v>
      </c>
      <c r="B48" s="230">
        <f t="shared" si="63"/>
        <v>38</v>
      </c>
      <c r="C48" s="229" t="str">
        <f t="shared" si="6"/>
        <v>21bX08+000_030_10</v>
      </c>
      <c r="D48" s="197">
        <f t="shared" si="7"/>
        <v>7.8000000000000007</v>
      </c>
      <c r="E48" s="204">
        <f t="shared" si="8"/>
        <v>1.603</v>
      </c>
      <c r="F48" s="198">
        <f t="shared" si="9"/>
        <v>20.551282051282051</v>
      </c>
      <c r="G48" s="198">
        <f t="shared" si="10"/>
        <v>16.441025641025643</v>
      </c>
      <c r="H48" s="198">
        <f t="shared" si="11"/>
        <v>10.275641025641026</v>
      </c>
      <c r="I48" s="198">
        <f t="shared" si="45"/>
        <v>8</v>
      </c>
      <c r="J48" s="199">
        <f t="shared" si="45"/>
        <v>0</v>
      </c>
      <c r="K48" s="194" t="str">
        <f t="shared" ref="K48:K50" si="64">D48&amp;-10</f>
        <v>7.8-10</v>
      </c>
      <c r="L48" s="198">
        <f t="shared" si="42"/>
        <v>0.2</v>
      </c>
      <c r="M48" s="49">
        <v>30</v>
      </c>
      <c r="N48" s="198">
        <f t="shared" ref="N48:P58" si="65">N47</f>
        <v>150</v>
      </c>
      <c r="O48" s="198">
        <f t="shared" si="65"/>
        <v>160</v>
      </c>
      <c r="P48" s="198">
        <f t="shared" si="65"/>
        <v>270</v>
      </c>
      <c r="Q48" s="196">
        <f t="shared" si="4"/>
        <v>6</v>
      </c>
    </row>
    <row r="49" spans="1:17" x14ac:dyDescent="0.25">
      <c r="A49" s="229">
        <f t="shared" ref="A49:B49" si="66">A48+1</f>
        <v>1299</v>
      </c>
      <c r="B49" s="230">
        <f t="shared" si="66"/>
        <v>39</v>
      </c>
      <c r="C49" s="229" t="str">
        <f t="shared" si="6"/>
        <v>21bX08+000_060_10</v>
      </c>
      <c r="D49" s="197">
        <f t="shared" si="7"/>
        <v>7.8000000000000007</v>
      </c>
      <c r="E49" s="204">
        <f t="shared" si="8"/>
        <v>1.603</v>
      </c>
      <c r="F49" s="198">
        <f t="shared" si="9"/>
        <v>20.551282051282051</v>
      </c>
      <c r="G49" s="198">
        <f t="shared" si="10"/>
        <v>16.441025641025643</v>
      </c>
      <c r="H49" s="198">
        <f t="shared" si="11"/>
        <v>10.275641025641026</v>
      </c>
      <c r="I49" s="198">
        <f t="shared" ref="I49:J58" si="67">I48</f>
        <v>8</v>
      </c>
      <c r="J49" s="199">
        <f t="shared" si="67"/>
        <v>0</v>
      </c>
      <c r="K49" s="194" t="str">
        <f t="shared" si="64"/>
        <v>7.8-10</v>
      </c>
      <c r="L49" s="198">
        <f t="shared" si="42"/>
        <v>0.2</v>
      </c>
      <c r="M49" s="49">
        <v>60</v>
      </c>
      <c r="N49" s="198">
        <f t="shared" si="65"/>
        <v>150</v>
      </c>
      <c r="O49" s="198">
        <f t="shared" si="65"/>
        <v>160</v>
      </c>
      <c r="P49" s="198">
        <f t="shared" si="65"/>
        <v>270</v>
      </c>
      <c r="Q49" s="196">
        <f t="shared" si="4"/>
        <v>6</v>
      </c>
    </row>
    <row r="50" spans="1:17" x14ac:dyDescent="0.25">
      <c r="A50" s="229">
        <f t="shared" ref="A50:B50" si="68">A49+1</f>
        <v>1300</v>
      </c>
      <c r="B50" s="230">
        <f t="shared" si="68"/>
        <v>40</v>
      </c>
      <c r="C50" s="229" t="str">
        <f t="shared" si="6"/>
        <v>21bX08+000_090_10</v>
      </c>
      <c r="D50" s="197">
        <f t="shared" si="7"/>
        <v>7.8000000000000007</v>
      </c>
      <c r="E50" s="204">
        <f t="shared" si="8"/>
        <v>1.603</v>
      </c>
      <c r="F50" s="198">
        <f t="shared" si="9"/>
        <v>20.551282051282051</v>
      </c>
      <c r="G50" s="198">
        <f t="shared" si="10"/>
        <v>16.441025641025643</v>
      </c>
      <c r="H50" s="198">
        <f t="shared" si="11"/>
        <v>10.275641025641026</v>
      </c>
      <c r="I50" s="198">
        <f t="shared" si="67"/>
        <v>8</v>
      </c>
      <c r="J50" s="199">
        <f t="shared" si="67"/>
        <v>0</v>
      </c>
      <c r="K50" s="194" t="str">
        <f t="shared" si="64"/>
        <v>7.8-10</v>
      </c>
      <c r="L50" s="198">
        <f t="shared" si="42"/>
        <v>0.2</v>
      </c>
      <c r="M50" s="49">
        <v>90</v>
      </c>
      <c r="N50" s="198">
        <f t="shared" si="65"/>
        <v>150</v>
      </c>
      <c r="O50" s="198">
        <f t="shared" si="65"/>
        <v>160</v>
      </c>
      <c r="P50" s="198">
        <f t="shared" si="65"/>
        <v>270</v>
      </c>
      <c r="Q50" s="196">
        <f t="shared" si="4"/>
        <v>6</v>
      </c>
    </row>
    <row r="51" spans="1:17" x14ac:dyDescent="0.25">
      <c r="A51" s="229">
        <f t="shared" ref="A51:B51" si="69">A50+1</f>
        <v>1301</v>
      </c>
      <c r="B51" s="230">
        <f t="shared" si="69"/>
        <v>41</v>
      </c>
      <c r="C51" s="229" t="str">
        <f t="shared" si="6"/>
        <v>21bX08+000_000_11</v>
      </c>
      <c r="D51" s="197">
        <f t="shared" si="7"/>
        <v>7.8000000000000007</v>
      </c>
      <c r="E51" s="204">
        <f t="shared" si="8"/>
        <v>1.603</v>
      </c>
      <c r="F51" s="198">
        <f t="shared" si="9"/>
        <v>20.551282051282051</v>
      </c>
      <c r="G51" s="198">
        <f t="shared" si="10"/>
        <v>16.441025641025643</v>
      </c>
      <c r="H51" s="198">
        <f t="shared" si="11"/>
        <v>10.275641025641026</v>
      </c>
      <c r="I51" s="198">
        <f t="shared" si="67"/>
        <v>8</v>
      </c>
      <c r="J51" s="199">
        <f t="shared" si="67"/>
        <v>0</v>
      </c>
      <c r="K51" s="194" t="str">
        <f>D51&amp;-11</f>
        <v>7.8-11</v>
      </c>
      <c r="L51" s="198">
        <f t="shared" si="42"/>
        <v>0.2</v>
      </c>
      <c r="M51" s="49">
        <v>0</v>
      </c>
      <c r="N51" s="198">
        <f t="shared" si="65"/>
        <v>150</v>
      </c>
      <c r="O51" s="198">
        <f t="shared" si="65"/>
        <v>160</v>
      </c>
      <c r="P51" s="198">
        <f t="shared" si="65"/>
        <v>270</v>
      </c>
      <c r="Q51" s="196">
        <f t="shared" si="4"/>
        <v>6</v>
      </c>
    </row>
    <row r="52" spans="1:17" x14ac:dyDescent="0.25">
      <c r="A52" s="229">
        <f t="shared" ref="A52:B52" si="70">A51+1</f>
        <v>1302</v>
      </c>
      <c r="B52" s="230">
        <f t="shared" si="70"/>
        <v>42</v>
      </c>
      <c r="C52" s="229" t="str">
        <f t="shared" si="6"/>
        <v>21bX08+000_030_11</v>
      </c>
      <c r="D52" s="197">
        <f t="shared" si="7"/>
        <v>7.8000000000000007</v>
      </c>
      <c r="E52" s="204">
        <f t="shared" si="8"/>
        <v>1.603</v>
      </c>
      <c r="F52" s="198">
        <f t="shared" si="9"/>
        <v>20.551282051282051</v>
      </c>
      <c r="G52" s="198">
        <f t="shared" si="10"/>
        <v>16.441025641025643</v>
      </c>
      <c r="H52" s="198">
        <f t="shared" si="11"/>
        <v>10.275641025641026</v>
      </c>
      <c r="I52" s="198">
        <f t="shared" si="67"/>
        <v>8</v>
      </c>
      <c r="J52" s="199">
        <f t="shared" si="67"/>
        <v>0</v>
      </c>
      <c r="K52" s="194" t="str">
        <f t="shared" ref="K52:K54" si="71">D52&amp;-11</f>
        <v>7.8-11</v>
      </c>
      <c r="L52" s="198">
        <f t="shared" si="42"/>
        <v>0.2</v>
      </c>
      <c r="M52" s="49">
        <v>30</v>
      </c>
      <c r="N52" s="198">
        <f t="shared" si="65"/>
        <v>150</v>
      </c>
      <c r="O52" s="198">
        <f t="shared" si="65"/>
        <v>160</v>
      </c>
      <c r="P52" s="198">
        <f t="shared" si="65"/>
        <v>270</v>
      </c>
      <c r="Q52" s="196">
        <f t="shared" si="4"/>
        <v>6</v>
      </c>
    </row>
    <row r="53" spans="1:17" x14ac:dyDescent="0.25">
      <c r="A53" s="229">
        <f t="shared" ref="A53:B53" si="72">A52+1</f>
        <v>1303</v>
      </c>
      <c r="B53" s="230">
        <f t="shared" si="72"/>
        <v>43</v>
      </c>
      <c r="C53" s="229" t="str">
        <f t="shared" si="6"/>
        <v>21bX08+000_060_11</v>
      </c>
      <c r="D53" s="197">
        <f t="shared" si="7"/>
        <v>7.8000000000000007</v>
      </c>
      <c r="E53" s="204">
        <f t="shared" si="8"/>
        <v>1.603</v>
      </c>
      <c r="F53" s="198">
        <f t="shared" si="9"/>
        <v>20.551282051282051</v>
      </c>
      <c r="G53" s="198">
        <f t="shared" si="10"/>
        <v>16.441025641025643</v>
      </c>
      <c r="H53" s="198">
        <f t="shared" si="11"/>
        <v>10.275641025641026</v>
      </c>
      <c r="I53" s="198">
        <f t="shared" si="67"/>
        <v>8</v>
      </c>
      <c r="J53" s="199">
        <f t="shared" si="67"/>
        <v>0</v>
      </c>
      <c r="K53" s="194" t="str">
        <f t="shared" si="71"/>
        <v>7.8-11</v>
      </c>
      <c r="L53" s="198">
        <f t="shared" si="42"/>
        <v>0.2</v>
      </c>
      <c r="M53" s="49">
        <v>60</v>
      </c>
      <c r="N53" s="198">
        <f t="shared" si="65"/>
        <v>150</v>
      </c>
      <c r="O53" s="198">
        <f t="shared" si="65"/>
        <v>160</v>
      </c>
      <c r="P53" s="198">
        <f t="shared" si="65"/>
        <v>270</v>
      </c>
      <c r="Q53" s="196">
        <f t="shared" si="4"/>
        <v>6</v>
      </c>
    </row>
    <row r="54" spans="1:17" x14ac:dyDescent="0.25">
      <c r="A54" s="229">
        <f t="shared" ref="A54:B54" si="73">A53+1</f>
        <v>1304</v>
      </c>
      <c r="B54" s="230">
        <f t="shared" si="73"/>
        <v>44</v>
      </c>
      <c r="C54" s="229" t="str">
        <f t="shared" si="6"/>
        <v>21bX08+000_090_11</v>
      </c>
      <c r="D54" s="197">
        <f t="shared" si="7"/>
        <v>7.8000000000000007</v>
      </c>
      <c r="E54" s="204">
        <f t="shared" si="8"/>
        <v>1.603</v>
      </c>
      <c r="F54" s="198">
        <f t="shared" si="9"/>
        <v>20.551282051282051</v>
      </c>
      <c r="G54" s="198">
        <f t="shared" si="10"/>
        <v>16.441025641025643</v>
      </c>
      <c r="H54" s="198">
        <f t="shared" si="11"/>
        <v>10.275641025641026</v>
      </c>
      <c r="I54" s="198">
        <f t="shared" si="67"/>
        <v>8</v>
      </c>
      <c r="J54" s="199">
        <f t="shared" si="67"/>
        <v>0</v>
      </c>
      <c r="K54" s="194" t="str">
        <f t="shared" si="71"/>
        <v>7.8-11</v>
      </c>
      <c r="L54" s="198">
        <f t="shared" si="42"/>
        <v>0.2</v>
      </c>
      <c r="M54" s="49">
        <v>90</v>
      </c>
      <c r="N54" s="198">
        <f t="shared" si="65"/>
        <v>150</v>
      </c>
      <c r="O54" s="198">
        <f t="shared" si="65"/>
        <v>160</v>
      </c>
      <c r="P54" s="198">
        <f t="shared" si="65"/>
        <v>270</v>
      </c>
      <c r="Q54" s="196">
        <f t="shared" si="4"/>
        <v>6</v>
      </c>
    </row>
    <row r="55" spans="1:17" x14ac:dyDescent="0.25">
      <c r="A55" s="229">
        <f t="shared" ref="A55:B55" si="74">A54+1</f>
        <v>1305</v>
      </c>
      <c r="B55" s="230">
        <f t="shared" si="74"/>
        <v>45</v>
      </c>
      <c r="C55" s="229" t="str">
        <f t="shared" si="6"/>
        <v>21bX08+000_000_12</v>
      </c>
      <c r="D55" s="197">
        <f t="shared" si="7"/>
        <v>7.8000000000000007</v>
      </c>
      <c r="E55" s="204">
        <f t="shared" si="8"/>
        <v>1.603</v>
      </c>
      <c r="F55" s="198">
        <f t="shared" si="9"/>
        <v>20.551282051282051</v>
      </c>
      <c r="G55" s="198">
        <f t="shared" si="10"/>
        <v>16.441025641025643</v>
      </c>
      <c r="H55" s="198">
        <f t="shared" si="11"/>
        <v>10.275641025641026</v>
      </c>
      <c r="I55" s="198">
        <f t="shared" si="67"/>
        <v>8</v>
      </c>
      <c r="J55" s="199">
        <f t="shared" si="67"/>
        <v>0</v>
      </c>
      <c r="K55" s="194" t="str">
        <f>D55&amp;-12</f>
        <v>7.8-12</v>
      </c>
      <c r="L55" s="198">
        <f t="shared" si="42"/>
        <v>0.2</v>
      </c>
      <c r="M55" s="49">
        <v>0</v>
      </c>
      <c r="N55" s="198">
        <f t="shared" si="65"/>
        <v>150</v>
      </c>
      <c r="O55" s="198">
        <f t="shared" si="65"/>
        <v>160</v>
      </c>
      <c r="P55" s="198">
        <f t="shared" si="65"/>
        <v>270</v>
      </c>
      <c r="Q55" s="196">
        <f t="shared" si="4"/>
        <v>6</v>
      </c>
    </row>
    <row r="56" spans="1:17" x14ac:dyDescent="0.25">
      <c r="A56" s="229">
        <f t="shared" ref="A56:B56" si="75">A55+1</f>
        <v>1306</v>
      </c>
      <c r="B56" s="230">
        <f t="shared" si="75"/>
        <v>46</v>
      </c>
      <c r="C56" s="229" t="str">
        <f t="shared" si="6"/>
        <v>21bX08+000_030_12</v>
      </c>
      <c r="D56" s="197">
        <f t="shared" si="7"/>
        <v>7.8000000000000007</v>
      </c>
      <c r="E56" s="204">
        <f t="shared" si="8"/>
        <v>1.603</v>
      </c>
      <c r="F56" s="198">
        <f t="shared" si="9"/>
        <v>20.551282051282051</v>
      </c>
      <c r="G56" s="198">
        <f t="shared" si="10"/>
        <v>16.441025641025643</v>
      </c>
      <c r="H56" s="198">
        <f t="shared" si="11"/>
        <v>10.275641025641026</v>
      </c>
      <c r="I56" s="198">
        <f t="shared" si="67"/>
        <v>8</v>
      </c>
      <c r="J56" s="199">
        <f t="shared" si="67"/>
        <v>0</v>
      </c>
      <c r="K56" s="194" t="str">
        <f t="shared" ref="K56:K58" si="76">D56&amp;-12</f>
        <v>7.8-12</v>
      </c>
      <c r="L56" s="198">
        <f t="shared" si="42"/>
        <v>0.2</v>
      </c>
      <c r="M56" s="49">
        <v>30</v>
      </c>
      <c r="N56" s="198">
        <f t="shared" si="65"/>
        <v>150</v>
      </c>
      <c r="O56" s="198">
        <f t="shared" si="65"/>
        <v>160</v>
      </c>
      <c r="P56" s="198">
        <f t="shared" si="65"/>
        <v>270</v>
      </c>
      <c r="Q56" s="196">
        <f t="shared" si="4"/>
        <v>6</v>
      </c>
    </row>
    <row r="57" spans="1:17" x14ac:dyDescent="0.25">
      <c r="A57" s="229">
        <f t="shared" ref="A57:B57" si="77">A56+1</f>
        <v>1307</v>
      </c>
      <c r="B57" s="230">
        <f t="shared" si="77"/>
        <v>47</v>
      </c>
      <c r="C57" s="229" t="str">
        <f t="shared" si="6"/>
        <v>21bX08+000_060_12</v>
      </c>
      <c r="D57" s="197">
        <f t="shared" si="7"/>
        <v>7.8000000000000007</v>
      </c>
      <c r="E57" s="204">
        <f t="shared" si="8"/>
        <v>1.603</v>
      </c>
      <c r="F57" s="198">
        <f t="shared" si="9"/>
        <v>20.551282051282051</v>
      </c>
      <c r="G57" s="198">
        <f t="shared" si="10"/>
        <v>16.441025641025643</v>
      </c>
      <c r="H57" s="198">
        <f t="shared" si="11"/>
        <v>10.275641025641026</v>
      </c>
      <c r="I57" s="198">
        <f t="shared" si="67"/>
        <v>8</v>
      </c>
      <c r="J57" s="199">
        <f t="shared" si="67"/>
        <v>0</v>
      </c>
      <c r="K57" s="194" t="str">
        <f t="shared" si="76"/>
        <v>7.8-12</v>
      </c>
      <c r="L57" s="198">
        <f t="shared" si="42"/>
        <v>0.2</v>
      </c>
      <c r="M57" s="49">
        <v>60</v>
      </c>
      <c r="N57" s="198">
        <f t="shared" si="65"/>
        <v>150</v>
      </c>
      <c r="O57" s="198">
        <f t="shared" si="65"/>
        <v>160</v>
      </c>
      <c r="P57" s="198">
        <f t="shared" si="65"/>
        <v>270</v>
      </c>
      <c r="Q57" s="196">
        <f t="shared" si="4"/>
        <v>6</v>
      </c>
    </row>
    <row r="58" spans="1:17" x14ac:dyDescent="0.25">
      <c r="A58" s="229">
        <f t="shared" ref="A58:B58" si="78">A57+1</f>
        <v>1308</v>
      </c>
      <c r="B58" s="230">
        <f t="shared" si="78"/>
        <v>48</v>
      </c>
      <c r="C58" s="229" t="str">
        <f t="shared" si="6"/>
        <v>21bX08+000_090_12</v>
      </c>
      <c r="D58" s="197">
        <f t="shared" si="7"/>
        <v>7.8000000000000007</v>
      </c>
      <c r="E58" s="204">
        <f t="shared" si="8"/>
        <v>1.603</v>
      </c>
      <c r="F58" s="198">
        <f t="shared" si="9"/>
        <v>20.551282051282051</v>
      </c>
      <c r="G58" s="198">
        <f t="shared" si="10"/>
        <v>16.441025641025643</v>
      </c>
      <c r="H58" s="198">
        <f t="shared" si="11"/>
        <v>10.275641025641026</v>
      </c>
      <c r="I58" s="198">
        <f t="shared" si="67"/>
        <v>8</v>
      </c>
      <c r="J58" s="199">
        <f t="shared" si="67"/>
        <v>0</v>
      </c>
      <c r="K58" s="194" t="str">
        <f t="shared" si="76"/>
        <v>7.8-12</v>
      </c>
      <c r="L58" s="198">
        <f t="shared" si="42"/>
        <v>0.2</v>
      </c>
      <c r="M58" s="49">
        <v>90</v>
      </c>
      <c r="N58" s="198">
        <f t="shared" si="65"/>
        <v>150</v>
      </c>
      <c r="O58" s="198">
        <f t="shared" si="65"/>
        <v>160</v>
      </c>
      <c r="P58" s="198">
        <f t="shared" si="65"/>
        <v>270</v>
      </c>
      <c r="Q58" s="196">
        <f t="shared" si="4"/>
        <v>6</v>
      </c>
    </row>
    <row r="59" spans="1:17" x14ac:dyDescent="0.25">
      <c r="A59" s="229">
        <f t="shared" ref="A59:B59" si="79">A58+1</f>
        <v>1309</v>
      </c>
      <c r="B59" s="230">
        <f t="shared" si="79"/>
        <v>49</v>
      </c>
      <c r="C59" s="229" t="str">
        <f t="shared" si="6"/>
        <v>21bX10+000_000_01</v>
      </c>
      <c r="D59" s="197">
        <f t="shared" ref="D59:D106" si="80">v_r</f>
        <v>9.8000000000000007</v>
      </c>
      <c r="E59" s="204">
        <f t="shared" ref="E59:E106" si="81">I_ref*(0.75*D59+5.6)</f>
        <v>1.8130000000000002</v>
      </c>
      <c r="F59" s="198">
        <f t="shared" ref="F59:F106" si="82">E59/D59*100</f>
        <v>18.5</v>
      </c>
      <c r="G59" s="198">
        <f t="shared" ref="G59:G106" si="83">m_ty*F59</f>
        <v>14.8</v>
      </c>
      <c r="H59" s="198">
        <f t="shared" ref="H59:H106" si="84">m_tz*F59</f>
        <v>9.25</v>
      </c>
      <c r="I59" s="198">
        <f>inflow</f>
        <v>8</v>
      </c>
      <c r="J59" s="199">
        <f>yaw_null</f>
        <v>0</v>
      </c>
      <c r="K59" s="194" t="str">
        <f>D59&amp;-1</f>
        <v>9.8-1</v>
      </c>
      <c r="L59" s="198">
        <f>alpha_n</f>
        <v>0.2</v>
      </c>
      <c r="M59" s="49">
        <v>0</v>
      </c>
      <c r="N59" s="198">
        <f>t_out</f>
        <v>150</v>
      </c>
      <c r="O59" s="198">
        <f>trig_t</f>
        <v>160</v>
      </c>
      <c r="P59" s="198">
        <f>N59+2*T_s2</f>
        <v>270</v>
      </c>
      <c r="Q59" s="196">
        <f t="shared" ref="Q59:Q106" si="85">1*pitch_runaway_feather</f>
        <v>6</v>
      </c>
    </row>
    <row r="60" spans="1:17" x14ac:dyDescent="0.25">
      <c r="A60" s="229">
        <f t="shared" ref="A60:B60" si="86">A59+1</f>
        <v>1310</v>
      </c>
      <c r="B60" s="230">
        <f t="shared" si="86"/>
        <v>50</v>
      </c>
      <c r="C60" s="229" t="str">
        <f t="shared" si="6"/>
        <v>21bX10+000_030_01</v>
      </c>
      <c r="D60" s="197">
        <f t="shared" si="80"/>
        <v>9.8000000000000007</v>
      </c>
      <c r="E60" s="204">
        <f t="shared" si="81"/>
        <v>1.8130000000000002</v>
      </c>
      <c r="F60" s="198">
        <f t="shared" si="82"/>
        <v>18.5</v>
      </c>
      <c r="G60" s="198">
        <f t="shared" si="83"/>
        <v>14.8</v>
      </c>
      <c r="H60" s="198">
        <f t="shared" si="84"/>
        <v>9.25</v>
      </c>
      <c r="I60" s="198">
        <f t="shared" ref="I60:J60" si="87">I59</f>
        <v>8</v>
      </c>
      <c r="J60" s="199">
        <f t="shared" si="87"/>
        <v>0</v>
      </c>
      <c r="K60" s="194" t="str">
        <f t="shared" ref="K60:K62" si="88">D60&amp;-1</f>
        <v>9.8-1</v>
      </c>
      <c r="L60" s="198">
        <f t="shared" ref="L60:P63" si="89">L59</f>
        <v>0.2</v>
      </c>
      <c r="M60" s="49">
        <v>30</v>
      </c>
      <c r="N60" s="198">
        <f t="shared" si="89"/>
        <v>150</v>
      </c>
      <c r="O60" s="198">
        <f t="shared" si="89"/>
        <v>160</v>
      </c>
      <c r="P60" s="198">
        <f t="shared" si="89"/>
        <v>270</v>
      </c>
      <c r="Q60" s="196">
        <f t="shared" si="85"/>
        <v>6</v>
      </c>
    </row>
    <row r="61" spans="1:17" x14ac:dyDescent="0.25">
      <c r="A61" s="229">
        <f t="shared" ref="A61:B61" si="90">A60+1</f>
        <v>1311</v>
      </c>
      <c r="B61" s="230">
        <f t="shared" si="90"/>
        <v>51</v>
      </c>
      <c r="C61" s="229" t="str">
        <f t="shared" si="6"/>
        <v>21bX10+000_060_01</v>
      </c>
      <c r="D61" s="197">
        <f t="shared" si="80"/>
        <v>9.8000000000000007</v>
      </c>
      <c r="E61" s="204">
        <f t="shared" si="81"/>
        <v>1.8130000000000002</v>
      </c>
      <c r="F61" s="198">
        <f t="shared" si="82"/>
        <v>18.5</v>
      </c>
      <c r="G61" s="198">
        <f t="shared" si="83"/>
        <v>14.8</v>
      </c>
      <c r="H61" s="198">
        <f t="shared" si="84"/>
        <v>9.25</v>
      </c>
      <c r="I61" s="198">
        <f t="shared" ref="I61:J76" si="91">I60</f>
        <v>8</v>
      </c>
      <c r="J61" s="199">
        <f t="shared" si="91"/>
        <v>0</v>
      </c>
      <c r="K61" s="194" t="str">
        <f t="shared" si="88"/>
        <v>9.8-1</v>
      </c>
      <c r="L61" s="198">
        <f t="shared" si="89"/>
        <v>0.2</v>
      </c>
      <c r="M61" s="49">
        <v>60</v>
      </c>
      <c r="N61" s="198">
        <f t="shared" si="89"/>
        <v>150</v>
      </c>
      <c r="O61" s="198">
        <f t="shared" si="89"/>
        <v>160</v>
      </c>
      <c r="P61" s="198">
        <f t="shared" si="89"/>
        <v>270</v>
      </c>
      <c r="Q61" s="196">
        <f t="shared" si="85"/>
        <v>6</v>
      </c>
    </row>
    <row r="62" spans="1:17" x14ac:dyDescent="0.25">
      <c r="A62" s="229">
        <f t="shared" ref="A62:B62" si="92">A61+1</f>
        <v>1312</v>
      </c>
      <c r="B62" s="230">
        <f t="shared" si="92"/>
        <v>52</v>
      </c>
      <c r="C62" s="229" t="str">
        <f t="shared" si="6"/>
        <v>21bX10+000_090_01</v>
      </c>
      <c r="D62" s="197">
        <f t="shared" si="80"/>
        <v>9.8000000000000007</v>
      </c>
      <c r="E62" s="204">
        <f t="shared" si="81"/>
        <v>1.8130000000000002</v>
      </c>
      <c r="F62" s="198">
        <f t="shared" si="82"/>
        <v>18.5</v>
      </c>
      <c r="G62" s="198">
        <f t="shared" si="83"/>
        <v>14.8</v>
      </c>
      <c r="H62" s="198">
        <f t="shared" si="84"/>
        <v>9.25</v>
      </c>
      <c r="I62" s="198">
        <f t="shared" si="91"/>
        <v>8</v>
      </c>
      <c r="J62" s="199">
        <f t="shared" si="91"/>
        <v>0</v>
      </c>
      <c r="K62" s="194" t="str">
        <f t="shared" si="88"/>
        <v>9.8-1</v>
      </c>
      <c r="L62" s="198">
        <f t="shared" si="89"/>
        <v>0.2</v>
      </c>
      <c r="M62" s="49">
        <v>90</v>
      </c>
      <c r="N62" s="198">
        <f t="shared" si="89"/>
        <v>150</v>
      </c>
      <c r="O62" s="198">
        <f t="shared" si="89"/>
        <v>160</v>
      </c>
      <c r="P62" s="198">
        <f t="shared" si="89"/>
        <v>270</v>
      </c>
      <c r="Q62" s="196">
        <f t="shared" si="85"/>
        <v>6</v>
      </c>
    </row>
    <row r="63" spans="1:17" x14ac:dyDescent="0.25">
      <c r="A63" s="229">
        <f t="shared" ref="A63:B63" si="93">A62+1</f>
        <v>1313</v>
      </c>
      <c r="B63" s="230">
        <f t="shared" si="93"/>
        <v>53</v>
      </c>
      <c r="C63" s="229" t="str">
        <f t="shared" si="6"/>
        <v>21bX10+000_000_02</v>
      </c>
      <c r="D63" s="197">
        <f t="shared" si="80"/>
        <v>9.8000000000000007</v>
      </c>
      <c r="E63" s="204">
        <f t="shared" si="81"/>
        <v>1.8130000000000002</v>
      </c>
      <c r="F63" s="198">
        <f t="shared" si="82"/>
        <v>18.5</v>
      </c>
      <c r="G63" s="198">
        <f t="shared" si="83"/>
        <v>14.8</v>
      </c>
      <c r="H63" s="198">
        <f t="shared" si="84"/>
        <v>9.25</v>
      </c>
      <c r="I63" s="198">
        <f t="shared" si="91"/>
        <v>8</v>
      </c>
      <c r="J63" s="199">
        <f t="shared" si="91"/>
        <v>0</v>
      </c>
      <c r="K63" s="194" t="str">
        <f>D63&amp;-2</f>
        <v>9.8-2</v>
      </c>
      <c r="L63" s="198">
        <f t="shared" si="89"/>
        <v>0.2</v>
      </c>
      <c r="M63" s="49">
        <v>0</v>
      </c>
      <c r="N63" s="198">
        <f t="shared" si="89"/>
        <v>150</v>
      </c>
      <c r="O63" s="198">
        <f t="shared" si="89"/>
        <v>160</v>
      </c>
      <c r="P63" s="198">
        <f t="shared" si="89"/>
        <v>270</v>
      </c>
      <c r="Q63" s="196">
        <f t="shared" si="85"/>
        <v>6</v>
      </c>
    </row>
    <row r="64" spans="1:17" x14ac:dyDescent="0.25">
      <c r="A64" s="229">
        <f t="shared" ref="A64:B64" si="94">A63+1</f>
        <v>1314</v>
      </c>
      <c r="B64" s="230">
        <f t="shared" si="94"/>
        <v>54</v>
      </c>
      <c r="C64" s="229" t="str">
        <f t="shared" si="6"/>
        <v>21bX10+000_030_02</v>
      </c>
      <c r="D64" s="197">
        <f t="shared" si="80"/>
        <v>9.8000000000000007</v>
      </c>
      <c r="E64" s="204">
        <f t="shared" si="81"/>
        <v>1.8130000000000002</v>
      </c>
      <c r="F64" s="198">
        <f t="shared" si="82"/>
        <v>18.5</v>
      </c>
      <c r="G64" s="198">
        <f t="shared" si="83"/>
        <v>14.8</v>
      </c>
      <c r="H64" s="198">
        <f t="shared" si="84"/>
        <v>9.25</v>
      </c>
      <c r="I64" s="198">
        <f t="shared" si="91"/>
        <v>8</v>
      </c>
      <c r="J64" s="199">
        <f t="shared" si="91"/>
        <v>0</v>
      </c>
      <c r="K64" s="194" t="str">
        <f t="shared" ref="K64:K66" si="95">D64&amp;-2</f>
        <v>9.8-2</v>
      </c>
      <c r="L64" s="198">
        <f t="shared" ref="L64:P79" si="96">L63</f>
        <v>0.2</v>
      </c>
      <c r="M64" s="49">
        <v>30</v>
      </c>
      <c r="N64" s="198">
        <f t="shared" si="96"/>
        <v>150</v>
      </c>
      <c r="O64" s="198">
        <f t="shared" si="96"/>
        <v>160</v>
      </c>
      <c r="P64" s="198">
        <f t="shared" si="96"/>
        <v>270</v>
      </c>
      <c r="Q64" s="196">
        <f t="shared" si="85"/>
        <v>6</v>
      </c>
    </row>
    <row r="65" spans="1:17" x14ac:dyDescent="0.25">
      <c r="A65" s="229">
        <f t="shared" ref="A65:B65" si="97">A64+1</f>
        <v>1315</v>
      </c>
      <c r="B65" s="230">
        <f t="shared" si="97"/>
        <v>55</v>
      </c>
      <c r="C65" s="229" t="str">
        <f t="shared" si="6"/>
        <v>21bX10+000_060_02</v>
      </c>
      <c r="D65" s="197">
        <f t="shared" si="80"/>
        <v>9.8000000000000007</v>
      </c>
      <c r="E65" s="204">
        <f t="shared" si="81"/>
        <v>1.8130000000000002</v>
      </c>
      <c r="F65" s="198">
        <f t="shared" si="82"/>
        <v>18.5</v>
      </c>
      <c r="G65" s="198">
        <f t="shared" si="83"/>
        <v>14.8</v>
      </c>
      <c r="H65" s="198">
        <f t="shared" si="84"/>
        <v>9.25</v>
      </c>
      <c r="I65" s="198">
        <f t="shared" si="91"/>
        <v>8</v>
      </c>
      <c r="J65" s="199">
        <f t="shared" si="91"/>
        <v>0</v>
      </c>
      <c r="K65" s="194" t="str">
        <f t="shared" si="95"/>
        <v>9.8-2</v>
      </c>
      <c r="L65" s="198">
        <f t="shared" si="96"/>
        <v>0.2</v>
      </c>
      <c r="M65" s="49">
        <v>60</v>
      </c>
      <c r="N65" s="198">
        <f t="shared" si="96"/>
        <v>150</v>
      </c>
      <c r="O65" s="198">
        <f t="shared" si="96"/>
        <v>160</v>
      </c>
      <c r="P65" s="198">
        <f t="shared" si="96"/>
        <v>270</v>
      </c>
      <c r="Q65" s="196">
        <f t="shared" si="85"/>
        <v>6</v>
      </c>
    </row>
    <row r="66" spans="1:17" x14ac:dyDescent="0.25">
      <c r="A66" s="229">
        <f t="shared" ref="A66:B66" si="98">A65+1</f>
        <v>1316</v>
      </c>
      <c r="B66" s="230">
        <f t="shared" si="98"/>
        <v>56</v>
      </c>
      <c r="C66" s="229" t="str">
        <f t="shared" si="6"/>
        <v>21bX10+000_090_02</v>
      </c>
      <c r="D66" s="197">
        <f t="shared" si="80"/>
        <v>9.8000000000000007</v>
      </c>
      <c r="E66" s="204">
        <f t="shared" si="81"/>
        <v>1.8130000000000002</v>
      </c>
      <c r="F66" s="198">
        <f t="shared" si="82"/>
        <v>18.5</v>
      </c>
      <c r="G66" s="198">
        <f t="shared" si="83"/>
        <v>14.8</v>
      </c>
      <c r="H66" s="198">
        <f t="shared" si="84"/>
        <v>9.25</v>
      </c>
      <c r="I66" s="198">
        <f t="shared" si="91"/>
        <v>8</v>
      </c>
      <c r="J66" s="199">
        <f t="shared" si="91"/>
        <v>0</v>
      </c>
      <c r="K66" s="194" t="str">
        <f t="shared" si="95"/>
        <v>9.8-2</v>
      </c>
      <c r="L66" s="198">
        <f t="shared" si="96"/>
        <v>0.2</v>
      </c>
      <c r="M66" s="49">
        <v>90</v>
      </c>
      <c r="N66" s="198">
        <f t="shared" si="96"/>
        <v>150</v>
      </c>
      <c r="O66" s="198">
        <f t="shared" si="96"/>
        <v>160</v>
      </c>
      <c r="P66" s="198">
        <f t="shared" si="96"/>
        <v>270</v>
      </c>
      <c r="Q66" s="196">
        <f t="shared" si="85"/>
        <v>6</v>
      </c>
    </row>
    <row r="67" spans="1:17" x14ac:dyDescent="0.25">
      <c r="A67" s="229">
        <f t="shared" ref="A67:B67" si="99">A66+1</f>
        <v>1317</v>
      </c>
      <c r="B67" s="230">
        <f t="shared" si="99"/>
        <v>57</v>
      </c>
      <c r="C67" s="229" t="str">
        <f t="shared" si="6"/>
        <v>21bX10+000_000_03</v>
      </c>
      <c r="D67" s="197">
        <f t="shared" si="80"/>
        <v>9.8000000000000007</v>
      </c>
      <c r="E67" s="204">
        <f t="shared" si="81"/>
        <v>1.8130000000000002</v>
      </c>
      <c r="F67" s="198">
        <f t="shared" si="82"/>
        <v>18.5</v>
      </c>
      <c r="G67" s="198">
        <f t="shared" si="83"/>
        <v>14.8</v>
      </c>
      <c r="H67" s="198">
        <f t="shared" si="84"/>
        <v>9.25</v>
      </c>
      <c r="I67" s="198">
        <f t="shared" si="91"/>
        <v>8</v>
      </c>
      <c r="J67" s="199">
        <f t="shared" si="91"/>
        <v>0</v>
      </c>
      <c r="K67" s="194" t="str">
        <f>D67&amp;-3</f>
        <v>9.8-3</v>
      </c>
      <c r="L67" s="198">
        <f t="shared" si="96"/>
        <v>0.2</v>
      </c>
      <c r="M67" s="49">
        <v>0</v>
      </c>
      <c r="N67" s="198">
        <f t="shared" si="96"/>
        <v>150</v>
      </c>
      <c r="O67" s="198">
        <f t="shared" si="96"/>
        <v>160</v>
      </c>
      <c r="P67" s="198">
        <f t="shared" si="96"/>
        <v>270</v>
      </c>
      <c r="Q67" s="196">
        <f t="shared" si="85"/>
        <v>6</v>
      </c>
    </row>
    <row r="68" spans="1:17" x14ac:dyDescent="0.25">
      <c r="A68" s="229">
        <f t="shared" ref="A68:B68" si="100">A67+1</f>
        <v>1318</v>
      </c>
      <c r="B68" s="230">
        <f t="shared" si="100"/>
        <v>58</v>
      </c>
      <c r="C68" s="229" t="str">
        <f t="shared" si="6"/>
        <v>21bX10+000_030_03</v>
      </c>
      <c r="D68" s="197">
        <f t="shared" si="80"/>
        <v>9.8000000000000007</v>
      </c>
      <c r="E68" s="204">
        <f t="shared" si="81"/>
        <v>1.8130000000000002</v>
      </c>
      <c r="F68" s="198">
        <f t="shared" si="82"/>
        <v>18.5</v>
      </c>
      <c r="G68" s="198">
        <f t="shared" si="83"/>
        <v>14.8</v>
      </c>
      <c r="H68" s="198">
        <f t="shared" si="84"/>
        <v>9.25</v>
      </c>
      <c r="I68" s="198">
        <f t="shared" si="91"/>
        <v>8</v>
      </c>
      <c r="J68" s="199">
        <f t="shared" si="91"/>
        <v>0</v>
      </c>
      <c r="K68" s="194" t="str">
        <f t="shared" ref="K68:K70" si="101">D68&amp;-3</f>
        <v>9.8-3</v>
      </c>
      <c r="L68" s="198">
        <f t="shared" si="96"/>
        <v>0.2</v>
      </c>
      <c r="M68" s="49">
        <v>30</v>
      </c>
      <c r="N68" s="198">
        <f t="shared" si="96"/>
        <v>150</v>
      </c>
      <c r="O68" s="198">
        <f t="shared" si="96"/>
        <v>160</v>
      </c>
      <c r="P68" s="198">
        <f t="shared" si="96"/>
        <v>270</v>
      </c>
      <c r="Q68" s="196">
        <f t="shared" si="85"/>
        <v>6</v>
      </c>
    </row>
    <row r="69" spans="1:17" x14ac:dyDescent="0.25">
      <c r="A69" s="229">
        <f t="shared" ref="A69:B69" si="102">A68+1</f>
        <v>1319</v>
      </c>
      <c r="B69" s="230">
        <f t="shared" si="102"/>
        <v>59</v>
      </c>
      <c r="C69" s="229" t="str">
        <f t="shared" si="6"/>
        <v>21bX10+000_060_03</v>
      </c>
      <c r="D69" s="197">
        <f t="shared" si="80"/>
        <v>9.8000000000000007</v>
      </c>
      <c r="E69" s="204">
        <f t="shared" si="81"/>
        <v>1.8130000000000002</v>
      </c>
      <c r="F69" s="198">
        <f t="shared" si="82"/>
        <v>18.5</v>
      </c>
      <c r="G69" s="198">
        <f t="shared" si="83"/>
        <v>14.8</v>
      </c>
      <c r="H69" s="198">
        <f t="shared" si="84"/>
        <v>9.25</v>
      </c>
      <c r="I69" s="198">
        <f t="shared" si="91"/>
        <v>8</v>
      </c>
      <c r="J69" s="199">
        <f t="shared" si="91"/>
        <v>0</v>
      </c>
      <c r="K69" s="194" t="str">
        <f t="shared" si="101"/>
        <v>9.8-3</v>
      </c>
      <c r="L69" s="198">
        <f t="shared" si="96"/>
        <v>0.2</v>
      </c>
      <c r="M69" s="49">
        <v>60</v>
      </c>
      <c r="N69" s="198">
        <f t="shared" si="96"/>
        <v>150</v>
      </c>
      <c r="O69" s="198">
        <f t="shared" si="96"/>
        <v>160</v>
      </c>
      <c r="P69" s="198">
        <f t="shared" si="96"/>
        <v>270</v>
      </c>
      <c r="Q69" s="196">
        <f t="shared" si="85"/>
        <v>6</v>
      </c>
    </row>
    <row r="70" spans="1:17" x14ac:dyDescent="0.25">
      <c r="A70" s="229">
        <f t="shared" ref="A70:B70" si="103">A69+1</f>
        <v>1320</v>
      </c>
      <c r="B70" s="230">
        <f t="shared" si="103"/>
        <v>60</v>
      </c>
      <c r="C70" s="229" t="str">
        <f t="shared" si="6"/>
        <v>21bX10+000_090_03</v>
      </c>
      <c r="D70" s="197">
        <f t="shared" si="80"/>
        <v>9.8000000000000007</v>
      </c>
      <c r="E70" s="204">
        <f t="shared" si="81"/>
        <v>1.8130000000000002</v>
      </c>
      <c r="F70" s="198">
        <f t="shared" si="82"/>
        <v>18.5</v>
      </c>
      <c r="G70" s="198">
        <f t="shared" si="83"/>
        <v>14.8</v>
      </c>
      <c r="H70" s="198">
        <f t="shared" si="84"/>
        <v>9.25</v>
      </c>
      <c r="I70" s="198">
        <f t="shared" si="91"/>
        <v>8</v>
      </c>
      <c r="J70" s="199">
        <f t="shared" si="91"/>
        <v>0</v>
      </c>
      <c r="K70" s="194" t="str">
        <f t="shared" si="101"/>
        <v>9.8-3</v>
      </c>
      <c r="L70" s="198">
        <f t="shared" si="96"/>
        <v>0.2</v>
      </c>
      <c r="M70" s="49">
        <v>90</v>
      </c>
      <c r="N70" s="198">
        <f t="shared" si="96"/>
        <v>150</v>
      </c>
      <c r="O70" s="198">
        <f t="shared" si="96"/>
        <v>160</v>
      </c>
      <c r="P70" s="198">
        <f t="shared" si="96"/>
        <v>270</v>
      </c>
      <c r="Q70" s="196">
        <f t="shared" si="85"/>
        <v>6</v>
      </c>
    </row>
    <row r="71" spans="1:17" x14ac:dyDescent="0.25">
      <c r="A71" s="229">
        <f t="shared" ref="A71:B71" si="104">A70+1</f>
        <v>1321</v>
      </c>
      <c r="B71" s="230">
        <f t="shared" si="104"/>
        <v>61</v>
      </c>
      <c r="C71" s="229" t="str">
        <f t="shared" si="6"/>
        <v>21bX10+000_000_04</v>
      </c>
      <c r="D71" s="197">
        <f t="shared" si="80"/>
        <v>9.8000000000000007</v>
      </c>
      <c r="E71" s="204">
        <f t="shared" si="81"/>
        <v>1.8130000000000002</v>
      </c>
      <c r="F71" s="198">
        <f t="shared" si="82"/>
        <v>18.5</v>
      </c>
      <c r="G71" s="198">
        <f t="shared" si="83"/>
        <v>14.8</v>
      </c>
      <c r="H71" s="198">
        <f t="shared" si="84"/>
        <v>9.25</v>
      </c>
      <c r="I71" s="198">
        <f t="shared" si="91"/>
        <v>8</v>
      </c>
      <c r="J71" s="199">
        <f t="shared" si="91"/>
        <v>0</v>
      </c>
      <c r="K71" s="194" t="str">
        <f>D71&amp;-4</f>
        <v>9.8-4</v>
      </c>
      <c r="L71" s="198">
        <f t="shared" si="96"/>
        <v>0.2</v>
      </c>
      <c r="M71" s="49">
        <v>0</v>
      </c>
      <c r="N71" s="198">
        <f t="shared" si="96"/>
        <v>150</v>
      </c>
      <c r="O71" s="198">
        <f t="shared" si="96"/>
        <v>160</v>
      </c>
      <c r="P71" s="198">
        <f t="shared" si="96"/>
        <v>270</v>
      </c>
      <c r="Q71" s="196">
        <f t="shared" si="85"/>
        <v>6</v>
      </c>
    </row>
    <row r="72" spans="1:17" x14ac:dyDescent="0.25">
      <c r="A72" s="229">
        <f t="shared" ref="A72:B72" si="105">A71+1</f>
        <v>1322</v>
      </c>
      <c r="B72" s="230">
        <f t="shared" si="105"/>
        <v>62</v>
      </c>
      <c r="C72" s="229" t="str">
        <f t="shared" si="6"/>
        <v>21bX10+000_030_04</v>
      </c>
      <c r="D72" s="197">
        <f t="shared" si="80"/>
        <v>9.8000000000000007</v>
      </c>
      <c r="E72" s="204">
        <f t="shared" si="81"/>
        <v>1.8130000000000002</v>
      </c>
      <c r="F72" s="198">
        <f t="shared" si="82"/>
        <v>18.5</v>
      </c>
      <c r="G72" s="198">
        <f t="shared" si="83"/>
        <v>14.8</v>
      </c>
      <c r="H72" s="198">
        <f t="shared" si="84"/>
        <v>9.25</v>
      </c>
      <c r="I72" s="198">
        <f t="shared" si="91"/>
        <v>8</v>
      </c>
      <c r="J72" s="199">
        <f t="shared" si="91"/>
        <v>0</v>
      </c>
      <c r="K72" s="194" t="str">
        <f t="shared" ref="K72:K74" si="106">D72&amp;-4</f>
        <v>9.8-4</v>
      </c>
      <c r="L72" s="198">
        <f t="shared" si="96"/>
        <v>0.2</v>
      </c>
      <c r="M72" s="49">
        <v>30</v>
      </c>
      <c r="N72" s="198">
        <f t="shared" si="96"/>
        <v>150</v>
      </c>
      <c r="O72" s="198">
        <f t="shared" si="96"/>
        <v>160</v>
      </c>
      <c r="P72" s="198">
        <f t="shared" si="96"/>
        <v>270</v>
      </c>
      <c r="Q72" s="196">
        <f t="shared" si="85"/>
        <v>6</v>
      </c>
    </row>
    <row r="73" spans="1:17" x14ac:dyDescent="0.25">
      <c r="A73" s="229">
        <f t="shared" ref="A73:B73" si="107">A72+1</f>
        <v>1323</v>
      </c>
      <c r="B73" s="230">
        <f t="shared" si="107"/>
        <v>63</v>
      </c>
      <c r="C73" s="229" t="str">
        <f t="shared" si="6"/>
        <v>21bX10+000_060_04</v>
      </c>
      <c r="D73" s="197">
        <f t="shared" si="80"/>
        <v>9.8000000000000007</v>
      </c>
      <c r="E73" s="204">
        <f t="shared" si="81"/>
        <v>1.8130000000000002</v>
      </c>
      <c r="F73" s="198">
        <f t="shared" si="82"/>
        <v>18.5</v>
      </c>
      <c r="G73" s="198">
        <f t="shared" si="83"/>
        <v>14.8</v>
      </c>
      <c r="H73" s="198">
        <f t="shared" si="84"/>
        <v>9.25</v>
      </c>
      <c r="I73" s="198">
        <f t="shared" si="91"/>
        <v>8</v>
      </c>
      <c r="J73" s="199">
        <f t="shared" si="91"/>
        <v>0</v>
      </c>
      <c r="K73" s="194" t="str">
        <f t="shared" si="106"/>
        <v>9.8-4</v>
      </c>
      <c r="L73" s="198">
        <f t="shared" si="96"/>
        <v>0.2</v>
      </c>
      <c r="M73" s="49">
        <v>60</v>
      </c>
      <c r="N73" s="198">
        <f t="shared" si="96"/>
        <v>150</v>
      </c>
      <c r="O73" s="198">
        <f t="shared" si="96"/>
        <v>160</v>
      </c>
      <c r="P73" s="198">
        <f t="shared" si="96"/>
        <v>270</v>
      </c>
      <c r="Q73" s="196">
        <f t="shared" si="85"/>
        <v>6</v>
      </c>
    </row>
    <row r="74" spans="1:17" x14ac:dyDescent="0.25">
      <c r="A74" s="229">
        <f t="shared" ref="A74:B74" si="108">A73+1</f>
        <v>1324</v>
      </c>
      <c r="B74" s="230">
        <f t="shared" si="108"/>
        <v>64</v>
      </c>
      <c r="C74" s="229" t="str">
        <f t="shared" si="6"/>
        <v>21bX10+000_090_04</v>
      </c>
      <c r="D74" s="197">
        <f t="shared" si="80"/>
        <v>9.8000000000000007</v>
      </c>
      <c r="E74" s="204">
        <f t="shared" si="81"/>
        <v>1.8130000000000002</v>
      </c>
      <c r="F74" s="198">
        <f t="shared" si="82"/>
        <v>18.5</v>
      </c>
      <c r="G74" s="198">
        <f t="shared" si="83"/>
        <v>14.8</v>
      </c>
      <c r="H74" s="198">
        <f t="shared" si="84"/>
        <v>9.25</v>
      </c>
      <c r="I74" s="198">
        <f t="shared" si="91"/>
        <v>8</v>
      </c>
      <c r="J74" s="199">
        <f t="shared" si="91"/>
        <v>0</v>
      </c>
      <c r="K74" s="194" t="str">
        <f t="shared" si="106"/>
        <v>9.8-4</v>
      </c>
      <c r="L74" s="198">
        <f t="shared" si="96"/>
        <v>0.2</v>
      </c>
      <c r="M74" s="49">
        <v>90</v>
      </c>
      <c r="N74" s="198">
        <f t="shared" si="96"/>
        <v>150</v>
      </c>
      <c r="O74" s="198">
        <f t="shared" si="96"/>
        <v>160</v>
      </c>
      <c r="P74" s="198">
        <f t="shared" si="96"/>
        <v>270</v>
      </c>
      <c r="Q74" s="196">
        <f t="shared" si="85"/>
        <v>6</v>
      </c>
    </row>
    <row r="75" spans="1:17" x14ac:dyDescent="0.25">
      <c r="A75" s="229">
        <f t="shared" ref="A75:B75" si="109">A74+1</f>
        <v>1325</v>
      </c>
      <c r="B75" s="230">
        <f t="shared" si="109"/>
        <v>65</v>
      </c>
      <c r="C75" s="229" t="str">
        <f t="shared" si="6"/>
        <v>21bX10+000_000_05</v>
      </c>
      <c r="D75" s="197">
        <f t="shared" si="80"/>
        <v>9.8000000000000007</v>
      </c>
      <c r="E75" s="204">
        <f t="shared" si="81"/>
        <v>1.8130000000000002</v>
      </c>
      <c r="F75" s="198">
        <f t="shared" si="82"/>
        <v>18.5</v>
      </c>
      <c r="G75" s="198">
        <f t="shared" si="83"/>
        <v>14.8</v>
      </c>
      <c r="H75" s="198">
        <f t="shared" si="84"/>
        <v>9.25</v>
      </c>
      <c r="I75" s="198">
        <f t="shared" si="91"/>
        <v>8</v>
      </c>
      <c r="J75" s="199">
        <f t="shared" si="91"/>
        <v>0</v>
      </c>
      <c r="K75" s="194" t="str">
        <f>D75&amp;-5</f>
        <v>9.8-5</v>
      </c>
      <c r="L75" s="198">
        <f t="shared" si="96"/>
        <v>0.2</v>
      </c>
      <c r="M75" s="49">
        <v>0</v>
      </c>
      <c r="N75" s="198">
        <f t="shared" si="96"/>
        <v>150</v>
      </c>
      <c r="O75" s="198">
        <f t="shared" si="96"/>
        <v>160</v>
      </c>
      <c r="P75" s="198">
        <f t="shared" si="96"/>
        <v>270</v>
      </c>
      <c r="Q75" s="196">
        <f t="shared" si="85"/>
        <v>6</v>
      </c>
    </row>
    <row r="76" spans="1:17" x14ac:dyDescent="0.25">
      <c r="A76" s="229">
        <f t="shared" ref="A76:B76" si="110">A75+1</f>
        <v>1326</v>
      </c>
      <c r="B76" s="230">
        <f t="shared" si="110"/>
        <v>66</v>
      </c>
      <c r="C76" s="229" t="str">
        <f t="shared" ref="C76:C139" si="111">TEXT(RIGHT($B$2,LEN($B$2)-3),"000")&amp;"X"&amp;TEXT(D76,"00")&amp;"+"&amp;IF(J76&lt;0,TEXT(360+J76,"000"),TEXT(J76,"000"))&amp;"_"&amp;TEXT(M76,"000")&amp;"_"&amp;TEXT(RIGHT(K76,LEN(K76)-FIND("-",K76)),"00")</f>
        <v>21bX10+000_030_05</v>
      </c>
      <c r="D76" s="197">
        <f t="shared" si="80"/>
        <v>9.8000000000000007</v>
      </c>
      <c r="E76" s="204">
        <f t="shared" si="81"/>
        <v>1.8130000000000002</v>
      </c>
      <c r="F76" s="198">
        <f t="shared" si="82"/>
        <v>18.5</v>
      </c>
      <c r="G76" s="198">
        <f t="shared" si="83"/>
        <v>14.8</v>
      </c>
      <c r="H76" s="198">
        <f t="shared" si="84"/>
        <v>9.25</v>
      </c>
      <c r="I76" s="198">
        <f t="shared" si="91"/>
        <v>8</v>
      </c>
      <c r="J76" s="199">
        <f t="shared" si="91"/>
        <v>0</v>
      </c>
      <c r="K76" s="194" t="str">
        <f t="shared" ref="K76:K78" si="112">D76&amp;-5</f>
        <v>9.8-5</v>
      </c>
      <c r="L76" s="198">
        <f t="shared" si="96"/>
        <v>0.2</v>
      </c>
      <c r="M76" s="49">
        <v>30</v>
      </c>
      <c r="N76" s="198">
        <f t="shared" si="96"/>
        <v>150</v>
      </c>
      <c r="O76" s="198">
        <f t="shared" si="96"/>
        <v>160</v>
      </c>
      <c r="P76" s="198">
        <f t="shared" si="96"/>
        <v>270</v>
      </c>
      <c r="Q76" s="196">
        <f t="shared" si="85"/>
        <v>6</v>
      </c>
    </row>
    <row r="77" spans="1:17" x14ac:dyDescent="0.25">
      <c r="A77" s="229">
        <f t="shared" ref="A77:B77" si="113">A76+1</f>
        <v>1327</v>
      </c>
      <c r="B77" s="230">
        <f t="shared" si="113"/>
        <v>67</v>
      </c>
      <c r="C77" s="229" t="str">
        <f t="shared" si="111"/>
        <v>21bX10+000_060_05</v>
      </c>
      <c r="D77" s="197">
        <f t="shared" si="80"/>
        <v>9.8000000000000007</v>
      </c>
      <c r="E77" s="204">
        <f t="shared" si="81"/>
        <v>1.8130000000000002</v>
      </c>
      <c r="F77" s="198">
        <f t="shared" si="82"/>
        <v>18.5</v>
      </c>
      <c r="G77" s="198">
        <f t="shared" si="83"/>
        <v>14.8</v>
      </c>
      <c r="H77" s="198">
        <f t="shared" si="84"/>
        <v>9.25</v>
      </c>
      <c r="I77" s="198">
        <f t="shared" ref="I77:J92" si="114">I76</f>
        <v>8</v>
      </c>
      <c r="J77" s="199">
        <f t="shared" si="114"/>
        <v>0</v>
      </c>
      <c r="K77" s="194" t="str">
        <f t="shared" si="112"/>
        <v>9.8-5</v>
      </c>
      <c r="L77" s="198">
        <f t="shared" si="96"/>
        <v>0.2</v>
      </c>
      <c r="M77" s="49">
        <v>60</v>
      </c>
      <c r="N77" s="198">
        <f t="shared" si="96"/>
        <v>150</v>
      </c>
      <c r="O77" s="198">
        <f t="shared" si="96"/>
        <v>160</v>
      </c>
      <c r="P77" s="198">
        <f t="shared" si="96"/>
        <v>270</v>
      </c>
      <c r="Q77" s="196">
        <f t="shared" si="85"/>
        <v>6</v>
      </c>
    </row>
    <row r="78" spans="1:17" x14ac:dyDescent="0.25">
      <c r="A78" s="229">
        <f t="shared" ref="A78:B78" si="115">A77+1</f>
        <v>1328</v>
      </c>
      <c r="B78" s="230">
        <f t="shared" si="115"/>
        <v>68</v>
      </c>
      <c r="C78" s="229" t="str">
        <f t="shared" si="111"/>
        <v>21bX10+000_090_05</v>
      </c>
      <c r="D78" s="197">
        <f t="shared" si="80"/>
        <v>9.8000000000000007</v>
      </c>
      <c r="E78" s="204">
        <f t="shared" si="81"/>
        <v>1.8130000000000002</v>
      </c>
      <c r="F78" s="198">
        <f t="shared" si="82"/>
        <v>18.5</v>
      </c>
      <c r="G78" s="198">
        <f t="shared" si="83"/>
        <v>14.8</v>
      </c>
      <c r="H78" s="198">
        <f t="shared" si="84"/>
        <v>9.25</v>
      </c>
      <c r="I78" s="198">
        <f t="shared" si="114"/>
        <v>8</v>
      </c>
      <c r="J78" s="199">
        <f t="shared" si="114"/>
        <v>0</v>
      </c>
      <c r="K78" s="194" t="str">
        <f t="shared" si="112"/>
        <v>9.8-5</v>
      </c>
      <c r="L78" s="198">
        <f t="shared" si="96"/>
        <v>0.2</v>
      </c>
      <c r="M78" s="49">
        <v>90</v>
      </c>
      <c r="N78" s="198">
        <f t="shared" si="96"/>
        <v>150</v>
      </c>
      <c r="O78" s="198">
        <f t="shared" si="96"/>
        <v>160</v>
      </c>
      <c r="P78" s="198">
        <f t="shared" si="96"/>
        <v>270</v>
      </c>
      <c r="Q78" s="196">
        <f t="shared" si="85"/>
        <v>6</v>
      </c>
    </row>
    <row r="79" spans="1:17" x14ac:dyDescent="0.25">
      <c r="A79" s="229">
        <f t="shared" ref="A79:B79" si="116">A78+1</f>
        <v>1329</v>
      </c>
      <c r="B79" s="230">
        <f t="shared" si="116"/>
        <v>69</v>
      </c>
      <c r="C79" s="229" t="str">
        <f t="shared" si="111"/>
        <v>21bX10+000_000_06</v>
      </c>
      <c r="D79" s="197">
        <f t="shared" si="80"/>
        <v>9.8000000000000007</v>
      </c>
      <c r="E79" s="204">
        <f t="shared" si="81"/>
        <v>1.8130000000000002</v>
      </c>
      <c r="F79" s="198">
        <f t="shared" si="82"/>
        <v>18.5</v>
      </c>
      <c r="G79" s="198">
        <f t="shared" si="83"/>
        <v>14.8</v>
      </c>
      <c r="H79" s="198">
        <f t="shared" si="84"/>
        <v>9.25</v>
      </c>
      <c r="I79" s="198">
        <f t="shared" si="114"/>
        <v>8</v>
      </c>
      <c r="J79" s="199">
        <f t="shared" si="114"/>
        <v>0</v>
      </c>
      <c r="K79" s="194" t="str">
        <f>D79&amp;-6</f>
        <v>9.8-6</v>
      </c>
      <c r="L79" s="198">
        <f t="shared" si="96"/>
        <v>0.2</v>
      </c>
      <c r="M79" s="49">
        <v>0</v>
      </c>
      <c r="N79" s="198">
        <f t="shared" si="96"/>
        <v>150</v>
      </c>
      <c r="O79" s="198">
        <f t="shared" si="96"/>
        <v>160</v>
      </c>
      <c r="P79" s="198">
        <f t="shared" si="96"/>
        <v>270</v>
      </c>
      <c r="Q79" s="196">
        <f t="shared" si="85"/>
        <v>6</v>
      </c>
    </row>
    <row r="80" spans="1:17" x14ac:dyDescent="0.25">
      <c r="A80" s="229">
        <f t="shared" ref="A80:B80" si="117">A79+1</f>
        <v>1330</v>
      </c>
      <c r="B80" s="230">
        <f t="shared" si="117"/>
        <v>70</v>
      </c>
      <c r="C80" s="229" t="str">
        <f t="shared" si="111"/>
        <v>21bX10+000_030_06</v>
      </c>
      <c r="D80" s="197">
        <f t="shared" si="80"/>
        <v>9.8000000000000007</v>
      </c>
      <c r="E80" s="204">
        <f t="shared" si="81"/>
        <v>1.8130000000000002</v>
      </c>
      <c r="F80" s="198">
        <f t="shared" si="82"/>
        <v>18.5</v>
      </c>
      <c r="G80" s="198">
        <f t="shared" si="83"/>
        <v>14.8</v>
      </c>
      <c r="H80" s="198">
        <f t="shared" si="84"/>
        <v>9.25</v>
      </c>
      <c r="I80" s="198">
        <f t="shared" si="114"/>
        <v>8</v>
      </c>
      <c r="J80" s="199">
        <f t="shared" si="114"/>
        <v>0</v>
      </c>
      <c r="K80" s="194" t="str">
        <f t="shared" ref="K80:K82" si="118">D80&amp;-6</f>
        <v>9.8-6</v>
      </c>
      <c r="L80" s="198">
        <f t="shared" ref="L80:L106" si="119">L79</f>
        <v>0.2</v>
      </c>
      <c r="M80" s="49">
        <v>30</v>
      </c>
      <c r="N80" s="198">
        <f t="shared" ref="N80:P95" si="120">N79</f>
        <v>150</v>
      </c>
      <c r="O80" s="198">
        <f t="shared" si="120"/>
        <v>160</v>
      </c>
      <c r="P80" s="198">
        <f t="shared" si="120"/>
        <v>270</v>
      </c>
      <c r="Q80" s="196">
        <f t="shared" si="85"/>
        <v>6</v>
      </c>
    </row>
    <row r="81" spans="1:17" x14ac:dyDescent="0.25">
      <c r="A81" s="229">
        <f t="shared" ref="A81:B81" si="121">A80+1</f>
        <v>1331</v>
      </c>
      <c r="B81" s="230">
        <f t="shared" si="121"/>
        <v>71</v>
      </c>
      <c r="C81" s="229" t="str">
        <f t="shared" si="111"/>
        <v>21bX10+000_060_06</v>
      </c>
      <c r="D81" s="197">
        <f t="shared" si="80"/>
        <v>9.8000000000000007</v>
      </c>
      <c r="E81" s="204">
        <f t="shared" si="81"/>
        <v>1.8130000000000002</v>
      </c>
      <c r="F81" s="198">
        <f t="shared" si="82"/>
        <v>18.5</v>
      </c>
      <c r="G81" s="198">
        <f t="shared" si="83"/>
        <v>14.8</v>
      </c>
      <c r="H81" s="198">
        <f t="shared" si="84"/>
        <v>9.25</v>
      </c>
      <c r="I81" s="198">
        <f t="shared" si="114"/>
        <v>8</v>
      </c>
      <c r="J81" s="199">
        <f t="shared" si="114"/>
        <v>0</v>
      </c>
      <c r="K81" s="194" t="str">
        <f t="shared" si="118"/>
        <v>9.8-6</v>
      </c>
      <c r="L81" s="198">
        <f t="shared" si="119"/>
        <v>0.2</v>
      </c>
      <c r="M81" s="49">
        <v>60</v>
      </c>
      <c r="N81" s="198">
        <f t="shared" si="120"/>
        <v>150</v>
      </c>
      <c r="O81" s="198">
        <f t="shared" si="120"/>
        <v>160</v>
      </c>
      <c r="P81" s="198">
        <f t="shared" si="120"/>
        <v>270</v>
      </c>
      <c r="Q81" s="196">
        <f t="shared" si="85"/>
        <v>6</v>
      </c>
    </row>
    <row r="82" spans="1:17" x14ac:dyDescent="0.25">
      <c r="A82" s="229">
        <f t="shared" ref="A82:B82" si="122">A81+1</f>
        <v>1332</v>
      </c>
      <c r="B82" s="230">
        <f t="shared" si="122"/>
        <v>72</v>
      </c>
      <c r="C82" s="229" t="str">
        <f t="shared" si="111"/>
        <v>21bX10+000_090_06</v>
      </c>
      <c r="D82" s="197">
        <f t="shared" si="80"/>
        <v>9.8000000000000007</v>
      </c>
      <c r="E82" s="204">
        <f t="shared" si="81"/>
        <v>1.8130000000000002</v>
      </c>
      <c r="F82" s="198">
        <f t="shared" si="82"/>
        <v>18.5</v>
      </c>
      <c r="G82" s="198">
        <f t="shared" si="83"/>
        <v>14.8</v>
      </c>
      <c r="H82" s="198">
        <f t="shared" si="84"/>
        <v>9.25</v>
      </c>
      <c r="I82" s="198">
        <f t="shared" si="114"/>
        <v>8</v>
      </c>
      <c r="J82" s="199">
        <f t="shared" si="114"/>
        <v>0</v>
      </c>
      <c r="K82" s="194" t="str">
        <f t="shared" si="118"/>
        <v>9.8-6</v>
      </c>
      <c r="L82" s="198">
        <f t="shared" si="119"/>
        <v>0.2</v>
      </c>
      <c r="M82" s="49">
        <v>90</v>
      </c>
      <c r="N82" s="198">
        <f t="shared" si="120"/>
        <v>150</v>
      </c>
      <c r="O82" s="198">
        <f t="shared" si="120"/>
        <v>160</v>
      </c>
      <c r="P82" s="198">
        <f t="shared" si="120"/>
        <v>270</v>
      </c>
      <c r="Q82" s="196">
        <f t="shared" si="85"/>
        <v>6</v>
      </c>
    </row>
    <row r="83" spans="1:17" x14ac:dyDescent="0.25">
      <c r="A83" s="229">
        <f t="shared" ref="A83:B83" si="123">A82+1</f>
        <v>1333</v>
      </c>
      <c r="B83" s="230">
        <f t="shared" si="123"/>
        <v>73</v>
      </c>
      <c r="C83" s="229" t="str">
        <f t="shared" si="111"/>
        <v>21bX10+000_000_07</v>
      </c>
      <c r="D83" s="197">
        <f t="shared" si="80"/>
        <v>9.8000000000000007</v>
      </c>
      <c r="E83" s="204">
        <f t="shared" si="81"/>
        <v>1.8130000000000002</v>
      </c>
      <c r="F83" s="198">
        <f t="shared" si="82"/>
        <v>18.5</v>
      </c>
      <c r="G83" s="198">
        <f t="shared" si="83"/>
        <v>14.8</v>
      </c>
      <c r="H83" s="198">
        <f t="shared" si="84"/>
        <v>9.25</v>
      </c>
      <c r="I83" s="198">
        <f t="shared" si="114"/>
        <v>8</v>
      </c>
      <c r="J83" s="199">
        <f t="shared" si="114"/>
        <v>0</v>
      </c>
      <c r="K83" s="194" t="str">
        <f>D83&amp;-7</f>
        <v>9.8-7</v>
      </c>
      <c r="L83" s="198">
        <f t="shared" si="119"/>
        <v>0.2</v>
      </c>
      <c r="M83" s="49">
        <v>0</v>
      </c>
      <c r="N83" s="198">
        <f t="shared" si="120"/>
        <v>150</v>
      </c>
      <c r="O83" s="198">
        <f t="shared" si="120"/>
        <v>160</v>
      </c>
      <c r="P83" s="198">
        <f t="shared" si="120"/>
        <v>270</v>
      </c>
      <c r="Q83" s="196">
        <f t="shared" si="85"/>
        <v>6</v>
      </c>
    </row>
    <row r="84" spans="1:17" x14ac:dyDescent="0.25">
      <c r="A84" s="229">
        <f t="shared" ref="A84:B84" si="124">A83+1</f>
        <v>1334</v>
      </c>
      <c r="B84" s="230">
        <f t="shared" si="124"/>
        <v>74</v>
      </c>
      <c r="C84" s="229" t="str">
        <f t="shared" si="111"/>
        <v>21bX10+000_030_07</v>
      </c>
      <c r="D84" s="197">
        <f t="shared" si="80"/>
        <v>9.8000000000000007</v>
      </c>
      <c r="E84" s="204">
        <f t="shared" si="81"/>
        <v>1.8130000000000002</v>
      </c>
      <c r="F84" s="198">
        <f t="shared" si="82"/>
        <v>18.5</v>
      </c>
      <c r="G84" s="198">
        <f t="shared" si="83"/>
        <v>14.8</v>
      </c>
      <c r="H84" s="198">
        <f t="shared" si="84"/>
        <v>9.25</v>
      </c>
      <c r="I84" s="198">
        <f t="shared" si="114"/>
        <v>8</v>
      </c>
      <c r="J84" s="199">
        <f t="shared" si="114"/>
        <v>0</v>
      </c>
      <c r="K84" s="194" t="str">
        <f t="shared" ref="K84:K86" si="125">D84&amp;-7</f>
        <v>9.8-7</v>
      </c>
      <c r="L84" s="198">
        <f t="shared" si="119"/>
        <v>0.2</v>
      </c>
      <c r="M84" s="49">
        <v>30</v>
      </c>
      <c r="N84" s="198">
        <f t="shared" si="120"/>
        <v>150</v>
      </c>
      <c r="O84" s="198">
        <f t="shared" si="120"/>
        <v>160</v>
      </c>
      <c r="P84" s="198">
        <f t="shared" si="120"/>
        <v>270</v>
      </c>
      <c r="Q84" s="196">
        <f t="shared" si="85"/>
        <v>6</v>
      </c>
    </row>
    <row r="85" spans="1:17" x14ac:dyDescent="0.25">
      <c r="A85" s="229">
        <f t="shared" ref="A85:B85" si="126">A84+1</f>
        <v>1335</v>
      </c>
      <c r="B85" s="230">
        <f t="shared" si="126"/>
        <v>75</v>
      </c>
      <c r="C85" s="229" t="str">
        <f t="shared" si="111"/>
        <v>21bX10+000_060_07</v>
      </c>
      <c r="D85" s="197">
        <f t="shared" si="80"/>
        <v>9.8000000000000007</v>
      </c>
      <c r="E85" s="204">
        <f t="shared" si="81"/>
        <v>1.8130000000000002</v>
      </c>
      <c r="F85" s="198">
        <f t="shared" si="82"/>
        <v>18.5</v>
      </c>
      <c r="G85" s="198">
        <f t="shared" si="83"/>
        <v>14.8</v>
      </c>
      <c r="H85" s="198">
        <f t="shared" si="84"/>
        <v>9.25</v>
      </c>
      <c r="I85" s="198">
        <f t="shared" si="114"/>
        <v>8</v>
      </c>
      <c r="J85" s="199">
        <f t="shared" si="114"/>
        <v>0</v>
      </c>
      <c r="K85" s="194" t="str">
        <f t="shared" si="125"/>
        <v>9.8-7</v>
      </c>
      <c r="L85" s="198">
        <f t="shared" si="119"/>
        <v>0.2</v>
      </c>
      <c r="M85" s="49">
        <v>60</v>
      </c>
      <c r="N85" s="198">
        <f t="shared" si="120"/>
        <v>150</v>
      </c>
      <c r="O85" s="198">
        <f t="shared" si="120"/>
        <v>160</v>
      </c>
      <c r="P85" s="198">
        <f t="shared" si="120"/>
        <v>270</v>
      </c>
      <c r="Q85" s="196">
        <f t="shared" si="85"/>
        <v>6</v>
      </c>
    </row>
    <row r="86" spans="1:17" x14ac:dyDescent="0.25">
      <c r="A86" s="229">
        <f t="shared" ref="A86:B86" si="127">A85+1</f>
        <v>1336</v>
      </c>
      <c r="B86" s="230">
        <f t="shared" si="127"/>
        <v>76</v>
      </c>
      <c r="C86" s="229" t="str">
        <f t="shared" si="111"/>
        <v>21bX10+000_090_07</v>
      </c>
      <c r="D86" s="197">
        <f t="shared" si="80"/>
        <v>9.8000000000000007</v>
      </c>
      <c r="E86" s="204">
        <f t="shared" si="81"/>
        <v>1.8130000000000002</v>
      </c>
      <c r="F86" s="198">
        <f t="shared" si="82"/>
        <v>18.5</v>
      </c>
      <c r="G86" s="198">
        <f t="shared" si="83"/>
        <v>14.8</v>
      </c>
      <c r="H86" s="198">
        <f t="shared" si="84"/>
        <v>9.25</v>
      </c>
      <c r="I86" s="198">
        <f t="shared" si="114"/>
        <v>8</v>
      </c>
      <c r="J86" s="199">
        <f t="shared" si="114"/>
        <v>0</v>
      </c>
      <c r="K86" s="194" t="str">
        <f t="shared" si="125"/>
        <v>9.8-7</v>
      </c>
      <c r="L86" s="198">
        <f t="shared" si="119"/>
        <v>0.2</v>
      </c>
      <c r="M86" s="49">
        <v>90</v>
      </c>
      <c r="N86" s="198">
        <f t="shared" si="120"/>
        <v>150</v>
      </c>
      <c r="O86" s="198">
        <f t="shared" si="120"/>
        <v>160</v>
      </c>
      <c r="P86" s="198">
        <f t="shared" si="120"/>
        <v>270</v>
      </c>
      <c r="Q86" s="196">
        <f t="shared" si="85"/>
        <v>6</v>
      </c>
    </row>
    <row r="87" spans="1:17" x14ac:dyDescent="0.25">
      <c r="A87" s="229">
        <f t="shared" ref="A87:B87" si="128">A86+1</f>
        <v>1337</v>
      </c>
      <c r="B87" s="230">
        <f t="shared" si="128"/>
        <v>77</v>
      </c>
      <c r="C87" s="229" t="str">
        <f t="shared" si="111"/>
        <v>21bX10+000_000_08</v>
      </c>
      <c r="D87" s="197">
        <f t="shared" si="80"/>
        <v>9.8000000000000007</v>
      </c>
      <c r="E87" s="204">
        <f t="shared" si="81"/>
        <v>1.8130000000000002</v>
      </c>
      <c r="F87" s="198">
        <f t="shared" si="82"/>
        <v>18.5</v>
      </c>
      <c r="G87" s="198">
        <f t="shared" si="83"/>
        <v>14.8</v>
      </c>
      <c r="H87" s="198">
        <f t="shared" si="84"/>
        <v>9.25</v>
      </c>
      <c r="I87" s="198">
        <f t="shared" si="114"/>
        <v>8</v>
      </c>
      <c r="J87" s="199">
        <f t="shared" si="114"/>
        <v>0</v>
      </c>
      <c r="K87" s="194" t="str">
        <f>D87&amp;-8</f>
        <v>9.8-8</v>
      </c>
      <c r="L87" s="198">
        <f t="shared" si="119"/>
        <v>0.2</v>
      </c>
      <c r="M87" s="49">
        <v>0</v>
      </c>
      <c r="N87" s="198">
        <f t="shared" si="120"/>
        <v>150</v>
      </c>
      <c r="O87" s="198">
        <f t="shared" si="120"/>
        <v>160</v>
      </c>
      <c r="P87" s="198">
        <f t="shared" si="120"/>
        <v>270</v>
      </c>
      <c r="Q87" s="196">
        <f t="shared" si="85"/>
        <v>6</v>
      </c>
    </row>
    <row r="88" spans="1:17" x14ac:dyDescent="0.25">
      <c r="A88" s="229">
        <f t="shared" ref="A88:B88" si="129">A87+1</f>
        <v>1338</v>
      </c>
      <c r="B88" s="230">
        <f t="shared" si="129"/>
        <v>78</v>
      </c>
      <c r="C88" s="229" t="str">
        <f t="shared" si="111"/>
        <v>21bX10+000_030_08</v>
      </c>
      <c r="D88" s="197">
        <f t="shared" si="80"/>
        <v>9.8000000000000007</v>
      </c>
      <c r="E88" s="204">
        <f t="shared" si="81"/>
        <v>1.8130000000000002</v>
      </c>
      <c r="F88" s="198">
        <f t="shared" si="82"/>
        <v>18.5</v>
      </c>
      <c r="G88" s="198">
        <f t="shared" si="83"/>
        <v>14.8</v>
      </c>
      <c r="H88" s="198">
        <f t="shared" si="84"/>
        <v>9.25</v>
      </c>
      <c r="I88" s="198">
        <f t="shared" si="114"/>
        <v>8</v>
      </c>
      <c r="J88" s="199">
        <f t="shared" si="114"/>
        <v>0</v>
      </c>
      <c r="K88" s="194" t="str">
        <f t="shared" ref="K88:K90" si="130">D88&amp;-8</f>
        <v>9.8-8</v>
      </c>
      <c r="L88" s="198">
        <f t="shared" si="119"/>
        <v>0.2</v>
      </c>
      <c r="M88" s="49">
        <v>30</v>
      </c>
      <c r="N88" s="198">
        <f t="shared" si="120"/>
        <v>150</v>
      </c>
      <c r="O88" s="198">
        <f t="shared" si="120"/>
        <v>160</v>
      </c>
      <c r="P88" s="198">
        <f t="shared" si="120"/>
        <v>270</v>
      </c>
      <c r="Q88" s="196">
        <f t="shared" si="85"/>
        <v>6</v>
      </c>
    </row>
    <row r="89" spans="1:17" x14ac:dyDescent="0.25">
      <c r="A89" s="229">
        <f t="shared" ref="A89:B89" si="131">A88+1</f>
        <v>1339</v>
      </c>
      <c r="B89" s="230">
        <f t="shared" si="131"/>
        <v>79</v>
      </c>
      <c r="C89" s="229" t="str">
        <f t="shared" si="111"/>
        <v>21bX10+000_060_08</v>
      </c>
      <c r="D89" s="197">
        <f t="shared" si="80"/>
        <v>9.8000000000000007</v>
      </c>
      <c r="E89" s="204">
        <f t="shared" si="81"/>
        <v>1.8130000000000002</v>
      </c>
      <c r="F89" s="198">
        <f t="shared" si="82"/>
        <v>18.5</v>
      </c>
      <c r="G89" s="198">
        <f t="shared" si="83"/>
        <v>14.8</v>
      </c>
      <c r="H89" s="198">
        <f t="shared" si="84"/>
        <v>9.25</v>
      </c>
      <c r="I89" s="198">
        <f t="shared" si="114"/>
        <v>8</v>
      </c>
      <c r="J89" s="199">
        <f t="shared" si="114"/>
        <v>0</v>
      </c>
      <c r="K89" s="194" t="str">
        <f t="shared" si="130"/>
        <v>9.8-8</v>
      </c>
      <c r="L89" s="198">
        <f t="shared" si="119"/>
        <v>0.2</v>
      </c>
      <c r="M89" s="49">
        <v>60</v>
      </c>
      <c r="N89" s="198">
        <f t="shared" si="120"/>
        <v>150</v>
      </c>
      <c r="O89" s="198">
        <f t="shared" si="120"/>
        <v>160</v>
      </c>
      <c r="P89" s="198">
        <f t="shared" si="120"/>
        <v>270</v>
      </c>
      <c r="Q89" s="196">
        <f t="shared" si="85"/>
        <v>6</v>
      </c>
    </row>
    <row r="90" spans="1:17" x14ac:dyDescent="0.25">
      <c r="A90" s="229">
        <f t="shared" ref="A90:B90" si="132">A89+1</f>
        <v>1340</v>
      </c>
      <c r="B90" s="230">
        <f t="shared" si="132"/>
        <v>80</v>
      </c>
      <c r="C90" s="229" t="str">
        <f t="shared" si="111"/>
        <v>21bX10+000_090_08</v>
      </c>
      <c r="D90" s="197">
        <f t="shared" si="80"/>
        <v>9.8000000000000007</v>
      </c>
      <c r="E90" s="204">
        <f t="shared" si="81"/>
        <v>1.8130000000000002</v>
      </c>
      <c r="F90" s="198">
        <f t="shared" si="82"/>
        <v>18.5</v>
      </c>
      <c r="G90" s="198">
        <f t="shared" si="83"/>
        <v>14.8</v>
      </c>
      <c r="H90" s="198">
        <f t="shared" si="84"/>
        <v>9.25</v>
      </c>
      <c r="I90" s="198">
        <f t="shared" si="114"/>
        <v>8</v>
      </c>
      <c r="J90" s="199">
        <f t="shared" si="114"/>
        <v>0</v>
      </c>
      <c r="K90" s="194" t="str">
        <f t="shared" si="130"/>
        <v>9.8-8</v>
      </c>
      <c r="L90" s="198">
        <f t="shared" si="119"/>
        <v>0.2</v>
      </c>
      <c r="M90" s="49">
        <v>90</v>
      </c>
      <c r="N90" s="198">
        <f t="shared" si="120"/>
        <v>150</v>
      </c>
      <c r="O90" s="198">
        <f t="shared" si="120"/>
        <v>160</v>
      </c>
      <c r="P90" s="198">
        <f t="shared" si="120"/>
        <v>270</v>
      </c>
      <c r="Q90" s="196">
        <f t="shared" si="85"/>
        <v>6</v>
      </c>
    </row>
    <row r="91" spans="1:17" x14ac:dyDescent="0.25">
      <c r="A91" s="229">
        <f t="shared" ref="A91:B91" si="133">A90+1</f>
        <v>1341</v>
      </c>
      <c r="B91" s="230">
        <f t="shared" si="133"/>
        <v>81</v>
      </c>
      <c r="C91" s="229" t="str">
        <f t="shared" si="111"/>
        <v>21bX10+000_000_09</v>
      </c>
      <c r="D91" s="197">
        <f t="shared" si="80"/>
        <v>9.8000000000000007</v>
      </c>
      <c r="E91" s="204">
        <f t="shared" si="81"/>
        <v>1.8130000000000002</v>
      </c>
      <c r="F91" s="198">
        <f t="shared" si="82"/>
        <v>18.5</v>
      </c>
      <c r="G91" s="198">
        <f t="shared" si="83"/>
        <v>14.8</v>
      </c>
      <c r="H91" s="198">
        <f t="shared" si="84"/>
        <v>9.25</v>
      </c>
      <c r="I91" s="198">
        <f t="shared" si="114"/>
        <v>8</v>
      </c>
      <c r="J91" s="199">
        <f t="shared" si="114"/>
        <v>0</v>
      </c>
      <c r="K91" s="194" t="str">
        <f>D91&amp;-9</f>
        <v>9.8-9</v>
      </c>
      <c r="L91" s="198">
        <f t="shared" si="119"/>
        <v>0.2</v>
      </c>
      <c r="M91" s="49">
        <v>0</v>
      </c>
      <c r="N91" s="198">
        <f t="shared" si="120"/>
        <v>150</v>
      </c>
      <c r="O91" s="198">
        <f t="shared" si="120"/>
        <v>160</v>
      </c>
      <c r="P91" s="198">
        <f t="shared" si="120"/>
        <v>270</v>
      </c>
      <c r="Q91" s="196">
        <f t="shared" si="85"/>
        <v>6</v>
      </c>
    </row>
    <row r="92" spans="1:17" x14ac:dyDescent="0.25">
      <c r="A92" s="229">
        <f t="shared" ref="A92:B92" si="134">A91+1</f>
        <v>1342</v>
      </c>
      <c r="B92" s="230">
        <f t="shared" si="134"/>
        <v>82</v>
      </c>
      <c r="C92" s="229" t="str">
        <f t="shared" si="111"/>
        <v>21bX10+000_030_09</v>
      </c>
      <c r="D92" s="197">
        <f t="shared" si="80"/>
        <v>9.8000000000000007</v>
      </c>
      <c r="E92" s="204">
        <f t="shared" si="81"/>
        <v>1.8130000000000002</v>
      </c>
      <c r="F92" s="198">
        <f t="shared" si="82"/>
        <v>18.5</v>
      </c>
      <c r="G92" s="198">
        <f t="shared" si="83"/>
        <v>14.8</v>
      </c>
      <c r="H92" s="198">
        <f t="shared" si="84"/>
        <v>9.25</v>
      </c>
      <c r="I92" s="198">
        <f t="shared" si="114"/>
        <v>8</v>
      </c>
      <c r="J92" s="199">
        <f t="shared" si="114"/>
        <v>0</v>
      </c>
      <c r="K92" s="194" t="str">
        <f t="shared" ref="K92:K94" si="135">D92&amp;-9</f>
        <v>9.8-9</v>
      </c>
      <c r="L92" s="198">
        <f t="shared" si="119"/>
        <v>0.2</v>
      </c>
      <c r="M92" s="49">
        <v>30</v>
      </c>
      <c r="N92" s="198">
        <f t="shared" si="120"/>
        <v>150</v>
      </c>
      <c r="O92" s="198">
        <f t="shared" si="120"/>
        <v>160</v>
      </c>
      <c r="P92" s="198">
        <f t="shared" si="120"/>
        <v>270</v>
      </c>
      <c r="Q92" s="196">
        <f t="shared" si="85"/>
        <v>6</v>
      </c>
    </row>
    <row r="93" spans="1:17" x14ac:dyDescent="0.25">
      <c r="A93" s="229">
        <f t="shared" ref="A93:B93" si="136">A92+1</f>
        <v>1343</v>
      </c>
      <c r="B93" s="230">
        <f t="shared" si="136"/>
        <v>83</v>
      </c>
      <c r="C93" s="229" t="str">
        <f t="shared" si="111"/>
        <v>21bX10+000_060_09</v>
      </c>
      <c r="D93" s="197">
        <f t="shared" si="80"/>
        <v>9.8000000000000007</v>
      </c>
      <c r="E93" s="204">
        <f t="shared" si="81"/>
        <v>1.8130000000000002</v>
      </c>
      <c r="F93" s="198">
        <f t="shared" si="82"/>
        <v>18.5</v>
      </c>
      <c r="G93" s="198">
        <f t="shared" si="83"/>
        <v>14.8</v>
      </c>
      <c r="H93" s="198">
        <f t="shared" si="84"/>
        <v>9.25</v>
      </c>
      <c r="I93" s="198">
        <f t="shared" ref="I93:J106" si="137">I92</f>
        <v>8</v>
      </c>
      <c r="J93" s="199">
        <f t="shared" si="137"/>
        <v>0</v>
      </c>
      <c r="K93" s="194" t="str">
        <f t="shared" si="135"/>
        <v>9.8-9</v>
      </c>
      <c r="L93" s="198">
        <f t="shared" si="119"/>
        <v>0.2</v>
      </c>
      <c r="M93" s="49">
        <v>60</v>
      </c>
      <c r="N93" s="198">
        <f t="shared" si="120"/>
        <v>150</v>
      </c>
      <c r="O93" s="198">
        <f t="shared" si="120"/>
        <v>160</v>
      </c>
      <c r="P93" s="198">
        <f t="shared" si="120"/>
        <v>270</v>
      </c>
      <c r="Q93" s="196">
        <f t="shared" si="85"/>
        <v>6</v>
      </c>
    </row>
    <row r="94" spans="1:17" x14ac:dyDescent="0.25">
      <c r="A94" s="229">
        <f t="shared" ref="A94:B94" si="138">A93+1</f>
        <v>1344</v>
      </c>
      <c r="B94" s="230">
        <f t="shared" si="138"/>
        <v>84</v>
      </c>
      <c r="C94" s="229" t="str">
        <f t="shared" si="111"/>
        <v>21bX10+000_090_09</v>
      </c>
      <c r="D94" s="197">
        <f t="shared" si="80"/>
        <v>9.8000000000000007</v>
      </c>
      <c r="E94" s="204">
        <f t="shared" si="81"/>
        <v>1.8130000000000002</v>
      </c>
      <c r="F94" s="198">
        <f t="shared" si="82"/>
        <v>18.5</v>
      </c>
      <c r="G94" s="198">
        <f t="shared" si="83"/>
        <v>14.8</v>
      </c>
      <c r="H94" s="198">
        <f t="shared" si="84"/>
        <v>9.25</v>
      </c>
      <c r="I94" s="198">
        <f t="shared" si="137"/>
        <v>8</v>
      </c>
      <c r="J94" s="199">
        <f t="shared" si="137"/>
        <v>0</v>
      </c>
      <c r="K94" s="194" t="str">
        <f t="shared" si="135"/>
        <v>9.8-9</v>
      </c>
      <c r="L94" s="198">
        <f t="shared" si="119"/>
        <v>0.2</v>
      </c>
      <c r="M94" s="49">
        <v>90</v>
      </c>
      <c r="N94" s="198">
        <f t="shared" si="120"/>
        <v>150</v>
      </c>
      <c r="O94" s="198">
        <f t="shared" si="120"/>
        <v>160</v>
      </c>
      <c r="P94" s="198">
        <f t="shared" si="120"/>
        <v>270</v>
      </c>
      <c r="Q94" s="196">
        <f t="shared" si="85"/>
        <v>6</v>
      </c>
    </row>
    <row r="95" spans="1:17" x14ac:dyDescent="0.25">
      <c r="A95" s="229">
        <f t="shared" ref="A95:B95" si="139">A94+1</f>
        <v>1345</v>
      </c>
      <c r="B95" s="230">
        <f t="shared" si="139"/>
        <v>85</v>
      </c>
      <c r="C95" s="229" t="str">
        <f t="shared" si="111"/>
        <v>21bX10+000_000_10</v>
      </c>
      <c r="D95" s="197">
        <f t="shared" si="80"/>
        <v>9.8000000000000007</v>
      </c>
      <c r="E95" s="204">
        <f t="shared" si="81"/>
        <v>1.8130000000000002</v>
      </c>
      <c r="F95" s="198">
        <f t="shared" si="82"/>
        <v>18.5</v>
      </c>
      <c r="G95" s="198">
        <f t="shared" si="83"/>
        <v>14.8</v>
      </c>
      <c r="H95" s="198">
        <f t="shared" si="84"/>
        <v>9.25</v>
      </c>
      <c r="I95" s="198">
        <f t="shared" si="137"/>
        <v>8</v>
      </c>
      <c r="J95" s="199">
        <f t="shared" si="137"/>
        <v>0</v>
      </c>
      <c r="K95" s="194" t="str">
        <f>D95&amp;-10</f>
        <v>9.8-10</v>
      </c>
      <c r="L95" s="198">
        <f t="shared" si="119"/>
        <v>0.2</v>
      </c>
      <c r="M95" s="49">
        <v>0</v>
      </c>
      <c r="N95" s="198">
        <f t="shared" si="120"/>
        <v>150</v>
      </c>
      <c r="O95" s="198">
        <f t="shared" si="120"/>
        <v>160</v>
      </c>
      <c r="P95" s="198">
        <f t="shared" si="120"/>
        <v>270</v>
      </c>
      <c r="Q95" s="196">
        <f t="shared" si="85"/>
        <v>6</v>
      </c>
    </row>
    <row r="96" spans="1:17" x14ac:dyDescent="0.25">
      <c r="A96" s="229">
        <f t="shared" ref="A96:B96" si="140">A95+1</f>
        <v>1346</v>
      </c>
      <c r="B96" s="230">
        <f t="shared" si="140"/>
        <v>86</v>
      </c>
      <c r="C96" s="229" t="str">
        <f t="shared" si="111"/>
        <v>21bX10+000_030_10</v>
      </c>
      <c r="D96" s="197">
        <f t="shared" si="80"/>
        <v>9.8000000000000007</v>
      </c>
      <c r="E96" s="204">
        <f t="shared" si="81"/>
        <v>1.8130000000000002</v>
      </c>
      <c r="F96" s="198">
        <f t="shared" si="82"/>
        <v>18.5</v>
      </c>
      <c r="G96" s="198">
        <f t="shared" si="83"/>
        <v>14.8</v>
      </c>
      <c r="H96" s="198">
        <f t="shared" si="84"/>
        <v>9.25</v>
      </c>
      <c r="I96" s="198">
        <f t="shared" si="137"/>
        <v>8</v>
      </c>
      <c r="J96" s="199">
        <f t="shared" si="137"/>
        <v>0</v>
      </c>
      <c r="K96" s="194" t="str">
        <f t="shared" ref="K96:K98" si="141">D96&amp;-10</f>
        <v>9.8-10</v>
      </c>
      <c r="L96" s="198">
        <f t="shared" si="119"/>
        <v>0.2</v>
      </c>
      <c r="M96" s="49">
        <v>30</v>
      </c>
      <c r="N96" s="198">
        <f t="shared" ref="N96:P106" si="142">N95</f>
        <v>150</v>
      </c>
      <c r="O96" s="198">
        <f t="shared" si="142"/>
        <v>160</v>
      </c>
      <c r="P96" s="198">
        <f t="shared" si="142"/>
        <v>270</v>
      </c>
      <c r="Q96" s="196">
        <f t="shared" si="85"/>
        <v>6</v>
      </c>
    </row>
    <row r="97" spans="1:17" x14ac:dyDescent="0.25">
      <c r="A97" s="229">
        <f t="shared" ref="A97:B97" si="143">A96+1</f>
        <v>1347</v>
      </c>
      <c r="B97" s="230">
        <f t="shared" si="143"/>
        <v>87</v>
      </c>
      <c r="C97" s="229" t="str">
        <f t="shared" si="111"/>
        <v>21bX10+000_060_10</v>
      </c>
      <c r="D97" s="197">
        <f t="shared" si="80"/>
        <v>9.8000000000000007</v>
      </c>
      <c r="E97" s="204">
        <f t="shared" si="81"/>
        <v>1.8130000000000002</v>
      </c>
      <c r="F97" s="198">
        <f t="shared" si="82"/>
        <v>18.5</v>
      </c>
      <c r="G97" s="198">
        <f t="shared" si="83"/>
        <v>14.8</v>
      </c>
      <c r="H97" s="198">
        <f t="shared" si="84"/>
        <v>9.25</v>
      </c>
      <c r="I97" s="198">
        <f t="shared" si="137"/>
        <v>8</v>
      </c>
      <c r="J97" s="199">
        <f t="shared" si="137"/>
        <v>0</v>
      </c>
      <c r="K97" s="194" t="str">
        <f t="shared" si="141"/>
        <v>9.8-10</v>
      </c>
      <c r="L97" s="198">
        <f t="shared" si="119"/>
        <v>0.2</v>
      </c>
      <c r="M97" s="49">
        <v>60</v>
      </c>
      <c r="N97" s="198">
        <f t="shared" si="142"/>
        <v>150</v>
      </c>
      <c r="O97" s="198">
        <f t="shared" si="142"/>
        <v>160</v>
      </c>
      <c r="P97" s="198">
        <f t="shared" si="142"/>
        <v>270</v>
      </c>
      <c r="Q97" s="196">
        <f t="shared" si="85"/>
        <v>6</v>
      </c>
    </row>
    <row r="98" spans="1:17" x14ac:dyDescent="0.25">
      <c r="A98" s="229">
        <f t="shared" ref="A98:B98" si="144">A97+1</f>
        <v>1348</v>
      </c>
      <c r="B98" s="230">
        <f t="shared" si="144"/>
        <v>88</v>
      </c>
      <c r="C98" s="229" t="str">
        <f t="shared" si="111"/>
        <v>21bX10+000_090_10</v>
      </c>
      <c r="D98" s="197">
        <f t="shared" si="80"/>
        <v>9.8000000000000007</v>
      </c>
      <c r="E98" s="204">
        <f t="shared" si="81"/>
        <v>1.8130000000000002</v>
      </c>
      <c r="F98" s="198">
        <f t="shared" si="82"/>
        <v>18.5</v>
      </c>
      <c r="G98" s="198">
        <f t="shared" si="83"/>
        <v>14.8</v>
      </c>
      <c r="H98" s="198">
        <f t="shared" si="84"/>
        <v>9.25</v>
      </c>
      <c r="I98" s="198">
        <f t="shared" si="137"/>
        <v>8</v>
      </c>
      <c r="J98" s="199">
        <f t="shared" si="137"/>
        <v>0</v>
      </c>
      <c r="K98" s="194" t="str">
        <f t="shared" si="141"/>
        <v>9.8-10</v>
      </c>
      <c r="L98" s="198">
        <f t="shared" si="119"/>
        <v>0.2</v>
      </c>
      <c r="M98" s="49">
        <v>90</v>
      </c>
      <c r="N98" s="198">
        <f t="shared" si="142"/>
        <v>150</v>
      </c>
      <c r="O98" s="198">
        <f t="shared" si="142"/>
        <v>160</v>
      </c>
      <c r="P98" s="198">
        <f t="shared" si="142"/>
        <v>270</v>
      </c>
      <c r="Q98" s="196">
        <f t="shared" si="85"/>
        <v>6</v>
      </c>
    </row>
    <row r="99" spans="1:17" x14ac:dyDescent="0.25">
      <c r="A99" s="229">
        <f t="shared" ref="A99:B99" si="145">A98+1</f>
        <v>1349</v>
      </c>
      <c r="B99" s="230">
        <f t="shared" si="145"/>
        <v>89</v>
      </c>
      <c r="C99" s="229" t="str">
        <f t="shared" si="111"/>
        <v>21bX10+000_000_11</v>
      </c>
      <c r="D99" s="197">
        <f t="shared" si="80"/>
        <v>9.8000000000000007</v>
      </c>
      <c r="E99" s="204">
        <f t="shared" si="81"/>
        <v>1.8130000000000002</v>
      </c>
      <c r="F99" s="198">
        <f t="shared" si="82"/>
        <v>18.5</v>
      </c>
      <c r="G99" s="198">
        <f t="shared" si="83"/>
        <v>14.8</v>
      </c>
      <c r="H99" s="198">
        <f t="shared" si="84"/>
        <v>9.25</v>
      </c>
      <c r="I99" s="198">
        <f t="shared" si="137"/>
        <v>8</v>
      </c>
      <c r="J99" s="199">
        <f t="shared" si="137"/>
        <v>0</v>
      </c>
      <c r="K99" s="194" t="str">
        <f>D99&amp;-11</f>
        <v>9.8-11</v>
      </c>
      <c r="L99" s="198">
        <f t="shared" si="119"/>
        <v>0.2</v>
      </c>
      <c r="M99" s="49">
        <v>0</v>
      </c>
      <c r="N99" s="198">
        <f t="shared" si="142"/>
        <v>150</v>
      </c>
      <c r="O99" s="198">
        <f t="shared" si="142"/>
        <v>160</v>
      </c>
      <c r="P99" s="198">
        <f t="shared" si="142"/>
        <v>270</v>
      </c>
      <c r="Q99" s="196">
        <f t="shared" si="85"/>
        <v>6</v>
      </c>
    </row>
    <row r="100" spans="1:17" x14ac:dyDescent="0.25">
      <c r="A100" s="229">
        <f t="shared" ref="A100:B100" si="146">A99+1</f>
        <v>1350</v>
      </c>
      <c r="B100" s="230">
        <f t="shared" si="146"/>
        <v>90</v>
      </c>
      <c r="C100" s="229" t="str">
        <f t="shared" si="111"/>
        <v>21bX10+000_030_11</v>
      </c>
      <c r="D100" s="197">
        <f t="shared" si="80"/>
        <v>9.8000000000000007</v>
      </c>
      <c r="E100" s="204">
        <f t="shared" si="81"/>
        <v>1.8130000000000002</v>
      </c>
      <c r="F100" s="198">
        <f t="shared" si="82"/>
        <v>18.5</v>
      </c>
      <c r="G100" s="198">
        <f t="shared" si="83"/>
        <v>14.8</v>
      </c>
      <c r="H100" s="198">
        <f t="shared" si="84"/>
        <v>9.25</v>
      </c>
      <c r="I100" s="198">
        <f t="shared" si="137"/>
        <v>8</v>
      </c>
      <c r="J100" s="199">
        <f t="shared" si="137"/>
        <v>0</v>
      </c>
      <c r="K100" s="194" t="str">
        <f t="shared" ref="K100:K102" si="147">D100&amp;-11</f>
        <v>9.8-11</v>
      </c>
      <c r="L100" s="198">
        <f t="shared" si="119"/>
        <v>0.2</v>
      </c>
      <c r="M100" s="49">
        <v>30</v>
      </c>
      <c r="N100" s="198">
        <f t="shared" si="142"/>
        <v>150</v>
      </c>
      <c r="O100" s="198">
        <f t="shared" si="142"/>
        <v>160</v>
      </c>
      <c r="P100" s="198">
        <f t="shared" si="142"/>
        <v>270</v>
      </c>
      <c r="Q100" s="196">
        <f t="shared" si="85"/>
        <v>6</v>
      </c>
    </row>
    <row r="101" spans="1:17" x14ac:dyDescent="0.25">
      <c r="A101" s="229">
        <f t="shared" ref="A101:B101" si="148">A100+1</f>
        <v>1351</v>
      </c>
      <c r="B101" s="230">
        <f t="shared" si="148"/>
        <v>91</v>
      </c>
      <c r="C101" s="229" t="str">
        <f t="shared" si="111"/>
        <v>21bX10+000_060_11</v>
      </c>
      <c r="D101" s="197">
        <f t="shared" si="80"/>
        <v>9.8000000000000007</v>
      </c>
      <c r="E101" s="204">
        <f t="shared" si="81"/>
        <v>1.8130000000000002</v>
      </c>
      <c r="F101" s="198">
        <f t="shared" si="82"/>
        <v>18.5</v>
      </c>
      <c r="G101" s="198">
        <f t="shared" si="83"/>
        <v>14.8</v>
      </c>
      <c r="H101" s="198">
        <f t="shared" si="84"/>
        <v>9.25</v>
      </c>
      <c r="I101" s="198">
        <f t="shared" si="137"/>
        <v>8</v>
      </c>
      <c r="J101" s="199">
        <f t="shared" si="137"/>
        <v>0</v>
      </c>
      <c r="K101" s="194" t="str">
        <f t="shared" si="147"/>
        <v>9.8-11</v>
      </c>
      <c r="L101" s="198">
        <f t="shared" si="119"/>
        <v>0.2</v>
      </c>
      <c r="M101" s="49">
        <v>60</v>
      </c>
      <c r="N101" s="198">
        <f t="shared" si="142"/>
        <v>150</v>
      </c>
      <c r="O101" s="198">
        <f t="shared" si="142"/>
        <v>160</v>
      </c>
      <c r="P101" s="198">
        <f t="shared" si="142"/>
        <v>270</v>
      </c>
      <c r="Q101" s="196">
        <f t="shared" si="85"/>
        <v>6</v>
      </c>
    </row>
    <row r="102" spans="1:17" x14ac:dyDescent="0.25">
      <c r="A102" s="229">
        <f t="shared" ref="A102:B102" si="149">A101+1</f>
        <v>1352</v>
      </c>
      <c r="B102" s="230">
        <f t="shared" si="149"/>
        <v>92</v>
      </c>
      <c r="C102" s="229" t="str">
        <f t="shared" si="111"/>
        <v>21bX10+000_090_11</v>
      </c>
      <c r="D102" s="197">
        <f t="shared" si="80"/>
        <v>9.8000000000000007</v>
      </c>
      <c r="E102" s="204">
        <f t="shared" si="81"/>
        <v>1.8130000000000002</v>
      </c>
      <c r="F102" s="198">
        <f t="shared" si="82"/>
        <v>18.5</v>
      </c>
      <c r="G102" s="198">
        <f t="shared" si="83"/>
        <v>14.8</v>
      </c>
      <c r="H102" s="198">
        <f t="shared" si="84"/>
        <v>9.25</v>
      </c>
      <c r="I102" s="198">
        <f t="shared" si="137"/>
        <v>8</v>
      </c>
      <c r="J102" s="199">
        <f t="shared" si="137"/>
        <v>0</v>
      </c>
      <c r="K102" s="194" t="str">
        <f t="shared" si="147"/>
        <v>9.8-11</v>
      </c>
      <c r="L102" s="198">
        <f t="shared" si="119"/>
        <v>0.2</v>
      </c>
      <c r="M102" s="49">
        <v>90</v>
      </c>
      <c r="N102" s="198">
        <f t="shared" si="142"/>
        <v>150</v>
      </c>
      <c r="O102" s="198">
        <f t="shared" si="142"/>
        <v>160</v>
      </c>
      <c r="P102" s="198">
        <f t="shared" si="142"/>
        <v>270</v>
      </c>
      <c r="Q102" s="196">
        <f t="shared" si="85"/>
        <v>6</v>
      </c>
    </row>
    <row r="103" spans="1:17" x14ac:dyDescent="0.25">
      <c r="A103" s="229">
        <f t="shared" ref="A103:B103" si="150">A102+1</f>
        <v>1353</v>
      </c>
      <c r="B103" s="230">
        <f t="shared" si="150"/>
        <v>93</v>
      </c>
      <c r="C103" s="229" t="str">
        <f t="shared" si="111"/>
        <v>21bX10+000_000_12</v>
      </c>
      <c r="D103" s="197">
        <f t="shared" si="80"/>
        <v>9.8000000000000007</v>
      </c>
      <c r="E103" s="204">
        <f t="shared" si="81"/>
        <v>1.8130000000000002</v>
      </c>
      <c r="F103" s="198">
        <f t="shared" si="82"/>
        <v>18.5</v>
      </c>
      <c r="G103" s="198">
        <f t="shared" si="83"/>
        <v>14.8</v>
      </c>
      <c r="H103" s="198">
        <f t="shared" si="84"/>
        <v>9.25</v>
      </c>
      <c r="I103" s="198">
        <f t="shared" si="137"/>
        <v>8</v>
      </c>
      <c r="J103" s="199">
        <f t="shared" si="137"/>
        <v>0</v>
      </c>
      <c r="K103" s="194" t="str">
        <f>D103&amp;-12</f>
        <v>9.8-12</v>
      </c>
      <c r="L103" s="198">
        <f t="shared" si="119"/>
        <v>0.2</v>
      </c>
      <c r="M103" s="49">
        <v>0</v>
      </c>
      <c r="N103" s="198">
        <f t="shared" si="142"/>
        <v>150</v>
      </c>
      <c r="O103" s="198">
        <f t="shared" si="142"/>
        <v>160</v>
      </c>
      <c r="P103" s="198">
        <f t="shared" si="142"/>
        <v>270</v>
      </c>
      <c r="Q103" s="196">
        <f t="shared" si="85"/>
        <v>6</v>
      </c>
    </row>
    <row r="104" spans="1:17" x14ac:dyDescent="0.25">
      <c r="A104" s="229">
        <f t="shared" ref="A104:B104" si="151">A103+1</f>
        <v>1354</v>
      </c>
      <c r="B104" s="230">
        <f t="shared" si="151"/>
        <v>94</v>
      </c>
      <c r="C104" s="229" t="str">
        <f t="shared" si="111"/>
        <v>21bX10+000_030_12</v>
      </c>
      <c r="D104" s="197">
        <f t="shared" si="80"/>
        <v>9.8000000000000007</v>
      </c>
      <c r="E104" s="204">
        <f t="shared" si="81"/>
        <v>1.8130000000000002</v>
      </c>
      <c r="F104" s="198">
        <f t="shared" si="82"/>
        <v>18.5</v>
      </c>
      <c r="G104" s="198">
        <f t="shared" si="83"/>
        <v>14.8</v>
      </c>
      <c r="H104" s="198">
        <f t="shared" si="84"/>
        <v>9.25</v>
      </c>
      <c r="I104" s="198">
        <f t="shared" si="137"/>
        <v>8</v>
      </c>
      <c r="J104" s="199">
        <f t="shared" si="137"/>
        <v>0</v>
      </c>
      <c r="K104" s="194" t="str">
        <f t="shared" ref="K104:K106" si="152">D104&amp;-12</f>
        <v>9.8-12</v>
      </c>
      <c r="L104" s="198">
        <f t="shared" si="119"/>
        <v>0.2</v>
      </c>
      <c r="M104" s="49">
        <v>30</v>
      </c>
      <c r="N104" s="198">
        <f t="shared" si="142"/>
        <v>150</v>
      </c>
      <c r="O104" s="198">
        <f t="shared" si="142"/>
        <v>160</v>
      </c>
      <c r="P104" s="198">
        <f t="shared" si="142"/>
        <v>270</v>
      </c>
      <c r="Q104" s="196">
        <f t="shared" si="85"/>
        <v>6</v>
      </c>
    </row>
    <row r="105" spans="1:17" x14ac:dyDescent="0.25">
      <c r="A105" s="229">
        <f t="shared" ref="A105:B105" si="153">A104+1</f>
        <v>1355</v>
      </c>
      <c r="B105" s="230">
        <f t="shared" si="153"/>
        <v>95</v>
      </c>
      <c r="C105" s="229" t="str">
        <f t="shared" si="111"/>
        <v>21bX10+000_060_12</v>
      </c>
      <c r="D105" s="197">
        <f t="shared" si="80"/>
        <v>9.8000000000000007</v>
      </c>
      <c r="E105" s="204">
        <f t="shared" si="81"/>
        <v>1.8130000000000002</v>
      </c>
      <c r="F105" s="198">
        <f t="shared" si="82"/>
        <v>18.5</v>
      </c>
      <c r="G105" s="198">
        <f t="shared" si="83"/>
        <v>14.8</v>
      </c>
      <c r="H105" s="198">
        <f t="shared" si="84"/>
        <v>9.25</v>
      </c>
      <c r="I105" s="198">
        <f t="shared" si="137"/>
        <v>8</v>
      </c>
      <c r="J105" s="199">
        <f t="shared" si="137"/>
        <v>0</v>
      </c>
      <c r="K105" s="194" t="str">
        <f t="shared" si="152"/>
        <v>9.8-12</v>
      </c>
      <c r="L105" s="198">
        <f t="shared" si="119"/>
        <v>0.2</v>
      </c>
      <c r="M105" s="49">
        <v>60</v>
      </c>
      <c r="N105" s="198">
        <f t="shared" si="142"/>
        <v>150</v>
      </c>
      <c r="O105" s="198">
        <f t="shared" si="142"/>
        <v>160</v>
      </c>
      <c r="P105" s="198">
        <f t="shared" si="142"/>
        <v>270</v>
      </c>
      <c r="Q105" s="196">
        <f t="shared" si="85"/>
        <v>6</v>
      </c>
    </row>
    <row r="106" spans="1:17" x14ac:dyDescent="0.25">
      <c r="A106" s="229">
        <f t="shared" ref="A106:B106" si="154">A105+1</f>
        <v>1356</v>
      </c>
      <c r="B106" s="230">
        <f t="shared" si="154"/>
        <v>96</v>
      </c>
      <c r="C106" s="229" t="str">
        <f t="shared" si="111"/>
        <v>21bX10+000_090_12</v>
      </c>
      <c r="D106" s="197">
        <f t="shared" si="80"/>
        <v>9.8000000000000007</v>
      </c>
      <c r="E106" s="204">
        <f t="shared" si="81"/>
        <v>1.8130000000000002</v>
      </c>
      <c r="F106" s="198">
        <f t="shared" si="82"/>
        <v>18.5</v>
      </c>
      <c r="G106" s="198">
        <f t="shared" si="83"/>
        <v>14.8</v>
      </c>
      <c r="H106" s="198">
        <f t="shared" si="84"/>
        <v>9.25</v>
      </c>
      <c r="I106" s="198">
        <f t="shared" si="137"/>
        <v>8</v>
      </c>
      <c r="J106" s="199">
        <f t="shared" si="137"/>
        <v>0</v>
      </c>
      <c r="K106" s="194" t="str">
        <f t="shared" si="152"/>
        <v>9.8-12</v>
      </c>
      <c r="L106" s="198">
        <f t="shared" si="119"/>
        <v>0.2</v>
      </c>
      <c r="M106" s="49">
        <v>90</v>
      </c>
      <c r="N106" s="198">
        <f t="shared" si="142"/>
        <v>150</v>
      </c>
      <c r="O106" s="198">
        <f t="shared" si="142"/>
        <v>160</v>
      </c>
      <c r="P106" s="198">
        <f t="shared" si="142"/>
        <v>270</v>
      </c>
      <c r="Q106" s="196">
        <f t="shared" si="85"/>
        <v>6</v>
      </c>
    </row>
    <row r="107" spans="1:17" x14ac:dyDescent="0.25">
      <c r="A107" s="229">
        <f t="shared" ref="A107:B107" si="155">A106+1</f>
        <v>1357</v>
      </c>
      <c r="B107" s="230">
        <f t="shared" si="155"/>
        <v>97</v>
      </c>
      <c r="C107" s="229" t="str">
        <f t="shared" si="111"/>
        <v>21bX12+000_000_01</v>
      </c>
      <c r="D107" s="197">
        <f>vr_a</f>
        <v>11.8</v>
      </c>
      <c r="E107" s="204">
        <f t="shared" ref="E107" si="156">I_ref*(0.75*D107+5.6)</f>
        <v>2.0230000000000001</v>
      </c>
      <c r="F107" s="198">
        <f>E107/D107*100</f>
        <v>17.14406779661017</v>
      </c>
      <c r="G107" s="198">
        <f t="shared" ref="G107" si="157">m_ty*F107</f>
        <v>13.715254237288136</v>
      </c>
      <c r="H107" s="198">
        <f t="shared" ref="H107" si="158">m_tz*F107</f>
        <v>8.5720338983050848</v>
      </c>
      <c r="I107" s="198">
        <f>inflow</f>
        <v>8</v>
      </c>
      <c r="J107" s="199">
        <f>yaw_null</f>
        <v>0</v>
      </c>
      <c r="K107" s="194" t="str">
        <f>D107&amp;-1</f>
        <v>11.8-1</v>
      </c>
      <c r="L107" s="198">
        <f>alpha_n</f>
        <v>0.2</v>
      </c>
      <c r="M107" s="49">
        <v>0</v>
      </c>
      <c r="N107" s="198">
        <f>t_out</f>
        <v>150</v>
      </c>
      <c r="O107" s="198">
        <f>trig_t</f>
        <v>160</v>
      </c>
      <c r="P107" s="198">
        <f>N107+2*T_s2</f>
        <v>270</v>
      </c>
      <c r="Q107" s="196">
        <f t="shared" ref="Q107:Q154" si="159">1*pitch_runaway_feather</f>
        <v>6</v>
      </c>
    </row>
    <row r="108" spans="1:17" x14ac:dyDescent="0.25">
      <c r="A108" s="229">
        <f t="shared" ref="A108:B108" si="160">A107+1</f>
        <v>1358</v>
      </c>
      <c r="B108" s="230">
        <f t="shared" si="160"/>
        <v>98</v>
      </c>
      <c r="C108" s="229" t="str">
        <f t="shared" si="111"/>
        <v>21bX12+000_030_01</v>
      </c>
      <c r="D108" s="197">
        <f t="shared" ref="D108:D154" si="161">D107</f>
        <v>11.8</v>
      </c>
      <c r="E108" s="204">
        <f t="shared" ref="E108:E150" si="162">I_ref*(0.75*D108+5.6)</f>
        <v>2.0230000000000001</v>
      </c>
      <c r="F108" s="198">
        <f t="shared" ref="F108:F154" si="163">E108/D108*100</f>
        <v>17.14406779661017</v>
      </c>
      <c r="G108" s="198">
        <f t="shared" ref="G108:G150" si="164">m_ty*F108</f>
        <v>13.715254237288136</v>
      </c>
      <c r="H108" s="198">
        <f t="shared" ref="H108:H150" si="165">m_tz*F108</f>
        <v>8.5720338983050848</v>
      </c>
      <c r="I108" s="198">
        <f t="shared" ref="I108:J123" si="166">I107</f>
        <v>8</v>
      </c>
      <c r="J108" s="199">
        <f t="shared" ref="J108:J111" si="167">J107</f>
        <v>0</v>
      </c>
      <c r="K108" s="194" t="str">
        <f t="shared" ref="K108:K110" si="168">D108&amp;-1</f>
        <v>11.8-1</v>
      </c>
      <c r="L108" s="198">
        <f t="shared" ref="L108:L154" si="169">L107</f>
        <v>0.2</v>
      </c>
      <c r="M108" s="49">
        <v>30</v>
      </c>
      <c r="N108" s="198">
        <f t="shared" ref="N108:P123" si="170">N107</f>
        <v>150</v>
      </c>
      <c r="O108" s="198">
        <f t="shared" si="170"/>
        <v>160</v>
      </c>
      <c r="P108" s="198">
        <f t="shared" si="170"/>
        <v>270</v>
      </c>
      <c r="Q108" s="196">
        <f t="shared" si="159"/>
        <v>6</v>
      </c>
    </row>
    <row r="109" spans="1:17" x14ac:dyDescent="0.25">
      <c r="A109" s="229">
        <f t="shared" ref="A109:B109" si="171">A108+1</f>
        <v>1359</v>
      </c>
      <c r="B109" s="230">
        <f t="shared" si="171"/>
        <v>99</v>
      </c>
      <c r="C109" s="229" t="str">
        <f t="shared" si="111"/>
        <v>21bX12+000_060_01</v>
      </c>
      <c r="D109" s="197">
        <f t="shared" si="161"/>
        <v>11.8</v>
      </c>
      <c r="E109" s="204">
        <f t="shared" si="162"/>
        <v>2.0230000000000001</v>
      </c>
      <c r="F109" s="198">
        <f t="shared" si="163"/>
        <v>17.14406779661017</v>
      </c>
      <c r="G109" s="198">
        <f t="shared" si="164"/>
        <v>13.715254237288136</v>
      </c>
      <c r="H109" s="198">
        <f t="shared" si="165"/>
        <v>8.5720338983050848</v>
      </c>
      <c r="I109" s="198">
        <f t="shared" si="166"/>
        <v>8</v>
      </c>
      <c r="J109" s="199">
        <f t="shared" si="167"/>
        <v>0</v>
      </c>
      <c r="K109" s="194" t="str">
        <f t="shared" si="168"/>
        <v>11.8-1</v>
      </c>
      <c r="L109" s="198">
        <f t="shared" si="169"/>
        <v>0.2</v>
      </c>
      <c r="M109" s="49">
        <v>60</v>
      </c>
      <c r="N109" s="198">
        <f t="shared" si="170"/>
        <v>150</v>
      </c>
      <c r="O109" s="198">
        <f t="shared" si="170"/>
        <v>160</v>
      </c>
      <c r="P109" s="198">
        <f t="shared" si="170"/>
        <v>270</v>
      </c>
      <c r="Q109" s="196">
        <f t="shared" si="159"/>
        <v>6</v>
      </c>
    </row>
    <row r="110" spans="1:17" x14ac:dyDescent="0.25">
      <c r="A110" s="229">
        <f t="shared" ref="A110:B110" si="172">A109+1</f>
        <v>1360</v>
      </c>
      <c r="B110" s="230">
        <f t="shared" si="172"/>
        <v>100</v>
      </c>
      <c r="C110" s="229" t="str">
        <f t="shared" si="111"/>
        <v>21bX12+000_090_01</v>
      </c>
      <c r="D110" s="197">
        <f t="shared" si="161"/>
        <v>11.8</v>
      </c>
      <c r="E110" s="204">
        <f t="shared" si="162"/>
        <v>2.0230000000000001</v>
      </c>
      <c r="F110" s="198">
        <f t="shared" si="163"/>
        <v>17.14406779661017</v>
      </c>
      <c r="G110" s="198">
        <f t="shared" si="164"/>
        <v>13.715254237288136</v>
      </c>
      <c r="H110" s="198">
        <f t="shared" si="165"/>
        <v>8.5720338983050848</v>
      </c>
      <c r="I110" s="198">
        <f t="shared" si="166"/>
        <v>8</v>
      </c>
      <c r="J110" s="199">
        <f t="shared" si="167"/>
        <v>0</v>
      </c>
      <c r="K110" s="194" t="str">
        <f t="shared" si="168"/>
        <v>11.8-1</v>
      </c>
      <c r="L110" s="198">
        <f t="shared" si="169"/>
        <v>0.2</v>
      </c>
      <c r="M110" s="49">
        <v>90</v>
      </c>
      <c r="N110" s="198">
        <f t="shared" si="170"/>
        <v>150</v>
      </c>
      <c r="O110" s="198">
        <f t="shared" si="170"/>
        <v>160</v>
      </c>
      <c r="P110" s="198">
        <f t="shared" si="170"/>
        <v>270</v>
      </c>
      <c r="Q110" s="196">
        <f t="shared" si="159"/>
        <v>6</v>
      </c>
    </row>
    <row r="111" spans="1:17" x14ac:dyDescent="0.25">
      <c r="A111" s="229">
        <f t="shared" ref="A111:B111" si="173">A110+1</f>
        <v>1361</v>
      </c>
      <c r="B111" s="230">
        <f t="shared" si="173"/>
        <v>101</v>
      </c>
      <c r="C111" s="229" t="str">
        <f t="shared" si="111"/>
        <v>21bX12+000_000_02</v>
      </c>
      <c r="D111" s="197">
        <f t="shared" si="161"/>
        <v>11.8</v>
      </c>
      <c r="E111" s="204">
        <f t="shared" si="162"/>
        <v>2.0230000000000001</v>
      </c>
      <c r="F111" s="198">
        <f t="shared" si="163"/>
        <v>17.14406779661017</v>
      </c>
      <c r="G111" s="198">
        <f t="shared" si="164"/>
        <v>13.715254237288136</v>
      </c>
      <c r="H111" s="198">
        <f t="shared" si="165"/>
        <v>8.5720338983050848</v>
      </c>
      <c r="I111" s="198">
        <f t="shared" si="166"/>
        <v>8</v>
      </c>
      <c r="J111" s="199">
        <f t="shared" si="167"/>
        <v>0</v>
      </c>
      <c r="K111" s="194" t="str">
        <f>D111&amp;-2</f>
        <v>11.8-2</v>
      </c>
      <c r="L111" s="198">
        <f t="shared" si="169"/>
        <v>0.2</v>
      </c>
      <c r="M111" s="49">
        <v>0</v>
      </c>
      <c r="N111" s="198">
        <f t="shared" si="170"/>
        <v>150</v>
      </c>
      <c r="O111" s="198">
        <f t="shared" si="170"/>
        <v>160</v>
      </c>
      <c r="P111" s="198">
        <f t="shared" si="170"/>
        <v>270</v>
      </c>
      <c r="Q111" s="196">
        <f t="shared" si="159"/>
        <v>6</v>
      </c>
    </row>
    <row r="112" spans="1:17" x14ac:dyDescent="0.25">
      <c r="A112" s="229">
        <f t="shared" ref="A112:B112" si="174">A111+1</f>
        <v>1362</v>
      </c>
      <c r="B112" s="230">
        <f t="shared" si="174"/>
        <v>102</v>
      </c>
      <c r="C112" s="229" t="str">
        <f t="shared" si="111"/>
        <v>21bX12+000_030_02</v>
      </c>
      <c r="D112" s="197">
        <f t="shared" si="161"/>
        <v>11.8</v>
      </c>
      <c r="E112" s="204">
        <f t="shared" si="162"/>
        <v>2.0230000000000001</v>
      </c>
      <c r="F112" s="198">
        <f t="shared" si="163"/>
        <v>17.14406779661017</v>
      </c>
      <c r="G112" s="198">
        <f t="shared" si="164"/>
        <v>13.715254237288136</v>
      </c>
      <c r="H112" s="198">
        <f t="shared" si="165"/>
        <v>8.5720338983050848</v>
      </c>
      <c r="I112" s="198">
        <f t="shared" si="166"/>
        <v>8</v>
      </c>
      <c r="J112" s="199">
        <f t="shared" si="166"/>
        <v>0</v>
      </c>
      <c r="K112" s="194" t="str">
        <f t="shared" ref="K112:K114" si="175">D112&amp;-2</f>
        <v>11.8-2</v>
      </c>
      <c r="L112" s="198">
        <f t="shared" si="169"/>
        <v>0.2</v>
      </c>
      <c r="M112" s="49">
        <v>30</v>
      </c>
      <c r="N112" s="198">
        <f t="shared" si="170"/>
        <v>150</v>
      </c>
      <c r="O112" s="198">
        <f t="shared" si="170"/>
        <v>160</v>
      </c>
      <c r="P112" s="198">
        <f t="shared" si="170"/>
        <v>270</v>
      </c>
      <c r="Q112" s="196">
        <f t="shared" si="159"/>
        <v>6</v>
      </c>
    </row>
    <row r="113" spans="1:17" x14ac:dyDescent="0.25">
      <c r="A113" s="229">
        <f t="shared" ref="A113:B113" si="176">A112+1</f>
        <v>1363</v>
      </c>
      <c r="B113" s="230">
        <f t="shared" si="176"/>
        <v>103</v>
      </c>
      <c r="C113" s="229" t="str">
        <f t="shared" si="111"/>
        <v>21bX12+000_060_02</v>
      </c>
      <c r="D113" s="197">
        <f t="shared" si="161"/>
        <v>11.8</v>
      </c>
      <c r="E113" s="204">
        <f t="shared" si="162"/>
        <v>2.0230000000000001</v>
      </c>
      <c r="F113" s="198">
        <f t="shared" si="163"/>
        <v>17.14406779661017</v>
      </c>
      <c r="G113" s="198">
        <f t="shared" si="164"/>
        <v>13.715254237288136</v>
      </c>
      <c r="H113" s="198">
        <f t="shared" si="165"/>
        <v>8.5720338983050848</v>
      </c>
      <c r="I113" s="198">
        <f t="shared" si="166"/>
        <v>8</v>
      </c>
      <c r="J113" s="199">
        <f t="shared" si="166"/>
        <v>0</v>
      </c>
      <c r="K113" s="194" t="str">
        <f t="shared" si="175"/>
        <v>11.8-2</v>
      </c>
      <c r="L113" s="198">
        <f t="shared" si="169"/>
        <v>0.2</v>
      </c>
      <c r="M113" s="49">
        <v>60</v>
      </c>
      <c r="N113" s="198">
        <f t="shared" si="170"/>
        <v>150</v>
      </c>
      <c r="O113" s="198">
        <f t="shared" si="170"/>
        <v>160</v>
      </c>
      <c r="P113" s="198">
        <f t="shared" si="170"/>
        <v>270</v>
      </c>
      <c r="Q113" s="196">
        <f t="shared" si="159"/>
        <v>6</v>
      </c>
    </row>
    <row r="114" spans="1:17" x14ac:dyDescent="0.25">
      <c r="A114" s="229">
        <f t="shared" ref="A114:B114" si="177">A113+1</f>
        <v>1364</v>
      </c>
      <c r="B114" s="230">
        <f t="shared" si="177"/>
        <v>104</v>
      </c>
      <c r="C114" s="229" t="str">
        <f t="shared" si="111"/>
        <v>21bX12+000_090_02</v>
      </c>
      <c r="D114" s="197">
        <f t="shared" si="161"/>
        <v>11.8</v>
      </c>
      <c r="E114" s="204">
        <f t="shared" si="162"/>
        <v>2.0230000000000001</v>
      </c>
      <c r="F114" s="198">
        <f t="shared" si="163"/>
        <v>17.14406779661017</v>
      </c>
      <c r="G114" s="198">
        <f t="shared" si="164"/>
        <v>13.715254237288136</v>
      </c>
      <c r="H114" s="198">
        <f t="shared" si="165"/>
        <v>8.5720338983050848</v>
      </c>
      <c r="I114" s="198">
        <f t="shared" si="166"/>
        <v>8</v>
      </c>
      <c r="J114" s="199">
        <f t="shared" si="166"/>
        <v>0</v>
      </c>
      <c r="K114" s="194" t="str">
        <f t="shared" si="175"/>
        <v>11.8-2</v>
      </c>
      <c r="L114" s="198">
        <f t="shared" si="169"/>
        <v>0.2</v>
      </c>
      <c r="M114" s="49">
        <v>90</v>
      </c>
      <c r="N114" s="198">
        <f t="shared" si="170"/>
        <v>150</v>
      </c>
      <c r="O114" s="198">
        <f t="shared" si="170"/>
        <v>160</v>
      </c>
      <c r="P114" s="198">
        <f t="shared" si="170"/>
        <v>270</v>
      </c>
      <c r="Q114" s="196">
        <f t="shared" si="159"/>
        <v>6</v>
      </c>
    </row>
    <row r="115" spans="1:17" x14ac:dyDescent="0.25">
      <c r="A115" s="229">
        <f t="shared" ref="A115:B115" si="178">A114+1</f>
        <v>1365</v>
      </c>
      <c r="B115" s="230">
        <f t="shared" si="178"/>
        <v>105</v>
      </c>
      <c r="C115" s="229" t="str">
        <f t="shared" si="111"/>
        <v>21bX12+000_000_03</v>
      </c>
      <c r="D115" s="197">
        <f t="shared" si="161"/>
        <v>11.8</v>
      </c>
      <c r="E115" s="204">
        <f t="shared" si="162"/>
        <v>2.0230000000000001</v>
      </c>
      <c r="F115" s="198">
        <f t="shared" si="163"/>
        <v>17.14406779661017</v>
      </c>
      <c r="G115" s="198">
        <f t="shared" si="164"/>
        <v>13.715254237288136</v>
      </c>
      <c r="H115" s="198">
        <f t="shared" si="165"/>
        <v>8.5720338983050848</v>
      </c>
      <c r="I115" s="198">
        <f t="shared" si="166"/>
        <v>8</v>
      </c>
      <c r="J115" s="199">
        <f t="shared" si="166"/>
        <v>0</v>
      </c>
      <c r="K115" s="194" t="str">
        <f>D115&amp;-3</f>
        <v>11.8-3</v>
      </c>
      <c r="L115" s="198">
        <f t="shared" si="169"/>
        <v>0.2</v>
      </c>
      <c r="M115" s="49">
        <v>0</v>
      </c>
      <c r="N115" s="198">
        <f t="shared" si="170"/>
        <v>150</v>
      </c>
      <c r="O115" s="198">
        <f t="shared" si="170"/>
        <v>160</v>
      </c>
      <c r="P115" s="198">
        <f t="shared" si="170"/>
        <v>270</v>
      </c>
      <c r="Q115" s="196">
        <f t="shared" si="159"/>
        <v>6</v>
      </c>
    </row>
    <row r="116" spans="1:17" x14ac:dyDescent="0.25">
      <c r="A116" s="229">
        <f t="shared" ref="A116:B116" si="179">A115+1</f>
        <v>1366</v>
      </c>
      <c r="B116" s="230">
        <f t="shared" si="179"/>
        <v>106</v>
      </c>
      <c r="C116" s="229" t="str">
        <f t="shared" si="111"/>
        <v>21bX12+000_030_03</v>
      </c>
      <c r="D116" s="197">
        <f t="shared" si="161"/>
        <v>11.8</v>
      </c>
      <c r="E116" s="204">
        <f t="shared" si="162"/>
        <v>2.0230000000000001</v>
      </c>
      <c r="F116" s="198">
        <f t="shared" si="163"/>
        <v>17.14406779661017</v>
      </c>
      <c r="G116" s="198">
        <f t="shared" si="164"/>
        <v>13.715254237288136</v>
      </c>
      <c r="H116" s="198">
        <f t="shared" si="165"/>
        <v>8.5720338983050848</v>
      </c>
      <c r="I116" s="198">
        <f t="shared" si="166"/>
        <v>8</v>
      </c>
      <c r="J116" s="199">
        <f t="shared" si="166"/>
        <v>0</v>
      </c>
      <c r="K116" s="194" t="str">
        <f t="shared" ref="K116:K118" si="180">D116&amp;-3</f>
        <v>11.8-3</v>
      </c>
      <c r="L116" s="198">
        <f t="shared" si="169"/>
        <v>0.2</v>
      </c>
      <c r="M116" s="49">
        <v>30</v>
      </c>
      <c r="N116" s="198">
        <f t="shared" si="170"/>
        <v>150</v>
      </c>
      <c r="O116" s="198">
        <f t="shared" si="170"/>
        <v>160</v>
      </c>
      <c r="P116" s="198">
        <f t="shared" si="170"/>
        <v>270</v>
      </c>
      <c r="Q116" s="196">
        <f t="shared" si="159"/>
        <v>6</v>
      </c>
    </row>
    <row r="117" spans="1:17" x14ac:dyDescent="0.25">
      <c r="A117" s="229">
        <f t="shared" ref="A117:B117" si="181">A116+1</f>
        <v>1367</v>
      </c>
      <c r="B117" s="230">
        <f t="shared" si="181"/>
        <v>107</v>
      </c>
      <c r="C117" s="229" t="str">
        <f t="shared" si="111"/>
        <v>21bX12+000_060_03</v>
      </c>
      <c r="D117" s="197">
        <f t="shared" si="161"/>
        <v>11.8</v>
      </c>
      <c r="E117" s="204">
        <f t="shared" si="162"/>
        <v>2.0230000000000001</v>
      </c>
      <c r="F117" s="198">
        <f t="shared" si="163"/>
        <v>17.14406779661017</v>
      </c>
      <c r="G117" s="198">
        <f t="shared" si="164"/>
        <v>13.715254237288136</v>
      </c>
      <c r="H117" s="198">
        <f t="shared" si="165"/>
        <v>8.5720338983050848</v>
      </c>
      <c r="I117" s="198">
        <f t="shared" si="166"/>
        <v>8</v>
      </c>
      <c r="J117" s="199">
        <f t="shared" si="166"/>
        <v>0</v>
      </c>
      <c r="K117" s="194" t="str">
        <f t="shared" si="180"/>
        <v>11.8-3</v>
      </c>
      <c r="L117" s="198">
        <f t="shared" si="169"/>
        <v>0.2</v>
      </c>
      <c r="M117" s="49">
        <v>60</v>
      </c>
      <c r="N117" s="198">
        <f t="shared" si="170"/>
        <v>150</v>
      </c>
      <c r="O117" s="198">
        <f t="shared" si="170"/>
        <v>160</v>
      </c>
      <c r="P117" s="198">
        <f t="shared" si="170"/>
        <v>270</v>
      </c>
      <c r="Q117" s="196">
        <f t="shared" si="159"/>
        <v>6</v>
      </c>
    </row>
    <row r="118" spans="1:17" x14ac:dyDescent="0.25">
      <c r="A118" s="229">
        <f t="shared" ref="A118:B118" si="182">A117+1</f>
        <v>1368</v>
      </c>
      <c r="B118" s="230">
        <f t="shared" si="182"/>
        <v>108</v>
      </c>
      <c r="C118" s="229" t="str">
        <f t="shared" si="111"/>
        <v>21bX12+000_090_03</v>
      </c>
      <c r="D118" s="197">
        <f t="shared" si="161"/>
        <v>11.8</v>
      </c>
      <c r="E118" s="204">
        <f t="shared" si="162"/>
        <v>2.0230000000000001</v>
      </c>
      <c r="F118" s="198">
        <f t="shared" si="163"/>
        <v>17.14406779661017</v>
      </c>
      <c r="G118" s="198">
        <f t="shared" si="164"/>
        <v>13.715254237288136</v>
      </c>
      <c r="H118" s="198">
        <f t="shared" si="165"/>
        <v>8.5720338983050848</v>
      </c>
      <c r="I118" s="198">
        <f t="shared" si="166"/>
        <v>8</v>
      </c>
      <c r="J118" s="199">
        <f t="shared" si="166"/>
        <v>0</v>
      </c>
      <c r="K118" s="194" t="str">
        <f t="shared" si="180"/>
        <v>11.8-3</v>
      </c>
      <c r="L118" s="198">
        <f t="shared" si="169"/>
        <v>0.2</v>
      </c>
      <c r="M118" s="49">
        <v>90</v>
      </c>
      <c r="N118" s="198">
        <f t="shared" si="170"/>
        <v>150</v>
      </c>
      <c r="O118" s="198">
        <f t="shared" si="170"/>
        <v>160</v>
      </c>
      <c r="P118" s="198">
        <f t="shared" si="170"/>
        <v>270</v>
      </c>
      <c r="Q118" s="196">
        <f t="shared" si="159"/>
        <v>6</v>
      </c>
    </row>
    <row r="119" spans="1:17" x14ac:dyDescent="0.25">
      <c r="A119" s="229">
        <f t="shared" ref="A119:B119" si="183">A118+1</f>
        <v>1369</v>
      </c>
      <c r="B119" s="230">
        <f t="shared" si="183"/>
        <v>109</v>
      </c>
      <c r="C119" s="229" t="str">
        <f t="shared" si="111"/>
        <v>21bX12+000_000_04</v>
      </c>
      <c r="D119" s="197">
        <f t="shared" si="161"/>
        <v>11.8</v>
      </c>
      <c r="E119" s="204">
        <f t="shared" si="162"/>
        <v>2.0230000000000001</v>
      </c>
      <c r="F119" s="198">
        <f t="shared" si="163"/>
        <v>17.14406779661017</v>
      </c>
      <c r="G119" s="198">
        <f t="shared" si="164"/>
        <v>13.715254237288136</v>
      </c>
      <c r="H119" s="198">
        <f t="shared" si="165"/>
        <v>8.5720338983050848</v>
      </c>
      <c r="I119" s="198">
        <f t="shared" si="166"/>
        <v>8</v>
      </c>
      <c r="J119" s="199">
        <f t="shared" si="166"/>
        <v>0</v>
      </c>
      <c r="K119" s="194" t="str">
        <f>D119&amp;-4</f>
        <v>11.8-4</v>
      </c>
      <c r="L119" s="198">
        <f t="shared" si="169"/>
        <v>0.2</v>
      </c>
      <c r="M119" s="49">
        <v>0</v>
      </c>
      <c r="N119" s="198">
        <f t="shared" si="170"/>
        <v>150</v>
      </c>
      <c r="O119" s="198">
        <f t="shared" si="170"/>
        <v>160</v>
      </c>
      <c r="P119" s="198">
        <f t="shared" si="170"/>
        <v>270</v>
      </c>
      <c r="Q119" s="196">
        <f t="shared" si="159"/>
        <v>6</v>
      </c>
    </row>
    <row r="120" spans="1:17" x14ac:dyDescent="0.25">
      <c r="A120" s="229">
        <f t="shared" ref="A120:B120" si="184">A119+1</f>
        <v>1370</v>
      </c>
      <c r="B120" s="230">
        <f t="shared" si="184"/>
        <v>110</v>
      </c>
      <c r="C120" s="229" t="str">
        <f t="shared" si="111"/>
        <v>21bX12+000_030_04</v>
      </c>
      <c r="D120" s="197">
        <f t="shared" si="161"/>
        <v>11.8</v>
      </c>
      <c r="E120" s="204">
        <f t="shared" si="162"/>
        <v>2.0230000000000001</v>
      </c>
      <c r="F120" s="198">
        <f t="shared" si="163"/>
        <v>17.14406779661017</v>
      </c>
      <c r="G120" s="198">
        <f t="shared" si="164"/>
        <v>13.715254237288136</v>
      </c>
      <c r="H120" s="198">
        <f t="shared" si="165"/>
        <v>8.5720338983050848</v>
      </c>
      <c r="I120" s="198">
        <f t="shared" si="166"/>
        <v>8</v>
      </c>
      <c r="J120" s="199">
        <f t="shared" si="166"/>
        <v>0</v>
      </c>
      <c r="K120" s="194" t="str">
        <f t="shared" ref="K120:K122" si="185">D120&amp;-4</f>
        <v>11.8-4</v>
      </c>
      <c r="L120" s="198">
        <f t="shared" si="169"/>
        <v>0.2</v>
      </c>
      <c r="M120" s="49">
        <v>30</v>
      </c>
      <c r="N120" s="198">
        <f t="shared" si="170"/>
        <v>150</v>
      </c>
      <c r="O120" s="198">
        <f t="shared" si="170"/>
        <v>160</v>
      </c>
      <c r="P120" s="198">
        <f t="shared" si="170"/>
        <v>270</v>
      </c>
      <c r="Q120" s="196">
        <f t="shared" si="159"/>
        <v>6</v>
      </c>
    </row>
    <row r="121" spans="1:17" x14ac:dyDescent="0.25">
      <c r="A121" s="229">
        <f t="shared" ref="A121:B121" si="186">A120+1</f>
        <v>1371</v>
      </c>
      <c r="B121" s="230">
        <f t="shared" si="186"/>
        <v>111</v>
      </c>
      <c r="C121" s="229" t="str">
        <f t="shared" si="111"/>
        <v>21bX12+000_060_04</v>
      </c>
      <c r="D121" s="197">
        <f t="shared" si="161"/>
        <v>11.8</v>
      </c>
      <c r="E121" s="204">
        <f t="shared" si="162"/>
        <v>2.0230000000000001</v>
      </c>
      <c r="F121" s="198">
        <f t="shared" si="163"/>
        <v>17.14406779661017</v>
      </c>
      <c r="G121" s="198">
        <f t="shared" si="164"/>
        <v>13.715254237288136</v>
      </c>
      <c r="H121" s="198">
        <f t="shared" si="165"/>
        <v>8.5720338983050848</v>
      </c>
      <c r="I121" s="198">
        <f t="shared" si="166"/>
        <v>8</v>
      </c>
      <c r="J121" s="199">
        <f t="shared" si="166"/>
        <v>0</v>
      </c>
      <c r="K121" s="194" t="str">
        <f t="shared" si="185"/>
        <v>11.8-4</v>
      </c>
      <c r="L121" s="198">
        <f t="shared" si="169"/>
        <v>0.2</v>
      </c>
      <c r="M121" s="49">
        <v>60</v>
      </c>
      <c r="N121" s="198">
        <f t="shared" si="170"/>
        <v>150</v>
      </c>
      <c r="O121" s="198">
        <f t="shared" si="170"/>
        <v>160</v>
      </c>
      <c r="P121" s="198">
        <f t="shared" si="170"/>
        <v>270</v>
      </c>
      <c r="Q121" s="196">
        <f t="shared" si="159"/>
        <v>6</v>
      </c>
    </row>
    <row r="122" spans="1:17" x14ac:dyDescent="0.25">
      <c r="A122" s="229">
        <f t="shared" ref="A122:B122" si="187">A121+1</f>
        <v>1372</v>
      </c>
      <c r="B122" s="230">
        <f t="shared" si="187"/>
        <v>112</v>
      </c>
      <c r="C122" s="229" t="str">
        <f t="shared" si="111"/>
        <v>21bX12+000_090_04</v>
      </c>
      <c r="D122" s="197">
        <f t="shared" si="161"/>
        <v>11.8</v>
      </c>
      <c r="E122" s="204">
        <f t="shared" si="162"/>
        <v>2.0230000000000001</v>
      </c>
      <c r="F122" s="198">
        <f t="shared" si="163"/>
        <v>17.14406779661017</v>
      </c>
      <c r="G122" s="198">
        <f t="shared" si="164"/>
        <v>13.715254237288136</v>
      </c>
      <c r="H122" s="198">
        <f t="shared" si="165"/>
        <v>8.5720338983050848</v>
      </c>
      <c r="I122" s="198">
        <f t="shared" si="166"/>
        <v>8</v>
      </c>
      <c r="J122" s="199">
        <f t="shared" si="166"/>
        <v>0</v>
      </c>
      <c r="K122" s="194" t="str">
        <f t="shared" si="185"/>
        <v>11.8-4</v>
      </c>
      <c r="L122" s="198">
        <f t="shared" si="169"/>
        <v>0.2</v>
      </c>
      <c r="M122" s="49">
        <v>90</v>
      </c>
      <c r="N122" s="198">
        <f t="shared" si="170"/>
        <v>150</v>
      </c>
      <c r="O122" s="198">
        <f t="shared" si="170"/>
        <v>160</v>
      </c>
      <c r="P122" s="198">
        <f t="shared" si="170"/>
        <v>270</v>
      </c>
      <c r="Q122" s="196">
        <f t="shared" si="159"/>
        <v>6</v>
      </c>
    </row>
    <row r="123" spans="1:17" x14ac:dyDescent="0.25">
      <c r="A123" s="229">
        <f t="shared" ref="A123:B123" si="188">A122+1</f>
        <v>1373</v>
      </c>
      <c r="B123" s="230">
        <f t="shared" si="188"/>
        <v>113</v>
      </c>
      <c r="C123" s="229" t="str">
        <f t="shared" si="111"/>
        <v>21bX12+000_000_05</v>
      </c>
      <c r="D123" s="197">
        <f t="shared" si="161"/>
        <v>11.8</v>
      </c>
      <c r="E123" s="204">
        <f t="shared" si="162"/>
        <v>2.0230000000000001</v>
      </c>
      <c r="F123" s="198">
        <f t="shared" si="163"/>
        <v>17.14406779661017</v>
      </c>
      <c r="G123" s="198">
        <f t="shared" si="164"/>
        <v>13.715254237288136</v>
      </c>
      <c r="H123" s="198">
        <f t="shared" si="165"/>
        <v>8.5720338983050848</v>
      </c>
      <c r="I123" s="198">
        <f t="shared" si="166"/>
        <v>8</v>
      </c>
      <c r="J123" s="199">
        <f t="shared" si="166"/>
        <v>0</v>
      </c>
      <c r="K123" s="194" t="str">
        <f>D123&amp;-5</f>
        <v>11.8-5</v>
      </c>
      <c r="L123" s="198">
        <f t="shared" si="169"/>
        <v>0.2</v>
      </c>
      <c r="M123" s="49">
        <v>0</v>
      </c>
      <c r="N123" s="198">
        <f t="shared" si="170"/>
        <v>150</v>
      </c>
      <c r="O123" s="198">
        <f t="shared" si="170"/>
        <v>160</v>
      </c>
      <c r="P123" s="198">
        <f t="shared" si="170"/>
        <v>270</v>
      </c>
      <c r="Q123" s="196">
        <f t="shared" si="159"/>
        <v>6</v>
      </c>
    </row>
    <row r="124" spans="1:17" x14ac:dyDescent="0.25">
      <c r="A124" s="229">
        <f t="shared" ref="A124:B124" si="189">A123+1</f>
        <v>1374</v>
      </c>
      <c r="B124" s="230">
        <f t="shared" si="189"/>
        <v>114</v>
      </c>
      <c r="C124" s="229" t="str">
        <f t="shared" si="111"/>
        <v>21bX12+000_030_05</v>
      </c>
      <c r="D124" s="197">
        <f t="shared" si="161"/>
        <v>11.8</v>
      </c>
      <c r="E124" s="204">
        <f t="shared" si="162"/>
        <v>2.0230000000000001</v>
      </c>
      <c r="F124" s="198">
        <f t="shared" si="163"/>
        <v>17.14406779661017</v>
      </c>
      <c r="G124" s="198">
        <f t="shared" si="164"/>
        <v>13.715254237288136</v>
      </c>
      <c r="H124" s="198">
        <f t="shared" si="165"/>
        <v>8.5720338983050848</v>
      </c>
      <c r="I124" s="198">
        <f t="shared" ref="I124:J139" si="190">I123</f>
        <v>8</v>
      </c>
      <c r="J124" s="199">
        <f t="shared" si="190"/>
        <v>0</v>
      </c>
      <c r="K124" s="194" t="str">
        <f t="shared" ref="K124:K126" si="191">D124&amp;-5</f>
        <v>11.8-5</v>
      </c>
      <c r="L124" s="198">
        <f t="shared" si="169"/>
        <v>0.2</v>
      </c>
      <c r="M124" s="49">
        <v>30</v>
      </c>
      <c r="N124" s="198">
        <f t="shared" ref="N124:P139" si="192">N123</f>
        <v>150</v>
      </c>
      <c r="O124" s="198">
        <f t="shared" si="192"/>
        <v>160</v>
      </c>
      <c r="P124" s="198">
        <f t="shared" si="192"/>
        <v>270</v>
      </c>
      <c r="Q124" s="196">
        <f t="shared" si="159"/>
        <v>6</v>
      </c>
    </row>
    <row r="125" spans="1:17" x14ac:dyDescent="0.25">
      <c r="A125" s="229">
        <f t="shared" ref="A125:B125" si="193">A124+1</f>
        <v>1375</v>
      </c>
      <c r="B125" s="230">
        <f t="shared" si="193"/>
        <v>115</v>
      </c>
      <c r="C125" s="229" t="str">
        <f t="shared" si="111"/>
        <v>21bX12+000_060_05</v>
      </c>
      <c r="D125" s="197">
        <f t="shared" si="161"/>
        <v>11.8</v>
      </c>
      <c r="E125" s="204">
        <f t="shared" si="162"/>
        <v>2.0230000000000001</v>
      </c>
      <c r="F125" s="198">
        <f t="shared" si="163"/>
        <v>17.14406779661017</v>
      </c>
      <c r="G125" s="198">
        <f t="shared" si="164"/>
        <v>13.715254237288136</v>
      </c>
      <c r="H125" s="198">
        <f t="shared" si="165"/>
        <v>8.5720338983050848</v>
      </c>
      <c r="I125" s="198">
        <f t="shared" si="190"/>
        <v>8</v>
      </c>
      <c r="J125" s="199">
        <f t="shared" si="190"/>
        <v>0</v>
      </c>
      <c r="K125" s="194" t="str">
        <f t="shared" si="191"/>
        <v>11.8-5</v>
      </c>
      <c r="L125" s="198">
        <f t="shared" si="169"/>
        <v>0.2</v>
      </c>
      <c r="M125" s="49">
        <v>60</v>
      </c>
      <c r="N125" s="198">
        <f t="shared" si="192"/>
        <v>150</v>
      </c>
      <c r="O125" s="198">
        <f t="shared" si="192"/>
        <v>160</v>
      </c>
      <c r="P125" s="198">
        <f t="shared" si="192"/>
        <v>270</v>
      </c>
      <c r="Q125" s="196">
        <f t="shared" si="159"/>
        <v>6</v>
      </c>
    </row>
    <row r="126" spans="1:17" x14ac:dyDescent="0.25">
      <c r="A126" s="229">
        <f t="shared" ref="A126:B126" si="194">A125+1</f>
        <v>1376</v>
      </c>
      <c r="B126" s="230">
        <f t="shared" si="194"/>
        <v>116</v>
      </c>
      <c r="C126" s="229" t="str">
        <f t="shared" si="111"/>
        <v>21bX12+000_090_05</v>
      </c>
      <c r="D126" s="197">
        <f t="shared" si="161"/>
        <v>11.8</v>
      </c>
      <c r="E126" s="204">
        <f t="shared" si="162"/>
        <v>2.0230000000000001</v>
      </c>
      <c r="F126" s="198">
        <f t="shared" si="163"/>
        <v>17.14406779661017</v>
      </c>
      <c r="G126" s="198">
        <f t="shared" si="164"/>
        <v>13.715254237288136</v>
      </c>
      <c r="H126" s="198">
        <f t="shared" si="165"/>
        <v>8.5720338983050848</v>
      </c>
      <c r="I126" s="198">
        <f t="shared" si="190"/>
        <v>8</v>
      </c>
      <c r="J126" s="199">
        <f t="shared" si="190"/>
        <v>0</v>
      </c>
      <c r="K126" s="194" t="str">
        <f t="shared" si="191"/>
        <v>11.8-5</v>
      </c>
      <c r="L126" s="198">
        <f t="shared" si="169"/>
        <v>0.2</v>
      </c>
      <c r="M126" s="49">
        <v>90</v>
      </c>
      <c r="N126" s="198">
        <f t="shared" si="192"/>
        <v>150</v>
      </c>
      <c r="O126" s="198">
        <f t="shared" si="192"/>
        <v>160</v>
      </c>
      <c r="P126" s="198">
        <f t="shared" si="192"/>
        <v>270</v>
      </c>
      <c r="Q126" s="196">
        <f t="shared" si="159"/>
        <v>6</v>
      </c>
    </row>
    <row r="127" spans="1:17" x14ac:dyDescent="0.25">
      <c r="A127" s="229">
        <f t="shared" ref="A127:B127" si="195">A126+1</f>
        <v>1377</v>
      </c>
      <c r="B127" s="230">
        <f t="shared" si="195"/>
        <v>117</v>
      </c>
      <c r="C127" s="229" t="str">
        <f t="shared" si="111"/>
        <v>21bX12+000_000_06</v>
      </c>
      <c r="D127" s="197">
        <f t="shared" si="161"/>
        <v>11.8</v>
      </c>
      <c r="E127" s="204">
        <f t="shared" si="162"/>
        <v>2.0230000000000001</v>
      </c>
      <c r="F127" s="198">
        <f t="shared" si="163"/>
        <v>17.14406779661017</v>
      </c>
      <c r="G127" s="198">
        <f t="shared" si="164"/>
        <v>13.715254237288136</v>
      </c>
      <c r="H127" s="198">
        <f t="shared" si="165"/>
        <v>8.5720338983050848</v>
      </c>
      <c r="I127" s="198">
        <f t="shared" si="190"/>
        <v>8</v>
      </c>
      <c r="J127" s="199">
        <f t="shared" si="190"/>
        <v>0</v>
      </c>
      <c r="K127" s="194" t="str">
        <f>D127&amp;-6</f>
        <v>11.8-6</v>
      </c>
      <c r="L127" s="198">
        <f t="shared" si="169"/>
        <v>0.2</v>
      </c>
      <c r="M127" s="49">
        <v>0</v>
      </c>
      <c r="N127" s="198">
        <f t="shared" si="192"/>
        <v>150</v>
      </c>
      <c r="O127" s="198">
        <f t="shared" si="192"/>
        <v>160</v>
      </c>
      <c r="P127" s="198">
        <f t="shared" si="192"/>
        <v>270</v>
      </c>
      <c r="Q127" s="196">
        <f t="shared" si="159"/>
        <v>6</v>
      </c>
    </row>
    <row r="128" spans="1:17" x14ac:dyDescent="0.25">
      <c r="A128" s="229">
        <f t="shared" ref="A128:B128" si="196">A127+1</f>
        <v>1378</v>
      </c>
      <c r="B128" s="230">
        <f t="shared" si="196"/>
        <v>118</v>
      </c>
      <c r="C128" s="229" t="str">
        <f t="shared" si="111"/>
        <v>21bX12+000_030_06</v>
      </c>
      <c r="D128" s="197">
        <f t="shared" si="161"/>
        <v>11.8</v>
      </c>
      <c r="E128" s="204">
        <f t="shared" si="162"/>
        <v>2.0230000000000001</v>
      </c>
      <c r="F128" s="198">
        <f t="shared" si="163"/>
        <v>17.14406779661017</v>
      </c>
      <c r="G128" s="198">
        <f t="shared" si="164"/>
        <v>13.715254237288136</v>
      </c>
      <c r="H128" s="198">
        <f t="shared" si="165"/>
        <v>8.5720338983050848</v>
      </c>
      <c r="I128" s="198">
        <f t="shared" si="190"/>
        <v>8</v>
      </c>
      <c r="J128" s="199">
        <f t="shared" si="190"/>
        <v>0</v>
      </c>
      <c r="K128" s="194" t="str">
        <f t="shared" ref="K128:K130" si="197">D128&amp;-6</f>
        <v>11.8-6</v>
      </c>
      <c r="L128" s="198">
        <f t="shared" si="169"/>
        <v>0.2</v>
      </c>
      <c r="M128" s="49">
        <v>30</v>
      </c>
      <c r="N128" s="198">
        <f t="shared" si="192"/>
        <v>150</v>
      </c>
      <c r="O128" s="198">
        <f t="shared" si="192"/>
        <v>160</v>
      </c>
      <c r="P128" s="198">
        <f t="shared" si="192"/>
        <v>270</v>
      </c>
      <c r="Q128" s="196">
        <f t="shared" si="159"/>
        <v>6</v>
      </c>
    </row>
    <row r="129" spans="1:17" x14ac:dyDescent="0.25">
      <c r="A129" s="229">
        <f t="shared" ref="A129:B129" si="198">A128+1</f>
        <v>1379</v>
      </c>
      <c r="B129" s="230">
        <f t="shared" si="198"/>
        <v>119</v>
      </c>
      <c r="C129" s="229" t="str">
        <f t="shared" si="111"/>
        <v>21bX12+000_060_06</v>
      </c>
      <c r="D129" s="197">
        <f t="shared" si="161"/>
        <v>11.8</v>
      </c>
      <c r="E129" s="204">
        <f t="shared" si="162"/>
        <v>2.0230000000000001</v>
      </c>
      <c r="F129" s="198">
        <f t="shared" si="163"/>
        <v>17.14406779661017</v>
      </c>
      <c r="G129" s="198">
        <f t="shared" si="164"/>
        <v>13.715254237288136</v>
      </c>
      <c r="H129" s="198">
        <f t="shared" si="165"/>
        <v>8.5720338983050848</v>
      </c>
      <c r="I129" s="198">
        <f t="shared" si="190"/>
        <v>8</v>
      </c>
      <c r="J129" s="199">
        <f t="shared" si="190"/>
        <v>0</v>
      </c>
      <c r="K129" s="194" t="str">
        <f t="shared" si="197"/>
        <v>11.8-6</v>
      </c>
      <c r="L129" s="198">
        <f t="shared" si="169"/>
        <v>0.2</v>
      </c>
      <c r="M129" s="49">
        <v>60</v>
      </c>
      <c r="N129" s="198">
        <f t="shared" si="192"/>
        <v>150</v>
      </c>
      <c r="O129" s="198">
        <f t="shared" si="192"/>
        <v>160</v>
      </c>
      <c r="P129" s="198">
        <f t="shared" si="192"/>
        <v>270</v>
      </c>
      <c r="Q129" s="196">
        <f t="shared" si="159"/>
        <v>6</v>
      </c>
    </row>
    <row r="130" spans="1:17" x14ac:dyDescent="0.25">
      <c r="A130" s="229">
        <f t="shared" ref="A130:B130" si="199">A129+1</f>
        <v>1380</v>
      </c>
      <c r="B130" s="230">
        <f t="shared" si="199"/>
        <v>120</v>
      </c>
      <c r="C130" s="229" t="str">
        <f t="shared" si="111"/>
        <v>21bX12+000_090_06</v>
      </c>
      <c r="D130" s="197">
        <f t="shared" si="161"/>
        <v>11.8</v>
      </c>
      <c r="E130" s="204">
        <f t="shared" si="162"/>
        <v>2.0230000000000001</v>
      </c>
      <c r="F130" s="198">
        <f t="shared" si="163"/>
        <v>17.14406779661017</v>
      </c>
      <c r="G130" s="198">
        <f t="shared" si="164"/>
        <v>13.715254237288136</v>
      </c>
      <c r="H130" s="198">
        <f t="shared" si="165"/>
        <v>8.5720338983050848</v>
      </c>
      <c r="I130" s="198">
        <f t="shared" si="190"/>
        <v>8</v>
      </c>
      <c r="J130" s="199">
        <f t="shared" si="190"/>
        <v>0</v>
      </c>
      <c r="K130" s="194" t="str">
        <f t="shared" si="197"/>
        <v>11.8-6</v>
      </c>
      <c r="L130" s="198">
        <f t="shared" si="169"/>
        <v>0.2</v>
      </c>
      <c r="M130" s="49">
        <v>90</v>
      </c>
      <c r="N130" s="198">
        <f t="shared" si="192"/>
        <v>150</v>
      </c>
      <c r="O130" s="198">
        <f t="shared" si="192"/>
        <v>160</v>
      </c>
      <c r="P130" s="198">
        <f t="shared" si="192"/>
        <v>270</v>
      </c>
      <c r="Q130" s="196">
        <f t="shared" si="159"/>
        <v>6</v>
      </c>
    </row>
    <row r="131" spans="1:17" x14ac:dyDescent="0.25">
      <c r="A131" s="229">
        <f t="shared" ref="A131:B131" si="200">A130+1</f>
        <v>1381</v>
      </c>
      <c r="B131" s="230">
        <f t="shared" si="200"/>
        <v>121</v>
      </c>
      <c r="C131" s="229" t="str">
        <f t="shared" si="111"/>
        <v>21bX12+000_000_07</v>
      </c>
      <c r="D131" s="197">
        <f t="shared" si="161"/>
        <v>11.8</v>
      </c>
      <c r="E131" s="204">
        <f t="shared" si="162"/>
        <v>2.0230000000000001</v>
      </c>
      <c r="F131" s="198">
        <f t="shared" si="163"/>
        <v>17.14406779661017</v>
      </c>
      <c r="G131" s="198">
        <f t="shared" si="164"/>
        <v>13.715254237288136</v>
      </c>
      <c r="H131" s="198">
        <f t="shared" si="165"/>
        <v>8.5720338983050848</v>
      </c>
      <c r="I131" s="198">
        <f t="shared" si="190"/>
        <v>8</v>
      </c>
      <c r="J131" s="199">
        <f t="shared" si="190"/>
        <v>0</v>
      </c>
      <c r="K131" s="194" t="str">
        <f>D131&amp;-7</f>
        <v>11.8-7</v>
      </c>
      <c r="L131" s="198">
        <f t="shared" si="169"/>
        <v>0.2</v>
      </c>
      <c r="M131" s="49">
        <v>0</v>
      </c>
      <c r="N131" s="198">
        <f t="shared" si="192"/>
        <v>150</v>
      </c>
      <c r="O131" s="198">
        <f t="shared" si="192"/>
        <v>160</v>
      </c>
      <c r="P131" s="198">
        <f t="shared" si="192"/>
        <v>270</v>
      </c>
      <c r="Q131" s="196">
        <f t="shared" si="159"/>
        <v>6</v>
      </c>
    </row>
    <row r="132" spans="1:17" x14ac:dyDescent="0.25">
      <c r="A132" s="229">
        <f t="shared" ref="A132:B132" si="201">A131+1</f>
        <v>1382</v>
      </c>
      <c r="B132" s="230">
        <f t="shared" si="201"/>
        <v>122</v>
      </c>
      <c r="C132" s="229" t="str">
        <f t="shared" si="111"/>
        <v>21bX12+000_030_07</v>
      </c>
      <c r="D132" s="197">
        <f t="shared" si="161"/>
        <v>11.8</v>
      </c>
      <c r="E132" s="204">
        <f t="shared" si="162"/>
        <v>2.0230000000000001</v>
      </c>
      <c r="F132" s="198">
        <f t="shared" si="163"/>
        <v>17.14406779661017</v>
      </c>
      <c r="G132" s="198">
        <f t="shared" si="164"/>
        <v>13.715254237288136</v>
      </c>
      <c r="H132" s="198">
        <f t="shared" si="165"/>
        <v>8.5720338983050848</v>
      </c>
      <c r="I132" s="198">
        <f t="shared" si="190"/>
        <v>8</v>
      </c>
      <c r="J132" s="199">
        <f t="shared" si="190"/>
        <v>0</v>
      </c>
      <c r="K132" s="194" t="str">
        <f t="shared" ref="K132:K134" si="202">D132&amp;-7</f>
        <v>11.8-7</v>
      </c>
      <c r="L132" s="198">
        <f t="shared" si="169"/>
        <v>0.2</v>
      </c>
      <c r="M132" s="49">
        <v>30</v>
      </c>
      <c r="N132" s="198">
        <f t="shared" si="192"/>
        <v>150</v>
      </c>
      <c r="O132" s="198">
        <f t="shared" si="192"/>
        <v>160</v>
      </c>
      <c r="P132" s="198">
        <f t="shared" si="192"/>
        <v>270</v>
      </c>
      <c r="Q132" s="196">
        <f t="shared" si="159"/>
        <v>6</v>
      </c>
    </row>
    <row r="133" spans="1:17" x14ac:dyDescent="0.25">
      <c r="A133" s="229">
        <f t="shared" ref="A133:B133" si="203">A132+1</f>
        <v>1383</v>
      </c>
      <c r="B133" s="230">
        <f t="shared" si="203"/>
        <v>123</v>
      </c>
      <c r="C133" s="229" t="str">
        <f t="shared" si="111"/>
        <v>21bX12+000_060_07</v>
      </c>
      <c r="D133" s="197">
        <f t="shared" si="161"/>
        <v>11.8</v>
      </c>
      <c r="E133" s="204">
        <f t="shared" si="162"/>
        <v>2.0230000000000001</v>
      </c>
      <c r="F133" s="198">
        <f t="shared" si="163"/>
        <v>17.14406779661017</v>
      </c>
      <c r="G133" s="198">
        <f t="shared" si="164"/>
        <v>13.715254237288136</v>
      </c>
      <c r="H133" s="198">
        <f t="shared" si="165"/>
        <v>8.5720338983050848</v>
      </c>
      <c r="I133" s="198">
        <f t="shared" si="190"/>
        <v>8</v>
      </c>
      <c r="J133" s="199">
        <f t="shared" si="190"/>
        <v>0</v>
      </c>
      <c r="K133" s="194" t="str">
        <f t="shared" si="202"/>
        <v>11.8-7</v>
      </c>
      <c r="L133" s="198">
        <f t="shared" si="169"/>
        <v>0.2</v>
      </c>
      <c r="M133" s="49">
        <v>60</v>
      </c>
      <c r="N133" s="198">
        <f t="shared" si="192"/>
        <v>150</v>
      </c>
      <c r="O133" s="198">
        <f t="shared" si="192"/>
        <v>160</v>
      </c>
      <c r="P133" s="198">
        <f t="shared" si="192"/>
        <v>270</v>
      </c>
      <c r="Q133" s="196">
        <f t="shared" si="159"/>
        <v>6</v>
      </c>
    </row>
    <row r="134" spans="1:17" x14ac:dyDescent="0.25">
      <c r="A134" s="229">
        <f t="shared" ref="A134:B134" si="204">A133+1</f>
        <v>1384</v>
      </c>
      <c r="B134" s="230">
        <f t="shared" si="204"/>
        <v>124</v>
      </c>
      <c r="C134" s="229" t="str">
        <f t="shared" si="111"/>
        <v>21bX12+000_090_07</v>
      </c>
      <c r="D134" s="197">
        <f t="shared" si="161"/>
        <v>11.8</v>
      </c>
      <c r="E134" s="204">
        <f t="shared" si="162"/>
        <v>2.0230000000000001</v>
      </c>
      <c r="F134" s="198">
        <f t="shared" si="163"/>
        <v>17.14406779661017</v>
      </c>
      <c r="G134" s="198">
        <f t="shared" si="164"/>
        <v>13.715254237288136</v>
      </c>
      <c r="H134" s="198">
        <f t="shared" si="165"/>
        <v>8.5720338983050848</v>
      </c>
      <c r="I134" s="198">
        <f t="shared" si="190"/>
        <v>8</v>
      </c>
      <c r="J134" s="199">
        <f t="shared" si="190"/>
        <v>0</v>
      </c>
      <c r="K134" s="194" t="str">
        <f t="shared" si="202"/>
        <v>11.8-7</v>
      </c>
      <c r="L134" s="198">
        <f t="shared" si="169"/>
        <v>0.2</v>
      </c>
      <c r="M134" s="49">
        <v>90</v>
      </c>
      <c r="N134" s="198">
        <f t="shared" si="192"/>
        <v>150</v>
      </c>
      <c r="O134" s="198">
        <f t="shared" si="192"/>
        <v>160</v>
      </c>
      <c r="P134" s="198">
        <f t="shared" si="192"/>
        <v>270</v>
      </c>
      <c r="Q134" s="196">
        <f t="shared" si="159"/>
        <v>6</v>
      </c>
    </row>
    <row r="135" spans="1:17" x14ac:dyDescent="0.25">
      <c r="A135" s="229">
        <f t="shared" ref="A135:B135" si="205">A134+1</f>
        <v>1385</v>
      </c>
      <c r="B135" s="230">
        <f t="shared" si="205"/>
        <v>125</v>
      </c>
      <c r="C135" s="229" t="str">
        <f t="shared" si="111"/>
        <v>21bX12+000_000_08</v>
      </c>
      <c r="D135" s="197">
        <f t="shared" si="161"/>
        <v>11.8</v>
      </c>
      <c r="E135" s="204">
        <f t="shared" si="162"/>
        <v>2.0230000000000001</v>
      </c>
      <c r="F135" s="198">
        <f t="shared" si="163"/>
        <v>17.14406779661017</v>
      </c>
      <c r="G135" s="198">
        <f t="shared" si="164"/>
        <v>13.715254237288136</v>
      </c>
      <c r="H135" s="198">
        <f t="shared" si="165"/>
        <v>8.5720338983050848</v>
      </c>
      <c r="I135" s="198">
        <f t="shared" si="190"/>
        <v>8</v>
      </c>
      <c r="J135" s="199">
        <f t="shared" si="190"/>
        <v>0</v>
      </c>
      <c r="K135" s="194" t="str">
        <f>D135&amp;-8</f>
        <v>11.8-8</v>
      </c>
      <c r="L135" s="198">
        <f t="shared" si="169"/>
        <v>0.2</v>
      </c>
      <c r="M135" s="49">
        <v>0</v>
      </c>
      <c r="N135" s="198">
        <f t="shared" si="192"/>
        <v>150</v>
      </c>
      <c r="O135" s="198">
        <f t="shared" si="192"/>
        <v>160</v>
      </c>
      <c r="P135" s="198">
        <f t="shared" si="192"/>
        <v>270</v>
      </c>
      <c r="Q135" s="196">
        <f t="shared" si="159"/>
        <v>6</v>
      </c>
    </row>
    <row r="136" spans="1:17" x14ac:dyDescent="0.25">
      <c r="A136" s="229">
        <f t="shared" ref="A136:B136" si="206">A135+1</f>
        <v>1386</v>
      </c>
      <c r="B136" s="230">
        <f t="shared" si="206"/>
        <v>126</v>
      </c>
      <c r="C136" s="229" t="str">
        <f t="shared" si="111"/>
        <v>21bX12+000_030_08</v>
      </c>
      <c r="D136" s="197">
        <f t="shared" si="161"/>
        <v>11.8</v>
      </c>
      <c r="E136" s="204">
        <f t="shared" si="162"/>
        <v>2.0230000000000001</v>
      </c>
      <c r="F136" s="198">
        <f t="shared" si="163"/>
        <v>17.14406779661017</v>
      </c>
      <c r="G136" s="198">
        <f t="shared" si="164"/>
        <v>13.715254237288136</v>
      </c>
      <c r="H136" s="198">
        <f t="shared" si="165"/>
        <v>8.5720338983050848</v>
      </c>
      <c r="I136" s="198">
        <f t="shared" si="190"/>
        <v>8</v>
      </c>
      <c r="J136" s="199">
        <f t="shared" si="190"/>
        <v>0</v>
      </c>
      <c r="K136" s="194" t="str">
        <f t="shared" ref="K136:K138" si="207">D136&amp;-8</f>
        <v>11.8-8</v>
      </c>
      <c r="L136" s="198">
        <f t="shared" si="169"/>
        <v>0.2</v>
      </c>
      <c r="M136" s="49">
        <v>30</v>
      </c>
      <c r="N136" s="198">
        <f t="shared" si="192"/>
        <v>150</v>
      </c>
      <c r="O136" s="198">
        <f t="shared" si="192"/>
        <v>160</v>
      </c>
      <c r="P136" s="198">
        <f t="shared" si="192"/>
        <v>270</v>
      </c>
      <c r="Q136" s="196">
        <f t="shared" si="159"/>
        <v>6</v>
      </c>
    </row>
    <row r="137" spans="1:17" x14ac:dyDescent="0.25">
      <c r="A137" s="229">
        <f t="shared" ref="A137:B137" si="208">A136+1</f>
        <v>1387</v>
      </c>
      <c r="B137" s="230">
        <f t="shared" si="208"/>
        <v>127</v>
      </c>
      <c r="C137" s="229" t="str">
        <f t="shared" si="111"/>
        <v>21bX12+000_060_08</v>
      </c>
      <c r="D137" s="197">
        <f t="shared" si="161"/>
        <v>11.8</v>
      </c>
      <c r="E137" s="204">
        <f t="shared" si="162"/>
        <v>2.0230000000000001</v>
      </c>
      <c r="F137" s="198">
        <f t="shared" si="163"/>
        <v>17.14406779661017</v>
      </c>
      <c r="G137" s="198">
        <f t="shared" si="164"/>
        <v>13.715254237288136</v>
      </c>
      <c r="H137" s="198">
        <f t="shared" si="165"/>
        <v>8.5720338983050848</v>
      </c>
      <c r="I137" s="198">
        <f t="shared" si="190"/>
        <v>8</v>
      </c>
      <c r="J137" s="199">
        <f t="shared" si="190"/>
        <v>0</v>
      </c>
      <c r="K137" s="194" t="str">
        <f t="shared" si="207"/>
        <v>11.8-8</v>
      </c>
      <c r="L137" s="198">
        <f t="shared" si="169"/>
        <v>0.2</v>
      </c>
      <c r="M137" s="49">
        <v>60</v>
      </c>
      <c r="N137" s="198">
        <f t="shared" si="192"/>
        <v>150</v>
      </c>
      <c r="O137" s="198">
        <f t="shared" si="192"/>
        <v>160</v>
      </c>
      <c r="P137" s="198">
        <f t="shared" si="192"/>
        <v>270</v>
      </c>
      <c r="Q137" s="196">
        <f t="shared" si="159"/>
        <v>6</v>
      </c>
    </row>
    <row r="138" spans="1:17" x14ac:dyDescent="0.25">
      <c r="A138" s="229">
        <f t="shared" ref="A138:B138" si="209">A137+1</f>
        <v>1388</v>
      </c>
      <c r="B138" s="230">
        <f t="shared" si="209"/>
        <v>128</v>
      </c>
      <c r="C138" s="229" t="str">
        <f t="shared" si="111"/>
        <v>21bX12+000_090_08</v>
      </c>
      <c r="D138" s="197">
        <f t="shared" si="161"/>
        <v>11.8</v>
      </c>
      <c r="E138" s="204">
        <f t="shared" si="162"/>
        <v>2.0230000000000001</v>
      </c>
      <c r="F138" s="198">
        <f t="shared" si="163"/>
        <v>17.14406779661017</v>
      </c>
      <c r="G138" s="198">
        <f t="shared" si="164"/>
        <v>13.715254237288136</v>
      </c>
      <c r="H138" s="198">
        <f t="shared" si="165"/>
        <v>8.5720338983050848</v>
      </c>
      <c r="I138" s="198">
        <f t="shared" si="190"/>
        <v>8</v>
      </c>
      <c r="J138" s="199">
        <f t="shared" si="190"/>
        <v>0</v>
      </c>
      <c r="K138" s="194" t="str">
        <f t="shared" si="207"/>
        <v>11.8-8</v>
      </c>
      <c r="L138" s="198">
        <f t="shared" si="169"/>
        <v>0.2</v>
      </c>
      <c r="M138" s="49">
        <v>90</v>
      </c>
      <c r="N138" s="198">
        <f t="shared" si="192"/>
        <v>150</v>
      </c>
      <c r="O138" s="198">
        <f t="shared" si="192"/>
        <v>160</v>
      </c>
      <c r="P138" s="198">
        <f t="shared" si="192"/>
        <v>270</v>
      </c>
      <c r="Q138" s="196">
        <f t="shared" si="159"/>
        <v>6</v>
      </c>
    </row>
    <row r="139" spans="1:17" x14ac:dyDescent="0.25">
      <c r="A139" s="229">
        <f t="shared" ref="A139:B139" si="210">A138+1</f>
        <v>1389</v>
      </c>
      <c r="B139" s="230">
        <f t="shared" si="210"/>
        <v>129</v>
      </c>
      <c r="C139" s="229" t="str">
        <f t="shared" si="111"/>
        <v>21bX12+000_000_09</v>
      </c>
      <c r="D139" s="197">
        <f t="shared" si="161"/>
        <v>11.8</v>
      </c>
      <c r="E139" s="204">
        <f t="shared" si="162"/>
        <v>2.0230000000000001</v>
      </c>
      <c r="F139" s="198">
        <f t="shared" si="163"/>
        <v>17.14406779661017</v>
      </c>
      <c r="G139" s="198">
        <f t="shared" si="164"/>
        <v>13.715254237288136</v>
      </c>
      <c r="H139" s="198">
        <f t="shared" si="165"/>
        <v>8.5720338983050848</v>
      </c>
      <c r="I139" s="198">
        <f t="shared" si="190"/>
        <v>8</v>
      </c>
      <c r="J139" s="199">
        <f t="shared" si="190"/>
        <v>0</v>
      </c>
      <c r="K139" s="194" t="str">
        <f>D139&amp;-9</f>
        <v>11.8-9</v>
      </c>
      <c r="L139" s="198">
        <f t="shared" si="169"/>
        <v>0.2</v>
      </c>
      <c r="M139" s="49">
        <v>0</v>
      </c>
      <c r="N139" s="198">
        <f t="shared" si="192"/>
        <v>150</v>
      </c>
      <c r="O139" s="198">
        <f t="shared" si="192"/>
        <v>160</v>
      </c>
      <c r="P139" s="198">
        <f t="shared" si="192"/>
        <v>270</v>
      </c>
      <c r="Q139" s="196">
        <f t="shared" si="159"/>
        <v>6</v>
      </c>
    </row>
    <row r="140" spans="1:17" x14ac:dyDescent="0.25">
      <c r="A140" s="229">
        <f t="shared" ref="A140:B140" si="211">A139+1</f>
        <v>1390</v>
      </c>
      <c r="B140" s="230">
        <f t="shared" si="211"/>
        <v>130</v>
      </c>
      <c r="C140" s="229" t="str">
        <f t="shared" ref="C140:C203" si="212">TEXT(RIGHT($B$2,LEN($B$2)-3),"000")&amp;"X"&amp;TEXT(D140,"00")&amp;"+"&amp;IF(J140&lt;0,TEXT(360+J140,"000"),TEXT(J140,"000"))&amp;"_"&amp;TEXT(M140,"000")&amp;"_"&amp;TEXT(RIGHT(K140,LEN(K140)-FIND("-",K140)),"00")</f>
        <v>21bX12+000_030_09</v>
      </c>
      <c r="D140" s="197">
        <f t="shared" si="161"/>
        <v>11.8</v>
      </c>
      <c r="E140" s="204">
        <f t="shared" si="162"/>
        <v>2.0230000000000001</v>
      </c>
      <c r="F140" s="198">
        <f t="shared" si="163"/>
        <v>17.14406779661017</v>
      </c>
      <c r="G140" s="198">
        <f t="shared" si="164"/>
        <v>13.715254237288136</v>
      </c>
      <c r="H140" s="198">
        <f t="shared" si="165"/>
        <v>8.5720338983050848</v>
      </c>
      <c r="I140" s="198">
        <f t="shared" ref="I140:J154" si="213">I139</f>
        <v>8</v>
      </c>
      <c r="J140" s="199">
        <f t="shared" si="213"/>
        <v>0</v>
      </c>
      <c r="K140" s="194" t="str">
        <f t="shared" ref="K140:K142" si="214">D140&amp;-9</f>
        <v>11.8-9</v>
      </c>
      <c r="L140" s="198">
        <f t="shared" si="169"/>
        <v>0.2</v>
      </c>
      <c r="M140" s="49">
        <v>30</v>
      </c>
      <c r="N140" s="198">
        <f t="shared" ref="N140:P154" si="215">N139</f>
        <v>150</v>
      </c>
      <c r="O140" s="198">
        <f t="shared" si="215"/>
        <v>160</v>
      </c>
      <c r="P140" s="198">
        <f t="shared" si="215"/>
        <v>270</v>
      </c>
      <c r="Q140" s="196">
        <f t="shared" si="159"/>
        <v>6</v>
      </c>
    </row>
    <row r="141" spans="1:17" x14ac:dyDescent="0.25">
      <c r="A141" s="229">
        <f t="shared" ref="A141:B141" si="216">A140+1</f>
        <v>1391</v>
      </c>
      <c r="B141" s="230">
        <f t="shared" si="216"/>
        <v>131</v>
      </c>
      <c r="C141" s="229" t="str">
        <f t="shared" si="212"/>
        <v>21bX12+000_060_09</v>
      </c>
      <c r="D141" s="197">
        <f t="shared" si="161"/>
        <v>11.8</v>
      </c>
      <c r="E141" s="204">
        <f t="shared" si="162"/>
        <v>2.0230000000000001</v>
      </c>
      <c r="F141" s="198">
        <f t="shared" si="163"/>
        <v>17.14406779661017</v>
      </c>
      <c r="G141" s="198">
        <f t="shared" si="164"/>
        <v>13.715254237288136</v>
      </c>
      <c r="H141" s="198">
        <f t="shared" si="165"/>
        <v>8.5720338983050848</v>
      </c>
      <c r="I141" s="198">
        <f t="shared" si="213"/>
        <v>8</v>
      </c>
      <c r="J141" s="199">
        <f t="shared" si="213"/>
        <v>0</v>
      </c>
      <c r="K141" s="194" t="str">
        <f t="shared" si="214"/>
        <v>11.8-9</v>
      </c>
      <c r="L141" s="198">
        <f t="shared" si="169"/>
        <v>0.2</v>
      </c>
      <c r="M141" s="49">
        <v>60</v>
      </c>
      <c r="N141" s="198">
        <f t="shared" si="215"/>
        <v>150</v>
      </c>
      <c r="O141" s="198">
        <f t="shared" si="215"/>
        <v>160</v>
      </c>
      <c r="P141" s="198">
        <f t="shared" si="215"/>
        <v>270</v>
      </c>
      <c r="Q141" s="196">
        <f t="shared" si="159"/>
        <v>6</v>
      </c>
    </row>
    <row r="142" spans="1:17" x14ac:dyDescent="0.25">
      <c r="A142" s="229">
        <f t="shared" ref="A142:B142" si="217">A141+1</f>
        <v>1392</v>
      </c>
      <c r="B142" s="230">
        <f t="shared" si="217"/>
        <v>132</v>
      </c>
      <c r="C142" s="229" t="str">
        <f t="shared" si="212"/>
        <v>21bX12+000_090_09</v>
      </c>
      <c r="D142" s="197">
        <f t="shared" si="161"/>
        <v>11.8</v>
      </c>
      <c r="E142" s="204">
        <f t="shared" si="162"/>
        <v>2.0230000000000001</v>
      </c>
      <c r="F142" s="198">
        <f t="shared" si="163"/>
        <v>17.14406779661017</v>
      </c>
      <c r="G142" s="198">
        <f t="shared" si="164"/>
        <v>13.715254237288136</v>
      </c>
      <c r="H142" s="198">
        <f t="shared" si="165"/>
        <v>8.5720338983050848</v>
      </c>
      <c r="I142" s="198">
        <f t="shared" si="213"/>
        <v>8</v>
      </c>
      <c r="J142" s="199">
        <f t="shared" si="213"/>
        <v>0</v>
      </c>
      <c r="K142" s="194" t="str">
        <f t="shared" si="214"/>
        <v>11.8-9</v>
      </c>
      <c r="L142" s="198">
        <f t="shared" si="169"/>
        <v>0.2</v>
      </c>
      <c r="M142" s="49">
        <v>90</v>
      </c>
      <c r="N142" s="198">
        <f t="shared" si="215"/>
        <v>150</v>
      </c>
      <c r="O142" s="198">
        <f t="shared" si="215"/>
        <v>160</v>
      </c>
      <c r="P142" s="198">
        <f t="shared" si="215"/>
        <v>270</v>
      </c>
      <c r="Q142" s="196">
        <f t="shared" si="159"/>
        <v>6</v>
      </c>
    </row>
    <row r="143" spans="1:17" x14ac:dyDescent="0.25">
      <c r="A143" s="229">
        <f t="shared" ref="A143:B143" si="218">A142+1</f>
        <v>1393</v>
      </c>
      <c r="B143" s="230">
        <f t="shared" si="218"/>
        <v>133</v>
      </c>
      <c r="C143" s="229" t="str">
        <f t="shared" si="212"/>
        <v>21bX12+000_000_10</v>
      </c>
      <c r="D143" s="197">
        <f t="shared" si="161"/>
        <v>11.8</v>
      </c>
      <c r="E143" s="204">
        <f t="shared" si="162"/>
        <v>2.0230000000000001</v>
      </c>
      <c r="F143" s="198">
        <f t="shared" si="163"/>
        <v>17.14406779661017</v>
      </c>
      <c r="G143" s="198">
        <f t="shared" si="164"/>
        <v>13.715254237288136</v>
      </c>
      <c r="H143" s="198">
        <f t="shared" si="165"/>
        <v>8.5720338983050848</v>
      </c>
      <c r="I143" s="198">
        <f t="shared" si="213"/>
        <v>8</v>
      </c>
      <c r="J143" s="199">
        <f t="shared" si="213"/>
        <v>0</v>
      </c>
      <c r="K143" s="194" t="str">
        <f>D143&amp;-10</f>
        <v>11.8-10</v>
      </c>
      <c r="L143" s="198">
        <f t="shared" si="169"/>
        <v>0.2</v>
      </c>
      <c r="M143" s="49">
        <v>0</v>
      </c>
      <c r="N143" s="198">
        <f t="shared" si="215"/>
        <v>150</v>
      </c>
      <c r="O143" s="198">
        <f t="shared" si="215"/>
        <v>160</v>
      </c>
      <c r="P143" s="198">
        <f t="shared" si="215"/>
        <v>270</v>
      </c>
      <c r="Q143" s="196">
        <f t="shared" si="159"/>
        <v>6</v>
      </c>
    </row>
    <row r="144" spans="1:17" x14ac:dyDescent="0.25">
      <c r="A144" s="229">
        <f t="shared" ref="A144:B144" si="219">A143+1</f>
        <v>1394</v>
      </c>
      <c r="B144" s="230">
        <f t="shared" si="219"/>
        <v>134</v>
      </c>
      <c r="C144" s="229" t="str">
        <f t="shared" si="212"/>
        <v>21bX12+000_030_10</v>
      </c>
      <c r="D144" s="197">
        <f t="shared" si="161"/>
        <v>11.8</v>
      </c>
      <c r="E144" s="204">
        <f t="shared" si="162"/>
        <v>2.0230000000000001</v>
      </c>
      <c r="F144" s="198">
        <f t="shared" si="163"/>
        <v>17.14406779661017</v>
      </c>
      <c r="G144" s="198">
        <f t="shared" si="164"/>
        <v>13.715254237288136</v>
      </c>
      <c r="H144" s="198">
        <f t="shared" si="165"/>
        <v>8.5720338983050848</v>
      </c>
      <c r="I144" s="198">
        <f t="shared" si="213"/>
        <v>8</v>
      </c>
      <c r="J144" s="199">
        <f t="shared" si="213"/>
        <v>0</v>
      </c>
      <c r="K144" s="194" t="str">
        <f t="shared" ref="K144:K146" si="220">D144&amp;-10</f>
        <v>11.8-10</v>
      </c>
      <c r="L144" s="198">
        <f t="shared" si="169"/>
        <v>0.2</v>
      </c>
      <c r="M144" s="49">
        <v>30</v>
      </c>
      <c r="N144" s="198">
        <f t="shared" si="215"/>
        <v>150</v>
      </c>
      <c r="O144" s="198">
        <f t="shared" si="215"/>
        <v>160</v>
      </c>
      <c r="P144" s="198">
        <f t="shared" si="215"/>
        <v>270</v>
      </c>
      <c r="Q144" s="196">
        <f t="shared" si="159"/>
        <v>6</v>
      </c>
    </row>
    <row r="145" spans="1:17" x14ac:dyDescent="0.25">
      <c r="A145" s="229">
        <f t="shared" ref="A145:B145" si="221">A144+1</f>
        <v>1395</v>
      </c>
      <c r="B145" s="230">
        <f t="shared" si="221"/>
        <v>135</v>
      </c>
      <c r="C145" s="229" t="str">
        <f t="shared" si="212"/>
        <v>21bX12+000_060_10</v>
      </c>
      <c r="D145" s="197">
        <f t="shared" si="161"/>
        <v>11.8</v>
      </c>
      <c r="E145" s="204">
        <f t="shared" si="162"/>
        <v>2.0230000000000001</v>
      </c>
      <c r="F145" s="198">
        <f t="shared" si="163"/>
        <v>17.14406779661017</v>
      </c>
      <c r="G145" s="198">
        <f t="shared" si="164"/>
        <v>13.715254237288136</v>
      </c>
      <c r="H145" s="198">
        <f t="shared" si="165"/>
        <v>8.5720338983050848</v>
      </c>
      <c r="I145" s="198">
        <f t="shared" si="213"/>
        <v>8</v>
      </c>
      <c r="J145" s="199">
        <f t="shared" si="213"/>
        <v>0</v>
      </c>
      <c r="K145" s="194" t="str">
        <f t="shared" si="220"/>
        <v>11.8-10</v>
      </c>
      <c r="L145" s="198">
        <f t="shared" si="169"/>
        <v>0.2</v>
      </c>
      <c r="M145" s="49">
        <v>60</v>
      </c>
      <c r="N145" s="198">
        <f t="shared" si="215"/>
        <v>150</v>
      </c>
      <c r="O145" s="198">
        <f t="shared" si="215"/>
        <v>160</v>
      </c>
      <c r="P145" s="198">
        <f t="shared" si="215"/>
        <v>270</v>
      </c>
      <c r="Q145" s="196">
        <f t="shared" si="159"/>
        <v>6</v>
      </c>
    </row>
    <row r="146" spans="1:17" x14ac:dyDescent="0.25">
      <c r="A146" s="229">
        <f t="shared" ref="A146:B146" si="222">A145+1</f>
        <v>1396</v>
      </c>
      <c r="B146" s="230">
        <f t="shared" si="222"/>
        <v>136</v>
      </c>
      <c r="C146" s="229" t="str">
        <f t="shared" si="212"/>
        <v>21bX12+000_090_10</v>
      </c>
      <c r="D146" s="197">
        <f t="shared" si="161"/>
        <v>11.8</v>
      </c>
      <c r="E146" s="204">
        <f t="shared" si="162"/>
        <v>2.0230000000000001</v>
      </c>
      <c r="F146" s="198">
        <f t="shared" si="163"/>
        <v>17.14406779661017</v>
      </c>
      <c r="G146" s="198">
        <f t="shared" si="164"/>
        <v>13.715254237288136</v>
      </c>
      <c r="H146" s="198">
        <f t="shared" si="165"/>
        <v>8.5720338983050848</v>
      </c>
      <c r="I146" s="198">
        <f t="shared" si="213"/>
        <v>8</v>
      </c>
      <c r="J146" s="199">
        <f t="shared" si="213"/>
        <v>0</v>
      </c>
      <c r="K146" s="194" t="str">
        <f t="shared" si="220"/>
        <v>11.8-10</v>
      </c>
      <c r="L146" s="198">
        <f t="shared" si="169"/>
        <v>0.2</v>
      </c>
      <c r="M146" s="49">
        <v>90</v>
      </c>
      <c r="N146" s="198">
        <f t="shared" si="215"/>
        <v>150</v>
      </c>
      <c r="O146" s="198">
        <f t="shared" si="215"/>
        <v>160</v>
      </c>
      <c r="P146" s="198">
        <f t="shared" si="215"/>
        <v>270</v>
      </c>
      <c r="Q146" s="196">
        <f t="shared" si="159"/>
        <v>6</v>
      </c>
    </row>
    <row r="147" spans="1:17" x14ac:dyDescent="0.25">
      <c r="A147" s="229">
        <f t="shared" ref="A147:B147" si="223">A146+1</f>
        <v>1397</v>
      </c>
      <c r="B147" s="230">
        <f t="shared" si="223"/>
        <v>137</v>
      </c>
      <c r="C147" s="229" t="str">
        <f t="shared" si="212"/>
        <v>21bX12+000_000_11</v>
      </c>
      <c r="D147" s="197">
        <f t="shared" si="161"/>
        <v>11.8</v>
      </c>
      <c r="E147" s="204">
        <f t="shared" si="162"/>
        <v>2.0230000000000001</v>
      </c>
      <c r="F147" s="198">
        <f t="shared" si="163"/>
        <v>17.14406779661017</v>
      </c>
      <c r="G147" s="198">
        <f t="shared" si="164"/>
        <v>13.715254237288136</v>
      </c>
      <c r="H147" s="198">
        <f t="shared" si="165"/>
        <v>8.5720338983050848</v>
      </c>
      <c r="I147" s="198">
        <f t="shared" si="213"/>
        <v>8</v>
      </c>
      <c r="J147" s="199">
        <f t="shared" si="213"/>
        <v>0</v>
      </c>
      <c r="K147" s="194" t="str">
        <f>D147&amp;-11</f>
        <v>11.8-11</v>
      </c>
      <c r="L147" s="198">
        <f t="shared" si="169"/>
        <v>0.2</v>
      </c>
      <c r="M147" s="49">
        <v>0</v>
      </c>
      <c r="N147" s="198">
        <f t="shared" si="215"/>
        <v>150</v>
      </c>
      <c r="O147" s="198">
        <f t="shared" si="215"/>
        <v>160</v>
      </c>
      <c r="P147" s="198">
        <f t="shared" si="215"/>
        <v>270</v>
      </c>
      <c r="Q147" s="196">
        <f t="shared" si="159"/>
        <v>6</v>
      </c>
    </row>
    <row r="148" spans="1:17" x14ac:dyDescent="0.25">
      <c r="A148" s="229">
        <f t="shared" ref="A148:B148" si="224">A147+1</f>
        <v>1398</v>
      </c>
      <c r="B148" s="230">
        <f t="shared" si="224"/>
        <v>138</v>
      </c>
      <c r="C148" s="229" t="str">
        <f t="shared" si="212"/>
        <v>21bX12+000_030_11</v>
      </c>
      <c r="D148" s="197">
        <f t="shared" si="161"/>
        <v>11.8</v>
      </c>
      <c r="E148" s="204">
        <f t="shared" si="162"/>
        <v>2.0230000000000001</v>
      </c>
      <c r="F148" s="198">
        <f t="shared" si="163"/>
        <v>17.14406779661017</v>
      </c>
      <c r="G148" s="198">
        <f t="shared" si="164"/>
        <v>13.715254237288136</v>
      </c>
      <c r="H148" s="198">
        <f t="shared" si="165"/>
        <v>8.5720338983050848</v>
      </c>
      <c r="I148" s="198">
        <f t="shared" si="213"/>
        <v>8</v>
      </c>
      <c r="J148" s="199">
        <f t="shared" si="213"/>
        <v>0</v>
      </c>
      <c r="K148" s="194" t="str">
        <f t="shared" ref="K148:K150" si="225">D148&amp;-11</f>
        <v>11.8-11</v>
      </c>
      <c r="L148" s="198">
        <f t="shared" si="169"/>
        <v>0.2</v>
      </c>
      <c r="M148" s="49">
        <v>30</v>
      </c>
      <c r="N148" s="198">
        <f t="shared" si="215"/>
        <v>150</v>
      </c>
      <c r="O148" s="198">
        <f t="shared" si="215"/>
        <v>160</v>
      </c>
      <c r="P148" s="198">
        <f t="shared" si="215"/>
        <v>270</v>
      </c>
      <c r="Q148" s="196">
        <f t="shared" si="159"/>
        <v>6</v>
      </c>
    </row>
    <row r="149" spans="1:17" x14ac:dyDescent="0.25">
      <c r="A149" s="229">
        <f t="shared" ref="A149:B149" si="226">A148+1</f>
        <v>1399</v>
      </c>
      <c r="B149" s="230">
        <f t="shared" si="226"/>
        <v>139</v>
      </c>
      <c r="C149" s="229" t="str">
        <f t="shared" si="212"/>
        <v>21bX12+000_060_11</v>
      </c>
      <c r="D149" s="197">
        <f t="shared" si="161"/>
        <v>11.8</v>
      </c>
      <c r="E149" s="204">
        <f t="shared" si="162"/>
        <v>2.0230000000000001</v>
      </c>
      <c r="F149" s="198">
        <f t="shared" si="163"/>
        <v>17.14406779661017</v>
      </c>
      <c r="G149" s="198">
        <f t="shared" si="164"/>
        <v>13.715254237288136</v>
      </c>
      <c r="H149" s="198">
        <f t="shared" si="165"/>
        <v>8.5720338983050848</v>
      </c>
      <c r="I149" s="198">
        <f t="shared" si="213"/>
        <v>8</v>
      </c>
      <c r="J149" s="199">
        <f t="shared" si="213"/>
        <v>0</v>
      </c>
      <c r="K149" s="194" t="str">
        <f t="shared" si="225"/>
        <v>11.8-11</v>
      </c>
      <c r="L149" s="198">
        <f t="shared" si="169"/>
        <v>0.2</v>
      </c>
      <c r="M149" s="49">
        <v>60</v>
      </c>
      <c r="N149" s="198">
        <f t="shared" si="215"/>
        <v>150</v>
      </c>
      <c r="O149" s="198">
        <f t="shared" si="215"/>
        <v>160</v>
      </c>
      <c r="P149" s="198">
        <f t="shared" si="215"/>
        <v>270</v>
      </c>
      <c r="Q149" s="196">
        <f t="shared" si="159"/>
        <v>6</v>
      </c>
    </row>
    <row r="150" spans="1:17" x14ac:dyDescent="0.25">
      <c r="A150" s="229">
        <f t="shared" ref="A150:B150" si="227">A149+1</f>
        <v>1400</v>
      </c>
      <c r="B150" s="230">
        <f t="shared" si="227"/>
        <v>140</v>
      </c>
      <c r="C150" s="229" t="str">
        <f t="shared" si="212"/>
        <v>21bX12+000_090_11</v>
      </c>
      <c r="D150" s="197">
        <f t="shared" si="161"/>
        <v>11.8</v>
      </c>
      <c r="E150" s="204">
        <f t="shared" si="162"/>
        <v>2.0230000000000001</v>
      </c>
      <c r="F150" s="198">
        <f t="shared" si="163"/>
        <v>17.14406779661017</v>
      </c>
      <c r="G150" s="198">
        <f t="shared" si="164"/>
        <v>13.715254237288136</v>
      </c>
      <c r="H150" s="198">
        <f t="shared" si="165"/>
        <v>8.5720338983050848</v>
      </c>
      <c r="I150" s="198">
        <f t="shared" si="213"/>
        <v>8</v>
      </c>
      <c r="J150" s="199">
        <f t="shared" si="213"/>
        <v>0</v>
      </c>
      <c r="K150" s="194" t="str">
        <f t="shared" si="225"/>
        <v>11.8-11</v>
      </c>
      <c r="L150" s="198">
        <f t="shared" si="169"/>
        <v>0.2</v>
      </c>
      <c r="M150" s="49">
        <v>90</v>
      </c>
      <c r="N150" s="198">
        <f t="shared" si="215"/>
        <v>150</v>
      </c>
      <c r="O150" s="198">
        <f t="shared" si="215"/>
        <v>160</v>
      </c>
      <c r="P150" s="198">
        <f t="shared" si="215"/>
        <v>270</v>
      </c>
      <c r="Q150" s="196">
        <f t="shared" si="159"/>
        <v>6</v>
      </c>
    </row>
    <row r="151" spans="1:17" x14ac:dyDescent="0.25">
      <c r="A151" s="229">
        <f t="shared" ref="A151:B151" si="228">A150+1</f>
        <v>1401</v>
      </c>
      <c r="B151" s="230">
        <f t="shared" si="228"/>
        <v>141</v>
      </c>
      <c r="C151" s="229" t="str">
        <f t="shared" si="212"/>
        <v>21bX12+000_000_12</v>
      </c>
      <c r="D151" s="197">
        <f t="shared" si="161"/>
        <v>11.8</v>
      </c>
      <c r="E151" s="204">
        <f t="shared" ref="E151:E182" si="229">I_ref*(0.75*D151+5.6)</f>
        <v>2.0230000000000001</v>
      </c>
      <c r="F151" s="198">
        <f t="shared" si="163"/>
        <v>17.14406779661017</v>
      </c>
      <c r="G151" s="198">
        <f t="shared" ref="G151:G154" si="230">m_ty*F151</f>
        <v>13.715254237288136</v>
      </c>
      <c r="H151" s="198">
        <f t="shared" ref="H151:H154" si="231">m_tz*F151</f>
        <v>8.5720338983050848</v>
      </c>
      <c r="I151" s="198">
        <f t="shared" si="213"/>
        <v>8</v>
      </c>
      <c r="J151" s="199">
        <f t="shared" si="213"/>
        <v>0</v>
      </c>
      <c r="K151" s="194" t="str">
        <f>D151&amp;-12</f>
        <v>11.8-12</v>
      </c>
      <c r="L151" s="198">
        <f t="shared" si="169"/>
        <v>0.2</v>
      </c>
      <c r="M151" s="49">
        <v>0</v>
      </c>
      <c r="N151" s="198">
        <f t="shared" si="215"/>
        <v>150</v>
      </c>
      <c r="O151" s="198">
        <f t="shared" si="215"/>
        <v>160</v>
      </c>
      <c r="P151" s="198">
        <f t="shared" si="215"/>
        <v>270</v>
      </c>
      <c r="Q151" s="196">
        <f t="shared" si="159"/>
        <v>6</v>
      </c>
    </row>
    <row r="152" spans="1:17" x14ac:dyDescent="0.25">
      <c r="A152" s="229">
        <f t="shared" ref="A152:B152" si="232">A151+1</f>
        <v>1402</v>
      </c>
      <c r="B152" s="230">
        <f t="shared" si="232"/>
        <v>142</v>
      </c>
      <c r="C152" s="229" t="str">
        <f t="shared" si="212"/>
        <v>21bX12+000_030_12</v>
      </c>
      <c r="D152" s="197">
        <f t="shared" si="161"/>
        <v>11.8</v>
      </c>
      <c r="E152" s="204">
        <f t="shared" si="229"/>
        <v>2.0230000000000001</v>
      </c>
      <c r="F152" s="198">
        <f t="shared" si="163"/>
        <v>17.14406779661017</v>
      </c>
      <c r="G152" s="198">
        <f t="shared" si="230"/>
        <v>13.715254237288136</v>
      </c>
      <c r="H152" s="198">
        <f t="shared" si="231"/>
        <v>8.5720338983050848</v>
      </c>
      <c r="I152" s="198">
        <f t="shared" si="213"/>
        <v>8</v>
      </c>
      <c r="J152" s="199">
        <f t="shared" si="213"/>
        <v>0</v>
      </c>
      <c r="K152" s="194" t="str">
        <f t="shared" ref="K152:K154" si="233">D152&amp;-12</f>
        <v>11.8-12</v>
      </c>
      <c r="L152" s="198">
        <f t="shared" si="169"/>
        <v>0.2</v>
      </c>
      <c r="M152" s="49">
        <v>30</v>
      </c>
      <c r="N152" s="198">
        <f t="shared" si="215"/>
        <v>150</v>
      </c>
      <c r="O152" s="198">
        <f t="shared" si="215"/>
        <v>160</v>
      </c>
      <c r="P152" s="198">
        <f t="shared" si="215"/>
        <v>270</v>
      </c>
      <c r="Q152" s="196">
        <f t="shared" si="159"/>
        <v>6</v>
      </c>
    </row>
    <row r="153" spans="1:17" x14ac:dyDescent="0.25">
      <c r="A153" s="229">
        <f t="shared" ref="A153:B153" si="234">A152+1</f>
        <v>1403</v>
      </c>
      <c r="B153" s="230">
        <f t="shared" si="234"/>
        <v>143</v>
      </c>
      <c r="C153" s="229" t="str">
        <f t="shared" si="212"/>
        <v>21bX12+000_060_12</v>
      </c>
      <c r="D153" s="197">
        <f t="shared" si="161"/>
        <v>11.8</v>
      </c>
      <c r="E153" s="204">
        <f t="shared" si="229"/>
        <v>2.0230000000000001</v>
      </c>
      <c r="F153" s="198">
        <f t="shared" si="163"/>
        <v>17.14406779661017</v>
      </c>
      <c r="G153" s="198">
        <f t="shared" si="230"/>
        <v>13.715254237288136</v>
      </c>
      <c r="H153" s="198">
        <f t="shared" si="231"/>
        <v>8.5720338983050848</v>
      </c>
      <c r="I153" s="198">
        <f t="shared" si="213"/>
        <v>8</v>
      </c>
      <c r="J153" s="199">
        <f t="shared" si="213"/>
        <v>0</v>
      </c>
      <c r="K153" s="194" t="str">
        <f t="shared" si="233"/>
        <v>11.8-12</v>
      </c>
      <c r="L153" s="198">
        <f t="shared" si="169"/>
        <v>0.2</v>
      </c>
      <c r="M153" s="49">
        <v>60</v>
      </c>
      <c r="N153" s="198">
        <f t="shared" si="215"/>
        <v>150</v>
      </c>
      <c r="O153" s="198">
        <f t="shared" si="215"/>
        <v>160</v>
      </c>
      <c r="P153" s="198">
        <f t="shared" si="215"/>
        <v>270</v>
      </c>
      <c r="Q153" s="196">
        <f t="shared" si="159"/>
        <v>6</v>
      </c>
    </row>
    <row r="154" spans="1:17" x14ac:dyDescent="0.25">
      <c r="A154" s="229">
        <f t="shared" ref="A154:B154" si="235">A153+1</f>
        <v>1404</v>
      </c>
      <c r="B154" s="230">
        <f t="shared" si="235"/>
        <v>144</v>
      </c>
      <c r="C154" s="229" t="str">
        <f t="shared" si="212"/>
        <v>21bX12+000_090_12</v>
      </c>
      <c r="D154" s="197">
        <f t="shared" si="161"/>
        <v>11.8</v>
      </c>
      <c r="E154" s="204">
        <f t="shared" si="229"/>
        <v>2.0230000000000001</v>
      </c>
      <c r="F154" s="198">
        <f t="shared" si="163"/>
        <v>17.14406779661017</v>
      </c>
      <c r="G154" s="198">
        <f t="shared" si="230"/>
        <v>13.715254237288136</v>
      </c>
      <c r="H154" s="198">
        <f t="shared" si="231"/>
        <v>8.5720338983050848</v>
      </c>
      <c r="I154" s="198">
        <f t="shared" si="213"/>
        <v>8</v>
      </c>
      <c r="J154" s="199">
        <f t="shared" si="213"/>
        <v>0</v>
      </c>
      <c r="K154" s="194" t="str">
        <f t="shared" si="233"/>
        <v>11.8-12</v>
      </c>
      <c r="L154" s="198">
        <f t="shared" si="169"/>
        <v>0.2</v>
      </c>
      <c r="M154" s="49">
        <v>90</v>
      </c>
      <c r="N154" s="198">
        <f t="shared" si="215"/>
        <v>150</v>
      </c>
      <c r="O154" s="198">
        <f t="shared" si="215"/>
        <v>160</v>
      </c>
      <c r="P154" s="198">
        <f t="shared" si="215"/>
        <v>270</v>
      </c>
      <c r="Q154" s="196">
        <f t="shared" si="159"/>
        <v>6</v>
      </c>
    </row>
    <row r="155" spans="1:17" x14ac:dyDescent="0.25">
      <c r="A155" s="229">
        <f t="shared" ref="A155:B155" si="236">A154+1</f>
        <v>1405</v>
      </c>
      <c r="B155" s="230">
        <f t="shared" si="236"/>
        <v>145</v>
      </c>
      <c r="C155" s="229" t="str">
        <f t="shared" si="212"/>
        <v>21bX20+000_000_01</v>
      </c>
      <c r="D155" s="197">
        <f>v_c</f>
        <v>20</v>
      </c>
      <c r="E155" s="204">
        <f t="shared" ref="E155" si="237">I_ref*(0.75*D155+5.6)</f>
        <v>2.8840000000000003</v>
      </c>
      <c r="F155" s="198">
        <f>E155/D155*100</f>
        <v>14.420000000000002</v>
      </c>
      <c r="G155" s="198">
        <f t="shared" ref="G155" si="238">m_ty*F155</f>
        <v>11.536000000000001</v>
      </c>
      <c r="H155" s="198">
        <f t="shared" ref="H155" si="239">m_tz*F155</f>
        <v>7.2100000000000009</v>
      </c>
      <c r="I155" s="198">
        <f>inflow</f>
        <v>8</v>
      </c>
      <c r="J155" s="199">
        <f>yaw_null</f>
        <v>0</v>
      </c>
      <c r="K155" s="194" t="str">
        <f>D155&amp;-1</f>
        <v>20-1</v>
      </c>
      <c r="L155" s="198">
        <f>alpha_n</f>
        <v>0.2</v>
      </c>
      <c r="M155" s="49">
        <v>0</v>
      </c>
      <c r="N155" s="198">
        <f>t_out</f>
        <v>150</v>
      </c>
      <c r="O155" s="198">
        <f>trig_t</f>
        <v>160</v>
      </c>
      <c r="P155" s="198">
        <f>N155+2*T_s2</f>
        <v>270</v>
      </c>
      <c r="Q155" s="196">
        <f t="shared" ref="Q155:Q218" si="240">1*pitch_runaway_feather</f>
        <v>6</v>
      </c>
    </row>
    <row r="156" spans="1:17" x14ac:dyDescent="0.25">
      <c r="A156" s="229">
        <f t="shared" ref="A156:B156" si="241">A155+1</f>
        <v>1406</v>
      </c>
      <c r="B156" s="230">
        <f t="shared" si="241"/>
        <v>146</v>
      </c>
      <c r="C156" s="229" t="str">
        <f t="shared" si="212"/>
        <v>21bX20+000_030_01</v>
      </c>
      <c r="D156" s="197">
        <f t="shared" ref="D156:D219" si="242">D155</f>
        <v>20</v>
      </c>
      <c r="E156" s="204">
        <f t="shared" si="229"/>
        <v>2.8840000000000003</v>
      </c>
      <c r="F156" s="198">
        <f t="shared" ref="F156:F202" si="243">E156/D156*100</f>
        <v>14.420000000000002</v>
      </c>
      <c r="G156" s="198">
        <f t="shared" ref="G156:G194" si="244">m_ty*F156</f>
        <v>11.536000000000001</v>
      </c>
      <c r="H156" s="198">
        <f t="shared" ref="H156:H194" si="245">m_tz*F156</f>
        <v>7.2100000000000009</v>
      </c>
      <c r="I156" s="198">
        <f t="shared" ref="I156:J171" si="246">I155</f>
        <v>8</v>
      </c>
      <c r="J156" s="199">
        <f t="shared" si="246"/>
        <v>0</v>
      </c>
      <c r="K156" s="194" t="str">
        <f t="shared" ref="K156:K158" si="247">D156&amp;-1</f>
        <v>20-1</v>
      </c>
      <c r="L156" s="198">
        <f t="shared" ref="L156:L219" si="248">L155</f>
        <v>0.2</v>
      </c>
      <c r="M156" s="49">
        <v>30</v>
      </c>
      <c r="N156" s="198">
        <f t="shared" ref="N156:P171" si="249">N155</f>
        <v>150</v>
      </c>
      <c r="O156" s="198">
        <f t="shared" si="249"/>
        <v>160</v>
      </c>
      <c r="P156" s="198">
        <f t="shared" si="249"/>
        <v>270</v>
      </c>
      <c r="Q156" s="196">
        <f t="shared" si="240"/>
        <v>6</v>
      </c>
    </row>
    <row r="157" spans="1:17" x14ac:dyDescent="0.25">
      <c r="A157" s="229">
        <f t="shared" ref="A157:B157" si="250">A156+1</f>
        <v>1407</v>
      </c>
      <c r="B157" s="230">
        <f t="shared" si="250"/>
        <v>147</v>
      </c>
      <c r="C157" s="229" t="str">
        <f t="shared" si="212"/>
        <v>21bX20+000_060_01</v>
      </c>
      <c r="D157" s="197">
        <f t="shared" si="242"/>
        <v>20</v>
      </c>
      <c r="E157" s="204">
        <f t="shared" si="229"/>
        <v>2.8840000000000003</v>
      </c>
      <c r="F157" s="198">
        <f t="shared" si="243"/>
        <v>14.420000000000002</v>
      </c>
      <c r="G157" s="198">
        <f t="shared" si="244"/>
        <v>11.536000000000001</v>
      </c>
      <c r="H157" s="198">
        <f t="shared" si="245"/>
        <v>7.2100000000000009</v>
      </c>
      <c r="I157" s="198">
        <f t="shared" si="246"/>
        <v>8</v>
      </c>
      <c r="J157" s="199">
        <f t="shared" si="246"/>
        <v>0</v>
      </c>
      <c r="K157" s="194" t="str">
        <f t="shared" si="247"/>
        <v>20-1</v>
      </c>
      <c r="L157" s="198">
        <f t="shared" si="248"/>
        <v>0.2</v>
      </c>
      <c r="M157" s="49">
        <v>60</v>
      </c>
      <c r="N157" s="198">
        <f t="shared" si="249"/>
        <v>150</v>
      </c>
      <c r="O157" s="198">
        <f t="shared" si="249"/>
        <v>160</v>
      </c>
      <c r="P157" s="198">
        <f t="shared" si="249"/>
        <v>270</v>
      </c>
      <c r="Q157" s="196">
        <f t="shared" si="240"/>
        <v>6</v>
      </c>
    </row>
    <row r="158" spans="1:17" x14ac:dyDescent="0.25">
      <c r="A158" s="229">
        <f t="shared" ref="A158:B158" si="251">A157+1</f>
        <v>1408</v>
      </c>
      <c r="B158" s="230">
        <f t="shared" si="251"/>
        <v>148</v>
      </c>
      <c r="C158" s="229" t="str">
        <f t="shared" si="212"/>
        <v>21bX20+000_090_01</v>
      </c>
      <c r="D158" s="197">
        <f t="shared" si="242"/>
        <v>20</v>
      </c>
      <c r="E158" s="204">
        <f t="shared" si="229"/>
        <v>2.8840000000000003</v>
      </c>
      <c r="F158" s="198">
        <f t="shared" si="243"/>
        <v>14.420000000000002</v>
      </c>
      <c r="G158" s="198">
        <f t="shared" si="244"/>
        <v>11.536000000000001</v>
      </c>
      <c r="H158" s="198">
        <f t="shared" si="245"/>
        <v>7.2100000000000009</v>
      </c>
      <c r="I158" s="198">
        <f t="shared" si="246"/>
        <v>8</v>
      </c>
      <c r="J158" s="199">
        <f t="shared" si="246"/>
        <v>0</v>
      </c>
      <c r="K158" s="194" t="str">
        <f t="shared" si="247"/>
        <v>20-1</v>
      </c>
      <c r="L158" s="198">
        <f t="shared" si="248"/>
        <v>0.2</v>
      </c>
      <c r="M158" s="49">
        <v>90</v>
      </c>
      <c r="N158" s="198">
        <f t="shared" si="249"/>
        <v>150</v>
      </c>
      <c r="O158" s="198">
        <f t="shared" si="249"/>
        <v>160</v>
      </c>
      <c r="P158" s="198">
        <f t="shared" si="249"/>
        <v>270</v>
      </c>
      <c r="Q158" s="196">
        <f t="shared" si="240"/>
        <v>6</v>
      </c>
    </row>
    <row r="159" spans="1:17" x14ac:dyDescent="0.25">
      <c r="A159" s="229">
        <f t="shared" ref="A159:B159" si="252">A158+1</f>
        <v>1409</v>
      </c>
      <c r="B159" s="230">
        <f t="shared" si="252"/>
        <v>149</v>
      </c>
      <c r="C159" s="229" t="str">
        <f t="shared" si="212"/>
        <v>21bX20+000_000_02</v>
      </c>
      <c r="D159" s="197">
        <f t="shared" si="242"/>
        <v>20</v>
      </c>
      <c r="E159" s="204">
        <f t="shared" si="229"/>
        <v>2.8840000000000003</v>
      </c>
      <c r="F159" s="198">
        <f t="shared" si="243"/>
        <v>14.420000000000002</v>
      </c>
      <c r="G159" s="198">
        <f t="shared" si="244"/>
        <v>11.536000000000001</v>
      </c>
      <c r="H159" s="198">
        <f t="shared" si="245"/>
        <v>7.2100000000000009</v>
      </c>
      <c r="I159" s="198">
        <f t="shared" si="246"/>
        <v>8</v>
      </c>
      <c r="J159" s="199">
        <f t="shared" si="246"/>
        <v>0</v>
      </c>
      <c r="K159" s="194" t="str">
        <f>D159&amp;-2</f>
        <v>20-2</v>
      </c>
      <c r="L159" s="198">
        <f t="shared" si="248"/>
        <v>0.2</v>
      </c>
      <c r="M159" s="49">
        <v>0</v>
      </c>
      <c r="N159" s="198">
        <f t="shared" si="249"/>
        <v>150</v>
      </c>
      <c r="O159" s="198">
        <f t="shared" si="249"/>
        <v>160</v>
      </c>
      <c r="P159" s="198">
        <f t="shared" si="249"/>
        <v>270</v>
      </c>
      <c r="Q159" s="196">
        <f t="shared" si="240"/>
        <v>6</v>
      </c>
    </row>
    <row r="160" spans="1:17" x14ac:dyDescent="0.25">
      <c r="A160" s="229">
        <f t="shared" ref="A160:B160" si="253">A159+1</f>
        <v>1410</v>
      </c>
      <c r="B160" s="230">
        <f t="shared" si="253"/>
        <v>150</v>
      </c>
      <c r="C160" s="229" t="str">
        <f t="shared" si="212"/>
        <v>21bX20+000_030_02</v>
      </c>
      <c r="D160" s="197">
        <f t="shared" si="242"/>
        <v>20</v>
      </c>
      <c r="E160" s="204">
        <f t="shared" si="229"/>
        <v>2.8840000000000003</v>
      </c>
      <c r="F160" s="198">
        <f t="shared" si="243"/>
        <v>14.420000000000002</v>
      </c>
      <c r="G160" s="198">
        <f t="shared" si="244"/>
        <v>11.536000000000001</v>
      </c>
      <c r="H160" s="198">
        <f t="shared" si="245"/>
        <v>7.2100000000000009</v>
      </c>
      <c r="I160" s="198">
        <f t="shared" si="246"/>
        <v>8</v>
      </c>
      <c r="J160" s="199">
        <f t="shared" si="246"/>
        <v>0</v>
      </c>
      <c r="K160" s="194" t="str">
        <f t="shared" ref="K160:K162" si="254">D160&amp;-2</f>
        <v>20-2</v>
      </c>
      <c r="L160" s="198">
        <f t="shared" si="248"/>
        <v>0.2</v>
      </c>
      <c r="M160" s="49">
        <v>30</v>
      </c>
      <c r="N160" s="198">
        <f t="shared" si="249"/>
        <v>150</v>
      </c>
      <c r="O160" s="198">
        <f t="shared" si="249"/>
        <v>160</v>
      </c>
      <c r="P160" s="198">
        <f t="shared" si="249"/>
        <v>270</v>
      </c>
      <c r="Q160" s="196">
        <f t="shared" si="240"/>
        <v>6</v>
      </c>
    </row>
    <row r="161" spans="1:17" x14ac:dyDescent="0.25">
      <c r="A161" s="229">
        <f t="shared" ref="A161:B161" si="255">A160+1</f>
        <v>1411</v>
      </c>
      <c r="B161" s="230">
        <f t="shared" si="255"/>
        <v>151</v>
      </c>
      <c r="C161" s="229" t="str">
        <f t="shared" si="212"/>
        <v>21bX20+000_060_02</v>
      </c>
      <c r="D161" s="197">
        <f t="shared" si="242"/>
        <v>20</v>
      </c>
      <c r="E161" s="204">
        <f t="shared" si="229"/>
        <v>2.8840000000000003</v>
      </c>
      <c r="F161" s="198">
        <f t="shared" si="243"/>
        <v>14.420000000000002</v>
      </c>
      <c r="G161" s="198">
        <f t="shared" si="244"/>
        <v>11.536000000000001</v>
      </c>
      <c r="H161" s="198">
        <f t="shared" si="245"/>
        <v>7.2100000000000009</v>
      </c>
      <c r="I161" s="198">
        <f t="shared" si="246"/>
        <v>8</v>
      </c>
      <c r="J161" s="199">
        <f t="shared" si="246"/>
        <v>0</v>
      </c>
      <c r="K161" s="194" t="str">
        <f t="shared" si="254"/>
        <v>20-2</v>
      </c>
      <c r="L161" s="198">
        <f t="shared" si="248"/>
        <v>0.2</v>
      </c>
      <c r="M161" s="49">
        <v>60</v>
      </c>
      <c r="N161" s="198">
        <f t="shared" si="249"/>
        <v>150</v>
      </c>
      <c r="O161" s="198">
        <f t="shared" si="249"/>
        <v>160</v>
      </c>
      <c r="P161" s="198">
        <f t="shared" si="249"/>
        <v>270</v>
      </c>
      <c r="Q161" s="196">
        <f t="shared" si="240"/>
        <v>6</v>
      </c>
    </row>
    <row r="162" spans="1:17" x14ac:dyDescent="0.25">
      <c r="A162" s="229">
        <f t="shared" ref="A162:B162" si="256">A161+1</f>
        <v>1412</v>
      </c>
      <c r="B162" s="230">
        <f t="shared" si="256"/>
        <v>152</v>
      </c>
      <c r="C162" s="229" t="str">
        <f t="shared" si="212"/>
        <v>21bX20+000_090_02</v>
      </c>
      <c r="D162" s="197">
        <f t="shared" si="242"/>
        <v>20</v>
      </c>
      <c r="E162" s="204">
        <f t="shared" si="229"/>
        <v>2.8840000000000003</v>
      </c>
      <c r="F162" s="198">
        <f t="shared" si="243"/>
        <v>14.420000000000002</v>
      </c>
      <c r="G162" s="198">
        <f t="shared" si="244"/>
        <v>11.536000000000001</v>
      </c>
      <c r="H162" s="198">
        <f t="shared" si="245"/>
        <v>7.2100000000000009</v>
      </c>
      <c r="I162" s="198">
        <f t="shared" si="246"/>
        <v>8</v>
      </c>
      <c r="J162" s="199">
        <f t="shared" si="246"/>
        <v>0</v>
      </c>
      <c r="K162" s="194" t="str">
        <f t="shared" si="254"/>
        <v>20-2</v>
      </c>
      <c r="L162" s="198">
        <f t="shared" si="248"/>
        <v>0.2</v>
      </c>
      <c r="M162" s="49">
        <v>90</v>
      </c>
      <c r="N162" s="198">
        <f t="shared" si="249"/>
        <v>150</v>
      </c>
      <c r="O162" s="198">
        <f t="shared" si="249"/>
        <v>160</v>
      </c>
      <c r="P162" s="198">
        <f t="shared" si="249"/>
        <v>270</v>
      </c>
      <c r="Q162" s="196">
        <f t="shared" si="240"/>
        <v>6</v>
      </c>
    </row>
    <row r="163" spans="1:17" x14ac:dyDescent="0.25">
      <c r="A163" s="229">
        <f t="shared" ref="A163:B163" si="257">A162+1</f>
        <v>1413</v>
      </c>
      <c r="B163" s="230">
        <f t="shared" si="257"/>
        <v>153</v>
      </c>
      <c r="C163" s="229" t="str">
        <f t="shared" si="212"/>
        <v>21bX20+000_000_03</v>
      </c>
      <c r="D163" s="197">
        <f t="shared" si="242"/>
        <v>20</v>
      </c>
      <c r="E163" s="204">
        <f t="shared" si="229"/>
        <v>2.8840000000000003</v>
      </c>
      <c r="F163" s="198">
        <f t="shared" si="243"/>
        <v>14.420000000000002</v>
      </c>
      <c r="G163" s="198">
        <f t="shared" si="244"/>
        <v>11.536000000000001</v>
      </c>
      <c r="H163" s="198">
        <f t="shared" si="245"/>
        <v>7.2100000000000009</v>
      </c>
      <c r="I163" s="198">
        <f t="shared" si="246"/>
        <v>8</v>
      </c>
      <c r="J163" s="199">
        <f t="shared" si="246"/>
        <v>0</v>
      </c>
      <c r="K163" s="194" t="str">
        <f>D163&amp;-3</f>
        <v>20-3</v>
      </c>
      <c r="L163" s="198">
        <f t="shared" si="248"/>
        <v>0.2</v>
      </c>
      <c r="M163" s="49">
        <v>0</v>
      </c>
      <c r="N163" s="198">
        <f t="shared" si="249"/>
        <v>150</v>
      </c>
      <c r="O163" s="198">
        <f t="shared" si="249"/>
        <v>160</v>
      </c>
      <c r="P163" s="198">
        <f t="shared" si="249"/>
        <v>270</v>
      </c>
      <c r="Q163" s="196">
        <f t="shared" si="240"/>
        <v>6</v>
      </c>
    </row>
    <row r="164" spans="1:17" x14ac:dyDescent="0.25">
      <c r="A164" s="229">
        <f t="shared" ref="A164:B164" si="258">A163+1</f>
        <v>1414</v>
      </c>
      <c r="B164" s="230">
        <f t="shared" si="258"/>
        <v>154</v>
      </c>
      <c r="C164" s="229" t="str">
        <f t="shared" si="212"/>
        <v>21bX20+000_030_03</v>
      </c>
      <c r="D164" s="197">
        <f t="shared" si="242"/>
        <v>20</v>
      </c>
      <c r="E164" s="204">
        <f t="shared" si="229"/>
        <v>2.8840000000000003</v>
      </c>
      <c r="F164" s="198">
        <f t="shared" si="243"/>
        <v>14.420000000000002</v>
      </c>
      <c r="G164" s="198">
        <f t="shared" si="244"/>
        <v>11.536000000000001</v>
      </c>
      <c r="H164" s="198">
        <f t="shared" si="245"/>
        <v>7.2100000000000009</v>
      </c>
      <c r="I164" s="198">
        <f t="shared" si="246"/>
        <v>8</v>
      </c>
      <c r="J164" s="199">
        <f t="shared" si="246"/>
        <v>0</v>
      </c>
      <c r="K164" s="194" t="str">
        <f t="shared" ref="K164:K166" si="259">D164&amp;-3</f>
        <v>20-3</v>
      </c>
      <c r="L164" s="198">
        <f t="shared" si="248"/>
        <v>0.2</v>
      </c>
      <c r="M164" s="49">
        <v>30</v>
      </c>
      <c r="N164" s="198">
        <f t="shared" si="249"/>
        <v>150</v>
      </c>
      <c r="O164" s="198">
        <f t="shared" si="249"/>
        <v>160</v>
      </c>
      <c r="P164" s="198">
        <f t="shared" si="249"/>
        <v>270</v>
      </c>
      <c r="Q164" s="196">
        <f t="shared" si="240"/>
        <v>6</v>
      </c>
    </row>
    <row r="165" spans="1:17" x14ac:dyDescent="0.25">
      <c r="A165" s="229">
        <f t="shared" ref="A165:B165" si="260">A164+1</f>
        <v>1415</v>
      </c>
      <c r="B165" s="230">
        <f t="shared" si="260"/>
        <v>155</v>
      </c>
      <c r="C165" s="229" t="str">
        <f t="shared" si="212"/>
        <v>21bX20+000_060_03</v>
      </c>
      <c r="D165" s="197">
        <f t="shared" si="242"/>
        <v>20</v>
      </c>
      <c r="E165" s="204">
        <f t="shared" si="229"/>
        <v>2.8840000000000003</v>
      </c>
      <c r="F165" s="198">
        <f t="shared" si="243"/>
        <v>14.420000000000002</v>
      </c>
      <c r="G165" s="198">
        <f t="shared" si="244"/>
        <v>11.536000000000001</v>
      </c>
      <c r="H165" s="198">
        <f t="shared" si="245"/>
        <v>7.2100000000000009</v>
      </c>
      <c r="I165" s="198">
        <f t="shared" si="246"/>
        <v>8</v>
      </c>
      <c r="J165" s="199">
        <f t="shared" si="246"/>
        <v>0</v>
      </c>
      <c r="K165" s="194" t="str">
        <f t="shared" si="259"/>
        <v>20-3</v>
      </c>
      <c r="L165" s="198">
        <f t="shared" si="248"/>
        <v>0.2</v>
      </c>
      <c r="M165" s="49">
        <v>60</v>
      </c>
      <c r="N165" s="198">
        <f t="shared" si="249"/>
        <v>150</v>
      </c>
      <c r="O165" s="198">
        <f t="shared" si="249"/>
        <v>160</v>
      </c>
      <c r="P165" s="198">
        <f t="shared" si="249"/>
        <v>270</v>
      </c>
      <c r="Q165" s="196">
        <f t="shared" si="240"/>
        <v>6</v>
      </c>
    </row>
    <row r="166" spans="1:17" x14ac:dyDescent="0.25">
      <c r="A166" s="229">
        <f t="shared" ref="A166:B166" si="261">A165+1</f>
        <v>1416</v>
      </c>
      <c r="B166" s="230">
        <f t="shared" si="261"/>
        <v>156</v>
      </c>
      <c r="C166" s="229" t="str">
        <f t="shared" si="212"/>
        <v>21bX20+000_090_03</v>
      </c>
      <c r="D166" s="197">
        <f t="shared" si="242"/>
        <v>20</v>
      </c>
      <c r="E166" s="204">
        <f t="shared" si="229"/>
        <v>2.8840000000000003</v>
      </c>
      <c r="F166" s="198">
        <f t="shared" si="243"/>
        <v>14.420000000000002</v>
      </c>
      <c r="G166" s="198">
        <f t="shared" si="244"/>
        <v>11.536000000000001</v>
      </c>
      <c r="H166" s="198">
        <f t="shared" si="245"/>
        <v>7.2100000000000009</v>
      </c>
      <c r="I166" s="198">
        <f t="shared" si="246"/>
        <v>8</v>
      </c>
      <c r="J166" s="199">
        <f t="shared" si="246"/>
        <v>0</v>
      </c>
      <c r="K166" s="194" t="str">
        <f t="shared" si="259"/>
        <v>20-3</v>
      </c>
      <c r="L166" s="198">
        <f t="shared" si="248"/>
        <v>0.2</v>
      </c>
      <c r="M166" s="49">
        <v>90</v>
      </c>
      <c r="N166" s="198">
        <f t="shared" si="249"/>
        <v>150</v>
      </c>
      <c r="O166" s="198">
        <f t="shared" si="249"/>
        <v>160</v>
      </c>
      <c r="P166" s="198">
        <f t="shared" si="249"/>
        <v>270</v>
      </c>
      <c r="Q166" s="196">
        <f t="shared" si="240"/>
        <v>6</v>
      </c>
    </row>
    <row r="167" spans="1:17" x14ac:dyDescent="0.25">
      <c r="A167" s="229">
        <f t="shared" ref="A167:B167" si="262">A166+1</f>
        <v>1417</v>
      </c>
      <c r="B167" s="230">
        <f t="shared" si="262"/>
        <v>157</v>
      </c>
      <c r="C167" s="229" t="str">
        <f t="shared" si="212"/>
        <v>21bX20+000_000_04</v>
      </c>
      <c r="D167" s="197">
        <f t="shared" si="242"/>
        <v>20</v>
      </c>
      <c r="E167" s="204">
        <f t="shared" si="229"/>
        <v>2.8840000000000003</v>
      </c>
      <c r="F167" s="198">
        <f t="shared" si="243"/>
        <v>14.420000000000002</v>
      </c>
      <c r="G167" s="198">
        <f t="shared" si="244"/>
        <v>11.536000000000001</v>
      </c>
      <c r="H167" s="198">
        <f t="shared" si="245"/>
        <v>7.2100000000000009</v>
      </c>
      <c r="I167" s="198">
        <f t="shared" si="246"/>
        <v>8</v>
      </c>
      <c r="J167" s="199">
        <f t="shared" si="246"/>
        <v>0</v>
      </c>
      <c r="K167" s="194" t="str">
        <f>D167&amp;-4</f>
        <v>20-4</v>
      </c>
      <c r="L167" s="198">
        <f t="shared" si="248"/>
        <v>0.2</v>
      </c>
      <c r="M167" s="49">
        <v>0</v>
      </c>
      <c r="N167" s="198">
        <f t="shared" si="249"/>
        <v>150</v>
      </c>
      <c r="O167" s="198">
        <f t="shared" si="249"/>
        <v>160</v>
      </c>
      <c r="P167" s="198">
        <f t="shared" si="249"/>
        <v>270</v>
      </c>
      <c r="Q167" s="196">
        <f t="shared" si="240"/>
        <v>6</v>
      </c>
    </row>
    <row r="168" spans="1:17" x14ac:dyDescent="0.25">
      <c r="A168" s="229">
        <f t="shared" ref="A168:B168" si="263">A167+1</f>
        <v>1418</v>
      </c>
      <c r="B168" s="230">
        <f t="shared" si="263"/>
        <v>158</v>
      </c>
      <c r="C168" s="229" t="str">
        <f t="shared" si="212"/>
        <v>21bX20+000_030_04</v>
      </c>
      <c r="D168" s="197">
        <f t="shared" si="242"/>
        <v>20</v>
      </c>
      <c r="E168" s="204">
        <f t="shared" si="229"/>
        <v>2.8840000000000003</v>
      </c>
      <c r="F168" s="198">
        <f t="shared" si="243"/>
        <v>14.420000000000002</v>
      </c>
      <c r="G168" s="198">
        <f t="shared" si="244"/>
        <v>11.536000000000001</v>
      </c>
      <c r="H168" s="198">
        <f t="shared" si="245"/>
        <v>7.2100000000000009</v>
      </c>
      <c r="I168" s="198">
        <f t="shared" si="246"/>
        <v>8</v>
      </c>
      <c r="J168" s="199">
        <f t="shared" si="246"/>
        <v>0</v>
      </c>
      <c r="K168" s="194" t="str">
        <f t="shared" ref="K168:K170" si="264">D168&amp;-4</f>
        <v>20-4</v>
      </c>
      <c r="L168" s="198">
        <f t="shared" si="248"/>
        <v>0.2</v>
      </c>
      <c r="M168" s="49">
        <v>30</v>
      </c>
      <c r="N168" s="198">
        <f t="shared" si="249"/>
        <v>150</v>
      </c>
      <c r="O168" s="198">
        <f t="shared" si="249"/>
        <v>160</v>
      </c>
      <c r="P168" s="198">
        <f t="shared" si="249"/>
        <v>270</v>
      </c>
      <c r="Q168" s="196">
        <f t="shared" si="240"/>
        <v>6</v>
      </c>
    </row>
    <row r="169" spans="1:17" x14ac:dyDescent="0.25">
      <c r="A169" s="229">
        <f t="shared" ref="A169:B169" si="265">A168+1</f>
        <v>1419</v>
      </c>
      <c r="B169" s="230">
        <f t="shared" si="265"/>
        <v>159</v>
      </c>
      <c r="C169" s="229" t="str">
        <f t="shared" si="212"/>
        <v>21bX20+000_060_04</v>
      </c>
      <c r="D169" s="197">
        <f t="shared" si="242"/>
        <v>20</v>
      </c>
      <c r="E169" s="204">
        <f t="shared" si="229"/>
        <v>2.8840000000000003</v>
      </c>
      <c r="F169" s="198">
        <f t="shared" si="243"/>
        <v>14.420000000000002</v>
      </c>
      <c r="G169" s="198">
        <f t="shared" si="244"/>
        <v>11.536000000000001</v>
      </c>
      <c r="H169" s="198">
        <f t="shared" si="245"/>
        <v>7.2100000000000009</v>
      </c>
      <c r="I169" s="198">
        <f t="shared" si="246"/>
        <v>8</v>
      </c>
      <c r="J169" s="199">
        <f t="shared" si="246"/>
        <v>0</v>
      </c>
      <c r="K169" s="194" t="str">
        <f t="shared" si="264"/>
        <v>20-4</v>
      </c>
      <c r="L169" s="198">
        <f t="shared" si="248"/>
        <v>0.2</v>
      </c>
      <c r="M169" s="49">
        <v>60</v>
      </c>
      <c r="N169" s="198">
        <f t="shared" si="249"/>
        <v>150</v>
      </c>
      <c r="O169" s="198">
        <f t="shared" si="249"/>
        <v>160</v>
      </c>
      <c r="P169" s="198">
        <f t="shared" si="249"/>
        <v>270</v>
      </c>
      <c r="Q169" s="196">
        <f t="shared" si="240"/>
        <v>6</v>
      </c>
    </row>
    <row r="170" spans="1:17" x14ac:dyDescent="0.25">
      <c r="A170" s="229">
        <f t="shared" ref="A170:B170" si="266">A169+1</f>
        <v>1420</v>
      </c>
      <c r="B170" s="230">
        <f t="shared" si="266"/>
        <v>160</v>
      </c>
      <c r="C170" s="229" t="str">
        <f t="shared" si="212"/>
        <v>21bX20+000_090_04</v>
      </c>
      <c r="D170" s="197">
        <f t="shared" si="242"/>
        <v>20</v>
      </c>
      <c r="E170" s="204">
        <f t="shared" si="229"/>
        <v>2.8840000000000003</v>
      </c>
      <c r="F170" s="198">
        <f t="shared" si="243"/>
        <v>14.420000000000002</v>
      </c>
      <c r="G170" s="198">
        <f t="shared" si="244"/>
        <v>11.536000000000001</v>
      </c>
      <c r="H170" s="198">
        <f t="shared" si="245"/>
        <v>7.2100000000000009</v>
      </c>
      <c r="I170" s="198">
        <f t="shared" si="246"/>
        <v>8</v>
      </c>
      <c r="J170" s="199">
        <f t="shared" si="246"/>
        <v>0</v>
      </c>
      <c r="K170" s="194" t="str">
        <f t="shared" si="264"/>
        <v>20-4</v>
      </c>
      <c r="L170" s="198">
        <f t="shared" si="248"/>
        <v>0.2</v>
      </c>
      <c r="M170" s="49">
        <v>90</v>
      </c>
      <c r="N170" s="198">
        <f t="shared" si="249"/>
        <v>150</v>
      </c>
      <c r="O170" s="198">
        <f t="shared" si="249"/>
        <v>160</v>
      </c>
      <c r="P170" s="198">
        <f t="shared" si="249"/>
        <v>270</v>
      </c>
      <c r="Q170" s="196">
        <f t="shared" si="240"/>
        <v>6</v>
      </c>
    </row>
    <row r="171" spans="1:17" x14ac:dyDescent="0.25">
      <c r="A171" s="229">
        <f t="shared" ref="A171:B171" si="267">A170+1</f>
        <v>1421</v>
      </c>
      <c r="B171" s="230">
        <f t="shared" si="267"/>
        <v>161</v>
      </c>
      <c r="C171" s="229" t="str">
        <f t="shared" si="212"/>
        <v>21bX20+000_000_05</v>
      </c>
      <c r="D171" s="197">
        <f t="shared" si="242"/>
        <v>20</v>
      </c>
      <c r="E171" s="204">
        <f t="shared" si="229"/>
        <v>2.8840000000000003</v>
      </c>
      <c r="F171" s="198">
        <f t="shared" si="243"/>
        <v>14.420000000000002</v>
      </c>
      <c r="G171" s="198">
        <f t="shared" si="244"/>
        <v>11.536000000000001</v>
      </c>
      <c r="H171" s="198">
        <f t="shared" si="245"/>
        <v>7.2100000000000009</v>
      </c>
      <c r="I171" s="198">
        <f t="shared" si="246"/>
        <v>8</v>
      </c>
      <c r="J171" s="199">
        <f t="shared" si="246"/>
        <v>0</v>
      </c>
      <c r="K171" s="194" t="str">
        <f>D171&amp;-5</f>
        <v>20-5</v>
      </c>
      <c r="L171" s="198">
        <f t="shared" si="248"/>
        <v>0.2</v>
      </c>
      <c r="M171" s="49">
        <v>0</v>
      </c>
      <c r="N171" s="198">
        <f t="shared" si="249"/>
        <v>150</v>
      </c>
      <c r="O171" s="198">
        <f t="shared" si="249"/>
        <v>160</v>
      </c>
      <c r="P171" s="198">
        <f t="shared" si="249"/>
        <v>270</v>
      </c>
      <c r="Q171" s="196">
        <f t="shared" si="240"/>
        <v>6</v>
      </c>
    </row>
    <row r="172" spans="1:17" x14ac:dyDescent="0.25">
      <c r="A172" s="229">
        <f t="shared" ref="A172:B172" si="268">A171+1</f>
        <v>1422</v>
      </c>
      <c r="B172" s="230">
        <f t="shared" si="268"/>
        <v>162</v>
      </c>
      <c r="C172" s="229" t="str">
        <f t="shared" si="212"/>
        <v>21bX20+000_030_05</v>
      </c>
      <c r="D172" s="197">
        <f t="shared" si="242"/>
        <v>20</v>
      </c>
      <c r="E172" s="204">
        <f t="shared" si="229"/>
        <v>2.8840000000000003</v>
      </c>
      <c r="F172" s="198">
        <f t="shared" si="243"/>
        <v>14.420000000000002</v>
      </c>
      <c r="G172" s="198">
        <f t="shared" si="244"/>
        <v>11.536000000000001</v>
      </c>
      <c r="H172" s="198">
        <f t="shared" si="245"/>
        <v>7.2100000000000009</v>
      </c>
      <c r="I172" s="198">
        <f t="shared" ref="I172:J187" si="269">I171</f>
        <v>8</v>
      </c>
      <c r="J172" s="199">
        <f t="shared" si="269"/>
        <v>0</v>
      </c>
      <c r="K172" s="194" t="str">
        <f t="shared" ref="K172:K174" si="270">D172&amp;-5</f>
        <v>20-5</v>
      </c>
      <c r="L172" s="198">
        <f t="shared" si="248"/>
        <v>0.2</v>
      </c>
      <c r="M172" s="49">
        <v>30</v>
      </c>
      <c r="N172" s="198">
        <f t="shared" ref="N172:P187" si="271">N171</f>
        <v>150</v>
      </c>
      <c r="O172" s="198">
        <f t="shared" si="271"/>
        <v>160</v>
      </c>
      <c r="P172" s="198">
        <f t="shared" si="271"/>
        <v>270</v>
      </c>
      <c r="Q172" s="196">
        <f t="shared" si="240"/>
        <v>6</v>
      </c>
    </row>
    <row r="173" spans="1:17" x14ac:dyDescent="0.25">
      <c r="A173" s="229">
        <f t="shared" ref="A173:B173" si="272">A172+1</f>
        <v>1423</v>
      </c>
      <c r="B173" s="230">
        <f t="shared" si="272"/>
        <v>163</v>
      </c>
      <c r="C173" s="229" t="str">
        <f t="shared" si="212"/>
        <v>21bX20+000_060_05</v>
      </c>
      <c r="D173" s="197">
        <f t="shared" si="242"/>
        <v>20</v>
      </c>
      <c r="E173" s="204">
        <f t="shared" si="229"/>
        <v>2.8840000000000003</v>
      </c>
      <c r="F173" s="198">
        <f t="shared" si="243"/>
        <v>14.420000000000002</v>
      </c>
      <c r="G173" s="198">
        <f t="shared" si="244"/>
        <v>11.536000000000001</v>
      </c>
      <c r="H173" s="198">
        <f t="shared" si="245"/>
        <v>7.2100000000000009</v>
      </c>
      <c r="I173" s="198">
        <f t="shared" si="269"/>
        <v>8</v>
      </c>
      <c r="J173" s="199">
        <f t="shared" si="269"/>
        <v>0</v>
      </c>
      <c r="K173" s="194" t="str">
        <f t="shared" si="270"/>
        <v>20-5</v>
      </c>
      <c r="L173" s="198">
        <f t="shared" si="248"/>
        <v>0.2</v>
      </c>
      <c r="M173" s="49">
        <v>60</v>
      </c>
      <c r="N173" s="198">
        <f t="shared" si="271"/>
        <v>150</v>
      </c>
      <c r="O173" s="198">
        <f t="shared" si="271"/>
        <v>160</v>
      </c>
      <c r="P173" s="198">
        <f t="shared" si="271"/>
        <v>270</v>
      </c>
      <c r="Q173" s="196">
        <f t="shared" si="240"/>
        <v>6</v>
      </c>
    </row>
    <row r="174" spans="1:17" x14ac:dyDescent="0.25">
      <c r="A174" s="229">
        <f t="shared" ref="A174:B174" si="273">A173+1</f>
        <v>1424</v>
      </c>
      <c r="B174" s="230">
        <f t="shared" si="273"/>
        <v>164</v>
      </c>
      <c r="C174" s="229" t="str">
        <f t="shared" si="212"/>
        <v>21bX20+000_090_05</v>
      </c>
      <c r="D174" s="197">
        <f t="shared" si="242"/>
        <v>20</v>
      </c>
      <c r="E174" s="204">
        <f t="shared" si="229"/>
        <v>2.8840000000000003</v>
      </c>
      <c r="F174" s="198">
        <f t="shared" si="243"/>
        <v>14.420000000000002</v>
      </c>
      <c r="G174" s="198">
        <f t="shared" si="244"/>
        <v>11.536000000000001</v>
      </c>
      <c r="H174" s="198">
        <f t="shared" si="245"/>
        <v>7.2100000000000009</v>
      </c>
      <c r="I174" s="198">
        <f t="shared" si="269"/>
        <v>8</v>
      </c>
      <c r="J174" s="199">
        <f t="shared" si="269"/>
        <v>0</v>
      </c>
      <c r="K174" s="194" t="str">
        <f t="shared" si="270"/>
        <v>20-5</v>
      </c>
      <c r="L174" s="198">
        <f t="shared" si="248"/>
        <v>0.2</v>
      </c>
      <c r="M174" s="49">
        <v>90</v>
      </c>
      <c r="N174" s="198">
        <f t="shared" si="271"/>
        <v>150</v>
      </c>
      <c r="O174" s="198">
        <f t="shared" si="271"/>
        <v>160</v>
      </c>
      <c r="P174" s="198">
        <f t="shared" si="271"/>
        <v>270</v>
      </c>
      <c r="Q174" s="196">
        <f t="shared" si="240"/>
        <v>6</v>
      </c>
    </row>
    <row r="175" spans="1:17" x14ac:dyDescent="0.25">
      <c r="A175" s="229">
        <f t="shared" ref="A175:B175" si="274">A174+1</f>
        <v>1425</v>
      </c>
      <c r="B175" s="230">
        <f t="shared" si="274"/>
        <v>165</v>
      </c>
      <c r="C175" s="229" t="str">
        <f t="shared" si="212"/>
        <v>21bX20+000_000_06</v>
      </c>
      <c r="D175" s="197">
        <f t="shared" si="242"/>
        <v>20</v>
      </c>
      <c r="E175" s="204">
        <f t="shared" si="229"/>
        <v>2.8840000000000003</v>
      </c>
      <c r="F175" s="198">
        <f t="shared" si="243"/>
        <v>14.420000000000002</v>
      </c>
      <c r="G175" s="198">
        <f t="shared" si="244"/>
        <v>11.536000000000001</v>
      </c>
      <c r="H175" s="198">
        <f t="shared" si="245"/>
        <v>7.2100000000000009</v>
      </c>
      <c r="I175" s="198">
        <f t="shared" si="269"/>
        <v>8</v>
      </c>
      <c r="J175" s="199">
        <f t="shared" si="269"/>
        <v>0</v>
      </c>
      <c r="K175" s="194" t="str">
        <f>D175&amp;-6</f>
        <v>20-6</v>
      </c>
      <c r="L175" s="198">
        <f t="shared" si="248"/>
        <v>0.2</v>
      </c>
      <c r="M175" s="49">
        <v>0</v>
      </c>
      <c r="N175" s="198">
        <f t="shared" si="271"/>
        <v>150</v>
      </c>
      <c r="O175" s="198">
        <f t="shared" si="271"/>
        <v>160</v>
      </c>
      <c r="P175" s="198">
        <f t="shared" si="271"/>
        <v>270</v>
      </c>
      <c r="Q175" s="196">
        <f t="shared" si="240"/>
        <v>6</v>
      </c>
    </row>
    <row r="176" spans="1:17" x14ac:dyDescent="0.25">
      <c r="A176" s="229">
        <f t="shared" ref="A176:B176" si="275">A175+1</f>
        <v>1426</v>
      </c>
      <c r="B176" s="230">
        <f t="shared" si="275"/>
        <v>166</v>
      </c>
      <c r="C176" s="229" t="str">
        <f t="shared" si="212"/>
        <v>21bX20+000_030_06</v>
      </c>
      <c r="D176" s="197">
        <f t="shared" si="242"/>
        <v>20</v>
      </c>
      <c r="E176" s="204">
        <f t="shared" si="229"/>
        <v>2.8840000000000003</v>
      </c>
      <c r="F176" s="198">
        <f t="shared" si="243"/>
        <v>14.420000000000002</v>
      </c>
      <c r="G176" s="198">
        <f t="shared" si="244"/>
        <v>11.536000000000001</v>
      </c>
      <c r="H176" s="198">
        <f t="shared" si="245"/>
        <v>7.2100000000000009</v>
      </c>
      <c r="I176" s="198">
        <f t="shared" si="269"/>
        <v>8</v>
      </c>
      <c r="J176" s="199">
        <f t="shared" si="269"/>
        <v>0</v>
      </c>
      <c r="K176" s="194" t="str">
        <f t="shared" ref="K176:K178" si="276">D176&amp;-6</f>
        <v>20-6</v>
      </c>
      <c r="L176" s="198">
        <f t="shared" si="248"/>
        <v>0.2</v>
      </c>
      <c r="M176" s="49">
        <v>30</v>
      </c>
      <c r="N176" s="198">
        <f t="shared" si="271"/>
        <v>150</v>
      </c>
      <c r="O176" s="198">
        <f t="shared" si="271"/>
        <v>160</v>
      </c>
      <c r="P176" s="198">
        <f t="shared" si="271"/>
        <v>270</v>
      </c>
      <c r="Q176" s="196">
        <f t="shared" si="240"/>
        <v>6</v>
      </c>
    </row>
    <row r="177" spans="1:17" x14ac:dyDescent="0.25">
      <c r="A177" s="229">
        <f t="shared" ref="A177:B177" si="277">A176+1</f>
        <v>1427</v>
      </c>
      <c r="B177" s="230">
        <f t="shared" si="277"/>
        <v>167</v>
      </c>
      <c r="C177" s="229" t="str">
        <f t="shared" si="212"/>
        <v>21bX20+000_060_06</v>
      </c>
      <c r="D177" s="197">
        <f t="shared" si="242"/>
        <v>20</v>
      </c>
      <c r="E177" s="204">
        <f t="shared" si="229"/>
        <v>2.8840000000000003</v>
      </c>
      <c r="F177" s="198">
        <f t="shared" si="243"/>
        <v>14.420000000000002</v>
      </c>
      <c r="G177" s="198">
        <f t="shared" si="244"/>
        <v>11.536000000000001</v>
      </c>
      <c r="H177" s="198">
        <f t="shared" si="245"/>
        <v>7.2100000000000009</v>
      </c>
      <c r="I177" s="198">
        <f t="shared" si="269"/>
        <v>8</v>
      </c>
      <c r="J177" s="199">
        <f t="shared" si="269"/>
        <v>0</v>
      </c>
      <c r="K177" s="194" t="str">
        <f t="shared" si="276"/>
        <v>20-6</v>
      </c>
      <c r="L177" s="198">
        <f t="shared" si="248"/>
        <v>0.2</v>
      </c>
      <c r="M177" s="49">
        <v>60</v>
      </c>
      <c r="N177" s="198">
        <f t="shared" si="271"/>
        <v>150</v>
      </c>
      <c r="O177" s="198">
        <f t="shared" si="271"/>
        <v>160</v>
      </c>
      <c r="P177" s="198">
        <f t="shared" si="271"/>
        <v>270</v>
      </c>
      <c r="Q177" s="196">
        <f t="shared" si="240"/>
        <v>6</v>
      </c>
    </row>
    <row r="178" spans="1:17" x14ac:dyDescent="0.25">
      <c r="A178" s="229">
        <f t="shared" ref="A178:B178" si="278">A177+1</f>
        <v>1428</v>
      </c>
      <c r="B178" s="230">
        <f t="shared" si="278"/>
        <v>168</v>
      </c>
      <c r="C178" s="229" t="str">
        <f t="shared" si="212"/>
        <v>21bX20+000_090_06</v>
      </c>
      <c r="D178" s="197">
        <f t="shared" si="242"/>
        <v>20</v>
      </c>
      <c r="E178" s="204">
        <f t="shared" si="229"/>
        <v>2.8840000000000003</v>
      </c>
      <c r="F178" s="198">
        <f t="shared" si="243"/>
        <v>14.420000000000002</v>
      </c>
      <c r="G178" s="198">
        <f t="shared" si="244"/>
        <v>11.536000000000001</v>
      </c>
      <c r="H178" s="198">
        <f t="shared" si="245"/>
        <v>7.2100000000000009</v>
      </c>
      <c r="I178" s="198">
        <f t="shared" si="269"/>
        <v>8</v>
      </c>
      <c r="J178" s="199">
        <f t="shared" si="269"/>
        <v>0</v>
      </c>
      <c r="K178" s="194" t="str">
        <f t="shared" si="276"/>
        <v>20-6</v>
      </c>
      <c r="L178" s="198">
        <f t="shared" si="248"/>
        <v>0.2</v>
      </c>
      <c r="M178" s="49">
        <v>90</v>
      </c>
      <c r="N178" s="198">
        <f t="shared" si="271"/>
        <v>150</v>
      </c>
      <c r="O178" s="198">
        <f t="shared" si="271"/>
        <v>160</v>
      </c>
      <c r="P178" s="198">
        <f t="shared" si="271"/>
        <v>270</v>
      </c>
      <c r="Q178" s="196">
        <f t="shared" si="240"/>
        <v>6</v>
      </c>
    </row>
    <row r="179" spans="1:17" x14ac:dyDescent="0.25">
      <c r="A179" s="229">
        <f t="shared" ref="A179:B179" si="279">A178+1</f>
        <v>1429</v>
      </c>
      <c r="B179" s="230">
        <f t="shared" si="279"/>
        <v>169</v>
      </c>
      <c r="C179" s="229" t="str">
        <f t="shared" si="212"/>
        <v>21bX20+000_000_07</v>
      </c>
      <c r="D179" s="197">
        <f t="shared" si="242"/>
        <v>20</v>
      </c>
      <c r="E179" s="204">
        <f t="shared" si="229"/>
        <v>2.8840000000000003</v>
      </c>
      <c r="F179" s="198">
        <f t="shared" si="243"/>
        <v>14.420000000000002</v>
      </c>
      <c r="G179" s="198">
        <f t="shared" si="244"/>
        <v>11.536000000000001</v>
      </c>
      <c r="H179" s="198">
        <f t="shared" si="245"/>
        <v>7.2100000000000009</v>
      </c>
      <c r="I179" s="198">
        <f t="shared" si="269"/>
        <v>8</v>
      </c>
      <c r="J179" s="199">
        <f t="shared" si="269"/>
        <v>0</v>
      </c>
      <c r="K179" s="194" t="str">
        <f>D179&amp;-7</f>
        <v>20-7</v>
      </c>
      <c r="L179" s="198">
        <f t="shared" si="248"/>
        <v>0.2</v>
      </c>
      <c r="M179" s="49">
        <v>0</v>
      </c>
      <c r="N179" s="198">
        <f t="shared" si="271"/>
        <v>150</v>
      </c>
      <c r="O179" s="198">
        <f t="shared" si="271"/>
        <v>160</v>
      </c>
      <c r="P179" s="198">
        <f t="shared" si="271"/>
        <v>270</v>
      </c>
      <c r="Q179" s="196">
        <f t="shared" si="240"/>
        <v>6</v>
      </c>
    </row>
    <row r="180" spans="1:17" x14ac:dyDescent="0.25">
      <c r="A180" s="229">
        <f t="shared" ref="A180:B180" si="280">A179+1</f>
        <v>1430</v>
      </c>
      <c r="B180" s="230">
        <f t="shared" si="280"/>
        <v>170</v>
      </c>
      <c r="C180" s="229" t="str">
        <f t="shared" si="212"/>
        <v>21bX20+000_030_07</v>
      </c>
      <c r="D180" s="197">
        <f t="shared" si="242"/>
        <v>20</v>
      </c>
      <c r="E180" s="204">
        <f t="shared" si="229"/>
        <v>2.8840000000000003</v>
      </c>
      <c r="F180" s="198">
        <f t="shared" si="243"/>
        <v>14.420000000000002</v>
      </c>
      <c r="G180" s="198">
        <f t="shared" si="244"/>
        <v>11.536000000000001</v>
      </c>
      <c r="H180" s="198">
        <f t="shared" si="245"/>
        <v>7.2100000000000009</v>
      </c>
      <c r="I180" s="198">
        <f t="shared" si="269"/>
        <v>8</v>
      </c>
      <c r="J180" s="199">
        <f t="shared" si="269"/>
        <v>0</v>
      </c>
      <c r="K180" s="194" t="str">
        <f t="shared" ref="K180:K182" si="281">D180&amp;-7</f>
        <v>20-7</v>
      </c>
      <c r="L180" s="198">
        <f t="shared" si="248"/>
        <v>0.2</v>
      </c>
      <c r="M180" s="49">
        <v>30</v>
      </c>
      <c r="N180" s="198">
        <f t="shared" si="271"/>
        <v>150</v>
      </c>
      <c r="O180" s="198">
        <f t="shared" si="271"/>
        <v>160</v>
      </c>
      <c r="P180" s="198">
        <f t="shared" si="271"/>
        <v>270</v>
      </c>
      <c r="Q180" s="196">
        <f t="shared" si="240"/>
        <v>6</v>
      </c>
    </row>
    <row r="181" spans="1:17" x14ac:dyDescent="0.25">
      <c r="A181" s="229">
        <f t="shared" ref="A181:B181" si="282">A180+1</f>
        <v>1431</v>
      </c>
      <c r="B181" s="230">
        <f t="shared" si="282"/>
        <v>171</v>
      </c>
      <c r="C181" s="229" t="str">
        <f t="shared" si="212"/>
        <v>21bX20+000_060_07</v>
      </c>
      <c r="D181" s="197">
        <f t="shared" si="242"/>
        <v>20</v>
      </c>
      <c r="E181" s="204">
        <f t="shared" si="229"/>
        <v>2.8840000000000003</v>
      </c>
      <c r="F181" s="198">
        <f t="shared" si="243"/>
        <v>14.420000000000002</v>
      </c>
      <c r="G181" s="198">
        <f t="shared" si="244"/>
        <v>11.536000000000001</v>
      </c>
      <c r="H181" s="198">
        <f t="shared" si="245"/>
        <v>7.2100000000000009</v>
      </c>
      <c r="I181" s="198">
        <f t="shared" si="269"/>
        <v>8</v>
      </c>
      <c r="J181" s="199">
        <f t="shared" si="269"/>
        <v>0</v>
      </c>
      <c r="K181" s="194" t="str">
        <f t="shared" si="281"/>
        <v>20-7</v>
      </c>
      <c r="L181" s="198">
        <f t="shared" si="248"/>
        <v>0.2</v>
      </c>
      <c r="M181" s="49">
        <v>60</v>
      </c>
      <c r="N181" s="198">
        <f t="shared" si="271"/>
        <v>150</v>
      </c>
      <c r="O181" s="198">
        <f t="shared" si="271"/>
        <v>160</v>
      </c>
      <c r="P181" s="198">
        <f t="shared" si="271"/>
        <v>270</v>
      </c>
      <c r="Q181" s="196">
        <f t="shared" si="240"/>
        <v>6</v>
      </c>
    </row>
    <row r="182" spans="1:17" x14ac:dyDescent="0.25">
      <c r="A182" s="229">
        <f t="shared" ref="A182:B182" si="283">A181+1</f>
        <v>1432</v>
      </c>
      <c r="B182" s="230">
        <f t="shared" si="283"/>
        <v>172</v>
      </c>
      <c r="C182" s="229" t="str">
        <f t="shared" si="212"/>
        <v>21bX20+000_090_07</v>
      </c>
      <c r="D182" s="197">
        <f t="shared" si="242"/>
        <v>20</v>
      </c>
      <c r="E182" s="204">
        <f t="shared" si="229"/>
        <v>2.8840000000000003</v>
      </c>
      <c r="F182" s="198">
        <f t="shared" si="243"/>
        <v>14.420000000000002</v>
      </c>
      <c r="G182" s="198">
        <f t="shared" si="244"/>
        <v>11.536000000000001</v>
      </c>
      <c r="H182" s="198">
        <f t="shared" si="245"/>
        <v>7.2100000000000009</v>
      </c>
      <c r="I182" s="198">
        <f t="shared" si="269"/>
        <v>8</v>
      </c>
      <c r="J182" s="199">
        <f t="shared" si="269"/>
        <v>0</v>
      </c>
      <c r="K182" s="194" t="str">
        <f t="shared" si="281"/>
        <v>20-7</v>
      </c>
      <c r="L182" s="198">
        <f t="shared" si="248"/>
        <v>0.2</v>
      </c>
      <c r="M182" s="49">
        <v>90</v>
      </c>
      <c r="N182" s="198">
        <f t="shared" si="271"/>
        <v>150</v>
      </c>
      <c r="O182" s="198">
        <f t="shared" si="271"/>
        <v>160</v>
      </c>
      <c r="P182" s="198">
        <f t="shared" si="271"/>
        <v>270</v>
      </c>
      <c r="Q182" s="196">
        <f t="shared" si="240"/>
        <v>6</v>
      </c>
    </row>
    <row r="183" spans="1:17" x14ac:dyDescent="0.25">
      <c r="A183" s="229">
        <f t="shared" ref="A183:B183" si="284">A182+1</f>
        <v>1433</v>
      </c>
      <c r="B183" s="230">
        <f t="shared" si="284"/>
        <v>173</v>
      </c>
      <c r="C183" s="229" t="str">
        <f t="shared" si="212"/>
        <v>21bX20+000_000_08</v>
      </c>
      <c r="D183" s="197">
        <f t="shared" si="242"/>
        <v>20</v>
      </c>
      <c r="E183" s="204">
        <f t="shared" ref="E183:E230" si="285">I_ref*(0.75*D183+5.6)</f>
        <v>2.8840000000000003</v>
      </c>
      <c r="F183" s="198">
        <f t="shared" si="243"/>
        <v>14.420000000000002</v>
      </c>
      <c r="G183" s="198">
        <f t="shared" si="244"/>
        <v>11.536000000000001</v>
      </c>
      <c r="H183" s="198">
        <f t="shared" si="245"/>
        <v>7.2100000000000009</v>
      </c>
      <c r="I183" s="198">
        <f t="shared" si="269"/>
        <v>8</v>
      </c>
      <c r="J183" s="199">
        <f t="shared" si="269"/>
        <v>0</v>
      </c>
      <c r="K183" s="194" t="str">
        <f>D183&amp;-8</f>
        <v>20-8</v>
      </c>
      <c r="L183" s="198">
        <f t="shared" si="248"/>
        <v>0.2</v>
      </c>
      <c r="M183" s="49">
        <v>0</v>
      </c>
      <c r="N183" s="198">
        <f t="shared" si="271"/>
        <v>150</v>
      </c>
      <c r="O183" s="198">
        <f t="shared" si="271"/>
        <v>160</v>
      </c>
      <c r="P183" s="198">
        <f t="shared" si="271"/>
        <v>270</v>
      </c>
      <c r="Q183" s="196">
        <f t="shared" si="240"/>
        <v>6</v>
      </c>
    </row>
    <row r="184" spans="1:17" x14ac:dyDescent="0.25">
      <c r="A184" s="229">
        <f t="shared" ref="A184:B184" si="286">A183+1</f>
        <v>1434</v>
      </c>
      <c r="B184" s="230">
        <f t="shared" si="286"/>
        <v>174</v>
      </c>
      <c r="C184" s="229" t="str">
        <f t="shared" si="212"/>
        <v>21bX20+000_030_08</v>
      </c>
      <c r="D184" s="197">
        <f t="shared" si="242"/>
        <v>20</v>
      </c>
      <c r="E184" s="204">
        <f t="shared" si="285"/>
        <v>2.8840000000000003</v>
      </c>
      <c r="F184" s="198">
        <f t="shared" si="243"/>
        <v>14.420000000000002</v>
      </c>
      <c r="G184" s="198">
        <f t="shared" si="244"/>
        <v>11.536000000000001</v>
      </c>
      <c r="H184" s="198">
        <f t="shared" si="245"/>
        <v>7.2100000000000009</v>
      </c>
      <c r="I184" s="198">
        <f t="shared" si="269"/>
        <v>8</v>
      </c>
      <c r="J184" s="199">
        <f t="shared" si="269"/>
        <v>0</v>
      </c>
      <c r="K184" s="194" t="str">
        <f t="shared" ref="K184:K186" si="287">D184&amp;-8</f>
        <v>20-8</v>
      </c>
      <c r="L184" s="198">
        <f t="shared" si="248"/>
        <v>0.2</v>
      </c>
      <c r="M184" s="49">
        <v>30</v>
      </c>
      <c r="N184" s="198">
        <f t="shared" si="271"/>
        <v>150</v>
      </c>
      <c r="O184" s="198">
        <f t="shared" si="271"/>
        <v>160</v>
      </c>
      <c r="P184" s="198">
        <f t="shared" si="271"/>
        <v>270</v>
      </c>
      <c r="Q184" s="196">
        <f t="shared" si="240"/>
        <v>6</v>
      </c>
    </row>
    <row r="185" spans="1:17" x14ac:dyDescent="0.25">
      <c r="A185" s="229">
        <f t="shared" ref="A185:B185" si="288">A184+1</f>
        <v>1435</v>
      </c>
      <c r="B185" s="230">
        <f t="shared" si="288"/>
        <v>175</v>
      </c>
      <c r="C185" s="229" t="str">
        <f t="shared" si="212"/>
        <v>21bX20+000_060_08</v>
      </c>
      <c r="D185" s="197">
        <f t="shared" si="242"/>
        <v>20</v>
      </c>
      <c r="E185" s="204">
        <f t="shared" si="285"/>
        <v>2.8840000000000003</v>
      </c>
      <c r="F185" s="198">
        <f t="shared" si="243"/>
        <v>14.420000000000002</v>
      </c>
      <c r="G185" s="198">
        <f t="shared" si="244"/>
        <v>11.536000000000001</v>
      </c>
      <c r="H185" s="198">
        <f t="shared" si="245"/>
        <v>7.2100000000000009</v>
      </c>
      <c r="I185" s="198">
        <f t="shared" si="269"/>
        <v>8</v>
      </c>
      <c r="J185" s="199">
        <f t="shared" si="269"/>
        <v>0</v>
      </c>
      <c r="K185" s="194" t="str">
        <f t="shared" si="287"/>
        <v>20-8</v>
      </c>
      <c r="L185" s="198">
        <f t="shared" si="248"/>
        <v>0.2</v>
      </c>
      <c r="M185" s="49">
        <v>60</v>
      </c>
      <c r="N185" s="198">
        <f t="shared" si="271"/>
        <v>150</v>
      </c>
      <c r="O185" s="198">
        <f t="shared" si="271"/>
        <v>160</v>
      </c>
      <c r="P185" s="198">
        <f t="shared" si="271"/>
        <v>270</v>
      </c>
      <c r="Q185" s="196">
        <f t="shared" si="240"/>
        <v>6</v>
      </c>
    </row>
    <row r="186" spans="1:17" x14ac:dyDescent="0.25">
      <c r="A186" s="229">
        <f t="shared" ref="A186:B186" si="289">A185+1</f>
        <v>1436</v>
      </c>
      <c r="B186" s="230">
        <f t="shared" si="289"/>
        <v>176</v>
      </c>
      <c r="C186" s="229" t="str">
        <f t="shared" si="212"/>
        <v>21bX20+000_090_08</v>
      </c>
      <c r="D186" s="197">
        <f t="shared" si="242"/>
        <v>20</v>
      </c>
      <c r="E186" s="204">
        <f t="shared" si="285"/>
        <v>2.8840000000000003</v>
      </c>
      <c r="F186" s="198">
        <f t="shared" si="243"/>
        <v>14.420000000000002</v>
      </c>
      <c r="G186" s="198">
        <f t="shared" si="244"/>
        <v>11.536000000000001</v>
      </c>
      <c r="H186" s="198">
        <f t="shared" si="245"/>
        <v>7.2100000000000009</v>
      </c>
      <c r="I186" s="198">
        <f t="shared" si="269"/>
        <v>8</v>
      </c>
      <c r="J186" s="199">
        <f t="shared" si="269"/>
        <v>0</v>
      </c>
      <c r="K186" s="194" t="str">
        <f t="shared" si="287"/>
        <v>20-8</v>
      </c>
      <c r="L186" s="198">
        <f t="shared" si="248"/>
        <v>0.2</v>
      </c>
      <c r="M186" s="49">
        <v>90</v>
      </c>
      <c r="N186" s="198">
        <f t="shared" si="271"/>
        <v>150</v>
      </c>
      <c r="O186" s="198">
        <f t="shared" si="271"/>
        <v>160</v>
      </c>
      <c r="P186" s="198">
        <f t="shared" si="271"/>
        <v>270</v>
      </c>
      <c r="Q186" s="196">
        <f t="shared" si="240"/>
        <v>6</v>
      </c>
    </row>
    <row r="187" spans="1:17" x14ac:dyDescent="0.25">
      <c r="A187" s="229">
        <f t="shared" ref="A187:B187" si="290">A186+1</f>
        <v>1437</v>
      </c>
      <c r="B187" s="230">
        <f t="shared" si="290"/>
        <v>177</v>
      </c>
      <c r="C187" s="229" t="str">
        <f t="shared" si="212"/>
        <v>21bX20+000_000_09</v>
      </c>
      <c r="D187" s="197">
        <f t="shared" si="242"/>
        <v>20</v>
      </c>
      <c r="E187" s="204">
        <f t="shared" si="285"/>
        <v>2.8840000000000003</v>
      </c>
      <c r="F187" s="198">
        <f t="shared" si="243"/>
        <v>14.420000000000002</v>
      </c>
      <c r="G187" s="198">
        <f t="shared" si="244"/>
        <v>11.536000000000001</v>
      </c>
      <c r="H187" s="198">
        <f t="shared" si="245"/>
        <v>7.2100000000000009</v>
      </c>
      <c r="I187" s="198">
        <f t="shared" si="269"/>
        <v>8</v>
      </c>
      <c r="J187" s="199">
        <f t="shared" si="269"/>
        <v>0</v>
      </c>
      <c r="K187" s="194" t="str">
        <f>D187&amp;-9</f>
        <v>20-9</v>
      </c>
      <c r="L187" s="198">
        <f t="shared" si="248"/>
        <v>0.2</v>
      </c>
      <c r="M187" s="49">
        <v>0</v>
      </c>
      <c r="N187" s="198">
        <f t="shared" si="271"/>
        <v>150</v>
      </c>
      <c r="O187" s="198">
        <f t="shared" si="271"/>
        <v>160</v>
      </c>
      <c r="P187" s="198">
        <f t="shared" si="271"/>
        <v>270</v>
      </c>
      <c r="Q187" s="196">
        <f t="shared" si="240"/>
        <v>6</v>
      </c>
    </row>
    <row r="188" spans="1:17" x14ac:dyDescent="0.25">
      <c r="A188" s="229">
        <f t="shared" ref="A188:B188" si="291">A187+1</f>
        <v>1438</v>
      </c>
      <c r="B188" s="230">
        <f t="shared" si="291"/>
        <v>178</v>
      </c>
      <c r="C188" s="229" t="str">
        <f t="shared" si="212"/>
        <v>21bX20+000_030_09</v>
      </c>
      <c r="D188" s="197">
        <f t="shared" si="242"/>
        <v>20</v>
      </c>
      <c r="E188" s="204">
        <f t="shared" si="285"/>
        <v>2.8840000000000003</v>
      </c>
      <c r="F188" s="198">
        <f t="shared" si="243"/>
        <v>14.420000000000002</v>
      </c>
      <c r="G188" s="198">
        <f t="shared" si="244"/>
        <v>11.536000000000001</v>
      </c>
      <c r="H188" s="198">
        <f t="shared" si="245"/>
        <v>7.2100000000000009</v>
      </c>
      <c r="I188" s="198">
        <f t="shared" ref="I188:J202" si="292">I187</f>
        <v>8</v>
      </c>
      <c r="J188" s="199">
        <f t="shared" si="292"/>
        <v>0</v>
      </c>
      <c r="K188" s="194" t="str">
        <f t="shared" ref="K188:K190" si="293">D188&amp;-9</f>
        <v>20-9</v>
      </c>
      <c r="L188" s="198">
        <f t="shared" si="248"/>
        <v>0.2</v>
      </c>
      <c r="M188" s="49">
        <v>30</v>
      </c>
      <c r="N188" s="198">
        <f t="shared" ref="N188:P202" si="294">N187</f>
        <v>150</v>
      </c>
      <c r="O188" s="198">
        <f t="shared" si="294"/>
        <v>160</v>
      </c>
      <c r="P188" s="198">
        <f t="shared" si="294"/>
        <v>270</v>
      </c>
      <c r="Q188" s="196">
        <f t="shared" si="240"/>
        <v>6</v>
      </c>
    </row>
    <row r="189" spans="1:17" x14ac:dyDescent="0.25">
      <c r="A189" s="229">
        <f t="shared" ref="A189:B189" si="295">A188+1</f>
        <v>1439</v>
      </c>
      <c r="B189" s="230">
        <f t="shared" si="295"/>
        <v>179</v>
      </c>
      <c r="C189" s="229" t="str">
        <f t="shared" si="212"/>
        <v>21bX20+000_060_09</v>
      </c>
      <c r="D189" s="197">
        <f t="shared" si="242"/>
        <v>20</v>
      </c>
      <c r="E189" s="204">
        <f t="shared" si="285"/>
        <v>2.8840000000000003</v>
      </c>
      <c r="F189" s="198">
        <f t="shared" si="243"/>
        <v>14.420000000000002</v>
      </c>
      <c r="G189" s="198">
        <f t="shared" si="244"/>
        <v>11.536000000000001</v>
      </c>
      <c r="H189" s="198">
        <f t="shared" si="245"/>
        <v>7.2100000000000009</v>
      </c>
      <c r="I189" s="198">
        <f t="shared" si="292"/>
        <v>8</v>
      </c>
      <c r="J189" s="199">
        <f t="shared" si="292"/>
        <v>0</v>
      </c>
      <c r="K189" s="194" t="str">
        <f t="shared" si="293"/>
        <v>20-9</v>
      </c>
      <c r="L189" s="198">
        <f t="shared" si="248"/>
        <v>0.2</v>
      </c>
      <c r="M189" s="49">
        <v>60</v>
      </c>
      <c r="N189" s="198">
        <f t="shared" si="294"/>
        <v>150</v>
      </c>
      <c r="O189" s="198">
        <f t="shared" si="294"/>
        <v>160</v>
      </c>
      <c r="P189" s="198">
        <f t="shared" si="294"/>
        <v>270</v>
      </c>
      <c r="Q189" s="196">
        <f t="shared" si="240"/>
        <v>6</v>
      </c>
    </row>
    <row r="190" spans="1:17" x14ac:dyDescent="0.25">
      <c r="A190" s="229">
        <f t="shared" ref="A190:B190" si="296">A189+1</f>
        <v>1440</v>
      </c>
      <c r="B190" s="230">
        <f t="shared" si="296"/>
        <v>180</v>
      </c>
      <c r="C190" s="229" t="str">
        <f t="shared" si="212"/>
        <v>21bX20+000_090_09</v>
      </c>
      <c r="D190" s="197">
        <f t="shared" si="242"/>
        <v>20</v>
      </c>
      <c r="E190" s="204">
        <f t="shared" si="285"/>
        <v>2.8840000000000003</v>
      </c>
      <c r="F190" s="198">
        <f t="shared" si="243"/>
        <v>14.420000000000002</v>
      </c>
      <c r="G190" s="198">
        <f t="shared" si="244"/>
        <v>11.536000000000001</v>
      </c>
      <c r="H190" s="198">
        <f t="shared" si="245"/>
        <v>7.2100000000000009</v>
      </c>
      <c r="I190" s="198">
        <f t="shared" si="292"/>
        <v>8</v>
      </c>
      <c r="J190" s="199">
        <f t="shared" si="292"/>
        <v>0</v>
      </c>
      <c r="K190" s="194" t="str">
        <f t="shared" si="293"/>
        <v>20-9</v>
      </c>
      <c r="L190" s="198">
        <f t="shared" si="248"/>
        <v>0.2</v>
      </c>
      <c r="M190" s="49">
        <v>90</v>
      </c>
      <c r="N190" s="198">
        <f t="shared" si="294"/>
        <v>150</v>
      </c>
      <c r="O190" s="198">
        <f t="shared" si="294"/>
        <v>160</v>
      </c>
      <c r="P190" s="198">
        <f t="shared" si="294"/>
        <v>270</v>
      </c>
      <c r="Q190" s="196">
        <f t="shared" si="240"/>
        <v>6</v>
      </c>
    </row>
    <row r="191" spans="1:17" x14ac:dyDescent="0.25">
      <c r="A191" s="229">
        <f t="shared" ref="A191:B191" si="297">A190+1</f>
        <v>1441</v>
      </c>
      <c r="B191" s="230">
        <f t="shared" si="297"/>
        <v>181</v>
      </c>
      <c r="C191" s="229" t="str">
        <f t="shared" si="212"/>
        <v>21bX20+000_000_10</v>
      </c>
      <c r="D191" s="197">
        <f t="shared" si="242"/>
        <v>20</v>
      </c>
      <c r="E191" s="204">
        <f t="shared" si="285"/>
        <v>2.8840000000000003</v>
      </c>
      <c r="F191" s="198">
        <f t="shared" si="243"/>
        <v>14.420000000000002</v>
      </c>
      <c r="G191" s="198">
        <f t="shared" si="244"/>
        <v>11.536000000000001</v>
      </c>
      <c r="H191" s="198">
        <f t="shared" si="245"/>
        <v>7.2100000000000009</v>
      </c>
      <c r="I191" s="198">
        <f t="shared" si="292"/>
        <v>8</v>
      </c>
      <c r="J191" s="199">
        <f t="shared" si="292"/>
        <v>0</v>
      </c>
      <c r="K191" s="194" t="str">
        <f>D191&amp;-10</f>
        <v>20-10</v>
      </c>
      <c r="L191" s="198">
        <f t="shared" si="248"/>
        <v>0.2</v>
      </c>
      <c r="M191" s="49">
        <v>0</v>
      </c>
      <c r="N191" s="198">
        <f t="shared" si="294"/>
        <v>150</v>
      </c>
      <c r="O191" s="198">
        <f t="shared" si="294"/>
        <v>160</v>
      </c>
      <c r="P191" s="198">
        <f t="shared" si="294"/>
        <v>270</v>
      </c>
      <c r="Q191" s="196">
        <f t="shared" si="240"/>
        <v>6</v>
      </c>
    </row>
    <row r="192" spans="1:17" x14ac:dyDescent="0.25">
      <c r="A192" s="229">
        <f t="shared" ref="A192:B192" si="298">A191+1</f>
        <v>1442</v>
      </c>
      <c r="B192" s="230">
        <f t="shared" si="298"/>
        <v>182</v>
      </c>
      <c r="C192" s="229" t="str">
        <f t="shared" si="212"/>
        <v>21bX20+000_030_10</v>
      </c>
      <c r="D192" s="197">
        <f t="shared" si="242"/>
        <v>20</v>
      </c>
      <c r="E192" s="204">
        <f t="shared" si="285"/>
        <v>2.8840000000000003</v>
      </c>
      <c r="F192" s="198">
        <f t="shared" si="243"/>
        <v>14.420000000000002</v>
      </c>
      <c r="G192" s="198">
        <f t="shared" si="244"/>
        <v>11.536000000000001</v>
      </c>
      <c r="H192" s="198">
        <f t="shared" si="245"/>
        <v>7.2100000000000009</v>
      </c>
      <c r="I192" s="198">
        <f t="shared" si="292"/>
        <v>8</v>
      </c>
      <c r="J192" s="199">
        <f t="shared" si="292"/>
        <v>0</v>
      </c>
      <c r="K192" s="194" t="str">
        <f t="shared" ref="K192:K194" si="299">D192&amp;-10</f>
        <v>20-10</v>
      </c>
      <c r="L192" s="198">
        <f t="shared" si="248"/>
        <v>0.2</v>
      </c>
      <c r="M192" s="49">
        <v>30</v>
      </c>
      <c r="N192" s="198">
        <f t="shared" si="294"/>
        <v>150</v>
      </c>
      <c r="O192" s="198">
        <f t="shared" si="294"/>
        <v>160</v>
      </c>
      <c r="P192" s="198">
        <f t="shared" si="294"/>
        <v>270</v>
      </c>
      <c r="Q192" s="196">
        <f t="shared" si="240"/>
        <v>6</v>
      </c>
    </row>
    <row r="193" spans="1:17" x14ac:dyDescent="0.25">
      <c r="A193" s="229">
        <f t="shared" ref="A193:B193" si="300">A192+1</f>
        <v>1443</v>
      </c>
      <c r="B193" s="230">
        <f t="shared" si="300"/>
        <v>183</v>
      </c>
      <c r="C193" s="229" t="str">
        <f t="shared" si="212"/>
        <v>21bX20+000_060_10</v>
      </c>
      <c r="D193" s="197">
        <f t="shared" si="242"/>
        <v>20</v>
      </c>
      <c r="E193" s="204">
        <f t="shared" si="285"/>
        <v>2.8840000000000003</v>
      </c>
      <c r="F193" s="198">
        <f t="shared" si="243"/>
        <v>14.420000000000002</v>
      </c>
      <c r="G193" s="198">
        <f t="shared" si="244"/>
        <v>11.536000000000001</v>
      </c>
      <c r="H193" s="198">
        <f t="shared" si="245"/>
        <v>7.2100000000000009</v>
      </c>
      <c r="I193" s="198">
        <f t="shared" si="292"/>
        <v>8</v>
      </c>
      <c r="J193" s="199">
        <f t="shared" si="292"/>
        <v>0</v>
      </c>
      <c r="K193" s="194" t="str">
        <f t="shared" si="299"/>
        <v>20-10</v>
      </c>
      <c r="L193" s="198">
        <f t="shared" si="248"/>
        <v>0.2</v>
      </c>
      <c r="M193" s="49">
        <v>60</v>
      </c>
      <c r="N193" s="198">
        <f t="shared" si="294"/>
        <v>150</v>
      </c>
      <c r="O193" s="198">
        <f t="shared" si="294"/>
        <v>160</v>
      </c>
      <c r="P193" s="198">
        <f t="shared" si="294"/>
        <v>270</v>
      </c>
      <c r="Q193" s="196">
        <f t="shared" si="240"/>
        <v>6</v>
      </c>
    </row>
    <row r="194" spans="1:17" x14ac:dyDescent="0.25">
      <c r="A194" s="229">
        <f t="shared" ref="A194:B194" si="301">A193+1</f>
        <v>1444</v>
      </c>
      <c r="B194" s="230">
        <f t="shared" si="301"/>
        <v>184</v>
      </c>
      <c r="C194" s="229" t="str">
        <f t="shared" si="212"/>
        <v>21bX20+000_090_10</v>
      </c>
      <c r="D194" s="197">
        <f t="shared" si="242"/>
        <v>20</v>
      </c>
      <c r="E194" s="204">
        <f t="shared" si="285"/>
        <v>2.8840000000000003</v>
      </c>
      <c r="F194" s="198">
        <f t="shared" si="243"/>
        <v>14.420000000000002</v>
      </c>
      <c r="G194" s="198">
        <f t="shared" si="244"/>
        <v>11.536000000000001</v>
      </c>
      <c r="H194" s="198">
        <f t="shared" si="245"/>
        <v>7.2100000000000009</v>
      </c>
      <c r="I194" s="198">
        <f t="shared" si="292"/>
        <v>8</v>
      </c>
      <c r="J194" s="199">
        <f t="shared" si="292"/>
        <v>0</v>
      </c>
      <c r="K194" s="194" t="str">
        <f t="shared" si="299"/>
        <v>20-10</v>
      </c>
      <c r="L194" s="198">
        <f t="shared" si="248"/>
        <v>0.2</v>
      </c>
      <c r="M194" s="49">
        <v>90</v>
      </c>
      <c r="N194" s="198">
        <f t="shared" si="294"/>
        <v>150</v>
      </c>
      <c r="O194" s="198">
        <f t="shared" si="294"/>
        <v>160</v>
      </c>
      <c r="P194" s="198">
        <f t="shared" si="294"/>
        <v>270</v>
      </c>
      <c r="Q194" s="196">
        <f t="shared" si="240"/>
        <v>6</v>
      </c>
    </row>
    <row r="195" spans="1:17" x14ac:dyDescent="0.25">
      <c r="A195" s="229">
        <f t="shared" ref="A195:B195" si="302">A194+1</f>
        <v>1445</v>
      </c>
      <c r="B195" s="230">
        <f t="shared" si="302"/>
        <v>185</v>
      </c>
      <c r="C195" s="229" t="str">
        <f t="shared" si="212"/>
        <v>21bX20+000_000_11</v>
      </c>
      <c r="D195" s="197">
        <f t="shared" si="242"/>
        <v>20</v>
      </c>
      <c r="E195" s="204">
        <f t="shared" si="285"/>
        <v>2.8840000000000003</v>
      </c>
      <c r="F195" s="198">
        <f t="shared" si="243"/>
        <v>14.420000000000002</v>
      </c>
      <c r="G195" s="198">
        <f t="shared" ref="G195:G242" si="303">m_ty*F195</f>
        <v>11.536000000000001</v>
      </c>
      <c r="H195" s="198">
        <f t="shared" ref="H195:H242" si="304">m_tz*F195</f>
        <v>7.2100000000000009</v>
      </c>
      <c r="I195" s="198">
        <f t="shared" si="292"/>
        <v>8</v>
      </c>
      <c r="J195" s="199">
        <f t="shared" si="292"/>
        <v>0</v>
      </c>
      <c r="K195" s="194" t="str">
        <f>D195&amp;-11</f>
        <v>20-11</v>
      </c>
      <c r="L195" s="198">
        <f t="shared" si="248"/>
        <v>0.2</v>
      </c>
      <c r="M195" s="49">
        <v>0</v>
      </c>
      <c r="N195" s="198">
        <f t="shared" si="294"/>
        <v>150</v>
      </c>
      <c r="O195" s="198">
        <f t="shared" si="294"/>
        <v>160</v>
      </c>
      <c r="P195" s="198">
        <f t="shared" si="294"/>
        <v>270</v>
      </c>
      <c r="Q195" s="196">
        <f t="shared" si="240"/>
        <v>6</v>
      </c>
    </row>
    <row r="196" spans="1:17" x14ac:dyDescent="0.25">
      <c r="A196" s="229">
        <f t="shared" ref="A196:B196" si="305">A195+1</f>
        <v>1446</v>
      </c>
      <c r="B196" s="230">
        <f t="shared" si="305"/>
        <v>186</v>
      </c>
      <c r="C196" s="229" t="str">
        <f t="shared" si="212"/>
        <v>21bX20+000_030_11</v>
      </c>
      <c r="D196" s="197">
        <f t="shared" si="242"/>
        <v>20</v>
      </c>
      <c r="E196" s="204">
        <f t="shared" si="285"/>
        <v>2.8840000000000003</v>
      </c>
      <c r="F196" s="198">
        <f t="shared" si="243"/>
        <v>14.420000000000002</v>
      </c>
      <c r="G196" s="198">
        <f t="shared" si="303"/>
        <v>11.536000000000001</v>
      </c>
      <c r="H196" s="198">
        <f t="shared" si="304"/>
        <v>7.2100000000000009</v>
      </c>
      <c r="I196" s="198">
        <f t="shared" si="292"/>
        <v>8</v>
      </c>
      <c r="J196" s="199">
        <f t="shared" si="292"/>
        <v>0</v>
      </c>
      <c r="K196" s="194" t="str">
        <f t="shared" ref="K196:K198" si="306">D196&amp;-11</f>
        <v>20-11</v>
      </c>
      <c r="L196" s="198">
        <f t="shared" si="248"/>
        <v>0.2</v>
      </c>
      <c r="M196" s="49">
        <v>30</v>
      </c>
      <c r="N196" s="198">
        <f t="shared" si="294"/>
        <v>150</v>
      </c>
      <c r="O196" s="198">
        <f t="shared" si="294"/>
        <v>160</v>
      </c>
      <c r="P196" s="198">
        <f t="shared" si="294"/>
        <v>270</v>
      </c>
      <c r="Q196" s="196">
        <f t="shared" si="240"/>
        <v>6</v>
      </c>
    </row>
    <row r="197" spans="1:17" x14ac:dyDescent="0.25">
      <c r="A197" s="229">
        <f t="shared" ref="A197:B197" si="307">A196+1</f>
        <v>1447</v>
      </c>
      <c r="B197" s="230">
        <f t="shared" si="307"/>
        <v>187</v>
      </c>
      <c r="C197" s="229" t="str">
        <f t="shared" si="212"/>
        <v>21bX20+000_060_11</v>
      </c>
      <c r="D197" s="197">
        <f t="shared" si="242"/>
        <v>20</v>
      </c>
      <c r="E197" s="204">
        <f t="shared" si="285"/>
        <v>2.8840000000000003</v>
      </c>
      <c r="F197" s="198">
        <f t="shared" si="243"/>
        <v>14.420000000000002</v>
      </c>
      <c r="G197" s="198">
        <f t="shared" si="303"/>
        <v>11.536000000000001</v>
      </c>
      <c r="H197" s="198">
        <f t="shared" si="304"/>
        <v>7.2100000000000009</v>
      </c>
      <c r="I197" s="198">
        <f t="shared" si="292"/>
        <v>8</v>
      </c>
      <c r="J197" s="199">
        <f t="shared" si="292"/>
        <v>0</v>
      </c>
      <c r="K197" s="194" t="str">
        <f t="shared" si="306"/>
        <v>20-11</v>
      </c>
      <c r="L197" s="198">
        <f t="shared" si="248"/>
        <v>0.2</v>
      </c>
      <c r="M197" s="49">
        <v>60</v>
      </c>
      <c r="N197" s="198">
        <f t="shared" si="294"/>
        <v>150</v>
      </c>
      <c r="O197" s="198">
        <f t="shared" si="294"/>
        <v>160</v>
      </c>
      <c r="P197" s="198">
        <f t="shared" si="294"/>
        <v>270</v>
      </c>
      <c r="Q197" s="196">
        <f t="shared" si="240"/>
        <v>6</v>
      </c>
    </row>
    <row r="198" spans="1:17" x14ac:dyDescent="0.25">
      <c r="A198" s="229">
        <f t="shared" ref="A198:B198" si="308">A197+1</f>
        <v>1448</v>
      </c>
      <c r="B198" s="230">
        <f t="shared" si="308"/>
        <v>188</v>
      </c>
      <c r="C198" s="229" t="str">
        <f t="shared" si="212"/>
        <v>21bX20+000_090_11</v>
      </c>
      <c r="D198" s="197">
        <f t="shared" si="242"/>
        <v>20</v>
      </c>
      <c r="E198" s="204">
        <f t="shared" si="285"/>
        <v>2.8840000000000003</v>
      </c>
      <c r="F198" s="198">
        <f t="shared" si="243"/>
        <v>14.420000000000002</v>
      </c>
      <c r="G198" s="198">
        <f t="shared" si="303"/>
        <v>11.536000000000001</v>
      </c>
      <c r="H198" s="198">
        <f t="shared" si="304"/>
        <v>7.2100000000000009</v>
      </c>
      <c r="I198" s="198">
        <f t="shared" si="292"/>
        <v>8</v>
      </c>
      <c r="J198" s="199">
        <f t="shared" si="292"/>
        <v>0</v>
      </c>
      <c r="K198" s="194" t="str">
        <f t="shared" si="306"/>
        <v>20-11</v>
      </c>
      <c r="L198" s="198">
        <f t="shared" si="248"/>
        <v>0.2</v>
      </c>
      <c r="M198" s="49">
        <v>90</v>
      </c>
      <c r="N198" s="198">
        <f t="shared" si="294"/>
        <v>150</v>
      </c>
      <c r="O198" s="198">
        <f t="shared" si="294"/>
        <v>160</v>
      </c>
      <c r="P198" s="198">
        <f t="shared" si="294"/>
        <v>270</v>
      </c>
      <c r="Q198" s="196">
        <f t="shared" si="240"/>
        <v>6</v>
      </c>
    </row>
    <row r="199" spans="1:17" x14ac:dyDescent="0.25">
      <c r="A199" s="229">
        <f t="shared" ref="A199:B199" si="309">A198+1</f>
        <v>1449</v>
      </c>
      <c r="B199" s="230">
        <f t="shared" si="309"/>
        <v>189</v>
      </c>
      <c r="C199" s="229" t="str">
        <f t="shared" si="212"/>
        <v>21bX20+000_000_12</v>
      </c>
      <c r="D199" s="197">
        <f t="shared" si="242"/>
        <v>20</v>
      </c>
      <c r="E199" s="204">
        <f t="shared" si="285"/>
        <v>2.8840000000000003</v>
      </c>
      <c r="F199" s="198">
        <f t="shared" si="243"/>
        <v>14.420000000000002</v>
      </c>
      <c r="G199" s="198">
        <f t="shared" si="303"/>
        <v>11.536000000000001</v>
      </c>
      <c r="H199" s="198">
        <f t="shared" si="304"/>
        <v>7.2100000000000009</v>
      </c>
      <c r="I199" s="198">
        <f t="shared" si="292"/>
        <v>8</v>
      </c>
      <c r="J199" s="199">
        <f t="shared" si="292"/>
        <v>0</v>
      </c>
      <c r="K199" s="194" t="str">
        <f>D199&amp;-12</f>
        <v>20-12</v>
      </c>
      <c r="L199" s="198">
        <f t="shared" si="248"/>
        <v>0.2</v>
      </c>
      <c r="M199" s="49">
        <v>0</v>
      </c>
      <c r="N199" s="198">
        <f t="shared" si="294"/>
        <v>150</v>
      </c>
      <c r="O199" s="198">
        <f t="shared" si="294"/>
        <v>160</v>
      </c>
      <c r="P199" s="198">
        <f t="shared" si="294"/>
        <v>270</v>
      </c>
      <c r="Q199" s="196">
        <f t="shared" si="240"/>
        <v>6</v>
      </c>
    </row>
    <row r="200" spans="1:17" x14ac:dyDescent="0.25">
      <c r="A200" s="229">
        <f t="shared" ref="A200:B200" si="310">A199+1</f>
        <v>1450</v>
      </c>
      <c r="B200" s="230">
        <f t="shared" si="310"/>
        <v>190</v>
      </c>
      <c r="C200" s="229" t="str">
        <f t="shared" si="212"/>
        <v>21bX20+000_030_12</v>
      </c>
      <c r="D200" s="197">
        <f t="shared" si="242"/>
        <v>20</v>
      </c>
      <c r="E200" s="204">
        <f t="shared" si="285"/>
        <v>2.8840000000000003</v>
      </c>
      <c r="F200" s="198">
        <f t="shared" si="243"/>
        <v>14.420000000000002</v>
      </c>
      <c r="G200" s="198">
        <f t="shared" si="303"/>
        <v>11.536000000000001</v>
      </c>
      <c r="H200" s="198">
        <f t="shared" si="304"/>
        <v>7.2100000000000009</v>
      </c>
      <c r="I200" s="198">
        <f t="shared" si="292"/>
        <v>8</v>
      </c>
      <c r="J200" s="199">
        <f t="shared" si="292"/>
        <v>0</v>
      </c>
      <c r="K200" s="194" t="str">
        <f t="shared" ref="K200:K202" si="311">D200&amp;-12</f>
        <v>20-12</v>
      </c>
      <c r="L200" s="198">
        <f t="shared" si="248"/>
        <v>0.2</v>
      </c>
      <c r="M200" s="49">
        <v>30</v>
      </c>
      <c r="N200" s="198">
        <f t="shared" si="294"/>
        <v>150</v>
      </c>
      <c r="O200" s="198">
        <f t="shared" si="294"/>
        <v>160</v>
      </c>
      <c r="P200" s="198">
        <f t="shared" si="294"/>
        <v>270</v>
      </c>
      <c r="Q200" s="196">
        <f t="shared" si="240"/>
        <v>6</v>
      </c>
    </row>
    <row r="201" spans="1:17" x14ac:dyDescent="0.25">
      <c r="A201" s="229">
        <f t="shared" ref="A201:B201" si="312">A200+1</f>
        <v>1451</v>
      </c>
      <c r="B201" s="230">
        <f t="shared" si="312"/>
        <v>191</v>
      </c>
      <c r="C201" s="229" t="str">
        <f t="shared" si="212"/>
        <v>21bX20+000_060_12</v>
      </c>
      <c r="D201" s="197">
        <f t="shared" si="242"/>
        <v>20</v>
      </c>
      <c r="E201" s="204">
        <f t="shared" si="285"/>
        <v>2.8840000000000003</v>
      </c>
      <c r="F201" s="198">
        <f t="shared" si="243"/>
        <v>14.420000000000002</v>
      </c>
      <c r="G201" s="198">
        <f t="shared" si="303"/>
        <v>11.536000000000001</v>
      </c>
      <c r="H201" s="198">
        <f t="shared" si="304"/>
        <v>7.2100000000000009</v>
      </c>
      <c r="I201" s="198">
        <f t="shared" si="292"/>
        <v>8</v>
      </c>
      <c r="J201" s="199">
        <f t="shared" si="292"/>
        <v>0</v>
      </c>
      <c r="K201" s="194" t="str">
        <f t="shared" si="311"/>
        <v>20-12</v>
      </c>
      <c r="L201" s="198">
        <f t="shared" si="248"/>
        <v>0.2</v>
      </c>
      <c r="M201" s="49">
        <v>60</v>
      </c>
      <c r="N201" s="198">
        <f t="shared" si="294"/>
        <v>150</v>
      </c>
      <c r="O201" s="198">
        <f t="shared" si="294"/>
        <v>160</v>
      </c>
      <c r="P201" s="198">
        <f t="shared" si="294"/>
        <v>270</v>
      </c>
      <c r="Q201" s="196">
        <f t="shared" si="240"/>
        <v>6</v>
      </c>
    </row>
    <row r="202" spans="1:17" x14ac:dyDescent="0.25">
      <c r="A202" s="229">
        <f t="shared" ref="A202:B202" si="313">A201+1</f>
        <v>1452</v>
      </c>
      <c r="B202" s="230">
        <f t="shared" si="313"/>
        <v>192</v>
      </c>
      <c r="C202" s="229" t="str">
        <f t="shared" si="212"/>
        <v>21bX20+000_090_12</v>
      </c>
      <c r="D202" s="197">
        <f t="shared" si="242"/>
        <v>20</v>
      </c>
      <c r="E202" s="204">
        <f t="shared" si="285"/>
        <v>2.8840000000000003</v>
      </c>
      <c r="F202" s="198">
        <f t="shared" si="243"/>
        <v>14.420000000000002</v>
      </c>
      <c r="G202" s="198">
        <f t="shared" si="303"/>
        <v>11.536000000000001</v>
      </c>
      <c r="H202" s="198">
        <f t="shared" si="304"/>
        <v>7.2100000000000009</v>
      </c>
      <c r="I202" s="198">
        <f t="shared" si="292"/>
        <v>8</v>
      </c>
      <c r="J202" s="199">
        <f t="shared" si="292"/>
        <v>0</v>
      </c>
      <c r="K202" s="194" t="str">
        <f t="shared" si="311"/>
        <v>20-12</v>
      </c>
      <c r="L202" s="198">
        <f t="shared" si="248"/>
        <v>0.2</v>
      </c>
      <c r="M202" s="49">
        <v>90</v>
      </c>
      <c r="N202" s="198">
        <f t="shared" si="294"/>
        <v>150</v>
      </c>
      <c r="O202" s="198">
        <f t="shared" si="294"/>
        <v>160</v>
      </c>
      <c r="P202" s="198">
        <f t="shared" si="294"/>
        <v>270</v>
      </c>
      <c r="Q202" s="196">
        <f t="shared" si="240"/>
        <v>6</v>
      </c>
    </row>
    <row r="203" spans="1:17" s="217" customFormat="1" x14ac:dyDescent="0.25">
      <c r="A203" s="229">
        <f t="shared" ref="A203:B203" si="314">A202+1</f>
        <v>1453</v>
      </c>
      <c r="B203" s="230">
        <f t="shared" si="314"/>
        <v>193</v>
      </c>
      <c r="C203" s="229" t="str">
        <f t="shared" si="212"/>
        <v>21bX25+000_000_01</v>
      </c>
      <c r="D203" s="231">
        <f>v_out</f>
        <v>25</v>
      </c>
      <c r="E203" s="239">
        <f t="shared" si="285"/>
        <v>3.4090000000000007</v>
      </c>
      <c r="F203" s="232">
        <f>E203/D203*100</f>
        <v>13.636000000000003</v>
      </c>
      <c r="G203" s="232">
        <f t="shared" si="303"/>
        <v>10.908800000000003</v>
      </c>
      <c r="H203" s="232">
        <f t="shared" si="304"/>
        <v>6.8180000000000014</v>
      </c>
      <c r="I203" s="232">
        <f>inflow</f>
        <v>8</v>
      </c>
      <c r="J203" s="233">
        <f>yaw_null</f>
        <v>0</v>
      </c>
      <c r="K203" s="228" t="str">
        <f>D203&amp;-1</f>
        <v>25-1</v>
      </c>
      <c r="L203" s="232">
        <f>alpha_n</f>
        <v>0.2</v>
      </c>
      <c r="M203" s="235">
        <v>0</v>
      </c>
      <c r="N203" s="232">
        <f>t_out</f>
        <v>150</v>
      </c>
      <c r="O203" s="232">
        <f>trig_t</f>
        <v>160</v>
      </c>
      <c r="P203" s="232">
        <f>N203+2*T_s2</f>
        <v>270</v>
      </c>
      <c r="Q203" s="230">
        <f t="shared" si="240"/>
        <v>6</v>
      </c>
    </row>
    <row r="204" spans="1:17" s="217" customFormat="1" x14ac:dyDescent="0.25">
      <c r="A204" s="229">
        <f t="shared" ref="A204:B204" si="315">A203+1</f>
        <v>1454</v>
      </c>
      <c r="B204" s="230">
        <f t="shared" si="315"/>
        <v>194</v>
      </c>
      <c r="C204" s="229" t="str">
        <f t="shared" ref="C204:C250" si="316">TEXT(RIGHT($B$2,LEN($B$2)-3),"000")&amp;"X"&amp;TEXT(D204,"00")&amp;"+"&amp;IF(J204&lt;0,TEXT(360+J204,"000"),TEXT(J204,"000"))&amp;"_"&amp;TEXT(M204,"000")&amp;"_"&amp;TEXT(RIGHT(K204,LEN(K204)-FIND("-",K204)),"00")</f>
        <v>21bX25+000_030_01</v>
      </c>
      <c r="D204" s="231">
        <f t="shared" si="242"/>
        <v>25</v>
      </c>
      <c r="E204" s="239">
        <f t="shared" si="285"/>
        <v>3.4090000000000007</v>
      </c>
      <c r="F204" s="232">
        <f t="shared" ref="F204:F250" si="317">E204/D204*100</f>
        <v>13.636000000000003</v>
      </c>
      <c r="G204" s="232">
        <f t="shared" si="303"/>
        <v>10.908800000000003</v>
      </c>
      <c r="H204" s="232">
        <f t="shared" si="304"/>
        <v>6.8180000000000014</v>
      </c>
      <c r="I204" s="232">
        <f t="shared" ref="I204:J204" si="318">I203</f>
        <v>8</v>
      </c>
      <c r="J204" s="233">
        <f t="shared" si="318"/>
        <v>0</v>
      </c>
      <c r="K204" s="228" t="str">
        <f t="shared" ref="K204:K206" si="319">D204&amp;-1</f>
        <v>25-1</v>
      </c>
      <c r="L204" s="232">
        <f t="shared" si="248"/>
        <v>0.2</v>
      </c>
      <c r="M204" s="235">
        <v>30</v>
      </c>
      <c r="N204" s="232">
        <f t="shared" ref="N204:P204" si="320">N203</f>
        <v>150</v>
      </c>
      <c r="O204" s="232">
        <f t="shared" si="320"/>
        <v>160</v>
      </c>
      <c r="P204" s="232">
        <f t="shared" si="320"/>
        <v>270</v>
      </c>
      <c r="Q204" s="230">
        <f t="shared" si="240"/>
        <v>6</v>
      </c>
    </row>
    <row r="205" spans="1:17" s="217" customFormat="1" x14ac:dyDescent="0.25">
      <c r="A205" s="229">
        <f t="shared" ref="A205:B205" si="321">A204+1</f>
        <v>1455</v>
      </c>
      <c r="B205" s="230">
        <f t="shared" si="321"/>
        <v>195</v>
      </c>
      <c r="C205" s="229" t="str">
        <f t="shared" si="316"/>
        <v>21bX25+000_060_01</v>
      </c>
      <c r="D205" s="231">
        <f t="shared" si="242"/>
        <v>25</v>
      </c>
      <c r="E205" s="239">
        <f t="shared" si="285"/>
        <v>3.4090000000000007</v>
      </c>
      <c r="F205" s="232">
        <f t="shared" si="317"/>
        <v>13.636000000000003</v>
      </c>
      <c r="G205" s="232">
        <f t="shared" si="303"/>
        <v>10.908800000000003</v>
      </c>
      <c r="H205" s="232">
        <f t="shared" si="304"/>
        <v>6.8180000000000014</v>
      </c>
      <c r="I205" s="232">
        <f t="shared" ref="I205:J205" si="322">I204</f>
        <v>8</v>
      </c>
      <c r="J205" s="233">
        <f t="shared" si="322"/>
        <v>0</v>
      </c>
      <c r="K205" s="228" t="str">
        <f t="shared" si="319"/>
        <v>25-1</v>
      </c>
      <c r="L205" s="232">
        <f t="shared" si="248"/>
        <v>0.2</v>
      </c>
      <c r="M205" s="235">
        <v>60</v>
      </c>
      <c r="N205" s="232">
        <f t="shared" ref="N205:P205" si="323">N204</f>
        <v>150</v>
      </c>
      <c r="O205" s="232">
        <f t="shared" si="323"/>
        <v>160</v>
      </c>
      <c r="P205" s="232">
        <f t="shared" si="323"/>
        <v>270</v>
      </c>
      <c r="Q205" s="230">
        <f t="shared" si="240"/>
        <v>6</v>
      </c>
    </row>
    <row r="206" spans="1:17" s="217" customFormat="1" x14ac:dyDescent="0.25">
      <c r="A206" s="229">
        <f t="shared" ref="A206:B206" si="324">A205+1</f>
        <v>1456</v>
      </c>
      <c r="B206" s="230">
        <f t="shared" si="324"/>
        <v>196</v>
      </c>
      <c r="C206" s="229" t="str">
        <f t="shared" si="316"/>
        <v>21bX25+000_090_01</v>
      </c>
      <c r="D206" s="231">
        <f t="shared" si="242"/>
        <v>25</v>
      </c>
      <c r="E206" s="239">
        <f t="shared" si="285"/>
        <v>3.4090000000000007</v>
      </c>
      <c r="F206" s="232">
        <f t="shared" si="317"/>
        <v>13.636000000000003</v>
      </c>
      <c r="G206" s="232">
        <f t="shared" si="303"/>
        <v>10.908800000000003</v>
      </c>
      <c r="H206" s="232">
        <f t="shared" si="304"/>
        <v>6.8180000000000014</v>
      </c>
      <c r="I206" s="232">
        <f t="shared" ref="I206:J206" si="325">I205</f>
        <v>8</v>
      </c>
      <c r="J206" s="233">
        <f t="shared" si="325"/>
        <v>0</v>
      </c>
      <c r="K206" s="228" t="str">
        <f t="shared" si="319"/>
        <v>25-1</v>
      </c>
      <c r="L206" s="232">
        <f t="shared" si="248"/>
        <v>0.2</v>
      </c>
      <c r="M206" s="235">
        <v>90</v>
      </c>
      <c r="N206" s="232">
        <f t="shared" ref="N206:P206" si="326">N205</f>
        <v>150</v>
      </c>
      <c r="O206" s="232">
        <f t="shared" si="326"/>
        <v>160</v>
      </c>
      <c r="P206" s="232">
        <f t="shared" si="326"/>
        <v>270</v>
      </c>
      <c r="Q206" s="230">
        <f t="shared" si="240"/>
        <v>6</v>
      </c>
    </row>
    <row r="207" spans="1:17" s="217" customFormat="1" x14ac:dyDescent="0.25">
      <c r="A207" s="229">
        <f t="shared" ref="A207:B207" si="327">A206+1</f>
        <v>1457</v>
      </c>
      <c r="B207" s="230">
        <f t="shared" si="327"/>
        <v>197</v>
      </c>
      <c r="C207" s="229" t="str">
        <f t="shared" si="316"/>
        <v>21bX25+000_000_02</v>
      </c>
      <c r="D207" s="231">
        <f t="shared" si="242"/>
        <v>25</v>
      </c>
      <c r="E207" s="239">
        <f t="shared" si="285"/>
        <v>3.4090000000000007</v>
      </c>
      <c r="F207" s="232">
        <f t="shared" si="317"/>
        <v>13.636000000000003</v>
      </c>
      <c r="G207" s="232">
        <f t="shared" si="303"/>
        <v>10.908800000000003</v>
      </c>
      <c r="H207" s="232">
        <f t="shared" si="304"/>
        <v>6.8180000000000014</v>
      </c>
      <c r="I207" s="232">
        <f t="shared" ref="I207:J207" si="328">I206</f>
        <v>8</v>
      </c>
      <c r="J207" s="233">
        <f t="shared" si="328"/>
        <v>0</v>
      </c>
      <c r="K207" s="228" t="str">
        <f>D207&amp;-2</f>
        <v>25-2</v>
      </c>
      <c r="L207" s="232">
        <f t="shared" si="248"/>
        <v>0.2</v>
      </c>
      <c r="M207" s="235">
        <v>0</v>
      </c>
      <c r="N207" s="232">
        <f t="shared" ref="N207:P207" si="329">N206</f>
        <v>150</v>
      </c>
      <c r="O207" s="232">
        <f t="shared" si="329"/>
        <v>160</v>
      </c>
      <c r="P207" s="232">
        <f t="shared" si="329"/>
        <v>270</v>
      </c>
      <c r="Q207" s="230">
        <f t="shared" si="240"/>
        <v>6</v>
      </c>
    </row>
    <row r="208" spans="1:17" s="217" customFormat="1" x14ac:dyDescent="0.25">
      <c r="A208" s="229">
        <f t="shared" ref="A208:B208" si="330">A207+1</f>
        <v>1458</v>
      </c>
      <c r="B208" s="230">
        <f t="shared" si="330"/>
        <v>198</v>
      </c>
      <c r="C208" s="229" t="str">
        <f t="shared" si="316"/>
        <v>21bX25+000_030_02</v>
      </c>
      <c r="D208" s="231">
        <f t="shared" si="242"/>
        <v>25</v>
      </c>
      <c r="E208" s="239">
        <f t="shared" si="285"/>
        <v>3.4090000000000007</v>
      </c>
      <c r="F208" s="232">
        <f t="shared" si="317"/>
        <v>13.636000000000003</v>
      </c>
      <c r="G208" s="232">
        <f t="shared" si="303"/>
        <v>10.908800000000003</v>
      </c>
      <c r="H208" s="232">
        <f t="shared" si="304"/>
        <v>6.8180000000000014</v>
      </c>
      <c r="I208" s="232">
        <f t="shared" ref="I208:J208" si="331">I207</f>
        <v>8</v>
      </c>
      <c r="J208" s="233">
        <f t="shared" si="331"/>
        <v>0</v>
      </c>
      <c r="K208" s="228" t="str">
        <f t="shared" ref="K208:K210" si="332">D208&amp;-2</f>
        <v>25-2</v>
      </c>
      <c r="L208" s="232">
        <f t="shared" si="248"/>
        <v>0.2</v>
      </c>
      <c r="M208" s="235">
        <v>30</v>
      </c>
      <c r="N208" s="232">
        <f t="shared" ref="N208:P208" si="333">N207</f>
        <v>150</v>
      </c>
      <c r="O208" s="232">
        <f t="shared" si="333"/>
        <v>160</v>
      </c>
      <c r="P208" s="232">
        <f t="shared" si="333"/>
        <v>270</v>
      </c>
      <c r="Q208" s="230">
        <f t="shared" si="240"/>
        <v>6</v>
      </c>
    </row>
    <row r="209" spans="1:17" s="217" customFormat="1" x14ac:dyDescent="0.25">
      <c r="A209" s="229">
        <f t="shared" ref="A209:B209" si="334">A208+1</f>
        <v>1459</v>
      </c>
      <c r="B209" s="230">
        <f t="shared" si="334"/>
        <v>199</v>
      </c>
      <c r="C209" s="229" t="str">
        <f t="shared" si="316"/>
        <v>21bX25+000_060_02</v>
      </c>
      <c r="D209" s="231">
        <f t="shared" si="242"/>
        <v>25</v>
      </c>
      <c r="E209" s="239">
        <f t="shared" si="285"/>
        <v>3.4090000000000007</v>
      </c>
      <c r="F209" s="232">
        <f t="shared" si="317"/>
        <v>13.636000000000003</v>
      </c>
      <c r="G209" s="232">
        <f t="shared" si="303"/>
        <v>10.908800000000003</v>
      </c>
      <c r="H209" s="232">
        <f t="shared" si="304"/>
        <v>6.8180000000000014</v>
      </c>
      <c r="I209" s="232">
        <f t="shared" ref="I209:J209" si="335">I208</f>
        <v>8</v>
      </c>
      <c r="J209" s="233">
        <f t="shared" si="335"/>
        <v>0</v>
      </c>
      <c r="K209" s="228" t="str">
        <f t="shared" si="332"/>
        <v>25-2</v>
      </c>
      <c r="L209" s="232">
        <f t="shared" si="248"/>
        <v>0.2</v>
      </c>
      <c r="M209" s="235">
        <v>60</v>
      </c>
      <c r="N209" s="232">
        <f t="shared" ref="N209:P209" si="336">N208</f>
        <v>150</v>
      </c>
      <c r="O209" s="232">
        <f t="shared" si="336"/>
        <v>160</v>
      </c>
      <c r="P209" s="232">
        <f t="shared" si="336"/>
        <v>270</v>
      </c>
      <c r="Q209" s="230">
        <f t="shared" si="240"/>
        <v>6</v>
      </c>
    </row>
    <row r="210" spans="1:17" s="217" customFormat="1" x14ac:dyDescent="0.25">
      <c r="A210" s="229">
        <f t="shared" ref="A210:B210" si="337">A209+1</f>
        <v>1460</v>
      </c>
      <c r="B210" s="230">
        <f t="shared" si="337"/>
        <v>200</v>
      </c>
      <c r="C210" s="229" t="str">
        <f t="shared" si="316"/>
        <v>21bX25+000_090_02</v>
      </c>
      <c r="D210" s="231">
        <f t="shared" si="242"/>
        <v>25</v>
      </c>
      <c r="E210" s="239">
        <f t="shared" si="285"/>
        <v>3.4090000000000007</v>
      </c>
      <c r="F210" s="232">
        <f t="shared" si="317"/>
        <v>13.636000000000003</v>
      </c>
      <c r="G210" s="232">
        <f t="shared" si="303"/>
        <v>10.908800000000003</v>
      </c>
      <c r="H210" s="232">
        <f t="shared" si="304"/>
        <v>6.8180000000000014</v>
      </c>
      <c r="I210" s="232">
        <f t="shared" ref="I210:J210" si="338">I209</f>
        <v>8</v>
      </c>
      <c r="J210" s="233">
        <f t="shared" si="338"/>
        <v>0</v>
      </c>
      <c r="K210" s="228" t="str">
        <f t="shared" si="332"/>
        <v>25-2</v>
      </c>
      <c r="L210" s="232">
        <f t="shared" si="248"/>
        <v>0.2</v>
      </c>
      <c r="M210" s="235">
        <v>90</v>
      </c>
      <c r="N210" s="232">
        <f t="shared" ref="N210:P210" si="339">N209</f>
        <v>150</v>
      </c>
      <c r="O210" s="232">
        <f t="shared" si="339"/>
        <v>160</v>
      </c>
      <c r="P210" s="232">
        <f t="shared" si="339"/>
        <v>270</v>
      </c>
      <c r="Q210" s="230">
        <f t="shared" si="240"/>
        <v>6</v>
      </c>
    </row>
    <row r="211" spans="1:17" s="217" customFormat="1" x14ac:dyDescent="0.25">
      <c r="A211" s="229">
        <f t="shared" ref="A211:B211" si="340">A210+1</f>
        <v>1461</v>
      </c>
      <c r="B211" s="230">
        <f t="shared" si="340"/>
        <v>201</v>
      </c>
      <c r="C211" s="229" t="str">
        <f t="shared" si="316"/>
        <v>21bX25+000_000_03</v>
      </c>
      <c r="D211" s="231">
        <f t="shared" si="242"/>
        <v>25</v>
      </c>
      <c r="E211" s="239">
        <f t="shared" si="285"/>
        <v>3.4090000000000007</v>
      </c>
      <c r="F211" s="232">
        <f t="shared" si="317"/>
        <v>13.636000000000003</v>
      </c>
      <c r="G211" s="232">
        <f t="shared" si="303"/>
        <v>10.908800000000003</v>
      </c>
      <c r="H211" s="232">
        <f t="shared" si="304"/>
        <v>6.8180000000000014</v>
      </c>
      <c r="I211" s="232">
        <f t="shared" ref="I211:J211" si="341">I210</f>
        <v>8</v>
      </c>
      <c r="J211" s="233">
        <f t="shared" si="341"/>
        <v>0</v>
      </c>
      <c r="K211" s="228" t="str">
        <f>D211&amp;-3</f>
        <v>25-3</v>
      </c>
      <c r="L211" s="232">
        <f t="shared" si="248"/>
        <v>0.2</v>
      </c>
      <c r="M211" s="235">
        <v>0</v>
      </c>
      <c r="N211" s="232">
        <f t="shared" ref="N211:P211" si="342">N210</f>
        <v>150</v>
      </c>
      <c r="O211" s="232">
        <f t="shared" si="342"/>
        <v>160</v>
      </c>
      <c r="P211" s="232">
        <f t="shared" si="342"/>
        <v>270</v>
      </c>
      <c r="Q211" s="230">
        <f t="shared" si="240"/>
        <v>6</v>
      </c>
    </row>
    <row r="212" spans="1:17" s="217" customFormat="1" x14ac:dyDescent="0.25">
      <c r="A212" s="229">
        <f t="shared" ref="A212:B212" si="343">A211+1</f>
        <v>1462</v>
      </c>
      <c r="B212" s="230">
        <f t="shared" si="343"/>
        <v>202</v>
      </c>
      <c r="C212" s="229" t="str">
        <f t="shared" si="316"/>
        <v>21bX25+000_030_03</v>
      </c>
      <c r="D212" s="231">
        <f t="shared" si="242"/>
        <v>25</v>
      </c>
      <c r="E212" s="239">
        <f t="shared" si="285"/>
        <v>3.4090000000000007</v>
      </c>
      <c r="F212" s="232">
        <f t="shared" si="317"/>
        <v>13.636000000000003</v>
      </c>
      <c r="G212" s="232">
        <f t="shared" si="303"/>
        <v>10.908800000000003</v>
      </c>
      <c r="H212" s="232">
        <f t="shared" si="304"/>
        <v>6.8180000000000014</v>
      </c>
      <c r="I212" s="232">
        <f t="shared" ref="I212:J212" si="344">I211</f>
        <v>8</v>
      </c>
      <c r="J212" s="233">
        <f t="shared" si="344"/>
        <v>0</v>
      </c>
      <c r="K212" s="228" t="str">
        <f t="shared" ref="K212:K214" si="345">D212&amp;-3</f>
        <v>25-3</v>
      </c>
      <c r="L212" s="232">
        <f t="shared" si="248"/>
        <v>0.2</v>
      </c>
      <c r="M212" s="235">
        <v>30</v>
      </c>
      <c r="N212" s="232">
        <f t="shared" ref="N212:P212" si="346">N211</f>
        <v>150</v>
      </c>
      <c r="O212" s="232">
        <f t="shared" si="346"/>
        <v>160</v>
      </c>
      <c r="P212" s="232">
        <f t="shared" si="346"/>
        <v>270</v>
      </c>
      <c r="Q212" s="230">
        <f t="shared" si="240"/>
        <v>6</v>
      </c>
    </row>
    <row r="213" spans="1:17" s="217" customFormat="1" x14ac:dyDescent="0.25">
      <c r="A213" s="229">
        <f t="shared" ref="A213:B213" si="347">A212+1</f>
        <v>1463</v>
      </c>
      <c r="B213" s="230">
        <f t="shared" si="347"/>
        <v>203</v>
      </c>
      <c r="C213" s="229" t="str">
        <f t="shared" si="316"/>
        <v>21bX25+000_060_03</v>
      </c>
      <c r="D213" s="231">
        <f t="shared" si="242"/>
        <v>25</v>
      </c>
      <c r="E213" s="239">
        <f t="shared" si="285"/>
        <v>3.4090000000000007</v>
      </c>
      <c r="F213" s="232">
        <f t="shared" si="317"/>
        <v>13.636000000000003</v>
      </c>
      <c r="G213" s="232">
        <f t="shared" si="303"/>
        <v>10.908800000000003</v>
      </c>
      <c r="H213" s="232">
        <f t="shared" si="304"/>
        <v>6.8180000000000014</v>
      </c>
      <c r="I213" s="232">
        <f t="shared" ref="I213:J213" si="348">I212</f>
        <v>8</v>
      </c>
      <c r="J213" s="233">
        <f t="shared" si="348"/>
        <v>0</v>
      </c>
      <c r="K213" s="228" t="str">
        <f t="shared" si="345"/>
        <v>25-3</v>
      </c>
      <c r="L213" s="232">
        <f t="shared" si="248"/>
        <v>0.2</v>
      </c>
      <c r="M213" s="235">
        <v>60</v>
      </c>
      <c r="N213" s="232">
        <f t="shared" ref="N213:P213" si="349">N212</f>
        <v>150</v>
      </c>
      <c r="O213" s="232">
        <f t="shared" si="349"/>
        <v>160</v>
      </c>
      <c r="P213" s="232">
        <f t="shared" si="349"/>
        <v>270</v>
      </c>
      <c r="Q213" s="230">
        <f t="shared" si="240"/>
        <v>6</v>
      </c>
    </row>
    <row r="214" spans="1:17" s="217" customFormat="1" x14ac:dyDescent="0.25">
      <c r="A214" s="229">
        <f t="shared" ref="A214:B214" si="350">A213+1</f>
        <v>1464</v>
      </c>
      <c r="B214" s="230">
        <f t="shared" si="350"/>
        <v>204</v>
      </c>
      <c r="C214" s="229" t="str">
        <f t="shared" si="316"/>
        <v>21bX25+000_090_03</v>
      </c>
      <c r="D214" s="231">
        <f t="shared" si="242"/>
        <v>25</v>
      </c>
      <c r="E214" s="239">
        <f t="shared" si="285"/>
        <v>3.4090000000000007</v>
      </c>
      <c r="F214" s="232">
        <f t="shared" si="317"/>
        <v>13.636000000000003</v>
      </c>
      <c r="G214" s="232">
        <f t="shared" si="303"/>
        <v>10.908800000000003</v>
      </c>
      <c r="H214" s="232">
        <f t="shared" si="304"/>
        <v>6.8180000000000014</v>
      </c>
      <c r="I214" s="232">
        <f t="shared" ref="I214:J214" si="351">I213</f>
        <v>8</v>
      </c>
      <c r="J214" s="233">
        <f t="shared" si="351"/>
        <v>0</v>
      </c>
      <c r="K214" s="228" t="str">
        <f t="shared" si="345"/>
        <v>25-3</v>
      </c>
      <c r="L214" s="232">
        <f t="shared" si="248"/>
        <v>0.2</v>
      </c>
      <c r="M214" s="235">
        <v>90</v>
      </c>
      <c r="N214" s="232">
        <f t="shared" ref="N214:P214" si="352">N213</f>
        <v>150</v>
      </c>
      <c r="O214" s="232">
        <f t="shared" si="352"/>
        <v>160</v>
      </c>
      <c r="P214" s="232">
        <f t="shared" si="352"/>
        <v>270</v>
      </c>
      <c r="Q214" s="230">
        <f t="shared" si="240"/>
        <v>6</v>
      </c>
    </row>
    <row r="215" spans="1:17" s="217" customFormat="1" x14ac:dyDescent="0.25">
      <c r="A215" s="229">
        <f t="shared" ref="A215:B215" si="353">A214+1</f>
        <v>1465</v>
      </c>
      <c r="B215" s="230">
        <f t="shared" si="353"/>
        <v>205</v>
      </c>
      <c r="C215" s="229" t="str">
        <f t="shared" si="316"/>
        <v>21bX25+000_000_04</v>
      </c>
      <c r="D215" s="231">
        <f t="shared" si="242"/>
        <v>25</v>
      </c>
      <c r="E215" s="239">
        <f t="shared" si="285"/>
        <v>3.4090000000000007</v>
      </c>
      <c r="F215" s="232">
        <f t="shared" si="317"/>
        <v>13.636000000000003</v>
      </c>
      <c r="G215" s="232">
        <f t="shared" si="303"/>
        <v>10.908800000000003</v>
      </c>
      <c r="H215" s="232">
        <f t="shared" si="304"/>
        <v>6.8180000000000014</v>
      </c>
      <c r="I215" s="232">
        <f t="shared" ref="I215:J215" si="354">I214</f>
        <v>8</v>
      </c>
      <c r="J215" s="233">
        <f t="shared" si="354"/>
        <v>0</v>
      </c>
      <c r="K215" s="228" t="str">
        <f>D215&amp;-4</f>
        <v>25-4</v>
      </c>
      <c r="L215" s="232">
        <f t="shared" si="248"/>
        <v>0.2</v>
      </c>
      <c r="M215" s="235">
        <v>0</v>
      </c>
      <c r="N215" s="232">
        <f t="shared" ref="N215:P215" si="355">N214</f>
        <v>150</v>
      </c>
      <c r="O215" s="232">
        <f t="shared" si="355"/>
        <v>160</v>
      </c>
      <c r="P215" s="232">
        <f t="shared" si="355"/>
        <v>270</v>
      </c>
      <c r="Q215" s="230">
        <f t="shared" si="240"/>
        <v>6</v>
      </c>
    </row>
    <row r="216" spans="1:17" s="217" customFormat="1" x14ac:dyDescent="0.25">
      <c r="A216" s="229">
        <f t="shared" ref="A216:B216" si="356">A215+1</f>
        <v>1466</v>
      </c>
      <c r="B216" s="230">
        <f t="shared" si="356"/>
        <v>206</v>
      </c>
      <c r="C216" s="229" t="str">
        <f t="shared" si="316"/>
        <v>21bX25+000_030_04</v>
      </c>
      <c r="D216" s="231">
        <f t="shared" si="242"/>
        <v>25</v>
      </c>
      <c r="E216" s="239">
        <f t="shared" si="285"/>
        <v>3.4090000000000007</v>
      </c>
      <c r="F216" s="232">
        <f t="shared" si="317"/>
        <v>13.636000000000003</v>
      </c>
      <c r="G216" s="232">
        <f t="shared" si="303"/>
        <v>10.908800000000003</v>
      </c>
      <c r="H216" s="232">
        <f t="shared" si="304"/>
        <v>6.8180000000000014</v>
      </c>
      <c r="I216" s="232">
        <f t="shared" ref="I216:J216" si="357">I215</f>
        <v>8</v>
      </c>
      <c r="J216" s="233">
        <f t="shared" si="357"/>
        <v>0</v>
      </c>
      <c r="K216" s="228" t="str">
        <f t="shared" ref="K216:K218" si="358">D216&amp;-4</f>
        <v>25-4</v>
      </c>
      <c r="L216" s="232">
        <f t="shared" si="248"/>
        <v>0.2</v>
      </c>
      <c r="M216" s="235">
        <v>30</v>
      </c>
      <c r="N216" s="232">
        <f t="shared" ref="N216:P216" si="359">N215</f>
        <v>150</v>
      </c>
      <c r="O216" s="232">
        <f t="shared" si="359"/>
        <v>160</v>
      </c>
      <c r="P216" s="232">
        <f t="shared" si="359"/>
        <v>270</v>
      </c>
      <c r="Q216" s="230">
        <f t="shared" si="240"/>
        <v>6</v>
      </c>
    </row>
    <row r="217" spans="1:17" s="217" customFormat="1" x14ac:dyDescent="0.25">
      <c r="A217" s="229">
        <f t="shared" ref="A217:B217" si="360">A216+1</f>
        <v>1467</v>
      </c>
      <c r="B217" s="230">
        <f t="shared" si="360"/>
        <v>207</v>
      </c>
      <c r="C217" s="229" t="str">
        <f t="shared" si="316"/>
        <v>21bX25+000_060_04</v>
      </c>
      <c r="D217" s="231">
        <f t="shared" si="242"/>
        <v>25</v>
      </c>
      <c r="E217" s="239">
        <f t="shared" si="285"/>
        <v>3.4090000000000007</v>
      </c>
      <c r="F217" s="232">
        <f t="shared" si="317"/>
        <v>13.636000000000003</v>
      </c>
      <c r="G217" s="232">
        <f t="shared" si="303"/>
        <v>10.908800000000003</v>
      </c>
      <c r="H217" s="232">
        <f t="shared" si="304"/>
        <v>6.8180000000000014</v>
      </c>
      <c r="I217" s="232">
        <f t="shared" ref="I217:J217" si="361">I216</f>
        <v>8</v>
      </c>
      <c r="J217" s="233">
        <f t="shared" si="361"/>
        <v>0</v>
      </c>
      <c r="K217" s="228" t="str">
        <f t="shared" si="358"/>
        <v>25-4</v>
      </c>
      <c r="L217" s="232">
        <f t="shared" si="248"/>
        <v>0.2</v>
      </c>
      <c r="M217" s="235">
        <v>60</v>
      </c>
      <c r="N217" s="232">
        <f t="shared" ref="N217:P217" si="362">N216</f>
        <v>150</v>
      </c>
      <c r="O217" s="232">
        <f t="shared" si="362"/>
        <v>160</v>
      </c>
      <c r="P217" s="232">
        <f t="shared" si="362"/>
        <v>270</v>
      </c>
      <c r="Q217" s="230">
        <f t="shared" si="240"/>
        <v>6</v>
      </c>
    </row>
    <row r="218" spans="1:17" s="217" customFormat="1" x14ac:dyDescent="0.25">
      <c r="A218" s="229">
        <f t="shared" ref="A218:B218" si="363">A217+1</f>
        <v>1468</v>
      </c>
      <c r="B218" s="230">
        <f t="shared" si="363"/>
        <v>208</v>
      </c>
      <c r="C218" s="229" t="str">
        <f t="shared" si="316"/>
        <v>21bX25+000_090_04</v>
      </c>
      <c r="D218" s="231">
        <f t="shared" si="242"/>
        <v>25</v>
      </c>
      <c r="E218" s="239">
        <f t="shared" si="285"/>
        <v>3.4090000000000007</v>
      </c>
      <c r="F218" s="232">
        <f t="shared" si="317"/>
        <v>13.636000000000003</v>
      </c>
      <c r="G218" s="232">
        <f t="shared" si="303"/>
        <v>10.908800000000003</v>
      </c>
      <c r="H218" s="232">
        <f t="shared" si="304"/>
        <v>6.8180000000000014</v>
      </c>
      <c r="I218" s="232">
        <f t="shared" ref="I218:J218" si="364">I217</f>
        <v>8</v>
      </c>
      <c r="J218" s="233">
        <f t="shared" si="364"/>
        <v>0</v>
      </c>
      <c r="K218" s="228" t="str">
        <f t="shared" si="358"/>
        <v>25-4</v>
      </c>
      <c r="L218" s="232">
        <f t="shared" si="248"/>
        <v>0.2</v>
      </c>
      <c r="M218" s="235">
        <v>90</v>
      </c>
      <c r="N218" s="232">
        <f t="shared" ref="N218:P218" si="365">N217</f>
        <v>150</v>
      </c>
      <c r="O218" s="232">
        <f t="shared" si="365"/>
        <v>160</v>
      </c>
      <c r="P218" s="232">
        <f t="shared" si="365"/>
        <v>270</v>
      </c>
      <c r="Q218" s="230">
        <f t="shared" si="240"/>
        <v>6</v>
      </c>
    </row>
    <row r="219" spans="1:17" s="217" customFormat="1" x14ac:dyDescent="0.25">
      <c r="A219" s="229">
        <f t="shared" ref="A219:B219" si="366">A218+1</f>
        <v>1469</v>
      </c>
      <c r="B219" s="230">
        <f t="shared" si="366"/>
        <v>209</v>
      </c>
      <c r="C219" s="229" t="str">
        <f t="shared" si="316"/>
        <v>21bX25+000_000_05</v>
      </c>
      <c r="D219" s="231">
        <f t="shared" si="242"/>
        <v>25</v>
      </c>
      <c r="E219" s="239">
        <f t="shared" si="285"/>
        <v>3.4090000000000007</v>
      </c>
      <c r="F219" s="232">
        <f t="shared" si="317"/>
        <v>13.636000000000003</v>
      </c>
      <c r="G219" s="232">
        <f t="shared" si="303"/>
        <v>10.908800000000003</v>
      </c>
      <c r="H219" s="232">
        <f t="shared" si="304"/>
        <v>6.8180000000000014</v>
      </c>
      <c r="I219" s="232">
        <f t="shared" ref="I219:J219" si="367">I218</f>
        <v>8</v>
      </c>
      <c r="J219" s="233">
        <f t="shared" si="367"/>
        <v>0</v>
      </c>
      <c r="K219" s="228" t="str">
        <f>D219&amp;-5</f>
        <v>25-5</v>
      </c>
      <c r="L219" s="232">
        <f t="shared" si="248"/>
        <v>0.2</v>
      </c>
      <c r="M219" s="235">
        <v>0</v>
      </c>
      <c r="N219" s="232">
        <f t="shared" ref="N219:P219" si="368">N218</f>
        <v>150</v>
      </c>
      <c r="O219" s="232">
        <f t="shared" si="368"/>
        <v>160</v>
      </c>
      <c r="P219" s="232">
        <f t="shared" si="368"/>
        <v>270</v>
      </c>
      <c r="Q219" s="230">
        <f t="shared" ref="Q219:Q250" si="369">1*pitch_runaway_feather</f>
        <v>6</v>
      </c>
    </row>
    <row r="220" spans="1:17" s="217" customFormat="1" x14ac:dyDescent="0.25">
      <c r="A220" s="229">
        <f t="shared" ref="A220:B220" si="370">A219+1</f>
        <v>1470</v>
      </c>
      <c r="B220" s="230">
        <f t="shared" si="370"/>
        <v>210</v>
      </c>
      <c r="C220" s="229" t="str">
        <f t="shared" si="316"/>
        <v>21bX25+000_030_05</v>
      </c>
      <c r="D220" s="231">
        <f t="shared" ref="D220:D250" si="371">D219</f>
        <v>25</v>
      </c>
      <c r="E220" s="239">
        <f t="shared" si="285"/>
        <v>3.4090000000000007</v>
      </c>
      <c r="F220" s="232">
        <f t="shared" si="317"/>
        <v>13.636000000000003</v>
      </c>
      <c r="G220" s="232">
        <f t="shared" si="303"/>
        <v>10.908800000000003</v>
      </c>
      <c r="H220" s="232">
        <f t="shared" si="304"/>
        <v>6.8180000000000014</v>
      </c>
      <c r="I220" s="232">
        <f t="shared" ref="I220:J220" si="372">I219</f>
        <v>8</v>
      </c>
      <c r="J220" s="233">
        <f t="shared" si="372"/>
        <v>0</v>
      </c>
      <c r="K220" s="228" t="str">
        <f t="shared" ref="K220:K222" si="373">D220&amp;-5</f>
        <v>25-5</v>
      </c>
      <c r="L220" s="232">
        <f t="shared" ref="L220:L250" si="374">L219</f>
        <v>0.2</v>
      </c>
      <c r="M220" s="235">
        <v>30</v>
      </c>
      <c r="N220" s="232">
        <f t="shared" ref="N220:P220" si="375">N219</f>
        <v>150</v>
      </c>
      <c r="O220" s="232">
        <f t="shared" si="375"/>
        <v>160</v>
      </c>
      <c r="P220" s="232">
        <f t="shared" si="375"/>
        <v>270</v>
      </c>
      <c r="Q220" s="230">
        <f t="shared" si="369"/>
        <v>6</v>
      </c>
    </row>
    <row r="221" spans="1:17" s="217" customFormat="1" x14ac:dyDescent="0.25">
      <c r="A221" s="229">
        <f t="shared" ref="A221:B221" si="376">A220+1</f>
        <v>1471</v>
      </c>
      <c r="B221" s="230">
        <f t="shared" si="376"/>
        <v>211</v>
      </c>
      <c r="C221" s="229" t="str">
        <f t="shared" si="316"/>
        <v>21bX25+000_060_05</v>
      </c>
      <c r="D221" s="231">
        <f t="shared" si="371"/>
        <v>25</v>
      </c>
      <c r="E221" s="239">
        <f t="shared" si="285"/>
        <v>3.4090000000000007</v>
      </c>
      <c r="F221" s="232">
        <f t="shared" si="317"/>
        <v>13.636000000000003</v>
      </c>
      <c r="G221" s="232">
        <f t="shared" si="303"/>
        <v>10.908800000000003</v>
      </c>
      <c r="H221" s="232">
        <f t="shared" si="304"/>
        <v>6.8180000000000014</v>
      </c>
      <c r="I221" s="232">
        <f t="shared" ref="I221:J221" si="377">I220</f>
        <v>8</v>
      </c>
      <c r="J221" s="233">
        <f t="shared" si="377"/>
        <v>0</v>
      </c>
      <c r="K221" s="228" t="str">
        <f t="shared" si="373"/>
        <v>25-5</v>
      </c>
      <c r="L221" s="232">
        <f t="shared" si="374"/>
        <v>0.2</v>
      </c>
      <c r="M221" s="235">
        <v>60</v>
      </c>
      <c r="N221" s="232">
        <f t="shared" ref="N221:P221" si="378">N220</f>
        <v>150</v>
      </c>
      <c r="O221" s="232">
        <f t="shared" si="378"/>
        <v>160</v>
      </c>
      <c r="P221" s="232">
        <f t="shared" si="378"/>
        <v>270</v>
      </c>
      <c r="Q221" s="230">
        <f t="shared" si="369"/>
        <v>6</v>
      </c>
    </row>
    <row r="222" spans="1:17" s="217" customFormat="1" x14ac:dyDescent="0.25">
      <c r="A222" s="229">
        <f t="shared" ref="A222:B222" si="379">A221+1</f>
        <v>1472</v>
      </c>
      <c r="B222" s="230">
        <f t="shared" si="379"/>
        <v>212</v>
      </c>
      <c r="C222" s="229" t="str">
        <f t="shared" si="316"/>
        <v>21bX25+000_090_05</v>
      </c>
      <c r="D222" s="231">
        <f t="shared" si="371"/>
        <v>25</v>
      </c>
      <c r="E222" s="239">
        <f t="shared" si="285"/>
        <v>3.4090000000000007</v>
      </c>
      <c r="F222" s="232">
        <f t="shared" si="317"/>
        <v>13.636000000000003</v>
      </c>
      <c r="G222" s="232">
        <f t="shared" si="303"/>
        <v>10.908800000000003</v>
      </c>
      <c r="H222" s="232">
        <f t="shared" si="304"/>
        <v>6.8180000000000014</v>
      </c>
      <c r="I222" s="232">
        <f t="shared" ref="I222:J222" si="380">I221</f>
        <v>8</v>
      </c>
      <c r="J222" s="233">
        <f t="shared" si="380"/>
        <v>0</v>
      </c>
      <c r="K222" s="228" t="str">
        <f t="shared" si="373"/>
        <v>25-5</v>
      </c>
      <c r="L222" s="232">
        <f t="shared" si="374"/>
        <v>0.2</v>
      </c>
      <c r="M222" s="235">
        <v>90</v>
      </c>
      <c r="N222" s="232">
        <f t="shared" ref="N222:P222" si="381">N221</f>
        <v>150</v>
      </c>
      <c r="O222" s="232">
        <f t="shared" si="381"/>
        <v>160</v>
      </c>
      <c r="P222" s="232">
        <f t="shared" si="381"/>
        <v>270</v>
      </c>
      <c r="Q222" s="230">
        <f t="shared" si="369"/>
        <v>6</v>
      </c>
    </row>
    <row r="223" spans="1:17" s="217" customFormat="1" x14ac:dyDescent="0.25">
      <c r="A223" s="229">
        <f t="shared" ref="A223:B223" si="382">A222+1</f>
        <v>1473</v>
      </c>
      <c r="B223" s="230">
        <f t="shared" si="382"/>
        <v>213</v>
      </c>
      <c r="C223" s="229" t="str">
        <f t="shared" si="316"/>
        <v>21bX25+000_000_06</v>
      </c>
      <c r="D223" s="231">
        <f t="shared" si="371"/>
        <v>25</v>
      </c>
      <c r="E223" s="239">
        <f t="shared" si="285"/>
        <v>3.4090000000000007</v>
      </c>
      <c r="F223" s="232">
        <f t="shared" si="317"/>
        <v>13.636000000000003</v>
      </c>
      <c r="G223" s="232">
        <f t="shared" si="303"/>
        <v>10.908800000000003</v>
      </c>
      <c r="H223" s="232">
        <f t="shared" si="304"/>
        <v>6.8180000000000014</v>
      </c>
      <c r="I223" s="232">
        <f t="shared" ref="I223:J223" si="383">I222</f>
        <v>8</v>
      </c>
      <c r="J223" s="233">
        <f t="shared" si="383"/>
        <v>0</v>
      </c>
      <c r="K223" s="228" t="str">
        <f>D223&amp;-6</f>
        <v>25-6</v>
      </c>
      <c r="L223" s="232">
        <f t="shared" si="374"/>
        <v>0.2</v>
      </c>
      <c r="M223" s="235">
        <v>0</v>
      </c>
      <c r="N223" s="232">
        <f t="shared" ref="N223:P223" si="384">N222</f>
        <v>150</v>
      </c>
      <c r="O223" s="232">
        <f t="shared" si="384"/>
        <v>160</v>
      </c>
      <c r="P223" s="232">
        <f t="shared" si="384"/>
        <v>270</v>
      </c>
      <c r="Q223" s="230">
        <f t="shared" si="369"/>
        <v>6</v>
      </c>
    </row>
    <row r="224" spans="1:17" s="217" customFormat="1" x14ac:dyDescent="0.25">
      <c r="A224" s="229">
        <f t="shared" ref="A224:B224" si="385">A223+1</f>
        <v>1474</v>
      </c>
      <c r="B224" s="230">
        <f t="shared" si="385"/>
        <v>214</v>
      </c>
      <c r="C224" s="229" t="str">
        <f t="shared" si="316"/>
        <v>21bX25+000_030_06</v>
      </c>
      <c r="D224" s="231">
        <f t="shared" si="371"/>
        <v>25</v>
      </c>
      <c r="E224" s="239">
        <f t="shared" si="285"/>
        <v>3.4090000000000007</v>
      </c>
      <c r="F224" s="232">
        <f t="shared" si="317"/>
        <v>13.636000000000003</v>
      </c>
      <c r="G224" s="232">
        <f t="shared" si="303"/>
        <v>10.908800000000003</v>
      </c>
      <c r="H224" s="232">
        <f t="shared" si="304"/>
        <v>6.8180000000000014</v>
      </c>
      <c r="I224" s="232">
        <f t="shared" ref="I224:J224" si="386">I223</f>
        <v>8</v>
      </c>
      <c r="J224" s="233">
        <f t="shared" si="386"/>
        <v>0</v>
      </c>
      <c r="K224" s="228" t="str">
        <f t="shared" ref="K224:K226" si="387">D224&amp;-6</f>
        <v>25-6</v>
      </c>
      <c r="L224" s="232">
        <f t="shared" si="374"/>
        <v>0.2</v>
      </c>
      <c r="M224" s="235">
        <v>30</v>
      </c>
      <c r="N224" s="232">
        <f t="shared" ref="N224:P224" si="388">N223</f>
        <v>150</v>
      </c>
      <c r="O224" s="232">
        <f t="shared" si="388"/>
        <v>160</v>
      </c>
      <c r="P224" s="232">
        <f t="shared" si="388"/>
        <v>270</v>
      </c>
      <c r="Q224" s="230">
        <f t="shared" si="369"/>
        <v>6</v>
      </c>
    </row>
    <row r="225" spans="1:17" s="217" customFormat="1" x14ac:dyDescent="0.25">
      <c r="A225" s="229">
        <f t="shared" ref="A225:B225" si="389">A224+1</f>
        <v>1475</v>
      </c>
      <c r="B225" s="230">
        <f t="shared" si="389"/>
        <v>215</v>
      </c>
      <c r="C225" s="229" t="str">
        <f t="shared" si="316"/>
        <v>21bX25+000_060_06</v>
      </c>
      <c r="D225" s="231">
        <f t="shared" si="371"/>
        <v>25</v>
      </c>
      <c r="E225" s="239">
        <f t="shared" si="285"/>
        <v>3.4090000000000007</v>
      </c>
      <c r="F225" s="232">
        <f t="shared" si="317"/>
        <v>13.636000000000003</v>
      </c>
      <c r="G225" s="232">
        <f t="shared" si="303"/>
        <v>10.908800000000003</v>
      </c>
      <c r="H225" s="232">
        <f t="shared" si="304"/>
        <v>6.8180000000000014</v>
      </c>
      <c r="I225" s="232">
        <f t="shared" ref="I225:J225" si="390">I224</f>
        <v>8</v>
      </c>
      <c r="J225" s="233">
        <f t="shared" si="390"/>
        <v>0</v>
      </c>
      <c r="K225" s="228" t="str">
        <f t="shared" si="387"/>
        <v>25-6</v>
      </c>
      <c r="L225" s="232">
        <f t="shared" si="374"/>
        <v>0.2</v>
      </c>
      <c r="M225" s="235">
        <v>60</v>
      </c>
      <c r="N225" s="232">
        <f t="shared" ref="N225:P225" si="391">N224</f>
        <v>150</v>
      </c>
      <c r="O225" s="232">
        <f t="shared" si="391"/>
        <v>160</v>
      </c>
      <c r="P225" s="232">
        <f t="shared" si="391"/>
        <v>270</v>
      </c>
      <c r="Q225" s="230">
        <f t="shared" si="369"/>
        <v>6</v>
      </c>
    </row>
    <row r="226" spans="1:17" s="217" customFormat="1" x14ac:dyDescent="0.25">
      <c r="A226" s="229">
        <f t="shared" ref="A226:B226" si="392">A225+1</f>
        <v>1476</v>
      </c>
      <c r="B226" s="230">
        <f t="shared" si="392"/>
        <v>216</v>
      </c>
      <c r="C226" s="229" t="str">
        <f t="shared" si="316"/>
        <v>21bX25+000_090_06</v>
      </c>
      <c r="D226" s="231">
        <f t="shared" si="371"/>
        <v>25</v>
      </c>
      <c r="E226" s="239">
        <f t="shared" si="285"/>
        <v>3.4090000000000007</v>
      </c>
      <c r="F226" s="232">
        <f t="shared" si="317"/>
        <v>13.636000000000003</v>
      </c>
      <c r="G226" s="232">
        <f t="shared" si="303"/>
        <v>10.908800000000003</v>
      </c>
      <c r="H226" s="232">
        <f t="shared" si="304"/>
        <v>6.8180000000000014</v>
      </c>
      <c r="I226" s="232">
        <f t="shared" ref="I226:J226" si="393">I225</f>
        <v>8</v>
      </c>
      <c r="J226" s="233">
        <f t="shared" si="393"/>
        <v>0</v>
      </c>
      <c r="K226" s="228" t="str">
        <f t="shared" si="387"/>
        <v>25-6</v>
      </c>
      <c r="L226" s="232">
        <f t="shared" si="374"/>
        <v>0.2</v>
      </c>
      <c r="M226" s="235">
        <v>90</v>
      </c>
      <c r="N226" s="232">
        <f t="shared" ref="N226:P226" si="394">N225</f>
        <v>150</v>
      </c>
      <c r="O226" s="232">
        <f t="shared" si="394"/>
        <v>160</v>
      </c>
      <c r="P226" s="232">
        <f t="shared" si="394"/>
        <v>270</v>
      </c>
      <c r="Q226" s="230">
        <f t="shared" si="369"/>
        <v>6</v>
      </c>
    </row>
    <row r="227" spans="1:17" s="217" customFormat="1" x14ac:dyDescent="0.25">
      <c r="A227" s="229">
        <f t="shared" ref="A227:B227" si="395">A226+1</f>
        <v>1477</v>
      </c>
      <c r="B227" s="230">
        <f t="shared" si="395"/>
        <v>217</v>
      </c>
      <c r="C227" s="229" t="str">
        <f t="shared" si="316"/>
        <v>21bX25+000_000_07</v>
      </c>
      <c r="D227" s="231">
        <f t="shared" si="371"/>
        <v>25</v>
      </c>
      <c r="E227" s="239">
        <f t="shared" si="285"/>
        <v>3.4090000000000007</v>
      </c>
      <c r="F227" s="232">
        <f t="shared" si="317"/>
        <v>13.636000000000003</v>
      </c>
      <c r="G227" s="232">
        <f t="shared" si="303"/>
        <v>10.908800000000003</v>
      </c>
      <c r="H227" s="232">
        <f t="shared" si="304"/>
        <v>6.8180000000000014</v>
      </c>
      <c r="I227" s="232">
        <f t="shared" ref="I227:J227" si="396">I226</f>
        <v>8</v>
      </c>
      <c r="J227" s="233">
        <f t="shared" si="396"/>
        <v>0</v>
      </c>
      <c r="K227" s="228" t="str">
        <f>D227&amp;-7</f>
        <v>25-7</v>
      </c>
      <c r="L227" s="232">
        <f t="shared" si="374"/>
        <v>0.2</v>
      </c>
      <c r="M227" s="235">
        <v>0</v>
      </c>
      <c r="N227" s="232">
        <f t="shared" ref="N227:P227" si="397">N226</f>
        <v>150</v>
      </c>
      <c r="O227" s="232">
        <f t="shared" si="397"/>
        <v>160</v>
      </c>
      <c r="P227" s="232">
        <f t="shared" si="397"/>
        <v>270</v>
      </c>
      <c r="Q227" s="230">
        <f t="shared" si="369"/>
        <v>6</v>
      </c>
    </row>
    <row r="228" spans="1:17" s="217" customFormat="1" x14ac:dyDescent="0.25">
      <c r="A228" s="229">
        <f t="shared" ref="A228:B228" si="398">A227+1</f>
        <v>1478</v>
      </c>
      <c r="B228" s="230">
        <f t="shared" si="398"/>
        <v>218</v>
      </c>
      <c r="C228" s="229" t="str">
        <f t="shared" si="316"/>
        <v>21bX25+000_030_07</v>
      </c>
      <c r="D228" s="231">
        <f t="shared" si="371"/>
        <v>25</v>
      </c>
      <c r="E228" s="239">
        <f t="shared" si="285"/>
        <v>3.4090000000000007</v>
      </c>
      <c r="F228" s="232">
        <f t="shared" si="317"/>
        <v>13.636000000000003</v>
      </c>
      <c r="G228" s="232">
        <f t="shared" si="303"/>
        <v>10.908800000000003</v>
      </c>
      <c r="H228" s="232">
        <f t="shared" si="304"/>
        <v>6.8180000000000014</v>
      </c>
      <c r="I228" s="232">
        <f t="shared" ref="I228:J228" si="399">I227</f>
        <v>8</v>
      </c>
      <c r="J228" s="233">
        <f t="shared" si="399"/>
        <v>0</v>
      </c>
      <c r="K228" s="228" t="str">
        <f t="shared" ref="K228:K230" si="400">D228&amp;-7</f>
        <v>25-7</v>
      </c>
      <c r="L228" s="232">
        <f t="shared" si="374"/>
        <v>0.2</v>
      </c>
      <c r="M228" s="235">
        <v>30</v>
      </c>
      <c r="N228" s="232">
        <f t="shared" ref="N228:P228" si="401">N227</f>
        <v>150</v>
      </c>
      <c r="O228" s="232">
        <f t="shared" si="401"/>
        <v>160</v>
      </c>
      <c r="P228" s="232">
        <f t="shared" si="401"/>
        <v>270</v>
      </c>
      <c r="Q228" s="230">
        <f t="shared" si="369"/>
        <v>6</v>
      </c>
    </row>
    <row r="229" spans="1:17" s="217" customFormat="1" x14ac:dyDescent="0.25">
      <c r="A229" s="229">
        <f t="shared" ref="A229:B229" si="402">A228+1</f>
        <v>1479</v>
      </c>
      <c r="B229" s="230">
        <f t="shared" si="402"/>
        <v>219</v>
      </c>
      <c r="C229" s="229" t="str">
        <f t="shared" si="316"/>
        <v>21bX25+000_060_07</v>
      </c>
      <c r="D229" s="231">
        <f t="shared" si="371"/>
        <v>25</v>
      </c>
      <c r="E229" s="239">
        <f t="shared" si="285"/>
        <v>3.4090000000000007</v>
      </c>
      <c r="F229" s="232">
        <f t="shared" si="317"/>
        <v>13.636000000000003</v>
      </c>
      <c r="G229" s="232">
        <f t="shared" si="303"/>
        <v>10.908800000000003</v>
      </c>
      <c r="H229" s="232">
        <f t="shared" si="304"/>
        <v>6.8180000000000014</v>
      </c>
      <c r="I229" s="232">
        <f t="shared" ref="I229:J229" si="403">I228</f>
        <v>8</v>
      </c>
      <c r="J229" s="233">
        <f t="shared" si="403"/>
        <v>0</v>
      </c>
      <c r="K229" s="228" t="str">
        <f t="shared" si="400"/>
        <v>25-7</v>
      </c>
      <c r="L229" s="232">
        <f t="shared" si="374"/>
        <v>0.2</v>
      </c>
      <c r="M229" s="235">
        <v>60</v>
      </c>
      <c r="N229" s="232">
        <f t="shared" ref="N229:P229" si="404">N228</f>
        <v>150</v>
      </c>
      <c r="O229" s="232">
        <f t="shared" si="404"/>
        <v>160</v>
      </c>
      <c r="P229" s="232">
        <f t="shared" si="404"/>
        <v>270</v>
      </c>
      <c r="Q229" s="230">
        <f t="shared" si="369"/>
        <v>6</v>
      </c>
    </row>
    <row r="230" spans="1:17" s="217" customFormat="1" x14ac:dyDescent="0.25">
      <c r="A230" s="229">
        <f t="shared" ref="A230:B230" si="405">A229+1</f>
        <v>1480</v>
      </c>
      <c r="B230" s="230">
        <f t="shared" si="405"/>
        <v>220</v>
      </c>
      <c r="C230" s="229" t="str">
        <f t="shared" si="316"/>
        <v>21bX25+000_090_07</v>
      </c>
      <c r="D230" s="231">
        <f t="shared" si="371"/>
        <v>25</v>
      </c>
      <c r="E230" s="239">
        <f t="shared" si="285"/>
        <v>3.4090000000000007</v>
      </c>
      <c r="F230" s="232">
        <f t="shared" si="317"/>
        <v>13.636000000000003</v>
      </c>
      <c r="G230" s="232">
        <f t="shared" si="303"/>
        <v>10.908800000000003</v>
      </c>
      <c r="H230" s="232">
        <f t="shared" si="304"/>
        <v>6.8180000000000014</v>
      </c>
      <c r="I230" s="232">
        <f t="shared" ref="I230:J230" si="406">I229</f>
        <v>8</v>
      </c>
      <c r="J230" s="233">
        <f t="shared" si="406"/>
        <v>0</v>
      </c>
      <c r="K230" s="228" t="str">
        <f t="shared" si="400"/>
        <v>25-7</v>
      </c>
      <c r="L230" s="232">
        <f t="shared" si="374"/>
        <v>0.2</v>
      </c>
      <c r="M230" s="235">
        <v>90</v>
      </c>
      <c r="N230" s="232">
        <f t="shared" ref="N230:P230" si="407">N229</f>
        <v>150</v>
      </c>
      <c r="O230" s="232">
        <f t="shared" si="407"/>
        <v>160</v>
      </c>
      <c r="P230" s="232">
        <f t="shared" si="407"/>
        <v>270</v>
      </c>
      <c r="Q230" s="230">
        <f t="shared" si="369"/>
        <v>6</v>
      </c>
    </row>
    <row r="231" spans="1:17" s="217" customFormat="1" x14ac:dyDescent="0.25">
      <c r="A231" s="229">
        <f t="shared" ref="A231:B231" si="408">A230+1</f>
        <v>1481</v>
      </c>
      <c r="B231" s="230">
        <f t="shared" si="408"/>
        <v>221</v>
      </c>
      <c r="C231" s="229" t="str">
        <f t="shared" si="316"/>
        <v>21bX25+000_000_08</v>
      </c>
      <c r="D231" s="231">
        <f t="shared" si="371"/>
        <v>25</v>
      </c>
      <c r="E231" s="239">
        <f t="shared" ref="E231:E250" si="409">I_ref*(0.75*D231+5.6)</f>
        <v>3.4090000000000007</v>
      </c>
      <c r="F231" s="232">
        <f t="shared" si="317"/>
        <v>13.636000000000003</v>
      </c>
      <c r="G231" s="232">
        <f t="shared" si="303"/>
        <v>10.908800000000003</v>
      </c>
      <c r="H231" s="232">
        <f t="shared" si="304"/>
        <v>6.8180000000000014</v>
      </c>
      <c r="I231" s="232">
        <f t="shared" ref="I231:J231" si="410">I230</f>
        <v>8</v>
      </c>
      <c r="J231" s="233">
        <f t="shared" si="410"/>
        <v>0</v>
      </c>
      <c r="K231" s="228" t="str">
        <f>D231&amp;-8</f>
        <v>25-8</v>
      </c>
      <c r="L231" s="232">
        <f t="shared" si="374"/>
        <v>0.2</v>
      </c>
      <c r="M231" s="235">
        <v>0</v>
      </c>
      <c r="N231" s="232">
        <f t="shared" ref="N231:P231" si="411">N230</f>
        <v>150</v>
      </c>
      <c r="O231" s="232">
        <f t="shared" si="411"/>
        <v>160</v>
      </c>
      <c r="P231" s="232">
        <f t="shared" si="411"/>
        <v>270</v>
      </c>
      <c r="Q231" s="230">
        <f t="shared" si="369"/>
        <v>6</v>
      </c>
    </row>
    <row r="232" spans="1:17" s="217" customFormat="1" x14ac:dyDescent="0.25">
      <c r="A232" s="229">
        <f t="shared" ref="A232:B232" si="412">A231+1</f>
        <v>1482</v>
      </c>
      <c r="B232" s="230">
        <f t="shared" si="412"/>
        <v>222</v>
      </c>
      <c r="C232" s="229" t="str">
        <f t="shared" si="316"/>
        <v>21bX25+000_030_08</v>
      </c>
      <c r="D232" s="231">
        <f t="shared" si="371"/>
        <v>25</v>
      </c>
      <c r="E232" s="239">
        <f t="shared" si="409"/>
        <v>3.4090000000000007</v>
      </c>
      <c r="F232" s="232">
        <f t="shared" si="317"/>
        <v>13.636000000000003</v>
      </c>
      <c r="G232" s="232">
        <f t="shared" si="303"/>
        <v>10.908800000000003</v>
      </c>
      <c r="H232" s="232">
        <f t="shared" si="304"/>
        <v>6.8180000000000014</v>
      </c>
      <c r="I232" s="232">
        <f t="shared" ref="I232:J232" si="413">I231</f>
        <v>8</v>
      </c>
      <c r="J232" s="233">
        <f t="shared" si="413"/>
        <v>0</v>
      </c>
      <c r="K232" s="228" t="str">
        <f t="shared" ref="K232:K234" si="414">D232&amp;-8</f>
        <v>25-8</v>
      </c>
      <c r="L232" s="232">
        <f t="shared" si="374"/>
        <v>0.2</v>
      </c>
      <c r="M232" s="235">
        <v>30</v>
      </c>
      <c r="N232" s="232">
        <f t="shared" ref="N232:P232" si="415">N231</f>
        <v>150</v>
      </c>
      <c r="O232" s="232">
        <f t="shared" si="415"/>
        <v>160</v>
      </c>
      <c r="P232" s="232">
        <f t="shared" si="415"/>
        <v>270</v>
      </c>
      <c r="Q232" s="230">
        <f t="shared" si="369"/>
        <v>6</v>
      </c>
    </row>
    <row r="233" spans="1:17" s="217" customFormat="1" x14ac:dyDescent="0.25">
      <c r="A233" s="229">
        <f t="shared" ref="A233:B233" si="416">A232+1</f>
        <v>1483</v>
      </c>
      <c r="B233" s="230">
        <f t="shared" si="416"/>
        <v>223</v>
      </c>
      <c r="C233" s="229" t="str">
        <f t="shared" si="316"/>
        <v>21bX25+000_060_08</v>
      </c>
      <c r="D233" s="231">
        <f t="shared" si="371"/>
        <v>25</v>
      </c>
      <c r="E233" s="239">
        <f t="shared" si="409"/>
        <v>3.4090000000000007</v>
      </c>
      <c r="F233" s="232">
        <f t="shared" si="317"/>
        <v>13.636000000000003</v>
      </c>
      <c r="G233" s="232">
        <f t="shared" si="303"/>
        <v>10.908800000000003</v>
      </c>
      <c r="H233" s="232">
        <f t="shared" si="304"/>
        <v>6.8180000000000014</v>
      </c>
      <c r="I233" s="232">
        <f t="shared" ref="I233:J233" si="417">I232</f>
        <v>8</v>
      </c>
      <c r="J233" s="233">
        <f t="shared" si="417"/>
        <v>0</v>
      </c>
      <c r="K233" s="228" t="str">
        <f t="shared" si="414"/>
        <v>25-8</v>
      </c>
      <c r="L233" s="232">
        <f t="shared" si="374"/>
        <v>0.2</v>
      </c>
      <c r="M233" s="235">
        <v>60</v>
      </c>
      <c r="N233" s="232">
        <f t="shared" ref="N233:P233" si="418">N232</f>
        <v>150</v>
      </c>
      <c r="O233" s="232">
        <f t="shared" si="418"/>
        <v>160</v>
      </c>
      <c r="P233" s="232">
        <f t="shared" si="418"/>
        <v>270</v>
      </c>
      <c r="Q233" s="230">
        <f t="shared" si="369"/>
        <v>6</v>
      </c>
    </row>
    <row r="234" spans="1:17" s="217" customFormat="1" x14ac:dyDescent="0.25">
      <c r="A234" s="229">
        <f t="shared" ref="A234:B234" si="419">A233+1</f>
        <v>1484</v>
      </c>
      <c r="B234" s="230">
        <f t="shared" si="419"/>
        <v>224</v>
      </c>
      <c r="C234" s="229" t="str">
        <f t="shared" si="316"/>
        <v>21bX25+000_090_08</v>
      </c>
      <c r="D234" s="231">
        <f t="shared" si="371"/>
        <v>25</v>
      </c>
      <c r="E234" s="239">
        <f t="shared" si="409"/>
        <v>3.4090000000000007</v>
      </c>
      <c r="F234" s="232">
        <f t="shared" si="317"/>
        <v>13.636000000000003</v>
      </c>
      <c r="G234" s="232">
        <f t="shared" si="303"/>
        <v>10.908800000000003</v>
      </c>
      <c r="H234" s="232">
        <f t="shared" si="304"/>
        <v>6.8180000000000014</v>
      </c>
      <c r="I234" s="232">
        <f t="shared" ref="I234:J234" si="420">I233</f>
        <v>8</v>
      </c>
      <c r="J234" s="233">
        <f t="shared" si="420"/>
        <v>0</v>
      </c>
      <c r="K234" s="228" t="str">
        <f t="shared" si="414"/>
        <v>25-8</v>
      </c>
      <c r="L234" s="232">
        <f t="shared" si="374"/>
        <v>0.2</v>
      </c>
      <c r="M234" s="235">
        <v>90</v>
      </c>
      <c r="N234" s="232">
        <f t="shared" ref="N234:P234" si="421">N233</f>
        <v>150</v>
      </c>
      <c r="O234" s="232">
        <f t="shared" si="421"/>
        <v>160</v>
      </c>
      <c r="P234" s="232">
        <f t="shared" si="421"/>
        <v>270</v>
      </c>
      <c r="Q234" s="230">
        <f t="shared" si="369"/>
        <v>6</v>
      </c>
    </row>
    <row r="235" spans="1:17" s="217" customFormat="1" x14ac:dyDescent="0.25">
      <c r="A235" s="229">
        <f t="shared" ref="A235:B235" si="422">A234+1</f>
        <v>1485</v>
      </c>
      <c r="B235" s="230">
        <f t="shared" si="422"/>
        <v>225</v>
      </c>
      <c r="C235" s="229" t="str">
        <f t="shared" si="316"/>
        <v>21bX25+000_000_09</v>
      </c>
      <c r="D235" s="231">
        <f t="shared" si="371"/>
        <v>25</v>
      </c>
      <c r="E235" s="239">
        <f t="shared" si="409"/>
        <v>3.4090000000000007</v>
      </c>
      <c r="F235" s="232">
        <f t="shared" si="317"/>
        <v>13.636000000000003</v>
      </c>
      <c r="G235" s="232">
        <f t="shared" si="303"/>
        <v>10.908800000000003</v>
      </c>
      <c r="H235" s="232">
        <f t="shared" si="304"/>
        <v>6.8180000000000014</v>
      </c>
      <c r="I235" s="232">
        <f t="shared" ref="I235:J235" si="423">I234</f>
        <v>8</v>
      </c>
      <c r="J235" s="233">
        <f t="shared" si="423"/>
        <v>0</v>
      </c>
      <c r="K235" s="228" t="str">
        <f>D235&amp;-9</f>
        <v>25-9</v>
      </c>
      <c r="L235" s="232">
        <f t="shared" si="374"/>
        <v>0.2</v>
      </c>
      <c r="M235" s="235">
        <v>0</v>
      </c>
      <c r="N235" s="232">
        <f t="shared" ref="N235:P235" si="424">N234</f>
        <v>150</v>
      </c>
      <c r="O235" s="232">
        <f t="shared" si="424"/>
        <v>160</v>
      </c>
      <c r="P235" s="232">
        <f t="shared" si="424"/>
        <v>270</v>
      </c>
      <c r="Q235" s="230">
        <f t="shared" si="369"/>
        <v>6</v>
      </c>
    </row>
    <row r="236" spans="1:17" s="217" customFormat="1" x14ac:dyDescent="0.25">
      <c r="A236" s="229">
        <f t="shared" ref="A236:B236" si="425">A235+1</f>
        <v>1486</v>
      </c>
      <c r="B236" s="230">
        <f t="shared" si="425"/>
        <v>226</v>
      </c>
      <c r="C236" s="229" t="str">
        <f t="shared" si="316"/>
        <v>21bX25+000_030_09</v>
      </c>
      <c r="D236" s="231">
        <f t="shared" si="371"/>
        <v>25</v>
      </c>
      <c r="E236" s="239">
        <f t="shared" si="409"/>
        <v>3.4090000000000007</v>
      </c>
      <c r="F236" s="232">
        <f t="shared" si="317"/>
        <v>13.636000000000003</v>
      </c>
      <c r="G236" s="232">
        <f t="shared" si="303"/>
        <v>10.908800000000003</v>
      </c>
      <c r="H236" s="232">
        <f t="shared" si="304"/>
        <v>6.8180000000000014</v>
      </c>
      <c r="I236" s="232">
        <f t="shared" ref="I236:J236" si="426">I235</f>
        <v>8</v>
      </c>
      <c r="J236" s="233">
        <f t="shared" si="426"/>
        <v>0</v>
      </c>
      <c r="K236" s="228" t="str">
        <f t="shared" ref="K236:K238" si="427">D236&amp;-9</f>
        <v>25-9</v>
      </c>
      <c r="L236" s="232">
        <f t="shared" si="374"/>
        <v>0.2</v>
      </c>
      <c r="M236" s="235">
        <v>30</v>
      </c>
      <c r="N236" s="232">
        <f t="shared" ref="N236:P236" si="428">N235</f>
        <v>150</v>
      </c>
      <c r="O236" s="232">
        <f t="shared" si="428"/>
        <v>160</v>
      </c>
      <c r="P236" s="232">
        <f t="shared" si="428"/>
        <v>270</v>
      </c>
      <c r="Q236" s="230">
        <f t="shared" si="369"/>
        <v>6</v>
      </c>
    </row>
    <row r="237" spans="1:17" s="217" customFormat="1" x14ac:dyDescent="0.25">
      <c r="A237" s="229">
        <f t="shared" ref="A237:B237" si="429">A236+1</f>
        <v>1487</v>
      </c>
      <c r="B237" s="230">
        <f t="shared" si="429"/>
        <v>227</v>
      </c>
      <c r="C237" s="229" t="str">
        <f t="shared" si="316"/>
        <v>21bX25+000_060_09</v>
      </c>
      <c r="D237" s="231">
        <f t="shared" si="371"/>
        <v>25</v>
      </c>
      <c r="E237" s="239">
        <f t="shared" si="409"/>
        <v>3.4090000000000007</v>
      </c>
      <c r="F237" s="232">
        <f t="shared" si="317"/>
        <v>13.636000000000003</v>
      </c>
      <c r="G237" s="232">
        <f t="shared" si="303"/>
        <v>10.908800000000003</v>
      </c>
      <c r="H237" s="232">
        <f t="shared" si="304"/>
        <v>6.8180000000000014</v>
      </c>
      <c r="I237" s="232">
        <f t="shared" ref="I237:J237" si="430">I236</f>
        <v>8</v>
      </c>
      <c r="J237" s="233">
        <f t="shared" si="430"/>
        <v>0</v>
      </c>
      <c r="K237" s="228" t="str">
        <f t="shared" si="427"/>
        <v>25-9</v>
      </c>
      <c r="L237" s="232">
        <f t="shared" si="374"/>
        <v>0.2</v>
      </c>
      <c r="M237" s="235">
        <v>60</v>
      </c>
      <c r="N237" s="232">
        <f t="shared" ref="N237:P237" si="431">N236</f>
        <v>150</v>
      </c>
      <c r="O237" s="232">
        <f t="shared" si="431"/>
        <v>160</v>
      </c>
      <c r="P237" s="232">
        <f t="shared" si="431"/>
        <v>270</v>
      </c>
      <c r="Q237" s="230">
        <f t="shared" si="369"/>
        <v>6</v>
      </c>
    </row>
    <row r="238" spans="1:17" s="217" customFormat="1" x14ac:dyDescent="0.25">
      <c r="A238" s="229">
        <f t="shared" ref="A238:B238" si="432">A237+1</f>
        <v>1488</v>
      </c>
      <c r="B238" s="230">
        <f t="shared" si="432"/>
        <v>228</v>
      </c>
      <c r="C238" s="229" t="str">
        <f t="shared" si="316"/>
        <v>21bX25+000_090_09</v>
      </c>
      <c r="D238" s="231">
        <f t="shared" si="371"/>
        <v>25</v>
      </c>
      <c r="E238" s="239">
        <f t="shared" si="409"/>
        <v>3.4090000000000007</v>
      </c>
      <c r="F238" s="232">
        <f t="shared" si="317"/>
        <v>13.636000000000003</v>
      </c>
      <c r="G238" s="232">
        <f t="shared" si="303"/>
        <v>10.908800000000003</v>
      </c>
      <c r="H238" s="232">
        <f t="shared" si="304"/>
        <v>6.8180000000000014</v>
      </c>
      <c r="I238" s="232">
        <f t="shared" ref="I238:J238" si="433">I237</f>
        <v>8</v>
      </c>
      <c r="J238" s="233">
        <f t="shared" si="433"/>
        <v>0</v>
      </c>
      <c r="K238" s="228" t="str">
        <f t="shared" si="427"/>
        <v>25-9</v>
      </c>
      <c r="L238" s="232">
        <f t="shared" si="374"/>
        <v>0.2</v>
      </c>
      <c r="M238" s="235">
        <v>90</v>
      </c>
      <c r="N238" s="232">
        <f t="shared" ref="N238:P238" si="434">N237</f>
        <v>150</v>
      </c>
      <c r="O238" s="232">
        <f t="shared" si="434"/>
        <v>160</v>
      </c>
      <c r="P238" s="232">
        <f t="shared" si="434"/>
        <v>270</v>
      </c>
      <c r="Q238" s="230">
        <f t="shared" si="369"/>
        <v>6</v>
      </c>
    </row>
    <row r="239" spans="1:17" s="217" customFormat="1" x14ac:dyDescent="0.25">
      <c r="A239" s="229">
        <f t="shared" ref="A239:B239" si="435">A238+1</f>
        <v>1489</v>
      </c>
      <c r="B239" s="230">
        <f t="shared" si="435"/>
        <v>229</v>
      </c>
      <c r="C239" s="229" t="str">
        <f t="shared" si="316"/>
        <v>21bX25+000_000_10</v>
      </c>
      <c r="D239" s="231">
        <f t="shared" si="371"/>
        <v>25</v>
      </c>
      <c r="E239" s="239">
        <f t="shared" si="409"/>
        <v>3.4090000000000007</v>
      </c>
      <c r="F239" s="232">
        <f t="shared" si="317"/>
        <v>13.636000000000003</v>
      </c>
      <c r="G239" s="232">
        <f t="shared" si="303"/>
        <v>10.908800000000003</v>
      </c>
      <c r="H239" s="232">
        <f t="shared" si="304"/>
        <v>6.8180000000000014</v>
      </c>
      <c r="I239" s="232">
        <f t="shared" ref="I239:J239" si="436">I238</f>
        <v>8</v>
      </c>
      <c r="J239" s="233">
        <f t="shared" si="436"/>
        <v>0</v>
      </c>
      <c r="K239" s="228" t="str">
        <f>D239&amp;-10</f>
        <v>25-10</v>
      </c>
      <c r="L239" s="232">
        <f t="shared" si="374"/>
        <v>0.2</v>
      </c>
      <c r="M239" s="235">
        <v>0</v>
      </c>
      <c r="N239" s="232">
        <f t="shared" ref="N239:P239" si="437">N238</f>
        <v>150</v>
      </c>
      <c r="O239" s="232">
        <f t="shared" si="437"/>
        <v>160</v>
      </c>
      <c r="P239" s="232">
        <f t="shared" si="437"/>
        <v>270</v>
      </c>
      <c r="Q239" s="230">
        <f t="shared" si="369"/>
        <v>6</v>
      </c>
    </row>
    <row r="240" spans="1:17" s="217" customFormat="1" x14ac:dyDescent="0.25">
      <c r="A240" s="229">
        <f t="shared" ref="A240:B240" si="438">A239+1</f>
        <v>1490</v>
      </c>
      <c r="B240" s="230">
        <f t="shared" si="438"/>
        <v>230</v>
      </c>
      <c r="C240" s="229" t="str">
        <f t="shared" si="316"/>
        <v>21bX25+000_030_10</v>
      </c>
      <c r="D240" s="231">
        <f t="shared" si="371"/>
        <v>25</v>
      </c>
      <c r="E240" s="239">
        <f t="shared" si="409"/>
        <v>3.4090000000000007</v>
      </c>
      <c r="F240" s="232">
        <f t="shared" si="317"/>
        <v>13.636000000000003</v>
      </c>
      <c r="G240" s="232">
        <f t="shared" si="303"/>
        <v>10.908800000000003</v>
      </c>
      <c r="H240" s="232">
        <f t="shared" si="304"/>
        <v>6.8180000000000014</v>
      </c>
      <c r="I240" s="232">
        <f t="shared" ref="I240:J240" si="439">I239</f>
        <v>8</v>
      </c>
      <c r="J240" s="233">
        <f t="shared" si="439"/>
        <v>0</v>
      </c>
      <c r="K240" s="228" t="str">
        <f t="shared" ref="K240:K242" si="440">D240&amp;-10</f>
        <v>25-10</v>
      </c>
      <c r="L240" s="232">
        <f t="shared" si="374"/>
        <v>0.2</v>
      </c>
      <c r="M240" s="235">
        <v>30</v>
      </c>
      <c r="N240" s="232">
        <f t="shared" ref="N240:P240" si="441">N239</f>
        <v>150</v>
      </c>
      <c r="O240" s="232">
        <f t="shared" si="441"/>
        <v>160</v>
      </c>
      <c r="P240" s="232">
        <f t="shared" si="441"/>
        <v>270</v>
      </c>
      <c r="Q240" s="230">
        <f t="shared" si="369"/>
        <v>6</v>
      </c>
    </row>
    <row r="241" spans="1:17" s="217" customFormat="1" x14ac:dyDescent="0.25">
      <c r="A241" s="229">
        <f t="shared" ref="A241:B241" si="442">A240+1</f>
        <v>1491</v>
      </c>
      <c r="B241" s="230">
        <f t="shared" si="442"/>
        <v>231</v>
      </c>
      <c r="C241" s="229" t="str">
        <f t="shared" si="316"/>
        <v>21bX25+000_060_10</v>
      </c>
      <c r="D241" s="231">
        <f t="shared" si="371"/>
        <v>25</v>
      </c>
      <c r="E241" s="239">
        <f t="shared" si="409"/>
        <v>3.4090000000000007</v>
      </c>
      <c r="F241" s="232">
        <f t="shared" si="317"/>
        <v>13.636000000000003</v>
      </c>
      <c r="G241" s="232">
        <f t="shared" si="303"/>
        <v>10.908800000000003</v>
      </c>
      <c r="H241" s="232">
        <f t="shared" si="304"/>
        <v>6.8180000000000014</v>
      </c>
      <c r="I241" s="232">
        <f t="shared" ref="I241:J241" si="443">I240</f>
        <v>8</v>
      </c>
      <c r="J241" s="233">
        <f t="shared" si="443"/>
        <v>0</v>
      </c>
      <c r="K241" s="228" t="str">
        <f t="shared" si="440"/>
        <v>25-10</v>
      </c>
      <c r="L241" s="232">
        <f t="shared" si="374"/>
        <v>0.2</v>
      </c>
      <c r="M241" s="235">
        <v>60</v>
      </c>
      <c r="N241" s="232">
        <f t="shared" ref="N241:P241" si="444">N240</f>
        <v>150</v>
      </c>
      <c r="O241" s="232">
        <f t="shared" si="444"/>
        <v>160</v>
      </c>
      <c r="P241" s="232">
        <f t="shared" si="444"/>
        <v>270</v>
      </c>
      <c r="Q241" s="230">
        <f t="shared" si="369"/>
        <v>6</v>
      </c>
    </row>
    <row r="242" spans="1:17" s="217" customFormat="1" x14ac:dyDescent="0.25">
      <c r="A242" s="229">
        <f t="shared" ref="A242:B242" si="445">A241+1</f>
        <v>1492</v>
      </c>
      <c r="B242" s="230">
        <f t="shared" si="445"/>
        <v>232</v>
      </c>
      <c r="C242" s="229" t="str">
        <f t="shared" si="316"/>
        <v>21bX25+000_090_10</v>
      </c>
      <c r="D242" s="231">
        <f t="shared" si="371"/>
        <v>25</v>
      </c>
      <c r="E242" s="239">
        <f t="shared" si="409"/>
        <v>3.4090000000000007</v>
      </c>
      <c r="F242" s="232">
        <f t="shared" si="317"/>
        <v>13.636000000000003</v>
      </c>
      <c r="G242" s="232">
        <f t="shared" si="303"/>
        <v>10.908800000000003</v>
      </c>
      <c r="H242" s="232">
        <f t="shared" si="304"/>
        <v>6.8180000000000014</v>
      </c>
      <c r="I242" s="232">
        <f t="shared" ref="I242:J242" si="446">I241</f>
        <v>8</v>
      </c>
      <c r="J242" s="233">
        <f t="shared" si="446"/>
        <v>0</v>
      </c>
      <c r="K242" s="228" t="str">
        <f t="shared" si="440"/>
        <v>25-10</v>
      </c>
      <c r="L242" s="232">
        <f t="shared" si="374"/>
        <v>0.2</v>
      </c>
      <c r="M242" s="235">
        <v>90</v>
      </c>
      <c r="N242" s="232">
        <f t="shared" ref="N242:P242" si="447">N241</f>
        <v>150</v>
      </c>
      <c r="O242" s="232">
        <f t="shared" si="447"/>
        <v>160</v>
      </c>
      <c r="P242" s="232">
        <f t="shared" si="447"/>
        <v>270</v>
      </c>
      <c r="Q242" s="230">
        <f t="shared" si="369"/>
        <v>6</v>
      </c>
    </row>
    <row r="243" spans="1:17" s="217" customFormat="1" x14ac:dyDescent="0.25">
      <c r="A243" s="229">
        <f t="shared" ref="A243:B243" si="448">A242+1</f>
        <v>1493</v>
      </c>
      <c r="B243" s="230">
        <f t="shared" si="448"/>
        <v>233</v>
      </c>
      <c r="C243" s="229" t="str">
        <f t="shared" si="316"/>
        <v>21bX25+000_000_11</v>
      </c>
      <c r="D243" s="231">
        <f t="shared" si="371"/>
        <v>25</v>
      </c>
      <c r="E243" s="239">
        <f t="shared" si="409"/>
        <v>3.4090000000000007</v>
      </c>
      <c r="F243" s="232">
        <f t="shared" si="317"/>
        <v>13.636000000000003</v>
      </c>
      <c r="G243" s="232">
        <f t="shared" ref="G243:G250" si="449">m_ty*F243</f>
        <v>10.908800000000003</v>
      </c>
      <c r="H243" s="232">
        <f t="shared" ref="H243:H250" si="450">m_tz*F243</f>
        <v>6.8180000000000014</v>
      </c>
      <c r="I243" s="232">
        <f t="shared" ref="I243:J243" si="451">I242</f>
        <v>8</v>
      </c>
      <c r="J243" s="233">
        <f t="shared" si="451"/>
        <v>0</v>
      </c>
      <c r="K243" s="228" t="str">
        <f>D243&amp;-11</f>
        <v>25-11</v>
      </c>
      <c r="L243" s="232">
        <f t="shared" si="374"/>
        <v>0.2</v>
      </c>
      <c r="M243" s="235">
        <v>0</v>
      </c>
      <c r="N243" s="232">
        <f t="shared" ref="N243:P243" si="452">N242</f>
        <v>150</v>
      </c>
      <c r="O243" s="232">
        <f t="shared" si="452"/>
        <v>160</v>
      </c>
      <c r="P243" s="232">
        <f t="shared" si="452"/>
        <v>270</v>
      </c>
      <c r="Q243" s="230">
        <f t="shared" si="369"/>
        <v>6</v>
      </c>
    </row>
    <row r="244" spans="1:17" s="217" customFormat="1" x14ac:dyDescent="0.25">
      <c r="A244" s="229">
        <f t="shared" ref="A244:B244" si="453">A243+1</f>
        <v>1494</v>
      </c>
      <c r="B244" s="230">
        <f t="shared" si="453"/>
        <v>234</v>
      </c>
      <c r="C244" s="229" t="str">
        <f t="shared" si="316"/>
        <v>21bX25+000_030_11</v>
      </c>
      <c r="D244" s="231">
        <f t="shared" si="371"/>
        <v>25</v>
      </c>
      <c r="E244" s="239">
        <f t="shared" si="409"/>
        <v>3.4090000000000007</v>
      </c>
      <c r="F244" s="232">
        <f t="shared" si="317"/>
        <v>13.636000000000003</v>
      </c>
      <c r="G244" s="232">
        <f t="shared" si="449"/>
        <v>10.908800000000003</v>
      </c>
      <c r="H244" s="232">
        <f t="shared" si="450"/>
        <v>6.8180000000000014</v>
      </c>
      <c r="I244" s="232">
        <f t="shared" ref="I244:J244" si="454">I243</f>
        <v>8</v>
      </c>
      <c r="J244" s="233">
        <f t="shared" si="454"/>
        <v>0</v>
      </c>
      <c r="K244" s="228" t="str">
        <f t="shared" ref="K244:K246" si="455">D244&amp;-11</f>
        <v>25-11</v>
      </c>
      <c r="L244" s="232">
        <f t="shared" si="374"/>
        <v>0.2</v>
      </c>
      <c r="M244" s="235">
        <v>30</v>
      </c>
      <c r="N244" s="232">
        <f t="shared" ref="N244:P244" si="456">N243</f>
        <v>150</v>
      </c>
      <c r="O244" s="232">
        <f t="shared" si="456"/>
        <v>160</v>
      </c>
      <c r="P244" s="232">
        <f t="shared" si="456"/>
        <v>270</v>
      </c>
      <c r="Q244" s="230">
        <f t="shared" si="369"/>
        <v>6</v>
      </c>
    </row>
    <row r="245" spans="1:17" s="217" customFormat="1" x14ac:dyDescent="0.25">
      <c r="A245" s="229">
        <f t="shared" ref="A245:B245" si="457">A244+1</f>
        <v>1495</v>
      </c>
      <c r="B245" s="230">
        <f t="shared" si="457"/>
        <v>235</v>
      </c>
      <c r="C245" s="229" t="str">
        <f t="shared" si="316"/>
        <v>21bX25+000_060_11</v>
      </c>
      <c r="D245" s="231">
        <f t="shared" si="371"/>
        <v>25</v>
      </c>
      <c r="E245" s="239">
        <f t="shared" si="409"/>
        <v>3.4090000000000007</v>
      </c>
      <c r="F245" s="232">
        <f t="shared" si="317"/>
        <v>13.636000000000003</v>
      </c>
      <c r="G245" s="232">
        <f t="shared" si="449"/>
        <v>10.908800000000003</v>
      </c>
      <c r="H245" s="232">
        <f t="shared" si="450"/>
        <v>6.8180000000000014</v>
      </c>
      <c r="I245" s="232">
        <f t="shared" ref="I245:J245" si="458">I244</f>
        <v>8</v>
      </c>
      <c r="J245" s="233">
        <f t="shared" si="458"/>
        <v>0</v>
      </c>
      <c r="K245" s="228" t="str">
        <f t="shared" si="455"/>
        <v>25-11</v>
      </c>
      <c r="L245" s="232">
        <f t="shared" si="374"/>
        <v>0.2</v>
      </c>
      <c r="M245" s="235">
        <v>60</v>
      </c>
      <c r="N245" s="232">
        <f t="shared" ref="N245:P245" si="459">N244</f>
        <v>150</v>
      </c>
      <c r="O245" s="232">
        <f t="shared" si="459"/>
        <v>160</v>
      </c>
      <c r="P245" s="232">
        <f t="shared" si="459"/>
        <v>270</v>
      </c>
      <c r="Q245" s="230">
        <f t="shared" si="369"/>
        <v>6</v>
      </c>
    </row>
    <row r="246" spans="1:17" s="217" customFormat="1" x14ac:dyDescent="0.25">
      <c r="A246" s="229">
        <f t="shared" ref="A246:B246" si="460">A245+1</f>
        <v>1496</v>
      </c>
      <c r="B246" s="230">
        <f t="shared" si="460"/>
        <v>236</v>
      </c>
      <c r="C246" s="229" t="str">
        <f t="shared" si="316"/>
        <v>21bX25+000_090_11</v>
      </c>
      <c r="D246" s="231">
        <f t="shared" si="371"/>
        <v>25</v>
      </c>
      <c r="E246" s="239">
        <f t="shared" si="409"/>
        <v>3.4090000000000007</v>
      </c>
      <c r="F246" s="232">
        <f t="shared" si="317"/>
        <v>13.636000000000003</v>
      </c>
      <c r="G246" s="232">
        <f t="shared" si="449"/>
        <v>10.908800000000003</v>
      </c>
      <c r="H246" s="232">
        <f t="shared" si="450"/>
        <v>6.8180000000000014</v>
      </c>
      <c r="I246" s="232">
        <f t="shared" ref="I246:J246" si="461">I245</f>
        <v>8</v>
      </c>
      <c r="J246" s="233">
        <f t="shared" si="461"/>
        <v>0</v>
      </c>
      <c r="K246" s="228" t="str">
        <f t="shared" si="455"/>
        <v>25-11</v>
      </c>
      <c r="L246" s="232">
        <f t="shared" si="374"/>
        <v>0.2</v>
      </c>
      <c r="M246" s="235">
        <v>90</v>
      </c>
      <c r="N246" s="232">
        <f t="shared" ref="N246:P246" si="462">N245</f>
        <v>150</v>
      </c>
      <c r="O246" s="232">
        <f t="shared" si="462"/>
        <v>160</v>
      </c>
      <c r="P246" s="232">
        <f t="shared" si="462"/>
        <v>270</v>
      </c>
      <c r="Q246" s="230">
        <f t="shared" si="369"/>
        <v>6</v>
      </c>
    </row>
    <row r="247" spans="1:17" s="217" customFormat="1" x14ac:dyDescent="0.25">
      <c r="A247" s="229">
        <f t="shared" ref="A247:B247" si="463">A246+1</f>
        <v>1497</v>
      </c>
      <c r="B247" s="230">
        <f t="shared" si="463"/>
        <v>237</v>
      </c>
      <c r="C247" s="229" t="str">
        <f t="shared" si="316"/>
        <v>21bX25+000_000_12</v>
      </c>
      <c r="D247" s="231">
        <f t="shared" si="371"/>
        <v>25</v>
      </c>
      <c r="E247" s="239">
        <f t="shared" si="409"/>
        <v>3.4090000000000007</v>
      </c>
      <c r="F247" s="232">
        <f t="shared" si="317"/>
        <v>13.636000000000003</v>
      </c>
      <c r="G247" s="232">
        <f t="shared" si="449"/>
        <v>10.908800000000003</v>
      </c>
      <c r="H247" s="232">
        <f t="shared" si="450"/>
        <v>6.8180000000000014</v>
      </c>
      <c r="I247" s="232">
        <f t="shared" ref="I247:J247" si="464">I246</f>
        <v>8</v>
      </c>
      <c r="J247" s="233">
        <f t="shared" si="464"/>
        <v>0</v>
      </c>
      <c r="K247" s="228" t="str">
        <f>D247&amp;-12</f>
        <v>25-12</v>
      </c>
      <c r="L247" s="232">
        <f t="shared" si="374"/>
        <v>0.2</v>
      </c>
      <c r="M247" s="235">
        <v>0</v>
      </c>
      <c r="N247" s="232">
        <f t="shared" ref="N247:P247" si="465">N246</f>
        <v>150</v>
      </c>
      <c r="O247" s="232">
        <f t="shared" si="465"/>
        <v>160</v>
      </c>
      <c r="P247" s="232">
        <f t="shared" si="465"/>
        <v>270</v>
      </c>
      <c r="Q247" s="230">
        <f t="shared" si="369"/>
        <v>6</v>
      </c>
    </row>
    <row r="248" spans="1:17" s="217" customFormat="1" x14ac:dyDescent="0.25">
      <c r="A248" s="229">
        <f t="shared" ref="A248:B248" si="466">A247+1</f>
        <v>1498</v>
      </c>
      <c r="B248" s="230">
        <f t="shared" si="466"/>
        <v>238</v>
      </c>
      <c r="C248" s="229" t="str">
        <f t="shared" si="316"/>
        <v>21bX25+000_030_12</v>
      </c>
      <c r="D248" s="231">
        <f t="shared" si="371"/>
        <v>25</v>
      </c>
      <c r="E248" s="239">
        <f t="shared" si="409"/>
        <v>3.4090000000000007</v>
      </c>
      <c r="F248" s="232">
        <f t="shared" si="317"/>
        <v>13.636000000000003</v>
      </c>
      <c r="G248" s="232">
        <f t="shared" si="449"/>
        <v>10.908800000000003</v>
      </c>
      <c r="H248" s="232">
        <f t="shared" si="450"/>
        <v>6.8180000000000014</v>
      </c>
      <c r="I248" s="232">
        <f t="shared" ref="I248:J248" si="467">I247</f>
        <v>8</v>
      </c>
      <c r="J248" s="233">
        <f t="shared" si="467"/>
        <v>0</v>
      </c>
      <c r="K248" s="228" t="str">
        <f t="shared" ref="K248:K250" si="468">D248&amp;-12</f>
        <v>25-12</v>
      </c>
      <c r="L248" s="232">
        <f t="shared" si="374"/>
        <v>0.2</v>
      </c>
      <c r="M248" s="235">
        <v>30</v>
      </c>
      <c r="N248" s="232">
        <f t="shared" ref="N248:P248" si="469">N247</f>
        <v>150</v>
      </c>
      <c r="O248" s="232">
        <f t="shared" si="469"/>
        <v>160</v>
      </c>
      <c r="P248" s="232">
        <f t="shared" si="469"/>
        <v>270</v>
      </c>
      <c r="Q248" s="230">
        <f t="shared" si="369"/>
        <v>6</v>
      </c>
    </row>
    <row r="249" spans="1:17" s="217" customFormat="1" x14ac:dyDescent="0.25">
      <c r="A249" s="229">
        <f t="shared" ref="A249:B249" si="470">A248+1</f>
        <v>1499</v>
      </c>
      <c r="B249" s="230">
        <f t="shared" si="470"/>
        <v>239</v>
      </c>
      <c r="C249" s="229" t="str">
        <f t="shared" si="316"/>
        <v>21bX25+000_060_12</v>
      </c>
      <c r="D249" s="231">
        <f t="shared" si="371"/>
        <v>25</v>
      </c>
      <c r="E249" s="239">
        <f t="shared" si="409"/>
        <v>3.4090000000000007</v>
      </c>
      <c r="F249" s="232">
        <f t="shared" si="317"/>
        <v>13.636000000000003</v>
      </c>
      <c r="G249" s="232">
        <f t="shared" si="449"/>
        <v>10.908800000000003</v>
      </c>
      <c r="H249" s="232">
        <f t="shared" si="450"/>
        <v>6.8180000000000014</v>
      </c>
      <c r="I249" s="232">
        <f t="shared" ref="I249:J249" si="471">I248</f>
        <v>8</v>
      </c>
      <c r="J249" s="233">
        <f t="shared" si="471"/>
        <v>0</v>
      </c>
      <c r="K249" s="228" t="str">
        <f t="shared" si="468"/>
        <v>25-12</v>
      </c>
      <c r="L249" s="232">
        <f t="shared" si="374"/>
        <v>0.2</v>
      </c>
      <c r="M249" s="235">
        <v>60</v>
      </c>
      <c r="N249" s="232">
        <f t="shared" ref="N249:P249" si="472">N248</f>
        <v>150</v>
      </c>
      <c r="O249" s="232">
        <f t="shared" si="472"/>
        <v>160</v>
      </c>
      <c r="P249" s="232">
        <f t="shared" si="472"/>
        <v>270</v>
      </c>
      <c r="Q249" s="230">
        <f t="shared" si="369"/>
        <v>6</v>
      </c>
    </row>
    <row r="250" spans="1:17" s="217" customFormat="1" x14ac:dyDescent="0.25">
      <c r="A250" s="229">
        <f t="shared" ref="A250:B250" si="473">A249+1</f>
        <v>1500</v>
      </c>
      <c r="B250" s="230">
        <f t="shared" si="473"/>
        <v>240</v>
      </c>
      <c r="C250" s="229" t="str">
        <f t="shared" si="316"/>
        <v>21bX25+000_090_12</v>
      </c>
      <c r="D250" s="231">
        <f t="shared" si="371"/>
        <v>25</v>
      </c>
      <c r="E250" s="239">
        <f t="shared" si="409"/>
        <v>3.4090000000000007</v>
      </c>
      <c r="F250" s="232">
        <f t="shared" si="317"/>
        <v>13.636000000000003</v>
      </c>
      <c r="G250" s="232">
        <f t="shared" si="449"/>
        <v>10.908800000000003</v>
      </c>
      <c r="H250" s="232">
        <f t="shared" si="450"/>
        <v>6.8180000000000014</v>
      </c>
      <c r="I250" s="232">
        <f t="shared" ref="I250:J250" si="474">I249</f>
        <v>8</v>
      </c>
      <c r="J250" s="233">
        <f t="shared" si="474"/>
        <v>0</v>
      </c>
      <c r="K250" s="228" t="str">
        <f t="shared" si="468"/>
        <v>25-12</v>
      </c>
      <c r="L250" s="232">
        <f t="shared" si="374"/>
        <v>0.2</v>
      </c>
      <c r="M250" s="235">
        <v>90</v>
      </c>
      <c r="N250" s="232">
        <f t="shared" ref="N250:P250" si="475">N249</f>
        <v>150</v>
      </c>
      <c r="O250" s="232">
        <f t="shared" si="475"/>
        <v>160</v>
      </c>
      <c r="P250" s="232">
        <f t="shared" si="475"/>
        <v>270</v>
      </c>
      <c r="Q250" s="230">
        <f t="shared" si="369"/>
        <v>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U250"/>
  <sheetViews>
    <sheetView topLeftCell="B1" zoomScaleNormal="100" workbookViewId="0">
      <selection activeCell="I1" sqref="I1:I7"/>
    </sheetView>
  </sheetViews>
  <sheetFormatPr defaultColWidth="9" defaultRowHeight="15" x14ac:dyDescent="0.15"/>
  <cols>
    <col min="1" max="1" width="7" style="182" customWidth="1"/>
    <col min="2" max="2" width="7.375" style="182" customWidth="1"/>
    <col min="3" max="3" width="17.375" style="182" customWidth="1"/>
    <col min="4" max="4" width="6.875" style="182" customWidth="1"/>
    <col min="5" max="5" width="7.375" style="182" customWidth="1"/>
    <col min="6" max="6" width="8.125" style="182" customWidth="1"/>
    <col min="7" max="8" width="7.5" style="182" customWidth="1"/>
    <col min="9" max="9" width="8" style="182" customWidth="1"/>
    <col min="10" max="10" width="7.25" style="182" customWidth="1"/>
    <col min="11" max="11" width="8.875" style="182" customWidth="1"/>
    <col min="12" max="12" width="7.375" style="182" customWidth="1"/>
    <col min="13" max="13" width="7.125" style="182" customWidth="1"/>
    <col min="14" max="14" width="6.75" style="182" customWidth="1"/>
    <col min="15" max="15" width="8.25" style="182" customWidth="1"/>
    <col min="16" max="16" width="7" style="182" customWidth="1"/>
    <col min="17" max="17" width="11.25" style="182" customWidth="1"/>
    <col min="18" max="16384" width="9" style="182"/>
  </cols>
  <sheetData>
    <row r="1" spans="1:21" x14ac:dyDescent="0.15">
      <c r="H1" s="181" t="s">
        <v>135</v>
      </c>
      <c r="I1" s="216" t="s">
        <v>3945</v>
      </c>
      <c r="J1" s="180"/>
    </row>
    <row r="2" spans="1:21" x14ac:dyDescent="0.15">
      <c r="B2" s="181" t="s">
        <v>3688</v>
      </c>
      <c r="C2" s="181"/>
      <c r="D2" s="181"/>
      <c r="E2" s="181"/>
      <c r="F2" s="181"/>
      <c r="G2" s="181"/>
      <c r="H2" s="181"/>
      <c r="I2" s="216" t="s">
        <v>3928</v>
      </c>
      <c r="J2" s="180"/>
      <c r="Q2" s="206"/>
      <c r="R2" s="206"/>
      <c r="S2" s="206"/>
      <c r="T2" s="206"/>
      <c r="U2" s="206"/>
    </row>
    <row r="3" spans="1:21" x14ac:dyDescent="0.15">
      <c r="B3" s="181" t="s">
        <v>88</v>
      </c>
      <c r="C3" s="181"/>
      <c r="D3" s="181"/>
      <c r="E3" s="181" t="s">
        <v>95</v>
      </c>
      <c r="F3" s="181"/>
      <c r="G3" s="181"/>
      <c r="H3" s="181"/>
      <c r="I3" s="240" t="s">
        <v>3939</v>
      </c>
      <c r="J3" s="180"/>
      <c r="Q3" s="206"/>
      <c r="R3" s="206"/>
      <c r="S3" s="206"/>
      <c r="T3" s="206"/>
      <c r="U3" s="206"/>
    </row>
    <row r="4" spans="1:21" x14ac:dyDescent="0.15">
      <c r="B4" s="181" t="s">
        <v>89</v>
      </c>
      <c r="C4" s="181"/>
      <c r="D4" s="181"/>
      <c r="E4" s="181" t="s">
        <v>3683</v>
      </c>
      <c r="F4" s="181"/>
      <c r="G4" s="181"/>
      <c r="H4" s="181"/>
      <c r="I4" s="216" t="s">
        <v>3942</v>
      </c>
      <c r="J4" s="180"/>
      <c r="Q4" s="206"/>
      <c r="R4" s="206"/>
      <c r="S4" s="206"/>
      <c r="T4" s="206"/>
      <c r="U4" s="206"/>
    </row>
    <row r="5" spans="1:21" x14ac:dyDescent="0.15">
      <c r="B5" s="181" t="s">
        <v>91</v>
      </c>
      <c r="C5" s="181"/>
      <c r="D5" s="181"/>
      <c r="E5" s="181" t="s">
        <v>99</v>
      </c>
      <c r="F5" s="181"/>
      <c r="G5" s="181"/>
      <c r="H5" s="181"/>
      <c r="I5" s="240" t="s">
        <v>3940</v>
      </c>
      <c r="J5" s="180"/>
      <c r="Q5" s="206"/>
      <c r="R5" s="206"/>
      <c r="S5" s="206"/>
      <c r="T5" s="206"/>
      <c r="U5" s="206"/>
    </row>
    <row r="6" spans="1:21" x14ac:dyDescent="0.15">
      <c r="B6" s="181" t="s">
        <v>93</v>
      </c>
      <c r="C6" s="181"/>
      <c r="D6" s="181"/>
      <c r="E6" s="181" t="s">
        <v>100</v>
      </c>
      <c r="F6" s="181"/>
      <c r="G6" s="181"/>
      <c r="H6" s="181"/>
      <c r="I6" s="216" t="s">
        <v>3932</v>
      </c>
      <c r="J6" s="180"/>
      <c r="Q6" s="206"/>
      <c r="R6" s="206"/>
      <c r="S6" s="206"/>
      <c r="T6" s="206"/>
      <c r="U6" s="206"/>
    </row>
    <row r="7" spans="1:21" x14ac:dyDescent="0.15">
      <c r="I7" s="216" t="s">
        <v>3930</v>
      </c>
    </row>
    <row r="8" spans="1:21" ht="15.75" thickBot="1" x14ac:dyDescent="0.2">
      <c r="I8" s="205"/>
    </row>
    <row r="9" spans="1:21" x14ac:dyDescent="0.25">
      <c r="A9" s="183" t="s">
        <v>97</v>
      </c>
      <c r="B9" s="184" t="s">
        <v>96</v>
      </c>
      <c r="C9" s="183" t="s">
        <v>0</v>
      </c>
      <c r="D9" s="184" t="s">
        <v>137</v>
      </c>
      <c r="E9" s="201" t="s">
        <v>142</v>
      </c>
      <c r="F9" s="184" t="s">
        <v>119</v>
      </c>
      <c r="G9" s="184" t="s">
        <v>120</v>
      </c>
      <c r="H9" s="184" t="s">
        <v>121</v>
      </c>
      <c r="I9" s="184" t="s">
        <v>144</v>
      </c>
      <c r="J9" s="184" t="s">
        <v>140</v>
      </c>
      <c r="K9" s="185" t="s">
        <v>3263</v>
      </c>
      <c r="L9" s="184" t="s">
        <v>141</v>
      </c>
      <c r="M9" s="184" t="s">
        <v>13</v>
      </c>
      <c r="N9" s="186" t="s">
        <v>138</v>
      </c>
      <c r="O9" s="200" t="s">
        <v>160</v>
      </c>
      <c r="P9" s="186" t="s">
        <v>139</v>
      </c>
      <c r="Q9" s="186" t="s">
        <v>256</v>
      </c>
    </row>
    <row r="10" spans="1:21" ht="15.75" thickBot="1" x14ac:dyDescent="0.3">
      <c r="A10" s="187" t="s">
        <v>76</v>
      </c>
      <c r="B10" s="188" t="str">
        <f>B2</f>
        <v>DLC21c</v>
      </c>
      <c r="C10" s="187"/>
      <c r="D10" s="188" t="s">
        <v>4</v>
      </c>
      <c r="E10" s="202" t="s">
        <v>4</v>
      </c>
      <c r="F10" s="188" t="s">
        <v>5</v>
      </c>
      <c r="G10" s="188" t="s">
        <v>5</v>
      </c>
      <c r="H10" s="188" t="s">
        <v>5</v>
      </c>
      <c r="I10" s="188" t="s">
        <v>6</v>
      </c>
      <c r="J10" s="188" t="s">
        <v>6</v>
      </c>
      <c r="K10" s="189"/>
      <c r="L10" s="188"/>
      <c r="M10" s="190" t="s">
        <v>7</v>
      </c>
      <c r="N10" s="190" t="s">
        <v>7</v>
      </c>
      <c r="O10" s="190" t="s">
        <v>7</v>
      </c>
      <c r="P10" s="190" t="s">
        <v>7</v>
      </c>
      <c r="Q10" s="190" t="s">
        <v>257</v>
      </c>
    </row>
    <row r="11" spans="1:21" x14ac:dyDescent="0.25">
      <c r="A11" s="195">
        <f>DLC21b!A250+1</f>
        <v>1501</v>
      </c>
      <c r="B11" s="196">
        <v>1</v>
      </c>
      <c r="C11" s="195" t="str">
        <f>TEXT(RIGHT($B$2,LEN($B$2)-3),"000")&amp;"X"&amp;TEXT(D11,"00")&amp;"+"&amp;IF(J11&lt;0,TEXT(360+J11,"000"),TEXT(J11,"000"))&amp;"_"&amp;TEXT(M11,"000")&amp;"_"&amp;TEXT(RIGHT(K11,LEN(K11)-FIND("-",K11)),"00")</f>
        <v>21cX08+000_000_01</v>
      </c>
      <c r="D11" s="197">
        <f t="shared" ref="D11" si="0">vr_b</f>
        <v>7.8000000000000007</v>
      </c>
      <c r="E11" s="204">
        <f t="shared" ref="E11" si="1">I_ref*(0.75*D11+5.6)</f>
        <v>1.603</v>
      </c>
      <c r="F11" s="198">
        <f>E11/D11*100</f>
        <v>20.551282051282051</v>
      </c>
      <c r="G11" s="198">
        <f t="shared" ref="G11" si="2">m_ty*F11</f>
        <v>16.441025641025643</v>
      </c>
      <c r="H11" s="198">
        <f t="shared" ref="H11" si="3">m_tz*F11</f>
        <v>10.275641025641026</v>
      </c>
      <c r="I11" s="198">
        <f>inflow</f>
        <v>8</v>
      </c>
      <c r="J11" s="199">
        <f>yaw_null</f>
        <v>0</v>
      </c>
      <c r="K11" s="194" t="str">
        <f>D11&amp;-1</f>
        <v>7.8-1</v>
      </c>
      <c r="L11" s="198">
        <f>alpha_n</f>
        <v>0.2</v>
      </c>
      <c r="M11" s="49">
        <v>0</v>
      </c>
      <c r="N11" s="198">
        <f>t_out</f>
        <v>150</v>
      </c>
      <c r="O11" s="198">
        <f>trig_t</f>
        <v>160</v>
      </c>
      <c r="P11" s="198">
        <f>N11+2*T_s2</f>
        <v>270</v>
      </c>
      <c r="Q11" s="196">
        <f t="shared" ref="Q11:Q58" si="4">1*pitch_runaway_fine</f>
        <v>-4</v>
      </c>
    </row>
    <row r="12" spans="1:21" x14ac:dyDescent="0.25">
      <c r="A12" s="195">
        <f t="shared" ref="A12:B12" si="5">A11+1</f>
        <v>1502</v>
      </c>
      <c r="B12" s="196">
        <f t="shared" si="5"/>
        <v>2</v>
      </c>
      <c r="C12" s="229" t="str">
        <f t="shared" ref="C12:C75" si="6">TEXT(RIGHT($B$2,LEN($B$2)-3),"000")&amp;"X"&amp;TEXT(D12,"00")&amp;"+"&amp;IF(J12&lt;0,TEXT(360+J12,"000"),TEXT(J12,"000"))&amp;"_"&amp;TEXT(M12,"000")&amp;"_"&amp;TEXT(RIGHT(K12,LEN(K12)-FIND("-",K12)),"00")</f>
        <v>21cX08+000_030_01</v>
      </c>
      <c r="D12" s="197">
        <f t="shared" ref="D12:D16" si="7">D11</f>
        <v>7.8000000000000007</v>
      </c>
      <c r="E12" s="204">
        <f t="shared" ref="E12:E14" si="8">I_ref*(0.75*D12+5.6)</f>
        <v>1.603</v>
      </c>
      <c r="F12" s="198">
        <f t="shared" ref="F12:F16" si="9">E12/D12*100</f>
        <v>20.551282051282051</v>
      </c>
      <c r="G12" s="198">
        <f t="shared" ref="G12:G14" si="10">m_ty*F12</f>
        <v>16.441025641025643</v>
      </c>
      <c r="H12" s="198">
        <f t="shared" ref="H12:H14" si="11">m_tz*F12</f>
        <v>10.275641025641026</v>
      </c>
      <c r="I12" s="198">
        <f t="shared" ref="I12:J16" si="12">I11</f>
        <v>8</v>
      </c>
      <c r="J12" s="199">
        <f t="shared" si="12"/>
        <v>0</v>
      </c>
      <c r="K12" s="194" t="str">
        <f t="shared" ref="K12:K14" si="13">D12&amp;-1</f>
        <v>7.8-1</v>
      </c>
      <c r="L12" s="198">
        <f t="shared" ref="L12:L47" si="14">L11</f>
        <v>0.2</v>
      </c>
      <c r="M12" s="49">
        <v>30</v>
      </c>
      <c r="N12" s="198">
        <f t="shared" ref="N12:P15" si="15">N11</f>
        <v>150</v>
      </c>
      <c r="O12" s="198">
        <f t="shared" si="15"/>
        <v>160</v>
      </c>
      <c r="P12" s="198">
        <f t="shared" si="15"/>
        <v>270</v>
      </c>
      <c r="Q12" s="196">
        <f t="shared" si="4"/>
        <v>-4</v>
      </c>
    </row>
    <row r="13" spans="1:21" x14ac:dyDescent="0.25">
      <c r="A13" s="229">
        <f t="shared" ref="A13:B13" si="16">A12+1</f>
        <v>1503</v>
      </c>
      <c r="B13" s="230">
        <f t="shared" si="16"/>
        <v>3</v>
      </c>
      <c r="C13" s="229" t="str">
        <f t="shared" si="6"/>
        <v>21cX08+000_060_01</v>
      </c>
      <c r="D13" s="197">
        <f t="shared" si="7"/>
        <v>7.8000000000000007</v>
      </c>
      <c r="E13" s="204">
        <f t="shared" si="8"/>
        <v>1.603</v>
      </c>
      <c r="F13" s="198">
        <f t="shared" si="9"/>
        <v>20.551282051282051</v>
      </c>
      <c r="G13" s="198">
        <f t="shared" si="10"/>
        <v>16.441025641025643</v>
      </c>
      <c r="H13" s="198">
        <f t="shared" si="11"/>
        <v>10.275641025641026</v>
      </c>
      <c r="I13" s="198">
        <f t="shared" si="12"/>
        <v>8</v>
      </c>
      <c r="J13" s="199">
        <f t="shared" si="12"/>
        <v>0</v>
      </c>
      <c r="K13" s="194" t="str">
        <f t="shared" si="13"/>
        <v>7.8-1</v>
      </c>
      <c r="L13" s="198">
        <f t="shared" si="14"/>
        <v>0.2</v>
      </c>
      <c r="M13" s="49">
        <v>60</v>
      </c>
      <c r="N13" s="198">
        <f t="shared" si="15"/>
        <v>150</v>
      </c>
      <c r="O13" s="198">
        <f t="shared" si="15"/>
        <v>160</v>
      </c>
      <c r="P13" s="198">
        <f t="shared" si="15"/>
        <v>270</v>
      </c>
      <c r="Q13" s="196">
        <f t="shared" si="4"/>
        <v>-4</v>
      </c>
    </row>
    <row r="14" spans="1:21" x14ac:dyDescent="0.25">
      <c r="A14" s="229">
        <f t="shared" ref="A14:B14" si="17">A13+1</f>
        <v>1504</v>
      </c>
      <c r="B14" s="230">
        <f t="shared" si="17"/>
        <v>4</v>
      </c>
      <c r="C14" s="229" t="str">
        <f t="shared" si="6"/>
        <v>21cX08+000_090_01</v>
      </c>
      <c r="D14" s="197">
        <f t="shared" si="7"/>
        <v>7.8000000000000007</v>
      </c>
      <c r="E14" s="204">
        <f t="shared" si="8"/>
        <v>1.603</v>
      </c>
      <c r="F14" s="198">
        <f t="shared" si="9"/>
        <v>20.551282051282051</v>
      </c>
      <c r="G14" s="198">
        <f t="shared" si="10"/>
        <v>16.441025641025643</v>
      </c>
      <c r="H14" s="198">
        <f t="shared" si="11"/>
        <v>10.275641025641026</v>
      </c>
      <c r="I14" s="198">
        <f t="shared" si="12"/>
        <v>8</v>
      </c>
      <c r="J14" s="199">
        <f t="shared" si="12"/>
        <v>0</v>
      </c>
      <c r="K14" s="194" t="str">
        <f t="shared" si="13"/>
        <v>7.8-1</v>
      </c>
      <c r="L14" s="198">
        <f t="shared" si="14"/>
        <v>0.2</v>
      </c>
      <c r="M14" s="49">
        <v>90</v>
      </c>
      <c r="N14" s="198">
        <f t="shared" si="15"/>
        <v>150</v>
      </c>
      <c r="O14" s="198">
        <f t="shared" si="15"/>
        <v>160</v>
      </c>
      <c r="P14" s="198">
        <f t="shared" si="15"/>
        <v>270</v>
      </c>
      <c r="Q14" s="196">
        <f t="shared" si="4"/>
        <v>-4</v>
      </c>
    </row>
    <row r="15" spans="1:21" x14ac:dyDescent="0.25">
      <c r="A15" s="229">
        <f t="shared" ref="A15:B15" si="18">A14+1</f>
        <v>1505</v>
      </c>
      <c r="B15" s="230">
        <f t="shared" si="18"/>
        <v>5</v>
      </c>
      <c r="C15" s="229" t="str">
        <f t="shared" si="6"/>
        <v>21cX08+000_000_02</v>
      </c>
      <c r="D15" s="197">
        <f t="shared" si="7"/>
        <v>7.8000000000000007</v>
      </c>
      <c r="E15" s="204">
        <f t="shared" ref="E15:E58" si="19">I_ref*(0.75*D15+5.6)</f>
        <v>1.603</v>
      </c>
      <c r="F15" s="198">
        <f t="shared" si="9"/>
        <v>20.551282051282051</v>
      </c>
      <c r="G15" s="198">
        <f t="shared" ref="G15:G58" si="20">m_ty*F15</f>
        <v>16.441025641025643</v>
      </c>
      <c r="H15" s="198">
        <f t="shared" ref="H15:H58" si="21">m_tz*F15</f>
        <v>10.275641025641026</v>
      </c>
      <c r="I15" s="198">
        <f t="shared" si="12"/>
        <v>8</v>
      </c>
      <c r="J15" s="199">
        <f t="shared" si="12"/>
        <v>0</v>
      </c>
      <c r="K15" s="194" t="str">
        <f>D15&amp;-2</f>
        <v>7.8-2</v>
      </c>
      <c r="L15" s="198">
        <f t="shared" si="14"/>
        <v>0.2</v>
      </c>
      <c r="M15" s="49">
        <v>0</v>
      </c>
      <c r="N15" s="198">
        <f t="shared" si="15"/>
        <v>150</v>
      </c>
      <c r="O15" s="198">
        <f t="shared" si="15"/>
        <v>160</v>
      </c>
      <c r="P15" s="198">
        <f t="shared" si="15"/>
        <v>270</v>
      </c>
      <c r="Q15" s="196">
        <f t="shared" si="4"/>
        <v>-4</v>
      </c>
    </row>
    <row r="16" spans="1:21" x14ac:dyDescent="0.25">
      <c r="A16" s="229">
        <f t="shared" ref="A16:B16" si="22">A15+1</f>
        <v>1506</v>
      </c>
      <c r="B16" s="230">
        <f t="shared" si="22"/>
        <v>6</v>
      </c>
      <c r="C16" s="229" t="str">
        <f t="shared" si="6"/>
        <v>21cX08+000_030_02</v>
      </c>
      <c r="D16" s="197">
        <f t="shared" si="7"/>
        <v>7.8000000000000007</v>
      </c>
      <c r="E16" s="204">
        <f t="shared" si="19"/>
        <v>1.603</v>
      </c>
      <c r="F16" s="198">
        <f t="shared" si="9"/>
        <v>20.551282051282051</v>
      </c>
      <c r="G16" s="198">
        <f t="shared" si="20"/>
        <v>16.441025641025643</v>
      </c>
      <c r="H16" s="198">
        <f t="shared" si="21"/>
        <v>10.275641025641026</v>
      </c>
      <c r="I16" s="198">
        <f t="shared" si="12"/>
        <v>8</v>
      </c>
      <c r="J16" s="199">
        <f t="shared" si="12"/>
        <v>0</v>
      </c>
      <c r="K16" s="194" t="str">
        <f t="shared" ref="K16:K18" si="23">D16&amp;-2</f>
        <v>7.8-2</v>
      </c>
      <c r="L16" s="198">
        <f t="shared" si="14"/>
        <v>0.2</v>
      </c>
      <c r="M16" s="49">
        <v>30</v>
      </c>
      <c r="N16" s="198">
        <f t="shared" ref="N16:P31" si="24">N15</f>
        <v>150</v>
      </c>
      <c r="O16" s="198">
        <f t="shared" si="24"/>
        <v>160</v>
      </c>
      <c r="P16" s="198">
        <f t="shared" si="24"/>
        <v>270</v>
      </c>
      <c r="Q16" s="196">
        <f t="shared" si="4"/>
        <v>-4</v>
      </c>
    </row>
    <row r="17" spans="1:17" x14ac:dyDescent="0.25">
      <c r="A17" s="229">
        <f t="shared" ref="A17:B17" si="25">A16+1</f>
        <v>1507</v>
      </c>
      <c r="B17" s="230">
        <f t="shared" si="25"/>
        <v>7</v>
      </c>
      <c r="C17" s="229" t="str">
        <f t="shared" si="6"/>
        <v>21cX08+000_060_02</v>
      </c>
      <c r="D17" s="197">
        <f t="shared" ref="D17:D58" si="26">D16</f>
        <v>7.8000000000000007</v>
      </c>
      <c r="E17" s="204">
        <f t="shared" si="19"/>
        <v>1.603</v>
      </c>
      <c r="F17" s="198">
        <f t="shared" ref="F17:F58" si="27">E17/D17*100</f>
        <v>20.551282051282051</v>
      </c>
      <c r="G17" s="198">
        <f t="shared" si="20"/>
        <v>16.441025641025643</v>
      </c>
      <c r="H17" s="198">
        <f t="shared" si="21"/>
        <v>10.275641025641026</v>
      </c>
      <c r="I17" s="198">
        <f t="shared" ref="I17:J32" si="28">I16</f>
        <v>8</v>
      </c>
      <c r="J17" s="199">
        <f t="shared" si="28"/>
        <v>0</v>
      </c>
      <c r="K17" s="194" t="str">
        <f t="shared" si="23"/>
        <v>7.8-2</v>
      </c>
      <c r="L17" s="198">
        <f t="shared" si="14"/>
        <v>0.2</v>
      </c>
      <c r="M17" s="49">
        <v>60</v>
      </c>
      <c r="N17" s="198">
        <f t="shared" si="24"/>
        <v>150</v>
      </c>
      <c r="O17" s="198">
        <f t="shared" si="24"/>
        <v>160</v>
      </c>
      <c r="P17" s="198">
        <f t="shared" si="24"/>
        <v>270</v>
      </c>
      <c r="Q17" s="196">
        <f t="shared" si="4"/>
        <v>-4</v>
      </c>
    </row>
    <row r="18" spans="1:17" x14ac:dyDescent="0.25">
      <c r="A18" s="229">
        <f t="shared" ref="A18:B18" si="29">A17+1</f>
        <v>1508</v>
      </c>
      <c r="B18" s="230">
        <f t="shared" si="29"/>
        <v>8</v>
      </c>
      <c r="C18" s="229" t="str">
        <f t="shared" si="6"/>
        <v>21cX08+000_090_02</v>
      </c>
      <c r="D18" s="197">
        <f t="shared" si="26"/>
        <v>7.8000000000000007</v>
      </c>
      <c r="E18" s="204">
        <f t="shared" si="19"/>
        <v>1.603</v>
      </c>
      <c r="F18" s="198">
        <f t="shared" si="27"/>
        <v>20.551282051282051</v>
      </c>
      <c r="G18" s="198">
        <f t="shared" si="20"/>
        <v>16.441025641025643</v>
      </c>
      <c r="H18" s="198">
        <f t="shared" si="21"/>
        <v>10.275641025641026</v>
      </c>
      <c r="I18" s="198">
        <f t="shared" si="28"/>
        <v>8</v>
      </c>
      <c r="J18" s="199">
        <f t="shared" si="28"/>
        <v>0</v>
      </c>
      <c r="K18" s="194" t="str">
        <f t="shared" si="23"/>
        <v>7.8-2</v>
      </c>
      <c r="L18" s="198">
        <f t="shared" si="14"/>
        <v>0.2</v>
      </c>
      <c r="M18" s="49">
        <v>90</v>
      </c>
      <c r="N18" s="198">
        <f t="shared" si="24"/>
        <v>150</v>
      </c>
      <c r="O18" s="198">
        <f t="shared" si="24"/>
        <v>160</v>
      </c>
      <c r="P18" s="198">
        <f t="shared" si="24"/>
        <v>270</v>
      </c>
      <c r="Q18" s="196">
        <f t="shared" si="4"/>
        <v>-4</v>
      </c>
    </row>
    <row r="19" spans="1:17" x14ac:dyDescent="0.25">
      <c r="A19" s="229">
        <f t="shared" ref="A19:B19" si="30">A18+1</f>
        <v>1509</v>
      </c>
      <c r="B19" s="230">
        <f t="shared" si="30"/>
        <v>9</v>
      </c>
      <c r="C19" s="229" t="str">
        <f t="shared" si="6"/>
        <v>21cX08+000_000_03</v>
      </c>
      <c r="D19" s="197">
        <f t="shared" si="26"/>
        <v>7.8000000000000007</v>
      </c>
      <c r="E19" s="204">
        <f t="shared" si="19"/>
        <v>1.603</v>
      </c>
      <c r="F19" s="198">
        <f t="shared" si="27"/>
        <v>20.551282051282051</v>
      </c>
      <c r="G19" s="198">
        <f t="shared" si="20"/>
        <v>16.441025641025643</v>
      </c>
      <c r="H19" s="198">
        <f t="shared" si="21"/>
        <v>10.275641025641026</v>
      </c>
      <c r="I19" s="198">
        <f t="shared" si="28"/>
        <v>8</v>
      </c>
      <c r="J19" s="199">
        <f t="shared" si="28"/>
        <v>0</v>
      </c>
      <c r="K19" s="194" t="str">
        <f>D19&amp;-3</f>
        <v>7.8-3</v>
      </c>
      <c r="L19" s="198">
        <f t="shared" si="14"/>
        <v>0.2</v>
      </c>
      <c r="M19" s="49">
        <v>0</v>
      </c>
      <c r="N19" s="198">
        <f t="shared" si="24"/>
        <v>150</v>
      </c>
      <c r="O19" s="198">
        <f t="shared" si="24"/>
        <v>160</v>
      </c>
      <c r="P19" s="198">
        <f t="shared" si="24"/>
        <v>270</v>
      </c>
      <c r="Q19" s="196">
        <f t="shared" si="4"/>
        <v>-4</v>
      </c>
    </row>
    <row r="20" spans="1:17" x14ac:dyDescent="0.25">
      <c r="A20" s="229">
        <f t="shared" ref="A20:B20" si="31">A19+1</f>
        <v>1510</v>
      </c>
      <c r="B20" s="230">
        <f t="shared" si="31"/>
        <v>10</v>
      </c>
      <c r="C20" s="229" t="str">
        <f t="shared" si="6"/>
        <v>21cX08+000_030_03</v>
      </c>
      <c r="D20" s="197">
        <f t="shared" si="26"/>
        <v>7.8000000000000007</v>
      </c>
      <c r="E20" s="204">
        <f t="shared" si="19"/>
        <v>1.603</v>
      </c>
      <c r="F20" s="198">
        <f t="shared" si="27"/>
        <v>20.551282051282051</v>
      </c>
      <c r="G20" s="198">
        <f t="shared" si="20"/>
        <v>16.441025641025643</v>
      </c>
      <c r="H20" s="198">
        <f t="shared" si="21"/>
        <v>10.275641025641026</v>
      </c>
      <c r="I20" s="198">
        <f t="shared" si="28"/>
        <v>8</v>
      </c>
      <c r="J20" s="199">
        <f t="shared" si="28"/>
        <v>0</v>
      </c>
      <c r="K20" s="194" t="str">
        <f t="shared" ref="K20:K22" si="32">D20&amp;-3</f>
        <v>7.8-3</v>
      </c>
      <c r="L20" s="198">
        <f t="shared" si="14"/>
        <v>0.2</v>
      </c>
      <c r="M20" s="49">
        <v>30</v>
      </c>
      <c r="N20" s="198">
        <f t="shared" si="24"/>
        <v>150</v>
      </c>
      <c r="O20" s="198">
        <f t="shared" si="24"/>
        <v>160</v>
      </c>
      <c r="P20" s="198">
        <f t="shared" si="24"/>
        <v>270</v>
      </c>
      <c r="Q20" s="196">
        <f t="shared" si="4"/>
        <v>-4</v>
      </c>
    </row>
    <row r="21" spans="1:17" x14ac:dyDescent="0.25">
      <c r="A21" s="229">
        <f t="shared" ref="A21:B21" si="33">A20+1</f>
        <v>1511</v>
      </c>
      <c r="B21" s="230">
        <f t="shared" si="33"/>
        <v>11</v>
      </c>
      <c r="C21" s="229" t="str">
        <f t="shared" si="6"/>
        <v>21cX08+000_060_03</v>
      </c>
      <c r="D21" s="197">
        <f t="shared" si="26"/>
        <v>7.8000000000000007</v>
      </c>
      <c r="E21" s="204">
        <f t="shared" si="19"/>
        <v>1.603</v>
      </c>
      <c r="F21" s="198">
        <f t="shared" si="27"/>
        <v>20.551282051282051</v>
      </c>
      <c r="G21" s="198">
        <f t="shared" si="20"/>
        <v>16.441025641025643</v>
      </c>
      <c r="H21" s="198">
        <f t="shared" si="21"/>
        <v>10.275641025641026</v>
      </c>
      <c r="I21" s="198">
        <f t="shared" si="28"/>
        <v>8</v>
      </c>
      <c r="J21" s="199">
        <f t="shared" si="28"/>
        <v>0</v>
      </c>
      <c r="K21" s="194" t="str">
        <f t="shared" si="32"/>
        <v>7.8-3</v>
      </c>
      <c r="L21" s="198">
        <f t="shared" si="14"/>
        <v>0.2</v>
      </c>
      <c r="M21" s="49">
        <v>60</v>
      </c>
      <c r="N21" s="198">
        <f t="shared" si="24"/>
        <v>150</v>
      </c>
      <c r="O21" s="198">
        <f t="shared" si="24"/>
        <v>160</v>
      </c>
      <c r="P21" s="198">
        <f t="shared" si="24"/>
        <v>270</v>
      </c>
      <c r="Q21" s="196">
        <f t="shared" si="4"/>
        <v>-4</v>
      </c>
    </row>
    <row r="22" spans="1:17" x14ac:dyDescent="0.25">
      <c r="A22" s="229">
        <f t="shared" ref="A22:B22" si="34">A21+1</f>
        <v>1512</v>
      </c>
      <c r="B22" s="230">
        <f t="shared" si="34"/>
        <v>12</v>
      </c>
      <c r="C22" s="229" t="str">
        <f t="shared" si="6"/>
        <v>21cX08+000_090_03</v>
      </c>
      <c r="D22" s="197">
        <f t="shared" si="26"/>
        <v>7.8000000000000007</v>
      </c>
      <c r="E22" s="204">
        <f t="shared" si="19"/>
        <v>1.603</v>
      </c>
      <c r="F22" s="198">
        <f t="shared" si="27"/>
        <v>20.551282051282051</v>
      </c>
      <c r="G22" s="198">
        <f t="shared" si="20"/>
        <v>16.441025641025643</v>
      </c>
      <c r="H22" s="198">
        <f t="shared" si="21"/>
        <v>10.275641025641026</v>
      </c>
      <c r="I22" s="198">
        <f t="shared" si="28"/>
        <v>8</v>
      </c>
      <c r="J22" s="199">
        <f t="shared" si="28"/>
        <v>0</v>
      </c>
      <c r="K22" s="194" t="str">
        <f t="shared" si="32"/>
        <v>7.8-3</v>
      </c>
      <c r="L22" s="198">
        <f t="shared" si="14"/>
        <v>0.2</v>
      </c>
      <c r="M22" s="49">
        <v>90</v>
      </c>
      <c r="N22" s="198">
        <f t="shared" si="24"/>
        <v>150</v>
      </c>
      <c r="O22" s="198">
        <f t="shared" si="24"/>
        <v>160</v>
      </c>
      <c r="P22" s="198">
        <f t="shared" si="24"/>
        <v>270</v>
      </c>
      <c r="Q22" s="196">
        <f t="shared" si="4"/>
        <v>-4</v>
      </c>
    </row>
    <row r="23" spans="1:17" x14ac:dyDescent="0.25">
      <c r="A23" s="229">
        <f t="shared" ref="A23:B23" si="35">A22+1</f>
        <v>1513</v>
      </c>
      <c r="B23" s="230">
        <f t="shared" si="35"/>
        <v>13</v>
      </c>
      <c r="C23" s="229" t="str">
        <f t="shared" si="6"/>
        <v>21cX08+000_000_04</v>
      </c>
      <c r="D23" s="197">
        <f t="shared" si="26"/>
        <v>7.8000000000000007</v>
      </c>
      <c r="E23" s="204">
        <f t="shared" si="19"/>
        <v>1.603</v>
      </c>
      <c r="F23" s="198">
        <f t="shared" si="27"/>
        <v>20.551282051282051</v>
      </c>
      <c r="G23" s="198">
        <f t="shared" si="20"/>
        <v>16.441025641025643</v>
      </c>
      <c r="H23" s="198">
        <f t="shared" si="21"/>
        <v>10.275641025641026</v>
      </c>
      <c r="I23" s="198">
        <f t="shared" si="28"/>
        <v>8</v>
      </c>
      <c r="J23" s="199">
        <f t="shared" si="28"/>
        <v>0</v>
      </c>
      <c r="K23" s="194" t="str">
        <f>D23&amp;-4</f>
        <v>7.8-4</v>
      </c>
      <c r="L23" s="198">
        <f t="shared" si="14"/>
        <v>0.2</v>
      </c>
      <c r="M23" s="49">
        <v>0</v>
      </c>
      <c r="N23" s="198">
        <f t="shared" si="24"/>
        <v>150</v>
      </c>
      <c r="O23" s="198">
        <f t="shared" si="24"/>
        <v>160</v>
      </c>
      <c r="P23" s="198">
        <f t="shared" si="24"/>
        <v>270</v>
      </c>
      <c r="Q23" s="196">
        <f t="shared" si="4"/>
        <v>-4</v>
      </c>
    </row>
    <row r="24" spans="1:17" x14ac:dyDescent="0.25">
      <c r="A24" s="229">
        <f t="shared" ref="A24:B24" si="36">A23+1</f>
        <v>1514</v>
      </c>
      <c r="B24" s="230">
        <f t="shared" si="36"/>
        <v>14</v>
      </c>
      <c r="C24" s="229" t="str">
        <f t="shared" si="6"/>
        <v>21cX08+000_030_04</v>
      </c>
      <c r="D24" s="197">
        <f t="shared" si="26"/>
        <v>7.8000000000000007</v>
      </c>
      <c r="E24" s="204">
        <f t="shared" si="19"/>
        <v>1.603</v>
      </c>
      <c r="F24" s="198">
        <f t="shared" si="27"/>
        <v>20.551282051282051</v>
      </c>
      <c r="G24" s="198">
        <f t="shared" si="20"/>
        <v>16.441025641025643</v>
      </c>
      <c r="H24" s="198">
        <f t="shared" si="21"/>
        <v>10.275641025641026</v>
      </c>
      <c r="I24" s="198">
        <f t="shared" si="28"/>
        <v>8</v>
      </c>
      <c r="J24" s="199">
        <f t="shared" si="28"/>
        <v>0</v>
      </c>
      <c r="K24" s="194" t="str">
        <f t="shared" ref="K24:K26" si="37">D24&amp;-4</f>
        <v>7.8-4</v>
      </c>
      <c r="L24" s="198">
        <f t="shared" si="14"/>
        <v>0.2</v>
      </c>
      <c r="M24" s="49">
        <v>30</v>
      </c>
      <c r="N24" s="198">
        <f t="shared" si="24"/>
        <v>150</v>
      </c>
      <c r="O24" s="198">
        <f t="shared" si="24"/>
        <v>160</v>
      </c>
      <c r="P24" s="198">
        <f t="shared" si="24"/>
        <v>270</v>
      </c>
      <c r="Q24" s="196">
        <f t="shared" si="4"/>
        <v>-4</v>
      </c>
    </row>
    <row r="25" spans="1:17" x14ac:dyDescent="0.25">
      <c r="A25" s="229">
        <f t="shared" ref="A25:B25" si="38">A24+1</f>
        <v>1515</v>
      </c>
      <c r="B25" s="230">
        <f t="shared" si="38"/>
        <v>15</v>
      </c>
      <c r="C25" s="229" t="str">
        <f t="shared" si="6"/>
        <v>21cX08+000_060_04</v>
      </c>
      <c r="D25" s="197">
        <f t="shared" si="26"/>
        <v>7.8000000000000007</v>
      </c>
      <c r="E25" s="204">
        <f t="shared" si="19"/>
        <v>1.603</v>
      </c>
      <c r="F25" s="198">
        <f t="shared" si="27"/>
        <v>20.551282051282051</v>
      </c>
      <c r="G25" s="198">
        <f t="shared" si="20"/>
        <v>16.441025641025643</v>
      </c>
      <c r="H25" s="198">
        <f t="shared" si="21"/>
        <v>10.275641025641026</v>
      </c>
      <c r="I25" s="198">
        <f t="shared" si="28"/>
        <v>8</v>
      </c>
      <c r="J25" s="199">
        <f t="shared" si="28"/>
        <v>0</v>
      </c>
      <c r="K25" s="194" t="str">
        <f t="shared" si="37"/>
        <v>7.8-4</v>
      </c>
      <c r="L25" s="198">
        <f t="shared" si="14"/>
        <v>0.2</v>
      </c>
      <c r="M25" s="49">
        <v>60</v>
      </c>
      <c r="N25" s="198">
        <f t="shared" si="24"/>
        <v>150</v>
      </c>
      <c r="O25" s="198">
        <f t="shared" si="24"/>
        <v>160</v>
      </c>
      <c r="P25" s="198">
        <f t="shared" si="24"/>
        <v>270</v>
      </c>
      <c r="Q25" s="196">
        <f t="shared" si="4"/>
        <v>-4</v>
      </c>
    </row>
    <row r="26" spans="1:17" x14ac:dyDescent="0.25">
      <c r="A26" s="229">
        <f t="shared" ref="A26:B26" si="39">A25+1</f>
        <v>1516</v>
      </c>
      <c r="B26" s="230">
        <f t="shared" si="39"/>
        <v>16</v>
      </c>
      <c r="C26" s="229" t="str">
        <f t="shared" si="6"/>
        <v>21cX08+000_090_04</v>
      </c>
      <c r="D26" s="197">
        <f t="shared" si="26"/>
        <v>7.8000000000000007</v>
      </c>
      <c r="E26" s="204">
        <f t="shared" si="19"/>
        <v>1.603</v>
      </c>
      <c r="F26" s="198">
        <f t="shared" si="27"/>
        <v>20.551282051282051</v>
      </c>
      <c r="G26" s="198">
        <f t="shared" si="20"/>
        <v>16.441025641025643</v>
      </c>
      <c r="H26" s="198">
        <f t="shared" si="21"/>
        <v>10.275641025641026</v>
      </c>
      <c r="I26" s="198">
        <f t="shared" si="28"/>
        <v>8</v>
      </c>
      <c r="J26" s="199">
        <f t="shared" si="28"/>
        <v>0</v>
      </c>
      <c r="K26" s="194" t="str">
        <f t="shared" si="37"/>
        <v>7.8-4</v>
      </c>
      <c r="L26" s="198">
        <f t="shared" si="14"/>
        <v>0.2</v>
      </c>
      <c r="M26" s="49">
        <v>90</v>
      </c>
      <c r="N26" s="198">
        <f t="shared" si="24"/>
        <v>150</v>
      </c>
      <c r="O26" s="198">
        <f t="shared" si="24"/>
        <v>160</v>
      </c>
      <c r="P26" s="198">
        <f t="shared" si="24"/>
        <v>270</v>
      </c>
      <c r="Q26" s="196">
        <f t="shared" si="4"/>
        <v>-4</v>
      </c>
    </row>
    <row r="27" spans="1:17" x14ac:dyDescent="0.25">
      <c r="A27" s="229">
        <f t="shared" ref="A27:B27" si="40">A26+1</f>
        <v>1517</v>
      </c>
      <c r="B27" s="230">
        <f t="shared" si="40"/>
        <v>17</v>
      </c>
      <c r="C27" s="229" t="str">
        <f t="shared" si="6"/>
        <v>21cX08+000_000_05</v>
      </c>
      <c r="D27" s="197">
        <f t="shared" si="26"/>
        <v>7.8000000000000007</v>
      </c>
      <c r="E27" s="204">
        <f t="shared" si="19"/>
        <v>1.603</v>
      </c>
      <c r="F27" s="198">
        <f t="shared" si="27"/>
        <v>20.551282051282051</v>
      </c>
      <c r="G27" s="198">
        <f t="shared" si="20"/>
        <v>16.441025641025643</v>
      </c>
      <c r="H27" s="198">
        <f t="shared" si="21"/>
        <v>10.275641025641026</v>
      </c>
      <c r="I27" s="198">
        <f t="shared" si="28"/>
        <v>8</v>
      </c>
      <c r="J27" s="199">
        <f t="shared" si="28"/>
        <v>0</v>
      </c>
      <c r="K27" s="194" t="str">
        <f>D27&amp;-5</f>
        <v>7.8-5</v>
      </c>
      <c r="L27" s="198">
        <f t="shared" si="14"/>
        <v>0.2</v>
      </c>
      <c r="M27" s="49">
        <v>0</v>
      </c>
      <c r="N27" s="198">
        <f t="shared" si="24"/>
        <v>150</v>
      </c>
      <c r="O27" s="198">
        <f t="shared" si="24"/>
        <v>160</v>
      </c>
      <c r="P27" s="198">
        <f t="shared" si="24"/>
        <v>270</v>
      </c>
      <c r="Q27" s="196">
        <f t="shared" si="4"/>
        <v>-4</v>
      </c>
    </row>
    <row r="28" spans="1:17" x14ac:dyDescent="0.25">
      <c r="A28" s="229">
        <f t="shared" ref="A28:B28" si="41">A27+1</f>
        <v>1518</v>
      </c>
      <c r="B28" s="230">
        <f t="shared" si="41"/>
        <v>18</v>
      </c>
      <c r="C28" s="229" t="str">
        <f t="shared" si="6"/>
        <v>21cX08+000_030_05</v>
      </c>
      <c r="D28" s="197">
        <f t="shared" si="26"/>
        <v>7.8000000000000007</v>
      </c>
      <c r="E28" s="204">
        <f t="shared" si="19"/>
        <v>1.603</v>
      </c>
      <c r="F28" s="198">
        <f t="shared" si="27"/>
        <v>20.551282051282051</v>
      </c>
      <c r="G28" s="198">
        <f t="shared" si="20"/>
        <v>16.441025641025643</v>
      </c>
      <c r="H28" s="198">
        <f t="shared" si="21"/>
        <v>10.275641025641026</v>
      </c>
      <c r="I28" s="198">
        <f t="shared" si="28"/>
        <v>8</v>
      </c>
      <c r="J28" s="199">
        <f t="shared" si="28"/>
        <v>0</v>
      </c>
      <c r="K28" s="194" t="str">
        <f t="shared" ref="K28:K30" si="42">D28&amp;-5</f>
        <v>7.8-5</v>
      </c>
      <c r="L28" s="198">
        <f t="shared" si="14"/>
        <v>0.2</v>
      </c>
      <c r="M28" s="49">
        <v>30</v>
      </c>
      <c r="N28" s="198">
        <f t="shared" si="24"/>
        <v>150</v>
      </c>
      <c r="O28" s="198">
        <f t="shared" si="24"/>
        <v>160</v>
      </c>
      <c r="P28" s="198">
        <f t="shared" si="24"/>
        <v>270</v>
      </c>
      <c r="Q28" s="196">
        <f t="shared" si="4"/>
        <v>-4</v>
      </c>
    </row>
    <row r="29" spans="1:17" x14ac:dyDescent="0.25">
      <c r="A29" s="229">
        <f t="shared" ref="A29:B29" si="43">A28+1</f>
        <v>1519</v>
      </c>
      <c r="B29" s="230">
        <f t="shared" si="43"/>
        <v>19</v>
      </c>
      <c r="C29" s="229" t="str">
        <f t="shared" si="6"/>
        <v>21cX08+000_060_05</v>
      </c>
      <c r="D29" s="197">
        <f t="shared" si="26"/>
        <v>7.8000000000000007</v>
      </c>
      <c r="E29" s="204">
        <f t="shared" si="19"/>
        <v>1.603</v>
      </c>
      <c r="F29" s="198">
        <f t="shared" si="27"/>
        <v>20.551282051282051</v>
      </c>
      <c r="G29" s="198">
        <f t="shared" si="20"/>
        <v>16.441025641025643</v>
      </c>
      <c r="H29" s="198">
        <f t="shared" si="21"/>
        <v>10.275641025641026</v>
      </c>
      <c r="I29" s="198">
        <f t="shared" si="28"/>
        <v>8</v>
      </c>
      <c r="J29" s="199">
        <f t="shared" si="28"/>
        <v>0</v>
      </c>
      <c r="K29" s="194" t="str">
        <f t="shared" si="42"/>
        <v>7.8-5</v>
      </c>
      <c r="L29" s="198">
        <f t="shared" si="14"/>
        <v>0.2</v>
      </c>
      <c r="M29" s="49">
        <v>60</v>
      </c>
      <c r="N29" s="198">
        <f t="shared" si="24"/>
        <v>150</v>
      </c>
      <c r="O29" s="198">
        <f t="shared" si="24"/>
        <v>160</v>
      </c>
      <c r="P29" s="198">
        <f t="shared" si="24"/>
        <v>270</v>
      </c>
      <c r="Q29" s="196">
        <f t="shared" si="4"/>
        <v>-4</v>
      </c>
    </row>
    <row r="30" spans="1:17" x14ac:dyDescent="0.25">
      <c r="A30" s="229">
        <f t="shared" ref="A30:B30" si="44">A29+1</f>
        <v>1520</v>
      </c>
      <c r="B30" s="230">
        <f t="shared" si="44"/>
        <v>20</v>
      </c>
      <c r="C30" s="229" t="str">
        <f t="shared" si="6"/>
        <v>21cX08+000_090_05</v>
      </c>
      <c r="D30" s="197">
        <f t="shared" si="26"/>
        <v>7.8000000000000007</v>
      </c>
      <c r="E30" s="204">
        <f t="shared" si="19"/>
        <v>1.603</v>
      </c>
      <c r="F30" s="198">
        <f t="shared" si="27"/>
        <v>20.551282051282051</v>
      </c>
      <c r="G30" s="198">
        <f t="shared" si="20"/>
        <v>16.441025641025643</v>
      </c>
      <c r="H30" s="198">
        <f t="shared" si="21"/>
        <v>10.275641025641026</v>
      </c>
      <c r="I30" s="198">
        <f t="shared" si="28"/>
        <v>8</v>
      </c>
      <c r="J30" s="199">
        <f t="shared" si="28"/>
        <v>0</v>
      </c>
      <c r="K30" s="194" t="str">
        <f t="shared" si="42"/>
        <v>7.8-5</v>
      </c>
      <c r="L30" s="198">
        <f t="shared" si="14"/>
        <v>0.2</v>
      </c>
      <c r="M30" s="49">
        <v>90</v>
      </c>
      <c r="N30" s="198">
        <f t="shared" si="24"/>
        <v>150</v>
      </c>
      <c r="O30" s="198">
        <f t="shared" si="24"/>
        <v>160</v>
      </c>
      <c r="P30" s="198">
        <f t="shared" si="24"/>
        <v>270</v>
      </c>
      <c r="Q30" s="196">
        <f t="shared" si="4"/>
        <v>-4</v>
      </c>
    </row>
    <row r="31" spans="1:17" x14ac:dyDescent="0.25">
      <c r="A31" s="229">
        <f t="shared" ref="A31:B31" si="45">A30+1</f>
        <v>1521</v>
      </c>
      <c r="B31" s="230">
        <f t="shared" si="45"/>
        <v>21</v>
      </c>
      <c r="C31" s="229" t="str">
        <f t="shared" si="6"/>
        <v>21cX08+000_000_06</v>
      </c>
      <c r="D31" s="197">
        <f t="shared" si="26"/>
        <v>7.8000000000000007</v>
      </c>
      <c r="E31" s="204">
        <f t="shared" si="19"/>
        <v>1.603</v>
      </c>
      <c r="F31" s="198">
        <f t="shared" si="27"/>
        <v>20.551282051282051</v>
      </c>
      <c r="G31" s="198">
        <f t="shared" si="20"/>
        <v>16.441025641025643</v>
      </c>
      <c r="H31" s="198">
        <f t="shared" si="21"/>
        <v>10.275641025641026</v>
      </c>
      <c r="I31" s="198">
        <f t="shared" si="28"/>
        <v>8</v>
      </c>
      <c r="J31" s="199">
        <f t="shared" si="28"/>
        <v>0</v>
      </c>
      <c r="K31" s="194" t="str">
        <f>D31&amp;-6</f>
        <v>7.8-6</v>
      </c>
      <c r="L31" s="198">
        <f t="shared" si="14"/>
        <v>0.2</v>
      </c>
      <c r="M31" s="49">
        <v>0</v>
      </c>
      <c r="N31" s="198">
        <f t="shared" si="24"/>
        <v>150</v>
      </c>
      <c r="O31" s="198">
        <f t="shared" si="24"/>
        <v>160</v>
      </c>
      <c r="P31" s="198">
        <f t="shared" si="24"/>
        <v>270</v>
      </c>
      <c r="Q31" s="196">
        <f t="shared" si="4"/>
        <v>-4</v>
      </c>
    </row>
    <row r="32" spans="1:17" x14ac:dyDescent="0.25">
      <c r="A32" s="229">
        <f t="shared" ref="A32:B32" si="46">A31+1</f>
        <v>1522</v>
      </c>
      <c r="B32" s="230">
        <f t="shared" si="46"/>
        <v>22</v>
      </c>
      <c r="C32" s="229" t="str">
        <f t="shared" si="6"/>
        <v>21cX08+000_030_06</v>
      </c>
      <c r="D32" s="197">
        <f t="shared" si="26"/>
        <v>7.8000000000000007</v>
      </c>
      <c r="E32" s="204">
        <f t="shared" si="19"/>
        <v>1.603</v>
      </c>
      <c r="F32" s="198">
        <f t="shared" si="27"/>
        <v>20.551282051282051</v>
      </c>
      <c r="G32" s="198">
        <f t="shared" si="20"/>
        <v>16.441025641025643</v>
      </c>
      <c r="H32" s="198">
        <f t="shared" si="21"/>
        <v>10.275641025641026</v>
      </c>
      <c r="I32" s="198">
        <f t="shared" si="28"/>
        <v>8</v>
      </c>
      <c r="J32" s="199">
        <f t="shared" si="28"/>
        <v>0</v>
      </c>
      <c r="K32" s="194" t="str">
        <f t="shared" ref="K32:K34" si="47">D32&amp;-6</f>
        <v>7.8-6</v>
      </c>
      <c r="L32" s="198">
        <f t="shared" si="14"/>
        <v>0.2</v>
      </c>
      <c r="M32" s="49">
        <v>30</v>
      </c>
      <c r="N32" s="198">
        <f t="shared" ref="N32:P47" si="48">N31</f>
        <v>150</v>
      </c>
      <c r="O32" s="198">
        <f t="shared" si="48"/>
        <v>160</v>
      </c>
      <c r="P32" s="198">
        <f t="shared" si="48"/>
        <v>270</v>
      </c>
      <c r="Q32" s="196">
        <f t="shared" si="4"/>
        <v>-4</v>
      </c>
    </row>
    <row r="33" spans="1:17" x14ac:dyDescent="0.25">
      <c r="A33" s="229">
        <f t="shared" ref="A33:B33" si="49">A32+1</f>
        <v>1523</v>
      </c>
      <c r="B33" s="230">
        <f t="shared" si="49"/>
        <v>23</v>
      </c>
      <c r="C33" s="229" t="str">
        <f t="shared" si="6"/>
        <v>21cX08+000_060_06</v>
      </c>
      <c r="D33" s="197">
        <f t="shared" si="26"/>
        <v>7.8000000000000007</v>
      </c>
      <c r="E33" s="204">
        <f t="shared" si="19"/>
        <v>1.603</v>
      </c>
      <c r="F33" s="198">
        <f t="shared" si="27"/>
        <v>20.551282051282051</v>
      </c>
      <c r="G33" s="198">
        <f t="shared" si="20"/>
        <v>16.441025641025643</v>
      </c>
      <c r="H33" s="198">
        <f t="shared" si="21"/>
        <v>10.275641025641026</v>
      </c>
      <c r="I33" s="198">
        <f t="shared" ref="I33:J48" si="50">I32</f>
        <v>8</v>
      </c>
      <c r="J33" s="199">
        <f t="shared" si="50"/>
        <v>0</v>
      </c>
      <c r="K33" s="194" t="str">
        <f t="shared" si="47"/>
        <v>7.8-6</v>
      </c>
      <c r="L33" s="198">
        <f t="shared" si="14"/>
        <v>0.2</v>
      </c>
      <c r="M33" s="49">
        <v>60</v>
      </c>
      <c r="N33" s="198">
        <f t="shared" si="48"/>
        <v>150</v>
      </c>
      <c r="O33" s="198">
        <f t="shared" si="48"/>
        <v>160</v>
      </c>
      <c r="P33" s="198">
        <f t="shared" si="48"/>
        <v>270</v>
      </c>
      <c r="Q33" s="196">
        <f t="shared" si="4"/>
        <v>-4</v>
      </c>
    </row>
    <row r="34" spans="1:17" x14ac:dyDescent="0.25">
      <c r="A34" s="229">
        <f t="shared" ref="A34:B34" si="51">A33+1</f>
        <v>1524</v>
      </c>
      <c r="B34" s="230">
        <f t="shared" si="51"/>
        <v>24</v>
      </c>
      <c r="C34" s="229" t="str">
        <f t="shared" si="6"/>
        <v>21cX08+000_090_06</v>
      </c>
      <c r="D34" s="197">
        <f t="shared" si="26"/>
        <v>7.8000000000000007</v>
      </c>
      <c r="E34" s="204">
        <f t="shared" si="19"/>
        <v>1.603</v>
      </c>
      <c r="F34" s="198">
        <f t="shared" si="27"/>
        <v>20.551282051282051</v>
      </c>
      <c r="G34" s="198">
        <f t="shared" si="20"/>
        <v>16.441025641025643</v>
      </c>
      <c r="H34" s="198">
        <f t="shared" si="21"/>
        <v>10.275641025641026</v>
      </c>
      <c r="I34" s="198">
        <f t="shared" si="50"/>
        <v>8</v>
      </c>
      <c r="J34" s="199">
        <f t="shared" si="50"/>
        <v>0</v>
      </c>
      <c r="K34" s="194" t="str">
        <f t="shared" si="47"/>
        <v>7.8-6</v>
      </c>
      <c r="L34" s="198">
        <f t="shared" si="14"/>
        <v>0.2</v>
      </c>
      <c r="M34" s="49">
        <v>90</v>
      </c>
      <c r="N34" s="198">
        <f t="shared" si="48"/>
        <v>150</v>
      </c>
      <c r="O34" s="198">
        <f t="shared" si="48"/>
        <v>160</v>
      </c>
      <c r="P34" s="198">
        <f t="shared" si="48"/>
        <v>270</v>
      </c>
      <c r="Q34" s="196">
        <f t="shared" si="4"/>
        <v>-4</v>
      </c>
    </row>
    <row r="35" spans="1:17" x14ac:dyDescent="0.25">
      <c r="A35" s="229">
        <f t="shared" ref="A35:B35" si="52">A34+1</f>
        <v>1525</v>
      </c>
      <c r="B35" s="230">
        <f t="shared" si="52"/>
        <v>25</v>
      </c>
      <c r="C35" s="229" t="str">
        <f t="shared" si="6"/>
        <v>21cX08+000_000_07</v>
      </c>
      <c r="D35" s="197">
        <f t="shared" si="26"/>
        <v>7.8000000000000007</v>
      </c>
      <c r="E35" s="204">
        <f t="shared" si="19"/>
        <v>1.603</v>
      </c>
      <c r="F35" s="198">
        <f t="shared" si="27"/>
        <v>20.551282051282051</v>
      </c>
      <c r="G35" s="198">
        <f t="shared" si="20"/>
        <v>16.441025641025643</v>
      </c>
      <c r="H35" s="198">
        <f t="shared" si="21"/>
        <v>10.275641025641026</v>
      </c>
      <c r="I35" s="198">
        <f t="shared" si="50"/>
        <v>8</v>
      </c>
      <c r="J35" s="199">
        <f t="shared" si="50"/>
        <v>0</v>
      </c>
      <c r="K35" s="194" t="str">
        <f>D35&amp;-7</f>
        <v>7.8-7</v>
      </c>
      <c r="L35" s="198">
        <f t="shared" si="14"/>
        <v>0.2</v>
      </c>
      <c r="M35" s="49">
        <v>0</v>
      </c>
      <c r="N35" s="198">
        <f t="shared" si="48"/>
        <v>150</v>
      </c>
      <c r="O35" s="198">
        <f t="shared" si="48"/>
        <v>160</v>
      </c>
      <c r="P35" s="198">
        <f t="shared" si="48"/>
        <v>270</v>
      </c>
      <c r="Q35" s="196">
        <f t="shared" si="4"/>
        <v>-4</v>
      </c>
    </row>
    <row r="36" spans="1:17" x14ac:dyDescent="0.25">
      <c r="A36" s="229">
        <f t="shared" ref="A36:B36" si="53">A35+1</f>
        <v>1526</v>
      </c>
      <c r="B36" s="230">
        <f t="shared" si="53"/>
        <v>26</v>
      </c>
      <c r="C36" s="229" t="str">
        <f t="shared" si="6"/>
        <v>21cX08+000_030_07</v>
      </c>
      <c r="D36" s="197">
        <f t="shared" si="26"/>
        <v>7.8000000000000007</v>
      </c>
      <c r="E36" s="204">
        <f t="shared" si="19"/>
        <v>1.603</v>
      </c>
      <c r="F36" s="198">
        <f t="shared" si="27"/>
        <v>20.551282051282051</v>
      </c>
      <c r="G36" s="198">
        <f t="shared" si="20"/>
        <v>16.441025641025643</v>
      </c>
      <c r="H36" s="198">
        <f t="shared" si="21"/>
        <v>10.275641025641026</v>
      </c>
      <c r="I36" s="198">
        <f t="shared" si="50"/>
        <v>8</v>
      </c>
      <c r="J36" s="199">
        <f t="shared" si="50"/>
        <v>0</v>
      </c>
      <c r="K36" s="194" t="str">
        <f t="shared" ref="K36:K38" si="54">D36&amp;-7</f>
        <v>7.8-7</v>
      </c>
      <c r="L36" s="198">
        <f t="shared" si="14"/>
        <v>0.2</v>
      </c>
      <c r="M36" s="49">
        <v>30</v>
      </c>
      <c r="N36" s="198">
        <f t="shared" si="48"/>
        <v>150</v>
      </c>
      <c r="O36" s="198">
        <f t="shared" si="48"/>
        <v>160</v>
      </c>
      <c r="P36" s="198">
        <f t="shared" si="48"/>
        <v>270</v>
      </c>
      <c r="Q36" s="196">
        <f t="shared" si="4"/>
        <v>-4</v>
      </c>
    </row>
    <row r="37" spans="1:17" x14ac:dyDescent="0.25">
      <c r="A37" s="229">
        <f t="shared" ref="A37:B37" si="55">A36+1</f>
        <v>1527</v>
      </c>
      <c r="B37" s="230">
        <f t="shared" si="55"/>
        <v>27</v>
      </c>
      <c r="C37" s="229" t="str">
        <f t="shared" si="6"/>
        <v>21cX08+000_060_07</v>
      </c>
      <c r="D37" s="197">
        <f t="shared" si="26"/>
        <v>7.8000000000000007</v>
      </c>
      <c r="E37" s="204">
        <f t="shared" si="19"/>
        <v>1.603</v>
      </c>
      <c r="F37" s="198">
        <f t="shared" si="27"/>
        <v>20.551282051282051</v>
      </c>
      <c r="G37" s="198">
        <f t="shared" si="20"/>
        <v>16.441025641025643</v>
      </c>
      <c r="H37" s="198">
        <f t="shared" si="21"/>
        <v>10.275641025641026</v>
      </c>
      <c r="I37" s="198">
        <f t="shared" si="50"/>
        <v>8</v>
      </c>
      <c r="J37" s="199">
        <f t="shared" si="50"/>
        <v>0</v>
      </c>
      <c r="K37" s="194" t="str">
        <f t="shared" si="54"/>
        <v>7.8-7</v>
      </c>
      <c r="L37" s="198">
        <f t="shared" si="14"/>
        <v>0.2</v>
      </c>
      <c r="M37" s="49">
        <v>60</v>
      </c>
      <c r="N37" s="198">
        <f t="shared" si="48"/>
        <v>150</v>
      </c>
      <c r="O37" s="198">
        <f t="shared" si="48"/>
        <v>160</v>
      </c>
      <c r="P37" s="198">
        <f t="shared" si="48"/>
        <v>270</v>
      </c>
      <c r="Q37" s="196">
        <f t="shared" si="4"/>
        <v>-4</v>
      </c>
    </row>
    <row r="38" spans="1:17" x14ac:dyDescent="0.25">
      <c r="A38" s="229">
        <f t="shared" ref="A38:B38" si="56">A37+1</f>
        <v>1528</v>
      </c>
      <c r="B38" s="230">
        <f t="shared" si="56"/>
        <v>28</v>
      </c>
      <c r="C38" s="229" t="str">
        <f t="shared" si="6"/>
        <v>21cX08+000_090_07</v>
      </c>
      <c r="D38" s="197">
        <f t="shared" si="26"/>
        <v>7.8000000000000007</v>
      </c>
      <c r="E38" s="204">
        <f t="shared" si="19"/>
        <v>1.603</v>
      </c>
      <c r="F38" s="198">
        <f t="shared" si="27"/>
        <v>20.551282051282051</v>
      </c>
      <c r="G38" s="198">
        <f t="shared" si="20"/>
        <v>16.441025641025643</v>
      </c>
      <c r="H38" s="198">
        <f t="shared" si="21"/>
        <v>10.275641025641026</v>
      </c>
      <c r="I38" s="198">
        <f t="shared" si="50"/>
        <v>8</v>
      </c>
      <c r="J38" s="199">
        <f t="shared" si="50"/>
        <v>0</v>
      </c>
      <c r="K38" s="194" t="str">
        <f t="shared" si="54"/>
        <v>7.8-7</v>
      </c>
      <c r="L38" s="198">
        <f t="shared" si="14"/>
        <v>0.2</v>
      </c>
      <c r="M38" s="49">
        <v>90</v>
      </c>
      <c r="N38" s="198">
        <f t="shared" si="48"/>
        <v>150</v>
      </c>
      <c r="O38" s="198">
        <f t="shared" si="48"/>
        <v>160</v>
      </c>
      <c r="P38" s="198">
        <f t="shared" si="48"/>
        <v>270</v>
      </c>
      <c r="Q38" s="196">
        <f t="shared" si="4"/>
        <v>-4</v>
      </c>
    </row>
    <row r="39" spans="1:17" x14ac:dyDescent="0.25">
      <c r="A39" s="229">
        <f t="shared" ref="A39:B39" si="57">A38+1</f>
        <v>1529</v>
      </c>
      <c r="B39" s="230">
        <f t="shared" si="57"/>
        <v>29</v>
      </c>
      <c r="C39" s="229" t="str">
        <f t="shared" si="6"/>
        <v>21cX08+000_000_08</v>
      </c>
      <c r="D39" s="197">
        <f t="shared" si="26"/>
        <v>7.8000000000000007</v>
      </c>
      <c r="E39" s="204">
        <f t="shared" si="19"/>
        <v>1.603</v>
      </c>
      <c r="F39" s="198">
        <f t="shared" si="27"/>
        <v>20.551282051282051</v>
      </c>
      <c r="G39" s="198">
        <f t="shared" si="20"/>
        <v>16.441025641025643</v>
      </c>
      <c r="H39" s="198">
        <f t="shared" si="21"/>
        <v>10.275641025641026</v>
      </c>
      <c r="I39" s="198">
        <f t="shared" si="50"/>
        <v>8</v>
      </c>
      <c r="J39" s="199">
        <f t="shared" si="50"/>
        <v>0</v>
      </c>
      <c r="K39" s="194" t="str">
        <f>D39&amp;-8</f>
        <v>7.8-8</v>
      </c>
      <c r="L39" s="198">
        <f t="shared" si="14"/>
        <v>0.2</v>
      </c>
      <c r="M39" s="49">
        <v>0</v>
      </c>
      <c r="N39" s="198">
        <f t="shared" si="48"/>
        <v>150</v>
      </c>
      <c r="O39" s="198">
        <f t="shared" si="48"/>
        <v>160</v>
      </c>
      <c r="P39" s="198">
        <f t="shared" si="48"/>
        <v>270</v>
      </c>
      <c r="Q39" s="196">
        <f t="shared" si="4"/>
        <v>-4</v>
      </c>
    </row>
    <row r="40" spans="1:17" x14ac:dyDescent="0.25">
      <c r="A40" s="229">
        <f t="shared" ref="A40:B40" si="58">A39+1</f>
        <v>1530</v>
      </c>
      <c r="B40" s="230">
        <f t="shared" si="58"/>
        <v>30</v>
      </c>
      <c r="C40" s="229" t="str">
        <f t="shared" si="6"/>
        <v>21cX08+000_030_08</v>
      </c>
      <c r="D40" s="197">
        <f t="shared" si="26"/>
        <v>7.8000000000000007</v>
      </c>
      <c r="E40" s="204">
        <f t="shared" si="19"/>
        <v>1.603</v>
      </c>
      <c r="F40" s="198">
        <f t="shared" si="27"/>
        <v>20.551282051282051</v>
      </c>
      <c r="G40" s="198">
        <f t="shared" si="20"/>
        <v>16.441025641025643</v>
      </c>
      <c r="H40" s="198">
        <f t="shared" si="21"/>
        <v>10.275641025641026</v>
      </c>
      <c r="I40" s="198">
        <f t="shared" si="50"/>
        <v>8</v>
      </c>
      <c r="J40" s="199">
        <f t="shared" si="50"/>
        <v>0</v>
      </c>
      <c r="K40" s="194" t="str">
        <f t="shared" ref="K40:K42" si="59">D40&amp;-8</f>
        <v>7.8-8</v>
      </c>
      <c r="L40" s="198">
        <f t="shared" si="14"/>
        <v>0.2</v>
      </c>
      <c r="M40" s="49">
        <v>30</v>
      </c>
      <c r="N40" s="198">
        <f t="shared" si="48"/>
        <v>150</v>
      </c>
      <c r="O40" s="198">
        <f t="shared" si="48"/>
        <v>160</v>
      </c>
      <c r="P40" s="198">
        <f t="shared" si="48"/>
        <v>270</v>
      </c>
      <c r="Q40" s="196">
        <f t="shared" si="4"/>
        <v>-4</v>
      </c>
    </row>
    <row r="41" spans="1:17" x14ac:dyDescent="0.25">
      <c r="A41" s="229">
        <f t="shared" ref="A41:B41" si="60">A40+1</f>
        <v>1531</v>
      </c>
      <c r="B41" s="230">
        <f t="shared" si="60"/>
        <v>31</v>
      </c>
      <c r="C41" s="229" t="str">
        <f t="shared" si="6"/>
        <v>21cX08+000_060_08</v>
      </c>
      <c r="D41" s="197">
        <f t="shared" si="26"/>
        <v>7.8000000000000007</v>
      </c>
      <c r="E41" s="204">
        <f t="shared" si="19"/>
        <v>1.603</v>
      </c>
      <c r="F41" s="198">
        <f t="shared" si="27"/>
        <v>20.551282051282051</v>
      </c>
      <c r="G41" s="198">
        <f t="shared" si="20"/>
        <v>16.441025641025643</v>
      </c>
      <c r="H41" s="198">
        <f t="shared" si="21"/>
        <v>10.275641025641026</v>
      </c>
      <c r="I41" s="198">
        <f t="shared" si="50"/>
        <v>8</v>
      </c>
      <c r="J41" s="199">
        <f t="shared" si="50"/>
        <v>0</v>
      </c>
      <c r="K41" s="194" t="str">
        <f t="shared" si="59"/>
        <v>7.8-8</v>
      </c>
      <c r="L41" s="198">
        <f t="shared" si="14"/>
        <v>0.2</v>
      </c>
      <c r="M41" s="49">
        <v>60</v>
      </c>
      <c r="N41" s="198">
        <f t="shared" si="48"/>
        <v>150</v>
      </c>
      <c r="O41" s="198">
        <f t="shared" si="48"/>
        <v>160</v>
      </c>
      <c r="P41" s="198">
        <f t="shared" si="48"/>
        <v>270</v>
      </c>
      <c r="Q41" s="196">
        <f t="shared" si="4"/>
        <v>-4</v>
      </c>
    </row>
    <row r="42" spans="1:17" x14ac:dyDescent="0.25">
      <c r="A42" s="229">
        <f t="shared" ref="A42:B42" si="61">A41+1</f>
        <v>1532</v>
      </c>
      <c r="B42" s="230">
        <f t="shared" si="61"/>
        <v>32</v>
      </c>
      <c r="C42" s="229" t="str">
        <f t="shared" si="6"/>
        <v>21cX08+000_090_08</v>
      </c>
      <c r="D42" s="197">
        <f t="shared" si="26"/>
        <v>7.8000000000000007</v>
      </c>
      <c r="E42" s="204">
        <f t="shared" si="19"/>
        <v>1.603</v>
      </c>
      <c r="F42" s="198">
        <f t="shared" si="27"/>
        <v>20.551282051282051</v>
      </c>
      <c r="G42" s="198">
        <f t="shared" si="20"/>
        <v>16.441025641025643</v>
      </c>
      <c r="H42" s="198">
        <f t="shared" si="21"/>
        <v>10.275641025641026</v>
      </c>
      <c r="I42" s="198">
        <f t="shared" si="50"/>
        <v>8</v>
      </c>
      <c r="J42" s="199">
        <f t="shared" si="50"/>
        <v>0</v>
      </c>
      <c r="K42" s="194" t="str">
        <f t="shared" si="59"/>
        <v>7.8-8</v>
      </c>
      <c r="L42" s="198">
        <f t="shared" si="14"/>
        <v>0.2</v>
      </c>
      <c r="M42" s="49">
        <v>90</v>
      </c>
      <c r="N42" s="198">
        <f t="shared" si="48"/>
        <v>150</v>
      </c>
      <c r="O42" s="198">
        <f t="shared" si="48"/>
        <v>160</v>
      </c>
      <c r="P42" s="198">
        <f t="shared" si="48"/>
        <v>270</v>
      </c>
      <c r="Q42" s="196">
        <f t="shared" si="4"/>
        <v>-4</v>
      </c>
    </row>
    <row r="43" spans="1:17" x14ac:dyDescent="0.25">
      <c r="A43" s="229">
        <f t="shared" ref="A43:B43" si="62">A42+1</f>
        <v>1533</v>
      </c>
      <c r="B43" s="230">
        <f t="shared" si="62"/>
        <v>33</v>
      </c>
      <c r="C43" s="229" t="str">
        <f t="shared" si="6"/>
        <v>21cX08+000_000_09</v>
      </c>
      <c r="D43" s="197">
        <f t="shared" si="26"/>
        <v>7.8000000000000007</v>
      </c>
      <c r="E43" s="204">
        <f t="shared" si="19"/>
        <v>1.603</v>
      </c>
      <c r="F43" s="198">
        <f t="shared" si="27"/>
        <v>20.551282051282051</v>
      </c>
      <c r="G43" s="198">
        <f t="shared" si="20"/>
        <v>16.441025641025643</v>
      </c>
      <c r="H43" s="198">
        <f t="shared" si="21"/>
        <v>10.275641025641026</v>
      </c>
      <c r="I43" s="198">
        <f t="shared" si="50"/>
        <v>8</v>
      </c>
      <c r="J43" s="199">
        <f t="shared" si="50"/>
        <v>0</v>
      </c>
      <c r="K43" s="194" t="str">
        <f>D43&amp;-9</f>
        <v>7.8-9</v>
      </c>
      <c r="L43" s="198">
        <f t="shared" si="14"/>
        <v>0.2</v>
      </c>
      <c r="M43" s="49">
        <v>0</v>
      </c>
      <c r="N43" s="198">
        <f t="shared" si="48"/>
        <v>150</v>
      </c>
      <c r="O43" s="198">
        <f t="shared" si="48"/>
        <v>160</v>
      </c>
      <c r="P43" s="198">
        <f t="shared" si="48"/>
        <v>270</v>
      </c>
      <c r="Q43" s="196">
        <f t="shared" si="4"/>
        <v>-4</v>
      </c>
    </row>
    <row r="44" spans="1:17" x14ac:dyDescent="0.25">
      <c r="A44" s="229">
        <f t="shared" ref="A44:B44" si="63">A43+1</f>
        <v>1534</v>
      </c>
      <c r="B44" s="230">
        <f t="shared" si="63"/>
        <v>34</v>
      </c>
      <c r="C44" s="229" t="str">
        <f t="shared" si="6"/>
        <v>21cX08+000_030_09</v>
      </c>
      <c r="D44" s="197">
        <f t="shared" si="26"/>
        <v>7.8000000000000007</v>
      </c>
      <c r="E44" s="204">
        <f t="shared" si="19"/>
        <v>1.603</v>
      </c>
      <c r="F44" s="198">
        <f t="shared" si="27"/>
        <v>20.551282051282051</v>
      </c>
      <c r="G44" s="198">
        <f t="shared" si="20"/>
        <v>16.441025641025643</v>
      </c>
      <c r="H44" s="198">
        <f t="shared" si="21"/>
        <v>10.275641025641026</v>
      </c>
      <c r="I44" s="198">
        <f t="shared" si="50"/>
        <v>8</v>
      </c>
      <c r="J44" s="199">
        <f t="shared" si="50"/>
        <v>0</v>
      </c>
      <c r="K44" s="194" t="str">
        <f t="shared" ref="K44:K46" si="64">D44&amp;-9</f>
        <v>7.8-9</v>
      </c>
      <c r="L44" s="198">
        <f t="shared" si="14"/>
        <v>0.2</v>
      </c>
      <c r="M44" s="49">
        <v>30</v>
      </c>
      <c r="N44" s="198">
        <f t="shared" si="48"/>
        <v>150</v>
      </c>
      <c r="O44" s="198">
        <f t="shared" si="48"/>
        <v>160</v>
      </c>
      <c r="P44" s="198">
        <f t="shared" si="48"/>
        <v>270</v>
      </c>
      <c r="Q44" s="196">
        <f t="shared" si="4"/>
        <v>-4</v>
      </c>
    </row>
    <row r="45" spans="1:17" x14ac:dyDescent="0.25">
      <c r="A45" s="229">
        <f t="shared" ref="A45:B45" si="65">A44+1</f>
        <v>1535</v>
      </c>
      <c r="B45" s="230">
        <f t="shared" si="65"/>
        <v>35</v>
      </c>
      <c r="C45" s="229" t="str">
        <f t="shared" si="6"/>
        <v>21cX08+000_060_09</v>
      </c>
      <c r="D45" s="197">
        <f t="shared" si="26"/>
        <v>7.8000000000000007</v>
      </c>
      <c r="E45" s="204">
        <f t="shared" si="19"/>
        <v>1.603</v>
      </c>
      <c r="F45" s="198">
        <f t="shared" si="27"/>
        <v>20.551282051282051</v>
      </c>
      <c r="G45" s="198">
        <f t="shared" si="20"/>
        <v>16.441025641025643</v>
      </c>
      <c r="H45" s="198">
        <f t="shared" si="21"/>
        <v>10.275641025641026</v>
      </c>
      <c r="I45" s="198">
        <f t="shared" si="50"/>
        <v>8</v>
      </c>
      <c r="J45" s="199">
        <f t="shared" si="50"/>
        <v>0</v>
      </c>
      <c r="K45" s="194" t="str">
        <f t="shared" si="64"/>
        <v>7.8-9</v>
      </c>
      <c r="L45" s="198">
        <f t="shared" si="14"/>
        <v>0.2</v>
      </c>
      <c r="M45" s="49">
        <v>60</v>
      </c>
      <c r="N45" s="198">
        <f t="shared" si="48"/>
        <v>150</v>
      </c>
      <c r="O45" s="198">
        <f t="shared" si="48"/>
        <v>160</v>
      </c>
      <c r="P45" s="198">
        <f t="shared" si="48"/>
        <v>270</v>
      </c>
      <c r="Q45" s="196">
        <f t="shared" si="4"/>
        <v>-4</v>
      </c>
    </row>
    <row r="46" spans="1:17" x14ac:dyDescent="0.25">
      <c r="A46" s="229">
        <f t="shared" ref="A46:B46" si="66">A45+1</f>
        <v>1536</v>
      </c>
      <c r="B46" s="230">
        <f t="shared" si="66"/>
        <v>36</v>
      </c>
      <c r="C46" s="229" t="str">
        <f t="shared" si="6"/>
        <v>21cX08+000_090_09</v>
      </c>
      <c r="D46" s="197">
        <f t="shared" si="26"/>
        <v>7.8000000000000007</v>
      </c>
      <c r="E46" s="204">
        <f t="shared" si="19"/>
        <v>1.603</v>
      </c>
      <c r="F46" s="198">
        <f t="shared" si="27"/>
        <v>20.551282051282051</v>
      </c>
      <c r="G46" s="198">
        <f t="shared" si="20"/>
        <v>16.441025641025643</v>
      </c>
      <c r="H46" s="198">
        <f t="shared" si="21"/>
        <v>10.275641025641026</v>
      </c>
      <c r="I46" s="198">
        <f t="shared" si="50"/>
        <v>8</v>
      </c>
      <c r="J46" s="199">
        <f t="shared" si="50"/>
        <v>0</v>
      </c>
      <c r="K46" s="194" t="str">
        <f t="shared" si="64"/>
        <v>7.8-9</v>
      </c>
      <c r="L46" s="198">
        <f t="shared" si="14"/>
        <v>0.2</v>
      </c>
      <c r="M46" s="49">
        <v>90</v>
      </c>
      <c r="N46" s="198">
        <f t="shared" si="48"/>
        <v>150</v>
      </c>
      <c r="O46" s="198">
        <f t="shared" si="48"/>
        <v>160</v>
      </c>
      <c r="P46" s="198">
        <f t="shared" si="48"/>
        <v>270</v>
      </c>
      <c r="Q46" s="196">
        <f t="shared" si="4"/>
        <v>-4</v>
      </c>
    </row>
    <row r="47" spans="1:17" x14ac:dyDescent="0.25">
      <c r="A47" s="229">
        <f t="shared" ref="A47:B47" si="67">A46+1</f>
        <v>1537</v>
      </c>
      <c r="B47" s="230">
        <f t="shared" si="67"/>
        <v>37</v>
      </c>
      <c r="C47" s="229" t="str">
        <f t="shared" si="6"/>
        <v>21cX08+000_000_10</v>
      </c>
      <c r="D47" s="197">
        <f t="shared" si="26"/>
        <v>7.8000000000000007</v>
      </c>
      <c r="E47" s="204">
        <f t="shared" si="19"/>
        <v>1.603</v>
      </c>
      <c r="F47" s="198">
        <f t="shared" si="27"/>
        <v>20.551282051282051</v>
      </c>
      <c r="G47" s="198">
        <f t="shared" si="20"/>
        <v>16.441025641025643</v>
      </c>
      <c r="H47" s="198">
        <f t="shared" si="21"/>
        <v>10.275641025641026</v>
      </c>
      <c r="I47" s="198">
        <f t="shared" si="50"/>
        <v>8</v>
      </c>
      <c r="J47" s="199">
        <f t="shared" si="50"/>
        <v>0</v>
      </c>
      <c r="K47" s="194" t="str">
        <f>D47&amp;-10</f>
        <v>7.8-10</v>
      </c>
      <c r="L47" s="198">
        <f t="shared" si="14"/>
        <v>0.2</v>
      </c>
      <c r="M47" s="49">
        <v>0</v>
      </c>
      <c r="N47" s="198">
        <f t="shared" si="48"/>
        <v>150</v>
      </c>
      <c r="O47" s="198">
        <f t="shared" si="48"/>
        <v>160</v>
      </c>
      <c r="P47" s="198">
        <f t="shared" si="48"/>
        <v>270</v>
      </c>
      <c r="Q47" s="196">
        <f t="shared" si="4"/>
        <v>-4</v>
      </c>
    </row>
    <row r="48" spans="1:17" x14ac:dyDescent="0.25">
      <c r="A48" s="229">
        <f t="shared" ref="A48:B48" si="68">A47+1</f>
        <v>1538</v>
      </c>
      <c r="B48" s="230">
        <f t="shared" si="68"/>
        <v>38</v>
      </c>
      <c r="C48" s="229" t="str">
        <f t="shared" si="6"/>
        <v>21cX08+000_030_10</v>
      </c>
      <c r="D48" s="197">
        <f t="shared" si="26"/>
        <v>7.8000000000000007</v>
      </c>
      <c r="E48" s="204">
        <f t="shared" si="19"/>
        <v>1.603</v>
      </c>
      <c r="F48" s="198">
        <f t="shared" si="27"/>
        <v>20.551282051282051</v>
      </c>
      <c r="G48" s="198">
        <f t="shared" si="20"/>
        <v>16.441025641025643</v>
      </c>
      <c r="H48" s="198">
        <f t="shared" si="21"/>
        <v>10.275641025641026</v>
      </c>
      <c r="I48" s="198">
        <f t="shared" si="50"/>
        <v>8</v>
      </c>
      <c r="J48" s="199">
        <f t="shared" si="50"/>
        <v>0</v>
      </c>
      <c r="K48" s="194" t="str">
        <f t="shared" ref="K48:K50" si="69">D48&amp;-10</f>
        <v>7.8-10</v>
      </c>
      <c r="L48" s="198">
        <f t="shared" ref="L48:L58" si="70">L47</f>
        <v>0.2</v>
      </c>
      <c r="M48" s="49">
        <v>30</v>
      </c>
      <c r="N48" s="198">
        <f t="shared" ref="N48:P58" si="71">N47</f>
        <v>150</v>
      </c>
      <c r="O48" s="198">
        <f t="shared" si="71"/>
        <v>160</v>
      </c>
      <c r="P48" s="198">
        <f t="shared" si="71"/>
        <v>270</v>
      </c>
      <c r="Q48" s="196">
        <f t="shared" si="4"/>
        <v>-4</v>
      </c>
    </row>
    <row r="49" spans="1:17" x14ac:dyDescent="0.25">
      <c r="A49" s="229">
        <f t="shared" ref="A49:B49" si="72">A48+1</f>
        <v>1539</v>
      </c>
      <c r="B49" s="230">
        <f t="shared" si="72"/>
        <v>39</v>
      </c>
      <c r="C49" s="229" t="str">
        <f t="shared" si="6"/>
        <v>21cX08+000_060_10</v>
      </c>
      <c r="D49" s="197">
        <f t="shared" si="26"/>
        <v>7.8000000000000007</v>
      </c>
      <c r="E49" s="204">
        <f t="shared" si="19"/>
        <v>1.603</v>
      </c>
      <c r="F49" s="198">
        <f t="shared" si="27"/>
        <v>20.551282051282051</v>
      </c>
      <c r="G49" s="198">
        <f t="shared" si="20"/>
        <v>16.441025641025643</v>
      </c>
      <c r="H49" s="198">
        <f t="shared" si="21"/>
        <v>10.275641025641026</v>
      </c>
      <c r="I49" s="198">
        <f t="shared" ref="I49:J58" si="73">I48</f>
        <v>8</v>
      </c>
      <c r="J49" s="199">
        <f t="shared" si="73"/>
        <v>0</v>
      </c>
      <c r="K49" s="194" t="str">
        <f t="shared" si="69"/>
        <v>7.8-10</v>
      </c>
      <c r="L49" s="198">
        <f t="shared" si="70"/>
        <v>0.2</v>
      </c>
      <c r="M49" s="49">
        <v>60</v>
      </c>
      <c r="N49" s="198">
        <f t="shared" si="71"/>
        <v>150</v>
      </c>
      <c r="O49" s="198">
        <f t="shared" si="71"/>
        <v>160</v>
      </c>
      <c r="P49" s="198">
        <f t="shared" si="71"/>
        <v>270</v>
      </c>
      <c r="Q49" s="196">
        <f t="shared" si="4"/>
        <v>-4</v>
      </c>
    </row>
    <row r="50" spans="1:17" x14ac:dyDescent="0.25">
      <c r="A50" s="229">
        <f t="shared" ref="A50:B50" si="74">A49+1</f>
        <v>1540</v>
      </c>
      <c r="B50" s="230">
        <f t="shared" si="74"/>
        <v>40</v>
      </c>
      <c r="C50" s="229" t="str">
        <f t="shared" si="6"/>
        <v>21cX08+000_090_10</v>
      </c>
      <c r="D50" s="197">
        <f t="shared" si="26"/>
        <v>7.8000000000000007</v>
      </c>
      <c r="E50" s="204">
        <f t="shared" si="19"/>
        <v>1.603</v>
      </c>
      <c r="F50" s="198">
        <f t="shared" si="27"/>
        <v>20.551282051282051</v>
      </c>
      <c r="G50" s="198">
        <f t="shared" si="20"/>
        <v>16.441025641025643</v>
      </c>
      <c r="H50" s="198">
        <f t="shared" si="21"/>
        <v>10.275641025641026</v>
      </c>
      <c r="I50" s="198">
        <f t="shared" si="73"/>
        <v>8</v>
      </c>
      <c r="J50" s="199">
        <f t="shared" si="73"/>
        <v>0</v>
      </c>
      <c r="K50" s="194" t="str">
        <f t="shared" si="69"/>
        <v>7.8-10</v>
      </c>
      <c r="L50" s="198">
        <f t="shared" si="70"/>
        <v>0.2</v>
      </c>
      <c r="M50" s="49">
        <v>90</v>
      </c>
      <c r="N50" s="198">
        <f t="shared" si="71"/>
        <v>150</v>
      </c>
      <c r="O50" s="198">
        <f t="shared" si="71"/>
        <v>160</v>
      </c>
      <c r="P50" s="198">
        <f t="shared" si="71"/>
        <v>270</v>
      </c>
      <c r="Q50" s="196">
        <f t="shared" si="4"/>
        <v>-4</v>
      </c>
    </row>
    <row r="51" spans="1:17" x14ac:dyDescent="0.25">
      <c r="A51" s="229">
        <f t="shared" ref="A51:B51" si="75">A50+1</f>
        <v>1541</v>
      </c>
      <c r="B51" s="230">
        <f t="shared" si="75"/>
        <v>41</v>
      </c>
      <c r="C51" s="229" t="str">
        <f t="shared" si="6"/>
        <v>21cX08+000_000_11</v>
      </c>
      <c r="D51" s="197">
        <f t="shared" si="26"/>
        <v>7.8000000000000007</v>
      </c>
      <c r="E51" s="204">
        <f t="shared" si="19"/>
        <v>1.603</v>
      </c>
      <c r="F51" s="198">
        <f t="shared" si="27"/>
        <v>20.551282051282051</v>
      </c>
      <c r="G51" s="198">
        <f t="shared" si="20"/>
        <v>16.441025641025643</v>
      </c>
      <c r="H51" s="198">
        <f t="shared" si="21"/>
        <v>10.275641025641026</v>
      </c>
      <c r="I51" s="198">
        <f t="shared" si="73"/>
        <v>8</v>
      </c>
      <c r="J51" s="199">
        <f t="shared" si="73"/>
        <v>0</v>
      </c>
      <c r="K51" s="194" t="str">
        <f>D51&amp;-11</f>
        <v>7.8-11</v>
      </c>
      <c r="L51" s="198">
        <f t="shared" si="70"/>
        <v>0.2</v>
      </c>
      <c r="M51" s="49">
        <v>0</v>
      </c>
      <c r="N51" s="198">
        <f t="shared" si="71"/>
        <v>150</v>
      </c>
      <c r="O51" s="198">
        <f t="shared" si="71"/>
        <v>160</v>
      </c>
      <c r="P51" s="198">
        <f t="shared" si="71"/>
        <v>270</v>
      </c>
      <c r="Q51" s="196">
        <f t="shared" si="4"/>
        <v>-4</v>
      </c>
    </row>
    <row r="52" spans="1:17" x14ac:dyDescent="0.25">
      <c r="A52" s="229">
        <f t="shared" ref="A52:B52" si="76">A51+1</f>
        <v>1542</v>
      </c>
      <c r="B52" s="230">
        <f t="shared" si="76"/>
        <v>42</v>
      </c>
      <c r="C52" s="229" t="str">
        <f t="shared" si="6"/>
        <v>21cX08+000_030_11</v>
      </c>
      <c r="D52" s="197">
        <f t="shared" si="26"/>
        <v>7.8000000000000007</v>
      </c>
      <c r="E52" s="204">
        <f t="shared" si="19"/>
        <v>1.603</v>
      </c>
      <c r="F52" s="198">
        <f t="shared" si="27"/>
        <v>20.551282051282051</v>
      </c>
      <c r="G52" s="198">
        <f t="shared" si="20"/>
        <v>16.441025641025643</v>
      </c>
      <c r="H52" s="198">
        <f t="shared" si="21"/>
        <v>10.275641025641026</v>
      </c>
      <c r="I52" s="198">
        <f t="shared" si="73"/>
        <v>8</v>
      </c>
      <c r="J52" s="199">
        <f t="shared" si="73"/>
        <v>0</v>
      </c>
      <c r="K52" s="194" t="str">
        <f t="shared" ref="K52:K54" si="77">D52&amp;-11</f>
        <v>7.8-11</v>
      </c>
      <c r="L52" s="198">
        <f t="shared" si="70"/>
        <v>0.2</v>
      </c>
      <c r="M52" s="49">
        <v>30</v>
      </c>
      <c r="N52" s="198">
        <f t="shared" si="71"/>
        <v>150</v>
      </c>
      <c r="O52" s="198">
        <f t="shared" si="71"/>
        <v>160</v>
      </c>
      <c r="P52" s="198">
        <f t="shared" si="71"/>
        <v>270</v>
      </c>
      <c r="Q52" s="196">
        <f t="shared" si="4"/>
        <v>-4</v>
      </c>
    </row>
    <row r="53" spans="1:17" x14ac:dyDescent="0.25">
      <c r="A53" s="229">
        <f t="shared" ref="A53:B53" si="78">A52+1</f>
        <v>1543</v>
      </c>
      <c r="B53" s="230">
        <f t="shared" si="78"/>
        <v>43</v>
      </c>
      <c r="C53" s="229" t="str">
        <f t="shared" si="6"/>
        <v>21cX08+000_060_11</v>
      </c>
      <c r="D53" s="197">
        <f t="shared" si="26"/>
        <v>7.8000000000000007</v>
      </c>
      <c r="E53" s="204">
        <f t="shared" si="19"/>
        <v>1.603</v>
      </c>
      <c r="F53" s="198">
        <f t="shared" si="27"/>
        <v>20.551282051282051</v>
      </c>
      <c r="G53" s="198">
        <f t="shared" si="20"/>
        <v>16.441025641025643</v>
      </c>
      <c r="H53" s="198">
        <f t="shared" si="21"/>
        <v>10.275641025641026</v>
      </c>
      <c r="I53" s="198">
        <f t="shared" si="73"/>
        <v>8</v>
      </c>
      <c r="J53" s="199">
        <f t="shared" si="73"/>
        <v>0</v>
      </c>
      <c r="K53" s="194" t="str">
        <f t="shared" si="77"/>
        <v>7.8-11</v>
      </c>
      <c r="L53" s="198">
        <f t="shared" si="70"/>
        <v>0.2</v>
      </c>
      <c r="M53" s="49">
        <v>60</v>
      </c>
      <c r="N53" s="198">
        <f t="shared" si="71"/>
        <v>150</v>
      </c>
      <c r="O53" s="198">
        <f t="shared" si="71"/>
        <v>160</v>
      </c>
      <c r="P53" s="198">
        <f t="shared" si="71"/>
        <v>270</v>
      </c>
      <c r="Q53" s="196">
        <f t="shared" si="4"/>
        <v>-4</v>
      </c>
    </row>
    <row r="54" spans="1:17" x14ac:dyDescent="0.25">
      <c r="A54" s="229">
        <f t="shared" ref="A54:B54" si="79">A53+1</f>
        <v>1544</v>
      </c>
      <c r="B54" s="230">
        <f t="shared" si="79"/>
        <v>44</v>
      </c>
      <c r="C54" s="229" t="str">
        <f t="shared" si="6"/>
        <v>21cX08+000_090_11</v>
      </c>
      <c r="D54" s="197">
        <f t="shared" si="26"/>
        <v>7.8000000000000007</v>
      </c>
      <c r="E54" s="204">
        <f t="shared" si="19"/>
        <v>1.603</v>
      </c>
      <c r="F54" s="198">
        <f t="shared" si="27"/>
        <v>20.551282051282051</v>
      </c>
      <c r="G54" s="198">
        <f t="shared" si="20"/>
        <v>16.441025641025643</v>
      </c>
      <c r="H54" s="198">
        <f t="shared" si="21"/>
        <v>10.275641025641026</v>
      </c>
      <c r="I54" s="198">
        <f t="shared" si="73"/>
        <v>8</v>
      </c>
      <c r="J54" s="199">
        <f t="shared" si="73"/>
        <v>0</v>
      </c>
      <c r="K54" s="194" t="str">
        <f t="shared" si="77"/>
        <v>7.8-11</v>
      </c>
      <c r="L54" s="198">
        <f t="shared" si="70"/>
        <v>0.2</v>
      </c>
      <c r="M54" s="49">
        <v>90</v>
      </c>
      <c r="N54" s="198">
        <f t="shared" si="71"/>
        <v>150</v>
      </c>
      <c r="O54" s="198">
        <f t="shared" si="71"/>
        <v>160</v>
      </c>
      <c r="P54" s="198">
        <f t="shared" si="71"/>
        <v>270</v>
      </c>
      <c r="Q54" s="196">
        <f t="shared" si="4"/>
        <v>-4</v>
      </c>
    </row>
    <row r="55" spans="1:17" x14ac:dyDescent="0.25">
      <c r="A55" s="229">
        <f t="shared" ref="A55:B55" si="80">A54+1</f>
        <v>1545</v>
      </c>
      <c r="B55" s="230">
        <f t="shared" si="80"/>
        <v>45</v>
      </c>
      <c r="C55" s="229" t="str">
        <f t="shared" si="6"/>
        <v>21cX08+000_000_12</v>
      </c>
      <c r="D55" s="197">
        <f t="shared" si="26"/>
        <v>7.8000000000000007</v>
      </c>
      <c r="E55" s="204">
        <f t="shared" si="19"/>
        <v>1.603</v>
      </c>
      <c r="F55" s="198">
        <f t="shared" si="27"/>
        <v>20.551282051282051</v>
      </c>
      <c r="G55" s="198">
        <f t="shared" si="20"/>
        <v>16.441025641025643</v>
      </c>
      <c r="H55" s="198">
        <f t="shared" si="21"/>
        <v>10.275641025641026</v>
      </c>
      <c r="I55" s="198">
        <f t="shared" si="73"/>
        <v>8</v>
      </c>
      <c r="J55" s="199">
        <f t="shared" si="73"/>
        <v>0</v>
      </c>
      <c r="K55" s="194" t="str">
        <f>D55&amp;-12</f>
        <v>7.8-12</v>
      </c>
      <c r="L55" s="198">
        <f t="shared" si="70"/>
        <v>0.2</v>
      </c>
      <c r="M55" s="49">
        <v>0</v>
      </c>
      <c r="N55" s="198">
        <f t="shared" si="71"/>
        <v>150</v>
      </c>
      <c r="O55" s="198">
        <f t="shared" si="71"/>
        <v>160</v>
      </c>
      <c r="P55" s="198">
        <f t="shared" si="71"/>
        <v>270</v>
      </c>
      <c r="Q55" s="196">
        <f t="shared" si="4"/>
        <v>-4</v>
      </c>
    </row>
    <row r="56" spans="1:17" x14ac:dyDescent="0.25">
      <c r="A56" s="229">
        <f t="shared" ref="A56:B56" si="81">A55+1</f>
        <v>1546</v>
      </c>
      <c r="B56" s="230">
        <f t="shared" si="81"/>
        <v>46</v>
      </c>
      <c r="C56" s="229" t="str">
        <f t="shared" si="6"/>
        <v>21cX08+000_030_12</v>
      </c>
      <c r="D56" s="197">
        <f t="shared" si="26"/>
        <v>7.8000000000000007</v>
      </c>
      <c r="E56" s="204">
        <f t="shared" si="19"/>
        <v>1.603</v>
      </c>
      <c r="F56" s="198">
        <f t="shared" si="27"/>
        <v>20.551282051282051</v>
      </c>
      <c r="G56" s="198">
        <f t="shared" si="20"/>
        <v>16.441025641025643</v>
      </c>
      <c r="H56" s="198">
        <f t="shared" si="21"/>
        <v>10.275641025641026</v>
      </c>
      <c r="I56" s="198">
        <f t="shared" si="73"/>
        <v>8</v>
      </c>
      <c r="J56" s="199">
        <f t="shared" si="73"/>
        <v>0</v>
      </c>
      <c r="K56" s="194" t="str">
        <f t="shared" ref="K56:K58" si="82">D56&amp;-12</f>
        <v>7.8-12</v>
      </c>
      <c r="L56" s="198">
        <f t="shared" si="70"/>
        <v>0.2</v>
      </c>
      <c r="M56" s="49">
        <v>30</v>
      </c>
      <c r="N56" s="198">
        <f t="shared" si="71"/>
        <v>150</v>
      </c>
      <c r="O56" s="198">
        <f t="shared" si="71"/>
        <v>160</v>
      </c>
      <c r="P56" s="198">
        <f t="shared" si="71"/>
        <v>270</v>
      </c>
      <c r="Q56" s="196">
        <f t="shared" si="4"/>
        <v>-4</v>
      </c>
    </row>
    <row r="57" spans="1:17" x14ac:dyDescent="0.25">
      <c r="A57" s="229">
        <f t="shared" ref="A57:B57" si="83">A56+1</f>
        <v>1547</v>
      </c>
      <c r="B57" s="230">
        <f t="shared" si="83"/>
        <v>47</v>
      </c>
      <c r="C57" s="229" t="str">
        <f t="shared" si="6"/>
        <v>21cX08+000_060_12</v>
      </c>
      <c r="D57" s="197">
        <f t="shared" si="26"/>
        <v>7.8000000000000007</v>
      </c>
      <c r="E57" s="204">
        <f t="shared" si="19"/>
        <v>1.603</v>
      </c>
      <c r="F57" s="198">
        <f t="shared" si="27"/>
        <v>20.551282051282051</v>
      </c>
      <c r="G57" s="198">
        <f t="shared" si="20"/>
        <v>16.441025641025643</v>
      </c>
      <c r="H57" s="198">
        <f t="shared" si="21"/>
        <v>10.275641025641026</v>
      </c>
      <c r="I57" s="198">
        <f t="shared" si="73"/>
        <v>8</v>
      </c>
      <c r="J57" s="199">
        <f t="shared" si="73"/>
        <v>0</v>
      </c>
      <c r="K57" s="194" t="str">
        <f t="shared" si="82"/>
        <v>7.8-12</v>
      </c>
      <c r="L57" s="198">
        <f t="shared" si="70"/>
        <v>0.2</v>
      </c>
      <c r="M57" s="49">
        <v>60</v>
      </c>
      <c r="N57" s="198">
        <f t="shared" si="71"/>
        <v>150</v>
      </c>
      <c r="O57" s="198">
        <f t="shared" si="71"/>
        <v>160</v>
      </c>
      <c r="P57" s="198">
        <f t="shared" si="71"/>
        <v>270</v>
      </c>
      <c r="Q57" s="196">
        <f t="shared" si="4"/>
        <v>-4</v>
      </c>
    </row>
    <row r="58" spans="1:17" x14ac:dyDescent="0.25">
      <c r="A58" s="229">
        <f t="shared" ref="A58:B58" si="84">A57+1</f>
        <v>1548</v>
      </c>
      <c r="B58" s="230">
        <f t="shared" si="84"/>
        <v>48</v>
      </c>
      <c r="C58" s="229" t="str">
        <f t="shared" si="6"/>
        <v>21cX08+000_090_12</v>
      </c>
      <c r="D58" s="197">
        <f t="shared" si="26"/>
        <v>7.8000000000000007</v>
      </c>
      <c r="E58" s="204">
        <f t="shared" si="19"/>
        <v>1.603</v>
      </c>
      <c r="F58" s="198">
        <f t="shared" si="27"/>
        <v>20.551282051282051</v>
      </c>
      <c r="G58" s="198">
        <f t="shared" si="20"/>
        <v>16.441025641025643</v>
      </c>
      <c r="H58" s="198">
        <f t="shared" si="21"/>
        <v>10.275641025641026</v>
      </c>
      <c r="I58" s="198">
        <f t="shared" si="73"/>
        <v>8</v>
      </c>
      <c r="J58" s="199">
        <f t="shared" si="73"/>
        <v>0</v>
      </c>
      <c r="K58" s="194" t="str">
        <f t="shared" si="82"/>
        <v>7.8-12</v>
      </c>
      <c r="L58" s="198">
        <f t="shared" si="70"/>
        <v>0.2</v>
      </c>
      <c r="M58" s="49">
        <v>90</v>
      </c>
      <c r="N58" s="198">
        <f t="shared" si="71"/>
        <v>150</v>
      </c>
      <c r="O58" s="198">
        <f t="shared" si="71"/>
        <v>160</v>
      </c>
      <c r="P58" s="198">
        <f t="shared" si="71"/>
        <v>270</v>
      </c>
      <c r="Q58" s="196">
        <f t="shared" si="4"/>
        <v>-4</v>
      </c>
    </row>
    <row r="59" spans="1:17" x14ac:dyDescent="0.25">
      <c r="A59" s="229">
        <f t="shared" ref="A59:B59" si="85">A58+1</f>
        <v>1549</v>
      </c>
      <c r="B59" s="230">
        <f t="shared" si="85"/>
        <v>49</v>
      </c>
      <c r="C59" s="229" t="str">
        <f t="shared" si="6"/>
        <v>21cX10+000_000_01</v>
      </c>
      <c r="D59" s="197">
        <f t="shared" ref="D59:D62" si="86">v_r</f>
        <v>9.8000000000000007</v>
      </c>
      <c r="E59" s="204">
        <f t="shared" ref="E59" si="87">I_ref*(0.75*D59+5.6)</f>
        <v>1.8130000000000002</v>
      </c>
      <c r="F59" s="198">
        <f>E59/D59*100</f>
        <v>18.5</v>
      </c>
      <c r="G59" s="198">
        <f t="shared" ref="G59" si="88">m_ty*F59</f>
        <v>14.8</v>
      </c>
      <c r="H59" s="198">
        <f t="shared" ref="H59" si="89">m_tz*F59</f>
        <v>9.25</v>
      </c>
      <c r="I59" s="198">
        <f>inflow</f>
        <v>8</v>
      </c>
      <c r="J59" s="199">
        <f>yaw_null</f>
        <v>0</v>
      </c>
      <c r="K59" s="194" t="str">
        <f>D59&amp;-1</f>
        <v>9.8-1</v>
      </c>
      <c r="L59" s="198">
        <f>alpha_n</f>
        <v>0.2</v>
      </c>
      <c r="M59" s="49">
        <v>0</v>
      </c>
      <c r="N59" s="198">
        <f>t_out</f>
        <v>150</v>
      </c>
      <c r="O59" s="198">
        <f>trig_t</f>
        <v>160</v>
      </c>
      <c r="P59" s="198">
        <f>N59+2*T_s2</f>
        <v>270</v>
      </c>
      <c r="Q59" s="196">
        <f t="shared" ref="Q59:Q106" si="90">1*pitch_runaway_fine</f>
        <v>-4</v>
      </c>
    </row>
    <row r="60" spans="1:17" x14ac:dyDescent="0.25">
      <c r="A60" s="229">
        <f t="shared" ref="A60:B60" si="91">A59+1</f>
        <v>1550</v>
      </c>
      <c r="B60" s="230">
        <f t="shared" si="91"/>
        <v>50</v>
      </c>
      <c r="C60" s="229" t="str">
        <f t="shared" si="6"/>
        <v>21cX10+000_030_01</v>
      </c>
      <c r="D60" s="197">
        <f t="shared" si="86"/>
        <v>9.8000000000000007</v>
      </c>
      <c r="E60" s="204">
        <f t="shared" ref="E60:E106" si="92">I_ref*(0.75*D60+5.6)</f>
        <v>1.8130000000000002</v>
      </c>
      <c r="F60" s="198">
        <f t="shared" ref="F60:F64" si="93">E60/D60*100</f>
        <v>18.5</v>
      </c>
      <c r="G60" s="198">
        <f t="shared" ref="G60:G106" si="94">m_ty*F60</f>
        <v>14.8</v>
      </c>
      <c r="H60" s="198">
        <f t="shared" ref="H60:H106" si="95">m_tz*F60</f>
        <v>9.25</v>
      </c>
      <c r="I60" s="198">
        <f t="shared" ref="I60:J71" si="96">I59</f>
        <v>8</v>
      </c>
      <c r="J60" s="199">
        <f t="shared" si="96"/>
        <v>0</v>
      </c>
      <c r="K60" s="194" t="str">
        <f t="shared" ref="K60:K62" si="97">D60&amp;-1</f>
        <v>9.8-1</v>
      </c>
      <c r="L60" s="198">
        <f t="shared" ref="L60:P71" si="98">L59</f>
        <v>0.2</v>
      </c>
      <c r="M60" s="49">
        <v>30</v>
      </c>
      <c r="N60" s="198">
        <f t="shared" si="98"/>
        <v>150</v>
      </c>
      <c r="O60" s="198">
        <f t="shared" si="98"/>
        <v>160</v>
      </c>
      <c r="P60" s="198">
        <f t="shared" si="98"/>
        <v>270</v>
      </c>
      <c r="Q60" s="196">
        <f t="shared" si="90"/>
        <v>-4</v>
      </c>
    </row>
    <row r="61" spans="1:17" x14ac:dyDescent="0.25">
      <c r="A61" s="229">
        <f t="shared" ref="A61:B61" si="99">A60+1</f>
        <v>1551</v>
      </c>
      <c r="B61" s="230">
        <f t="shared" si="99"/>
        <v>51</v>
      </c>
      <c r="C61" s="229" t="str">
        <f t="shared" si="6"/>
        <v>21cX10+000_060_01</v>
      </c>
      <c r="D61" s="197">
        <f t="shared" si="86"/>
        <v>9.8000000000000007</v>
      </c>
      <c r="E61" s="204">
        <f t="shared" si="92"/>
        <v>1.8130000000000002</v>
      </c>
      <c r="F61" s="198">
        <f t="shared" si="93"/>
        <v>18.5</v>
      </c>
      <c r="G61" s="198">
        <f t="shared" si="94"/>
        <v>14.8</v>
      </c>
      <c r="H61" s="198">
        <f t="shared" si="95"/>
        <v>9.25</v>
      </c>
      <c r="I61" s="198">
        <f t="shared" si="96"/>
        <v>8</v>
      </c>
      <c r="J61" s="199">
        <f t="shared" si="96"/>
        <v>0</v>
      </c>
      <c r="K61" s="194" t="str">
        <f t="shared" si="97"/>
        <v>9.8-1</v>
      </c>
      <c r="L61" s="198">
        <f t="shared" si="98"/>
        <v>0.2</v>
      </c>
      <c r="M61" s="49">
        <v>60</v>
      </c>
      <c r="N61" s="198">
        <f t="shared" si="98"/>
        <v>150</v>
      </c>
      <c r="O61" s="198">
        <f t="shared" si="98"/>
        <v>160</v>
      </c>
      <c r="P61" s="198">
        <f t="shared" si="98"/>
        <v>270</v>
      </c>
      <c r="Q61" s="196">
        <f t="shared" si="90"/>
        <v>-4</v>
      </c>
    </row>
    <row r="62" spans="1:17" x14ac:dyDescent="0.25">
      <c r="A62" s="229">
        <f t="shared" ref="A62:B62" si="100">A61+1</f>
        <v>1552</v>
      </c>
      <c r="B62" s="230">
        <f t="shared" si="100"/>
        <v>52</v>
      </c>
      <c r="C62" s="229" t="str">
        <f t="shared" si="6"/>
        <v>21cX10+000_090_01</v>
      </c>
      <c r="D62" s="197">
        <f t="shared" si="86"/>
        <v>9.8000000000000007</v>
      </c>
      <c r="E62" s="204">
        <f t="shared" si="92"/>
        <v>1.8130000000000002</v>
      </c>
      <c r="F62" s="198">
        <f t="shared" si="93"/>
        <v>18.5</v>
      </c>
      <c r="G62" s="198">
        <f t="shared" si="94"/>
        <v>14.8</v>
      </c>
      <c r="H62" s="198">
        <f t="shared" si="95"/>
        <v>9.25</v>
      </c>
      <c r="I62" s="198">
        <f t="shared" si="96"/>
        <v>8</v>
      </c>
      <c r="J62" s="199">
        <f t="shared" si="96"/>
        <v>0</v>
      </c>
      <c r="K62" s="194" t="str">
        <f t="shared" si="97"/>
        <v>9.8-1</v>
      </c>
      <c r="L62" s="198">
        <f t="shared" si="98"/>
        <v>0.2</v>
      </c>
      <c r="M62" s="49">
        <v>90</v>
      </c>
      <c r="N62" s="198">
        <f t="shared" si="98"/>
        <v>150</v>
      </c>
      <c r="O62" s="198">
        <f t="shared" si="98"/>
        <v>160</v>
      </c>
      <c r="P62" s="198">
        <f t="shared" si="98"/>
        <v>270</v>
      </c>
      <c r="Q62" s="196">
        <f t="shared" si="90"/>
        <v>-4</v>
      </c>
    </row>
    <row r="63" spans="1:17" x14ac:dyDescent="0.25">
      <c r="A63" s="229">
        <f t="shared" ref="A63:B63" si="101">A62+1</f>
        <v>1553</v>
      </c>
      <c r="B63" s="230">
        <f t="shared" si="101"/>
        <v>53</v>
      </c>
      <c r="C63" s="229" t="str">
        <f t="shared" si="6"/>
        <v>21cX10+000_000_02</v>
      </c>
      <c r="D63" s="197">
        <f t="shared" ref="D63:D106" si="102">v_r</f>
        <v>9.8000000000000007</v>
      </c>
      <c r="E63" s="204">
        <f t="shared" si="92"/>
        <v>1.8130000000000002</v>
      </c>
      <c r="F63" s="198">
        <f t="shared" si="93"/>
        <v>18.5</v>
      </c>
      <c r="G63" s="198">
        <f t="shared" si="94"/>
        <v>14.8</v>
      </c>
      <c r="H63" s="198">
        <f t="shared" si="95"/>
        <v>9.25</v>
      </c>
      <c r="I63" s="198">
        <f t="shared" si="96"/>
        <v>8</v>
      </c>
      <c r="J63" s="199">
        <f t="shared" si="96"/>
        <v>0</v>
      </c>
      <c r="K63" s="194" t="str">
        <f>D63&amp;-2</f>
        <v>9.8-2</v>
      </c>
      <c r="L63" s="198">
        <f t="shared" si="98"/>
        <v>0.2</v>
      </c>
      <c r="M63" s="49">
        <v>0</v>
      </c>
      <c r="N63" s="198">
        <f t="shared" si="98"/>
        <v>150</v>
      </c>
      <c r="O63" s="198">
        <f t="shared" si="98"/>
        <v>160</v>
      </c>
      <c r="P63" s="198">
        <f t="shared" si="98"/>
        <v>270</v>
      </c>
      <c r="Q63" s="196">
        <f t="shared" si="90"/>
        <v>-4</v>
      </c>
    </row>
    <row r="64" spans="1:17" x14ac:dyDescent="0.25">
      <c r="A64" s="229">
        <f t="shared" ref="A64:B64" si="103">A63+1</f>
        <v>1554</v>
      </c>
      <c r="B64" s="230">
        <f t="shared" si="103"/>
        <v>54</v>
      </c>
      <c r="C64" s="229" t="str">
        <f t="shared" si="6"/>
        <v>21cX10+000_030_02</v>
      </c>
      <c r="D64" s="197">
        <f t="shared" si="102"/>
        <v>9.8000000000000007</v>
      </c>
      <c r="E64" s="204">
        <f t="shared" si="92"/>
        <v>1.8130000000000002</v>
      </c>
      <c r="F64" s="198">
        <f t="shared" si="93"/>
        <v>18.5</v>
      </c>
      <c r="G64" s="198">
        <f t="shared" si="94"/>
        <v>14.8</v>
      </c>
      <c r="H64" s="198">
        <f t="shared" si="95"/>
        <v>9.25</v>
      </c>
      <c r="I64" s="198">
        <f t="shared" si="96"/>
        <v>8</v>
      </c>
      <c r="J64" s="199">
        <f t="shared" si="96"/>
        <v>0</v>
      </c>
      <c r="K64" s="194" t="str">
        <f t="shared" ref="K64:K66" si="104">D64&amp;-2</f>
        <v>9.8-2</v>
      </c>
      <c r="L64" s="198">
        <f t="shared" si="98"/>
        <v>0.2</v>
      </c>
      <c r="M64" s="49">
        <v>30</v>
      </c>
      <c r="N64" s="198">
        <f t="shared" si="98"/>
        <v>150</v>
      </c>
      <c r="O64" s="198">
        <f t="shared" si="98"/>
        <v>160</v>
      </c>
      <c r="P64" s="198">
        <f t="shared" si="98"/>
        <v>270</v>
      </c>
      <c r="Q64" s="196">
        <f t="shared" si="90"/>
        <v>-4</v>
      </c>
    </row>
    <row r="65" spans="1:17" x14ac:dyDescent="0.25">
      <c r="A65" s="229">
        <f t="shared" ref="A65:B65" si="105">A64+1</f>
        <v>1555</v>
      </c>
      <c r="B65" s="230">
        <f t="shared" si="105"/>
        <v>55</v>
      </c>
      <c r="C65" s="229" t="str">
        <f t="shared" si="6"/>
        <v>21cX10+000_060_02</v>
      </c>
      <c r="D65" s="197">
        <f t="shared" si="102"/>
        <v>9.8000000000000007</v>
      </c>
      <c r="E65" s="204">
        <f t="shared" si="92"/>
        <v>1.8130000000000002</v>
      </c>
      <c r="F65" s="198">
        <f t="shared" ref="F65:F106" si="106">E65/D65*100</f>
        <v>18.5</v>
      </c>
      <c r="G65" s="198">
        <f t="shared" si="94"/>
        <v>14.8</v>
      </c>
      <c r="H65" s="198">
        <f t="shared" si="95"/>
        <v>9.25</v>
      </c>
      <c r="I65" s="198">
        <f t="shared" si="96"/>
        <v>8</v>
      </c>
      <c r="J65" s="199">
        <f t="shared" si="96"/>
        <v>0</v>
      </c>
      <c r="K65" s="194" t="str">
        <f t="shared" si="104"/>
        <v>9.8-2</v>
      </c>
      <c r="L65" s="198">
        <f t="shared" si="98"/>
        <v>0.2</v>
      </c>
      <c r="M65" s="49">
        <v>60</v>
      </c>
      <c r="N65" s="198">
        <f t="shared" si="98"/>
        <v>150</v>
      </c>
      <c r="O65" s="198">
        <f t="shared" si="98"/>
        <v>160</v>
      </c>
      <c r="P65" s="198">
        <f t="shared" si="98"/>
        <v>270</v>
      </c>
      <c r="Q65" s="196">
        <f t="shared" si="90"/>
        <v>-4</v>
      </c>
    </row>
    <row r="66" spans="1:17" x14ac:dyDescent="0.25">
      <c r="A66" s="229">
        <f t="shared" ref="A66:B66" si="107">A65+1</f>
        <v>1556</v>
      </c>
      <c r="B66" s="230">
        <f t="shared" si="107"/>
        <v>56</v>
      </c>
      <c r="C66" s="229" t="str">
        <f t="shared" si="6"/>
        <v>21cX10+000_090_02</v>
      </c>
      <c r="D66" s="197">
        <f t="shared" si="102"/>
        <v>9.8000000000000007</v>
      </c>
      <c r="E66" s="204">
        <f t="shared" si="92"/>
        <v>1.8130000000000002</v>
      </c>
      <c r="F66" s="198">
        <f t="shared" si="106"/>
        <v>18.5</v>
      </c>
      <c r="G66" s="198">
        <f t="shared" si="94"/>
        <v>14.8</v>
      </c>
      <c r="H66" s="198">
        <f t="shared" si="95"/>
        <v>9.25</v>
      </c>
      <c r="I66" s="198">
        <f t="shared" si="96"/>
        <v>8</v>
      </c>
      <c r="J66" s="199">
        <f t="shared" si="96"/>
        <v>0</v>
      </c>
      <c r="K66" s="194" t="str">
        <f t="shared" si="104"/>
        <v>9.8-2</v>
      </c>
      <c r="L66" s="198">
        <f t="shared" si="98"/>
        <v>0.2</v>
      </c>
      <c r="M66" s="49">
        <v>90</v>
      </c>
      <c r="N66" s="198">
        <f t="shared" si="98"/>
        <v>150</v>
      </c>
      <c r="O66" s="198">
        <f t="shared" si="98"/>
        <v>160</v>
      </c>
      <c r="P66" s="198">
        <f t="shared" si="98"/>
        <v>270</v>
      </c>
      <c r="Q66" s="196">
        <f t="shared" si="90"/>
        <v>-4</v>
      </c>
    </row>
    <row r="67" spans="1:17" x14ac:dyDescent="0.25">
      <c r="A67" s="229">
        <f t="shared" ref="A67:B67" si="108">A66+1</f>
        <v>1557</v>
      </c>
      <c r="B67" s="230">
        <f t="shared" si="108"/>
        <v>57</v>
      </c>
      <c r="C67" s="229" t="str">
        <f t="shared" si="6"/>
        <v>21cX10+000_000_03</v>
      </c>
      <c r="D67" s="197">
        <f t="shared" si="102"/>
        <v>9.8000000000000007</v>
      </c>
      <c r="E67" s="204">
        <f t="shared" si="92"/>
        <v>1.8130000000000002</v>
      </c>
      <c r="F67" s="198">
        <f t="shared" si="106"/>
        <v>18.5</v>
      </c>
      <c r="G67" s="198">
        <f t="shared" si="94"/>
        <v>14.8</v>
      </c>
      <c r="H67" s="198">
        <f t="shared" si="95"/>
        <v>9.25</v>
      </c>
      <c r="I67" s="198">
        <f t="shared" si="96"/>
        <v>8</v>
      </c>
      <c r="J67" s="199">
        <f t="shared" si="96"/>
        <v>0</v>
      </c>
      <c r="K67" s="194" t="str">
        <f>D67&amp;-3</f>
        <v>9.8-3</v>
      </c>
      <c r="L67" s="198">
        <f t="shared" si="98"/>
        <v>0.2</v>
      </c>
      <c r="M67" s="49">
        <v>0</v>
      </c>
      <c r="N67" s="198">
        <f t="shared" si="98"/>
        <v>150</v>
      </c>
      <c r="O67" s="198">
        <f t="shared" si="98"/>
        <v>160</v>
      </c>
      <c r="P67" s="198">
        <f t="shared" si="98"/>
        <v>270</v>
      </c>
      <c r="Q67" s="196">
        <f t="shared" si="90"/>
        <v>-4</v>
      </c>
    </row>
    <row r="68" spans="1:17" x14ac:dyDescent="0.25">
      <c r="A68" s="229">
        <f t="shared" ref="A68:B68" si="109">A67+1</f>
        <v>1558</v>
      </c>
      <c r="B68" s="230">
        <f t="shared" si="109"/>
        <v>58</v>
      </c>
      <c r="C68" s="229" t="str">
        <f t="shared" si="6"/>
        <v>21cX10+000_030_03</v>
      </c>
      <c r="D68" s="197">
        <f t="shared" si="102"/>
        <v>9.8000000000000007</v>
      </c>
      <c r="E68" s="204">
        <f t="shared" si="92"/>
        <v>1.8130000000000002</v>
      </c>
      <c r="F68" s="198">
        <f t="shared" si="106"/>
        <v>18.5</v>
      </c>
      <c r="G68" s="198">
        <f t="shared" si="94"/>
        <v>14.8</v>
      </c>
      <c r="H68" s="198">
        <f t="shared" si="95"/>
        <v>9.25</v>
      </c>
      <c r="I68" s="198">
        <f t="shared" si="96"/>
        <v>8</v>
      </c>
      <c r="J68" s="199">
        <f t="shared" si="96"/>
        <v>0</v>
      </c>
      <c r="K68" s="194" t="str">
        <f t="shared" ref="K68:K70" si="110">D68&amp;-3</f>
        <v>9.8-3</v>
      </c>
      <c r="L68" s="198">
        <f t="shared" si="98"/>
        <v>0.2</v>
      </c>
      <c r="M68" s="49">
        <v>30</v>
      </c>
      <c r="N68" s="198">
        <f t="shared" si="98"/>
        <v>150</v>
      </c>
      <c r="O68" s="198">
        <f t="shared" si="98"/>
        <v>160</v>
      </c>
      <c r="P68" s="198">
        <f t="shared" si="98"/>
        <v>270</v>
      </c>
      <c r="Q68" s="196">
        <f t="shared" si="90"/>
        <v>-4</v>
      </c>
    </row>
    <row r="69" spans="1:17" x14ac:dyDescent="0.25">
      <c r="A69" s="229">
        <f t="shared" ref="A69:B69" si="111">A68+1</f>
        <v>1559</v>
      </c>
      <c r="B69" s="230">
        <f t="shared" si="111"/>
        <v>59</v>
      </c>
      <c r="C69" s="229" t="str">
        <f t="shared" si="6"/>
        <v>21cX10+000_060_03</v>
      </c>
      <c r="D69" s="197">
        <f t="shared" si="102"/>
        <v>9.8000000000000007</v>
      </c>
      <c r="E69" s="204">
        <f t="shared" si="92"/>
        <v>1.8130000000000002</v>
      </c>
      <c r="F69" s="198">
        <f t="shared" si="106"/>
        <v>18.5</v>
      </c>
      <c r="G69" s="198">
        <f t="shared" si="94"/>
        <v>14.8</v>
      </c>
      <c r="H69" s="198">
        <f t="shared" si="95"/>
        <v>9.25</v>
      </c>
      <c r="I69" s="198">
        <f t="shared" si="96"/>
        <v>8</v>
      </c>
      <c r="J69" s="199">
        <f t="shared" si="96"/>
        <v>0</v>
      </c>
      <c r="K69" s="194" t="str">
        <f t="shared" si="110"/>
        <v>9.8-3</v>
      </c>
      <c r="L69" s="198">
        <f t="shared" si="98"/>
        <v>0.2</v>
      </c>
      <c r="M69" s="49">
        <v>60</v>
      </c>
      <c r="N69" s="198">
        <f t="shared" si="98"/>
        <v>150</v>
      </c>
      <c r="O69" s="198">
        <f t="shared" si="98"/>
        <v>160</v>
      </c>
      <c r="P69" s="198">
        <f t="shared" si="98"/>
        <v>270</v>
      </c>
      <c r="Q69" s="196">
        <f t="shared" si="90"/>
        <v>-4</v>
      </c>
    </row>
    <row r="70" spans="1:17" x14ac:dyDescent="0.25">
      <c r="A70" s="229">
        <f t="shared" ref="A70:B70" si="112">A69+1</f>
        <v>1560</v>
      </c>
      <c r="B70" s="230">
        <f t="shared" si="112"/>
        <v>60</v>
      </c>
      <c r="C70" s="229" t="str">
        <f t="shared" si="6"/>
        <v>21cX10+000_090_03</v>
      </c>
      <c r="D70" s="197">
        <f t="shared" si="102"/>
        <v>9.8000000000000007</v>
      </c>
      <c r="E70" s="204">
        <f t="shared" si="92"/>
        <v>1.8130000000000002</v>
      </c>
      <c r="F70" s="198">
        <f t="shared" si="106"/>
        <v>18.5</v>
      </c>
      <c r="G70" s="198">
        <f t="shared" si="94"/>
        <v>14.8</v>
      </c>
      <c r="H70" s="198">
        <f t="shared" si="95"/>
        <v>9.25</v>
      </c>
      <c r="I70" s="198">
        <f t="shared" si="96"/>
        <v>8</v>
      </c>
      <c r="J70" s="199">
        <f t="shared" si="96"/>
        <v>0</v>
      </c>
      <c r="K70" s="194" t="str">
        <f t="shared" si="110"/>
        <v>9.8-3</v>
      </c>
      <c r="L70" s="198">
        <f t="shared" si="98"/>
        <v>0.2</v>
      </c>
      <c r="M70" s="49">
        <v>90</v>
      </c>
      <c r="N70" s="198">
        <f t="shared" si="98"/>
        <v>150</v>
      </c>
      <c r="O70" s="198">
        <f t="shared" si="98"/>
        <v>160</v>
      </c>
      <c r="P70" s="198">
        <f t="shared" si="98"/>
        <v>270</v>
      </c>
      <c r="Q70" s="196">
        <f t="shared" si="90"/>
        <v>-4</v>
      </c>
    </row>
    <row r="71" spans="1:17" x14ac:dyDescent="0.25">
      <c r="A71" s="229">
        <f t="shared" ref="A71:B71" si="113">A70+1</f>
        <v>1561</v>
      </c>
      <c r="B71" s="230">
        <f t="shared" si="113"/>
        <v>61</v>
      </c>
      <c r="C71" s="229" t="str">
        <f t="shared" si="6"/>
        <v>21cX10+000_000_04</v>
      </c>
      <c r="D71" s="197">
        <f t="shared" si="102"/>
        <v>9.8000000000000007</v>
      </c>
      <c r="E71" s="204">
        <f t="shared" si="92"/>
        <v>1.8130000000000002</v>
      </c>
      <c r="F71" s="198">
        <f t="shared" si="106"/>
        <v>18.5</v>
      </c>
      <c r="G71" s="198">
        <f t="shared" si="94"/>
        <v>14.8</v>
      </c>
      <c r="H71" s="198">
        <f t="shared" si="95"/>
        <v>9.25</v>
      </c>
      <c r="I71" s="198">
        <f t="shared" si="96"/>
        <v>8</v>
      </c>
      <c r="J71" s="199">
        <f t="shared" si="96"/>
        <v>0</v>
      </c>
      <c r="K71" s="194" t="str">
        <f>D71&amp;-4</f>
        <v>9.8-4</v>
      </c>
      <c r="L71" s="198">
        <f t="shared" si="98"/>
        <v>0.2</v>
      </c>
      <c r="M71" s="49">
        <v>0</v>
      </c>
      <c r="N71" s="198">
        <f t="shared" si="98"/>
        <v>150</v>
      </c>
      <c r="O71" s="198">
        <f t="shared" si="98"/>
        <v>160</v>
      </c>
      <c r="P71" s="198">
        <f t="shared" si="98"/>
        <v>270</v>
      </c>
      <c r="Q71" s="196">
        <f t="shared" si="90"/>
        <v>-4</v>
      </c>
    </row>
    <row r="72" spans="1:17" x14ac:dyDescent="0.25">
      <c r="A72" s="229">
        <f t="shared" ref="A72:B72" si="114">A71+1</f>
        <v>1562</v>
      </c>
      <c r="B72" s="230">
        <f t="shared" si="114"/>
        <v>62</v>
      </c>
      <c r="C72" s="229" t="str">
        <f t="shared" si="6"/>
        <v>21cX10+000_030_04</v>
      </c>
      <c r="D72" s="197">
        <f t="shared" si="102"/>
        <v>9.8000000000000007</v>
      </c>
      <c r="E72" s="204">
        <f t="shared" si="92"/>
        <v>1.8130000000000002</v>
      </c>
      <c r="F72" s="198">
        <f t="shared" si="106"/>
        <v>18.5</v>
      </c>
      <c r="G72" s="198">
        <f t="shared" si="94"/>
        <v>14.8</v>
      </c>
      <c r="H72" s="198">
        <f t="shared" si="95"/>
        <v>9.25</v>
      </c>
      <c r="I72" s="198">
        <f t="shared" ref="I72:J83" si="115">I71</f>
        <v>8</v>
      </c>
      <c r="J72" s="199">
        <f t="shared" si="115"/>
        <v>0</v>
      </c>
      <c r="K72" s="194" t="str">
        <f t="shared" ref="K72:K74" si="116">D72&amp;-4</f>
        <v>9.8-4</v>
      </c>
      <c r="L72" s="198">
        <f t="shared" ref="L72:L83" si="117">L71</f>
        <v>0.2</v>
      </c>
      <c r="M72" s="49">
        <v>30</v>
      </c>
      <c r="N72" s="198">
        <f t="shared" ref="N72:P83" si="118">N71</f>
        <v>150</v>
      </c>
      <c r="O72" s="198">
        <f t="shared" si="118"/>
        <v>160</v>
      </c>
      <c r="P72" s="198">
        <f t="shared" si="118"/>
        <v>270</v>
      </c>
      <c r="Q72" s="196">
        <f t="shared" si="90"/>
        <v>-4</v>
      </c>
    </row>
    <row r="73" spans="1:17" x14ac:dyDescent="0.25">
      <c r="A73" s="229">
        <f t="shared" ref="A73:B73" si="119">A72+1</f>
        <v>1563</v>
      </c>
      <c r="B73" s="230">
        <f t="shared" si="119"/>
        <v>63</v>
      </c>
      <c r="C73" s="229" t="str">
        <f t="shared" si="6"/>
        <v>21cX10+000_060_04</v>
      </c>
      <c r="D73" s="197">
        <f t="shared" si="102"/>
        <v>9.8000000000000007</v>
      </c>
      <c r="E73" s="204">
        <f t="shared" si="92"/>
        <v>1.8130000000000002</v>
      </c>
      <c r="F73" s="198">
        <f t="shared" si="106"/>
        <v>18.5</v>
      </c>
      <c r="G73" s="198">
        <f t="shared" si="94"/>
        <v>14.8</v>
      </c>
      <c r="H73" s="198">
        <f t="shared" si="95"/>
        <v>9.25</v>
      </c>
      <c r="I73" s="198">
        <f t="shared" si="115"/>
        <v>8</v>
      </c>
      <c r="J73" s="199">
        <f t="shared" si="115"/>
        <v>0</v>
      </c>
      <c r="K73" s="194" t="str">
        <f t="shared" si="116"/>
        <v>9.8-4</v>
      </c>
      <c r="L73" s="198">
        <f t="shared" si="117"/>
        <v>0.2</v>
      </c>
      <c r="M73" s="49">
        <v>60</v>
      </c>
      <c r="N73" s="198">
        <f t="shared" si="118"/>
        <v>150</v>
      </c>
      <c r="O73" s="198">
        <f t="shared" si="118"/>
        <v>160</v>
      </c>
      <c r="P73" s="198">
        <f t="shared" si="118"/>
        <v>270</v>
      </c>
      <c r="Q73" s="196">
        <f t="shared" si="90"/>
        <v>-4</v>
      </c>
    </row>
    <row r="74" spans="1:17" x14ac:dyDescent="0.25">
      <c r="A74" s="229">
        <f t="shared" ref="A74:B74" si="120">A73+1</f>
        <v>1564</v>
      </c>
      <c r="B74" s="230">
        <f t="shared" si="120"/>
        <v>64</v>
      </c>
      <c r="C74" s="229" t="str">
        <f t="shared" si="6"/>
        <v>21cX10+000_090_04</v>
      </c>
      <c r="D74" s="197">
        <f t="shared" si="102"/>
        <v>9.8000000000000007</v>
      </c>
      <c r="E74" s="204">
        <f t="shared" si="92"/>
        <v>1.8130000000000002</v>
      </c>
      <c r="F74" s="198">
        <f t="shared" si="106"/>
        <v>18.5</v>
      </c>
      <c r="G74" s="198">
        <f t="shared" si="94"/>
        <v>14.8</v>
      </c>
      <c r="H74" s="198">
        <f t="shared" si="95"/>
        <v>9.25</v>
      </c>
      <c r="I74" s="198">
        <f t="shared" si="115"/>
        <v>8</v>
      </c>
      <c r="J74" s="199">
        <f t="shared" si="115"/>
        <v>0</v>
      </c>
      <c r="K74" s="194" t="str">
        <f t="shared" si="116"/>
        <v>9.8-4</v>
      </c>
      <c r="L74" s="198">
        <f t="shared" si="117"/>
        <v>0.2</v>
      </c>
      <c r="M74" s="49">
        <v>90</v>
      </c>
      <c r="N74" s="198">
        <f t="shared" si="118"/>
        <v>150</v>
      </c>
      <c r="O74" s="198">
        <f t="shared" si="118"/>
        <v>160</v>
      </c>
      <c r="P74" s="198">
        <f t="shared" si="118"/>
        <v>270</v>
      </c>
      <c r="Q74" s="196">
        <f t="shared" si="90"/>
        <v>-4</v>
      </c>
    </row>
    <row r="75" spans="1:17" x14ac:dyDescent="0.25">
      <c r="A75" s="229">
        <f t="shared" ref="A75:B75" si="121">A74+1</f>
        <v>1565</v>
      </c>
      <c r="B75" s="230">
        <f t="shared" si="121"/>
        <v>65</v>
      </c>
      <c r="C75" s="229" t="str">
        <f t="shared" si="6"/>
        <v>21cX10+000_000_05</v>
      </c>
      <c r="D75" s="197">
        <f t="shared" si="102"/>
        <v>9.8000000000000007</v>
      </c>
      <c r="E75" s="204">
        <f t="shared" si="92"/>
        <v>1.8130000000000002</v>
      </c>
      <c r="F75" s="198">
        <f t="shared" si="106"/>
        <v>18.5</v>
      </c>
      <c r="G75" s="198">
        <f t="shared" si="94"/>
        <v>14.8</v>
      </c>
      <c r="H75" s="198">
        <f t="shared" si="95"/>
        <v>9.25</v>
      </c>
      <c r="I75" s="198">
        <f t="shared" si="115"/>
        <v>8</v>
      </c>
      <c r="J75" s="199">
        <f t="shared" si="115"/>
        <v>0</v>
      </c>
      <c r="K75" s="194" t="str">
        <f>D75&amp;-5</f>
        <v>9.8-5</v>
      </c>
      <c r="L75" s="198">
        <f t="shared" si="117"/>
        <v>0.2</v>
      </c>
      <c r="M75" s="49">
        <v>0</v>
      </c>
      <c r="N75" s="198">
        <f t="shared" si="118"/>
        <v>150</v>
      </c>
      <c r="O75" s="198">
        <f t="shared" si="118"/>
        <v>160</v>
      </c>
      <c r="P75" s="198">
        <f t="shared" si="118"/>
        <v>270</v>
      </c>
      <c r="Q75" s="196">
        <f t="shared" si="90"/>
        <v>-4</v>
      </c>
    </row>
    <row r="76" spans="1:17" x14ac:dyDescent="0.25">
      <c r="A76" s="229">
        <f t="shared" ref="A76:B76" si="122">A75+1</f>
        <v>1566</v>
      </c>
      <c r="B76" s="230">
        <f t="shared" si="122"/>
        <v>66</v>
      </c>
      <c r="C76" s="229" t="str">
        <f t="shared" ref="C76:C139" si="123">TEXT(RIGHT($B$2,LEN($B$2)-3),"000")&amp;"X"&amp;TEXT(D76,"00")&amp;"+"&amp;IF(J76&lt;0,TEXT(360+J76,"000"),TEXT(J76,"000"))&amp;"_"&amp;TEXT(M76,"000")&amp;"_"&amp;TEXT(RIGHT(K76,LEN(K76)-FIND("-",K76)),"00")</f>
        <v>21cX10+000_030_05</v>
      </c>
      <c r="D76" s="197">
        <f t="shared" si="102"/>
        <v>9.8000000000000007</v>
      </c>
      <c r="E76" s="204">
        <f t="shared" si="92"/>
        <v>1.8130000000000002</v>
      </c>
      <c r="F76" s="198">
        <f t="shared" si="106"/>
        <v>18.5</v>
      </c>
      <c r="G76" s="198">
        <f t="shared" si="94"/>
        <v>14.8</v>
      </c>
      <c r="H76" s="198">
        <f t="shared" si="95"/>
        <v>9.25</v>
      </c>
      <c r="I76" s="198">
        <f t="shared" si="115"/>
        <v>8</v>
      </c>
      <c r="J76" s="199">
        <f t="shared" si="115"/>
        <v>0</v>
      </c>
      <c r="K76" s="194" t="str">
        <f t="shared" ref="K76:K78" si="124">D76&amp;-5</f>
        <v>9.8-5</v>
      </c>
      <c r="L76" s="198">
        <f t="shared" si="117"/>
        <v>0.2</v>
      </c>
      <c r="M76" s="49">
        <v>30</v>
      </c>
      <c r="N76" s="198">
        <f t="shared" si="118"/>
        <v>150</v>
      </c>
      <c r="O76" s="198">
        <f t="shared" si="118"/>
        <v>160</v>
      </c>
      <c r="P76" s="198">
        <f t="shared" si="118"/>
        <v>270</v>
      </c>
      <c r="Q76" s="196">
        <f t="shared" si="90"/>
        <v>-4</v>
      </c>
    </row>
    <row r="77" spans="1:17" x14ac:dyDescent="0.25">
      <c r="A77" s="229">
        <f t="shared" ref="A77:B77" si="125">A76+1</f>
        <v>1567</v>
      </c>
      <c r="B77" s="230">
        <f t="shared" si="125"/>
        <v>67</v>
      </c>
      <c r="C77" s="229" t="str">
        <f t="shared" si="123"/>
        <v>21cX10+000_060_05</v>
      </c>
      <c r="D77" s="197">
        <f t="shared" si="102"/>
        <v>9.8000000000000007</v>
      </c>
      <c r="E77" s="204">
        <f t="shared" si="92"/>
        <v>1.8130000000000002</v>
      </c>
      <c r="F77" s="198">
        <f t="shared" si="106"/>
        <v>18.5</v>
      </c>
      <c r="G77" s="198">
        <f t="shared" si="94"/>
        <v>14.8</v>
      </c>
      <c r="H77" s="198">
        <f t="shared" si="95"/>
        <v>9.25</v>
      </c>
      <c r="I77" s="198">
        <f t="shared" si="115"/>
        <v>8</v>
      </c>
      <c r="J77" s="199">
        <f t="shared" si="115"/>
        <v>0</v>
      </c>
      <c r="K77" s="194" t="str">
        <f t="shared" si="124"/>
        <v>9.8-5</v>
      </c>
      <c r="L77" s="198">
        <f t="shared" si="117"/>
        <v>0.2</v>
      </c>
      <c r="M77" s="49">
        <v>60</v>
      </c>
      <c r="N77" s="198">
        <f t="shared" si="118"/>
        <v>150</v>
      </c>
      <c r="O77" s="198">
        <f t="shared" si="118"/>
        <v>160</v>
      </c>
      <c r="P77" s="198">
        <f t="shared" si="118"/>
        <v>270</v>
      </c>
      <c r="Q77" s="196">
        <f t="shared" si="90"/>
        <v>-4</v>
      </c>
    </row>
    <row r="78" spans="1:17" x14ac:dyDescent="0.25">
      <c r="A78" s="229">
        <f t="shared" ref="A78:B78" si="126">A77+1</f>
        <v>1568</v>
      </c>
      <c r="B78" s="230">
        <f t="shared" si="126"/>
        <v>68</v>
      </c>
      <c r="C78" s="229" t="str">
        <f t="shared" si="123"/>
        <v>21cX10+000_090_05</v>
      </c>
      <c r="D78" s="197">
        <f t="shared" si="102"/>
        <v>9.8000000000000007</v>
      </c>
      <c r="E78" s="204">
        <f t="shared" si="92"/>
        <v>1.8130000000000002</v>
      </c>
      <c r="F78" s="198">
        <f t="shared" si="106"/>
        <v>18.5</v>
      </c>
      <c r="G78" s="198">
        <f t="shared" si="94"/>
        <v>14.8</v>
      </c>
      <c r="H78" s="198">
        <f t="shared" si="95"/>
        <v>9.25</v>
      </c>
      <c r="I78" s="198">
        <f t="shared" si="115"/>
        <v>8</v>
      </c>
      <c r="J78" s="199">
        <f t="shared" si="115"/>
        <v>0</v>
      </c>
      <c r="K78" s="194" t="str">
        <f t="shared" si="124"/>
        <v>9.8-5</v>
      </c>
      <c r="L78" s="198">
        <f t="shared" si="117"/>
        <v>0.2</v>
      </c>
      <c r="M78" s="49">
        <v>90</v>
      </c>
      <c r="N78" s="198">
        <f t="shared" si="118"/>
        <v>150</v>
      </c>
      <c r="O78" s="198">
        <f t="shared" si="118"/>
        <v>160</v>
      </c>
      <c r="P78" s="198">
        <f t="shared" si="118"/>
        <v>270</v>
      </c>
      <c r="Q78" s="196">
        <f t="shared" si="90"/>
        <v>-4</v>
      </c>
    </row>
    <row r="79" spans="1:17" x14ac:dyDescent="0.25">
      <c r="A79" s="229">
        <f t="shared" ref="A79:B79" si="127">A78+1</f>
        <v>1569</v>
      </c>
      <c r="B79" s="230">
        <f t="shared" si="127"/>
        <v>69</v>
      </c>
      <c r="C79" s="229" t="str">
        <f t="shared" si="123"/>
        <v>21cX10+000_000_06</v>
      </c>
      <c r="D79" s="197">
        <f t="shared" si="102"/>
        <v>9.8000000000000007</v>
      </c>
      <c r="E79" s="204">
        <f t="shared" si="92"/>
        <v>1.8130000000000002</v>
      </c>
      <c r="F79" s="198">
        <f t="shared" si="106"/>
        <v>18.5</v>
      </c>
      <c r="G79" s="198">
        <f t="shared" si="94"/>
        <v>14.8</v>
      </c>
      <c r="H79" s="198">
        <f t="shared" si="95"/>
        <v>9.25</v>
      </c>
      <c r="I79" s="198">
        <f t="shared" si="115"/>
        <v>8</v>
      </c>
      <c r="J79" s="199">
        <f t="shared" si="115"/>
        <v>0</v>
      </c>
      <c r="K79" s="194" t="str">
        <f>D79&amp;-6</f>
        <v>9.8-6</v>
      </c>
      <c r="L79" s="198">
        <f t="shared" si="117"/>
        <v>0.2</v>
      </c>
      <c r="M79" s="49">
        <v>0</v>
      </c>
      <c r="N79" s="198">
        <f t="shared" si="118"/>
        <v>150</v>
      </c>
      <c r="O79" s="198">
        <f t="shared" si="118"/>
        <v>160</v>
      </c>
      <c r="P79" s="198">
        <f t="shared" si="118"/>
        <v>270</v>
      </c>
      <c r="Q79" s="196">
        <f t="shared" si="90"/>
        <v>-4</v>
      </c>
    </row>
    <row r="80" spans="1:17" x14ac:dyDescent="0.25">
      <c r="A80" s="229">
        <f t="shared" ref="A80:B80" si="128">A79+1</f>
        <v>1570</v>
      </c>
      <c r="B80" s="230">
        <f t="shared" si="128"/>
        <v>70</v>
      </c>
      <c r="C80" s="229" t="str">
        <f t="shared" si="123"/>
        <v>21cX10+000_030_06</v>
      </c>
      <c r="D80" s="197">
        <f t="shared" si="102"/>
        <v>9.8000000000000007</v>
      </c>
      <c r="E80" s="204">
        <f t="shared" si="92"/>
        <v>1.8130000000000002</v>
      </c>
      <c r="F80" s="198">
        <f t="shared" si="106"/>
        <v>18.5</v>
      </c>
      <c r="G80" s="198">
        <f t="shared" si="94"/>
        <v>14.8</v>
      </c>
      <c r="H80" s="198">
        <f t="shared" si="95"/>
        <v>9.25</v>
      </c>
      <c r="I80" s="198">
        <f t="shared" si="115"/>
        <v>8</v>
      </c>
      <c r="J80" s="199">
        <f t="shared" si="115"/>
        <v>0</v>
      </c>
      <c r="K80" s="194" t="str">
        <f t="shared" ref="K80:K82" si="129">D80&amp;-6</f>
        <v>9.8-6</v>
      </c>
      <c r="L80" s="198">
        <f t="shared" si="117"/>
        <v>0.2</v>
      </c>
      <c r="M80" s="49">
        <v>30</v>
      </c>
      <c r="N80" s="198">
        <f t="shared" si="118"/>
        <v>150</v>
      </c>
      <c r="O80" s="198">
        <f t="shared" si="118"/>
        <v>160</v>
      </c>
      <c r="P80" s="198">
        <f t="shared" si="118"/>
        <v>270</v>
      </c>
      <c r="Q80" s="196">
        <f t="shared" si="90"/>
        <v>-4</v>
      </c>
    </row>
    <row r="81" spans="1:17" x14ac:dyDescent="0.25">
      <c r="A81" s="229">
        <f t="shared" ref="A81:B81" si="130">A80+1</f>
        <v>1571</v>
      </c>
      <c r="B81" s="230">
        <f t="shared" si="130"/>
        <v>71</v>
      </c>
      <c r="C81" s="229" t="str">
        <f t="shared" si="123"/>
        <v>21cX10+000_060_06</v>
      </c>
      <c r="D81" s="197">
        <f t="shared" si="102"/>
        <v>9.8000000000000007</v>
      </c>
      <c r="E81" s="204">
        <f t="shared" si="92"/>
        <v>1.8130000000000002</v>
      </c>
      <c r="F81" s="198">
        <f t="shared" si="106"/>
        <v>18.5</v>
      </c>
      <c r="G81" s="198">
        <f t="shared" si="94"/>
        <v>14.8</v>
      </c>
      <c r="H81" s="198">
        <f t="shared" si="95"/>
        <v>9.25</v>
      </c>
      <c r="I81" s="198">
        <f t="shared" si="115"/>
        <v>8</v>
      </c>
      <c r="J81" s="199">
        <f t="shared" si="115"/>
        <v>0</v>
      </c>
      <c r="K81" s="194" t="str">
        <f t="shared" si="129"/>
        <v>9.8-6</v>
      </c>
      <c r="L81" s="198">
        <f t="shared" si="117"/>
        <v>0.2</v>
      </c>
      <c r="M81" s="49">
        <v>60</v>
      </c>
      <c r="N81" s="198">
        <f t="shared" si="118"/>
        <v>150</v>
      </c>
      <c r="O81" s="198">
        <f t="shared" si="118"/>
        <v>160</v>
      </c>
      <c r="P81" s="198">
        <f t="shared" si="118"/>
        <v>270</v>
      </c>
      <c r="Q81" s="196">
        <f t="shared" si="90"/>
        <v>-4</v>
      </c>
    </row>
    <row r="82" spans="1:17" x14ac:dyDescent="0.25">
      <c r="A82" s="229">
        <f t="shared" ref="A82:B82" si="131">A81+1</f>
        <v>1572</v>
      </c>
      <c r="B82" s="230">
        <f t="shared" si="131"/>
        <v>72</v>
      </c>
      <c r="C82" s="229" t="str">
        <f t="shared" si="123"/>
        <v>21cX10+000_090_06</v>
      </c>
      <c r="D82" s="197">
        <f t="shared" si="102"/>
        <v>9.8000000000000007</v>
      </c>
      <c r="E82" s="204">
        <f t="shared" si="92"/>
        <v>1.8130000000000002</v>
      </c>
      <c r="F82" s="198">
        <f t="shared" si="106"/>
        <v>18.5</v>
      </c>
      <c r="G82" s="198">
        <f t="shared" si="94"/>
        <v>14.8</v>
      </c>
      <c r="H82" s="198">
        <f t="shared" si="95"/>
        <v>9.25</v>
      </c>
      <c r="I82" s="198">
        <f t="shared" si="115"/>
        <v>8</v>
      </c>
      <c r="J82" s="199">
        <f t="shared" si="115"/>
        <v>0</v>
      </c>
      <c r="K82" s="194" t="str">
        <f t="shared" si="129"/>
        <v>9.8-6</v>
      </c>
      <c r="L82" s="198">
        <f t="shared" si="117"/>
        <v>0.2</v>
      </c>
      <c r="M82" s="49">
        <v>90</v>
      </c>
      <c r="N82" s="198">
        <f t="shared" si="118"/>
        <v>150</v>
      </c>
      <c r="O82" s="198">
        <f t="shared" si="118"/>
        <v>160</v>
      </c>
      <c r="P82" s="198">
        <f t="shared" si="118"/>
        <v>270</v>
      </c>
      <c r="Q82" s="196">
        <f t="shared" si="90"/>
        <v>-4</v>
      </c>
    </row>
    <row r="83" spans="1:17" x14ac:dyDescent="0.25">
      <c r="A83" s="229">
        <f t="shared" ref="A83:B83" si="132">A82+1</f>
        <v>1573</v>
      </c>
      <c r="B83" s="230">
        <f t="shared" si="132"/>
        <v>73</v>
      </c>
      <c r="C83" s="229" t="str">
        <f t="shared" si="123"/>
        <v>21cX10+000_000_07</v>
      </c>
      <c r="D83" s="197">
        <f t="shared" si="102"/>
        <v>9.8000000000000007</v>
      </c>
      <c r="E83" s="204">
        <f t="shared" si="92"/>
        <v>1.8130000000000002</v>
      </c>
      <c r="F83" s="198">
        <f t="shared" si="106"/>
        <v>18.5</v>
      </c>
      <c r="G83" s="198">
        <f t="shared" si="94"/>
        <v>14.8</v>
      </c>
      <c r="H83" s="198">
        <f t="shared" si="95"/>
        <v>9.25</v>
      </c>
      <c r="I83" s="198">
        <f t="shared" si="115"/>
        <v>8</v>
      </c>
      <c r="J83" s="199">
        <f t="shared" si="115"/>
        <v>0</v>
      </c>
      <c r="K83" s="194" t="str">
        <f>D83&amp;-7</f>
        <v>9.8-7</v>
      </c>
      <c r="L83" s="198">
        <f t="shared" si="117"/>
        <v>0.2</v>
      </c>
      <c r="M83" s="49">
        <v>0</v>
      </c>
      <c r="N83" s="198">
        <f t="shared" si="118"/>
        <v>150</v>
      </c>
      <c r="O83" s="198">
        <f t="shared" si="118"/>
        <v>160</v>
      </c>
      <c r="P83" s="198">
        <f t="shared" si="118"/>
        <v>270</v>
      </c>
      <c r="Q83" s="196">
        <f t="shared" si="90"/>
        <v>-4</v>
      </c>
    </row>
    <row r="84" spans="1:17" x14ac:dyDescent="0.25">
      <c r="A84" s="229">
        <f t="shared" ref="A84:B84" si="133">A83+1</f>
        <v>1574</v>
      </c>
      <c r="B84" s="230">
        <f t="shared" si="133"/>
        <v>74</v>
      </c>
      <c r="C84" s="229" t="str">
        <f t="shared" si="123"/>
        <v>21cX10+000_030_07</v>
      </c>
      <c r="D84" s="197">
        <f t="shared" si="102"/>
        <v>9.8000000000000007</v>
      </c>
      <c r="E84" s="204">
        <f t="shared" si="92"/>
        <v>1.8130000000000002</v>
      </c>
      <c r="F84" s="198">
        <f t="shared" si="106"/>
        <v>18.5</v>
      </c>
      <c r="G84" s="198">
        <f t="shared" si="94"/>
        <v>14.8</v>
      </c>
      <c r="H84" s="198">
        <f t="shared" si="95"/>
        <v>9.25</v>
      </c>
      <c r="I84" s="198">
        <f t="shared" ref="I84:J95" si="134">I83</f>
        <v>8</v>
      </c>
      <c r="J84" s="199">
        <f t="shared" si="134"/>
        <v>0</v>
      </c>
      <c r="K84" s="194" t="str">
        <f t="shared" ref="K84:K86" si="135">D84&amp;-7</f>
        <v>9.8-7</v>
      </c>
      <c r="L84" s="198">
        <f t="shared" ref="L84:L95" si="136">L83</f>
        <v>0.2</v>
      </c>
      <c r="M84" s="49">
        <v>30</v>
      </c>
      <c r="N84" s="198">
        <f t="shared" ref="N84:P95" si="137">N83</f>
        <v>150</v>
      </c>
      <c r="O84" s="198">
        <f t="shared" si="137"/>
        <v>160</v>
      </c>
      <c r="P84" s="198">
        <f t="shared" si="137"/>
        <v>270</v>
      </c>
      <c r="Q84" s="196">
        <f t="shared" si="90"/>
        <v>-4</v>
      </c>
    </row>
    <row r="85" spans="1:17" x14ac:dyDescent="0.25">
      <c r="A85" s="229">
        <f t="shared" ref="A85:B85" si="138">A84+1</f>
        <v>1575</v>
      </c>
      <c r="B85" s="230">
        <f t="shared" si="138"/>
        <v>75</v>
      </c>
      <c r="C85" s="229" t="str">
        <f t="shared" si="123"/>
        <v>21cX10+000_060_07</v>
      </c>
      <c r="D85" s="197">
        <f t="shared" si="102"/>
        <v>9.8000000000000007</v>
      </c>
      <c r="E85" s="204">
        <f t="shared" si="92"/>
        <v>1.8130000000000002</v>
      </c>
      <c r="F85" s="198">
        <f t="shared" si="106"/>
        <v>18.5</v>
      </c>
      <c r="G85" s="198">
        <f t="shared" si="94"/>
        <v>14.8</v>
      </c>
      <c r="H85" s="198">
        <f t="shared" si="95"/>
        <v>9.25</v>
      </c>
      <c r="I85" s="198">
        <f t="shared" si="134"/>
        <v>8</v>
      </c>
      <c r="J85" s="199">
        <f t="shared" si="134"/>
        <v>0</v>
      </c>
      <c r="K85" s="194" t="str">
        <f t="shared" si="135"/>
        <v>9.8-7</v>
      </c>
      <c r="L85" s="198">
        <f t="shared" si="136"/>
        <v>0.2</v>
      </c>
      <c r="M85" s="49">
        <v>60</v>
      </c>
      <c r="N85" s="198">
        <f t="shared" si="137"/>
        <v>150</v>
      </c>
      <c r="O85" s="198">
        <f t="shared" si="137"/>
        <v>160</v>
      </c>
      <c r="P85" s="198">
        <f t="shared" si="137"/>
        <v>270</v>
      </c>
      <c r="Q85" s="196">
        <f t="shared" si="90"/>
        <v>-4</v>
      </c>
    </row>
    <row r="86" spans="1:17" x14ac:dyDescent="0.25">
      <c r="A86" s="229">
        <f t="shared" ref="A86:B86" si="139">A85+1</f>
        <v>1576</v>
      </c>
      <c r="B86" s="230">
        <f t="shared" si="139"/>
        <v>76</v>
      </c>
      <c r="C86" s="229" t="str">
        <f t="shared" si="123"/>
        <v>21cX10+000_090_07</v>
      </c>
      <c r="D86" s="197">
        <f t="shared" si="102"/>
        <v>9.8000000000000007</v>
      </c>
      <c r="E86" s="204">
        <f t="shared" si="92"/>
        <v>1.8130000000000002</v>
      </c>
      <c r="F86" s="198">
        <f t="shared" si="106"/>
        <v>18.5</v>
      </c>
      <c r="G86" s="198">
        <f t="shared" si="94"/>
        <v>14.8</v>
      </c>
      <c r="H86" s="198">
        <f t="shared" si="95"/>
        <v>9.25</v>
      </c>
      <c r="I86" s="198">
        <f t="shared" si="134"/>
        <v>8</v>
      </c>
      <c r="J86" s="199">
        <f t="shared" si="134"/>
        <v>0</v>
      </c>
      <c r="K86" s="194" t="str">
        <f t="shared" si="135"/>
        <v>9.8-7</v>
      </c>
      <c r="L86" s="198">
        <f t="shared" si="136"/>
        <v>0.2</v>
      </c>
      <c r="M86" s="49">
        <v>90</v>
      </c>
      <c r="N86" s="198">
        <f t="shared" si="137"/>
        <v>150</v>
      </c>
      <c r="O86" s="198">
        <f t="shared" si="137"/>
        <v>160</v>
      </c>
      <c r="P86" s="198">
        <f t="shared" si="137"/>
        <v>270</v>
      </c>
      <c r="Q86" s="196">
        <f t="shared" si="90"/>
        <v>-4</v>
      </c>
    </row>
    <row r="87" spans="1:17" x14ac:dyDescent="0.25">
      <c r="A87" s="229">
        <f t="shared" ref="A87:B87" si="140">A86+1</f>
        <v>1577</v>
      </c>
      <c r="B87" s="230">
        <f t="shared" si="140"/>
        <v>77</v>
      </c>
      <c r="C87" s="229" t="str">
        <f t="shared" si="123"/>
        <v>21cX10+000_000_08</v>
      </c>
      <c r="D87" s="197">
        <f t="shared" si="102"/>
        <v>9.8000000000000007</v>
      </c>
      <c r="E87" s="204">
        <f t="shared" si="92"/>
        <v>1.8130000000000002</v>
      </c>
      <c r="F87" s="198">
        <f t="shared" si="106"/>
        <v>18.5</v>
      </c>
      <c r="G87" s="198">
        <f t="shared" si="94"/>
        <v>14.8</v>
      </c>
      <c r="H87" s="198">
        <f t="shared" si="95"/>
        <v>9.25</v>
      </c>
      <c r="I87" s="198">
        <f t="shared" si="134"/>
        <v>8</v>
      </c>
      <c r="J87" s="199">
        <f t="shared" si="134"/>
        <v>0</v>
      </c>
      <c r="K87" s="194" t="str">
        <f>D87&amp;-8</f>
        <v>9.8-8</v>
      </c>
      <c r="L87" s="198">
        <f t="shared" si="136"/>
        <v>0.2</v>
      </c>
      <c r="M87" s="49">
        <v>0</v>
      </c>
      <c r="N87" s="198">
        <f t="shared" si="137"/>
        <v>150</v>
      </c>
      <c r="O87" s="198">
        <f t="shared" si="137"/>
        <v>160</v>
      </c>
      <c r="P87" s="198">
        <f t="shared" si="137"/>
        <v>270</v>
      </c>
      <c r="Q87" s="196">
        <f t="shared" si="90"/>
        <v>-4</v>
      </c>
    </row>
    <row r="88" spans="1:17" x14ac:dyDescent="0.25">
      <c r="A88" s="229">
        <f t="shared" ref="A88:B88" si="141">A87+1</f>
        <v>1578</v>
      </c>
      <c r="B88" s="230">
        <f t="shared" si="141"/>
        <v>78</v>
      </c>
      <c r="C88" s="229" t="str">
        <f t="shared" si="123"/>
        <v>21cX10+000_030_08</v>
      </c>
      <c r="D88" s="197">
        <f t="shared" si="102"/>
        <v>9.8000000000000007</v>
      </c>
      <c r="E88" s="204">
        <f t="shared" si="92"/>
        <v>1.8130000000000002</v>
      </c>
      <c r="F88" s="198">
        <f t="shared" si="106"/>
        <v>18.5</v>
      </c>
      <c r="G88" s="198">
        <f t="shared" si="94"/>
        <v>14.8</v>
      </c>
      <c r="H88" s="198">
        <f t="shared" si="95"/>
        <v>9.25</v>
      </c>
      <c r="I88" s="198">
        <f t="shared" si="134"/>
        <v>8</v>
      </c>
      <c r="J88" s="199">
        <f t="shared" si="134"/>
        <v>0</v>
      </c>
      <c r="K88" s="194" t="str">
        <f t="shared" ref="K88:K90" si="142">D88&amp;-8</f>
        <v>9.8-8</v>
      </c>
      <c r="L88" s="198">
        <f t="shared" si="136"/>
        <v>0.2</v>
      </c>
      <c r="M88" s="49">
        <v>30</v>
      </c>
      <c r="N88" s="198">
        <f t="shared" si="137"/>
        <v>150</v>
      </c>
      <c r="O88" s="198">
        <f t="shared" si="137"/>
        <v>160</v>
      </c>
      <c r="P88" s="198">
        <f t="shared" si="137"/>
        <v>270</v>
      </c>
      <c r="Q88" s="196">
        <f t="shared" si="90"/>
        <v>-4</v>
      </c>
    </row>
    <row r="89" spans="1:17" x14ac:dyDescent="0.25">
      <c r="A89" s="229">
        <f t="shared" ref="A89:B89" si="143">A88+1</f>
        <v>1579</v>
      </c>
      <c r="B89" s="230">
        <f t="shared" si="143"/>
        <v>79</v>
      </c>
      <c r="C89" s="229" t="str">
        <f t="shared" si="123"/>
        <v>21cX10+000_060_08</v>
      </c>
      <c r="D89" s="197">
        <f t="shared" si="102"/>
        <v>9.8000000000000007</v>
      </c>
      <c r="E89" s="204">
        <f t="shared" si="92"/>
        <v>1.8130000000000002</v>
      </c>
      <c r="F89" s="198">
        <f t="shared" si="106"/>
        <v>18.5</v>
      </c>
      <c r="G89" s="198">
        <f t="shared" si="94"/>
        <v>14.8</v>
      </c>
      <c r="H89" s="198">
        <f t="shared" si="95"/>
        <v>9.25</v>
      </c>
      <c r="I89" s="198">
        <f t="shared" si="134"/>
        <v>8</v>
      </c>
      <c r="J89" s="199">
        <f t="shared" si="134"/>
        <v>0</v>
      </c>
      <c r="K89" s="194" t="str">
        <f t="shared" si="142"/>
        <v>9.8-8</v>
      </c>
      <c r="L89" s="198">
        <f t="shared" si="136"/>
        <v>0.2</v>
      </c>
      <c r="M89" s="49">
        <v>60</v>
      </c>
      <c r="N89" s="198">
        <f t="shared" si="137"/>
        <v>150</v>
      </c>
      <c r="O89" s="198">
        <f t="shared" si="137"/>
        <v>160</v>
      </c>
      <c r="P89" s="198">
        <f t="shared" si="137"/>
        <v>270</v>
      </c>
      <c r="Q89" s="196">
        <f t="shared" si="90"/>
        <v>-4</v>
      </c>
    </row>
    <row r="90" spans="1:17" x14ac:dyDescent="0.25">
      <c r="A90" s="229">
        <f t="shared" ref="A90:B90" si="144">A89+1</f>
        <v>1580</v>
      </c>
      <c r="B90" s="230">
        <f t="shared" si="144"/>
        <v>80</v>
      </c>
      <c r="C90" s="229" t="str">
        <f t="shared" si="123"/>
        <v>21cX10+000_090_08</v>
      </c>
      <c r="D90" s="197">
        <f t="shared" si="102"/>
        <v>9.8000000000000007</v>
      </c>
      <c r="E90" s="204">
        <f t="shared" si="92"/>
        <v>1.8130000000000002</v>
      </c>
      <c r="F90" s="198">
        <f t="shared" si="106"/>
        <v>18.5</v>
      </c>
      <c r="G90" s="198">
        <f t="shared" si="94"/>
        <v>14.8</v>
      </c>
      <c r="H90" s="198">
        <f t="shared" si="95"/>
        <v>9.25</v>
      </c>
      <c r="I90" s="198">
        <f t="shared" si="134"/>
        <v>8</v>
      </c>
      <c r="J90" s="199">
        <f t="shared" si="134"/>
        <v>0</v>
      </c>
      <c r="K90" s="194" t="str">
        <f t="shared" si="142"/>
        <v>9.8-8</v>
      </c>
      <c r="L90" s="198">
        <f t="shared" si="136"/>
        <v>0.2</v>
      </c>
      <c r="M90" s="49">
        <v>90</v>
      </c>
      <c r="N90" s="198">
        <f t="shared" si="137"/>
        <v>150</v>
      </c>
      <c r="O90" s="198">
        <f t="shared" si="137"/>
        <v>160</v>
      </c>
      <c r="P90" s="198">
        <f t="shared" si="137"/>
        <v>270</v>
      </c>
      <c r="Q90" s="196">
        <f t="shared" si="90"/>
        <v>-4</v>
      </c>
    </row>
    <row r="91" spans="1:17" x14ac:dyDescent="0.25">
      <c r="A91" s="229">
        <f t="shared" ref="A91:B91" si="145">A90+1</f>
        <v>1581</v>
      </c>
      <c r="B91" s="230">
        <f t="shared" si="145"/>
        <v>81</v>
      </c>
      <c r="C91" s="229" t="str">
        <f t="shared" si="123"/>
        <v>21cX10+000_000_09</v>
      </c>
      <c r="D91" s="197">
        <f t="shared" si="102"/>
        <v>9.8000000000000007</v>
      </c>
      <c r="E91" s="204">
        <f t="shared" si="92"/>
        <v>1.8130000000000002</v>
      </c>
      <c r="F91" s="198">
        <f t="shared" si="106"/>
        <v>18.5</v>
      </c>
      <c r="G91" s="198">
        <f t="shared" si="94"/>
        <v>14.8</v>
      </c>
      <c r="H91" s="198">
        <f t="shared" si="95"/>
        <v>9.25</v>
      </c>
      <c r="I91" s="198">
        <f t="shared" si="134"/>
        <v>8</v>
      </c>
      <c r="J91" s="199">
        <f t="shared" si="134"/>
        <v>0</v>
      </c>
      <c r="K91" s="194" t="str">
        <f>D91&amp;-9</f>
        <v>9.8-9</v>
      </c>
      <c r="L91" s="198">
        <f t="shared" si="136"/>
        <v>0.2</v>
      </c>
      <c r="M91" s="49">
        <v>0</v>
      </c>
      <c r="N91" s="198">
        <f t="shared" si="137"/>
        <v>150</v>
      </c>
      <c r="O91" s="198">
        <f t="shared" si="137"/>
        <v>160</v>
      </c>
      <c r="P91" s="198">
        <f t="shared" si="137"/>
        <v>270</v>
      </c>
      <c r="Q91" s="196">
        <f t="shared" si="90"/>
        <v>-4</v>
      </c>
    </row>
    <row r="92" spans="1:17" x14ac:dyDescent="0.25">
      <c r="A92" s="229">
        <f t="shared" ref="A92:B92" si="146">A91+1</f>
        <v>1582</v>
      </c>
      <c r="B92" s="230">
        <f t="shared" si="146"/>
        <v>82</v>
      </c>
      <c r="C92" s="229" t="str">
        <f t="shared" si="123"/>
        <v>21cX10+000_030_09</v>
      </c>
      <c r="D92" s="197">
        <f t="shared" si="102"/>
        <v>9.8000000000000007</v>
      </c>
      <c r="E92" s="204">
        <f t="shared" si="92"/>
        <v>1.8130000000000002</v>
      </c>
      <c r="F92" s="198">
        <f t="shared" si="106"/>
        <v>18.5</v>
      </c>
      <c r="G92" s="198">
        <f t="shared" si="94"/>
        <v>14.8</v>
      </c>
      <c r="H92" s="198">
        <f t="shared" si="95"/>
        <v>9.25</v>
      </c>
      <c r="I92" s="198">
        <f t="shared" si="134"/>
        <v>8</v>
      </c>
      <c r="J92" s="199">
        <f t="shared" si="134"/>
        <v>0</v>
      </c>
      <c r="K92" s="194" t="str">
        <f t="shared" ref="K92:K94" si="147">D92&amp;-9</f>
        <v>9.8-9</v>
      </c>
      <c r="L92" s="198">
        <f t="shared" si="136"/>
        <v>0.2</v>
      </c>
      <c r="M92" s="49">
        <v>30</v>
      </c>
      <c r="N92" s="198">
        <f t="shared" si="137"/>
        <v>150</v>
      </c>
      <c r="O92" s="198">
        <f t="shared" si="137"/>
        <v>160</v>
      </c>
      <c r="P92" s="198">
        <f t="shared" si="137"/>
        <v>270</v>
      </c>
      <c r="Q92" s="196">
        <f t="shared" si="90"/>
        <v>-4</v>
      </c>
    </row>
    <row r="93" spans="1:17" x14ac:dyDescent="0.25">
      <c r="A93" s="229">
        <f t="shared" ref="A93:B93" si="148">A92+1</f>
        <v>1583</v>
      </c>
      <c r="B93" s="230">
        <f t="shared" si="148"/>
        <v>83</v>
      </c>
      <c r="C93" s="229" t="str">
        <f t="shared" si="123"/>
        <v>21cX10+000_060_09</v>
      </c>
      <c r="D93" s="197">
        <f t="shared" si="102"/>
        <v>9.8000000000000007</v>
      </c>
      <c r="E93" s="204">
        <f t="shared" si="92"/>
        <v>1.8130000000000002</v>
      </c>
      <c r="F93" s="198">
        <f t="shared" si="106"/>
        <v>18.5</v>
      </c>
      <c r="G93" s="198">
        <f t="shared" si="94"/>
        <v>14.8</v>
      </c>
      <c r="H93" s="198">
        <f t="shared" si="95"/>
        <v>9.25</v>
      </c>
      <c r="I93" s="198">
        <f t="shared" si="134"/>
        <v>8</v>
      </c>
      <c r="J93" s="199">
        <f t="shared" si="134"/>
        <v>0</v>
      </c>
      <c r="K93" s="194" t="str">
        <f t="shared" si="147"/>
        <v>9.8-9</v>
      </c>
      <c r="L93" s="198">
        <f t="shared" si="136"/>
        <v>0.2</v>
      </c>
      <c r="M93" s="49">
        <v>60</v>
      </c>
      <c r="N93" s="198">
        <f t="shared" si="137"/>
        <v>150</v>
      </c>
      <c r="O93" s="198">
        <f t="shared" si="137"/>
        <v>160</v>
      </c>
      <c r="P93" s="198">
        <f t="shared" si="137"/>
        <v>270</v>
      </c>
      <c r="Q93" s="196">
        <f t="shared" si="90"/>
        <v>-4</v>
      </c>
    </row>
    <row r="94" spans="1:17" x14ac:dyDescent="0.25">
      <c r="A94" s="229">
        <f t="shared" ref="A94:B94" si="149">A93+1</f>
        <v>1584</v>
      </c>
      <c r="B94" s="230">
        <f t="shared" si="149"/>
        <v>84</v>
      </c>
      <c r="C94" s="229" t="str">
        <f t="shared" si="123"/>
        <v>21cX10+000_090_09</v>
      </c>
      <c r="D94" s="197">
        <f t="shared" si="102"/>
        <v>9.8000000000000007</v>
      </c>
      <c r="E94" s="204">
        <f t="shared" si="92"/>
        <v>1.8130000000000002</v>
      </c>
      <c r="F94" s="198">
        <f t="shared" si="106"/>
        <v>18.5</v>
      </c>
      <c r="G94" s="198">
        <f t="shared" si="94"/>
        <v>14.8</v>
      </c>
      <c r="H94" s="198">
        <f t="shared" si="95"/>
        <v>9.25</v>
      </c>
      <c r="I94" s="198">
        <f t="shared" si="134"/>
        <v>8</v>
      </c>
      <c r="J94" s="199">
        <f t="shared" si="134"/>
        <v>0</v>
      </c>
      <c r="K94" s="194" t="str">
        <f t="shared" si="147"/>
        <v>9.8-9</v>
      </c>
      <c r="L94" s="198">
        <f t="shared" si="136"/>
        <v>0.2</v>
      </c>
      <c r="M94" s="49">
        <v>90</v>
      </c>
      <c r="N94" s="198">
        <f t="shared" si="137"/>
        <v>150</v>
      </c>
      <c r="O94" s="198">
        <f t="shared" si="137"/>
        <v>160</v>
      </c>
      <c r="P94" s="198">
        <f t="shared" si="137"/>
        <v>270</v>
      </c>
      <c r="Q94" s="196">
        <f t="shared" si="90"/>
        <v>-4</v>
      </c>
    </row>
    <row r="95" spans="1:17" x14ac:dyDescent="0.25">
      <c r="A95" s="229">
        <f t="shared" ref="A95:B95" si="150">A94+1</f>
        <v>1585</v>
      </c>
      <c r="B95" s="230">
        <f t="shared" si="150"/>
        <v>85</v>
      </c>
      <c r="C95" s="229" t="str">
        <f t="shared" si="123"/>
        <v>21cX10+000_000_10</v>
      </c>
      <c r="D95" s="197">
        <f t="shared" si="102"/>
        <v>9.8000000000000007</v>
      </c>
      <c r="E95" s="204">
        <f t="shared" si="92"/>
        <v>1.8130000000000002</v>
      </c>
      <c r="F95" s="198">
        <f t="shared" si="106"/>
        <v>18.5</v>
      </c>
      <c r="G95" s="198">
        <f t="shared" si="94"/>
        <v>14.8</v>
      </c>
      <c r="H95" s="198">
        <f t="shared" si="95"/>
        <v>9.25</v>
      </c>
      <c r="I95" s="198">
        <f t="shared" si="134"/>
        <v>8</v>
      </c>
      <c r="J95" s="199">
        <f t="shared" si="134"/>
        <v>0</v>
      </c>
      <c r="K95" s="194" t="str">
        <f>D95&amp;-10</f>
        <v>9.8-10</v>
      </c>
      <c r="L95" s="198">
        <f t="shared" si="136"/>
        <v>0.2</v>
      </c>
      <c r="M95" s="49">
        <v>0</v>
      </c>
      <c r="N95" s="198">
        <f t="shared" si="137"/>
        <v>150</v>
      </c>
      <c r="O95" s="198">
        <f t="shared" si="137"/>
        <v>160</v>
      </c>
      <c r="P95" s="198">
        <f t="shared" si="137"/>
        <v>270</v>
      </c>
      <c r="Q95" s="196">
        <f t="shared" si="90"/>
        <v>-4</v>
      </c>
    </row>
    <row r="96" spans="1:17" x14ac:dyDescent="0.25">
      <c r="A96" s="229">
        <f t="shared" ref="A96:B96" si="151">A95+1</f>
        <v>1586</v>
      </c>
      <c r="B96" s="230">
        <f t="shared" si="151"/>
        <v>86</v>
      </c>
      <c r="C96" s="229" t="str">
        <f t="shared" si="123"/>
        <v>21cX10+000_030_10</v>
      </c>
      <c r="D96" s="197">
        <f t="shared" si="102"/>
        <v>9.8000000000000007</v>
      </c>
      <c r="E96" s="204">
        <f t="shared" si="92"/>
        <v>1.8130000000000002</v>
      </c>
      <c r="F96" s="198">
        <f t="shared" si="106"/>
        <v>18.5</v>
      </c>
      <c r="G96" s="198">
        <f t="shared" si="94"/>
        <v>14.8</v>
      </c>
      <c r="H96" s="198">
        <f t="shared" si="95"/>
        <v>9.25</v>
      </c>
      <c r="I96" s="198">
        <f t="shared" ref="I96:J106" si="152">I95</f>
        <v>8</v>
      </c>
      <c r="J96" s="199">
        <f t="shared" si="152"/>
        <v>0</v>
      </c>
      <c r="K96" s="194" t="str">
        <f t="shared" ref="K96:K98" si="153">D96&amp;-10</f>
        <v>9.8-10</v>
      </c>
      <c r="L96" s="198">
        <f t="shared" ref="L96:L106" si="154">L95</f>
        <v>0.2</v>
      </c>
      <c r="M96" s="49">
        <v>30</v>
      </c>
      <c r="N96" s="198">
        <f t="shared" ref="N96:P106" si="155">N95</f>
        <v>150</v>
      </c>
      <c r="O96" s="198">
        <f t="shared" si="155"/>
        <v>160</v>
      </c>
      <c r="P96" s="198">
        <f t="shared" si="155"/>
        <v>270</v>
      </c>
      <c r="Q96" s="196">
        <f t="shared" si="90"/>
        <v>-4</v>
      </c>
    </row>
    <row r="97" spans="1:17" x14ac:dyDescent="0.25">
      <c r="A97" s="229">
        <f t="shared" ref="A97:B97" si="156">A96+1</f>
        <v>1587</v>
      </c>
      <c r="B97" s="230">
        <f t="shared" si="156"/>
        <v>87</v>
      </c>
      <c r="C97" s="229" t="str">
        <f t="shared" si="123"/>
        <v>21cX10+000_060_10</v>
      </c>
      <c r="D97" s="197">
        <f t="shared" si="102"/>
        <v>9.8000000000000007</v>
      </c>
      <c r="E97" s="204">
        <f t="shared" si="92"/>
        <v>1.8130000000000002</v>
      </c>
      <c r="F97" s="198">
        <f t="shared" si="106"/>
        <v>18.5</v>
      </c>
      <c r="G97" s="198">
        <f t="shared" si="94"/>
        <v>14.8</v>
      </c>
      <c r="H97" s="198">
        <f t="shared" si="95"/>
        <v>9.25</v>
      </c>
      <c r="I97" s="198">
        <f t="shared" si="152"/>
        <v>8</v>
      </c>
      <c r="J97" s="199">
        <f t="shared" si="152"/>
        <v>0</v>
      </c>
      <c r="K97" s="194" t="str">
        <f t="shared" si="153"/>
        <v>9.8-10</v>
      </c>
      <c r="L97" s="198">
        <f t="shared" si="154"/>
        <v>0.2</v>
      </c>
      <c r="M97" s="49">
        <v>60</v>
      </c>
      <c r="N97" s="198">
        <f t="shared" si="155"/>
        <v>150</v>
      </c>
      <c r="O97" s="198">
        <f t="shared" si="155"/>
        <v>160</v>
      </c>
      <c r="P97" s="198">
        <f t="shared" si="155"/>
        <v>270</v>
      </c>
      <c r="Q97" s="196">
        <f t="shared" si="90"/>
        <v>-4</v>
      </c>
    </row>
    <row r="98" spans="1:17" x14ac:dyDescent="0.25">
      <c r="A98" s="229">
        <f t="shared" ref="A98:B98" si="157">A97+1</f>
        <v>1588</v>
      </c>
      <c r="B98" s="230">
        <f t="shared" si="157"/>
        <v>88</v>
      </c>
      <c r="C98" s="229" t="str">
        <f t="shared" si="123"/>
        <v>21cX10+000_090_10</v>
      </c>
      <c r="D98" s="197">
        <f t="shared" si="102"/>
        <v>9.8000000000000007</v>
      </c>
      <c r="E98" s="204">
        <f t="shared" si="92"/>
        <v>1.8130000000000002</v>
      </c>
      <c r="F98" s="198">
        <f t="shared" si="106"/>
        <v>18.5</v>
      </c>
      <c r="G98" s="198">
        <f t="shared" si="94"/>
        <v>14.8</v>
      </c>
      <c r="H98" s="198">
        <f t="shared" si="95"/>
        <v>9.25</v>
      </c>
      <c r="I98" s="198">
        <f t="shared" si="152"/>
        <v>8</v>
      </c>
      <c r="J98" s="199">
        <f t="shared" si="152"/>
        <v>0</v>
      </c>
      <c r="K98" s="194" t="str">
        <f t="shared" si="153"/>
        <v>9.8-10</v>
      </c>
      <c r="L98" s="198">
        <f t="shared" si="154"/>
        <v>0.2</v>
      </c>
      <c r="M98" s="49">
        <v>90</v>
      </c>
      <c r="N98" s="198">
        <f t="shared" si="155"/>
        <v>150</v>
      </c>
      <c r="O98" s="198">
        <f t="shared" si="155"/>
        <v>160</v>
      </c>
      <c r="P98" s="198">
        <f t="shared" si="155"/>
        <v>270</v>
      </c>
      <c r="Q98" s="196">
        <f t="shared" si="90"/>
        <v>-4</v>
      </c>
    </row>
    <row r="99" spans="1:17" x14ac:dyDescent="0.25">
      <c r="A99" s="229">
        <f t="shared" ref="A99:B99" si="158">A98+1</f>
        <v>1589</v>
      </c>
      <c r="B99" s="230">
        <f t="shared" si="158"/>
        <v>89</v>
      </c>
      <c r="C99" s="229" t="str">
        <f t="shared" si="123"/>
        <v>21cX10+000_000_11</v>
      </c>
      <c r="D99" s="197">
        <f t="shared" si="102"/>
        <v>9.8000000000000007</v>
      </c>
      <c r="E99" s="204">
        <f t="shared" si="92"/>
        <v>1.8130000000000002</v>
      </c>
      <c r="F99" s="198">
        <f t="shared" si="106"/>
        <v>18.5</v>
      </c>
      <c r="G99" s="198">
        <f t="shared" si="94"/>
        <v>14.8</v>
      </c>
      <c r="H99" s="198">
        <f t="shared" si="95"/>
        <v>9.25</v>
      </c>
      <c r="I99" s="198">
        <f t="shared" si="152"/>
        <v>8</v>
      </c>
      <c r="J99" s="199">
        <f t="shared" si="152"/>
        <v>0</v>
      </c>
      <c r="K99" s="194" t="str">
        <f>D99&amp;-11</f>
        <v>9.8-11</v>
      </c>
      <c r="L99" s="198">
        <f t="shared" si="154"/>
        <v>0.2</v>
      </c>
      <c r="M99" s="49">
        <v>0</v>
      </c>
      <c r="N99" s="198">
        <f t="shared" si="155"/>
        <v>150</v>
      </c>
      <c r="O99" s="198">
        <f t="shared" si="155"/>
        <v>160</v>
      </c>
      <c r="P99" s="198">
        <f t="shared" si="155"/>
        <v>270</v>
      </c>
      <c r="Q99" s="196">
        <f t="shared" si="90"/>
        <v>-4</v>
      </c>
    </row>
    <row r="100" spans="1:17" x14ac:dyDescent="0.25">
      <c r="A100" s="229">
        <f t="shared" ref="A100:B100" si="159">A99+1</f>
        <v>1590</v>
      </c>
      <c r="B100" s="230">
        <f t="shared" si="159"/>
        <v>90</v>
      </c>
      <c r="C100" s="229" t="str">
        <f t="shared" si="123"/>
        <v>21cX10+000_030_11</v>
      </c>
      <c r="D100" s="197">
        <f t="shared" si="102"/>
        <v>9.8000000000000007</v>
      </c>
      <c r="E100" s="204">
        <f t="shared" si="92"/>
        <v>1.8130000000000002</v>
      </c>
      <c r="F100" s="198">
        <f t="shared" si="106"/>
        <v>18.5</v>
      </c>
      <c r="G100" s="198">
        <f t="shared" si="94"/>
        <v>14.8</v>
      </c>
      <c r="H100" s="198">
        <f t="shared" si="95"/>
        <v>9.25</v>
      </c>
      <c r="I100" s="198">
        <f t="shared" si="152"/>
        <v>8</v>
      </c>
      <c r="J100" s="199">
        <f t="shared" si="152"/>
        <v>0</v>
      </c>
      <c r="K100" s="194" t="str">
        <f t="shared" ref="K100:K102" si="160">D100&amp;-11</f>
        <v>9.8-11</v>
      </c>
      <c r="L100" s="198">
        <f t="shared" si="154"/>
        <v>0.2</v>
      </c>
      <c r="M100" s="49">
        <v>30</v>
      </c>
      <c r="N100" s="198">
        <f t="shared" si="155"/>
        <v>150</v>
      </c>
      <c r="O100" s="198">
        <f t="shared" si="155"/>
        <v>160</v>
      </c>
      <c r="P100" s="198">
        <f t="shared" si="155"/>
        <v>270</v>
      </c>
      <c r="Q100" s="196">
        <f t="shared" si="90"/>
        <v>-4</v>
      </c>
    </row>
    <row r="101" spans="1:17" x14ac:dyDescent="0.25">
      <c r="A101" s="229">
        <f t="shared" ref="A101:B101" si="161">A100+1</f>
        <v>1591</v>
      </c>
      <c r="B101" s="230">
        <f t="shared" si="161"/>
        <v>91</v>
      </c>
      <c r="C101" s="229" t="str">
        <f t="shared" si="123"/>
        <v>21cX10+000_060_11</v>
      </c>
      <c r="D101" s="197">
        <f t="shared" si="102"/>
        <v>9.8000000000000007</v>
      </c>
      <c r="E101" s="204">
        <f t="shared" si="92"/>
        <v>1.8130000000000002</v>
      </c>
      <c r="F101" s="198">
        <f t="shared" si="106"/>
        <v>18.5</v>
      </c>
      <c r="G101" s="198">
        <f t="shared" si="94"/>
        <v>14.8</v>
      </c>
      <c r="H101" s="198">
        <f t="shared" si="95"/>
        <v>9.25</v>
      </c>
      <c r="I101" s="198">
        <f t="shared" si="152"/>
        <v>8</v>
      </c>
      <c r="J101" s="199">
        <f t="shared" si="152"/>
        <v>0</v>
      </c>
      <c r="K101" s="194" t="str">
        <f t="shared" si="160"/>
        <v>9.8-11</v>
      </c>
      <c r="L101" s="198">
        <f t="shared" si="154"/>
        <v>0.2</v>
      </c>
      <c r="M101" s="49">
        <v>60</v>
      </c>
      <c r="N101" s="198">
        <f t="shared" si="155"/>
        <v>150</v>
      </c>
      <c r="O101" s="198">
        <f t="shared" si="155"/>
        <v>160</v>
      </c>
      <c r="P101" s="198">
        <f t="shared" si="155"/>
        <v>270</v>
      </c>
      <c r="Q101" s="196">
        <f t="shared" si="90"/>
        <v>-4</v>
      </c>
    </row>
    <row r="102" spans="1:17" x14ac:dyDescent="0.25">
      <c r="A102" s="229">
        <f t="shared" ref="A102:B102" si="162">A101+1</f>
        <v>1592</v>
      </c>
      <c r="B102" s="230">
        <f t="shared" si="162"/>
        <v>92</v>
      </c>
      <c r="C102" s="229" t="str">
        <f t="shared" si="123"/>
        <v>21cX10+000_090_11</v>
      </c>
      <c r="D102" s="197">
        <f t="shared" si="102"/>
        <v>9.8000000000000007</v>
      </c>
      <c r="E102" s="204">
        <f t="shared" si="92"/>
        <v>1.8130000000000002</v>
      </c>
      <c r="F102" s="198">
        <f t="shared" si="106"/>
        <v>18.5</v>
      </c>
      <c r="G102" s="198">
        <f t="shared" si="94"/>
        <v>14.8</v>
      </c>
      <c r="H102" s="198">
        <f t="shared" si="95"/>
        <v>9.25</v>
      </c>
      <c r="I102" s="198">
        <f t="shared" si="152"/>
        <v>8</v>
      </c>
      <c r="J102" s="199">
        <f t="shared" si="152"/>
        <v>0</v>
      </c>
      <c r="K102" s="194" t="str">
        <f t="shared" si="160"/>
        <v>9.8-11</v>
      </c>
      <c r="L102" s="198">
        <f t="shared" si="154"/>
        <v>0.2</v>
      </c>
      <c r="M102" s="49">
        <v>90</v>
      </c>
      <c r="N102" s="198">
        <f t="shared" si="155"/>
        <v>150</v>
      </c>
      <c r="O102" s="198">
        <f t="shared" si="155"/>
        <v>160</v>
      </c>
      <c r="P102" s="198">
        <f t="shared" si="155"/>
        <v>270</v>
      </c>
      <c r="Q102" s="196">
        <f t="shared" si="90"/>
        <v>-4</v>
      </c>
    </row>
    <row r="103" spans="1:17" x14ac:dyDescent="0.25">
      <c r="A103" s="229">
        <f t="shared" ref="A103:B103" si="163">A102+1</f>
        <v>1593</v>
      </c>
      <c r="B103" s="230">
        <f t="shared" si="163"/>
        <v>93</v>
      </c>
      <c r="C103" s="229" t="str">
        <f t="shared" si="123"/>
        <v>21cX10+000_000_12</v>
      </c>
      <c r="D103" s="197">
        <f t="shared" si="102"/>
        <v>9.8000000000000007</v>
      </c>
      <c r="E103" s="204">
        <f t="shared" si="92"/>
        <v>1.8130000000000002</v>
      </c>
      <c r="F103" s="198">
        <f t="shared" si="106"/>
        <v>18.5</v>
      </c>
      <c r="G103" s="198">
        <f t="shared" si="94"/>
        <v>14.8</v>
      </c>
      <c r="H103" s="198">
        <f t="shared" si="95"/>
        <v>9.25</v>
      </c>
      <c r="I103" s="198">
        <f t="shared" si="152"/>
        <v>8</v>
      </c>
      <c r="J103" s="199">
        <f t="shared" si="152"/>
        <v>0</v>
      </c>
      <c r="K103" s="194" t="str">
        <f>D103&amp;-12</f>
        <v>9.8-12</v>
      </c>
      <c r="L103" s="198">
        <f t="shared" si="154"/>
        <v>0.2</v>
      </c>
      <c r="M103" s="49">
        <v>0</v>
      </c>
      <c r="N103" s="198">
        <f t="shared" si="155"/>
        <v>150</v>
      </c>
      <c r="O103" s="198">
        <f t="shared" si="155"/>
        <v>160</v>
      </c>
      <c r="P103" s="198">
        <f t="shared" si="155"/>
        <v>270</v>
      </c>
      <c r="Q103" s="196">
        <f t="shared" si="90"/>
        <v>-4</v>
      </c>
    </row>
    <row r="104" spans="1:17" x14ac:dyDescent="0.25">
      <c r="A104" s="229">
        <f t="shared" ref="A104:B104" si="164">A103+1</f>
        <v>1594</v>
      </c>
      <c r="B104" s="230">
        <f t="shared" si="164"/>
        <v>94</v>
      </c>
      <c r="C104" s="229" t="str">
        <f t="shared" si="123"/>
        <v>21cX10+000_030_12</v>
      </c>
      <c r="D104" s="197">
        <f t="shared" si="102"/>
        <v>9.8000000000000007</v>
      </c>
      <c r="E104" s="204">
        <f t="shared" si="92"/>
        <v>1.8130000000000002</v>
      </c>
      <c r="F104" s="198">
        <f t="shared" si="106"/>
        <v>18.5</v>
      </c>
      <c r="G104" s="198">
        <f t="shared" si="94"/>
        <v>14.8</v>
      </c>
      <c r="H104" s="198">
        <f t="shared" si="95"/>
        <v>9.25</v>
      </c>
      <c r="I104" s="198">
        <f t="shared" si="152"/>
        <v>8</v>
      </c>
      <c r="J104" s="199">
        <f t="shared" si="152"/>
        <v>0</v>
      </c>
      <c r="K104" s="194" t="str">
        <f t="shared" ref="K104:K106" si="165">D104&amp;-12</f>
        <v>9.8-12</v>
      </c>
      <c r="L104" s="198">
        <f t="shared" si="154"/>
        <v>0.2</v>
      </c>
      <c r="M104" s="49">
        <v>30</v>
      </c>
      <c r="N104" s="198">
        <f t="shared" si="155"/>
        <v>150</v>
      </c>
      <c r="O104" s="198">
        <f t="shared" si="155"/>
        <v>160</v>
      </c>
      <c r="P104" s="198">
        <f t="shared" si="155"/>
        <v>270</v>
      </c>
      <c r="Q104" s="196">
        <f t="shared" si="90"/>
        <v>-4</v>
      </c>
    </row>
    <row r="105" spans="1:17" x14ac:dyDescent="0.25">
      <c r="A105" s="229">
        <f t="shared" ref="A105:B105" si="166">A104+1</f>
        <v>1595</v>
      </c>
      <c r="B105" s="230">
        <f t="shared" si="166"/>
        <v>95</v>
      </c>
      <c r="C105" s="229" t="str">
        <f t="shared" si="123"/>
        <v>21cX10+000_060_12</v>
      </c>
      <c r="D105" s="197">
        <f t="shared" si="102"/>
        <v>9.8000000000000007</v>
      </c>
      <c r="E105" s="204">
        <f t="shared" si="92"/>
        <v>1.8130000000000002</v>
      </c>
      <c r="F105" s="198">
        <f t="shared" si="106"/>
        <v>18.5</v>
      </c>
      <c r="G105" s="198">
        <f t="shared" si="94"/>
        <v>14.8</v>
      </c>
      <c r="H105" s="198">
        <f t="shared" si="95"/>
        <v>9.25</v>
      </c>
      <c r="I105" s="198">
        <f t="shared" si="152"/>
        <v>8</v>
      </c>
      <c r="J105" s="199">
        <f t="shared" si="152"/>
        <v>0</v>
      </c>
      <c r="K105" s="194" t="str">
        <f t="shared" si="165"/>
        <v>9.8-12</v>
      </c>
      <c r="L105" s="198">
        <f t="shared" si="154"/>
        <v>0.2</v>
      </c>
      <c r="M105" s="49">
        <v>60</v>
      </c>
      <c r="N105" s="198">
        <f t="shared" si="155"/>
        <v>150</v>
      </c>
      <c r="O105" s="198">
        <f t="shared" si="155"/>
        <v>160</v>
      </c>
      <c r="P105" s="198">
        <f t="shared" si="155"/>
        <v>270</v>
      </c>
      <c r="Q105" s="196">
        <f t="shared" si="90"/>
        <v>-4</v>
      </c>
    </row>
    <row r="106" spans="1:17" x14ac:dyDescent="0.25">
      <c r="A106" s="229">
        <f t="shared" ref="A106:B106" si="167">A105+1</f>
        <v>1596</v>
      </c>
      <c r="B106" s="230">
        <f t="shared" si="167"/>
        <v>96</v>
      </c>
      <c r="C106" s="229" t="str">
        <f t="shared" si="123"/>
        <v>21cX10+000_090_12</v>
      </c>
      <c r="D106" s="197">
        <f t="shared" si="102"/>
        <v>9.8000000000000007</v>
      </c>
      <c r="E106" s="204">
        <f t="shared" si="92"/>
        <v>1.8130000000000002</v>
      </c>
      <c r="F106" s="198">
        <f t="shared" si="106"/>
        <v>18.5</v>
      </c>
      <c r="G106" s="198">
        <f t="shared" si="94"/>
        <v>14.8</v>
      </c>
      <c r="H106" s="198">
        <f t="shared" si="95"/>
        <v>9.25</v>
      </c>
      <c r="I106" s="198">
        <f t="shared" si="152"/>
        <v>8</v>
      </c>
      <c r="J106" s="199">
        <f t="shared" si="152"/>
        <v>0</v>
      </c>
      <c r="K106" s="194" t="str">
        <f t="shared" si="165"/>
        <v>9.8-12</v>
      </c>
      <c r="L106" s="198">
        <f t="shared" si="154"/>
        <v>0.2</v>
      </c>
      <c r="M106" s="49">
        <v>90</v>
      </c>
      <c r="N106" s="198">
        <f t="shared" si="155"/>
        <v>150</v>
      </c>
      <c r="O106" s="198">
        <f t="shared" si="155"/>
        <v>160</v>
      </c>
      <c r="P106" s="198">
        <f t="shared" si="155"/>
        <v>270</v>
      </c>
      <c r="Q106" s="196">
        <f t="shared" si="90"/>
        <v>-4</v>
      </c>
    </row>
    <row r="107" spans="1:17" x14ac:dyDescent="0.25">
      <c r="A107" s="229">
        <f t="shared" ref="A107:B107" si="168">A106+1</f>
        <v>1597</v>
      </c>
      <c r="B107" s="230">
        <f t="shared" si="168"/>
        <v>97</v>
      </c>
      <c r="C107" s="229" t="str">
        <f t="shared" si="123"/>
        <v>21cX12+000_000_01</v>
      </c>
      <c r="D107" s="197">
        <f>vr_a</f>
        <v>11.8</v>
      </c>
      <c r="E107" s="204">
        <f t="shared" ref="E107:E154" si="169">I_ref*(0.75*D107+5.6)</f>
        <v>2.0230000000000001</v>
      </c>
      <c r="F107" s="198">
        <f>E107/D107*100</f>
        <v>17.14406779661017</v>
      </c>
      <c r="G107" s="198">
        <f t="shared" ref="G107:G154" si="170">m_ty*F107</f>
        <v>13.715254237288136</v>
      </c>
      <c r="H107" s="198">
        <f t="shared" ref="H107:H154" si="171">m_tz*F107</f>
        <v>8.5720338983050848</v>
      </c>
      <c r="I107" s="198">
        <f>inflow</f>
        <v>8</v>
      </c>
      <c r="J107" s="199">
        <f>yaw_null</f>
        <v>0</v>
      </c>
      <c r="K107" s="194" t="str">
        <f>D107&amp;-1</f>
        <v>11.8-1</v>
      </c>
      <c r="L107" s="198">
        <f>alpha_n</f>
        <v>0.2</v>
      </c>
      <c r="M107" s="49">
        <v>0</v>
      </c>
      <c r="N107" s="198">
        <f>t_out</f>
        <v>150</v>
      </c>
      <c r="O107" s="198">
        <f>trig_t</f>
        <v>160</v>
      </c>
      <c r="P107" s="198">
        <f>N107+2*T_s2</f>
        <v>270</v>
      </c>
      <c r="Q107" s="196">
        <f t="shared" ref="Q107:Q154" si="172">1*pitch_runaway_fine</f>
        <v>-4</v>
      </c>
    </row>
    <row r="108" spans="1:17" x14ac:dyDescent="0.25">
      <c r="A108" s="229">
        <f t="shared" ref="A108:B108" si="173">A107+1</f>
        <v>1598</v>
      </c>
      <c r="B108" s="230">
        <f t="shared" si="173"/>
        <v>98</v>
      </c>
      <c r="C108" s="229" t="str">
        <f t="shared" si="123"/>
        <v>21cX12+000_030_01</v>
      </c>
      <c r="D108" s="197">
        <f t="shared" ref="D108:D112" si="174">D107</f>
        <v>11.8</v>
      </c>
      <c r="E108" s="204">
        <f t="shared" si="169"/>
        <v>2.0230000000000001</v>
      </c>
      <c r="F108" s="198">
        <f t="shared" ref="F108:F112" si="175">E108/D108*100</f>
        <v>17.14406779661017</v>
      </c>
      <c r="G108" s="198">
        <f t="shared" si="170"/>
        <v>13.715254237288136</v>
      </c>
      <c r="H108" s="198">
        <f t="shared" si="171"/>
        <v>8.5720338983050848</v>
      </c>
      <c r="I108" s="198">
        <f t="shared" ref="I108:J119" si="176">I107</f>
        <v>8</v>
      </c>
      <c r="J108" s="199">
        <f t="shared" si="176"/>
        <v>0</v>
      </c>
      <c r="K108" s="194" t="str">
        <f t="shared" ref="K108:K110" si="177">D108&amp;-1</f>
        <v>11.8-1</v>
      </c>
      <c r="L108" s="198">
        <f t="shared" ref="L108:L154" si="178">L107</f>
        <v>0.2</v>
      </c>
      <c r="M108" s="49">
        <v>30</v>
      </c>
      <c r="N108" s="198">
        <f t="shared" ref="N108:P118" si="179">N107</f>
        <v>150</v>
      </c>
      <c r="O108" s="198">
        <f t="shared" si="179"/>
        <v>160</v>
      </c>
      <c r="P108" s="198">
        <f t="shared" si="179"/>
        <v>270</v>
      </c>
      <c r="Q108" s="196">
        <f t="shared" si="172"/>
        <v>-4</v>
      </c>
    </row>
    <row r="109" spans="1:17" x14ac:dyDescent="0.25">
      <c r="A109" s="229">
        <f t="shared" ref="A109:B109" si="180">A108+1</f>
        <v>1599</v>
      </c>
      <c r="B109" s="230">
        <f t="shared" si="180"/>
        <v>99</v>
      </c>
      <c r="C109" s="229" t="str">
        <f t="shared" si="123"/>
        <v>21cX12+000_060_01</v>
      </c>
      <c r="D109" s="197">
        <f t="shared" si="174"/>
        <v>11.8</v>
      </c>
      <c r="E109" s="204">
        <f t="shared" si="169"/>
        <v>2.0230000000000001</v>
      </c>
      <c r="F109" s="198">
        <f t="shared" si="175"/>
        <v>17.14406779661017</v>
      </c>
      <c r="G109" s="198">
        <f t="shared" si="170"/>
        <v>13.715254237288136</v>
      </c>
      <c r="H109" s="198">
        <f t="shared" si="171"/>
        <v>8.5720338983050848</v>
      </c>
      <c r="I109" s="198">
        <f t="shared" si="176"/>
        <v>8</v>
      </c>
      <c r="J109" s="199">
        <f t="shared" si="176"/>
        <v>0</v>
      </c>
      <c r="K109" s="194" t="str">
        <f t="shared" si="177"/>
        <v>11.8-1</v>
      </c>
      <c r="L109" s="198">
        <f t="shared" si="178"/>
        <v>0.2</v>
      </c>
      <c r="M109" s="49">
        <v>60</v>
      </c>
      <c r="N109" s="198">
        <f t="shared" si="179"/>
        <v>150</v>
      </c>
      <c r="O109" s="198">
        <f t="shared" si="179"/>
        <v>160</v>
      </c>
      <c r="P109" s="198">
        <f t="shared" si="179"/>
        <v>270</v>
      </c>
      <c r="Q109" s="196">
        <f t="shared" si="172"/>
        <v>-4</v>
      </c>
    </row>
    <row r="110" spans="1:17" x14ac:dyDescent="0.25">
      <c r="A110" s="229">
        <f t="shared" ref="A110:B110" si="181">A109+1</f>
        <v>1600</v>
      </c>
      <c r="B110" s="230">
        <f t="shared" si="181"/>
        <v>100</v>
      </c>
      <c r="C110" s="229" t="str">
        <f t="shared" si="123"/>
        <v>21cX12+000_090_01</v>
      </c>
      <c r="D110" s="197">
        <f t="shared" si="174"/>
        <v>11.8</v>
      </c>
      <c r="E110" s="204">
        <f t="shared" si="169"/>
        <v>2.0230000000000001</v>
      </c>
      <c r="F110" s="198">
        <f t="shared" si="175"/>
        <v>17.14406779661017</v>
      </c>
      <c r="G110" s="198">
        <f t="shared" si="170"/>
        <v>13.715254237288136</v>
      </c>
      <c r="H110" s="198">
        <f t="shared" si="171"/>
        <v>8.5720338983050848</v>
      </c>
      <c r="I110" s="198">
        <f t="shared" si="176"/>
        <v>8</v>
      </c>
      <c r="J110" s="199">
        <f t="shared" si="176"/>
        <v>0</v>
      </c>
      <c r="K110" s="194" t="str">
        <f t="shared" si="177"/>
        <v>11.8-1</v>
      </c>
      <c r="L110" s="198">
        <f t="shared" si="178"/>
        <v>0.2</v>
      </c>
      <c r="M110" s="49">
        <v>90</v>
      </c>
      <c r="N110" s="198">
        <f t="shared" si="179"/>
        <v>150</v>
      </c>
      <c r="O110" s="198">
        <f t="shared" si="179"/>
        <v>160</v>
      </c>
      <c r="P110" s="198">
        <f t="shared" si="179"/>
        <v>270</v>
      </c>
      <c r="Q110" s="196">
        <f t="shared" si="172"/>
        <v>-4</v>
      </c>
    </row>
    <row r="111" spans="1:17" x14ac:dyDescent="0.25">
      <c r="A111" s="229">
        <f t="shared" ref="A111:B111" si="182">A110+1</f>
        <v>1601</v>
      </c>
      <c r="B111" s="230">
        <f t="shared" si="182"/>
        <v>101</v>
      </c>
      <c r="C111" s="229" t="str">
        <f t="shared" si="123"/>
        <v>21cX12+000_000_02</v>
      </c>
      <c r="D111" s="197">
        <f t="shared" si="174"/>
        <v>11.8</v>
      </c>
      <c r="E111" s="204">
        <f t="shared" si="169"/>
        <v>2.0230000000000001</v>
      </c>
      <c r="F111" s="198">
        <f t="shared" si="175"/>
        <v>17.14406779661017</v>
      </c>
      <c r="G111" s="198">
        <f t="shared" si="170"/>
        <v>13.715254237288136</v>
      </c>
      <c r="H111" s="198">
        <f t="shared" si="171"/>
        <v>8.5720338983050848</v>
      </c>
      <c r="I111" s="198">
        <f t="shared" si="176"/>
        <v>8</v>
      </c>
      <c r="J111" s="199">
        <f t="shared" si="176"/>
        <v>0</v>
      </c>
      <c r="K111" s="194" t="str">
        <f>D111&amp;-2</f>
        <v>11.8-2</v>
      </c>
      <c r="L111" s="198">
        <f t="shared" si="178"/>
        <v>0.2</v>
      </c>
      <c r="M111" s="49">
        <v>0</v>
      </c>
      <c r="N111" s="198">
        <f t="shared" si="179"/>
        <v>150</v>
      </c>
      <c r="O111" s="198">
        <f t="shared" si="179"/>
        <v>160</v>
      </c>
      <c r="P111" s="198">
        <f t="shared" si="179"/>
        <v>270</v>
      </c>
      <c r="Q111" s="196">
        <f t="shared" si="172"/>
        <v>-4</v>
      </c>
    </row>
    <row r="112" spans="1:17" x14ac:dyDescent="0.25">
      <c r="A112" s="229">
        <f t="shared" ref="A112:B112" si="183">A111+1</f>
        <v>1602</v>
      </c>
      <c r="B112" s="230">
        <f t="shared" si="183"/>
        <v>102</v>
      </c>
      <c r="C112" s="229" t="str">
        <f t="shared" si="123"/>
        <v>21cX12+000_030_02</v>
      </c>
      <c r="D112" s="197">
        <f t="shared" si="174"/>
        <v>11.8</v>
      </c>
      <c r="E112" s="204">
        <f t="shared" si="169"/>
        <v>2.0230000000000001</v>
      </c>
      <c r="F112" s="198">
        <f t="shared" si="175"/>
        <v>17.14406779661017</v>
      </c>
      <c r="G112" s="198">
        <f t="shared" si="170"/>
        <v>13.715254237288136</v>
      </c>
      <c r="H112" s="198">
        <f t="shared" si="171"/>
        <v>8.5720338983050848</v>
      </c>
      <c r="I112" s="198">
        <f t="shared" si="176"/>
        <v>8</v>
      </c>
      <c r="J112" s="199">
        <f t="shared" si="176"/>
        <v>0</v>
      </c>
      <c r="K112" s="194" t="str">
        <f t="shared" ref="K112:K114" si="184">D112&amp;-2</f>
        <v>11.8-2</v>
      </c>
      <c r="L112" s="198">
        <f t="shared" si="178"/>
        <v>0.2</v>
      </c>
      <c r="M112" s="49">
        <v>30</v>
      </c>
      <c r="N112" s="198">
        <f t="shared" si="179"/>
        <v>150</v>
      </c>
      <c r="O112" s="198">
        <f t="shared" si="179"/>
        <v>160</v>
      </c>
      <c r="P112" s="198">
        <f t="shared" si="179"/>
        <v>270</v>
      </c>
      <c r="Q112" s="196">
        <f t="shared" si="172"/>
        <v>-4</v>
      </c>
    </row>
    <row r="113" spans="1:17" x14ac:dyDescent="0.25">
      <c r="A113" s="229">
        <f t="shared" ref="A113:B113" si="185">A112+1</f>
        <v>1603</v>
      </c>
      <c r="B113" s="230">
        <f t="shared" si="185"/>
        <v>103</v>
      </c>
      <c r="C113" s="229" t="str">
        <f t="shared" si="123"/>
        <v>21cX12+000_060_02</v>
      </c>
      <c r="D113" s="197">
        <f t="shared" ref="D113:D154" si="186">D112</f>
        <v>11.8</v>
      </c>
      <c r="E113" s="204">
        <f t="shared" si="169"/>
        <v>2.0230000000000001</v>
      </c>
      <c r="F113" s="198">
        <f t="shared" ref="F113:F154" si="187">E113/D113*100</f>
        <v>17.14406779661017</v>
      </c>
      <c r="G113" s="198">
        <f t="shared" si="170"/>
        <v>13.715254237288136</v>
      </c>
      <c r="H113" s="198">
        <f t="shared" si="171"/>
        <v>8.5720338983050848</v>
      </c>
      <c r="I113" s="198">
        <f t="shared" si="176"/>
        <v>8</v>
      </c>
      <c r="J113" s="199">
        <f t="shared" si="176"/>
        <v>0</v>
      </c>
      <c r="K113" s="194" t="str">
        <f t="shared" si="184"/>
        <v>11.8-2</v>
      </c>
      <c r="L113" s="198">
        <f t="shared" si="178"/>
        <v>0.2</v>
      </c>
      <c r="M113" s="49">
        <v>60</v>
      </c>
      <c r="N113" s="198">
        <f t="shared" si="179"/>
        <v>150</v>
      </c>
      <c r="O113" s="198">
        <f t="shared" si="179"/>
        <v>160</v>
      </c>
      <c r="P113" s="198">
        <f t="shared" si="179"/>
        <v>270</v>
      </c>
      <c r="Q113" s="196">
        <f t="shared" si="172"/>
        <v>-4</v>
      </c>
    </row>
    <row r="114" spans="1:17" x14ac:dyDescent="0.25">
      <c r="A114" s="229">
        <f t="shared" ref="A114:B114" si="188">A113+1</f>
        <v>1604</v>
      </c>
      <c r="B114" s="230">
        <f t="shared" si="188"/>
        <v>104</v>
      </c>
      <c r="C114" s="229" t="str">
        <f t="shared" si="123"/>
        <v>21cX12+000_090_02</v>
      </c>
      <c r="D114" s="197">
        <f t="shared" si="186"/>
        <v>11.8</v>
      </c>
      <c r="E114" s="204">
        <f t="shared" si="169"/>
        <v>2.0230000000000001</v>
      </c>
      <c r="F114" s="198">
        <f t="shared" si="187"/>
        <v>17.14406779661017</v>
      </c>
      <c r="G114" s="198">
        <f t="shared" si="170"/>
        <v>13.715254237288136</v>
      </c>
      <c r="H114" s="198">
        <f t="shared" si="171"/>
        <v>8.5720338983050848</v>
      </c>
      <c r="I114" s="198">
        <f t="shared" si="176"/>
        <v>8</v>
      </c>
      <c r="J114" s="199">
        <f t="shared" si="176"/>
        <v>0</v>
      </c>
      <c r="K114" s="194" t="str">
        <f t="shared" si="184"/>
        <v>11.8-2</v>
      </c>
      <c r="L114" s="198">
        <f t="shared" si="178"/>
        <v>0.2</v>
      </c>
      <c r="M114" s="49">
        <v>90</v>
      </c>
      <c r="N114" s="198">
        <f t="shared" si="179"/>
        <v>150</v>
      </c>
      <c r="O114" s="198">
        <f t="shared" si="179"/>
        <v>160</v>
      </c>
      <c r="P114" s="198">
        <f t="shared" si="179"/>
        <v>270</v>
      </c>
      <c r="Q114" s="196">
        <f t="shared" si="172"/>
        <v>-4</v>
      </c>
    </row>
    <row r="115" spans="1:17" x14ac:dyDescent="0.25">
      <c r="A115" s="229">
        <f t="shared" ref="A115:B115" si="189">A114+1</f>
        <v>1605</v>
      </c>
      <c r="B115" s="230">
        <f t="shared" si="189"/>
        <v>105</v>
      </c>
      <c r="C115" s="229" t="str">
        <f t="shared" si="123"/>
        <v>21cX12+000_000_03</v>
      </c>
      <c r="D115" s="197">
        <f t="shared" si="186"/>
        <v>11.8</v>
      </c>
      <c r="E115" s="204">
        <f t="shared" si="169"/>
        <v>2.0230000000000001</v>
      </c>
      <c r="F115" s="198">
        <f t="shared" si="187"/>
        <v>17.14406779661017</v>
      </c>
      <c r="G115" s="198">
        <f t="shared" si="170"/>
        <v>13.715254237288136</v>
      </c>
      <c r="H115" s="198">
        <f t="shared" si="171"/>
        <v>8.5720338983050848</v>
      </c>
      <c r="I115" s="198">
        <f t="shared" si="176"/>
        <v>8</v>
      </c>
      <c r="J115" s="199">
        <f t="shared" si="176"/>
        <v>0</v>
      </c>
      <c r="K115" s="194" t="str">
        <f>D115&amp;-3</f>
        <v>11.8-3</v>
      </c>
      <c r="L115" s="198">
        <f t="shared" si="178"/>
        <v>0.2</v>
      </c>
      <c r="M115" s="49">
        <v>0</v>
      </c>
      <c r="N115" s="198">
        <f t="shared" si="179"/>
        <v>150</v>
      </c>
      <c r="O115" s="198">
        <f t="shared" si="179"/>
        <v>160</v>
      </c>
      <c r="P115" s="198">
        <f t="shared" si="179"/>
        <v>270</v>
      </c>
      <c r="Q115" s="196">
        <f t="shared" si="172"/>
        <v>-4</v>
      </c>
    </row>
    <row r="116" spans="1:17" x14ac:dyDescent="0.25">
      <c r="A116" s="229">
        <f t="shared" ref="A116:B116" si="190">A115+1</f>
        <v>1606</v>
      </c>
      <c r="B116" s="230">
        <f t="shared" si="190"/>
        <v>106</v>
      </c>
      <c r="C116" s="229" t="str">
        <f t="shared" si="123"/>
        <v>21cX12+000_030_03</v>
      </c>
      <c r="D116" s="197">
        <f t="shared" si="186"/>
        <v>11.8</v>
      </c>
      <c r="E116" s="204">
        <f t="shared" si="169"/>
        <v>2.0230000000000001</v>
      </c>
      <c r="F116" s="198">
        <f t="shared" si="187"/>
        <v>17.14406779661017</v>
      </c>
      <c r="G116" s="198">
        <f t="shared" si="170"/>
        <v>13.715254237288136</v>
      </c>
      <c r="H116" s="198">
        <f t="shared" si="171"/>
        <v>8.5720338983050848</v>
      </c>
      <c r="I116" s="198">
        <f t="shared" si="176"/>
        <v>8</v>
      </c>
      <c r="J116" s="199">
        <f t="shared" si="176"/>
        <v>0</v>
      </c>
      <c r="K116" s="194" t="str">
        <f t="shared" ref="K116:K118" si="191">D116&amp;-3</f>
        <v>11.8-3</v>
      </c>
      <c r="L116" s="198">
        <f t="shared" si="178"/>
        <v>0.2</v>
      </c>
      <c r="M116" s="49">
        <v>30</v>
      </c>
      <c r="N116" s="198">
        <f t="shared" si="179"/>
        <v>150</v>
      </c>
      <c r="O116" s="198">
        <f t="shared" si="179"/>
        <v>160</v>
      </c>
      <c r="P116" s="198">
        <f t="shared" si="179"/>
        <v>270</v>
      </c>
      <c r="Q116" s="196">
        <f t="shared" si="172"/>
        <v>-4</v>
      </c>
    </row>
    <row r="117" spans="1:17" x14ac:dyDescent="0.25">
      <c r="A117" s="229">
        <f t="shared" ref="A117:B117" si="192">A116+1</f>
        <v>1607</v>
      </c>
      <c r="B117" s="230">
        <f t="shared" si="192"/>
        <v>107</v>
      </c>
      <c r="C117" s="229" t="str">
        <f t="shared" si="123"/>
        <v>21cX12+000_060_03</v>
      </c>
      <c r="D117" s="197">
        <f t="shared" si="186"/>
        <v>11.8</v>
      </c>
      <c r="E117" s="204">
        <f t="shared" si="169"/>
        <v>2.0230000000000001</v>
      </c>
      <c r="F117" s="198">
        <f t="shared" si="187"/>
        <v>17.14406779661017</v>
      </c>
      <c r="G117" s="198">
        <f t="shared" si="170"/>
        <v>13.715254237288136</v>
      </c>
      <c r="H117" s="198">
        <f t="shared" si="171"/>
        <v>8.5720338983050848</v>
      </c>
      <c r="I117" s="198">
        <f t="shared" si="176"/>
        <v>8</v>
      </c>
      <c r="J117" s="199">
        <f t="shared" si="176"/>
        <v>0</v>
      </c>
      <c r="K117" s="194" t="str">
        <f t="shared" si="191"/>
        <v>11.8-3</v>
      </c>
      <c r="L117" s="198">
        <f t="shared" si="178"/>
        <v>0.2</v>
      </c>
      <c r="M117" s="49">
        <v>60</v>
      </c>
      <c r="N117" s="198">
        <f t="shared" si="179"/>
        <v>150</v>
      </c>
      <c r="O117" s="198">
        <f t="shared" si="179"/>
        <v>160</v>
      </c>
      <c r="P117" s="198">
        <f t="shared" si="179"/>
        <v>270</v>
      </c>
      <c r="Q117" s="196">
        <f t="shared" si="172"/>
        <v>-4</v>
      </c>
    </row>
    <row r="118" spans="1:17" x14ac:dyDescent="0.25">
      <c r="A118" s="229">
        <f t="shared" ref="A118:B118" si="193">A117+1</f>
        <v>1608</v>
      </c>
      <c r="B118" s="230">
        <f t="shared" si="193"/>
        <v>108</v>
      </c>
      <c r="C118" s="229" t="str">
        <f t="shared" si="123"/>
        <v>21cX12+000_090_03</v>
      </c>
      <c r="D118" s="197">
        <f t="shared" si="186"/>
        <v>11.8</v>
      </c>
      <c r="E118" s="204">
        <f t="shared" si="169"/>
        <v>2.0230000000000001</v>
      </c>
      <c r="F118" s="198">
        <f t="shared" si="187"/>
        <v>17.14406779661017</v>
      </c>
      <c r="G118" s="198">
        <f t="shared" si="170"/>
        <v>13.715254237288136</v>
      </c>
      <c r="H118" s="198">
        <f t="shared" si="171"/>
        <v>8.5720338983050848</v>
      </c>
      <c r="I118" s="198">
        <f t="shared" si="176"/>
        <v>8</v>
      </c>
      <c r="J118" s="199">
        <f t="shared" si="176"/>
        <v>0</v>
      </c>
      <c r="K118" s="194" t="str">
        <f t="shared" si="191"/>
        <v>11.8-3</v>
      </c>
      <c r="L118" s="198">
        <f t="shared" si="178"/>
        <v>0.2</v>
      </c>
      <c r="M118" s="49">
        <v>90</v>
      </c>
      <c r="N118" s="198">
        <f t="shared" si="179"/>
        <v>150</v>
      </c>
      <c r="O118" s="198">
        <f t="shared" si="179"/>
        <v>160</v>
      </c>
      <c r="P118" s="198">
        <f t="shared" si="179"/>
        <v>270</v>
      </c>
      <c r="Q118" s="196">
        <f t="shared" si="172"/>
        <v>-4</v>
      </c>
    </row>
    <row r="119" spans="1:17" x14ac:dyDescent="0.25">
      <c r="A119" s="229">
        <f t="shared" ref="A119:B119" si="194">A118+1</f>
        <v>1609</v>
      </c>
      <c r="B119" s="230">
        <f t="shared" si="194"/>
        <v>109</v>
      </c>
      <c r="C119" s="229" t="str">
        <f t="shared" si="123"/>
        <v>21cX12+000_000_04</v>
      </c>
      <c r="D119" s="197">
        <f t="shared" si="186"/>
        <v>11.8</v>
      </c>
      <c r="E119" s="204">
        <f t="shared" si="169"/>
        <v>2.0230000000000001</v>
      </c>
      <c r="F119" s="198">
        <f t="shared" si="187"/>
        <v>17.14406779661017</v>
      </c>
      <c r="G119" s="198">
        <f t="shared" si="170"/>
        <v>13.715254237288136</v>
      </c>
      <c r="H119" s="198">
        <f t="shared" si="171"/>
        <v>8.5720338983050848</v>
      </c>
      <c r="I119" s="198">
        <f t="shared" ref="I119" si="195">I118</f>
        <v>8</v>
      </c>
      <c r="J119" s="199">
        <f t="shared" si="176"/>
        <v>0</v>
      </c>
      <c r="K119" s="194" t="str">
        <f>D119&amp;-4</f>
        <v>11.8-4</v>
      </c>
      <c r="L119" s="198">
        <f t="shared" si="178"/>
        <v>0.2</v>
      </c>
      <c r="M119" s="49">
        <v>0</v>
      </c>
      <c r="N119" s="198">
        <f t="shared" ref="N119:P119" si="196">N118</f>
        <v>150</v>
      </c>
      <c r="O119" s="198">
        <f t="shared" si="196"/>
        <v>160</v>
      </c>
      <c r="P119" s="198">
        <f t="shared" si="196"/>
        <v>270</v>
      </c>
      <c r="Q119" s="196">
        <f t="shared" si="172"/>
        <v>-4</v>
      </c>
    </row>
    <row r="120" spans="1:17" x14ac:dyDescent="0.25">
      <c r="A120" s="229">
        <f t="shared" ref="A120:B120" si="197">A119+1</f>
        <v>1610</v>
      </c>
      <c r="B120" s="230">
        <f t="shared" si="197"/>
        <v>110</v>
      </c>
      <c r="C120" s="229" t="str">
        <f t="shared" si="123"/>
        <v>21cX12+000_030_04</v>
      </c>
      <c r="D120" s="197">
        <f t="shared" si="186"/>
        <v>11.8</v>
      </c>
      <c r="E120" s="204">
        <f t="shared" si="169"/>
        <v>2.0230000000000001</v>
      </c>
      <c r="F120" s="198">
        <f t="shared" si="187"/>
        <v>17.14406779661017</v>
      </c>
      <c r="G120" s="198">
        <f t="shared" si="170"/>
        <v>13.715254237288136</v>
      </c>
      <c r="H120" s="198">
        <f t="shared" si="171"/>
        <v>8.5720338983050848</v>
      </c>
      <c r="I120" s="198">
        <f t="shared" ref="I120" si="198">I119</f>
        <v>8</v>
      </c>
      <c r="J120" s="199">
        <f t="shared" ref="J120:J131" si="199">J119</f>
        <v>0</v>
      </c>
      <c r="K120" s="194" t="str">
        <f t="shared" ref="K120:K122" si="200">D120&amp;-4</f>
        <v>11.8-4</v>
      </c>
      <c r="L120" s="198">
        <f t="shared" si="178"/>
        <v>0.2</v>
      </c>
      <c r="M120" s="49">
        <v>30</v>
      </c>
      <c r="N120" s="198">
        <f t="shared" ref="N120:P120" si="201">N119</f>
        <v>150</v>
      </c>
      <c r="O120" s="198">
        <f t="shared" si="201"/>
        <v>160</v>
      </c>
      <c r="P120" s="198">
        <f t="shared" si="201"/>
        <v>270</v>
      </c>
      <c r="Q120" s="196">
        <f t="shared" si="172"/>
        <v>-4</v>
      </c>
    </row>
    <row r="121" spans="1:17" x14ac:dyDescent="0.25">
      <c r="A121" s="229">
        <f t="shared" ref="A121:B121" si="202">A120+1</f>
        <v>1611</v>
      </c>
      <c r="B121" s="230">
        <f t="shared" si="202"/>
        <v>111</v>
      </c>
      <c r="C121" s="229" t="str">
        <f t="shared" si="123"/>
        <v>21cX12+000_060_04</v>
      </c>
      <c r="D121" s="197">
        <f t="shared" si="186"/>
        <v>11.8</v>
      </c>
      <c r="E121" s="204">
        <f t="shared" si="169"/>
        <v>2.0230000000000001</v>
      </c>
      <c r="F121" s="198">
        <f t="shared" si="187"/>
        <v>17.14406779661017</v>
      </c>
      <c r="G121" s="198">
        <f t="shared" si="170"/>
        <v>13.715254237288136</v>
      </c>
      <c r="H121" s="198">
        <f t="shared" si="171"/>
        <v>8.5720338983050848</v>
      </c>
      <c r="I121" s="198">
        <f t="shared" ref="I121" si="203">I120</f>
        <v>8</v>
      </c>
      <c r="J121" s="199">
        <f t="shared" si="199"/>
        <v>0</v>
      </c>
      <c r="K121" s="194" t="str">
        <f t="shared" si="200"/>
        <v>11.8-4</v>
      </c>
      <c r="L121" s="198">
        <f t="shared" si="178"/>
        <v>0.2</v>
      </c>
      <c r="M121" s="49">
        <v>60</v>
      </c>
      <c r="N121" s="198">
        <f t="shared" ref="N121:P121" si="204">N120</f>
        <v>150</v>
      </c>
      <c r="O121" s="198">
        <f t="shared" si="204"/>
        <v>160</v>
      </c>
      <c r="P121" s="198">
        <f t="shared" si="204"/>
        <v>270</v>
      </c>
      <c r="Q121" s="196">
        <f t="shared" si="172"/>
        <v>-4</v>
      </c>
    </row>
    <row r="122" spans="1:17" x14ac:dyDescent="0.25">
      <c r="A122" s="229">
        <f t="shared" ref="A122:B122" si="205">A121+1</f>
        <v>1612</v>
      </c>
      <c r="B122" s="230">
        <f t="shared" si="205"/>
        <v>112</v>
      </c>
      <c r="C122" s="229" t="str">
        <f t="shared" si="123"/>
        <v>21cX12+000_090_04</v>
      </c>
      <c r="D122" s="197">
        <f t="shared" si="186"/>
        <v>11.8</v>
      </c>
      <c r="E122" s="204">
        <f t="shared" si="169"/>
        <v>2.0230000000000001</v>
      </c>
      <c r="F122" s="198">
        <f t="shared" si="187"/>
        <v>17.14406779661017</v>
      </c>
      <c r="G122" s="198">
        <f t="shared" si="170"/>
        <v>13.715254237288136</v>
      </c>
      <c r="H122" s="198">
        <f t="shared" si="171"/>
        <v>8.5720338983050848</v>
      </c>
      <c r="I122" s="198">
        <f t="shared" ref="I122" si="206">I121</f>
        <v>8</v>
      </c>
      <c r="J122" s="199">
        <f t="shared" si="199"/>
        <v>0</v>
      </c>
      <c r="K122" s="194" t="str">
        <f t="shared" si="200"/>
        <v>11.8-4</v>
      </c>
      <c r="L122" s="198">
        <f t="shared" si="178"/>
        <v>0.2</v>
      </c>
      <c r="M122" s="49">
        <v>90</v>
      </c>
      <c r="N122" s="198">
        <f t="shared" ref="N122:P122" si="207">N121</f>
        <v>150</v>
      </c>
      <c r="O122" s="198">
        <f t="shared" si="207"/>
        <v>160</v>
      </c>
      <c r="P122" s="198">
        <f t="shared" si="207"/>
        <v>270</v>
      </c>
      <c r="Q122" s="196">
        <f t="shared" si="172"/>
        <v>-4</v>
      </c>
    </row>
    <row r="123" spans="1:17" x14ac:dyDescent="0.25">
      <c r="A123" s="229">
        <f t="shared" ref="A123:B123" si="208">A122+1</f>
        <v>1613</v>
      </c>
      <c r="B123" s="230">
        <f t="shared" si="208"/>
        <v>113</v>
      </c>
      <c r="C123" s="229" t="str">
        <f t="shared" si="123"/>
        <v>21cX12+000_000_05</v>
      </c>
      <c r="D123" s="197">
        <f t="shared" si="186"/>
        <v>11.8</v>
      </c>
      <c r="E123" s="204">
        <f t="shared" si="169"/>
        <v>2.0230000000000001</v>
      </c>
      <c r="F123" s="198">
        <f t="shared" si="187"/>
        <v>17.14406779661017</v>
      </c>
      <c r="G123" s="198">
        <f t="shared" si="170"/>
        <v>13.715254237288136</v>
      </c>
      <c r="H123" s="198">
        <f t="shared" si="171"/>
        <v>8.5720338983050848</v>
      </c>
      <c r="I123" s="198">
        <f t="shared" ref="I123" si="209">I122</f>
        <v>8</v>
      </c>
      <c r="J123" s="199">
        <f t="shared" si="199"/>
        <v>0</v>
      </c>
      <c r="K123" s="194" t="str">
        <f>D123&amp;-5</f>
        <v>11.8-5</v>
      </c>
      <c r="L123" s="198">
        <f t="shared" si="178"/>
        <v>0.2</v>
      </c>
      <c r="M123" s="49">
        <v>0</v>
      </c>
      <c r="N123" s="198">
        <f t="shared" ref="N123:P123" si="210">N122</f>
        <v>150</v>
      </c>
      <c r="O123" s="198">
        <f t="shared" si="210"/>
        <v>160</v>
      </c>
      <c r="P123" s="198">
        <f t="shared" si="210"/>
        <v>270</v>
      </c>
      <c r="Q123" s="196">
        <f t="shared" si="172"/>
        <v>-4</v>
      </c>
    </row>
    <row r="124" spans="1:17" x14ac:dyDescent="0.25">
      <c r="A124" s="229">
        <f t="shared" ref="A124:B124" si="211">A123+1</f>
        <v>1614</v>
      </c>
      <c r="B124" s="230">
        <f t="shared" si="211"/>
        <v>114</v>
      </c>
      <c r="C124" s="229" t="str">
        <f t="shared" si="123"/>
        <v>21cX12+000_030_05</v>
      </c>
      <c r="D124" s="197">
        <f t="shared" si="186"/>
        <v>11.8</v>
      </c>
      <c r="E124" s="204">
        <f t="shared" si="169"/>
        <v>2.0230000000000001</v>
      </c>
      <c r="F124" s="198">
        <f t="shared" si="187"/>
        <v>17.14406779661017</v>
      </c>
      <c r="G124" s="198">
        <f t="shared" si="170"/>
        <v>13.715254237288136</v>
      </c>
      <c r="H124" s="198">
        <f t="shared" si="171"/>
        <v>8.5720338983050848</v>
      </c>
      <c r="I124" s="198">
        <f t="shared" ref="I124" si="212">I123</f>
        <v>8</v>
      </c>
      <c r="J124" s="199">
        <f t="shared" si="199"/>
        <v>0</v>
      </c>
      <c r="K124" s="194" t="str">
        <f t="shared" ref="K124:K126" si="213">D124&amp;-5</f>
        <v>11.8-5</v>
      </c>
      <c r="L124" s="198">
        <f t="shared" si="178"/>
        <v>0.2</v>
      </c>
      <c r="M124" s="49">
        <v>30</v>
      </c>
      <c r="N124" s="198">
        <f t="shared" ref="N124:P124" si="214">N123</f>
        <v>150</v>
      </c>
      <c r="O124" s="198">
        <f t="shared" si="214"/>
        <v>160</v>
      </c>
      <c r="P124" s="198">
        <f t="shared" si="214"/>
        <v>270</v>
      </c>
      <c r="Q124" s="196">
        <f t="shared" si="172"/>
        <v>-4</v>
      </c>
    </row>
    <row r="125" spans="1:17" x14ac:dyDescent="0.25">
      <c r="A125" s="229">
        <f t="shared" ref="A125:B125" si="215">A124+1</f>
        <v>1615</v>
      </c>
      <c r="B125" s="230">
        <f t="shared" si="215"/>
        <v>115</v>
      </c>
      <c r="C125" s="229" t="str">
        <f t="shared" si="123"/>
        <v>21cX12+000_060_05</v>
      </c>
      <c r="D125" s="197">
        <f t="shared" si="186"/>
        <v>11.8</v>
      </c>
      <c r="E125" s="204">
        <f t="shared" si="169"/>
        <v>2.0230000000000001</v>
      </c>
      <c r="F125" s="198">
        <f t="shared" si="187"/>
        <v>17.14406779661017</v>
      </c>
      <c r="G125" s="198">
        <f t="shared" si="170"/>
        <v>13.715254237288136</v>
      </c>
      <c r="H125" s="198">
        <f t="shared" si="171"/>
        <v>8.5720338983050848</v>
      </c>
      <c r="I125" s="198">
        <f t="shared" ref="I125" si="216">I124</f>
        <v>8</v>
      </c>
      <c r="J125" s="199">
        <f t="shared" si="199"/>
        <v>0</v>
      </c>
      <c r="K125" s="194" t="str">
        <f t="shared" si="213"/>
        <v>11.8-5</v>
      </c>
      <c r="L125" s="198">
        <f t="shared" si="178"/>
        <v>0.2</v>
      </c>
      <c r="M125" s="49">
        <v>60</v>
      </c>
      <c r="N125" s="198">
        <f t="shared" ref="N125:P125" si="217">N124</f>
        <v>150</v>
      </c>
      <c r="O125" s="198">
        <f t="shared" si="217"/>
        <v>160</v>
      </c>
      <c r="P125" s="198">
        <f t="shared" si="217"/>
        <v>270</v>
      </c>
      <c r="Q125" s="196">
        <f t="shared" si="172"/>
        <v>-4</v>
      </c>
    </row>
    <row r="126" spans="1:17" x14ac:dyDescent="0.25">
      <c r="A126" s="229">
        <f t="shared" ref="A126:B126" si="218">A125+1</f>
        <v>1616</v>
      </c>
      <c r="B126" s="230">
        <f t="shared" si="218"/>
        <v>116</v>
      </c>
      <c r="C126" s="229" t="str">
        <f t="shared" si="123"/>
        <v>21cX12+000_090_05</v>
      </c>
      <c r="D126" s="197">
        <f t="shared" si="186"/>
        <v>11.8</v>
      </c>
      <c r="E126" s="204">
        <f t="shared" si="169"/>
        <v>2.0230000000000001</v>
      </c>
      <c r="F126" s="198">
        <f t="shared" si="187"/>
        <v>17.14406779661017</v>
      </c>
      <c r="G126" s="198">
        <f t="shared" si="170"/>
        <v>13.715254237288136</v>
      </c>
      <c r="H126" s="198">
        <f t="shared" si="171"/>
        <v>8.5720338983050848</v>
      </c>
      <c r="I126" s="198">
        <f t="shared" ref="I126" si="219">I125</f>
        <v>8</v>
      </c>
      <c r="J126" s="199">
        <f t="shared" si="199"/>
        <v>0</v>
      </c>
      <c r="K126" s="194" t="str">
        <f t="shared" si="213"/>
        <v>11.8-5</v>
      </c>
      <c r="L126" s="198">
        <f t="shared" si="178"/>
        <v>0.2</v>
      </c>
      <c r="M126" s="49">
        <v>90</v>
      </c>
      <c r="N126" s="198">
        <f t="shared" ref="N126:P126" si="220">N125</f>
        <v>150</v>
      </c>
      <c r="O126" s="198">
        <f t="shared" si="220"/>
        <v>160</v>
      </c>
      <c r="P126" s="198">
        <f t="shared" si="220"/>
        <v>270</v>
      </c>
      <c r="Q126" s="196">
        <f t="shared" si="172"/>
        <v>-4</v>
      </c>
    </row>
    <row r="127" spans="1:17" x14ac:dyDescent="0.25">
      <c r="A127" s="229">
        <f t="shared" ref="A127:B127" si="221">A126+1</f>
        <v>1617</v>
      </c>
      <c r="B127" s="230">
        <f t="shared" si="221"/>
        <v>117</v>
      </c>
      <c r="C127" s="229" t="str">
        <f t="shared" si="123"/>
        <v>21cX12+000_000_06</v>
      </c>
      <c r="D127" s="197">
        <f t="shared" si="186"/>
        <v>11.8</v>
      </c>
      <c r="E127" s="204">
        <f t="shared" si="169"/>
        <v>2.0230000000000001</v>
      </c>
      <c r="F127" s="198">
        <f t="shared" si="187"/>
        <v>17.14406779661017</v>
      </c>
      <c r="G127" s="198">
        <f t="shared" si="170"/>
        <v>13.715254237288136</v>
      </c>
      <c r="H127" s="198">
        <f t="shared" si="171"/>
        <v>8.5720338983050848</v>
      </c>
      <c r="I127" s="198">
        <f t="shared" ref="I127" si="222">I126</f>
        <v>8</v>
      </c>
      <c r="J127" s="199">
        <f t="shared" si="199"/>
        <v>0</v>
      </c>
      <c r="K127" s="194" t="str">
        <f>D127&amp;-6</f>
        <v>11.8-6</v>
      </c>
      <c r="L127" s="198">
        <f t="shared" si="178"/>
        <v>0.2</v>
      </c>
      <c r="M127" s="49">
        <v>0</v>
      </c>
      <c r="N127" s="198">
        <f t="shared" ref="N127:P127" si="223">N126</f>
        <v>150</v>
      </c>
      <c r="O127" s="198">
        <f t="shared" si="223"/>
        <v>160</v>
      </c>
      <c r="P127" s="198">
        <f t="shared" si="223"/>
        <v>270</v>
      </c>
      <c r="Q127" s="196">
        <f t="shared" si="172"/>
        <v>-4</v>
      </c>
    </row>
    <row r="128" spans="1:17" x14ac:dyDescent="0.25">
      <c r="A128" s="229">
        <f t="shared" ref="A128:B128" si="224">A127+1</f>
        <v>1618</v>
      </c>
      <c r="B128" s="230">
        <f t="shared" si="224"/>
        <v>118</v>
      </c>
      <c r="C128" s="229" t="str">
        <f t="shared" si="123"/>
        <v>21cX12+000_030_06</v>
      </c>
      <c r="D128" s="197">
        <f t="shared" si="186"/>
        <v>11.8</v>
      </c>
      <c r="E128" s="204">
        <f t="shared" si="169"/>
        <v>2.0230000000000001</v>
      </c>
      <c r="F128" s="198">
        <f t="shared" si="187"/>
        <v>17.14406779661017</v>
      </c>
      <c r="G128" s="198">
        <f t="shared" si="170"/>
        <v>13.715254237288136</v>
      </c>
      <c r="H128" s="198">
        <f t="shared" si="171"/>
        <v>8.5720338983050848</v>
      </c>
      <c r="I128" s="198">
        <f t="shared" ref="I128" si="225">I127</f>
        <v>8</v>
      </c>
      <c r="J128" s="199">
        <f t="shared" si="199"/>
        <v>0</v>
      </c>
      <c r="K128" s="194" t="str">
        <f t="shared" ref="K128:K130" si="226">D128&amp;-6</f>
        <v>11.8-6</v>
      </c>
      <c r="L128" s="198">
        <f t="shared" si="178"/>
        <v>0.2</v>
      </c>
      <c r="M128" s="49">
        <v>30</v>
      </c>
      <c r="N128" s="198">
        <f t="shared" ref="N128:P128" si="227">N127</f>
        <v>150</v>
      </c>
      <c r="O128" s="198">
        <f t="shared" si="227"/>
        <v>160</v>
      </c>
      <c r="P128" s="198">
        <f t="shared" si="227"/>
        <v>270</v>
      </c>
      <c r="Q128" s="196">
        <f t="shared" si="172"/>
        <v>-4</v>
      </c>
    </row>
    <row r="129" spans="1:17" x14ac:dyDescent="0.25">
      <c r="A129" s="229">
        <f t="shared" ref="A129:B129" si="228">A128+1</f>
        <v>1619</v>
      </c>
      <c r="B129" s="230">
        <f t="shared" si="228"/>
        <v>119</v>
      </c>
      <c r="C129" s="229" t="str">
        <f t="shared" si="123"/>
        <v>21cX12+000_060_06</v>
      </c>
      <c r="D129" s="197">
        <f t="shared" si="186"/>
        <v>11.8</v>
      </c>
      <c r="E129" s="204">
        <f t="shared" si="169"/>
        <v>2.0230000000000001</v>
      </c>
      <c r="F129" s="198">
        <f t="shared" si="187"/>
        <v>17.14406779661017</v>
      </c>
      <c r="G129" s="198">
        <f t="shared" si="170"/>
        <v>13.715254237288136</v>
      </c>
      <c r="H129" s="198">
        <f t="shared" si="171"/>
        <v>8.5720338983050848</v>
      </c>
      <c r="I129" s="198">
        <f t="shared" ref="I129" si="229">I128</f>
        <v>8</v>
      </c>
      <c r="J129" s="199">
        <f t="shared" si="199"/>
        <v>0</v>
      </c>
      <c r="K129" s="194" t="str">
        <f t="shared" si="226"/>
        <v>11.8-6</v>
      </c>
      <c r="L129" s="198">
        <f t="shared" si="178"/>
        <v>0.2</v>
      </c>
      <c r="M129" s="49">
        <v>60</v>
      </c>
      <c r="N129" s="198">
        <f t="shared" ref="N129:P129" si="230">N128</f>
        <v>150</v>
      </c>
      <c r="O129" s="198">
        <f t="shared" si="230"/>
        <v>160</v>
      </c>
      <c r="P129" s="198">
        <f t="shared" si="230"/>
        <v>270</v>
      </c>
      <c r="Q129" s="196">
        <f t="shared" si="172"/>
        <v>-4</v>
      </c>
    </row>
    <row r="130" spans="1:17" x14ac:dyDescent="0.25">
      <c r="A130" s="229">
        <f t="shared" ref="A130:B130" si="231">A129+1</f>
        <v>1620</v>
      </c>
      <c r="B130" s="230">
        <f t="shared" si="231"/>
        <v>120</v>
      </c>
      <c r="C130" s="229" t="str">
        <f t="shared" si="123"/>
        <v>21cX12+000_090_06</v>
      </c>
      <c r="D130" s="197">
        <f t="shared" si="186"/>
        <v>11.8</v>
      </c>
      <c r="E130" s="204">
        <f t="shared" si="169"/>
        <v>2.0230000000000001</v>
      </c>
      <c r="F130" s="198">
        <f t="shared" si="187"/>
        <v>17.14406779661017</v>
      </c>
      <c r="G130" s="198">
        <f t="shared" si="170"/>
        <v>13.715254237288136</v>
      </c>
      <c r="H130" s="198">
        <f t="shared" si="171"/>
        <v>8.5720338983050848</v>
      </c>
      <c r="I130" s="198">
        <f t="shared" ref="I130" si="232">I129</f>
        <v>8</v>
      </c>
      <c r="J130" s="199">
        <f t="shared" si="199"/>
        <v>0</v>
      </c>
      <c r="K130" s="194" t="str">
        <f t="shared" si="226"/>
        <v>11.8-6</v>
      </c>
      <c r="L130" s="198">
        <f t="shared" si="178"/>
        <v>0.2</v>
      </c>
      <c r="M130" s="49">
        <v>90</v>
      </c>
      <c r="N130" s="198">
        <f t="shared" ref="N130:P130" si="233">N129</f>
        <v>150</v>
      </c>
      <c r="O130" s="198">
        <f t="shared" si="233"/>
        <v>160</v>
      </c>
      <c r="P130" s="198">
        <f t="shared" si="233"/>
        <v>270</v>
      </c>
      <c r="Q130" s="196">
        <f t="shared" si="172"/>
        <v>-4</v>
      </c>
    </row>
    <row r="131" spans="1:17" x14ac:dyDescent="0.25">
      <c r="A131" s="229">
        <f t="shared" ref="A131:B131" si="234">A130+1</f>
        <v>1621</v>
      </c>
      <c r="B131" s="230">
        <f t="shared" si="234"/>
        <v>121</v>
      </c>
      <c r="C131" s="229" t="str">
        <f t="shared" si="123"/>
        <v>21cX12+000_000_07</v>
      </c>
      <c r="D131" s="197">
        <f t="shared" si="186"/>
        <v>11.8</v>
      </c>
      <c r="E131" s="204">
        <f t="shared" si="169"/>
        <v>2.0230000000000001</v>
      </c>
      <c r="F131" s="198">
        <f t="shared" si="187"/>
        <v>17.14406779661017</v>
      </c>
      <c r="G131" s="198">
        <f t="shared" si="170"/>
        <v>13.715254237288136</v>
      </c>
      <c r="H131" s="198">
        <f t="shared" si="171"/>
        <v>8.5720338983050848</v>
      </c>
      <c r="I131" s="198">
        <f t="shared" ref="I131" si="235">I130</f>
        <v>8</v>
      </c>
      <c r="J131" s="199">
        <f t="shared" si="199"/>
        <v>0</v>
      </c>
      <c r="K131" s="194" t="str">
        <f>D131&amp;-7</f>
        <v>11.8-7</v>
      </c>
      <c r="L131" s="198">
        <f t="shared" si="178"/>
        <v>0.2</v>
      </c>
      <c r="M131" s="49">
        <v>0</v>
      </c>
      <c r="N131" s="198">
        <f t="shared" ref="N131:P131" si="236">N130</f>
        <v>150</v>
      </c>
      <c r="O131" s="198">
        <f t="shared" si="236"/>
        <v>160</v>
      </c>
      <c r="P131" s="198">
        <f t="shared" si="236"/>
        <v>270</v>
      </c>
      <c r="Q131" s="196">
        <f t="shared" si="172"/>
        <v>-4</v>
      </c>
    </row>
    <row r="132" spans="1:17" x14ac:dyDescent="0.25">
      <c r="A132" s="229">
        <f t="shared" ref="A132:B132" si="237">A131+1</f>
        <v>1622</v>
      </c>
      <c r="B132" s="230">
        <f t="shared" si="237"/>
        <v>122</v>
      </c>
      <c r="C132" s="229" t="str">
        <f t="shared" si="123"/>
        <v>21cX12+000_030_07</v>
      </c>
      <c r="D132" s="197">
        <f t="shared" si="186"/>
        <v>11.8</v>
      </c>
      <c r="E132" s="204">
        <f t="shared" si="169"/>
        <v>2.0230000000000001</v>
      </c>
      <c r="F132" s="198">
        <f t="shared" si="187"/>
        <v>17.14406779661017</v>
      </c>
      <c r="G132" s="198">
        <f t="shared" si="170"/>
        <v>13.715254237288136</v>
      </c>
      <c r="H132" s="198">
        <f t="shared" si="171"/>
        <v>8.5720338983050848</v>
      </c>
      <c r="I132" s="198">
        <f t="shared" ref="I132" si="238">I131</f>
        <v>8</v>
      </c>
      <c r="J132" s="199">
        <f t="shared" ref="J132:J143" si="239">J131</f>
        <v>0</v>
      </c>
      <c r="K132" s="194" t="str">
        <f t="shared" ref="K132:K134" si="240">D132&amp;-7</f>
        <v>11.8-7</v>
      </c>
      <c r="L132" s="198">
        <f t="shared" si="178"/>
        <v>0.2</v>
      </c>
      <c r="M132" s="49">
        <v>30</v>
      </c>
      <c r="N132" s="198">
        <f t="shared" ref="N132:P132" si="241">N131</f>
        <v>150</v>
      </c>
      <c r="O132" s="198">
        <f t="shared" si="241"/>
        <v>160</v>
      </c>
      <c r="P132" s="198">
        <f t="shared" si="241"/>
        <v>270</v>
      </c>
      <c r="Q132" s="196">
        <f t="shared" si="172"/>
        <v>-4</v>
      </c>
    </row>
    <row r="133" spans="1:17" x14ac:dyDescent="0.25">
      <c r="A133" s="229">
        <f t="shared" ref="A133:B133" si="242">A132+1</f>
        <v>1623</v>
      </c>
      <c r="B133" s="230">
        <f t="shared" si="242"/>
        <v>123</v>
      </c>
      <c r="C133" s="229" t="str">
        <f t="shared" si="123"/>
        <v>21cX12+000_060_07</v>
      </c>
      <c r="D133" s="197">
        <f t="shared" si="186"/>
        <v>11.8</v>
      </c>
      <c r="E133" s="204">
        <f t="shared" si="169"/>
        <v>2.0230000000000001</v>
      </c>
      <c r="F133" s="198">
        <f t="shared" si="187"/>
        <v>17.14406779661017</v>
      </c>
      <c r="G133" s="198">
        <f t="shared" si="170"/>
        <v>13.715254237288136</v>
      </c>
      <c r="H133" s="198">
        <f t="shared" si="171"/>
        <v>8.5720338983050848</v>
      </c>
      <c r="I133" s="198">
        <f t="shared" ref="I133" si="243">I132</f>
        <v>8</v>
      </c>
      <c r="J133" s="199">
        <f t="shared" si="239"/>
        <v>0</v>
      </c>
      <c r="K133" s="194" t="str">
        <f t="shared" si="240"/>
        <v>11.8-7</v>
      </c>
      <c r="L133" s="198">
        <f t="shared" si="178"/>
        <v>0.2</v>
      </c>
      <c r="M133" s="49">
        <v>60</v>
      </c>
      <c r="N133" s="198">
        <f t="shared" ref="N133:P133" si="244">N132</f>
        <v>150</v>
      </c>
      <c r="O133" s="198">
        <f t="shared" si="244"/>
        <v>160</v>
      </c>
      <c r="P133" s="198">
        <f t="shared" si="244"/>
        <v>270</v>
      </c>
      <c r="Q133" s="196">
        <f t="shared" si="172"/>
        <v>-4</v>
      </c>
    </row>
    <row r="134" spans="1:17" x14ac:dyDescent="0.25">
      <c r="A134" s="229">
        <f t="shared" ref="A134:B134" si="245">A133+1</f>
        <v>1624</v>
      </c>
      <c r="B134" s="230">
        <f t="shared" si="245"/>
        <v>124</v>
      </c>
      <c r="C134" s="229" t="str">
        <f t="shared" si="123"/>
        <v>21cX12+000_090_07</v>
      </c>
      <c r="D134" s="197">
        <f t="shared" si="186"/>
        <v>11.8</v>
      </c>
      <c r="E134" s="204">
        <f t="shared" si="169"/>
        <v>2.0230000000000001</v>
      </c>
      <c r="F134" s="198">
        <f t="shared" si="187"/>
        <v>17.14406779661017</v>
      </c>
      <c r="G134" s="198">
        <f t="shared" si="170"/>
        <v>13.715254237288136</v>
      </c>
      <c r="H134" s="198">
        <f t="shared" si="171"/>
        <v>8.5720338983050848</v>
      </c>
      <c r="I134" s="198">
        <f t="shared" ref="I134" si="246">I133</f>
        <v>8</v>
      </c>
      <c r="J134" s="199">
        <f t="shared" si="239"/>
        <v>0</v>
      </c>
      <c r="K134" s="194" t="str">
        <f t="shared" si="240"/>
        <v>11.8-7</v>
      </c>
      <c r="L134" s="198">
        <f t="shared" si="178"/>
        <v>0.2</v>
      </c>
      <c r="M134" s="49">
        <v>90</v>
      </c>
      <c r="N134" s="198">
        <f t="shared" ref="N134:P134" si="247">N133</f>
        <v>150</v>
      </c>
      <c r="O134" s="198">
        <f t="shared" si="247"/>
        <v>160</v>
      </c>
      <c r="P134" s="198">
        <f t="shared" si="247"/>
        <v>270</v>
      </c>
      <c r="Q134" s="196">
        <f t="shared" si="172"/>
        <v>-4</v>
      </c>
    </row>
    <row r="135" spans="1:17" x14ac:dyDescent="0.25">
      <c r="A135" s="229">
        <f t="shared" ref="A135:B135" si="248">A134+1</f>
        <v>1625</v>
      </c>
      <c r="B135" s="230">
        <f t="shared" si="248"/>
        <v>125</v>
      </c>
      <c r="C135" s="229" t="str">
        <f t="shared" si="123"/>
        <v>21cX12+000_000_08</v>
      </c>
      <c r="D135" s="197">
        <f t="shared" si="186"/>
        <v>11.8</v>
      </c>
      <c r="E135" s="204">
        <f t="shared" si="169"/>
        <v>2.0230000000000001</v>
      </c>
      <c r="F135" s="198">
        <f t="shared" si="187"/>
        <v>17.14406779661017</v>
      </c>
      <c r="G135" s="198">
        <f t="shared" si="170"/>
        <v>13.715254237288136</v>
      </c>
      <c r="H135" s="198">
        <f t="shared" si="171"/>
        <v>8.5720338983050848</v>
      </c>
      <c r="I135" s="198">
        <f t="shared" ref="I135" si="249">I134</f>
        <v>8</v>
      </c>
      <c r="J135" s="199">
        <f t="shared" si="239"/>
        <v>0</v>
      </c>
      <c r="K135" s="194" t="str">
        <f>D135&amp;-8</f>
        <v>11.8-8</v>
      </c>
      <c r="L135" s="198">
        <f t="shared" si="178"/>
        <v>0.2</v>
      </c>
      <c r="M135" s="49">
        <v>0</v>
      </c>
      <c r="N135" s="198">
        <f t="shared" ref="N135:P135" si="250">N134</f>
        <v>150</v>
      </c>
      <c r="O135" s="198">
        <f t="shared" si="250"/>
        <v>160</v>
      </c>
      <c r="P135" s="198">
        <f t="shared" si="250"/>
        <v>270</v>
      </c>
      <c r="Q135" s="196">
        <f t="shared" si="172"/>
        <v>-4</v>
      </c>
    </row>
    <row r="136" spans="1:17" x14ac:dyDescent="0.25">
      <c r="A136" s="229">
        <f t="shared" ref="A136:B136" si="251">A135+1</f>
        <v>1626</v>
      </c>
      <c r="B136" s="230">
        <f t="shared" si="251"/>
        <v>126</v>
      </c>
      <c r="C136" s="229" t="str">
        <f t="shared" si="123"/>
        <v>21cX12+000_030_08</v>
      </c>
      <c r="D136" s="197">
        <f t="shared" si="186"/>
        <v>11.8</v>
      </c>
      <c r="E136" s="204">
        <f t="shared" si="169"/>
        <v>2.0230000000000001</v>
      </c>
      <c r="F136" s="198">
        <f t="shared" si="187"/>
        <v>17.14406779661017</v>
      </c>
      <c r="G136" s="198">
        <f t="shared" si="170"/>
        <v>13.715254237288136</v>
      </c>
      <c r="H136" s="198">
        <f t="shared" si="171"/>
        <v>8.5720338983050848</v>
      </c>
      <c r="I136" s="198">
        <f t="shared" ref="I136" si="252">I135</f>
        <v>8</v>
      </c>
      <c r="J136" s="199">
        <f t="shared" si="239"/>
        <v>0</v>
      </c>
      <c r="K136" s="194" t="str">
        <f t="shared" ref="K136:K138" si="253">D136&amp;-8</f>
        <v>11.8-8</v>
      </c>
      <c r="L136" s="198">
        <f t="shared" si="178"/>
        <v>0.2</v>
      </c>
      <c r="M136" s="49">
        <v>30</v>
      </c>
      <c r="N136" s="198">
        <f t="shared" ref="N136:P136" si="254">N135</f>
        <v>150</v>
      </c>
      <c r="O136" s="198">
        <f t="shared" si="254"/>
        <v>160</v>
      </c>
      <c r="P136" s="198">
        <f t="shared" si="254"/>
        <v>270</v>
      </c>
      <c r="Q136" s="196">
        <f t="shared" si="172"/>
        <v>-4</v>
      </c>
    </row>
    <row r="137" spans="1:17" x14ac:dyDescent="0.25">
      <c r="A137" s="229">
        <f t="shared" ref="A137:B137" si="255">A136+1</f>
        <v>1627</v>
      </c>
      <c r="B137" s="230">
        <f t="shared" si="255"/>
        <v>127</v>
      </c>
      <c r="C137" s="229" t="str">
        <f t="shared" si="123"/>
        <v>21cX12+000_060_08</v>
      </c>
      <c r="D137" s="197">
        <f t="shared" si="186"/>
        <v>11.8</v>
      </c>
      <c r="E137" s="204">
        <f t="shared" si="169"/>
        <v>2.0230000000000001</v>
      </c>
      <c r="F137" s="198">
        <f t="shared" si="187"/>
        <v>17.14406779661017</v>
      </c>
      <c r="G137" s="198">
        <f t="shared" si="170"/>
        <v>13.715254237288136</v>
      </c>
      <c r="H137" s="198">
        <f t="shared" si="171"/>
        <v>8.5720338983050848</v>
      </c>
      <c r="I137" s="198">
        <f t="shared" ref="I137" si="256">I136</f>
        <v>8</v>
      </c>
      <c r="J137" s="199">
        <f t="shared" si="239"/>
        <v>0</v>
      </c>
      <c r="K137" s="194" t="str">
        <f t="shared" si="253"/>
        <v>11.8-8</v>
      </c>
      <c r="L137" s="198">
        <f t="shared" si="178"/>
        <v>0.2</v>
      </c>
      <c r="M137" s="49">
        <v>60</v>
      </c>
      <c r="N137" s="198">
        <f t="shared" ref="N137:P137" si="257">N136</f>
        <v>150</v>
      </c>
      <c r="O137" s="198">
        <f t="shared" si="257"/>
        <v>160</v>
      </c>
      <c r="P137" s="198">
        <f t="shared" si="257"/>
        <v>270</v>
      </c>
      <c r="Q137" s="196">
        <f t="shared" si="172"/>
        <v>-4</v>
      </c>
    </row>
    <row r="138" spans="1:17" x14ac:dyDescent="0.25">
      <c r="A138" s="229">
        <f t="shared" ref="A138:B138" si="258">A137+1</f>
        <v>1628</v>
      </c>
      <c r="B138" s="230">
        <f t="shared" si="258"/>
        <v>128</v>
      </c>
      <c r="C138" s="229" t="str">
        <f t="shared" si="123"/>
        <v>21cX12+000_090_08</v>
      </c>
      <c r="D138" s="197">
        <f t="shared" si="186"/>
        <v>11.8</v>
      </c>
      <c r="E138" s="204">
        <f t="shared" si="169"/>
        <v>2.0230000000000001</v>
      </c>
      <c r="F138" s="198">
        <f t="shared" si="187"/>
        <v>17.14406779661017</v>
      </c>
      <c r="G138" s="198">
        <f t="shared" si="170"/>
        <v>13.715254237288136</v>
      </c>
      <c r="H138" s="198">
        <f t="shared" si="171"/>
        <v>8.5720338983050848</v>
      </c>
      <c r="I138" s="198">
        <f t="shared" ref="I138" si="259">I137</f>
        <v>8</v>
      </c>
      <c r="J138" s="199">
        <f t="shared" si="239"/>
        <v>0</v>
      </c>
      <c r="K138" s="194" t="str">
        <f t="shared" si="253"/>
        <v>11.8-8</v>
      </c>
      <c r="L138" s="198">
        <f t="shared" si="178"/>
        <v>0.2</v>
      </c>
      <c r="M138" s="49">
        <v>90</v>
      </c>
      <c r="N138" s="198">
        <f t="shared" ref="N138:P138" si="260">N137</f>
        <v>150</v>
      </c>
      <c r="O138" s="198">
        <f t="shared" si="260"/>
        <v>160</v>
      </c>
      <c r="P138" s="198">
        <f t="shared" si="260"/>
        <v>270</v>
      </c>
      <c r="Q138" s="196">
        <f t="shared" si="172"/>
        <v>-4</v>
      </c>
    </row>
    <row r="139" spans="1:17" x14ac:dyDescent="0.25">
      <c r="A139" s="229">
        <f t="shared" ref="A139:B139" si="261">A138+1</f>
        <v>1629</v>
      </c>
      <c r="B139" s="230">
        <f t="shared" si="261"/>
        <v>129</v>
      </c>
      <c r="C139" s="229" t="str">
        <f t="shared" si="123"/>
        <v>21cX12+000_000_09</v>
      </c>
      <c r="D139" s="197">
        <f t="shared" si="186"/>
        <v>11.8</v>
      </c>
      <c r="E139" s="204">
        <f t="shared" si="169"/>
        <v>2.0230000000000001</v>
      </c>
      <c r="F139" s="198">
        <f t="shared" si="187"/>
        <v>17.14406779661017</v>
      </c>
      <c r="G139" s="198">
        <f t="shared" si="170"/>
        <v>13.715254237288136</v>
      </c>
      <c r="H139" s="198">
        <f t="shared" si="171"/>
        <v>8.5720338983050848</v>
      </c>
      <c r="I139" s="198">
        <f t="shared" ref="I139" si="262">I138</f>
        <v>8</v>
      </c>
      <c r="J139" s="199">
        <f t="shared" si="239"/>
        <v>0</v>
      </c>
      <c r="K139" s="194" t="str">
        <f>D139&amp;-9</f>
        <v>11.8-9</v>
      </c>
      <c r="L139" s="198">
        <f t="shared" si="178"/>
        <v>0.2</v>
      </c>
      <c r="M139" s="49">
        <v>0</v>
      </c>
      <c r="N139" s="198">
        <f t="shared" ref="N139:P139" si="263">N138</f>
        <v>150</v>
      </c>
      <c r="O139" s="198">
        <f t="shared" si="263"/>
        <v>160</v>
      </c>
      <c r="P139" s="198">
        <f t="shared" si="263"/>
        <v>270</v>
      </c>
      <c r="Q139" s="196">
        <f t="shared" si="172"/>
        <v>-4</v>
      </c>
    </row>
    <row r="140" spans="1:17" x14ac:dyDescent="0.25">
      <c r="A140" s="229">
        <f t="shared" ref="A140:B140" si="264">A139+1</f>
        <v>1630</v>
      </c>
      <c r="B140" s="230">
        <f t="shared" si="264"/>
        <v>130</v>
      </c>
      <c r="C140" s="229" t="str">
        <f t="shared" ref="C140:C203" si="265">TEXT(RIGHT($B$2,LEN($B$2)-3),"000")&amp;"X"&amp;TEXT(D140,"00")&amp;"+"&amp;IF(J140&lt;0,TEXT(360+J140,"000"),TEXT(J140,"000"))&amp;"_"&amp;TEXT(M140,"000")&amp;"_"&amp;TEXT(RIGHT(K140,LEN(K140)-FIND("-",K140)),"00")</f>
        <v>21cX12+000_030_09</v>
      </c>
      <c r="D140" s="197">
        <f t="shared" si="186"/>
        <v>11.8</v>
      </c>
      <c r="E140" s="204">
        <f t="shared" si="169"/>
        <v>2.0230000000000001</v>
      </c>
      <c r="F140" s="198">
        <f t="shared" si="187"/>
        <v>17.14406779661017</v>
      </c>
      <c r="G140" s="198">
        <f t="shared" si="170"/>
        <v>13.715254237288136</v>
      </c>
      <c r="H140" s="198">
        <f t="shared" si="171"/>
        <v>8.5720338983050848</v>
      </c>
      <c r="I140" s="198">
        <f t="shared" ref="I140" si="266">I139</f>
        <v>8</v>
      </c>
      <c r="J140" s="199">
        <f t="shared" si="239"/>
        <v>0</v>
      </c>
      <c r="K140" s="194" t="str">
        <f t="shared" ref="K140:K142" si="267">D140&amp;-9</f>
        <v>11.8-9</v>
      </c>
      <c r="L140" s="198">
        <f t="shared" si="178"/>
        <v>0.2</v>
      </c>
      <c r="M140" s="49">
        <v>30</v>
      </c>
      <c r="N140" s="198">
        <f t="shared" ref="N140:P140" si="268">N139</f>
        <v>150</v>
      </c>
      <c r="O140" s="198">
        <f t="shared" si="268"/>
        <v>160</v>
      </c>
      <c r="P140" s="198">
        <f t="shared" si="268"/>
        <v>270</v>
      </c>
      <c r="Q140" s="196">
        <f t="shared" si="172"/>
        <v>-4</v>
      </c>
    </row>
    <row r="141" spans="1:17" x14ac:dyDescent="0.25">
      <c r="A141" s="229">
        <f t="shared" ref="A141:B141" si="269">A140+1</f>
        <v>1631</v>
      </c>
      <c r="B141" s="230">
        <f t="shared" si="269"/>
        <v>131</v>
      </c>
      <c r="C141" s="229" t="str">
        <f t="shared" si="265"/>
        <v>21cX12+000_060_09</v>
      </c>
      <c r="D141" s="197">
        <f t="shared" si="186"/>
        <v>11.8</v>
      </c>
      <c r="E141" s="204">
        <f t="shared" si="169"/>
        <v>2.0230000000000001</v>
      </c>
      <c r="F141" s="198">
        <f t="shared" si="187"/>
        <v>17.14406779661017</v>
      </c>
      <c r="G141" s="198">
        <f t="shared" si="170"/>
        <v>13.715254237288136</v>
      </c>
      <c r="H141" s="198">
        <f t="shared" si="171"/>
        <v>8.5720338983050848</v>
      </c>
      <c r="I141" s="198">
        <f t="shared" ref="I141" si="270">I140</f>
        <v>8</v>
      </c>
      <c r="J141" s="199">
        <f t="shared" si="239"/>
        <v>0</v>
      </c>
      <c r="K141" s="194" t="str">
        <f t="shared" si="267"/>
        <v>11.8-9</v>
      </c>
      <c r="L141" s="198">
        <f t="shared" si="178"/>
        <v>0.2</v>
      </c>
      <c r="M141" s="49">
        <v>60</v>
      </c>
      <c r="N141" s="198">
        <f t="shared" ref="N141:P141" si="271">N140</f>
        <v>150</v>
      </c>
      <c r="O141" s="198">
        <f t="shared" si="271"/>
        <v>160</v>
      </c>
      <c r="P141" s="198">
        <f t="shared" si="271"/>
        <v>270</v>
      </c>
      <c r="Q141" s="196">
        <f t="shared" si="172"/>
        <v>-4</v>
      </c>
    </row>
    <row r="142" spans="1:17" x14ac:dyDescent="0.25">
      <c r="A142" s="229">
        <f t="shared" ref="A142:B142" si="272">A141+1</f>
        <v>1632</v>
      </c>
      <c r="B142" s="230">
        <f t="shared" si="272"/>
        <v>132</v>
      </c>
      <c r="C142" s="229" t="str">
        <f t="shared" si="265"/>
        <v>21cX12+000_090_09</v>
      </c>
      <c r="D142" s="197">
        <f t="shared" si="186"/>
        <v>11.8</v>
      </c>
      <c r="E142" s="204">
        <f t="shared" si="169"/>
        <v>2.0230000000000001</v>
      </c>
      <c r="F142" s="198">
        <f t="shared" si="187"/>
        <v>17.14406779661017</v>
      </c>
      <c r="G142" s="198">
        <f t="shared" si="170"/>
        <v>13.715254237288136</v>
      </c>
      <c r="H142" s="198">
        <f t="shared" si="171"/>
        <v>8.5720338983050848</v>
      </c>
      <c r="I142" s="198">
        <f t="shared" ref="I142" si="273">I141</f>
        <v>8</v>
      </c>
      <c r="J142" s="199">
        <f t="shared" si="239"/>
        <v>0</v>
      </c>
      <c r="K142" s="194" t="str">
        <f t="shared" si="267"/>
        <v>11.8-9</v>
      </c>
      <c r="L142" s="198">
        <f t="shared" si="178"/>
        <v>0.2</v>
      </c>
      <c r="M142" s="49">
        <v>90</v>
      </c>
      <c r="N142" s="198">
        <f t="shared" ref="N142:P142" si="274">N141</f>
        <v>150</v>
      </c>
      <c r="O142" s="198">
        <f t="shared" si="274"/>
        <v>160</v>
      </c>
      <c r="P142" s="198">
        <f t="shared" si="274"/>
        <v>270</v>
      </c>
      <c r="Q142" s="196">
        <f t="shared" si="172"/>
        <v>-4</v>
      </c>
    </row>
    <row r="143" spans="1:17" x14ac:dyDescent="0.25">
      <c r="A143" s="229">
        <f t="shared" ref="A143:B143" si="275">A142+1</f>
        <v>1633</v>
      </c>
      <c r="B143" s="230">
        <f t="shared" si="275"/>
        <v>133</v>
      </c>
      <c r="C143" s="229" t="str">
        <f t="shared" si="265"/>
        <v>21cX12+000_000_10</v>
      </c>
      <c r="D143" s="197">
        <f t="shared" si="186"/>
        <v>11.8</v>
      </c>
      <c r="E143" s="204">
        <f t="shared" si="169"/>
        <v>2.0230000000000001</v>
      </c>
      <c r="F143" s="198">
        <f t="shared" si="187"/>
        <v>17.14406779661017</v>
      </c>
      <c r="G143" s="198">
        <f t="shared" si="170"/>
        <v>13.715254237288136</v>
      </c>
      <c r="H143" s="198">
        <f t="shared" si="171"/>
        <v>8.5720338983050848</v>
      </c>
      <c r="I143" s="198">
        <f t="shared" ref="I143" si="276">I142</f>
        <v>8</v>
      </c>
      <c r="J143" s="199">
        <f t="shared" si="239"/>
        <v>0</v>
      </c>
      <c r="K143" s="194" t="str">
        <f>D143&amp;-10</f>
        <v>11.8-10</v>
      </c>
      <c r="L143" s="198">
        <f t="shared" si="178"/>
        <v>0.2</v>
      </c>
      <c r="M143" s="49">
        <v>0</v>
      </c>
      <c r="N143" s="198">
        <f t="shared" ref="N143:P143" si="277">N142</f>
        <v>150</v>
      </c>
      <c r="O143" s="198">
        <f t="shared" si="277"/>
        <v>160</v>
      </c>
      <c r="P143" s="198">
        <f t="shared" si="277"/>
        <v>270</v>
      </c>
      <c r="Q143" s="196">
        <f t="shared" si="172"/>
        <v>-4</v>
      </c>
    </row>
    <row r="144" spans="1:17" x14ac:dyDescent="0.25">
      <c r="A144" s="229">
        <f t="shared" ref="A144:B144" si="278">A143+1</f>
        <v>1634</v>
      </c>
      <c r="B144" s="230">
        <f t="shared" si="278"/>
        <v>134</v>
      </c>
      <c r="C144" s="229" t="str">
        <f t="shared" si="265"/>
        <v>21cX12+000_030_10</v>
      </c>
      <c r="D144" s="197">
        <f t="shared" si="186"/>
        <v>11.8</v>
      </c>
      <c r="E144" s="204">
        <f t="shared" si="169"/>
        <v>2.0230000000000001</v>
      </c>
      <c r="F144" s="198">
        <f t="shared" si="187"/>
        <v>17.14406779661017</v>
      </c>
      <c r="G144" s="198">
        <f t="shared" si="170"/>
        <v>13.715254237288136</v>
      </c>
      <c r="H144" s="198">
        <f t="shared" si="171"/>
        <v>8.5720338983050848</v>
      </c>
      <c r="I144" s="198">
        <f t="shared" ref="I144" si="279">I143</f>
        <v>8</v>
      </c>
      <c r="J144" s="199">
        <f t="shared" ref="J144:J154" si="280">J143</f>
        <v>0</v>
      </c>
      <c r="K144" s="194" t="str">
        <f t="shared" ref="K144:K146" si="281">D144&amp;-10</f>
        <v>11.8-10</v>
      </c>
      <c r="L144" s="198">
        <f t="shared" si="178"/>
        <v>0.2</v>
      </c>
      <c r="M144" s="49">
        <v>30</v>
      </c>
      <c r="N144" s="198">
        <f t="shared" ref="N144:P144" si="282">N143</f>
        <v>150</v>
      </c>
      <c r="O144" s="198">
        <f t="shared" si="282"/>
        <v>160</v>
      </c>
      <c r="P144" s="198">
        <f t="shared" si="282"/>
        <v>270</v>
      </c>
      <c r="Q144" s="196">
        <f t="shared" si="172"/>
        <v>-4</v>
      </c>
    </row>
    <row r="145" spans="1:17" x14ac:dyDescent="0.25">
      <c r="A145" s="229">
        <f t="shared" ref="A145:B145" si="283">A144+1</f>
        <v>1635</v>
      </c>
      <c r="B145" s="230">
        <f t="shared" si="283"/>
        <v>135</v>
      </c>
      <c r="C145" s="229" t="str">
        <f t="shared" si="265"/>
        <v>21cX12+000_060_10</v>
      </c>
      <c r="D145" s="197">
        <f t="shared" si="186"/>
        <v>11.8</v>
      </c>
      <c r="E145" s="204">
        <f t="shared" si="169"/>
        <v>2.0230000000000001</v>
      </c>
      <c r="F145" s="198">
        <f t="shared" si="187"/>
        <v>17.14406779661017</v>
      </c>
      <c r="G145" s="198">
        <f t="shared" si="170"/>
        <v>13.715254237288136</v>
      </c>
      <c r="H145" s="198">
        <f t="shared" si="171"/>
        <v>8.5720338983050848</v>
      </c>
      <c r="I145" s="198">
        <f t="shared" ref="I145" si="284">I144</f>
        <v>8</v>
      </c>
      <c r="J145" s="199">
        <f t="shared" si="280"/>
        <v>0</v>
      </c>
      <c r="K145" s="194" t="str">
        <f t="shared" si="281"/>
        <v>11.8-10</v>
      </c>
      <c r="L145" s="198">
        <f t="shared" si="178"/>
        <v>0.2</v>
      </c>
      <c r="M145" s="49">
        <v>60</v>
      </c>
      <c r="N145" s="198">
        <f t="shared" ref="N145:P145" si="285">N144</f>
        <v>150</v>
      </c>
      <c r="O145" s="198">
        <f t="shared" si="285"/>
        <v>160</v>
      </c>
      <c r="P145" s="198">
        <f t="shared" si="285"/>
        <v>270</v>
      </c>
      <c r="Q145" s="196">
        <f t="shared" si="172"/>
        <v>-4</v>
      </c>
    </row>
    <row r="146" spans="1:17" x14ac:dyDescent="0.25">
      <c r="A146" s="229">
        <f t="shared" ref="A146:B146" si="286">A145+1</f>
        <v>1636</v>
      </c>
      <c r="B146" s="230">
        <f t="shared" si="286"/>
        <v>136</v>
      </c>
      <c r="C146" s="229" t="str">
        <f t="shared" si="265"/>
        <v>21cX12+000_090_10</v>
      </c>
      <c r="D146" s="197">
        <f t="shared" si="186"/>
        <v>11.8</v>
      </c>
      <c r="E146" s="204">
        <f t="shared" si="169"/>
        <v>2.0230000000000001</v>
      </c>
      <c r="F146" s="198">
        <f t="shared" si="187"/>
        <v>17.14406779661017</v>
      </c>
      <c r="G146" s="198">
        <f t="shared" si="170"/>
        <v>13.715254237288136</v>
      </c>
      <c r="H146" s="198">
        <f t="shared" si="171"/>
        <v>8.5720338983050848</v>
      </c>
      <c r="I146" s="198">
        <f t="shared" ref="I146" si="287">I145</f>
        <v>8</v>
      </c>
      <c r="J146" s="199">
        <f t="shared" si="280"/>
        <v>0</v>
      </c>
      <c r="K146" s="194" t="str">
        <f t="shared" si="281"/>
        <v>11.8-10</v>
      </c>
      <c r="L146" s="198">
        <f t="shared" si="178"/>
        <v>0.2</v>
      </c>
      <c r="M146" s="49">
        <v>90</v>
      </c>
      <c r="N146" s="198">
        <f t="shared" ref="N146:P146" si="288">N145</f>
        <v>150</v>
      </c>
      <c r="O146" s="198">
        <f t="shared" si="288"/>
        <v>160</v>
      </c>
      <c r="P146" s="198">
        <f t="shared" si="288"/>
        <v>270</v>
      </c>
      <c r="Q146" s="196">
        <f t="shared" si="172"/>
        <v>-4</v>
      </c>
    </row>
    <row r="147" spans="1:17" x14ac:dyDescent="0.25">
      <c r="A147" s="229">
        <f t="shared" ref="A147:B147" si="289">A146+1</f>
        <v>1637</v>
      </c>
      <c r="B147" s="230">
        <f t="shared" si="289"/>
        <v>137</v>
      </c>
      <c r="C147" s="229" t="str">
        <f t="shared" si="265"/>
        <v>21cX12+000_000_11</v>
      </c>
      <c r="D147" s="197">
        <f t="shared" si="186"/>
        <v>11.8</v>
      </c>
      <c r="E147" s="204">
        <f t="shared" si="169"/>
        <v>2.0230000000000001</v>
      </c>
      <c r="F147" s="198">
        <f t="shared" si="187"/>
        <v>17.14406779661017</v>
      </c>
      <c r="G147" s="198">
        <f t="shared" si="170"/>
        <v>13.715254237288136</v>
      </c>
      <c r="H147" s="198">
        <f t="shared" si="171"/>
        <v>8.5720338983050848</v>
      </c>
      <c r="I147" s="198">
        <f t="shared" ref="I147" si="290">I146</f>
        <v>8</v>
      </c>
      <c r="J147" s="199">
        <f t="shared" si="280"/>
        <v>0</v>
      </c>
      <c r="K147" s="194" t="str">
        <f>D147&amp;-11</f>
        <v>11.8-11</v>
      </c>
      <c r="L147" s="198">
        <f t="shared" si="178"/>
        <v>0.2</v>
      </c>
      <c r="M147" s="49">
        <v>0</v>
      </c>
      <c r="N147" s="198">
        <f t="shared" ref="N147:P147" si="291">N146</f>
        <v>150</v>
      </c>
      <c r="O147" s="198">
        <f t="shared" si="291"/>
        <v>160</v>
      </c>
      <c r="P147" s="198">
        <f t="shared" si="291"/>
        <v>270</v>
      </c>
      <c r="Q147" s="196">
        <f t="shared" si="172"/>
        <v>-4</v>
      </c>
    </row>
    <row r="148" spans="1:17" x14ac:dyDescent="0.25">
      <c r="A148" s="229">
        <f t="shared" ref="A148:B148" si="292">A147+1</f>
        <v>1638</v>
      </c>
      <c r="B148" s="230">
        <f t="shared" si="292"/>
        <v>138</v>
      </c>
      <c r="C148" s="229" t="str">
        <f t="shared" si="265"/>
        <v>21cX12+000_030_11</v>
      </c>
      <c r="D148" s="197">
        <f t="shared" si="186"/>
        <v>11.8</v>
      </c>
      <c r="E148" s="204">
        <f t="shared" si="169"/>
        <v>2.0230000000000001</v>
      </c>
      <c r="F148" s="198">
        <f t="shared" si="187"/>
        <v>17.14406779661017</v>
      </c>
      <c r="G148" s="198">
        <f t="shared" si="170"/>
        <v>13.715254237288136</v>
      </c>
      <c r="H148" s="198">
        <f t="shared" si="171"/>
        <v>8.5720338983050848</v>
      </c>
      <c r="I148" s="198">
        <f t="shared" ref="I148" si="293">I147</f>
        <v>8</v>
      </c>
      <c r="J148" s="199">
        <f t="shared" si="280"/>
        <v>0</v>
      </c>
      <c r="K148" s="194" t="str">
        <f t="shared" ref="K148:K150" si="294">D148&amp;-11</f>
        <v>11.8-11</v>
      </c>
      <c r="L148" s="198">
        <f t="shared" si="178"/>
        <v>0.2</v>
      </c>
      <c r="M148" s="49">
        <v>30</v>
      </c>
      <c r="N148" s="198">
        <f t="shared" ref="N148:P148" si="295">N147</f>
        <v>150</v>
      </c>
      <c r="O148" s="198">
        <f t="shared" si="295"/>
        <v>160</v>
      </c>
      <c r="P148" s="198">
        <f t="shared" si="295"/>
        <v>270</v>
      </c>
      <c r="Q148" s="196">
        <f t="shared" si="172"/>
        <v>-4</v>
      </c>
    </row>
    <row r="149" spans="1:17" x14ac:dyDescent="0.25">
      <c r="A149" s="229">
        <f t="shared" ref="A149:B149" si="296">A148+1</f>
        <v>1639</v>
      </c>
      <c r="B149" s="230">
        <f t="shared" si="296"/>
        <v>139</v>
      </c>
      <c r="C149" s="229" t="str">
        <f t="shared" si="265"/>
        <v>21cX12+000_060_11</v>
      </c>
      <c r="D149" s="197">
        <f t="shared" si="186"/>
        <v>11.8</v>
      </c>
      <c r="E149" s="204">
        <f t="shared" si="169"/>
        <v>2.0230000000000001</v>
      </c>
      <c r="F149" s="198">
        <f t="shared" si="187"/>
        <v>17.14406779661017</v>
      </c>
      <c r="G149" s="198">
        <f t="shared" si="170"/>
        <v>13.715254237288136</v>
      </c>
      <c r="H149" s="198">
        <f t="shared" si="171"/>
        <v>8.5720338983050848</v>
      </c>
      <c r="I149" s="198">
        <f t="shared" ref="I149" si="297">I148</f>
        <v>8</v>
      </c>
      <c r="J149" s="199">
        <f t="shared" si="280"/>
        <v>0</v>
      </c>
      <c r="K149" s="194" t="str">
        <f t="shared" si="294"/>
        <v>11.8-11</v>
      </c>
      <c r="L149" s="198">
        <f t="shared" si="178"/>
        <v>0.2</v>
      </c>
      <c r="M149" s="49">
        <v>60</v>
      </c>
      <c r="N149" s="198">
        <f t="shared" ref="N149:P149" si="298">N148</f>
        <v>150</v>
      </c>
      <c r="O149" s="198">
        <f t="shared" si="298"/>
        <v>160</v>
      </c>
      <c r="P149" s="198">
        <f t="shared" si="298"/>
        <v>270</v>
      </c>
      <c r="Q149" s="196">
        <f t="shared" si="172"/>
        <v>-4</v>
      </c>
    </row>
    <row r="150" spans="1:17" x14ac:dyDescent="0.25">
      <c r="A150" s="229">
        <f t="shared" ref="A150:B150" si="299">A149+1</f>
        <v>1640</v>
      </c>
      <c r="B150" s="230">
        <f t="shared" si="299"/>
        <v>140</v>
      </c>
      <c r="C150" s="229" t="str">
        <f t="shared" si="265"/>
        <v>21cX12+000_090_11</v>
      </c>
      <c r="D150" s="197">
        <f t="shared" si="186"/>
        <v>11.8</v>
      </c>
      <c r="E150" s="204">
        <f t="shared" si="169"/>
        <v>2.0230000000000001</v>
      </c>
      <c r="F150" s="198">
        <f t="shared" si="187"/>
        <v>17.14406779661017</v>
      </c>
      <c r="G150" s="198">
        <f t="shared" si="170"/>
        <v>13.715254237288136</v>
      </c>
      <c r="H150" s="198">
        <f t="shared" si="171"/>
        <v>8.5720338983050848</v>
      </c>
      <c r="I150" s="198">
        <f t="shared" ref="I150" si="300">I149</f>
        <v>8</v>
      </c>
      <c r="J150" s="199">
        <f t="shared" si="280"/>
        <v>0</v>
      </c>
      <c r="K150" s="194" t="str">
        <f t="shared" si="294"/>
        <v>11.8-11</v>
      </c>
      <c r="L150" s="198">
        <f t="shared" si="178"/>
        <v>0.2</v>
      </c>
      <c r="M150" s="49">
        <v>90</v>
      </c>
      <c r="N150" s="198">
        <f t="shared" ref="N150:P150" si="301">N149</f>
        <v>150</v>
      </c>
      <c r="O150" s="198">
        <f t="shared" si="301"/>
        <v>160</v>
      </c>
      <c r="P150" s="198">
        <f t="shared" si="301"/>
        <v>270</v>
      </c>
      <c r="Q150" s="196">
        <f t="shared" si="172"/>
        <v>-4</v>
      </c>
    </row>
    <row r="151" spans="1:17" x14ac:dyDescent="0.25">
      <c r="A151" s="229">
        <f t="shared" ref="A151:B151" si="302">A150+1</f>
        <v>1641</v>
      </c>
      <c r="B151" s="230">
        <f t="shared" si="302"/>
        <v>141</v>
      </c>
      <c r="C151" s="229" t="str">
        <f t="shared" si="265"/>
        <v>21cX12+000_000_12</v>
      </c>
      <c r="D151" s="197">
        <f t="shared" si="186"/>
        <v>11.8</v>
      </c>
      <c r="E151" s="204">
        <f t="shared" si="169"/>
        <v>2.0230000000000001</v>
      </c>
      <c r="F151" s="198">
        <f t="shared" si="187"/>
        <v>17.14406779661017</v>
      </c>
      <c r="G151" s="198">
        <f t="shared" si="170"/>
        <v>13.715254237288136</v>
      </c>
      <c r="H151" s="198">
        <f t="shared" si="171"/>
        <v>8.5720338983050848</v>
      </c>
      <c r="I151" s="198">
        <f t="shared" ref="I151" si="303">I150</f>
        <v>8</v>
      </c>
      <c r="J151" s="199">
        <f t="shared" si="280"/>
        <v>0</v>
      </c>
      <c r="K151" s="194" t="str">
        <f>D151&amp;-12</f>
        <v>11.8-12</v>
      </c>
      <c r="L151" s="198">
        <f t="shared" si="178"/>
        <v>0.2</v>
      </c>
      <c r="M151" s="49">
        <v>0</v>
      </c>
      <c r="N151" s="198">
        <f t="shared" ref="N151:P151" si="304">N150</f>
        <v>150</v>
      </c>
      <c r="O151" s="198">
        <f t="shared" si="304"/>
        <v>160</v>
      </c>
      <c r="P151" s="198">
        <f t="shared" si="304"/>
        <v>270</v>
      </c>
      <c r="Q151" s="196">
        <f t="shared" si="172"/>
        <v>-4</v>
      </c>
    </row>
    <row r="152" spans="1:17" x14ac:dyDescent="0.25">
      <c r="A152" s="229">
        <f t="shared" ref="A152:B152" si="305">A151+1</f>
        <v>1642</v>
      </c>
      <c r="B152" s="230">
        <f t="shared" si="305"/>
        <v>142</v>
      </c>
      <c r="C152" s="229" t="str">
        <f t="shared" si="265"/>
        <v>21cX12+000_030_12</v>
      </c>
      <c r="D152" s="197">
        <f t="shared" si="186"/>
        <v>11.8</v>
      </c>
      <c r="E152" s="204">
        <f t="shared" si="169"/>
        <v>2.0230000000000001</v>
      </c>
      <c r="F152" s="198">
        <f t="shared" si="187"/>
        <v>17.14406779661017</v>
      </c>
      <c r="G152" s="198">
        <f t="shared" si="170"/>
        <v>13.715254237288136</v>
      </c>
      <c r="H152" s="198">
        <f t="shared" si="171"/>
        <v>8.5720338983050848</v>
      </c>
      <c r="I152" s="198">
        <f t="shared" ref="I152" si="306">I151</f>
        <v>8</v>
      </c>
      <c r="J152" s="199">
        <f t="shared" si="280"/>
        <v>0</v>
      </c>
      <c r="K152" s="194" t="str">
        <f t="shared" ref="K152:K154" si="307">D152&amp;-12</f>
        <v>11.8-12</v>
      </c>
      <c r="L152" s="198">
        <f t="shared" si="178"/>
        <v>0.2</v>
      </c>
      <c r="M152" s="49">
        <v>30</v>
      </c>
      <c r="N152" s="198">
        <f t="shared" ref="N152:P152" si="308">N151</f>
        <v>150</v>
      </c>
      <c r="O152" s="198">
        <f t="shared" si="308"/>
        <v>160</v>
      </c>
      <c r="P152" s="198">
        <f t="shared" si="308"/>
        <v>270</v>
      </c>
      <c r="Q152" s="196">
        <f t="shared" si="172"/>
        <v>-4</v>
      </c>
    </row>
    <row r="153" spans="1:17" x14ac:dyDescent="0.25">
      <c r="A153" s="229">
        <f t="shared" ref="A153:B153" si="309">A152+1</f>
        <v>1643</v>
      </c>
      <c r="B153" s="230">
        <f t="shared" si="309"/>
        <v>143</v>
      </c>
      <c r="C153" s="229" t="str">
        <f t="shared" si="265"/>
        <v>21cX12+000_060_12</v>
      </c>
      <c r="D153" s="197">
        <f t="shared" si="186"/>
        <v>11.8</v>
      </c>
      <c r="E153" s="204">
        <f t="shared" si="169"/>
        <v>2.0230000000000001</v>
      </c>
      <c r="F153" s="198">
        <f t="shared" si="187"/>
        <v>17.14406779661017</v>
      </c>
      <c r="G153" s="198">
        <f t="shared" si="170"/>
        <v>13.715254237288136</v>
      </c>
      <c r="H153" s="198">
        <f t="shared" si="171"/>
        <v>8.5720338983050848</v>
      </c>
      <c r="I153" s="198">
        <f t="shared" ref="I153" si="310">I152</f>
        <v>8</v>
      </c>
      <c r="J153" s="199">
        <f t="shared" si="280"/>
        <v>0</v>
      </c>
      <c r="K153" s="194" t="str">
        <f t="shared" si="307"/>
        <v>11.8-12</v>
      </c>
      <c r="L153" s="198">
        <f t="shared" si="178"/>
        <v>0.2</v>
      </c>
      <c r="M153" s="49">
        <v>60</v>
      </c>
      <c r="N153" s="198">
        <f t="shared" ref="N153:P153" si="311">N152</f>
        <v>150</v>
      </c>
      <c r="O153" s="198">
        <f t="shared" si="311"/>
        <v>160</v>
      </c>
      <c r="P153" s="198">
        <f t="shared" si="311"/>
        <v>270</v>
      </c>
      <c r="Q153" s="196">
        <f t="shared" si="172"/>
        <v>-4</v>
      </c>
    </row>
    <row r="154" spans="1:17" x14ac:dyDescent="0.25">
      <c r="A154" s="229">
        <f t="shared" ref="A154:B154" si="312">A153+1</f>
        <v>1644</v>
      </c>
      <c r="B154" s="230">
        <f t="shared" si="312"/>
        <v>144</v>
      </c>
      <c r="C154" s="229" t="str">
        <f t="shared" si="265"/>
        <v>21cX12+000_090_12</v>
      </c>
      <c r="D154" s="197">
        <f t="shared" si="186"/>
        <v>11.8</v>
      </c>
      <c r="E154" s="204">
        <f t="shared" si="169"/>
        <v>2.0230000000000001</v>
      </c>
      <c r="F154" s="198">
        <f t="shared" si="187"/>
        <v>17.14406779661017</v>
      </c>
      <c r="G154" s="198">
        <f t="shared" si="170"/>
        <v>13.715254237288136</v>
      </c>
      <c r="H154" s="198">
        <f t="shared" si="171"/>
        <v>8.5720338983050848</v>
      </c>
      <c r="I154" s="198">
        <f t="shared" ref="I154" si="313">I153</f>
        <v>8</v>
      </c>
      <c r="J154" s="199">
        <f t="shared" si="280"/>
        <v>0</v>
      </c>
      <c r="K154" s="194" t="str">
        <f t="shared" si="307"/>
        <v>11.8-12</v>
      </c>
      <c r="L154" s="198">
        <f t="shared" si="178"/>
        <v>0.2</v>
      </c>
      <c r="M154" s="49">
        <v>90</v>
      </c>
      <c r="N154" s="198">
        <f t="shared" ref="N154:P154" si="314">N153</f>
        <v>150</v>
      </c>
      <c r="O154" s="198">
        <f t="shared" si="314"/>
        <v>160</v>
      </c>
      <c r="P154" s="198">
        <f t="shared" si="314"/>
        <v>270</v>
      </c>
      <c r="Q154" s="196">
        <f t="shared" si="172"/>
        <v>-4</v>
      </c>
    </row>
    <row r="155" spans="1:17" x14ac:dyDescent="0.25">
      <c r="A155" s="229">
        <f t="shared" ref="A155:B155" si="315">A154+1</f>
        <v>1645</v>
      </c>
      <c r="B155" s="230">
        <f t="shared" si="315"/>
        <v>145</v>
      </c>
      <c r="C155" s="229" t="str">
        <f t="shared" si="265"/>
        <v>21cX20+000_000_01</v>
      </c>
      <c r="D155" s="197">
        <f>v_c</f>
        <v>20</v>
      </c>
      <c r="E155" s="204">
        <f t="shared" ref="E155:E198" si="316">I_ref*(0.75*D155+5.6)</f>
        <v>2.8840000000000003</v>
      </c>
      <c r="F155" s="198">
        <f>E155/D155*100</f>
        <v>14.420000000000002</v>
      </c>
      <c r="G155" s="198">
        <f t="shared" ref="G155:G202" si="317">m_ty*F155</f>
        <v>11.536000000000001</v>
      </c>
      <c r="H155" s="198">
        <f t="shared" ref="H155:H202" si="318">m_tz*F155</f>
        <v>7.2100000000000009</v>
      </c>
      <c r="I155" s="198">
        <f>inflow</f>
        <v>8</v>
      </c>
      <c r="J155" s="199">
        <f>yaw_null</f>
        <v>0</v>
      </c>
      <c r="K155" s="194" t="str">
        <f>D155&amp;-1</f>
        <v>20-1</v>
      </c>
      <c r="L155" s="198">
        <f>alpha_n</f>
        <v>0.2</v>
      </c>
      <c r="M155" s="49">
        <v>0</v>
      </c>
      <c r="N155" s="198">
        <f>t_out</f>
        <v>150</v>
      </c>
      <c r="O155" s="198">
        <f>trig_t</f>
        <v>160</v>
      </c>
      <c r="P155" s="198">
        <f>N155+2*T_s2</f>
        <v>270</v>
      </c>
      <c r="Q155" s="196">
        <f t="shared" ref="Q155:Q218" si="319">1*pitch_runaway_fine</f>
        <v>-4</v>
      </c>
    </row>
    <row r="156" spans="1:17" x14ac:dyDescent="0.25">
      <c r="A156" s="229">
        <f t="shared" ref="A156:B156" si="320">A155+1</f>
        <v>1646</v>
      </c>
      <c r="B156" s="230">
        <f t="shared" si="320"/>
        <v>146</v>
      </c>
      <c r="C156" s="229" t="str">
        <f t="shared" si="265"/>
        <v>21cX20+000_030_01</v>
      </c>
      <c r="D156" s="197">
        <f t="shared" ref="D156:D160" si="321">D155</f>
        <v>20</v>
      </c>
      <c r="E156" s="204">
        <f t="shared" si="316"/>
        <v>2.8840000000000003</v>
      </c>
      <c r="F156" s="198">
        <f t="shared" ref="F156:F160" si="322">E156/D156*100</f>
        <v>14.420000000000002</v>
      </c>
      <c r="G156" s="198">
        <f t="shared" si="317"/>
        <v>11.536000000000001</v>
      </c>
      <c r="H156" s="198">
        <f t="shared" si="318"/>
        <v>7.2100000000000009</v>
      </c>
      <c r="I156" s="198">
        <f t="shared" ref="I156:J167" si="323">I155</f>
        <v>8</v>
      </c>
      <c r="J156" s="199">
        <f t="shared" si="323"/>
        <v>0</v>
      </c>
      <c r="K156" s="194" t="str">
        <f t="shared" ref="K156:K158" si="324">D156&amp;-1</f>
        <v>20-1</v>
      </c>
      <c r="L156" s="198">
        <f t="shared" ref="L156:L219" si="325">L155</f>
        <v>0.2</v>
      </c>
      <c r="M156" s="49">
        <v>30</v>
      </c>
      <c r="N156" s="198">
        <f t="shared" ref="N156:P166" si="326">N155</f>
        <v>150</v>
      </c>
      <c r="O156" s="198">
        <f t="shared" si="326"/>
        <v>160</v>
      </c>
      <c r="P156" s="198">
        <f t="shared" si="326"/>
        <v>270</v>
      </c>
      <c r="Q156" s="196">
        <f t="shared" si="319"/>
        <v>-4</v>
      </c>
    </row>
    <row r="157" spans="1:17" x14ac:dyDescent="0.25">
      <c r="A157" s="229">
        <f t="shared" ref="A157:B157" si="327">A156+1</f>
        <v>1647</v>
      </c>
      <c r="B157" s="230">
        <f t="shared" si="327"/>
        <v>147</v>
      </c>
      <c r="C157" s="229" t="str">
        <f t="shared" si="265"/>
        <v>21cX20+000_060_01</v>
      </c>
      <c r="D157" s="197">
        <f t="shared" si="321"/>
        <v>20</v>
      </c>
      <c r="E157" s="204">
        <f t="shared" si="316"/>
        <v>2.8840000000000003</v>
      </c>
      <c r="F157" s="198">
        <f t="shared" si="322"/>
        <v>14.420000000000002</v>
      </c>
      <c r="G157" s="198">
        <f t="shared" si="317"/>
        <v>11.536000000000001</v>
      </c>
      <c r="H157" s="198">
        <f t="shared" si="318"/>
        <v>7.2100000000000009</v>
      </c>
      <c r="I157" s="198">
        <f t="shared" si="323"/>
        <v>8</v>
      </c>
      <c r="J157" s="199">
        <f t="shared" si="323"/>
        <v>0</v>
      </c>
      <c r="K157" s="194" t="str">
        <f t="shared" si="324"/>
        <v>20-1</v>
      </c>
      <c r="L157" s="198">
        <f t="shared" si="325"/>
        <v>0.2</v>
      </c>
      <c r="M157" s="49">
        <v>60</v>
      </c>
      <c r="N157" s="198">
        <f t="shared" si="326"/>
        <v>150</v>
      </c>
      <c r="O157" s="198">
        <f t="shared" si="326"/>
        <v>160</v>
      </c>
      <c r="P157" s="198">
        <f t="shared" si="326"/>
        <v>270</v>
      </c>
      <c r="Q157" s="196">
        <f t="shared" si="319"/>
        <v>-4</v>
      </c>
    </row>
    <row r="158" spans="1:17" x14ac:dyDescent="0.25">
      <c r="A158" s="229">
        <f t="shared" ref="A158:B158" si="328">A157+1</f>
        <v>1648</v>
      </c>
      <c r="B158" s="230">
        <f t="shared" si="328"/>
        <v>148</v>
      </c>
      <c r="C158" s="229" t="str">
        <f t="shared" si="265"/>
        <v>21cX20+000_090_01</v>
      </c>
      <c r="D158" s="197">
        <f t="shared" si="321"/>
        <v>20</v>
      </c>
      <c r="E158" s="204">
        <f t="shared" si="316"/>
        <v>2.8840000000000003</v>
      </c>
      <c r="F158" s="198">
        <f t="shared" si="322"/>
        <v>14.420000000000002</v>
      </c>
      <c r="G158" s="198">
        <f t="shared" si="317"/>
        <v>11.536000000000001</v>
      </c>
      <c r="H158" s="198">
        <f t="shared" si="318"/>
        <v>7.2100000000000009</v>
      </c>
      <c r="I158" s="198">
        <f t="shared" si="323"/>
        <v>8</v>
      </c>
      <c r="J158" s="199">
        <f t="shared" si="323"/>
        <v>0</v>
      </c>
      <c r="K158" s="194" t="str">
        <f t="shared" si="324"/>
        <v>20-1</v>
      </c>
      <c r="L158" s="198">
        <f t="shared" si="325"/>
        <v>0.2</v>
      </c>
      <c r="M158" s="49">
        <v>90</v>
      </c>
      <c r="N158" s="198">
        <f t="shared" si="326"/>
        <v>150</v>
      </c>
      <c r="O158" s="198">
        <f t="shared" si="326"/>
        <v>160</v>
      </c>
      <c r="P158" s="198">
        <f t="shared" si="326"/>
        <v>270</v>
      </c>
      <c r="Q158" s="196">
        <f t="shared" si="319"/>
        <v>-4</v>
      </c>
    </row>
    <row r="159" spans="1:17" x14ac:dyDescent="0.25">
      <c r="A159" s="229">
        <f t="shared" ref="A159:B159" si="329">A158+1</f>
        <v>1649</v>
      </c>
      <c r="B159" s="230">
        <f t="shared" si="329"/>
        <v>149</v>
      </c>
      <c r="C159" s="229" t="str">
        <f t="shared" si="265"/>
        <v>21cX20+000_000_02</v>
      </c>
      <c r="D159" s="197">
        <f t="shared" si="321"/>
        <v>20</v>
      </c>
      <c r="E159" s="204">
        <f t="shared" si="316"/>
        <v>2.8840000000000003</v>
      </c>
      <c r="F159" s="198">
        <f t="shared" si="322"/>
        <v>14.420000000000002</v>
      </c>
      <c r="G159" s="198">
        <f t="shared" si="317"/>
        <v>11.536000000000001</v>
      </c>
      <c r="H159" s="198">
        <f t="shared" si="318"/>
        <v>7.2100000000000009</v>
      </c>
      <c r="I159" s="198">
        <f t="shared" si="323"/>
        <v>8</v>
      </c>
      <c r="J159" s="199">
        <f t="shared" si="323"/>
        <v>0</v>
      </c>
      <c r="K159" s="194" t="str">
        <f>D159&amp;-2</f>
        <v>20-2</v>
      </c>
      <c r="L159" s="198">
        <f t="shared" si="325"/>
        <v>0.2</v>
      </c>
      <c r="M159" s="49">
        <v>0</v>
      </c>
      <c r="N159" s="198">
        <f t="shared" si="326"/>
        <v>150</v>
      </c>
      <c r="O159" s="198">
        <f t="shared" si="326"/>
        <v>160</v>
      </c>
      <c r="P159" s="198">
        <f t="shared" si="326"/>
        <v>270</v>
      </c>
      <c r="Q159" s="196">
        <f t="shared" si="319"/>
        <v>-4</v>
      </c>
    </row>
    <row r="160" spans="1:17" x14ac:dyDescent="0.25">
      <c r="A160" s="229">
        <f t="shared" ref="A160:B160" si="330">A159+1</f>
        <v>1650</v>
      </c>
      <c r="B160" s="230">
        <f t="shared" si="330"/>
        <v>150</v>
      </c>
      <c r="C160" s="229" t="str">
        <f t="shared" si="265"/>
        <v>21cX20+000_030_02</v>
      </c>
      <c r="D160" s="197">
        <f t="shared" si="321"/>
        <v>20</v>
      </c>
      <c r="E160" s="204">
        <f t="shared" si="316"/>
        <v>2.8840000000000003</v>
      </c>
      <c r="F160" s="198">
        <f t="shared" si="322"/>
        <v>14.420000000000002</v>
      </c>
      <c r="G160" s="198">
        <f t="shared" si="317"/>
        <v>11.536000000000001</v>
      </c>
      <c r="H160" s="198">
        <f t="shared" si="318"/>
        <v>7.2100000000000009</v>
      </c>
      <c r="I160" s="198">
        <f t="shared" si="323"/>
        <v>8</v>
      </c>
      <c r="J160" s="199">
        <f t="shared" si="323"/>
        <v>0</v>
      </c>
      <c r="K160" s="194" t="str">
        <f t="shared" ref="K160:K162" si="331">D160&amp;-2</f>
        <v>20-2</v>
      </c>
      <c r="L160" s="198">
        <f t="shared" si="325"/>
        <v>0.2</v>
      </c>
      <c r="M160" s="49">
        <v>30</v>
      </c>
      <c r="N160" s="198">
        <f t="shared" si="326"/>
        <v>150</v>
      </c>
      <c r="O160" s="198">
        <f t="shared" si="326"/>
        <v>160</v>
      </c>
      <c r="P160" s="198">
        <f t="shared" si="326"/>
        <v>270</v>
      </c>
      <c r="Q160" s="196">
        <f t="shared" si="319"/>
        <v>-4</v>
      </c>
    </row>
    <row r="161" spans="1:17" x14ac:dyDescent="0.25">
      <c r="A161" s="229">
        <f t="shared" ref="A161:B161" si="332">A160+1</f>
        <v>1651</v>
      </c>
      <c r="B161" s="230">
        <f t="shared" si="332"/>
        <v>151</v>
      </c>
      <c r="C161" s="229" t="str">
        <f t="shared" si="265"/>
        <v>21cX20+000_060_02</v>
      </c>
      <c r="D161" s="197">
        <f t="shared" ref="D161:D202" si="333">D160</f>
        <v>20</v>
      </c>
      <c r="E161" s="204">
        <f t="shared" si="316"/>
        <v>2.8840000000000003</v>
      </c>
      <c r="F161" s="198">
        <f t="shared" ref="F161:F202" si="334">E161/D161*100</f>
        <v>14.420000000000002</v>
      </c>
      <c r="G161" s="198">
        <f t="shared" si="317"/>
        <v>11.536000000000001</v>
      </c>
      <c r="H161" s="198">
        <f t="shared" si="318"/>
        <v>7.2100000000000009</v>
      </c>
      <c r="I161" s="198">
        <f t="shared" si="323"/>
        <v>8</v>
      </c>
      <c r="J161" s="199">
        <f t="shared" si="323"/>
        <v>0</v>
      </c>
      <c r="K161" s="194" t="str">
        <f t="shared" si="331"/>
        <v>20-2</v>
      </c>
      <c r="L161" s="198">
        <f t="shared" si="325"/>
        <v>0.2</v>
      </c>
      <c r="M161" s="49">
        <v>60</v>
      </c>
      <c r="N161" s="198">
        <f t="shared" si="326"/>
        <v>150</v>
      </c>
      <c r="O161" s="198">
        <f t="shared" si="326"/>
        <v>160</v>
      </c>
      <c r="P161" s="198">
        <f t="shared" si="326"/>
        <v>270</v>
      </c>
      <c r="Q161" s="196">
        <f t="shared" si="319"/>
        <v>-4</v>
      </c>
    </row>
    <row r="162" spans="1:17" x14ac:dyDescent="0.25">
      <c r="A162" s="229">
        <f t="shared" ref="A162:B162" si="335">A161+1</f>
        <v>1652</v>
      </c>
      <c r="B162" s="230">
        <f t="shared" si="335"/>
        <v>152</v>
      </c>
      <c r="C162" s="229" t="str">
        <f t="shared" si="265"/>
        <v>21cX20+000_090_02</v>
      </c>
      <c r="D162" s="197">
        <f t="shared" si="333"/>
        <v>20</v>
      </c>
      <c r="E162" s="204">
        <f t="shared" si="316"/>
        <v>2.8840000000000003</v>
      </c>
      <c r="F162" s="198">
        <f t="shared" si="334"/>
        <v>14.420000000000002</v>
      </c>
      <c r="G162" s="198">
        <f t="shared" si="317"/>
        <v>11.536000000000001</v>
      </c>
      <c r="H162" s="198">
        <f t="shared" si="318"/>
        <v>7.2100000000000009</v>
      </c>
      <c r="I162" s="198">
        <f t="shared" si="323"/>
        <v>8</v>
      </c>
      <c r="J162" s="199">
        <f t="shared" si="323"/>
        <v>0</v>
      </c>
      <c r="K162" s="194" t="str">
        <f t="shared" si="331"/>
        <v>20-2</v>
      </c>
      <c r="L162" s="198">
        <f t="shared" si="325"/>
        <v>0.2</v>
      </c>
      <c r="M162" s="49">
        <v>90</v>
      </c>
      <c r="N162" s="198">
        <f t="shared" si="326"/>
        <v>150</v>
      </c>
      <c r="O162" s="198">
        <f t="shared" si="326"/>
        <v>160</v>
      </c>
      <c r="P162" s="198">
        <f t="shared" si="326"/>
        <v>270</v>
      </c>
      <c r="Q162" s="196">
        <f t="shared" si="319"/>
        <v>-4</v>
      </c>
    </row>
    <row r="163" spans="1:17" x14ac:dyDescent="0.25">
      <c r="A163" s="229">
        <f t="shared" ref="A163:B163" si="336">A162+1</f>
        <v>1653</v>
      </c>
      <c r="B163" s="230">
        <f t="shared" si="336"/>
        <v>153</v>
      </c>
      <c r="C163" s="229" t="str">
        <f t="shared" si="265"/>
        <v>21cX20+000_000_03</v>
      </c>
      <c r="D163" s="197">
        <f t="shared" si="333"/>
        <v>20</v>
      </c>
      <c r="E163" s="204">
        <f t="shared" si="316"/>
        <v>2.8840000000000003</v>
      </c>
      <c r="F163" s="198">
        <f t="shared" si="334"/>
        <v>14.420000000000002</v>
      </c>
      <c r="G163" s="198">
        <f t="shared" si="317"/>
        <v>11.536000000000001</v>
      </c>
      <c r="H163" s="198">
        <f t="shared" si="318"/>
        <v>7.2100000000000009</v>
      </c>
      <c r="I163" s="198">
        <f t="shared" si="323"/>
        <v>8</v>
      </c>
      <c r="J163" s="199">
        <f t="shared" si="323"/>
        <v>0</v>
      </c>
      <c r="K163" s="194" t="str">
        <f>D163&amp;-3</f>
        <v>20-3</v>
      </c>
      <c r="L163" s="198">
        <f t="shared" si="325"/>
        <v>0.2</v>
      </c>
      <c r="M163" s="49">
        <v>0</v>
      </c>
      <c r="N163" s="198">
        <f t="shared" si="326"/>
        <v>150</v>
      </c>
      <c r="O163" s="198">
        <f t="shared" si="326"/>
        <v>160</v>
      </c>
      <c r="P163" s="198">
        <f t="shared" si="326"/>
        <v>270</v>
      </c>
      <c r="Q163" s="196">
        <f t="shared" si="319"/>
        <v>-4</v>
      </c>
    </row>
    <row r="164" spans="1:17" x14ac:dyDescent="0.25">
      <c r="A164" s="229">
        <f t="shared" ref="A164:B164" si="337">A163+1</f>
        <v>1654</v>
      </c>
      <c r="B164" s="230">
        <f t="shared" si="337"/>
        <v>154</v>
      </c>
      <c r="C164" s="229" t="str">
        <f t="shared" si="265"/>
        <v>21cX20+000_030_03</v>
      </c>
      <c r="D164" s="197">
        <f t="shared" si="333"/>
        <v>20</v>
      </c>
      <c r="E164" s="204">
        <f t="shared" si="316"/>
        <v>2.8840000000000003</v>
      </c>
      <c r="F164" s="198">
        <f t="shared" si="334"/>
        <v>14.420000000000002</v>
      </c>
      <c r="G164" s="198">
        <f t="shared" si="317"/>
        <v>11.536000000000001</v>
      </c>
      <c r="H164" s="198">
        <f t="shared" si="318"/>
        <v>7.2100000000000009</v>
      </c>
      <c r="I164" s="198">
        <f t="shared" si="323"/>
        <v>8</v>
      </c>
      <c r="J164" s="199">
        <f t="shared" si="323"/>
        <v>0</v>
      </c>
      <c r="K164" s="194" t="str">
        <f t="shared" ref="K164:K166" si="338">D164&amp;-3</f>
        <v>20-3</v>
      </c>
      <c r="L164" s="198">
        <f t="shared" si="325"/>
        <v>0.2</v>
      </c>
      <c r="M164" s="49">
        <v>30</v>
      </c>
      <c r="N164" s="198">
        <f t="shared" si="326"/>
        <v>150</v>
      </c>
      <c r="O164" s="198">
        <f t="shared" si="326"/>
        <v>160</v>
      </c>
      <c r="P164" s="198">
        <f t="shared" si="326"/>
        <v>270</v>
      </c>
      <c r="Q164" s="196">
        <f t="shared" si="319"/>
        <v>-4</v>
      </c>
    </row>
    <row r="165" spans="1:17" x14ac:dyDescent="0.25">
      <c r="A165" s="229">
        <f t="shared" ref="A165:B165" si="339">A164+1</f>
        <v>1655</v>
      </c>
      <c r="B165" s="230">
        <f t="shared" si="339"/>
        <v>155</v>
      </c>
      <c r="C165" s="229" t="str">
        <f t="shared" si="265"/>
        <v>21cX20+000_060_03</v>
      </c>
      <c r="D165" s="197">
        <f t="shared" si="333"/>
        <v>20</v>
      </c>
      <c r="E165" s="204">
        <f t="shared" si="316"/>
        <v>2.8840000000000003</v>
      </c>
      <c r="F165" s="198">
        <f t="shared" si="334"/>
        <v>14.420000000000002</v>
      </c>
      <c r="G165" s="198">
        <f t="shared" si="317"/>
        <v>11.536000000000001</v>
      </c>
      <c r="H165" s="198">
        <f t="shared" si="318"/>
        <v>7.2100000000000009</v>
      </c>
      <c r="I165" s="198">
        <f t="shared" si="323"/>
        <v>8</v>
      </c>
      <c r="J165" s="199">
        <f t="shared" si="323"/>
        <v>0</v>
      </c>
      <c r="K165" s="194" t="str">
        <f t="shared" si="338"/>
        <v>20-3</v>
      </c>
      <c r="L165" s="198">
        <f t="shared" si="325"/>
        <v>0.2</v>
      </c>
      <c r="M165" s="49">
        <v>60</v>
      </c>
      <c r="N165" s="198">
        <f t="shared" si="326"/>
        <v>150</v>
      </c>
      <c r="O165" s="198">
        <f t="shared" si="326"/>
        <v>160</v>
      </c>
      <c r="P165" s="198">
        <f t="shared" si="326"/>
        <v>270</v>
      </c>
      <c r="Q165" s="196">
        <f t="shared" si="319"/>
        <v>-4</v>
      </c>
    </row>
    <row r="166" spans="1:17" x14ac:dyDescent="0.25">
      <c r="A166" s="229">
        <f t="shared" ref="A166:B166" si="340">A165+1</f>
        <v>1656</v>
      </c>
      <c r="B166" s="230">
        <f t="shared" si="340"/>
        <v>156</v>
      </c>
      <c r="C166" s="229" t="str">
        <f t="shared" si="265"/>
        <v>21cX20+000_090_03</v>
      </c>
      <c r="D166" s="197">
        <f t="shared" si="333"/>
        <v>20</v>
      </c>
      <c r="E166" s="204">
        <f t="shared" si="316"/>
        <v>2.8840000000000003</v>
      </c>
      <c r="F166" s="198">
        <f t="shared" si="334"/>
        <v>14.420000000000002</v>
      </c>
      <c r="G166" s="198">
        <f t="shared" si="317"/>
        <v>11.536000000000001</v>
      </c>
      <c r="H166" s="198">
        <f t="shared" si="318"/>
        <v>7.2100000000000009</v>
      </c>
      <c r="I166" s="198">
        <f t="shared" si="323"/>
        <v>8</v>
      </c>
      <c r="J166" s="199">
        <f t="shared" si="323"/>
        <v>0</v>
      </c>
      <c r="K166" s="194" t="str">
        <f t="shared" si="338"/>
        <v>20-3</v>
      </c>
      <c r="L166" s="198">
        <f t="shared" si="325"/>
        <v>0.2</v>
      </c>
      <c r="M166" s="49">
        <v>90</v>
      </c>
      <c r="N166" s="198">
        <f t="shared" si="326"/>
        <v>150</v>
      </c>
      <c r="O166" s="198">
        <f t="shared" si="326"/>
        <v>160</v>
      </c>
      <c r="P166" s="198">
        <f t="shared" si="326"/>
        <v>270</v>
      </c>
      <c r="Q166" s="196">
        <f t="shared" si="319"/>
        <v>-4</v>
      </c>
    </row>
    <row r="167" spans="1:17" x14ac:dyDescent="0.25">
      <c r="A167" s="229">
        <f t="shared" ref="A167:B167" si="341">A166+1</f>
        <v>1657</v>
      </c>
      <c r="B167" s="230">
        <f t="shared" si="341"/>
        <v>157</v>
      </c>
      <c r="C167" s="229" t="str">
        <f t="shared" si="265"/>
        <v>21cX20+000_000_04</v>
      </c>
      <c r="D167" s="197">
        <f t="shared" si="333"/>
        <v>20</v>
      </c>
      <c r="E167" s="204">
        <f t="shared" si="316"/>
        <v>2.8840000000000003</v>
      </c>
      <c r="F167" s="198">
        <f t="shared" si="334"/>
        <v>14.420000000000002</v>
      </c>
      <c r="G167" s="198">
        <f t="shared" si="317"/>
        <v>11.536000000000001</v>
      </c>
      <c r="H167" s="198">
        <f t="shared" si="318"/>
        <v>7.2100000000000009</v>
      </c>
      <c r="I167" s="198">
        <f t="shared" ref="I167" si="342">I166</f>
        <v>8</v>
      </c>
      <c r="J167" s="199">
        <f t="shared" si="323"/>
        <v>0</v>
      </c>
      <c r="K167" s="194" t="str">
        <f>D167&amp;-4</f>
        <v>20-4</v>
      </c>
      <c r="L167" s="198">
        <f t="shared" si="325"/>
        <v>0.2</v>
      </c>
      <c r="M167" s="49">
        <v>0</v>
      </c>
      <c r="N167" s="198">
        <f t="shared" ref="N167:P167" si="343">N166</f>
        <v>150</v>
      </c>
      <c r="O167" s="198">
        <f t="shared" si="343"/>
        <v>160</v>
      </c>
      <c r="P167" s="198">
        <f t="shared" si="343"/>
        <v>270</v>
      </c>
      <c r="Q167" s="196">
        <f t="shared" si="319"/>
        <v>-4</v>
      </c>
    </row>
    <row r="168" spans="1:17" x14ac:dyDescent="0.25">
      <c r="A168" s="229">
        <f t="shared" ref="A168:B168" si="344">A167+1</f>
        <v>1658</v>
      </c>
      <c r="B168" s="230">
        <f t="shared" si="344"/>
        <v>158</v>
      </c>
      <c r="C168" s="229" t="str">
        <f t="shared" si="265"/>
        <v>21cX20+000_030_04</v>
      </c>
      <c r="D168" s="197">
        <f t="shared" si="333"/>
        <v>20</v>
      </c>
      <c r="E168" s="204">
        <f t="shared" si="316"/>
        <v>2.8840000000000003</v>
      </c>
      <c r="F168" s="198">
        <f t="shared" si="334"/>
        <v>14.420000000000002</v>
      </c>
      <c r="G168" s="198">
        <f t="shared" si="317"/>
        <v>11.536000000000001</v>
      </c>
      <c r="H168" s="198">
        <f t="shared" si="318"/>
        <v>7.2100000000000009</v>
      </c>
      <c r="I168" s="198">
        <f t="shared" ref="I168" si="345">I167</f>
        <v>8</v>
      </c>
      <c r="J168" s="199">
        <f t="shared" ref="J168:J179" si="346">J167</f>
        <v>0</v>
      </c>
      <c r="K168" s="194" t="str">
        <f t="shared" ref="K168:K170" si="347">D168&amp;-4</f>
        <v>20-4</v>
      </c>
      <c r="L168" s="198">
        <f t="shared" si="325"/>
        <v>0.2</v>
      </c>
      <c r="M168" s="49">
        <v>30</v>
      </c>
      <c r="N168" s="198">
        <f t="shared" ref="N168:P168" si="348">N167</f>
        <v>150</v>
      </c>
      <c r="O168" s="198">
        <f t="shared" si="348"/>
        <v>160</v>
      </c>
      <c r="P168" s="198">
        <f t="shared" si="348"/>
        <v>270</v>
      </c>
      <c r="Q168" s="196">
        <f t="shared" si="319"/>
        <v>-4</v>
      </c>
    </row>
    <row r="169" spans="1:17" x14ac:dyDescent="0.25">
      <c r="A169" s="229">
        <f t="shared" ref="A169:B169" si="349">A168+1</f>
        <v>1659</v>
      </c>
      <c r="B169" s="230">
        <f t="shared" si="349"/>
        <v>159</v>
      </c>
      <c r="C169" s="229" t="str">
        <f t="shared" si="265"/>
        <v>21cX20+000_060_04</v>
      </c>
      <c r="D169" s="197">
        <f t="shared" si="333"/>
        <v>20</v>
      </c>
      <c r="E169" s="204">
        <f t="shared" si="316"/>
        <v>2.8840000000000003</v>
      </c>
      <c r="F169" s="198">
        <f t="shared" si="334"/>
        <v>14.420000000000002</v>
      </c>
      <c r="G169" s="198">
        <f t="shared" si="317"/>
        <v>11.536000000000001</v>
      </c>
      <c r="H169" s="198">
        <f t="shared" si="318"/>
        <v>7.2100000000000009</v>
      </c>
      <c r="I169" s="198">
        <f t="shared" ref="I169" si="350">I168</f>
        <v>8</v>
      </c>
      <c r="J169" s="199">
        <f t="shared" si="346"/>
        <v>0</v>
      </c>
      <c r="K169" s="194" t="str">
        <f t="shared" si="347"/>
        <v>20-4</v>
      </c>
      <c r="L169" s="198">
        <f t="shared" si="325"/>
        <v>0.2</v>
      </c>
      <c r="M169" s="49">
        <v>60</v>
      </c>
      <c r="N169" s="198">
        <f t="shared" ref="N169:P169" si="351">N168</f>
        <v>150</v>
      </c>
      <c r="O169" s="198">
        <f t="shared" si="351"/>
        <v>160</v>
      </c>
      <c r="P169" s="198">
        <f t="shared" si="351"/>
        <v>270</v>
      </c>
      <c r="Q169" s="196">
        <f t="shared" si="319"/>
        <v>-4</v>
      </c>
    </row>
    <row r="170" spans="1:17" x14ac:dyDescent="0.25">
      <c r="A170" s="229">
        <f t="shared" ref="A170:B170" si="352">A169+1</f>
        <v>1660</v>
      </c>
      <c r="B170" s="230">
        <f t="shared" si="352"/>
        <v>160</v>
      </c>
      <c r="C170" s="229" t="str">
        <f t="shared" si="265"/>
        <v>21cX20+000_090_04</v>
      </c>
      <c r="D170" s="197">
        <f t="shared" si="333"/>
        <v>20</v>
      </c>
      <c r="E170" s="204">
        <f t="shared" si="316"/>
        <v>2.8840000000000003</v>
      </c>
      <c r="F170" s="198">
        <f t="shared" si="334"/>
        <v>14.420000000000002</v>
      </c>
      <c r="G170" s="198">
        <f t="shared" si="317"/>
        <v>11.536000000000001</v>
      </c>
      <c r="H170" s="198">
        <f t="shared" si="318"/>
        <v>7.2100000000000009</v>
      </c>
      <c r="I170" s="198">
        <f t="shared" ref="I170" si="353">I169</f>
        <v>8</v>
      </c>
      <c r="J170" s="199">
        <f t="shared" si="346"/>
        <v>0</v>
      </c>
      <c r="K170" s="194" t="str">
        <f t="shared" si="347"/>
        <v>20-4</v>
      </c>
      <c r="L170" s="198">
        <f t="shared" si="325"/>
        <v>0.2</v>
      </c>
      <c r="M170" s="49">
        <v>90</v>
      </c>
      <c r="N170" s="198">
        <f t="shared" ref="N170:P170" si="354">N169</f>
        <v>150</v>
      </c>
      <c r="O170" s="198">
        <f t="shared" si="354"/>
        <v>160</v>
      </c>
      <c r="P170" s="198">
        <f t="shared" si="354"/>
        <v>270</v>
      </c>
      <c r="Q170" s="196">
        <f t="shared" si="319"/>
        <v>-4</v>
      </c>
    </row>
    <row r="171" spans="1:17" x14ac:dyDescent="0.25">
      <c r="A171" s="229">
        <f t="shared" ref="A171:B171" si="355">A170+1</f>
        <v>1661</v>
      </c>
      <c r="B171" s="230">
        <f t="shared" si="355"/>
        <v>161</v>
      </c>
      <c r="C171" s="229" t="str">
        <f t="shared" si="265"/>
        <v>21cX20+000_000_05</v>
      </c>
      <c r="D171" s="197">
        <f t="shared" si="333"/>
        <v>20</v>
      </c>
      <c r="E171" s="204">
        <f t="shared" si="316"/>
        <v>2.8840000000000003</v>
      </c>
      <c r="F171" s="198">
        <f t="shared" si="334"/>
        <v>14.420000000000002</v>
      </c>
      <c r="G171" s="198">
        <f t="shared" si="317"/>
        <v>11.536000000000001</v>
      </c>
      <c r="H171" s="198">
        <f t="shared" si="318"/>
        <v>7.2100000000000009</v>
      </c>
      <c r="I171" s="198">
        <f t="shared" ref="I171" si="356">I170</f>
        <v>8</v>
      </c>
      <c r="J171" s="199">
        <f t="shared" si="346"/>
        <v>0</v>
      </c>
      <c r="K171" s="194" t="str">
        <f>D171&amp;-5</f>
        <v>20-5</v>
      </c>
      <c r="L171" s="198">
        <f t="shared" si="325"/>
        <v>0.2</v>
      </c>
      <c r="M171" s="49">
        <v>0</v>
      </c>
      <c r="N171" s="198">
        <f t="shared" ref="N171:P171" si="357">N170</f>
        <v>150</v>
      </c>
      <c r="O171" s="198">
        <f t="shared" si="357"/>
        <v>160</v>
      </c>
      <c r="P171" s="198">
        <f t="shared" si="357"/>
        <v>270</v>
      </c>
      <c r="Q171" s="196">
        <f t="shared" si="319"/>
        <v>-4</v>
      </c>
    </row>
    <row r="172" spans="1:17" x14ac:dyDescent="0.25">
      <c r="A172" s="229">
        <f t="shared" ref="A172:B172" si="358">A171+1</f>
        <v>1662</v>
      </c>
      <c r="B172" s="230">
        <f t="shared" si="358"/>
        <v>162</v>
      </c>
      <c r="C172" s="229" t="str">
        <f t="shared" si="265"/>
        <v>21cX20+000_030_05</v>
      </c>
      <c r="D172" s="197">
        <f t="shared" si="333"/>
        <v>20</v>
      </c>
      <c r="E172" s="204">
        <f t="shared" si="316"/>
        <v>2.8840000000000003</v>
      </c>
      <c r="F172" s="198">
        <f t="shared" si="334"/>
        <v>14.420000000000002</v>
      </c>
      <c r="G172" s="198">
        <f t="shared" si="317"/>
        <v>11.536000000000001</v>
      </c>
      <c r="H172" s="198">
        <f t="shared" si="318"/>
        <v>7.2100000000000009</v>
      </c>
      <c r="I172" s="198">
        <f t="shared" ref="I172" si="359">I171</f>
        <v>8</v>
      </c>
      <c r="J172" s="199">
        <f t="shared" si="346"/>
        <v>0</v>
      </c>
      <c r="K172" s="194" t="str">
        <f t="shared" ref="K172:K174" si="360">D172&amp;-5</f>
        <v>20-5</v>
      </c>
      <c r="L172" s="198">
        <f t="shared" si="325"/>
        <v>0.2</v>
      </c>
      <c r="M172" s="49">
        <v>30</v>
      </c>
      <c r="N172" s="198">
        <f t="shared" ref="N172:P172" si="361">N171</f>
        <v>150</v>
      </c>
      <c r="O172" s="198">
        <f t="shared" si="361"/>
        <v>160</v>
      </c>
      <c r="P172" s="198">
        <f t="shared" si="361"/>
        <v>270</v>
      </c>
      <c r="Q172" s="196">
        <f t="shared" si="319"/>
        <v>-4</v>
      </c>
    </row>
    <row r="173" spans="1:17" x14ac:dyDescent="0.25">
      <c r="A173" s="229">
        <f t="shared" ref="A173:B173" si="362">A172+1</f>
        <v>1663</v>
      </c>
      <c r="B173" s="230">
        <f t="shared" si="362"/>
        <v>163</v>
      </c>
      <c r="C173" s="229" t="str">
        <f t="shared" si="265"/>
        <v>21cX20+000_060_05</v>
      </c>
      <c r="D173" s="197">
        <f t="shared" si="333"/>
        <v>20</v>
      </c>
      <c r="E173" s="204">
        <f t="shared" si="316"/>
        <v>2.8840000000000003</v>
      </c>
      <c r="F173" s="198">
        <f t="shared" si="334"/>
        <v>14.420000000000002</v>
      </c>
      <c r="G173" s="198">
        <f t="shared" si="317"/>
        <v>11.536000000000001</v>
      </c>
      <c r="H173" s="198">
        <f t="shared" si="318"/>
        <v>7.2100000000000009</v>
      </c>
      <c r="I173" s="198">
        <f t="shared" ref="I173" si="363">I172</f>
        <v>8</v>
      </c>
      <c r="J173" s="199">
        <f t="shared" si="346"/>
        <v>0</v>
      </c>
      <c r="K173" s="194" t="str">
        <f t="shared" si="360"/>
        <v>20-5</v>
      </c>
      <c r="L173" s="198">
        <f t="shared" si="325"/>
        <v>0.2</v>
      </c>
      <c r="M173" s="49">
        <v>60</v>
      </c>
      <c r="N173" s="198">
        <f t="shared" ref="N173:P173" si="364">N172</f>
        <v>150</v>
      </c>
      <c r="O173" s="198">
        <f t="shared" si="364"/>
        <v>160</v>
      </c>
      <c r="P173" s="198">
        <f t="shared" si="364"/>
        <v>270</v>
      </c>
      <c r="Q173" s="196">
        <f t="shared" si="319"/>
        <v>-4</v>
      </c>
    </row>
    <row r="174" spans="1:17" x14ac:dyDescent="0.25">
      <c r="A174" s="229">
        <f t="shared" ref="A174:B174" si="365">A173+1</f>
        <v>1664</v>
      </c>
      <c r="B174" s="230">
        <f t="shared" si="365"/>
        <v>164</v>
      </c>
      <c r="C174" s="229" t="str">
        <f t="shared" si="265"/>
        <v>21cX20+000_090_05</v>
      </c>
      <c r="D174" s="197">
        <f t="shared" si="333"/>
        <v>20</v>
      </c>
      <c r="E174" s="204">
        <f t="shared" si="316"/>
        <v>2.8840000000000003</v>
      </c>
      <c r="F174" s="198">
        <f t="shared" si="334"/>
        <v>14.420000000000002</v>
      </c>
      <c r="G174" s="198">
        <f t="shared" si="317"/>
        <v>11.536000000000001</v>
      </c>
      <c r="H174" s="198">
        <f t="shared" si="318"/>
        <v>7.2100000000000009</v>
      </c>
      <c r="I174" s="198">
        <f t="shared" ref="I174" si="366">I173</f>
        <v>8</v>
      </c>
      <c r="J174" s="199">
        <f t="shared" si="346"/>
        <v>0</v>
      </c>
      <c r="K174" s="194" t="str">
        <f t="shared" si="360"/>
        <v>20-5</v>
      </c>
      <c r="L174" s="198">
        <f t="shared" si="325"/>
        <v>0.2</v>
      </c>
      <c r="M174" s="49">
        <v>90</v>
      </c>
      <c r="N174" s="198">
        <f t="shared" ref="N174:P174" si="367">N173</f>
        <v>150</v>
      </c>
      <c r="O174" s="198">
        <f t="shared" si="367"/>
        <v>160</v>
      </c>
      <c r="P174" s="198">
        <f t="shared" si="367"/>
        <v>270</v>
      </c>
      <c r="Q174" s="196">
        <f t="shared" si="319"/>
        <v>-4</v>
      </c>
    </row>
    <row r="175" spans="1:17" x14ac:dyDescent="0.25">
      <c r="A175" s="229">
        <f t="shared" ref="A175:B175" si="368">A174+1</f>
        <v>1665</v>
      </c>
      <c r="B175" s="230">
        <f t="shared" si="368"/>
        <v>165</v>
      </c>
      <c r="C175" s="229" t="str">
        <f t="shared" si="265"/>
        <v>21cX20+000_000_06</v>
      </c>
      <c r="D175" s="197">
        <f t="shared" si="333"/>
        <v>20</v>
      </c>
      <c r="E175" s="204">
        <f t="shared" si="316"/>
        <v>2.8840000000000003</v>
      </c>
      <c r="F175" s="198">
        <f t="shared" si="334"/>
        <v>14.420000000000002</v>
      </c>
      <c r="G175" s="198">
        <f t="shared" si="317"/>
        <v>11.536000000000001</v>
      </c>
      <c r="H175" s="198">
        <f t="shared" si="318"/>
        <v>7.2100000000000009</v>
      </c>
      <c r="I175" s="198">
        <f t="shared" ref="I175" si="369">I174</f>
        <v>8</v>
      </c>
      <c r="J175" s="199">
        <f t="shared" si="346"/>
        <v>0</v>
      </c>
      <c r="K175" s="194" t="str">
        <f>D175&amp;-6</f>
        <v>20-6</v>
      </c>
      <c r="L175" s="198">
        <f t="shared" si="325"/>
        <v>0.2</v>
      </c>
      <c r="M175" s="49">
        <v>0</v>
      </c>
      <c r="N175" s="198">
        <f t="shared" ref="N175:P175" si="370">N174</f>
        <v>150</v>
      </c>
      <c r="O175" s="198">
        <f t="shared" si="370"/>
        <v>160</v>
      </c>
      <c r="P175" s="198">
        <f t="shared" si="370"/>
        <v>270</v>
      </c>
      <c r="Q175" s="196">
        <f t="shared" si="319"/>
        <v>-4</v>
      </c>
    </row>
    <row r="176" spans="1:17" x14ac:dyDescent="0.25">
      <c r="A176" s="229">
        <f t="shared" ref="A176:B176" si="371">A175+1</f>
        <v>1666</v>
      </c>
      <c r="B176" s="230">
        <f t="shared" si="371"/>
        <v>166</v>
      </c>
      <c r="C176" s="229" t="str">
        <f t="shared" si="265"/>
        <v>21cX20+000_030_06</v>
      </c>
      <c r="D176" s="197">
        <f t="shared" si="333"/>
        <v>20</v>
      </c>
      <c r="E176" s="204">
        <f t="shared" si="316"/>
        <v>2.8840000000000003</v>
      </c>
      <c r="F176" s="198">
        <f t="shared" si="334"/>
        <v>14.420000000000002</v>
      </c>
      <c r="G176" s="198">
        <f t="shared" si="317"/>
        <v>11.536000000000001</v>
      </c>
      <c r="H176" s="198">
        <f t="shared" si="318"/>
        <v>7.2100000000000009</v>
      </c>
      <c r="I176" s="198">
        <f t="shared" ref="I176" si="372">I175</f>
        <v>8</v>
      </c>
      <c r="J176" s="199">
        <f t="shared" si="346"/>
        <v>0</v>
      </c>
      <c r="K176" s="194" t="str">
        <f t="shared" ref="K176:K178" si="373">D176&amp;-6</f>
        <v>20-6</v>
      </c>
      <c r="L176" s="198">
        <f t="shared" si="325"/>
        <v>0.2</v>
      </c>
      <c r="M176" s="49">
        <v>30</v>
      </c>
      <c r="N176" s="198">
        <f t="shared" ref="N176:P176" si="374">N175</f>
        <v>150</v>
      </c>
      <c r="O176" s="198">
        <f t="shared" si="374"/>
        <v>160</v>
      </c>
      <c r="P176" s="198">
        <f t="shared" si="374"/>
        <v>270</v>
      </c>
      <c r="Q176" s="196">
        <f t="shared" si="319"/>
        <v>-4</v>
      </c>
    </row>
    <row r="177" spans="1:17" x14ac:dyDescent="0.25">
      <c r="A177" s="229">
        <f t="shared" ref="A177:B177" si="375">A176+1</f>
        <v>1667</v>
      </c>
      <c r="B177" s="230">
        <f t="shared" si="375"/>
        <v>167</v>
      </c>
      <c r="C177" s="229" t="str">
        <f t="shared" si="265"/>
        <v>21cX20+000_060_06</v>
      </c>
      <c r="D177" s="197">
        <f t="shared" si="333"/>
        <v>20</v>
      </c>
      <c r="E177" s="204">
        <f t="shared" si="316"/>
        <v>2.8840000000000003</v>
      </c>
      <c r="F177" s="198">
        <f t="shared" si="334"/>
        <v>14.420000000000002</v>
      </c>
      <c r="G177" s="198">
        <f t="shared" si="317"/>
        <v>11.536000000000001</v>
      </c>
      <c r="H177" s="198">
        <f t="shared" si="318"/>
        <v>7.2100000000000009</v>
      </c>
      <c r="I177" s="198">
        <f t="shared" ref="I177" si="376">I176</f>
        <v>8</v>
      </c>
      <c r="J177" s="199">
        <f t="shared" si="346"/>
        <v>0</v>
      </c>
      <c r="K177" s="194" t="str">
        <f t="shared" si="373"/>
        <v>20-6</v>
      </c>
      <c r="L177" s="198">
        <f t="shared" si="325"/>
        <v>0.2</v>
      </c>
      <c r="M177" s="49">
        <v>60</v>
      </c>
      <c r="N177" s="198">
        <f t="shared" ref="N177:P177" si="377">N176</f>
        <v>150</v>
      </c>
      <c r="O177" s="198">
        <f t="shared" si="377"/>
        <v>160</v>
      </c>
      <c r="P177" s="198">
        <f t="shared" si="377"/>
        <v>270</v>
      </c>
      <c r="Q177" s="196">
        <f t="shared" si="319"/>
        <v>-4</v>
      </c>
    </row>
    <row r="178" spans="1:17" x14ac:dyDescent="0.25">
      <c r="A178" s="229">
        <f t="shared" ref="A178:B178" si="378">A177+1</f>
        <v>1668</v>
      </c>
      <c r="B178" s="230">
        <f t="shared" si="378"/>
        <v>168</v>
      </c>
      <c r="C178" s="229" t="str">
        <f t="shared" si="265"/>
        <v>21cX20+000_090_06</v>
      </c>
      <c r="D178" s="197">
        <f t="shared" si="333"/>
        <v>20</v>
      </c>
      <c r="E178" s="204">
        <f t="shared" si="316"/>
        <v>2.8840000000000003</v>
      </c>
      <c r="F178" s="198">
        <f t="shared" si="334"/>
        <v>14.420000000000002</v>
      </c>
      <c r="G178" s="198">
        <f t="shared" si="317"/>
        <v>11.536000000000001</v>
      </c>
      <c r="H178" s="198">
        <f t="shared" si="318"/>
        <v>7.2100000000000009</v>
      </c>
      <c r="I178" s="198">
        <f t="shared" ref="I178" si="379">I177</f>
        <v>8</v>
      </c>
      <c r="J178" s="199">
        <f t="shared" si="346"/>
        <v>0</v>
      </c>
      <c r="K178" s="194" t="str">
        <f t="shared" si="373"/>
        <v>20-6</v>
      </c>
      <c r="L178" s="198">
        <f t="shared" si="325"/>
        <v>0.2</v>
      </c>
      <c r="M178" s="49">
        <v>90</v>
      </c>
      <c r="N178" s="198">
        <f t="shared" ref="N178:P178" si="380">N177</f>
        <v>150</v>
      </c>
      <c r="O178" s="198">
        <f t="shared" si="380"/>
        <v>160</v>
      </c>
      <c r="P178" s="198">
        <f t="shared" si="380"/>
        <v>270</v>
      </c>
      <c r="Q178" s="196">
        <f t="shared" si="319"/>
        <v>-4</v>
      </c>
    </row>
    <row r="179" spans="1:17" x14ac:dyDescent="0.25">
      <c r="A179" s="229">
        <f t="shared" ref="A179:B179" si="381">A178+1</f>
        <v>1669</v>
      </c>
      <c r="B179" s="230">
        <f t="shared" si="381"/>
        <v>169</v>
      </c>
      <c r="C179" s="229" t="str">
        <f t="shared" si="265"/>
        <v>21cX20+000_000_07</v>
      </c>
      <c r="D179" s="197">
        <f t="shared" si="333"/>
        <v>20</v>
      </c>
      <c r="E179" s="204">
        <f t="shared" si="316"/>
        <v>2.8840000000000003</v>
      </c>
      <c r="F179" s="198">
        <f t="shared" si="334"/>
        <v>14.420000000000002</v>
      </c>
      <c r="G179" s="198">
        <f t="shared" si="317"/>
        <v>11.536000000000001</v>
      </c>
      <c r="H179" s="198">
        <f t="shared" si="318"/>
        <v>7.2100000000000009</v>
      </c>
      <c r="I179" s="198">
        <f t="shared" ref="I179" si="382">I178</f>
        <v>8</v>
      </c>
      <c r="J179" s="199">
        <f t="shared" si="346"/>
        <v>0</v>
      </c>
      <c r="K179" s="194" t="str">
        <f>D179&amp;-7</f>
        <v>20-7</v>
      </c>
      <c r="L179" s="198">
        <f t="shared" si="325"/>
        <v>0.2</v>
      </c>
      <c r="M179" s="49">
        <v>0</v>
      </c>
      <c r="N179" s="198">
        <f t="shared" ref="N179:P179" si="383">N178</f>
        <v>150</v>
      </c>
      <c r="O179" s="198">
        <f t="shared" si="383"/>
        <v>160</v>
      </c>
      <c r="P179" s="198">
        <f t="shared" si="383"/>
        <v>270</v>
      </c>
      <c r="Q179" s="196">
        <f t="shared" si="319"/>
        <v>-4</v>
      </c>
    </row>
    <row r="180" spans="1:17" x14ac:dyDescent="0.25">
      <c r="A180" s="229">
        <f t="shared" ref="A180:B180" si="384">A179+1</f>
        <v>1670</v>
      </c>
      <c r="B180" s="230">
        <f t="shared" si="384"/>
        <v>170</v>
      </c>
      <c r="C180" s="229" t="str">
        <f t="shared" si="265"/>
        <v>21cX20+000_030_07</v>
      </c>
      <c r="D180" s="197">
        <f t="shared" si="333"/>
        <v>20</v>
      </c>
      <c r="E180" s="204">
        <f t="shared" si="316"/>
        <v>2.8840000000000003</v>
      </c>
      <c r="F180" s="198">
        <f t="shared" si="334"/>
        <v>14.420000000000002</v>
      </c>
      <c r="G180" s="198">
        <f t="shared" si="317"/>
        <v>11.536000000000001</v>
      </c>
      <c r="H180" s="198">
        <f t="shared" si="318"/>
        <v>7.2100000000000009</v>
      </c>
      <c r="I180" s="198">
        <f t="shared" ref="I180" si="385">I179</f>
        <v>8</v>
      </c>
      <c r="J180" s="199">
        <f t="shared" ref="J180:J191" si="386">J179</f>
        <v>0</v>
      </c>
      <c r="K180" s="194" t="str">
        <f t="shared" ref="K180:K182" si="387">D180&amp;-7</f>
        <v>20-7</v>
      </c>
      <c r="L180" s="198">
        <f t="shared" si="325"/>
        <v>0.2</v>
      </c>
      <c r="M180" s="49">
        <v>30</v>
      </c>
      <c r="N180" s="198">
        <f t="shared" ref="N180:P180" si="388">N179</f>
        <v>150</v>
      </c>
      <c r="O180" s="198">
        <f t="shared" si="388"/>
        <v>160</v>
      </c>
      <c r="P180" s="198">
        <f t="shared" si="388"/>
        <v>270</v>
      </c>
      <c r="Q180" s="196">
        <f t="shared" si="319"/>
        <v>-4</v>
      </c>
    </row>
    <row r="181" spans="1:17" x14ac:dyDescent="0.25">
      <c r="A181" s="229">
        <f t="shared" ref="A181:B181" si="389">A180+1</f>
        <v>1671</v>
      </c>
      <c r="B181" s="230">
        <f t="shared" si="389"/>
        <v>171</v>
      </c>
      <c r="C181" s="229" t="str">
        <f t="shared" si="265"/>
        <v>21cX20+000_060_07</v>
      </c>
      <c r="D181" s="197">
        <f t="shared" si="333"/>
        <v>20</v>
      </c>
      <c r="E181" s="204">
        <f t="shared" si="316"/>
        <v>2.8840000000000003</v>
      </c>
      <c r="F181" s="198">
        <f t="shared" si="334"/>
        <v>14.420000000000002</v>
      </c>
      <c r="G181" s="198">
        <f t="shared" si="317"/>
        <v>11.536000000000001</v>
      </c>
      <c r="H181" s="198">
        <f t="shared" si="318"/>
        <v>7.2100000000000009</v>
      </c>
      <c r="I181" s="198">
        <f t="shared" ref="I181" si="390">I180</f>
        <v>8</v>
      </c>
      <c r="J181" s="199">
        <f t="shared" si="386"/>
        <v>0</v>
      </c>
      <c r="K181" s="194" t="str">
        <f t="shared" si="387"/>
        <v>20-7</v>
      </c>
      <c r="L181" s="198">
        <f t="shared" si="325"/>
        <v>0.2</v>
      </c>
      <c r="M181" s="49">
        <v>60</v>
      </c>
      <c r="N181" s="198">
        <f t="shared" ref="N181:P181" si="391">N180</f>
        <v>150</v>
      </c>
      <c r="O181" s="198">
        <f t="shared" si="391"/>
        <v>160</v>
      </c>
      <c r="P181" s="198">
        <f t="shared" si="391"/>
        <v>270</v>
      </c>
      <c r="Q181" s="196">
        <f t="shared" si="319"/>
        <v>-4</v>
      </c>
    </row>
    <row r="182" spans="1:17" x14ac:dyDescent="0.25">
      <c r="A182" s="229">
        <f t="shared" ref="A182:B182" si="392">A181+1</f>
        <v>1672</v>
      </c>
      <c r="B182" s="230">
        <f t="shared" si="392"/>
        <v>172</v>
      </c>
      <c r="C182" s="229" t="str">
        <f t="shared" si="265"/>
        <v>21cX20+000_090_07</v>
      </c>
      <c r="D182" s="197">
        <f t="shared" si="333"/>
        <v>20</v>
      </c>
      <c r="E182" s="204">
        <f t="shared" si="316"/>
        <v>2.8840000000000003</v>
      </c>
      <c r="F182" s="198">
        <f t="shared" si="334"/>
        <v>14.420000000000002</v>
      </c>
      <c r="G182" s="198">
        <f t="shared" si="317"/>
        <v>11.536000000000001</v>
      </c>
      <c r="H182" s="198">
        <f t="shared" si="318"/>
        <v>7.2100000000000009</v>
      </c>
      <c r="I182" s="198">
        <f t="shared" ref="I182" si="393">I181</f>
        <v>8</v>
      </c>
      <c r="J182" s="199">
        <f t="shared" si="386"/>
        <v>0</v>
      </c>
      <c r="K182" s="194" t="str">
        <f t="shared" si="387"/>
        <v>20-7</v>
      </c>
      <c r="L182" s="198">
        <f t="shared" si="325"/>
        <v>0.2</v>
      </c>
      <c r="M182" s="49">
        <v>90</v>
      </c>
      <c r="N182" s="198">
        <f t="shared" ref="N182:P182" si="394">N181</f>
        <v>150</v>
      </c>
      <c r="O182" s="198">
        <f t="shared" si="394"/>
        <v>160</v>
      </c>
      <c r="P182" s="198">
        <f t="shared" si="394"/>
        <v>270</v>
      </c>
      <c r="Q182" s="196">
        <f t="shared" si="319"/>
        <v>-4</v>
      </c>
    </row>
    <row r="183" spans="1:17" x14ac:dyDescent="0.25">
      <c r="A183" s="229">
        <f t="shared" ref="A183:B183" si="395">A182+1</f>
        <v>1673</v>
      </c>
      <c r="B183" s="230">
        <f t="shared" si="395"/>
        <v>173</v>
      </c>
      <c r="C183" s="229" t="str">
        <f t="shared" si="265"/>
        <v>21cX20+000_000_08</v>
      </c>
      <c r="D183" s="197">
        <f t="shared" si="333"/>
        <v>20</v>
      </c>
      <c r="E183" s="204">
        <f t="shared" si="316"/>
        <v>2.8840000000000003</v>
      </c>
      <c r="F183" s="198">
        <f t="shared" si="334"/>
        <v>14.420000000000002</v>
      </c>
      <c r="G183" s="198">
        <f t="shared" si="317"/>
        <v>11.536000000000001</v>
      </c>
      <c r="H183" s="198">
        <f t="shared" si="318"/>
        <v>7.2100000000000009</v>
      </c>
      <c r="I183" s="198">
        <f t="shared" ref="I183" si="396">I182</f>
        <v>8</v>
      </c>
      <c r="J183" s="199">
        <f t="shared" si="386"/>
        <v>0</v>
      </c>
      <c r="K183" s="194" t="str">
        <f>D183&amp;-8</f>
        <v>20-8</v>
      </c>
      <c r="L183" s="198">
        <f t="shared" si="325"/>
        <v>0.2</v>
      </c>
      <c r="M183" s="49">
        <v>0</v>
      </c>
      <c r="N183" s="198">
        <f t="shared" ref="N183:P183" si="397">N182</f>
        <v>150</v>
      </c>
      <c r="O183" s="198">
        <f t="shared" si="397"/>
        <v>160</v>
      </c>
      <c r="P183" s="198">
        <f t="shared" si="397"/>
        <v>270</v>
      </c>
      <c r="Q183" s="196">
        <f t="shared" si="319"/>
        <v>-4</v>
      </c>
    </row>
    <row r="184" spans="1:17" x14ac:dyDescent="0.25">
      <c r="A184" s="229">
        <f t="shared" ref="A184:B184" si="398">A183+1</f>
        <v>1674</v>
      </c>
      <c r="B184" s="230">
        <f t="shared" si="398"/>
        <v>174</v>
      </c>
      <c r="C184" s="229" t="str">
        <f t="shared" si="265"/>
        <v>21cX20+000_030_08</v>
      </c>
      <c r="D184" s="197">
        <f t="shared" si="333"/>
        <v>20</v>
      </c>
      <c r="E184" s="204">
        <f t="shared" si="316"/>
        <v>2.8840000000000003</v>
      </c>
      <c r="F184" s="198">
        <f t="shared" si="334"/>
        <v>14.420000000000002</v>
      </c>
      <c r="G184" s="198">
        <f t="shared" si="317"/>
        <v>11.536000000000001</v>
      </c>
      <c r="H184" s="198">
        <f t="shared" si="318"/>
        <v>7.2100000000000009</v>
      </c>
      <c r="I184" s="198">
        <f t="shared" ref="I184" si="399">I183</f>
        <v>8</v>
      </c>
      <c r="J184" s="199">
        <f t="shared" si="386"/>
        <v>0</v>
      </c>
      <c r="K184" s="194" t="str">
        <f t="shared" ref="K184:K186" si="400">D184&amp;-8</f>
        <v>20-8</v>
      </c>
      <c r="L184" s="198">
        <f t="shared" si="325"/>
        <v>0.2</v>
      </c>
      <c r="M184" s="49">
        <v>30</v>
      </c>
      <c r="N184" s="198">
        <f t="shared" ref="N184:P184" si="401">N183</f>
        <v>150</v>
      </c>
      <c r="O184" s="198">
        <f t="shared" si="401"/>
        <v>160</v>
      </c>
      <c r="P184" s="198">
        <f t="shared" si="401"/>
        <v>270</v>
      </c>
      <c r="Q184" s="196">
        <f t="shared" si="319"/>
        <v>-4</v>
      </c>
    </row>
    <row r="185" spans="1:17" x14ac:dyDescent="0.25">
      <c r="A185" s="229">
        <f t="shared" ref="A185:B185" si="402">A184+1</f>
        <v>1675</v>
      </c>
      <c r="B185" s="230">
        <f t="shared" si="402"/>
        <v>175</v>
      </c>
      <c r="C185" s="229" t="str">
        <f t="shared" si="265"/>
        <v>21cX20+000_060_08</v>
      </c>
      <c r="D185" s="197">
        <f t="shared" si="333"/>
        <v>20</v>
      </c>
      <c r="E185" s="204">
        <f t="shared" si="316"/>
        <v>2.8840000000000003</v>
      </c>
      <c r="F185" s="198">
        <f t="shared" si="334"/>
        <v>14.420000000000002</v>
      </c>
      <c r="G185" s="198">
        <f t="shared" si="317"/>
        <v>11.536000000000001</v>
      </c>
      <c r="H185" s="198">
        <f t="shared" si="318"/>
        <v>7.2100000000000009</v>
      </c>
      <c r="I185" s="198">
        <f t="shared" ref="I185" si="403">I184</f>
        <v>8</v>
      </c>
      <c r="J185" s="199">
        <f t="shared" si="386"/>
        <v>0</v>
      </c>
      <c r="K185" s="194" t="str">
        <f t="shared" si="400"/>
        <v>20-8</v>
      </c>
      <c r="L185" s="198">
        <f t="shared" si="325"/>
        <v>0.2</v>
      </c>
      <c r="M185" s="49">
        <v>60</v>
      </c>
      <c r="N185" s="198">
        <f t="shared" ref="N185:P185" si="404">N184</f>
        <v>150</v>
      </c>
      <c r="O185" s="198">
        <f t="shared" si="404"/>
        <v>160</v>
      </c>
      <c r="P185" s="198">
        <f t="shared" si="404"/>
        <v>270</v>
      </c>
      <c r="Q185" s="196">
        <f t="shared" si="319"/>
        <v>-4</v>
      </c>
    </row>
    <row r="186" spans="1:17" x14ac:dyDescent="0.25">
      <c r="A186" s="229">
        <f t="shared" ref="A186:B186" si="405">A185+1</f>
        <v>1676</v>
      </c>
      <c r="B186" s="230">
        <f t="shared" si="405"/>
        <v>176</v>
      </c>
      <c r="C186" s="229" t="str">
        <f t="shared" si="265"/>
        <v>21cX20+000_090_08</v>
      </c>
      <c r="D186" s="197">
        <f t="shared" si="333"/>
        <v>20</v>
      </c>
      <c r="E186" s="204">
        <f t="shared" si="316"/>
        <v>2.8840000000000003</v>
      </c>
      <c r="F186" s="198">
        <f t="shared" si="334"/>
        <v>14.420000000000002</v>
      </c>
      <c r="G186" s="198">
        <f t="shared" si="317"/>
        <v>11.536000000000001</v>
      </c>
      <c r="H186" s="198">
        <f t="shared" si="318"/>
        <v>7.2100000000000009</v>
      </c>
      <c r="I186" s="198">
        <f t="shared" ref="I186" si="406">I185</f>
        <v>8</v>
      </c>
      <c r="J186" s="199">
        <f t="shared" si="386"/>
        <v>0</v>
      </c>
      <c r="K186" s="194" t="str">
        <f t="shared" si="400"/>
        <v>20-8</v>
      </c>
      <c r="L186" s="198">
        <f t="shared" si="325"/>
        <v>0.2</v>
      </c>
      <c r="M186" s="49">
        <v>90</v>
      </c>
      <c r="N186" s="198">
        <f t="shared" ref="N186:P186" si="407">N185</f>
        <v>150</v>
      </c>
      <c r="O186" s="198">
        <f t="shared" si="407"/>
        <v>160</v>
      </c>
      <c r="P186" s="198">
        <f t="shared" si="407"/>
        <v>270</v>
      </c>
      <c r="Q186" s="196">
        <f t="shared" si="319"/>
        <v>-4</v>
      </c>
    </row>
    <row r="187" spans="1:17" x14ac:dyDescent="0.25">
      <c r="A187" s="229">
        <f t="shared" ref="A187:B187" si="408">A186+1</f>
        <v>1677</v>
      </c>
      <c r="B187" s="230">
        <f t="shared" si="408"/>
        <v>177</v>
      </c>
      <c r="C187" s="229" t="str">
        <f t="shared" si="265"/>
        <v>21cX20+000_000_09</v>
      </c>
      <c r="D187" s="197">
        <f t="shared" si="333"/>
        <v>20</v>
      </c>
      <c r="E187" s="204">
        <f t="shared" si="316"/>
        <v>2.8840000000000003</v>
      </c>
      <c r="F187" s="198">
        <f t="shared" si="334"/>
        <v>14.420000000000002</v>
      </c>
      <c r="G187" s="198">
        <f t="shared" si="317"/>
        <v>11.536000000000001</v>
      </c>
      <c r="H187" s="198">
        <f t="shared" si="318"/>
        <v>7.2100000000000009</v>
      </c>
      <c r="I187" s="198">
        <f t="shared" ref="I187" si="409">I186</f>
        <v>8</v>
      </c>
      <c r="J187" s="199">
        <f t="shared" si="386"/>
        <v>0</v>
      </c>
      <c r="K187" s="194" t="str">
        <f>D187&amp;-9</f>
        <v>20-9</v>
      </c>
      <c r="L187" s="198">
        <f t="shared" si="325"/>
        <v>0.2</v>
      </c>
      <c r="M187" s="49">
        <v>0</v>
      </c>
      <c r="N187" s="198">
        <f t="shared" ref="N187:P187" si="410">N186</f>
        <v>150</v>
      </c>
      <c r="O187" s="198">
        <f t="shared" si="410"/>
        <v>160</v>
      </c>
      <c r="P187" s="198">
        <f t="shared" si="410"/>
        <v>270</v>
      </c>
      <c r="Q187" s="196">
        <f t="shared" si="319"/>
        <v>-4</v>
      </c>
    </row>
    <row r="188" spans="1:17" x14ac:dyDescent="0.25">
      <c r="A188" s="229">
        <f t="shared" ref="A188:B188" si="411">A187+1</f>
        <v>1678</v>
      </c>
      <c r="B188" s="230">
        <f t="shared" si="411"/>
        <v>178</v>
      </c>
      <c r="C188" s="229" t="str">
        <f t="shared" si="265"/>
        <v>21cX20+000_030_09</v>
      </c>
      <c r="D188" s="197">
        <f t="shared" si="333"/>
        <v>20</v>
      </c>
      <c r="E188" s="204">
        <f t="shared" si="316"/>
        <v>2.8840000000000003</v>
      </c>
      <c r="F188" s="198">
        <f t="shared" si="334"/>
        <v>14.420000000000002</v>
      </c>
      <c r="G188" s="198">
        <f t="shared" si="317"/>
        <v>11.536000000000001</v>
      </c>
      <c r="H188" s="198">
        <f t="shared" si="318"/>
        <v>7.2100000000000009</v>
      </c>
      <c r="I188" s="198">
        <f t="shared" ref="I188" si="412">I187</f>
        <v>8</v>
      </c>
      <c r="J188" s="199">
        <f t="shared" si="386"/>
        <v>0</v>
      </c>
      <c r="K188" s="194" t="str">
        <f t="shared" ref="K188:K190" si="413">D188&amp;-9</f>
        <v>20-9</v>
      </c>
      <c r="L188" s="198">
        <f t="shared" si="325"/>
        <v>0.2</v>
      </c>
      <c r="M188" s="49">
        <v>30</v>
      </c>
      <c r="N188" s="198">
        <f t="shared" ref="N188:P188" si="414">N187</f>
        <v>150</v>
      </c>
      <c r="O188" s="198">
        <f t="shared" si="414"/>
        <v>160</v>
      </c>
      <c r="P188" s="198">
        <f t="shared" si="414"/>
        <v>270</v>
      </c>
      <c r="Q188" s="196">
        <f t="shared" si="319"/>
        <v>-4</v>
      </c>
    </row>
    <row r="189" spans="1:17" x14ac:dyDescent="0.25">
      <c r="A189" s="229">
        <f t="shared" ref="A189:B189" si="415">A188+1</f>
        <v>1679</v>
      </c>
      <c r="B189" s="230">
        <f t="shared" si="415"/>
        <v>179</v>
      </c>
      <c r="C189" s="229" t="str">
        <f t="shared" si="265"/>
        <v>21cX20+000_060_09</v>
      </c>
      <c r="D189" s="197">
        <f t="shared" si="333"/>
        <v>20</v>
      </c>
      <c r="E189" s="204">
        <f t="shared" si="316"/>
        <v>2.8840000000000003</v>
      </c>
      <c r="F189" s="198">
        <f t="shared" si="334"/>
        <v>14.420000000000002</v>
      </c>
      <c r="G189" s="198">
        <f t="shared" si="317"/>
        <v>11.536000000000001</v>
      </c>
      <c r="H189" s="198">
        <f t="shared" si="318"/>
        <v>7.2100000000000009</v>
      </c>
      <c r="I189" s="198">
        <f t="shared" ref="I189" si="416">I188</f>
        <v>8</v>
      </c>
      <c r="J189" s="199">
        <f t="shared" si="386"/>
        <v>0</v>
      </c>
      <c r="K189" s="194" t="str">
        <f t="shared" si="413"/>
        <v>20-9</v>
      </c>
      <c r="L189" s="198">
        <f t="shared" si="325"/>
        <v>0.2</v>
      </c>
      <c r="M189" s="49">
        <v>60</v>
      </c>
      <c r="N189" s="198">
        <f t="shared" ref="N189:P189" si="417">N188</f>
        <v>150</v>
      </c>
      <c r="O189" s="198">
        <f t="shared" si="417"/>
        <v>160</v>
      </c>
      <c r="P189" s="198">
        <f t="shared" si="417"/>
        <v>270</v>
      </c>
      <c r="Q189" s="196">
        <f t="shared" si="319"/>
        <v>-4</v>
      </c>
    </row>
    <row r="190" spans="1:17" x14ac:dyDescent="0.25">
      <c r="A190" s="229">
        <f t="shared" ref="A190:B190" si="418">A189+1</f>
        <v>1680</v>
      </c>
      <c r="B190" s="230">
        <f t="shared" si="418"/>
        <v>180</v>
      </c>
      <c r="C190" s="229" t="str">
        <f t="shared" si="265"/>
        <v>21cX20+000_090_09</v>
      </c>
      <c r="D190" s="197">
        <f t="shared" si="333"/>
        <v>20</v>
      </c>
      <c r="E190" s="204">
        <f t="shared" si="316"/>
        <v>2.8840000000000003</v>
      </c>
      <c r="F190" s="198">
        <f t="shared" si="334"/>
        <v>14.420000000000002</v>
      </c>
      <c r="G190" s="198">
        <f t="shared" si="317"/>
        <v>11.536000000000001</v>
      </c>
      <c r="H190" s="198">
        <f t="shared" si="318"/>
        <v>7.2100000000000009</v>
      </c>
      <c r="I190" s="198">
        <f t="shared" ref="I190" si="419">I189</f>
        <v>8</v>
      </c>
      <c r="J190" s="199">
        <f t="shared" si="386"/>
        <v>0</v>
      </c>
      <c r="K190" s="194" t="str">
        <f t="shared" si="413"/>
        <v>20-9</v>
      </c>
      <c r="L190" s="198">
        <f t="shared" si="325"/>
        <v>0.2</v>
      </c>
      <c r="M190" s="49">
        <v>90</v>
      </c>
      <c r="N190" s="198">
        <f t="shared" ref="N190:P190" si="420">N189</f>
        <v>150</v>
      </c>
      <c r="O190" s="198">
        <f t="shared" si="420"/>
        <v>160</v>
      </c>
      <c r="P190" s="198">
        <f t="shared" si="420"/>
        <v>270</v>
      </c>
      <c r="Q190" s="196">
        <f t="shared" si="319"/>
        <v>-4</v>
      </c>
    </row>
    <row r="191" spans="1:17" x14ac:dyDescent="0.25">
      <c r="A191" s="229">
        <f t="shared" ref="A191:B191" si="421">A190+1</f>
        <v>1681</v>
      </c>
      <c r="B191" s="230">
        <f t="shared" si="421"/>
        <v>181</v>
      </c>
      <c r="C191" s="229" t="str">
        <f t="shared" si="265"/>
        <v>21cX20+000_000_10</v>
      </c>
      <c r="D191" s="197">
        <f t="shared" si="333"/>
        <v>20</v>
      </c>
      <c r="E191" s="204">
        <f t="shared" si="316"/>
        <v>2.8840000000000003</v>
      </c>
      <c r="F191" s="198">
        <f t="shared" si="334"/>
        <v>14.420000000000002</v>
      </c>
      <c r="G191" s="198">
        <f t="shared" si="317"/>
        <v>11.536000000000001</v>
      </c>
      <c r="H191" s="198">
        <f t="shared" si="318"/>
        <v>7.2100000000000009</v>
      </c>
      <c r="I191" s="198">
        <f t="shared" ref="I191" si="422">I190</f>
        <v>8</v>
      </c>
      <c r="J191" s="199">
        <f t="shared" si="386"/>
        <v>0</v>
      </c>
      <c r="K191" s="194" t="str">
        <f>D191&amp;-10</f>
        <v>20-10</v>
      </c>
      <c r="L191" s="198">
        <f t="shared" si="325"/>
        <v>0.2</v>
      </c>
      <c r="M191" s="49">
        <v>0</v>
      </c>
      <c r="N191" s="198">
        <f t="shared" ref="N191:P191" si="423">N190</f>
        <v>150</v>
      </c>
      <c r="O191" s="198">
        <f t="shared" si="423"/>
        <v>160</v>
      </c>
      <c r="P191" s="198">
        <f t="shared" si="423"/>
        <v>270</v>
      </c>
      <c r="Q191" s="196">
        <f t="shared" si="319"/>
        <v>-4</v>
      </c>
    </row>
    <row r="192" spans="1:17" x14ac:dyDescent="0.25">
      <c r="A192" s="229">
        <f t="shared" ref="A192:B192" si="424">A191+1</f>
        <v>1682</v>
      </c>
      <c r="B192" s="230">
        <f t="shared" si="424"/>
        <v>182</v>
      </c>
      <c r="C192" s="229" t="str">
        <f t="shared" si="265"/>
        <v>21cX20+000_030_10</v>
      </c>
      <c r="D192" s="197">
        <f t="shared" si="333"/>
        <v>20</v>
      </c>
      <c r="E192" s="204">
        <f t="shared" si="316"/>
        <v>2.8840000000000003</v>
      </c>
      <c r="F192" s="198">
        <f t="shared" si="334"/>
        <v>14.420000000000002</v>
      </c>
      <c r="G192" s="198">
        <f t="shared" si="317"/>
        <v>11.536000000000001</v>
      </c>
      <c r="H192" s="198">
        <f t="shared" si="318"/>
        <v>7.2100000000000009</v>
      </c>
      <c r="I192" s="198">
        <f t="shared" ref="I192" si="425">I191</f>
        <v>8</v>
      </c>
      <c r="J192" s="199">
        <f t="shared" ref="J192:J202" si="426">J191</f>
        <v>0</v>
      </c>
      <c r="K192" s="194" t="str">
        <f t="shared" ref="K192:K194" si="427">D192&amp;-10</f>
        <v>20-10</v>
      </c>
      <c r="L192" s="198">
        <f t="shared" si="325"/>
        <v>0.2</v>
      </c>
      <c r="M192" s="49">
        <v>30</v>
      </c>
      <c r="N192" s="198">
        <f t="shared" ref="N192:P192" si="428">N191</f>
        <v>150</v>
      </c>
      <c r="O192" s="198">
        <f t="shared" si="428"/>
        <v>160</v>
      </c>
      <c r="P192" s="198">
        <f t="shared" si="428"/>
        <v>270</v>
      </c>
      <c r="Q192" s="196">
        <f t="shared" si="319"/>
        <v>-4</v>
      </c>
    </row>
    <row r="193" spans="1:17" x14ac:dyDescent="0.25">
      <c r="A193" s="229">
        <f t="shared" ref="A193:B193" si="429">A192+1</f>
        <v>1683</v>
      </c>
      <c r="B193" s="230">
        <f t="shared" si="429"/>
        <v>183</v>
      </c>
      <c r="C193" s="229" t="str">
        <f t="shared" si="265"/>
        <v>21cX20+000_060_10</v>
      </c>
      <c r="D193" s="197">
        <f t="shared" si="333"/>
        <v>20</v>
      </c>
      <c r="E193" s="204">
        <f t="shared" si="316"/>
        <v>2.8840000000000003</v>
      </c>
      <c r="F193" s="198">
        <f t="shared" si="334"/>
        <v>14.420000000000002</v>
      </c>
      <c r="G193" s="198">
        <f t="shared" si="317"/>
        <v>11.536000000000001</v>
      </c>
      <c r="H193" s="198">
        <f t="shared" si="318"/>
        <v>7.2100000000000009</v>
      </c>
      <c r="I193" s="198">
        <f t="shared" ref="I193" si="430">I192</f>
        <v>8</v>
      </c>
      <c r="J193" s="199">
        <f t="shared" si="426"/>
        <v>0</v>
      </c>
      <c r="K193" s="194" t="str">
        <f t="shared" si="427"/>
        <v>20-10</v>
      </c>
      <c r="L193" s="198">
        <f t="shared" si="325"/>
        <v>0.2</v>
      </c>
      <c r="M193" s="49">
        <v>60</v>
      </c>
      <c r="N193" s="198">
        <f t="shared" ref="N193:P193" si="431">N192</f>
        <v>150</v>
      </c>
      <c r="O193" s="198">
        <f t="shared" si="431"/>
        <v>160</v>
      </c>
      <c r="P193" s="198">
        <f t="shared" si="431"/>
        <v>270</v>
      </c>
      <c r="Q193" s="196">
        <f t="shared" si="319"/>
        <v>-4</v>
      </c>
    </row>
    <row r="194" spans="1:17" x14ac:dyDescent="0.25">
      <c r="A194" s="229">
        <f t="shared" ref="A194:B194" si="432">A193+1</f>
        <v>1684</v>
      </c>
      <c r="B194" s="230">
        <f t="shared" si="432"/>
        <v>184</v>
      </c>
      <c r="C194" s="229" t="str">
        <f t="shared" si="265"/>
        <v>21cX20+000_090_10</v>
      </c>
      <c r="D194" s="197">
        <f t="shared" si="333"/>
        <v>20</v>
      </c>
      <c r="E194" s="204">
        <f t="shared" si="316"/>
        <v>2.8840000000000003</v>
      </c>
      <c r="F194" s="198">
        <f t="shared" si="334"/>
        <v>14.420000000000002</v>
      </c>
      <c r="G194" s="198">
        <f t="shared" si="317"/>
        <v>11.536000000000001</v>
      </c>
      <c r="H194" s="198">
        <f t="shared" si="318"/>
        <v>7.2100000000000009</v>
      </c>
      <c r="I194" s="198">
        <f t="shared" ref="I194" si="433">I193</f>
        <v>8</v>
      </c>
      <c r="J194" s="199">
        <f t="shared" si="426"/>
        <v>0</v>
      </c>
      <c r="K194" s="194" t="str">
        <f t="shared" si="427"/>
        <v>20-10</v>
      </c>
      <c r="L194" s="198">
        <f t="shared" si="325"/>
        <v>0.2</v>
      </c>
      <c r="M194" s="49">
        <v>90</v>
      </c>
      <c r="N194" s="198">
        <f t="shared" ref="N194:P194" si="434">N193</f>
        <v>150</v>
      </c>
      <c r="O194" s="198">
        <f t="shared" si="434"/>
        <v>160</v>
      </c>
      <c r="P194" s="198">
        <f t="shared" si="434"/>
        <v>270</v>
      </c>
      <c r="Q194" s="196">
        <f t="shared" si="319"/>
        <v>-4</v>
      </c>
    </row>
    <row r="195" spans="1:17" x14ac:dyDescent="0.25">
      <c r="A195" s="229">
        <f t="shared" ref="A195:B195" si="435">A194+1</f>
        <v>1685</v>
      </c>
      <c r="B195" s="230">
        <f t="shared" si="435"/>
        <v>185</v>
      </c>
      <c r="C195" s="229" t="str">
        <f t="shared" si="265"/>
        <v>21cX20+000_000_11</v>
      </c>
      <c r="D195" s="197">
        <f t="shared" si="333"/>
        <v>20</v>
      </c>
      <c r="E195" s="204">
        <f t="shared" si="316"/>
        <v>2.8840000000000003</v>
      </c>
      <c r="F195" s="198">
        <f t="shared" si="334"/>
        <v>14.420000000000002</v>
      </c>
      <c r="G195" s="198">
        <f t="shared" si="317"/>
        <v>11.536000000000001</v>
      </c>
      <c r="H195" s="198">
        <f t="shared" si="318"/>
        <v>7.2100000000000009</v>
      </c>
      <c r="I195" s="198">
        <f t="shared" ref="I195" si="436">I194</f>
        <v>8</v>
      </c>
      <c r="J195" s="199">
        <f t="shared" si="426"/>
        <v>0</v>
      </c>
      <c r="K195" s="194" t="str">
        <f>D195&amp;-11</f>
        <v>20-11</v>
      </c>
      <c r="L195" s="198">
        <f t="shared" si="325"/>
        <v>0.2</v>
      </c>
      <c r="M195" s="49">
        <v>0</v>
      </c>
      <c r="N195" s="198">
        <f t="shared" ref="N195:P195" si="437">N194</f>
        <v>150</v>
      </c>
      <c r="O195" s="198">
        <f t="shared" si="437"/>
        <v>160</v>
      </c>
      <c r="P195" s="198">
        <f t="shared" si="437"/>
        <v>270</v>
      </c>
      <c r="Q195" s="196">
        <f t="shared" si="319"/>
        <v>-4</v>
      </c>
    </row>
    <row r="196" spans="1:17" x14ac:dyDescent="0.25">
      <c r="A196" s="229">
        <f t="shared" ref="A196:B196" si="438">A195+1</f>
        <v>1686</v>
      </c>
      <c r="B196" s="230">
        <f t="shared" si="438"/>
        <v>186</v>
      </c>
      <c r="C196" s="229" t="str">
        <f t="shared" si="265"/>
        <v>21cX20+000_030_11</v>
      </c>
      <c r="D196" s="197">
        <f t="shared" si="333"/>
        <v>20</v>
      </c>
      <c r="E196" s="204">
        <f t="shared" si="316"/>
        <v>2.8840000000000003</v>
      </c>
      <c r="F196" s="198">
        <f t="shared" si="334"/>
        <v>14.420000000000002</v>
      </c>
      <c r="G196" s="198">
        <f t="shared" si="317"/>
        <v>11.536000000000001</v>
      </c>
      <c r="H196" s="198">
        <f t="shared" si="318"/>
        <v>7.2100000000000009</v>
      </c>
      <c r="I196" s="198">
        <f t="shared" ref="I196" si="439">I195</f>
        <v>8</v>
      </c>
      <c r="J196" s="199">
        <f t="shared" si="426"/>
        <v>0</v>
      </c>
      <c r="K196" s="194" t="str">
        <f t="shared" ref="K196:K198" si="440">D196&amp;-11</f>
        <v>20-11</v>
      </c>
      <c r="L196" s="198">
        <f t="shared" si="325"/>
        <v>0.2</v>
      </c>
      <c r="M196" s="49">
        <v>30</v>
      </c>
      <c r="N196" s="198">
        <f t="shared" ref="N196:P196" si="441">N195</f>
        <v>150</v>
      </c>
      <c r="O196" s="198">
        <f t="shared" si="441"/>
        <v>160</v>
      </c>
      <c r="P196" s="198">
        <f t="shared" si="441"/>
        <v>270</v>
      </c>
      <c r="Q196" s="196">
        <f t="shared" si="319"/>
        <v>-4</v>
      </c>
    </row>
    <row r="197" spans="1:17" x14ac:dyDescent="0.25">
      <c r="A197" s="229">
        <f t="shared" ref="A197:B197" si="442">A196+1</f>
        <v>1687</v>
      </c>
      <c r="B197" s="230">
        <f t="shared" si="442"/>
        <v>187</v>
      </c>
      <c r="C197" s="229" t="str">
        <f t="shared" si="265"/>
        <v>21cX20+000_060_11</v>
      </c>
      <c r="D197" s="197">
        <f t="shared" si="333"/>
        <v>20</v>
      </c>
      <c r="E197" s="204">
        <f t="shared" si="316"/>
        <v>2.8840000000000003</v>
      </c>
      <c r="F197" s="198">
        <f t="shared" si="334"/>
        <v>14.420000000000002</v>
      </c>
      <c r="G197" s="198">
        <f t="shared" si="317"/>
        <v>11.536000000000001</v>
      </c>
      <c r="H197" s="198">
        <f t="shared" si="318"/>
        <v>7.2100000000000009</v>
      </c>
      <c r="I197" s="198">
        <f t="shared" ref="I197" si="443">I196</f>
        <v>8</v>
      </c>
      <c r="J197" s="199">
        <f t="shared" si="426"/>
        <v>0</v>
      </c>
      <c r="K197" s="194" t="str">
        <f t="shared" si="440"/>
        <v>20-11</v>
      </c>
      <c r="L197" s="198">
        <f t="shared" si="325"/>
        <v>0.2</v>
      </c>
      <c r="M197" s="49">
        <v>60</v>
      </c>
      <c r="N197" s="198">
        <f t="shared" ref="N197:P197" si="444">N196</f>
        <v>150</v>
      </c>
      <c r="O197" s="198">
        <f t="shared" si="444"/>
        <v>160</v>
      </c>
      <c r="P197" s="198">
        <f t="shared" si="444"/>
        <v>270</v>
      </c>
      <c r="Q197" s="196">
        <f t="shared" si="319"/>
        <v>-4</v>
      </c>
    </row>
    <row r="198" spans="1:17" x14ac:dyDescent="0.25">
      <c r="A198" s="229">
        <f t="shared" ref="A198:B198" si="445">A197+1</f>
        <v>1688</v>
      </c>
      <c r="B198" s="230">
        <f t="shared" si="445"/>
        <v>188</v>
      </c>
      <c r="C198" s="229" t="str">
        <f t="shared" si="265"/>
        <v>21cX20+000_090_11</v>
      </c>
      <c r="D198" s="197">
        <f t="shared" si="333"/>
        <v>20</v>
      </c>
      <c r="E198" s="204">
        <f t="shared" si="316"/>
        <v>2.8840000000000003</v>
      </c>
      <c r="F198" s="198">
        <f t="shared" si="334"/>
        <v>14.420000000000002</v>
      </c>
      <c r="G198" s="198">
        <f t="shared" si="317"/>
        <v>11.536000000000001</v>
      </c>
      <c r="H198" s="198">
        <f t="shared" si="318"/>
        <v>7.2100000000000009</v>
      </c>
      <c r="I198" s="198">
        <f t="shared" ref="I198" si="446">I197</f>
        <v>8</v>
      </c>
      <c r="J198" s="199">
        <f t="shared" si="426"/>
        <v>0</v>
      </c>
      <c r="K198" s="194" t="str">
        <f t="shared" si="440"/>
        <v>20-11</v>
      </c>
      <c r="L198" s="198">
        <f t="shared" si="325"/>
        <v>0.2</v>
      </c>
      <c r="M198" s="49">
        <v>90</v>
      </c>
      <c r="N198" s="198">
        <f t="shared" ref="N198:P198" si="447">N197</f>
        <v>150</v>
      </c>
      <c r="O198" s="198">
        <f t="shared" si="447"/>
        <v>160</v>
      </c>
      <c r="P198" s="198">
        <f t="shared" si="447"/>
        <v>270</v>
      </c>
      <c r="Q198" s="196">
        <f t="shared" si="319"/>
        <v>-4</v>
      </c>
    </row>
    <row r="199" spans="1:17" x14ac:dyDescent="0.25">
      <c r="A199" s="229">
        <f t="shared" ref="A199:B199" si="448">A198+1</f>
        <v>1689</v>
      </c>
      <c r="B199" s="230">
        <f t="shared" si="448"/>
        <v>189</v>
      </c>
      <c r="C199" s="229" t="str">
        <f t="shared" si="265"/>
        <v>21cX20+000_000_12</v>
      </c>
      <c r="D199" s="197">
        <f t="shared" si="333"/>
        <v>20</v>
      </c>
      <c r="E199" s="204">
        <f t="shared" ref="E199:E246" si="449">I_ref*(0.75*D199+5.6)</f>
        <v>2.8840000000000003</v>
      </c>
      <c r="F199" s="198">
        <f t="shared" si="334"/>
        <v>14.420000000000002</v>
      </c>
      <c r="G199" s="198">
        <f t="shared" si="317"/>
        <v>11.536000000000001</v>
      </c>
      <c r="H199" s="198">
        <f t="shared" si="318"/>
        <v>7.2100000000000009</v>
      </c>
      <c r="I199" s="198">
        <f t="shared" ref="I199" si="450">I198</f>
        <v>8</v>
      </c>
      <c r="J199" s="199">
        <f t="shared" si="426"/>
        <v>0</v>
      </c>
      <c r="K199" s="194" t="str">
        <f>D199&amp;-12</f>
        <v>20-12</v>
      </c>
      <c r="L199" s="198">
        <f t="shared" si="325"/>
        <v>0.2</v>
      </c>
      <c r="M199" s="49">
        <v>0</v>
      </c>
      <c r="N199" s="198">
        <f t="shared" ref="N199:P199" si="451">N198</f>
        <v>150</v>
      </c>
      <c r="O199" s="198">
        <f t="shared" si="451"/>
        <v>160</v>
      </c>
      <c r="P199" s="198">
        <f t="shared" si="451"/>
        <v>270</v>
      </c>
      <c r="Q199" s="196">
        <f t="shared" si="319"/>
        <v>-4</v>
      </c>
    </row>
    <row r="200" spans="1:17" x14ac:dyDescent="0.25">
      <c r="A200" s="229">
        <f t="shared" ref="A200:B200" si="452">A199+1</f>
        <v>1690</v>
      </c>
      <c r="B200" s="230">
        <f t="shared" si="452"/>
        <v>190</v>
      </c>
      <c r="C200" s="229" t="str">
        <f t="shared" si="265"/>
        <v>21cX20+000_030_12</v>
      </c>
      <c r="D200" s="197">
        <f t="shared" si="333"/>
        <v>20</v>
      </c>
      <c r="E200" s="204">
        <f t="shared" si="449"/>
        <v>2.8840000000000003</v>
      </c>
      <c r="F200" s="198">
        <f t="shared" si="334"/>
        <v>14.420000000000002</v>
      </c>
      <c r="G200" s="198">
        <f t="shared" si="317"/>
        <v>11.536000000000001</v>
      </c>
      <c r="H200" s="198">
        <f t="shared" si="318"/>
        <v>7.2100000000000009</v>
      </c>
      <c r="I200" s="198">
        <f t="shared" ref="I200" si="453">I199</f>
        <v>8</v>
      </c>
      <c r="J200" s="199">
        <f t="shared" si="426"/>
        <v>0</v>
      </c>
      <c r="K200" s="194" t="str">
        <f t="shared" ref="K200:K202" si="454">D200&amp;-12</f>
        <v>20-12</v>
      </c>
      <c r="L200" s="198">
        <f t="shared" si="325"/>
        <v>0.2</v>
      </c>
      <c r="M200" s="49">
        <v>30</v>
      </c>
      <c r="N200" s="198">
        <f t="shared" ref="N200:P200" si="455">N199</f>
        <v>150</v>
      </c>
      <c r="O200" s="198">
        <f t="shared" si="455"/>
        <v>160</v>
      </c>
      <c r="P200" s="198">
        <f t="shared" si="455"/>
        <v>270</v>
      </c>
      <c r="Q200" s="196">
        <f t="shared" si="319"/>
        <v>-4</v>
      </c>
    </row>
    <row r="201" spans="1:17" x14ac:dyDescent="0.25">
      <c r="A201" s="229">
        <f t="shared" ref="A201:B201" si="456">A200+1</f>
        <v>1691</v>
      </c>
      <c r="B201" s="230">
        <f t="shared" si="456"/>
        <v>191</v>
      </c>
      <c r="C201" s="229" t="str">
        <f t="shared" si="265"/>
        <v>21cX20+000_060_12</v>
      </c>
      <c r="D201" s="197">
        <f t="shared" si="333"/>
        <v>20</v>
      </c>
      <c r="E201" s="204">
        <f t="shared" si="449"/>
        <v>2.8840000000000003</v>
      </c>
      <c r="F201" s="198">
        <f t="shared" si="334"/>
        <v>14.420000000000002</v>
      </c>
      <c r="G201" s="198">
        <f t="shared" si="317"/>
        <v>11.536000000000001</v>
      </c>
      <c r="H201" s="198">
        <f t="shared" si="318"/>
        <v>7.2100000000000009</v>
      </c>
      <c r="I201" s="198">
        <f t="shared" ref="I201" si="457">I200</f>
        <v>8</v>
      </c>
      <c r="J201" s="199">
        <f t="shared" si="426"/>
        <v>0</v>
      </c>
      <c r="K201" s="194" t="str">
        <f t="shared" si="454"/>
        <v>20-12</v>
      </c>
      <c r="L201" s="198">
        <f t="shared" si="325"/>
        <v>0.2</v>
      </c>
      <c r="M201" s="49">
        <v>60</v>
      </c>
      <c r="N201" s="198">
        <f t="shared" ref="N201:P201" si="458">N200</f>
        <v>150</v>
      </c>
      <c r="O201" s="198">
        <f t="shared" si="458"/>
        <v>160</v>
      </c>
      <c r="P201" s="198">
        <f t="shared" si="458"/>
        <v>270</v>
      </c>
      <c r="Q201" s="196">
        <f t="shared" si="319"/>
        <v>-4</v>
      </c>
    </row>
    <row r="202" spans="1:17" x14ac:dyDescent="0.25">
      <c r="A202" s="229">
        <f t="shared" ref="A202:B202" si="459">A201+1</f>
        <v>1692</v>
      </c>
      <c r="B202" s="230">
        <f t="shared" si="459"/>
        <v>192</v>
      </c>
      <c r="C202" s="229" t="str">
        <f t="shared" si="265"/>
        <v>21cX20+000_090_12</v>
      </c>
      <c r="D202" s="197">
        <f t="shared" si="333"/>
        <v>20</v>
      </c>
      <c r="E202" s="204">
        <f t="shared" si="449"/>
        <v>2.8840000000000003</v>
      </c>
      <c r="F202" s="198">
        <f t="shared" si="334"/>
        <v>14.420000000000002</v>
      </c>
      <c r="G202" s="198">
        <f t="shared" si="317"/>
        <v>11.536000000000001</v>
      </c>
      <c r="H202" s="198">
        <f t="shared" si="318"/>
        <v>7.2100000000000009</v>
      </c>
      <c r="I202" s="198">
        <f t="shared" ref="I202" si="460">I201</f>
        <v>8</v>
      </c>
      <c r="J202" s="199">
        <f t="shared" si="426"/>
        <v>0</v>
      </c>
      <c r="K202" s="194" t="str">
        <f t="shared" si="454"/>
        <v>20-12</v>
      </c>
      <c r="L202" s="198">
        <f t="shared" si="325"/>
        <v>0.2</v>
      </c>
      <c r="M202" s="49">
        <v>90</v>
      </c>
      <c r="N202" s="198">
        <f t="shared" ref="N202:P202" si="461">N201</f>
        <v>150</v>
      </c>
      <c r="O202" s="198">
        <f t="shared" si="461"/>
        <v>160</v>
      </c>
      <c r="P202" s="198">
        <f t="shared" si="461"/>
        <v>270</v>
      </c>
      <c r="Q202" s="196">
        <f t="shared" si="319"/>
        <v>-4</v>
      </c>
    </row>
    <row r="203" spans="1:17" s="217" customFormat="1" x14ac:dyDescent="0.25">
      <c r="A203" s="229">
        <f t="shared" ref="A203:B203" si="462">A202+1</f>
        <v>1693</v>
      </c>
      <c r="B203" s="230">
        <f t="shared" si="462"/>
        <v>193</v>
      </c>
      <c r="C203" s="229" t="str">
        <f t="shared" si="265"/>
        <v>21cX25+000_000_01</v>
      </c>
      <c r="D203" s="231">
        <f>v_out</f>
        <v>25</v>
      </c>
      <c r="E203" s="239">
        <f t="shared" si="449"/>
        <v>3.4090000000000007</v>
      </c>
      <c r="F203" s="232">
        <f>E203/D203*100</f>
        <v>13.636000000000003</v>
      </c>
      <c r="G203" s="232">
        <f t="shared" ref="G203:G250" si="463">m_ty*F203</f>
        <v>10.908800000000003</v>
      </c>
      <c r="H203" s="232">
        <f t="shared" ref="H203:H250" si="464">m_tz*F203</f>
        <v>6.8180000000000014</v>
      </c>
      <c r="I203" s="232">
        <f>inflow</f>
        <v>8</v>
      </c>
      <c r="J203" s="233">
        <f>yaw_null</f>
        <v>0</v>
      </c>
      <c r="K203" s="228" t="str">
        <f>D203&amp;-1</f>
        <v>25-1</v>
      </c>
      <c r="L203" s="232">
        <f>alpha_n</f>
        <v>0.2</v>
      </c>
      <c r="M203" s="235">
        <v>0</v>
      </c>
      <c r="N203" s="232">
        <f>t_out</f>
        <v>150</v>
      </c>
      <c r="O203" s="232">
        <f>trig_t</f>
        <v>160</v>
      </c>
      <c r="P203" s="232">
        <f>N203+2*T_s2</f>
        <v>270</v>
      </c>
      <c r="Q203" s="230">
        <f t="shared" si="319"/>
        <v>-4</v>
      </c>
    </row>
    <row r="204" spans="1:17" s="217" customFormat="1" x14ac:dyDescent="0.25">
      <c r="A204" s="229">
        <f t="shared" ref="A204:B204" si="465">A203+1</f>
        <v>1694</v>
      </c>
      <c r="B204" s="230">
        <f t="shared" si="465"/>
        <v>194</v>
      </c>
      <c r="C204" s="229" t="str">
        <f t="shared" ref="C204:C250" si="466">TEXT(RIGHT($B$2,LEN($B$2)-3),"000")&amp;"X"&amp;TEXT(D204,"00")&amp;"+"&amp;IF(J204&lt;0,TEXT(360+J204,"000"),TEXT(J204,"000"))&amp;"_"&amp;TEXT(M204,"000")&amp;"_"&amp;TEXT(RIGHT(K204,LEN(K204)-FIND("-",K204)),"00")</f>
        <v>21cX25+000_030_01</v>
      </c>
      <c r="D204" s="231">
        <f t="shared" ref="D204:D250" si="467">D203</f>
        <v>25</v>
      </c>
      <c r="E204" s="239">
        <f t="shared" si="449"/>
        <v>3.4090000000000007</v>
      </c>
      <c r="F204" s="232">
        <f t="shared" ref="F204:F250" si="468">E204/D204*100</f>
        <v>13.636000000000003</v>
      </c>
      <c r="G204" s="232">
        <f t="shared" si="463"/>
        <v>10.908800000000003</v>
      </c>
      <c r="H204" s="232">
        <f t="shared" si="464"/>
        <v>6.8180000000000014</v>
      </c>
      <c r="I204" s="232">
        <f t="shared" ref="I204:J204" si="469">I203</f>
        <v>8</v>
      </c>
      <c r="J204" s="233">
        <f t="shared" si="469"/>
        <v>0</v>
      </c>
      <c r="K204" s="228" t="str">
        <f t="shared" ref="K204:K206" si="470">D204&amp;-1</f>
        <v>25-1</v>
      </c>
      <c r="L204" s="232">
        <f t="shared" si="325"/>
        <v>0.2</v>
      </c>
      <c r="M204" s="235">
        <v>30</v>
      </c>
      <c r="N204" s="232">
        <f t="shared" ref="N204:P204" si="471">N203</f>
        <v>150</v>
      </c>
      <c r="O204" s="232">
        <f t="shared" si="471"/>
        <v>160</v>
      </c>
      <c r="P204" s="232">
        <f t="shared" si="471"/>
        <v>270</v>
      </c>
      <c r="Q204" s="230">
        <f t="shared" si="319"/>
        <v>-4</v>
      </c>
    </row>
    <row r="205" spans="1:17" s="217" customFormat="1" x14ac:dyDescent="0.25">
      <c r="A205" s="229">
        <f t="shared" ref="A205:B205" si="472">A204+1</f>
        <v>1695</v>
      </c>
      <c r="B205" s="230">
        <f t="shared" si="472"/>
        <v>195</v>
      </c>
      <c r="C205" s="229" t="str">
        <f t="shared" si="466"/>
        <v>21cX25+000_060_01</v>
      </c>
      <c r="D205" s="231">
        <f t="shared" si="467"/>
        <v>25</v>
      </c>
      <c r="E205" s="239">
        <f t="shared" si="449"/>
        <v>3.4090000000000007</v>
      </c>
      <c r="F205" s="232">
        <f t="shared" si="468"/>
        <v>13.636000000000003</v>
      </c>
      <c r="G205" s="232">
        <f t="shared" si="463"/>
        <v>10.908800000000003</v>
      </c>
      <c r="H205" s="232">
        <f t="shared" si="464"/>
        <v>6.8180000000000014</v>
      </c>
      <c r="I205" s="232">
        <f t="shared" ref="I205:J205" si="473">I204</f>
        <v>8</v>
      </c>
      <c r="J205" s="233">
        <f t="shared" si="473"/>
        <v>0</v>
      </c>
      <c r="K205" s="228" t="str">
        <f t="shared" si="470"/>
        <v>25-1</v>
      </c>
      <c r="L205" s="232">
        <f t="shared" si="325"/>
        <v>0.2</v>
      </c>
      <c r="M205" s="235">
        <v>60</v>
      </c>
      <c r="N205" s="232">
        <f t="shared" ref="N205:P205" si="474">N204</f>
        <v>150</v>
      </c>
      <c r="O205" s="232">
        <f t="shared" si="474"/>
        <v>160</v>
      </c>
      <c r="P205" s="232">
        <f t="shared" si="474"/>
        <v>270</v>
      </c>
      <c r="Q205" s="230">
        <f t="shared" si="319"/>
        <v>-4</v>
      </c>
    </row>
    <row r="206" spans="1:17" s="217" customFormat="1" x14ac:dyDescent="0.25">
      <c r="A206" s="229">
        <f t="shared" ref="A206:B206" si="475">A205+1</f>
        <v>1696</v>
      </c>
      <c r="B206" s="230">
        <f t="shared" si="475"/>
        <v>196</v>
      </c>
      <c r="C206" s="229" t="str">
        <f t="shared" si="466"/>
        <v>21cX25+000_090_01</v>
      </c>
      <c r="D206" s="231">
        <f t="shared" si="467"/>
        <v>25</v>
      </c>
      <c r="E206" s="239">
        <f t="shared" si="449"/>
        <v>3.4090000000000007</v>
      </c>
      <c r="F206" s="232">
        <f t="shared" si="468"/>
        <v>13.636000000000003</v>
      </c>
      <c r="G206" s="232">
        <f t="shared" si="463"/>
        <v>10.908800000000003</v>
      </c>
      <c r="H206" s="232">
        <f t="shared" si="464"/>
        <v>6.8180000000000014</v>
      </c>
      <c r="I206" s="232">
        <f t="shared" ref="I206:J206" si="476">I205</f>
        <v>8</v>
      </c>
      <c r="J206" s="233">
        <f t="shared" si="476"/>
        <v>0</v>
      </c>
      <c r="K206" s="228" t="str">
        <f t="shared" si="470"/>
        <v>25-1</v>
      </c>
      <c r="L206" s="232">
        <f t="shared" si="325"/>
        <v>0.2</v>
      </c>
      <c r="M206" s="235">
        <v>90</v>
      </c>
      <c r="N206" s="232">
        <f t="shared" ref="N206:P206" si="477">N205</f>
        <v>150</v>
      </c>
      <c r="O206" s="232">
        <f t="shared" si="477"/>
        <v>160</v>
      </c>
      <c r="P206" s="232">
        <f t="shared" si="477"/>
        <v>270</v>
      </c>
      <c r="Q206" s="230">
        <f t="shared" si="319"/>
        <v>-4</v>
      </c>
    </row>
    <row r="207" spans="1:17" s="217" customFormat="1" x14ac:dyDescent="0.25">
      <c r="A207" s="229">
        <f t="shared" ref="A207:B207" si="478">A206+1</f>
        <v>1697</v>
      </c>
      <c r="B207" s="230">
        <f t="shared" si="478"/>
        <v>197</v>
      </c>
      <c r="C207" s="229" t="str">
        <f t="shared" si="466"/>
        <v>21cX25+000_000_02</v>
      </c>
      <c r="D207" s="231">
        <f t="shared" si="467"/>
        <v>25</v>
      </c>
      <c r="E207" s="239">
        <f t="shared" si="449"/>
        <v>3.4090000000000007</v>
      </c>
      <c r="F207" s="232">
        <f t="shared" si="468"/>
        <v>13.636000000000003</v>
      </c>
      <c r="G207" s="232">
        <f t="shared" si="463"/>
        <v>10.908800000000003</v>
      </c>
      <c r="H207" s="232">
        <f t="shared" si="464"/>
        <v>6.8180000000000014</v>
      </c>
      <c r="I207" s="232">
        <f t="shared" ref="I207:J207" si="479">I206</f>
        <v>8</v>
      </c>
      <c r="J207" s="233">
        <f t="shared" si="479"/>
        <v>0</v>
      </c>
      <c r="K207" s="228" t="str">
        <f>D207&amp;-2</f>
        <v>25-2</v>
      </c>
      <c r="L207" s="232">
        <f t="shared" si="325"/>
        <v>0.2</v>
      </c>
      <c r="M207" s="235">
        <v>0</v>
      </c>
      <c r="N207" s="232">
        <f t="shared" ref="N207:P207" si="480">N206</f>
        <v>150</v>
      </c>
      <c r="O207" s="232">
        <f t="shared" si="480"/>
        <v>160</v>
      </c>
      <c r="P207" s="232">
        <f t="shared" si="480"/>
        <v>270</v>
      </c>
      <c r="Q207" s="230">
        <f t="shared" si="319"/>
        <v>-4</v>
      </c>
    </row>
    <row r="208" spans="1:17" s="217" customFormat="1" x14ac:dyDescent="0.25">
      <c r="A208" s="229">
        <f t="shared" ref="A208:B208" si="481">A207+1</f>
        <v>1698</v>
      </c>
      <c r="B208" s="230">
        <f t="shared" si="481"/>
        <v>198</v>
      </c>
      <c r="C208" s="229" t="str">
        <f t="shared" si="466"/>
        <v>21cX25+000_030_02</v>
      </c>
      <c r="D208" s="231">
        <f t="shared" si="467"/>
        <v>25</v>
      </c>
      <c r="E208" s="239">
        <f t="shared" si="449"/>
        <v>3.4090000000000007</v>
      </c>
      <c r="F208" s="232">
        <f t="shared" si="468"/>
        <v>13.636000000000003</v>
      </c>
      <c r="G208" s="232">
        <f t="shared" si="463"/>
        <v>10.908800000000003</v>
      </c>
      <c r="H208" s="232">
        <f t="shared" si="464"/>
        <v>6.8180000000000014</v>
      </c>
      <c r="I208" s="232">
        <f t="shared" ref="I208:J208" si="482">I207</f>
        <v>8</v>
      </c>
      <c r="J208" s="233">
        <f t="shared" si="482"/>
        <v>0</v>
      </c>
      <c r="K208" s="228" t="str">
        <f t="shared" ref="K208:K210" si="483">D208&amp;-2</f>
        <v>25-2</v>
      </c>
      <c r="L208" s="232">
        <f t="shared" si="325"/>
        <v>0.2</v>
      </c>
      <c r="M208" s="235">
        <v>30</v>
      </c>
      <c r="N208" s="232">
        <f t="shared" ref="N208:P208" si="484">N207</f>
        <v>150</v>
      </c>
      <c r="O208" s="232">
        <f t="shared" si="484"/>
        <v>160</v>
      </c>
      <c r="P208" s="232">
        <f t="shared" si="484"/>
        <v>270</v>
      </c>
      <c r="Q208" s="230">
        <f t="shared" si="319"/>
        <v>-4</v>
      </c>
    </row>
    <row r="209" spans="1:17" s="217" customFormat="1" x14ac:dyDescent="0.25">
      <c r="A209" s="229">
        <f t="shared" ref="A209:B209" si="485">A208+1</f>
        <v>1699</v>
      </c>
      <c r="B209" s="230">
        <f t="shared" si="485"/>
        <v>199</v>
      </c>
      <c r="C209" s="229" t="str">
        <f t="shared" si="466"/>
        <v>21cX25+000_060_02</v>
      </c>
      <c r="D209" s="231">
        <f t="shared" si="467"/>
        <v>25</v>
      </c>
      <c r="E209" s="239">
        <f t="shared" si="449"/>
        <v>3.4090000000000007</v>
      </c>
      <c r="F209" s="232">
        <f t="shared" si="468"/>
        <v>13.636000000000003</v>
      </c>
      <c r="G209" s="232">
        <f t="shared" si="463"/>
        <v>10.908800000000003</v>
      </c>
      <c r="H209" s="232">
        <f t="shared" si="464"/>
        <v>6.8180000000000014</v>
      </c>
      <c r="I209" s="232">
        <f t="shared" ref="I209:J209" si="486">I208</f>
        <v>8</v>
      </c>
      <c r="J209" s="233">
        <f t="shared" si="486"/>
        <v>0</v>
      </c>
      <c r="K209" s="228" t="str">
        <f t="shared" si="483"/>
        <v>25-2</v>
      </c>
      <c r="L209" s="232">
        <f t="shared" si="325"/>
        <v>0.2</v>
      </c>
      <c r="M209" s="235">
        <v>60</v>
      </c>
      <c r="N209" s="232">
        <f t="shared" ref="N209:P209" si="487">N208</f>
        <v>150</v>
      </c>
      <c r="O209" s="232">
        <f t="shared" si="487"/>
        <v>160</v>
      </c>
      <c r="P209" s="232">
        <f t="shared" si="487"/>
        <v>270</v>
      </c>
      <c r="Q209" s="230">
        <f t="shared" si="319"/>
        <v>-4</v>
      </c>
    </row>
    <row r="210" spans="1:17" s="217" customFormat="1" x14ac:dyDescent="0.25">
      <c r="A210" s="229">
        <f t="shared" ref="A210:B210" si="488">A209+1</f>
        <v>1700</v>
      </c>
      <c r="B210" s="230">
        <f t="shared" si="488"/>
        <v>200</v>
      </c>
      <c r="C210" s="229" t="str">
        <f t="shared" si="466"/>
        <v>21cX25+000_090_02</v>
      </c>
      <c r="D210" s="231">
        <f t="shared" si="467"/>
        <v>25</v>
      </c>
      <c r="E210" s="239">
        <f t="shared" si="449"/>
        <v>3.4090000000000007</v>
      </c>
      <c r="F210" s="232">
        <f t="shared" si="468"/>
        <v>13.636000000000003</v>
      </c>
      <c r="G210" s="232">
        <f t="shared" si="463"/>
        <v>10.908800000000003</v>
      </c>
      <c r="H210" s="232">
        <f t="shared" si="464"/>
        <v>6.8180000000000014</v>
      </c>
      <c r="I210" s="232">
        <f t="shared" ref="I210:J210" si="489">I209</f>
        <v>8</v>
      </c>
      <c r="J210" s="233">
        <f t="shared" si="489"/>
        <v>0</v>
      </c>
      <c r="K210" s="228" t="str">
        <f t="shared" si="483"/>
        <v>25-2</v>
      </c>
      <c r="L210" s="232">
        <f t="shared" si="325"/>
        <v>0.2</v>
      </c>
      <c r="M210" s="235">
        <v>90</v>
      </c>
      <c r="N210" s="232">
        <f t="shared" ref="N210:P210" si="490">N209</f>
        <v>150</v>
      </c>
      <c r="O210" s="232">
        <f t="shared" si="490"/>
        <v>160</v>
      </c>
      <c r="P210" s="232">
        <f t="shared" si="490"/>
        <v>270</v>
      </c>
      <c r="Q210" s="230">
        <f t="shared" si="319"/>
        <v>-4</v>
      </c>
    </row>
    <row r="211" spans="1:17" s="217" customFormat="1" x14ac:dyDescent="0.25">
      <c r="A211" s="229">
        <f t="shared" ref="A211:B211" si="491">A210+1</f>
        <v>1701</v>
      </c>
      <c r="B211" s="230">
        <f t="shared" si="491"/>
        <v>201</v>
      </c>
      <c r="C211" s="229" t="str">
        <f t="shared" si="466"/>
        <v>21cX25+000_000_03</v>
      </c>
      <c r="D211" s="231">
        <f t="shared" si="467"/>
        <v>25</v>
      </c>
      <c r="E211" s="239">
        <f t="shared" si="449"/>
        <v>3.4090000000000007</v>
      </c>
      <c r="F211" s="232">
        <f t="shared" si="468"/>
        <v>13.636000000000003</v>
      </c>
      <c r="G211" s="232">
        <f t="shared" si="463"/>
        <v>10.908800000000003</v>
      </c>
      <c r="H211" s="232">
        <f t="shared" si="464"/>
        <v>6.8180000000000014</v>
      </c>
      <c r="I211" s="232">
        <f t="shared" ref="I211:J211" si="492">I210</f>
        <v>8</v>
      </c>
      <c r="J211" s="233">
        <f t="shared" si="492"/>
        <v>0</v>
      </c>
      <c r="K211" s="228" t="str">
        <f>D211&amp;-3</f>
        <v>25-3</v>
      </c>
      <c r="L211" s="232">
        <f t="shared" si="325"/>
        <v>0.2</v>
      </c>
      <c r="M211" s="235">
        <v>0</v>
      </c>
      <c r="N211" s="232">
        <f t="shared" ref="N211:P211" si="493">N210</f>
        <v>150</v>
      </c>
      <c r="O211" s="232">
        <f t="shared" si="493"/>
        <v>160</v>
      </c>
      <c r="P211" s="232">
        <f t="shared" si="493"/>
        <v>270</v>
      </c>
      <c r="Q211" s="230">
        <f t="shared" si="319"/>
        <v>-4</v>
      </c>
    </row>
    <row r="212" spans="1:17" s="217" customFormat="1" x14ac:dyDescent="0.25">
      <c r="A212" s="229">
        <f t="shared" ref="A212:B212" si="494">A211+1</f>
        <v>1702</v>
      </c>
      <c r="B212" s="230">
        <f t="shared" si="494"/>
        <v>202</v>
      </c>
      <c r="C212" s="229" t="str">
        <f t="shared" si="466"/>
        <v>21cX25+000_030_03</v>
      </c>
      <c r="D212" s="231">
        <f t="shared" si="467"/>
        <v>25</v>
      </c>
      <c r="E212" s="239">
        <f t="shared" si="449"/>
        <v>3.4090000000000007</v>
      </c>
      <c r="F212" s="232">
        <f t="shared" si="468"/>
        <v>13.636000000000003</v>
      </c>
      <c r="G212" s="232">
        <f t="shared" si="463"/>
        <v>10.908800000000003</v>
      </c>
      <c r="H212" s="232">
        <f t="shared" si="464"/>
        <v>6.8180000000000014</v>
      </c>
      <c r="I212" s="232">
        <f t="shared" ref="I212:J212" si="495">I211</f>
        <v>8</v>
      </c>
      <c r="J212" s="233">
        <f t="shared" si="495"/>
        <v>0</v>
      </c>
      <c r="K212" s="228" t="str">
        <f t="shared" ref="K212:K214" si="496">D212&amp;-3</f>
        <v>25-3</v>
      </c>
      <c r="L212" s="232">
        <f t="shared" si="325"/>
        <v>0.2</v>
      </c>
      <c r="M212" s="235">
        <v>30</v>
      </c>
      <c r="N212" s="232">
        <f t="shared" ref="N212:P212" si="497">N211</f>
        <v>150</v>
      </c>
      <c r="O212" s="232">
        <f t="shared" si="497"/>
        <v>160</v>
      </c>
      <c r="P212" s="232">
        <f t="shared" si="497"/>
        <v>270</v>
      </c>
      <c r="Q212" s="230">
        <f t="shared" si="319"/>
        <v>-4</v>
      </c>
    </row>
    <row r="213" spans="1:17" s="217" customFormat="1" x14ac:dyDescent="0.25">
      <c r="A213" s="229">
        <f t="shared" ref="A213:B213" si="498">A212+1</f>
        <v>1703</v>
      </c>
      <c r="B213" s="230">
        <f t="shared" si="498"/>
        <v>203</v>
      </c>
      <c r="C213" s="229" t="str">
        <f t="shared" si="466"/>
        <v>21cX25+000_060_03</v>
      </c>
      <c r="D213" s="231">
        <f t="shared" si="467"/>
        <v>25</v>
      </c>
      <c r="E213" s="239">
        <f t="shared" si="449"/>
        <v>3.4090000000000007</v>
      </c>
      <c r="F213" s="232">
        <f t="shared" si="468"/>
        <v>13.636000000000003</v>
      </c>
      <c r="G213" s="232">
        <f t="shared" si="463"/>
        <v>10.908800000000003</v>
      </c>
      <c r="H213" s="232">
        <f t="shared" si="464"/>
        <v>6.8180000000000014</v>
      </c>
      <c r="I213" s="232">
        <f t="shared" ref="I213:J213" si="499">I212</f>
        <v>8</v>
      </c>
      <c r="J213" s="233">
        <f t="shared" si="499"/>
        <v>0</v>
      </c>
      <c r="K213" s="228" t="str">
        <f t="shared" si="496"/>
        <v>25-3</v>
      </c>
      <c r="L213" s="232">
        <f t="shared" si="325"/>
        <v>0.2</v>
      </c>
      <c r="M213" s="235">
        <v>60</v>
      </c>
      <c r="N213" s="232">
        <f t="shared" ref="N213:P213" si="500">N212</f>
        <v>150</v>
      </c>
      <c r="O213" s="232">
        <f t="shared" si="500"/>
        <v>160</v>
      </c>
      <c r="P213" s="232">
        <f t="shared" si="500"/>
        <v>270</v>
      </c>
      <c r="Q213" s="230">
        <f t="shared" si="319"/>
        <v>-4</v>
      </c>
    </row>
    <row r="214" spans="1:17" s="217" customFormat="1" x14ac:dyDescent="0.25">
      <c r="A214" s="229">
        <f t="shared" ref="A214:B214" si="501">A213+1</f>
        <v>1704</v>
      </c>
      <c r="B214" s="230">
        <f t="shared" si="501"/>
        <v>204</v>
      </c>
      <c r="C214" s="229" t="str">
        <f t="shared" si="466"/>
        <v>21cX25+000_090_03</v>
      </c>
      <c r="D214" s="231">
        <f t="shared" si="467"/>
        <v>25</v>
      </c>
      <c r="E214" s="239">
        <f t="shared" si="449"/>
        <v>3.4090000000000007</v>
      </c>
      <c r="F214" s="232">
        <f t="shared" si="468"/>
        <v>13.636000000000003</v>
      </c>
      <c r="G214" s="232">
        <f t="shared" si="463"/>
        <v>10.908800000000003</v>
      </c>
      <c r="H214" s="232">
        <f t="shared" si="464"/>
        <v>6.8180000000000014</v>
      </c>
      <c r="I214" s="232">
        <f t="shared" ref="I214:J229" si="502">I213</f>
        <v>8</v>
      </c>
      <c r="J214" s="233">
        <f t="shared" si="502"/>
        <v>0</v>
      </c>
      <c r="K214" s="228" t="str">
        <f t="shared" si="496"/>
        <v>25-3</v>
      </c>
      <c r="L214" s="232">
        <f t="shared" si="325"/>
        <v>0.2</v>
      </c>
      <c r="M214" s="235">
        <v>90</v>
      </c>
      <c r="N214" s="232">
        <f t="shared" ref="N214:P214" si="503">N213</f>
        <v>150</v>
      </c>
      <c r="O214" s="232">
        <f t="shared" si="503"/>
        <v>160</v>
      </c>
      <c r="P214" s="232">
        <f t="shared" si="503"/>
        <v>270</v>
      </c>
      <c r="Q214" s="230">
        <f t="shared" si="319"/>
        <v>-4</v>
      </c>
    </row>
    <row r="215" spans="1:17" s="217" customFormat="1" x14ac:dyDescent="0.25">
      <c r="A215" s="229">
        <f t="shared" ref="A215:B215" si="504">A214+1</f>
        <v>1705</v>
      </c>
      <c r="B215" s="230">
        <f t="shared" si="504"/>
        <v>205</v>
      </c>
      <c r="C215" s="229" t="str">
        <f t="shared" si="466"/>
        <v>21cX25+000_000_04</v>
      </c>
      <c r="D215" s="231">
        <f t="shared" si="467"/>
        <v>25</v>
      </c>
      <c r="E215" s="239">
        <f t="shared" si="449"/>
        <v>3.4090000000000007</v>
      </c>
      <c r="F215" s="232">
        <f t="shared" si="468"/>
        <v>13.636000000000003</v>
      </c>
      <c r="G215" s="232">
        <f t="shared" si="463"/>
        <v>10.908800000000003</v>
      </c>
      <c r="H215" s="232">
        <f t="shared" si="464"/>
        <v>6.8180000000000014</v>
      </c>
      <c r="I215" s="232">
        <f t="shared" si="502"/>
        <v>8</v>
      </c>
      <c r="J215" s="233">
        <f t="shared" si="502"/>
        <v>0</v>
      </c>
      <c r="K215" s="228" t="str">
        <f>D215&amp;-4</f>
        <v>25-4</v>
      </c>
      <c r="L215" s="232">
        <f t="shared" si="325"/>
        <v>0.2</v>
      </c>
      <c r="M215" s="235">
        <v>0</v>
      </c>
      <c r="N215" s="232">
        <f t="shared" ref="N215:P215" si="505">N214</f>
        <v>150</v>
      </c>
      <c r="O215" s="232">
        <f t="shared" si="505"/>
        <v>160</v>
      </c>
      <c r="P215" s="232">
        <f t="shared" si="505"/>
        <v>270</v>
      </c>
      <c r="Q215" s="230">
        <f t="shared" si="319"/>
        <v>-4</v>
      </c>
    </row>
    <row r="216" spans="1:17" s="217" customFormat="1" x14ac:dyDescent="0.25">
      <c r="A216" s="229">
        <f t="shared" ref="A216:B216" si="506">A215+1</f>
        <v>1706</v>
      </c>
      <c r="B216" s="230">
        <f t="shared" si="506"/>
        <v>206</v>
      </c>
      <c r="C216" s="229" t="str">
        <f t="shared" si="466"/>
        <v>21cX25+000_030_04</v>
      </c>
      <c r="D216" s="231">
        <f t="shared" si="467"/>
        <v>25</v>
      </c>
      <c r="E216" s="239">
        <f t="shared" si="449"/>
        <v>3.4090000000000007</v>
      </c>
      <c r="F216" s="232">
        <f t="shared" si="468"/>
        <v>13.636000000000003</v>
      </c>
      <c r="G216" s="232">
        <f t="shared" si="463"/>
        <v>10.908800000000003</v>
      </c>
      <c r="H216" s="232">
        <f t="shared" si="464"/>
        <v>6.8180000000000014</v>
      </c>
      <c r="I216" s="232">
        <f t="shared" si="502"/>
        <v>8</v>
      </c>
      <c r="J216" s="233">
        <f t="shared" si="502"/>
        <v>0</v>
      </c>
      <c r="K216" s="228" t="str">
        <f t="shared" ref="K216:K218" si="507">D216&amp;-4</f>
        <v>25-4</v>
      </c>
      <c r="L216" s="232">
        <f t="shared" si="325"/>
        <v>0.2</v>
      </c>
      <c r="M216" s="235">
        <v>30</v>
      </c>
      <c r="N216" s="232">
        <f t="shared" ref="N216:P216" si="508">N215</f>
        <v>150</v>
      </c>
      <c r="O216" s="232">
        <f t="shared" si="508"/>
        <v>160</v>
      </c>
      <c r="P216" s="232">
        <f t="shared" si="508"/>
        <v>270</v>
      </c>
      <c r="Q216" s="230">
        <f t="shared" si="319"/>
        <v>-4</v>
      </c>
    </row>
    <row r="217" spans="1:17" s="217" customFormat="1" x14ac:dyDescent="0.25">
      <c r="A217" s="229">
        <f t="shared" ref="A217:B217" si="509">A216+1</f>
        <v>1707</v>
      </c>
      <c r="B217" s="230">
        <f t="shared" si="509"/>
        <v>207</v>
      </c>
      <c r="C217" s="229" t="str">
        <f t="shared" si="466"/>
        <v>21cX25+000_060_04</v>
      </c>
      <c r="D217" s="231">
        <f t="shared" si="467"/>
        <v>25</v>
      </c>
      <c r="E217" s="239">
        <f t="shared" si="449"/>
        <v>3.4090000000000007</v>
      </c>
      <c r="F217" s="232">
        <f t="shared" si="468"/>
        <v>13.636000000000003</v>
      </c>
      <c r="G217" s="232">
        <f t="shared" si="463"/>
        <v>10.908800000000003</v>
      </c>
      <c r="H217" s="232">
        <f t="shared" si="464"/>
        <v>6.8180000000000014</v>
      </c>
      <c r="I217" s="232">
        <f t="shared" si="502"/>
        <v>8</v>
      </c>
      <c r="J217" s="233">
        <f t="shared" si="502"/>
        <v>0</v>
      </c>
      <c r="K217" s="228" t="str">
        <f t="shared" si="507"/>
        <v>25-4</v>
      </c>
      <c r="L217" s="232">
        <f t="shared" si="325"/>
        <v>0.2</v>
      </c>
      <c r="M217" s="235">
        <v>60</v>
      </c>
      <c r="N217" s="232">
        <f t="shared" ref="N217:P217" si="510">N216</f>
        <v>150</v>
      </c>
      <c r="O217" s="232">
        <f t="shared" si="510"/>
        <v>160</v>
      </c>
      <c r="P217" s="232">
        <f t="shared" si="510"/>
        <v>270</v>
      </c>
      <c r="Q217" s="230">
        <f t="shared" si="319"/>
        <v>-4</v>
      </c>
    </row>
    <row r="218" spans="1:17" s="217" customFormat="1" x14ac:dyDescent="0.25">
      <c r="A218" s="229">
        <f t="shared" ref="A218:B218" si="511">A217+1</f>
        <v>1708</v>
      </c>
      <c r="B218" s="230">
        <f t="shared" si="511"/>
        <v>208</v>
      </c>
      <c r="C218" s="229" t="str">
        <f t="shared" si="466"/>
        <v>21cX25+000_090_04</v>
      </c>
      <c r="D218" s="231">
        <f t="shared" si="467"/>
        <v>25</v>
      </c>
      <c r="E218" s="239">
        <f t="shared" si="449"/>
        <v>3.4090000000000007</v>
      </c>
      <c r="F218" s="232">
        <f t="shared" si="468"/>
        <v>13.636000000000003</v>
      </c>
      <c r="G218" s="232">
        <f t="shared" si="463"/>
        <v>10.908800000000003</v>
      </c>
      <c r="H218" s="232">
        <f t="shared" si="464"/>
        <v>6.8180000000000014</v>
      </c>
      <c r="I218" s="232">
        <f t="shared" si="502"/>
        <v>8</v>
      </c>
      <c r="J218" s="233">
        <f t="shared" si="502"/>
        <v>0</v>
      </c>
      <c r="K218" s="228" t="str">
        <f t="shared" si="507"/>
        <v>25-4</v>
      </c>
      <c r="L218" s="232">
        <f t="shared" si="325"/>
        <v>0.2</v>
      </c>
      <c r="M218" s="235">
        <v>90</v>
      </c>
      <c r="N218" s="232">
        <f t="shared" ref="N218:P218" si="512">N217</f>
        <v>150</v>
      </c>
      <c r="O218" s="232">
        <f t="shared" si="512"/>
        <v>160</v>
      </c>
      <c r="P218" s="232">
        <f t="shared" si="512"/>
        <v>270</v>
      </c>
      <c r="Q218" s="230">
        <f t="shared" si="319"/>
        <v>-4</v>
      </c>
    </row>
    <row r="219" spans="1:17" s="217" customFormat="1" x14ac:dyDescent="0.25">
      <c r="A219" s="229">
        <f t="shared" ref="A219:B219" si="513">A218+1</f>
        <v>1709</v>
      </c>
      <c r="B219" s="230">
        <f t="shared" si="513"/>
        <v>209</v>
      </c>
      <c r="C219" s="229" t="str">
        <f t="shared" si="466"/>
        <v>21cX25+000_000_05</v>
      </c>
      <c r="D219" s="231">
        <f t="shared" si="467"/>
        <v>25</v>
      </c>
      <c r="E219" s="239">
        <f t="shared" si="449"/>
        <v>3.4090000000000007</v>
      </c>
      <c r="F219" s="232">
        <f t="shared" si="468"/>
        <v>13.636000000000003</v>
      </c>
      <c r="G219" s="232">
        <f t="shared" si="463"/>
        <v>10.908800000000003</v>
      </c>
      <c r="H219" s="232">
        <f t="shared" si="464"/>
        <v>6.8180000000000014</v>
      </c>
      <c r="I219" s="232">
        <f t="shared" si="502"/>
        <v>8</v>
      </c>
      <c r="J219" s="233">
        <f t="shared" si="502"/>
        <v>0</v>
      </c>
      <c r="K219" s="228" t="str">
        <f>D219&amp;-5</f>
        <v>25-5</v>
      </c>
      <c r="L219" s="232">
        <f t="shared" si="325"/>
        <v>0.2</v>
      </c>
      <c r="M219" s="235">
        <v>0</v>
      </c>
      <c r="N219" s="232">
        <f t="shared" ref="N219:P219" si="514">N218</f>
        <v>150</v>
      </c>
      <c r="O219" s="232">
        <f t="shared" si="514"/>
        <v>160</v>
      </c>
      <c r="P219" s="232">
        <f t="shared" si="514"/>
        <v>270</v>
      </c>
      <c r="Q219" s="230">
        <f t="shared" ref="Q219:Q250" si="515">1*pitch_runaway_fine</f>
        <v>-4</v>
      </c>
    </row>
    <row r="220" spans="1:17" s="217" customFormat="1" x14ac:dyDescent="0.25">
      <c r="A220" s="229">
        <f t="shared" ref="A220:B220" si="516">A219+1</f>
        <v>1710</v>
      </c>
      <c r="B220" s="230">
        <f t="shared" si="516"/>
        <v>210</v>
      </c>
      <c r="C220" s="229" t="str">
        <f t="shared" si="466"/>
        <v>21cX25+000_030_05</v>
      </c>
      <c r="D220" s="231">
        <f t="shared" si="467"/>
        <v>25</v>
      </c>
      <c r="E220" s="239">
        <f t="shared" si="449"/>
        <v>3.4090000000000007</v>
      </c>
      <c r="F220" s="232">
        <f t="shared" si="468"/>
        <v>13.636000000000003</v>
      </c>
      <c r="G220" s="232">
        <f t="shared" si="463"/>
        <v>10.908800000000003</v>
      </c>
      <c r="H220" s="232">
        <f t="shared" si="464"/>
        <v>6.8180000000000014</v>
      </c>
      <c r="I220" s="232">
        <f t="shared" si="502"/>
        <v>8</v>
      </c>
      <c r="J220" s="233">
        <f t="shared" si="502"/>
        <v>0</v>
      </c>
      <c r="K220" s="228" t="str">
        <f t="shared" ref="K220:K222" si="517">D220&amp;-5</f>
        <v>25-5</v>
      </c>
      <c r="L220" s="232">
        <f t="shared" ref="L220:L250" si="518">L219</f>
        <v>0.2</v>
      </c>
      <c r="M220" s="235">
        <v>30</v>
      </c>
      <c r="N220" s="232">
        <f t="shared" ref="N220:P220" si="519">N219</f>
        <v>150</v>
      </c>
      <c r="O220" s="232">
        <f t="shared" si="519"/>
        <v>160</v>
      </c>
      <c r="P220" s="232">
        <f t="shared" si="519"/>
        <v>270</v>
      </c>
      <c r="Q220" s="230">
        <f t="shared" si="515"/>
        <v>-4</v>
      </c>
    </row>
    <row r="221" spans="1:17" s="217" customFormat="1" x14ac:dyDescent="0.25">
      <c r="A221" s="229">
        <f t="shared" ref="A221:B221" si="520">A220+1</f>
        <v>1711</v>
      </c>
      <c r="B221" s="230">
        <f t="shared" si="520"/>
        <v>211</v>
      </c>
      <c r="C221" s="229" t="str">
        <f t="shared" si="466"/>
        <v>21cX25+000_060_05</v>
      </c>
      <c r="D221" s="231">
        <f t="shared" si="467"/>
        <v>25</v>
      </c>
      <c r="E221" s="239">
        <f t="shared" si="449"/>
        <v>3.4090000000000007</v>
      </c>
      <c r="F221" s="232">
        <f t="shared" si="468"/>
        <v>13.636000000000003</v>
      </c>
      <c r="G221" s="232">
        <f t="shared" si="463"/>
        <v>10.908800000000003</v>
      </c>
      <c r="H221" s="232">
        <f t="shared" si="464"/>
        <v>6.8180000000000014</v>
      </c>
      <c r="I221" s="232">
        <f t="shared" si="502"/>
        <v>8</v>
      </c>
      <c r="J221" s="233">
        <f t="shared" si="502"/>
        <v>0</v>
      </c>
      <c r="K221" s="228" t="str">
        <f t="shared" si="517"/>
        <v>25-5</v>
      </c>
      <c r="L221" s="232">
        <f t="shared" si="518"/>
        <v>0.2</v>
      </c>
      <c r="M221" s="235">
        <v>60</v>
      </c>
      <c r="N221" s="232">
        <f t="shared" ref="N221:P221" si="521">N220</f>
        <v>150</v>
      </c>
      <c r="O221" s="232">
        <f t="shared" si="521"/>
        <v>160</v>
      </c>
      <c r="P221" s="232">
        <f t="shared" si="521"/>
        <v>270</v>
      </c>
      <c r="Q221" s="230">
        <f t="shared" si="515"/>
        <v>-4</v>
      </c>
    </row>
    <row r="222" spans="1:17" s="217" customFormat="1" x14ac:dyDescent="0.25">
      <c r="A222" s="229">
        <f t="shared" ref="A222:B222" si="522">A221+1</f>
        <v>1712</v>
      </c>
      <c r="B222" s="230">
        <f t="shared" si="522"/>
        <v>212</v>
      </c>
      <c r="C222" s="229" t="str">
        <f t="shared" si="466"/>
        <v>21cX25+000_090_05</v>
      </c>
      <c r="D222" s="231">
        <f t="shared" si="467"/>
        <v>25</v>
      </c>
      <c r="E222" s="239">
        <f t="shared" si="449"/>
        <v>3.4090000000000007</v>
      </c>
      <c r="F222" s="232">
        <f t="shared" si="468"/>
        <v>13.636000000000003</v>
      </c>
      <c r="G222" s="232">
        <f t="shared" si="463"/>
        <v>10.908800000000003</v>
      </c>
      <c r="H222" s="232">
        <f t="shared" si="464"/>
        <v>6.8180000000000014</v>
      </c>
      <c r="I222" s="232">
        <f t="shared" si="502"/>
        <v>8</v>
      </c>
      <c r="J222" s="233">
        <f t="shared" si="502"/>
        <v>0</v>
      </c>
      <c r="K222" s="228" t="str">
        <f t="shared" si="517"/>
        <v>25-5</v>
      </c>
      <c r="L222" s="232">
        <f t="shared" si="518"/>
        <v>0.2</v>
      </c>
      <c r="M222" s="235">
        <v>90</v>
      </c>
      <c r="N222" s="232">
        <f t="shared" ref="N222:P222" si="523">N221</f>
        <v>150</v>
      </c>
      <c r="O222" s="232">
        <f t="shared" si="523"/>
        <v>160</v>
      </c>
      <c r="P222" s="232">
        <f t="shared" si="523"/>
        <v>270</v>
      </c>
      <c r="Q222" s="230">
        <f t="shared" si="515"/>
        <v>-4</v>
      </c>
    </row>
    <row r="223" spans="1:17" s="217" customFormat="1" x14ac:dyDescent="0.25">
      <c r="A223" s="229">
        <f t="shared" ref="A223:B223" si="524">A222+1</f>
        <v>1713</v>
      </c>
      <c r="B223" s="230">
        <f t="shared" si="524"/>
        <v>213</v>
      </c>
      <c r="C223" s="229" t="str">
        <f t="shared" si="466"/>
        <v>21cX25+000_000_06</v>
      </c>
      <c r="D223" s="231">
        <f t="shared" si="467"/>
        <v>25</v>
      </c>
      <c r="E223" s="239">
        <f t="shared" si="449"/>
        <v>3.4090000000000007</v>
      </c>
      <c r="F223" s="232">
        <f t="shared" si="468"/>
        <v>13.636000000000003</v>
      </c>
      <c r="G223" s="232">
        <f t="shared" si="463"/>
        <v>10.908800000000003</v>
      </c>
      <c r="H223" s="232">
        <f t="shared" si="464"/>
        <v>6.8180000000000014</v>
      </c>
      <c r="I223" s="232">
        <f t="shared" si="502"/>
        <v>8</v>
      </c>
      <c r="J223" s="233">
        <f t="shared" si="502"/>
        <v>0</v>
      </c>
      <c r="K223" s="228" t="str">
        <f>D223&amp;-6</f>
        <v>25-6</v>
      </c>
      <c r="L223" s="232">
        <f t="shared" si="518"/>
        <v>0.2</v>
      </c>
      <c r="M223" s="235">
        <v>0</v>
      </c>
      <c r="N223" s="232">
        <f t="shared" ref="N223:P223" si="525">N222</f>
        <v>150</v>
      </c>
      <c r="O223" s="232">
        <f t="shared" si="525"/>
        <v>160</v>
      </c>
      <c r="P223" s="232">
        <f t="shared" si="525"/>
        <v>270</v>
      </c>
      <c r="Q223" s="230">
        <f t="shared" si="515"/>
        <v>-4</v>
      </c>
    </row>
    <row r="224" spans="1:17" s="217" customFormat="1" x14ac:dyDescent="0.25">
      <c r="A224" s="229">
        <f t="shared" ref="A224:B224" si="526">A223+1</f>
        <v>1714</v>
      </c>
      <c r="B224" s="230">
        <f t="shared" si="526"/>
        <v>214</v>
      </c>
      <c r="C224" s="229" t="str">
        <f t="shared" si="466"/>
        <v>21cX25+000_030_06</v>
      </c>
      <c r="D224" s="231">
        <f t="shared" si="467"/>
        <v>25</v>
      </c>
      <c r="E224" s="239">
        <f t="shared" si="449"/>
        <v>3.4090000000000007</v>
      </c>
      <c r="F224" s="232">
        <f t="shared" si="468"/>
        <v>13.636000000000003</v>
      </c>
      <c r="G224" s="232">
        <f t="shared" si="463"/>
        <v>10.908800000000003</v>
      </c>
      <c r="H224" s="232">
        <f t="shared" si="464"/>
        <v>6.8180000000000014</v>
      </c>
      <c r="I224" s="232">
        <f t="shared" si="502"/>
        <v>8</v>
      </c>
      <c r="J224" s="233">
        <f t="shared" si="502"/>
        <v>0</v>
      </c>
      <c r="K224" s="228" t="str">
        <f t="shared" ref="K224:K226" si="527">D224&amp;-6</f>
        <v>25-6</v>
      </c>
      <c r="L224" s="232">
        <f t="shared" si="518"/>
        <v>0.2</v>
      </c>
      <c r="M224" s="235">
        <v>30</v>
      </c>
      <c r="N224" s="232">
        <f t="shared" ref="N224:P224" si="528">N223</f>
        <v>150</v>
      </c>
      <c r="O224" s="232">
        <f t="shared" si="528"/>
        <v>160</v>
      </c>
      <c r="P224" s="232">
        <f t="shared" si="528"/>
        <v>270</v>
      </c>
      <c r="Q224" s="230">
        <f t="shared" si="515"/>
        <v>-4</v>
      </c>
    </row>
    <row r="225" spans="1:17" s="217" customFormat="1" x14ac:dyDescent="0.25">
      <c r="A225" s="229">
        <f t="shared" ref="A225:B225" si="529">A224+1</f>
        <v>1715</v>
      </c>
      <c r="B225" s="230">
        <f t="shared" si="529"/>
        <v>215</v>
      </c>
      <c r="C225" s="229" t="str">
        <f t="shared" si="466"/>
        <v>21cX25+000_060_06</v>
      </c>
      <c r="D225" s="231">
        <f t="shared" si="467"/>
        <v>25</v>
      </c>
      <c r="E225" s="239">
        <f t="shared" si="449"/>
        <v>3.4090000000000007</v>
      </c>
      <c r="F225" s="232">
        <f t="shared" si="468"/>
        <v>13.636000000000003</v>
      </c>
      <c r="G225" s="232">
        <f t="shared" si="463"/>
        <v>10.908800000000003</v>
      </c>
      <c r="H225" s="232">
        <f t="shared" si="464"/>
        <v>6.8180000000000014</v>
      </c>
      <c r="I225" s="232">
        <f t="shared" si="502"/>
        <v>8</v>
      </c>
      <c r="J225" s="233">
        <f t="shared" si="502"/>
        <v>0</v>
      </c>
      <c r="K225" s="228" t="str">
        <f t="shared" si="527"/>
        <v>25-6</v>
      </c>
      <c r="L225" s="232">
        <f t="shared" si="518"/>
        <v>0.2</v>
      </c>
      <c r="M225" s="235">
        <v>60</v>
      </c>
      <c r="N225" s="232">
        <f t="shared" ref="N225:P225" si="530">N224</f>
        <v>150</v>
      </c>
      <c r="O225" s="232">
        <f t="shared" si="530"/>
        <v>160</v>
      </c>
      <c r="P225" s="232">
        <f t="shared" si="530"/>
        <v>270</v>
      </c>
      <c r="Q225" s="230">
        <f t="shared" si="515"/>
        <v>-4</v>
      </c>
    </row>
    <row r="226" spans="1:17" s="217" customFormat="1" x14ac:dyDescent="0.25">
      <c r="A226" s="229">
        <f t="shared" ref="A226:B226" si="531">A225+1</f>
        <v>1716</v>
      </c>
      <c r="B226" s="230">
        <f t="shared" si="531"/>
        <v>216</v>
      </c>
      <c r="C226" s="229" t="str">
        <f t="shared" si="466"/>
        <v>21cX25+000_090_06</v>
      </c>
      <c r="D226" s="231">
        <f t="shared" si="467"/>
        <v>25</v>
      </c>
      <c r="E226" s="239">
        <f t="shared" si="449"/>
        <v>3.4090000000000007</v>
      </c>
      <c r="F226" s="232">
        <f t="shared" si="468"/>
        <v>13.636000000000003</v>
      </c>
      <c r="G226" s="232">
        <f t="shared" si="463"/>
        <v>10.908800000000003</v>
      </c>
      <c r="H226" s="232">
        <f t="shared" si="464"/>
        <v>6.8180000000000014</v>
      </c>
      <c r="I226" s="232">
        <f t="shared" si="502"/>
        <v>8</v>
      </c>
      <c r="J226" s="233">
        <f t="shared" si="502"/>
        <v>0</v>
      </c>
      <c r="K226" s="228" t="str">
        <f t="shared" si="527"/>
        <v>25-6</v>
      </c>
      <c r="L226" s="232">
        <f t="shared" si="518"/>
        <v>0.2</v>
      </c>
      <c r="M226" s="235">
        <v>90</v>
      </c>
      <c r="N226" s="232">
        <f t="shared" ref="N226:P226" si="532">N225</f>
        <v>150</v>
      </c>
      <c r="O226" s="232">
        <f t="shared" si="532"/>
        <v>160</v>
      </c>
      <c r="P226" s="232">
        <f t="shared" si="532"/>
        <v>270</v>
      </c>
      <c r="Q226" s="230">
        <f t="shared" si="515"/>
        <v>-4</v>
      </c>
    </row>
    <row r="227" spans="1:17" s="217" customFormat="1" x14ac:dyDescent="0.25">
      <c r="A227" s="229">
        <f t="shared" ref="A227:B227" si="533">A226+1</f>
        <v>1717</v>
      </c>
      <c r="B227" s="230">
        <f t="shared" si="533"/>
        <v>217</v>
      </c>
      <c r="C227" s="229" t="str">
        <f t="shared" si="466"/>
        <v>21cX25+000_000_07</v>
      </c>
      <c r="D227" s="231">
        <f t="shared" si="467"/>
        <v>25</v>
      </c>
      <c r="E227" s="239">
        <f t="shared" si="449"/>
        <v>3.4090000000000007</v>
      </c>
      <c r="F227" s="232">
        <f t="shared" si="468"/>
        <v>13.636000000000003</v>
      </c>
      <c r="G227" s="232">
        <f t="shared" si="463"/>
        <v>10.908800000000003</v>
      </c>
      <c r="H227" s="232">
        <f t="shared" si="464"/>
        <v>6.8180000000000014</v>
      </c>
      <c r="I227" s="232">
        <f t="shared" si="502"/>
        <v>8</v>
      </c>
      <c r="J227" s="233">
        <f t="shared" si="502"/>
        <v>0</v>
      </c>
      <c r="K227" s="228" t="str">
        <f>D227&amp;-7</f>
        <v>25-7</v>
      </c>
      <c r="L227" s="232">
        <f t="shared" si="518"/>
        <v>0.2</v>
      </c>
      <c r="M227" s="235">
        <v>0</v>
      </c>
      <c r="N227" s="232">
        <f t="shared" ref="N227:P227" si="534">N226</f>
        <v>150</v>
      </c>
      <c r="O227" s="232">
        <f t="shared" si="534"/>
        <v>160</v>
      </c>
      <c r="P227" s="232">
        <f t="shared" si="534"/>
        <v>270</v>
      </c>
      <c r="Q227" s="230">
        <f t="shared" si="515"/>
        <v>-4</v>
      </c>
    </row>
    <row r="228" spans="1:17" s="217" customFormat="1" x14ac:dyDescent="0.25">
      <c r="A228" s="229">
        <f t="shared" ref="A228:B228" si="535">A227+1</f>
        <v>1718</v>
      </c>
      <c r="B228" s="230">
        <f t="shared" si="535"/>
        <v>218</v>
      </c>
      <c r="C228" s="229" t="str">
        <f t="shared" si="466"/>
        <v>21cX25+000_030_07</v>
      </c>
      <c r="D228" s="231">
        <f t="shared" si="467"/>
        <v>25</v>
      </c>
      <c r="E228" s="239">
        <f t="shared" si="449"/>
        <v>3.4090000000000007</v>
      </c>
      <c r="F228" s="232">
        <f t="shared" si="468"/>
        <v>13.636000000000003</v>
      </c>
      <c r="G228" s="232">
        <f t="shared" si="463"/>
        <v>10.908800000000003</v>
      </c>
      <c r="H228" s="232">
        <f t="shared" si="464"/>
        <v>6.8180000000000014</v>
      </c>
      <c r="I228" s="232">
        <f t="shared" si="502"/>
        <v>8</v>
      </c>
      <c r="J228" s="233">
        <f t="shared" si="502"/>
        <v>0</v>
      </c>
      <c r="K228" s="228" t="str">
        <f t="shared" ref="K228:K230" si="536">D228&amp;-7</f>
        <v>25-7</v>
      </c>
      <c r="L228" s="232">
        <f t="shared" si="518"/>
        <v>0.2</v>
      </c>
      <c r="M228" s="235">
        <v>30</v>
      </c>
      <c r="N228" s="232">
        <f t="shared" ref="N228:P228" si="537">N227</f>
        <v>150</v>
      </c>
      <c r="O228" s="232">
        <f t="shared" si="537"/>
        <v>160</v>
      </c>
      <c r="P228" s="232">
        <f t="shared" si="537"/>
        <v>270</v>
      </c>
      <c r="Q228" s="230">
        <f t="shared" si="515"/>
        <v>-4</v>
      </c>
    </row>
    <row r="229" spans="1:17" s="217" customFormat="1" x14ac:dyDescent="0.25">
      <c r="A229" s="229">
        <f t="shared" ref="A229:B229" si="538">A228+1</f>
        <v>1719</v>
      </c>
      <c r="B229" s="230">
        <f t="shared" si="538"/>
        <v>219</v>
      </c>
      <c r="C229" s="229" t="str">
        <f t="shared" si="466"/>
        <v>21cX25+000_060_07</v>
      </c>
      <c r="D229" s="231">
        <f t="shared" si="467"/>
        <v>25</v>
      </c>
      <c r="E229" s="239">
        <f t="shared" si="449"/>
        <v>3.4090000000000007</v>
      </c>
      <c r="F229" s="232">
        <f t="shared" si="468"/>
        <v>13.636000000000003</v>
      </c>
      <c r="G229" s="232">
        <f t="shared" si="463"/>
        <v>10.908800000000003</v>
      </c>
      <c r="H229" s="232">
        <f t="shared" si="464"/>
        <v>6.8180000000000014</v>
      </c>
      <c r="I229" s="232">
        <f t="shared" si="502"/>
        <v>8</v>
      </c>
      <c r="J229" s="233">
        <f t="shared" si="502"/>
        <v>0</v>
      </c>
      <c r="K229" s="228" t="str">
        <f t="shared" si="536"/>
        <v>25-7</v>
      </c>
      <c r="L229" s="232">
        <f t="shared" si="518"/>
        <v>0.2</v>
      </c>
      <c r="M229" s="235">
        <v>60</v>
      </c>
      <c r="N229" s="232">
        <f t="shared" ref="N229:P229" si="539">N228</f>
        <v>150</v>
      </c>
      <c r="O229" s="232">
        <f t="shared" si="539"/>
        <v>160</v>
      </c>
      <c r="P229" s="232">
        <f t="shared" si="539"/>
        <v>270</v>
      </c>
      <c r="Q229" s="230">
        <f t="shared" si="515"/>
        <v>-4</v>
      </c>
    </row>
    <row r="230" spans="1:17" s="217" customFormat="1" x14ac:dyDescent="0.25">
      <c r="A230" s="229">
        <f t="shared" ref="A230:B230" si="540">A229+1</f>
        <v>1720</v>
      </c>
      <c r="B230" s="230">
        <f t="shared" si="540"/>
        <v>220</v>
      </c>
      <c r="C230" s="229" t="str">
        <f t="shared" si="466"/>
        <v>21cX25+000_090_07</v>
      </c>
      <c r="D230" s="231">
        <f t="shared" si="467"/>
        <v>25</v>
      </c>
      <c r="E230" s="239">
        <f t="shared" si="449"/>
        <v>3.4090000000000007</v>
      </c>
      <c r="F230" s="232">
        <f t="shared" si="468"/>
        <v>13.636000000000003</v>
      </c>
      <c r="G230" s="232">
        <f t="shared" si="463"/>
        <v>10.908800000000003</v>
      </c>
      <c r="H230" s="232">
        <f t="shared" si="464"/>
        <v>6.8180000000000014</v>
      </c>
      <c r="I230" s="232">
        <f t="shared" ref="I230:J245" si="541">I229</f>
        <v>8</v>
      </c>
      <c r="J230" s="233">
        <f t="shared" si="541"/>
        <v>0</v>
      </c>
      <c r="K230" s="228" t="str">
        <f t="shared" si="536"/>
        <v>25-7</v>
      </c>
      <c r="L230" s="232">
        <f t="shared" si="518"/>
        <v>0.2</v>
      </c>
      <c r="M230" s="235">
        <v>90</v>
      </c>
      <c r="N230" s="232">
        <f t="shared" ref="N230:P230" si="542">N229</f>
        <v>150</v>
      </c>
      <c r="O230" s="232">
        <f t="shared" si="542"/>
        <v>160</v>
      </c>
      <c r="P230" s="232">
        <f t="shared" si="542"/>
        <v>270</v>
      </c>
      <c r="Q230" s="230">
        <f t="shared" si="515"/>
        <v>-4</v>
      </c>
    </row>
    <row r="231" spans="1:17" s="217" customFormat="1" x14ac:dyDescent="0.25">
      <c r="A231" s="229">
        <f t="shared" ref="A231:B231" si="543">A230+1</f>
        <v>1721</v>
      </c>
      <c r="B231" s="230">
        <f t="shared" si="543"/>
        <v>221</v>
      </c>
      <c r="C231" s="229" t="str">
        <f t="shared" si="466"/>
        <v>21cX25+000_000_08</v>
      </c>
      <c r="D231" s="231">
        <f t="shared" si="467"/>
        <v>25</v>
      </c>
      <c r="E231" s="239">
        <f t="shared" si="449"/>
        <v>3.4090000000000007</v>
      </c>
      <c r="F231" s="232">
        <f t="shared" si="468"/>
        <v>13.636000000000003</v>
      </c>
      <c r="G231" s="232">
        <f t="shared" si="463"/>
        <v>10.908800000000003</v>
      </c>
      <c r="H231" s="232">
        <f t="shared" si="464"/>
        <v>6.8180000000000014</v>
      </c>
      <c r="I231" s="232">
        <f t="shared" si="541"/>
        <v>8</v>
      </c>
      <c r="J231" s="233">
        <f t="shared" si="541"/>
        <v>0</v>
      </c>
      <c r="K231" s="228" t="str">
        <f>D231&amp;-8</f>
        <v>25-8</v>
      </c>
      <c r="L231" s="232">
        <f t="shared" si="518"/>
        <v>0.2</v>
      </c>
      <c r="M231" s="235">
        <v>0</v>
      </c>
      <c r="N231" s="232">
        <f t="shared" ref="N231:P231" si="544">N230</f>
        <v>150</v>
      </c>
      <c r="O231" s="232">
        <f t="shared" si="544"/>
        <v>160</v>
      </c>
      <c r="P231" s="232">
        <f t="shared" si="544"/>
        <v>270</v>
      </c>
      <c r="Q231" s="230">
        <f t="shared" si="515"/>
        <v>-4</v>
      </c>
    </row>
    <row r="232" spans="1:17" s="217" customFormat="1" x14ac:dyDescent="0.25">
      <c r="A232" s="229">
        <f t="shared" ref="A232:B232" si="545">A231+1</f>
        <v>1722</v>
      </c>
      <c r="B232" s="230">
        <f t="shared" si="545"/>
        <v>222</v>
      </c>
      <c r="C232" s="229" t="str">
        <f t="shared" si="466"/>
        <v>21cX25+000_030_08</v>
      </c>
      <c r="D232" s="231">
        <f t="shared" si="467"/>
        <v>25</v>
      </c>
      <c r="E232" s="239">
        <f t="shared" si="449"/>
        <v>3.4090000000000007</v>
      </c>
      <c r="F232" s="232">
        <f t="shared" si="468"/>
        <v>13.636000000000003</v>
      </c>
      <c r="G232" s="232">
        <f t="shared" si="463"/>
        <v>10.908800000000003</v>
      </c>
      <c r="H232" s="232">
        <f t="shared" si="464"/>
        <v>6.8180000000000014</v>
      </c>
      <c r="I232" s="232">
        <f t="shared" si="541"/>
        <v>8</v>
      </c>
      <c r="J232" s="233">
        <f t="shared" si="541"/>
        <v>0</v>
      </c>
      <c r="K232" s="228" t="str">
        <f t="shared" ref="K232:K234" si="546">D232&amp;-8</f>
        <v>25-8</v>
      </c>
      <c r="L232" s="232">
        <f t="shared" si="518"/>
        <v>0.2</v>
      </c>
      <c r="M232" s="235">
        <v>30</v>
      </c>
      <c r="N232" s="232">
        <f t="shared" ref="N232:P232" si="547">N231</f>
        <v>150</v>
      </c>
      <c r="O232" s="232">
        <f t="shared" si="547"/>
        <v>160</v>
      </c>
      <c r="P232" s="232">
        <f t="shared" si="547"/>
        <v>270</v>
      </c>
      <c r="Q232" s="230">
        <f t="shared" si="515"/>
        <v>-4</v>
      </c>
    </row>
    <row r="233" spans="1:17" s="217" customFormat="1" x14ac:dyDescent="0.25">
      <c r="A233" s="229">
        <f t="shared" ref="A233:B233" si="548">A232+1</f>
        <v>1723</v>
      </c>
      <c r="B233" s="230">
        <f t="shared" si="548"/>
        <v>223</v>
      </c>
      <c r="C233" s="229" t="str">
        <f t="shared" si="466"/>
        <v>21cX25+000_060_08</v>
      </c>
      <c r="D233" s="231">
        <f t="shared" si="467"/>
        <v>25</v>
      </c>
      <c r="E233" s="239">
        <f t="shared" si="449"/>
        <v>3.4090000000000007</v>
      </c>
      <c r="F233" s="232">
        <f t="shared" si="468"/>
        <v>13.636000000000003</v>
      </c>
      <c r="G233" s="232">
        <f t="shared" si="463"/>
        <v>10.908800000000003</v>
      </c>
      <c r="H233" s="232">
        <f t="shared" si="464"/>
        <v>6.8180000000000014</v>
      </c>
      <c r="I233" s="232">
        <f t="shared" si="541"/>
        <v>8</v>
      </c>
      <c r="J233" s="233">
        <f t="shared" si="541"/>
        <v>0</v>
      </c>
      <c r="K233" s="228" t="str">
        <f t="shared" si="546"/>
        <v>25-8</v>
      </c>
      <c r="L233" s="232">
        <f t="shared" si="518"/>
        <v>0.2</v>
      </c>
      <c r="M233" s="235">
        <v>60</v>
      </c>
      <c r="N233" s="232">
        <f t="shared" ref="N233:P233" si="549">N232</f>
        <v>150</v>
      </c>
      <c r="O233" s="232">
        <f t="shared" si="549"/>
        <v>160</v>
      </c>
      <c r="P233" s="232">
        <f t="shared" si="549"/>
        <v>270</v>
      </c>
      <c r="Q233" s="230">
        <f t="shared" si="515"/>
        <v>-4</v>
      </c>
    </row>
    <row r="234" spans="1:17" s="217" customFormat="1" x14ac:dyDescent="0.25">
      <c r="A234" s="229">
        <f t="shared" ref="A234:B234" si="550">A233+1</f>
        <v>1724</v>
      </c>
      <c r="B234" s="230">
        <f t="shared" si="550"/>
        <v>224</v>
      </c>
      <c r="C234" s="229" t="str">
        <f t="shared" si="466"/>
        <v>21cX25+000_090_08</v>
      </c>
      <c r="D234" s="231">
        <f t="shared" si="467"/>
        <v>25</v>
      </c>
      <c r="E234" s="239">
        <f t="shared" si="449"/>
        <v>3.4090000000000007</v>
      </c>
      <c r="F234" s="232">
        <f t="shared" si="468"/>
        <v>13.636000000000003</v>
      </c>
      <c r="G234" s="232">
        <f t="shared" si="463"/>
        <v>10.908800000000003</v>
      </c>
      <c r="H234" s="232">
        <f t="shared" si="464"/>
        <v>6.8180000000000014</v>
      </c>
      <c r="I234" s="232">
        <f t="shared" si="541"/>
        <v>8</v>
      </c>
      <c r="J234" s="233">
        <f t="shared" si="541"/>
        <v>0</v>
      </c>
      <c r="K234" s="228" t="str">
        <f t="shared" si="546"/>
        <v>25-8</v>
      </c>
      <c r="L234" s="232">
        <f t="shared" si="518"/>
        <v>0.2</v>
      </c>
      <c r="M234" s="235">
        <v>90</v>
      </c>
      <c r="N234" s="232">
        <f t="shared" ref="N234:P234" si="551">N233</f>
        <v>150</v>
      </c>
      <c r="O234" s="232">
        <f t="shared" si="551"/>
        <v>160</v>
      </c>
      <c r="P234" s="232">
        <f t="shared" si="551"/>
        <v>270</v>
      </c>
      <c r="Q234" s="230">
        <f t="shared" si="515"/>
        <v>-4</v>
      </c>
    </row>
    <row r="235" spans="1:17" s="217" customFormat="1" x14ac:dyDescent="0.25">
      <c r="A235" s="229">
        <f t="shared" ref="A235:B235" si="552">A234+1</f>
        <v>1725</v>
      </c>
      <c r="B235" s="230">
        <f t="shared" si="552"/>
        <v>225</v>
      </c>
      <c r="C235" s="229" t="str">
        <f t="shared" si="466"/>
        <v>21cX25+000_000_09</v>
      </c>
      <c r="D235" s="231">
        <f t="shared" si="467"/>
        <v>25</v>
      </c>
      <c r="E235" s="239">
        <f t="shared" si="449"/>
        <v>3.4090000000000007</v>
      </c>
      <c r="F235" s="232">
        <f t="shared" si="468"/>
        <v>13.636000000000003</v>
      </c>
      <c r="G235" s="232">
        <f t="shared" si="463"/>
        <v>10.908800000000003</v>
      </c>
      <c r="H235" s="232">
        <f t="shared" si="464"/>
        <v>6.8180000000000014</v>
      </c>
      <c r="I235" s="232">
        <f t="shared" si="541"/>
        <v>8</v>
      </c>
      <c r="J235" s="233">
        <f t="shared" si="541"/>
        <v>0</v>
      </c>
      <c r="K235" s="228" t="str">
        <f>D235&amp;-9</f>
        <v>25-9</v>
      </c>
      <c r="L235" s="232">
        <f t="shared" si="518"/>
        <v>0.2</v>
      </c>
      <c r="M235" s="235">
        <v>0</v>
      </c>
      <c r="N235" s="232">
        <f t="shared" ref="N235:P235" si="553">N234</f>
        <v>150</v>
      </c>
      <c r="O235" s="232">
        <f t="shared" si="553"/>
        <v>160</v>
      </c>
      <c r="P235" s="232">
        <f t="shared" si="553"/>
        <v>270</v>
      </c>
      <c r="Q235" s="230">
        <f t="shared" si="515"/>
        <v>-4</v>
      </c>
    </row>
    <row r="236" spans="1:17" s="217" customFormat="1" x14ac:dyDescent="0.25">
      <c r="A236" s="229">
        <f t="shared" ref="A236:B236" si="554">A235+1</f>
        <v>1726</v>
      </c>
      <c r="B236" s="230">
        <f t="shared" si="554"/>
        <v>226</v>
      </c>
      <c r="C236" s="229" t="str">
        <f t="shared" si="466"/>
        <v>21cX25+000_030_09</v>
      </c>
      <c r="D236" s="231">
        <f t="shared" si="467"/>
        <v>25</v>
      </c>
      <c r="E236" s="239">
        <f t="shared" si="449"/>
        <v>3.4090000000000007</v>
      </c>
      <c r="F236" s="232">
        <f t="shared" si="468"/>
        <v>13.636000000000003</v>
      </c>
      <c r="G236" s="232">
        <f t="shared" si="463"/>
        <v>10.908800000000003</v>
      </c>
      <c r="H236" s="232">
        <f t="shared" si="464"/>
        <v>6.8180000000000014</v>
      </c>
      <c r="I236" s="232">
        <f t="shared" si="541"/>
        <v>8</v>
      </c>
      <c r="J236" s="233">
        <f t="shared" si="541"/>
        <v>0</v>
      </c>
      <c r="K236" s="228" t="str">
        <f t="shared" ref="K236:K238" si="555">D236&amp;-9</f>
        <v>25-9</v>
      </c>
      <c r="L236" s="232">
        <f t="shared" si="518"/>
        <v>0.2</v>
      </c>
      <c r="M236" s="235">
        <v>30</v>
      </c>
      <c r="N236" s="232">
        <f t="shared" ref="N236:P236" si="556">N235</f>
        <v>150</v>
      </c>
      <c r="O236" s="232">
        <f t="shared" si="556"/>
        <v>160</v>
      </c>
      <c r="P236" s="232">
        <f t="shared" si="556"/>
        <v>270</v>
      </c>
      <c r="Q236" s="230">
        <f t="shared" si="515"/>
        <v>-4</v>
      </c>
    </row>
    <row r="237" spans="1:17" s="217" customFormat="1" x14ac:dyDescent="0.25">
      <c r="A237" s="229">
        <f t="shared" ref="A237:B237" si="557">A236+1</f>
        <v>1727</v>
      </c>
      <c r="B237" s="230">
        <f t="shared" si="557"/>
        <v>227</v>
      </c>
      <c r="C237" s="229" t="str">
        <f t="shared" si="466"/>
        <v>21cX25+000_060_09</v>
      </c>
      <c r="D237" s="231">
        <f t="shared" si="467"/>
        <v>25</v>
      </c>
      <c r="E237" s="239">
        <f t="shared" si="449"/>
        <v>3.4090000000000007</v>
      </c>
      <c r="F237" s="232">
        <f t="shared" si="468"/>
        <v>13.636000000000003</v>
      </c>
      <c r="G237" s="232">
        <f t="shared" si="463"/>
        <v>10.908800000000003</v>
      </c>
      <c r="H237" s="232">
        <f t="shared" si="464"/>
        <v>6.8180000000000014</v>
      </c>
      <c r="I237" s="232">
        <f t="shared" si="541"/>
        <v>8</v>
      </c>
      <c r="J237" s="233">
        <f t="shared" si="541"/>
        <v>0</v>
      </c>
      <c r="K237" s="228" t="str">
        <f t="shared" si="555"/>
        <v>25-9</v>
      </c>
      <c r="L237" s="232">
        <f t="shared" si="518"/>
        <v>0.2</v>
      </c>
      <c r="M237" s="235">
        <v>60</v>
      </c>
      <c r="N237" s="232">
        <f t="shared" ref="N237:P237" si="558">N236</f>
        <v>150</v>
      </c>
      <c r="O237" s="232">
        <f t="shared" si="558"/>
        <v>160</v>
      </c>
      <c r="P237" s="232">
        <f t="shared" si="558"/>
        <v>270</v>
      </c>
      <c r="Q237" s="230">
        <f t="shared" si="515"/>
        <v>-4</v>
      </c>
    </row>
    <row r="238" spans="1:17" s="217" customFormat="1" x14ac:dyDescent="0.25">
      <c r="A238" s="229">
        <f t="shared" ref="A238:B238" si="559">A237+1</f>
        <v>1728</v>
      </c>
      <c r="B238" s="230">
        <f t="shared" si="559"/>
        <v>228</v>
      </c>
      <c r="C238" s="229" t="str">
        <f t="shared" si="466"/>
        <v>21cX25+000_090_09</v>
      </c>
      <c r="D238" s="231">
        <f t="shared" si="467"/>
        <v>25</v>
      </c>
      <c r="E238" s="239">
        <f t="shared" si="449"/>
        <v>3.4090000000000007</v>
      </c>
      <c r="F238" s="232">
        <f t="shared" si="468"/>
        <v>13.636000000000003</v>
      </c>
      <c r="G238" s="232">
        <f t="shared" si="463"/>
        <v>10.908800000000003</v>
      </c>
      <c r="H238" s="232">
        <f t="shared" si="464"/>
        <v>6.8180000000000014</v>
      </c>
      <c r="I238" s="232">
        <f t="shared" si="541"/>
        <v>8</v>
      </c>
      <c r="J238" s="233">
        <f t="shared" si="541"/>
        <v>0</v>
      </c>
      <c r="K238" s="228" t="str">
        <f t="shared" si="555"/>
        <v>25-9</v>
      </c>
      <c r="L238" s="232">
        <f t="shared" si="518"/>
        <v>0.2</v>
      </c>
      <c r="M238" s="235">
        <v>90</v>
      </c>
      <c r="N238" s="232">
        <f t="shared" ref="N238:P238" si="560">N237</f>
        <v>150</v>
      </c>
      <c r="O238" s="232">
        <f t="shared" si="560"/>
        <v>160</v>
      </c>
      <c r="P238" s="232">
        <f t="shared" si="560"/>
        <v>270</v>
      </c>
      <c r="Q238" s="230">
        <f t="shared" si="515"/>
        <v>-4</v>
      </c>
    </row>
    <row r="239" spans="1:17" s="217" customFormat="1" x14ac:dyDescent="0.25">
      <c r="A239" s="229">
        <f t="shared" ref="A239:B239" si="561">A238+1</f>
        <v>1729</v>
      </c>
      <c r="B239" s="230">
        <f t="shared" si="561"/>
        <v>229</v>
      </c>
      <c r="C239" s="229" t="str">
        <f t="shared" si="466"/>
        <v>21cX25+000_000_10</v>
      </c>
      <c r="D239" s="231">
        <f t="shared" si="467"/>
        <v>25</v>
      </c>
      <c r="E239" s="239">
        <f t="shared" si="449"/>
        <v>3.4090000000000007</v>
      </c>
      <c r="F239" s="232">
        <f t="shared" si="468"/>
        <v>13.636000000000003</v>
      </c>
      <c r="G239" s="232">
        <f t="shared" si="463"/>
        <v>10.908800000000003</v>
      </c>
      <c r="H239" s="232">
        <f t="shared" si="464"/>
        <v>6.8180000000000014</v>
      </c>
      <c r="I239" s="232">
        <f t="shared" si="541"/>
        <v>8</v>
      </c>
      <c r="J239" s="233">
        <f t="shared" si="541"/>
        <v>0</v>
      </c>
      <c r="K239" s="228" t="str">
        <f>D239&amp;-10</f>
        <v>25-10</v>
      </c>
      <c r="L239" s="232">
        <f t="shared" si="518"/>
        <v>0.2</v>
      </c>
      <c r="M239" s="235">
        <v>0</v>
      </c>
      <c r="N239" s="232">
        <f t="shared" ref="N239:P239" si="562">N238</f>
        <v>150</v>
      </c>
      <c r="O239" s="232">
        <f t="shared" si="562"/>
        <v>160</v>
      </c>
      <c r="P239" s="232">
        <f t="shared" si="562"/>
        <v>270</v>
      </c>
      <c r="Q239" s="230">
        <f t="shared" si="515"/>
        <v>-4</v>
      </c>
    </row>
    <row r="240" spans="1:17" s="217" customFormat="1" x14ac:dyDescent="0.25">
      <c r="A240" s="229">
        <f t="shared" ref="A240:B240" si="563">A239+1</f>
        <v>1730</v>
      </c>
      <c r="B240" s="230">
        <f t="shared" si="563"/>
        <v>230</v>
      </c>
      <c r="C240" s="229" t="str">
        <f t="shared" si="466"/>
        <v>21cX25+000_030_10</v>
      </c>
      <c r="D240" s="231">
        <f t="shared" si="467"/>
        <v>25</v>
      </c>
      <c r="E240" s="239">
        <f t="shared" si="449"/>
        <v>3.4090000000000007</v>
      </c>
      <c r="F240" s="232">
        <f t="shared" si="468"/>
        <v>13.636000000000003</v>
      </c>
      <c r="G240" s="232">
        <f t="shared" si="463"/>
        <v>10.908800000000003</v>
      </c>
      <c r="H240" s="232">
        <f t="shared" si="464"/>
        <v>6.8180000000000014</v>
      </c>
      <c r="I240" s="232">
        <f t="shared" si="541"/>
        <v>8</v>
      </c>
      <c r="J240" s="233">
        <f t="shared" si="541"/>
        <v>0</v>
      </c>
      <c r="K240" s="228" t="str">
        <f t="shared" ref="K240:K242" si="564">D240&amp;-10</f>
        <v>25-10</v>
      </c>
      <c r="L240" s="232">
        <f t="shared" si="518"/>
        <v>0.2</v>
      </c>
      <c r="M240" s="235">
        <v>30</v>
      </c>
      <c r="N240" s="232">
        <f t="shared" ref="N240:P240" si="565">N239</f>
        <v>150</v>
      </c>
      <c r="O240" s="232">
        <f t="shared" si="565"/>
        <v>160</v>
      </c>
      <c r="P240" s="232">
        <f t="shared" si="565"/>
        <v>270</v>
      </c>
      <c r="Q240" s="230">
        <f t="shared" si="515"/>
        <v>-4</v>
      </c>
    </row>
    <row r="241" spans="1:17" s="217" customFormat="1" x14ac:dyDescent="0.25">
      <c r="A241" s="229">
        <f t="shared" ref="A241:B241" si="566">A240+1</f>
        <v>1731</v>
      </c>
      <c r="B241" s="230">
        <f t="shared" si="566"/>
        <v>231</v>
      </c>
      <c r="C241" s="229" t="str">
        <f t="shared" si="466"/>
        <v>21cX25+000_060_10</v>
      </c>
      <c r="D241" s="231">
        <f t="shared" si="467"/>
        <v>25</v>
      </c>
      <c r="E241" s="239">
        <f t="shared" si="449"/>
        <v>3.4090000000000007</v>
      </c>
      <c r="F241" s="232">
        <f t="shared" si="468"/>
        <v>13.636000000000003</v>
      </c>
      <c r="G241" s="232">
        <f t="shared" si="463"/>
        <v>10.908800000000003</v>
      </c>
      <c r="H241" s="232">
        <f t="shared" si="464"/>
        <v>6.8180000000000014</v>
      </c>
      <c r="I241" s="232">
        <f t="shared" si="541"/>
        <v>8</v>
      </c>
      <c r="J241" s="233">
        <f t="shared" si="541"/>
        <v>0</v>
      </c>
      <c r="K241" s="228" t="str">
        <f t="shared" si="564"/>
        <v>25-10</v>
      </c>
      <c r="L241" s="232">
        <f t="shared" si="518"/>
        <v>0.2</v>
      </c>
      <c r="M241" s="235">
        <v>60</v>
      </c>
      <c r="N241" s="232">
        <f t="shared" ref="N241:P241" si="567">N240</f>
        <v>150</v>
      </c>
      <c r="O241" s="232">
        <f t="shared" si="567"/>
        <v>160</v>
      </c>
      <c r="P241" s="232">
        <f t="shared" si="567"/>
        <v>270</v>
      </c>
      <c r="Q241" s="230">
        <f t="shared" si="515"/>
        <v>-4</v>
      </c>
    </row>
    <row r="242" spans="1:17" s="217" customFormat="1" x14ac:dyDescent="0.25">
      <c r="A242" s="229">
        <f t="shared" ref="A242:B242" si="568">A241+1</f>
        <v>1732</v>
      </c>
      <c r="B242" s="230">
        <f t="shared" si="568"/>
        <v>232</v>
      </c>
      <c r="C242" s="229" t="str">
        <f t="shared" si="466"/>
        <v>21cX25+000_090_10</v>
      </c>
      <c r="D242" s="231">
        <f t="shared" si="467"/>
        <v>25</v>
      </c>
      <c r="E242" s="239">
        <f t="shared" si="449"/>
        <v>3.4090000000000007</v>
      </c>
      <c r="F242" s="232">
        <f t="shared" si="468"/>
        <v>13.636000000000003</v>
      </c>
      <c r="G242" s="232">
        <f t="shared" si="463"/>
        <v>10.908800000000003</v>
      </c>
      <c r="H242" s="232">
        <f t="shared" si="464"/>
        <v>6.8180000000000014</v>
      </c>
      <c r="I242" s="232">
        <f t="shared" si="541"/>
        <v>8</v>
      </c>
      <c r="J242" s="233">
        <f t="shared" si="541"/>
        <v>0</v>
      </c>
      <c r="K242" s="228" t="str">
        <f t="shared" si="564"/>
        <v>25-10</v>
      </c>
      <c r="L242" s="232">
        <f t="shared" si="518"/>
        <v>0.2</v>
      </c>
      <c r="M242" s="235">
        <v>90</v>
      </c>
      <c r="N242" s="232">
        <f t="shared" ref="N242:P242" si="569">N241</f>
        <v>150</v>
      </c>
      <c r="O242" s="232">
        <f t="shared" si="569"/>
        <v>160</v>
      </c>
      <c r="P242" s="232">
        <f t="shared" si="569"/>
        <v>270</v>
      </c>
      <c r="Q242" s="230">
        <f t="shared" si="515"/>
        <v>-4</v>
      </c>
    </row>
    <row r="243" spans="1:17" s="217" customFormat="1" x14ac:dyDescent="0.25">
      <c r="A243" s="229">
        <f t="shared" ref="A243:B243" si="570">A242+1</f>
        <v>1733</v>
      </c>
      <c r="B243" s="230">
        <f t="shared" si="570"/>
        <v>233</v>
      </c>
      <c r="C243" s="229" t="str">
        <f t="shared" si="466"/>
        <v>21cX25+000_000_11</v>
      </c>
      <c r="D243" s="231">
        <f t="shared" si="467"/>
        <v>25</v>
      </c>
      <c r="E243" s="239">
        <f t="shared" si="449"/>
        <v>3.4090000000000007</v>
      </c>
      <c r="F243" s="232">
        <f t="shared" si="468"/>
        <v>13.636000000000003</v>
      </c>
      <c r="G243" s="232">
        <f t="shared" si="463"/>
        <v>10.908800000000003</v>
      </c>
      <c r="H243" s="232">
        <f t="shared" si="464"/>
        <v>6.8180000000000014</v>
      </c>
      <c r="I243" s="232">
        <f t="shared" si="541"/>
        <v>8</v>
      </c>
      <c r="J243" s="233">
        <f t="shared" si="541"/>
        <v>0</v>
      </c>
      <c r="K243" s="228" t="str">
        <f>D243&amp;-11</f>
        <v>25-11</v>
      </c>
      <c r="L243" s="232">
        <f t="shared" si="518"/>
        <v>0.2</v>
      </c>
      <c r="M243" s="235">
        <v>0</v>
      </c>
      <c r="N243" s="232">
        <f t="shared" ref="N243:P243" si="571">N242</f>
        <v>150</v>
      </c>
      <c r="O243" s="232">
        <f t="shared" si="571"/>
        <v>160</v>
      </c>
      <c r="P243" s="232">
        <f t="shared" si="571"/>
        <v>270</v>
      </c>
      <c r="Q243" s="230">
        <f t="shared" si="515"/>
        <v>-4</v>
      </c>
    </row>
    <row r="244" spans="1:17" s="217" customFormat="1" x14ac:dyDescent="0.25">
      <c r="A244" s="229">
        <f t="shared" ref="A244:B244" si="572">A243+1</f>
        <v>1734</v>
      </c>
      <c r="B244" s="230">
        <f t="shared" si="572"/>
        <v>234</v>
      </c>
      <c r="C244" s="229" t="str">
        <f t="shared" si="466"/>
        <v>21cX25+000_030_11</v>
      </c>
      <c r="D244" s="231">
        <f t="shared" si="467"/>
        <v>25</v>
      </c>
      <c r="E244" s="239">
        <f t="shared" si="449"/>
        <v>3.4090000000000007</v>
      </c>
      <c r="F244" s="232">
        <f t="shared" si="468"/>
        <v>13.636000000000003</v>
      </c>
      <c r="G244" s="232">
        <f t="shared" si="463"/>
        <v>10.908800000000003</v>
      </c>
      <c r="H244" s="232">
        <f t="shared" si="464"/>
        <v>6.8180000000000014</v>
      </c>
      <c r="I244" s="232">
        <f t="shared" si="541"/>
        <v>8</v>
      </c>
      <c r="J244" s="233">
        <f t="shared" si="541"/>
        <v>0</v>
      </c>
      <c r="K244" s="228" t="str">
        <f t="shared" ref="K244:K246" si="573">D244&amp;-11</f>
        <v>25-11</v>
      </c>
      <c r="L244" s="232">
        <f t="shared" si="518"/>
        <v>0.2</v>
      </c>
      <c r="M244" s="235">
        <v>30</v>
      </c>
      <c r="N244" s="232">
        <f t="shared" ref="N244:P244" si="574">N243</f>
        <v>150</v>
      </c>
      <c r="O244" s="232">
        <f t="shared" si="574"/>
        <v>160</v>
      </c>
      <c r="P244" s="232">
        <f t="shared" si="574"/>
        <v>270</v>
      </c>
      <c r="Q244" s="230">
        <f t="shared" si="515"/>
        <v>-4</v>
      </c>
    </row>
    <row r="245" spans="1:17" s="217" customFormat="1" x14ac:dyDescent="0.25">
      <c r="A245" s="229">
        <f t="shared" ref="A245:B245" si="575">A244+1</f>
        <v>1735</v>
      </c>
      <c r="B245" s="230">
        <f t="shared" si="575"/>
        <v>235</v>
      </c>
      <c r="C245" s="229" t="str">
        <f t="shared" si="466"/>
        <v>21cX25+000_060_11</v>
      </c>
      <c r="D245" s="231">
        <f t="shared" si="467"/>
        <v>25</v>
      </c>
      <c r="E245" s="239">
        <f t="shared" si="449"/>
        <v>3.4090000000000007</v>
      </c>
      <c r="F245" s="232">
        <f t="shared" si="468"/>
        <v>13.636000000000003</v>
      </c>
      <c r="G245" s="232">
        <f t="shared" si="463"/>
        <v>10.908800000000003</v>
      </c>
      <c r="H245" s="232">
        <f t="shared" si="464"/>
        <v>6.8180000000000014</v>
      </c>
      <c r="I245" s="232">
        <f t="shared" si="541"/>
        <v>8</v>
      </c>
      <c r="J245" s="233">
        <f t="shared" si="541"/>
        <v>0</v>
      </c>
      <c r="K245" s="228" t="str">
        <f t="shared" si="573"/>
        <v>25-11</v>
      </c>
      <c r="L245" s="232">
        <f t="shared" si="518"/>
        <v>0.2</v>
      </c>
      <c r="M245" s="235">
        <v>60</v>
      </c>
      <c r="N245" s="232">
        <f t="shared" ref="N245:P245" si="576">N244</f>
        <v>150</v>
      </c>
      <c r="O245" s="232">
        <f t="shared" si="576"/>
        <v>160</v>
      </c>
      <c r="P245" s="232">
        <f t="shared" si="576"/>
        <v>270</v>
      </c>
      <c r="Q245" s="230">
        <f t="shared" si="515"/>
        <v>-4</v>
      </c>
    </row>
    <row r="246" spans="1:17" s="217" customFormat="1" x14ac:dyDescent="0.25">
      <c r="A246" s="229">
        <f t="shared" ref="A246:B246" si="577">A245+1</f>
        <v>1736</v>
      </c>
      <c r="B246" s="230">
        <f t="shared" si="577"/>
        <v>236</v>
      </c>
      <c r="C246" s="229" t="str">
        <f t="shared" si="466"/>
        <v>21cX25+000_090_11</v>
      </c>
      <c r="D246" s="231">
        <f t="shared" si="467"/>
        <v>25</v>
      </c>
      <c r="E246" s="239">
        <f t="shared" si="449"/>
        <v>3.4090000000000007</v>
      </c>
      <c r="F246" s="232">
        <f t="shared" si="468"/>
        <v>13.636000000000003</v>
      </c>
      <c r="G246" s="232">
        <f t="shared" si="463"/>
        <v>10.908800000000003</v>
      </c>
      <c r="H246" s="232">
        <f t="shared" si="464"/>
        <v>6.8180000000000014</v>
      </c>
      <c r="I246" s="232">
        <f t="shared" ref="I246:J250" si="578">I245</f>
        <v>8</v>
      </c>
      <c r="J246" s="233">
        <f t="shared" si="578"/>
        <v>0</v>
      </c>
      <c r="K246" s="228" t="str">
        <f t="shared" si="573"/>
        <v>25-11</v>
      </c>
      <c r="L246" s="232">
        <f t="shared" si="518"/>
        <v>0.2</v>
      </c>
      <c r="M246" s="235">
        <v>90</v>
      </c>
      <c r="N246" s="232">
        <f t="shared" ref="N246:P246" si="579">N245</f>
        <v>150</v>
      </c>
      <c r="O246" s="232">
        <f t="shared" si="579"/>
        <v>160</v>
      </c>
      <c r="P246" s="232">
        <f t="shared" si="579"/>
        <v>270</v>
      </c>
      <c r="Q246" s="230">
        <f t="shared" si="515"/>
        <v>-4</v>
      </c>
    </row>
    <row r="247" spans="1:17" s="217" customFormat="1" x14ac:dyDescent="0.25">
      <c r="A247" s="229">
        <f t="shared" ref="A247:B247" si="580">A246+1</f>
        <v>1737</v>
      </c>
      <c r="B247" s="230">
        <f t="shared" si="580"/>
        <v>237</v>
      </c>
      <c r="C247" s="229" t="str">
        <f t="shared" si="466"/>
        <v>21cX25+000_000_12</v>
      </c>
      <c r="D247" s="231">
        <f t="shared" si="467"/>
        <v>25</v>
      </c>
      <c r="E247" s="239">
        <f t="shared" ref="E247:E250" si="581">I_ref*(0.75*D247+5.6)</f>
        <v>3.4090000000000007</v>
      </c>
      <c r="F247" s="232">
        <f t="shared" si="468"/>
        <v>13.636000000000003</v>
      </c>
      <c r="G247" s="232">
        <f t="shared" si="463"/>
        <v>10.908800000000003</v>
      </c>
      <c r="H247" s="232">
        <f t="shared" si="464"/>
        <v>6.8180000000000014</v>
      </c>
      <c r="I247" s="232">
        <f t="shared" si="578"/>
        <v>8</v>
      </c>
      <c r="J247" s="233">
        <f t="shared" si="578"/>
        <v>0</v>
      </c>
      <c r="K247" s="228" t="str">
        <f>D247&amp;-12</f>
        <v>25-12</v>
      </c>
      <c r="L247" s="232">
        <f t="shared" si="518"/>
        <v>0.2</v>
      </c>
      <c r="M247" s="235">
        <v>0</v>
      </c>
      <c r="N247" s="232">
        <f t="shared" ref="N247:P247" si="582">N246</f>
        <v>150</v>
      </c>
      <c r="O247" s="232">
        <f t="shared" si="582"/>
        <v>160</v>
      </c>
      <c r="P247" s="232">
        <f t="shared" si="582"/>
        <v>270</v>
      </c>
      <c r="Q247" s="230">
        <f t="shared" si="515"/>
        <v>-4</v>
      </c>
    </row>
    <row r="248" spans="1:17" s="217" customFormat="1" x14ac:dyDescent="0.25">
      <c r="A248" s="229">
        <f t="shared" ref="A248:B248" si="583">A247+1</f>
        <v>1738</v>
      </c>
      <c r="B248" s="230">
        <f t="shared" si="583"/>
        <v>238</v>
      </c>
      <c r="C248" s="229" t="str">
        <f t="shared" si="466"/>
        <v>21cX25+000_030_12</v>
      </c>
      <c r="D248" s="231">
        <f t="shared" si="467"/>
        <v>25</v>
      </c>
      <c r="E248" s="239">
        <f t="shared" si="581"/>
        <v>3.4090000000000007</v>
      </c>
      <c r="F248" s="232">
        <f t="shared" si="468"/>
        <v>13.636000000000003</v>
      </c>
      <c r="G248" s="232">
        <f t="shared" si="463"/>
        <v>10.908800000000003</v>
      </c>
      <c r="H248" s="232">
        <f t="shared" si="464"/>
        <v>6.8180000000000014</v>
      </c>
      <c r="I248" s="232">
        <f t="shared" si="578"/>
        <v>8</v>
      </c>
      <c r="J248" s="233">
        <f t="shared" si="578"/>
        <v>0</v>
      </c>
      <c r="K248" s="228" t="str">
        <f t="shared" ref="K248:K250" si="584">D248&amp;-12</f>
        <v>25-12</v>
      </c>
      <c r="L248" s="232">
        <f t="shared" si="518"/>
        <v>0.2</v>
      </c>
      <c r="M248" s="235">
        <v>30</v>
      </c>
      <c r="N248" s="232">
        <f t="shared" ref="N248:P248" si="585">N247</f>
        <v>150</v>
      </c>
      <c r="O248" s="232">
        <f t="shared" si="585"/>
        <v>160</v>
      </c>
      <c r="P248" s="232">
        <f t="shared" si="585"/>
        <v>270</v>
      </c>
      <c r="Q248" s="230">
        <f t="shared" si="515"/>
        <v>-4</v>
      </c>
    </row>
    <row r="249" spans="1:17" s="217" customFormat="1" x14ac:dyDescent="0.25">
      <c r="A249" s="229">
        <f t="shared" ref="A249:B249" si="586">A248+1</f>
        <v>1739</v>
      </c>
      <c r="B249" s="230">
        <f t="shared" si="586"/>
        <v>239</v>
      </c>
      <c r="C249" s="229" t="str">
        <f t="shared" si="466"/>
        <v>21cX25+000_060_12</v>
      </c>
      <c r="D249" s="231">
        <f t="shared" si="467"/>
        <v>25</v>
      </c>
      <c r="E249" s="239">
        <f t="shared" si="581"/>
        <v>3.4090000000000007</v>
      </c>
      <c r="F249" s="232">
        <f t="shared" si="468"/>
        <v>13.636000000000003</v>
      </c>
      <c r="G249" s="232">
        <f t="shared" si="463"/>
        <v>10.908800000000003</v>
      </c>
      <c r="H249" s="232">
        <f t="shared" si="464"/>
        <v>6.8180000000000014</v>
      </c>
      <c r="I249" s="232">
        <f t="shared" si="578"/>
        <v>8</v>
      </c>
      <c r="J249" s="233">
        <f t="shared" si="578"/>
        <v>0</v>
      </c>
      <c r="K249" s="228" t="str">
        <f t="shared" si="584"/>
        <v>25-12</v>
      </c>
      <c r="L249" s="232">
        <f t="shared" si="518"/>
        <v>0.2</v>
      </c>
      <c r="M249" s="235">
        <v>60</v>
      </c>
      <c r="N249" s="232">
        <f t="shared" ref="N249:P249" si="587">N248</f>
        <v>150</v>
      </c>
      <c r="O249" s="232">
        <f t="shared" si="587"/>
        <v>160</v>
      </c>
      <c r="P249" s="232">
        <f t="shared" si="587"/>
        <v>270</v>
      </c>
      <c r="Q249" s="230">
        <f t="shared" si="515"/>
        <v>-4</v>
      </c>
    </row>
    <row r="250" spans="1:17" s="217" customFormat="1" x14ac:dyDescent="0.25">
      <c r="A250" s="229">
        <f t="shared" ref="A250:B250" si="588">A249+1</f>
        <v>1740</v>
      </c>
      <c r="B250" s="230">
        <f t="shared" si="588"/>
        <v>240</v>
      </c>
      <c r="C250" s="229" t="str">
        <f t="shared" si="466"/>
        <v>21cX25+000_090_12</v>
      </c>
      <c r="D250" s="231">
        <f t="shared" si="467"/>
        <v>25</v>
      </c>
      <c r="E250" s="239">
        <f t="shared" si="581"/>
        <v>3.4090000000000007</v>
      </c>
      <c r="F250" s="232">
        <f t="shared" si="468"/>
        <v>13.636000000000003</v>
      </c>
      <c r="G250" s="232">
        <f t="shared" si="463"/>
        <v>10.908800000000003</v>
      </c>
      <c r="H250" s="232">
        <f t="shared" si="464"/>
        <v>6.8180000000000014</v>
      </c>
      <c r="I250" s="232">
        <f t="shared" si="578"/>
        <v>8</v>
      </c>
      <c r="J250" s="233">
        <f t="shared" si="578"/>
        <v>0</v>
      </c>
      <c r="K250" s="228" t="str">
        <f t="shared" si="584"/>
        <v>25-12</v>
      </c>
      <c r="L250" s="232">
        <f t="shared" si="518"/>
        <v>0.2</v>
      </c>
      <c r="M250" s="235">
        <v>90</v>
      </c>
      <c r="N250" s="232">
        <f t="shared" ref="N250:P250" si="589">N249</f>
        <v>150</v>
      </c>
      <c r="O250" s="232">
        <f t="shared" si="589"/>
        <v>160</v>
      </c>
      <c r="P250" s="232">
        <f t="shared" si="589"/>
        <v>270</v>
      </c>
      <c r="Q250" s="230">
        <f t="shared" si="515"/>
        <v>-4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U130"/>
  <sheetViews>
    <sheetView zoomScaleNormal="100" workbookViewId="0">
      <selection activeCell="I2" sqref="I2"/>
    </sheetView>
  </sheetViews>
  <sheetFormatPr defaultColWidth="9" defaultRowHeight="15" x14ac:dyDescent="0.15"/>
  <cols>
    <col min="1" max="1" width="7" style="217" customWidth="1"/>
    <col min="2" max="2" width="7.375" style="217" customWidth="1"/>
    <col min="3" max="3" width="17.25" style="217" customWidth="1"/>
    <col min="4" max="4" width="6.875" style="217" customWidth="1"/>
    <col min="5" max="5" width="7.375" style="217" customWidth="1"/>
    <col min="6" max="6" width="8.125" style="217" customWidth="1"/>
    <col min="7" max="8" width="7.375" style="217" customWidth="1"/>
    <col min="9" max="9" width="8" style="217" customWidth="1"/>
    <col min="10" max="10" width="7.25" style="217" customWidth="1"/>
    <col min="11" max="11" width="8.875" style="217" customWidth="1"/>
    <col min="12" max="12" width="7.375" style="217" customWidth="1"/>
    <col min="13" max="13" width="7.125" style="217" customWidth="1"/>
    <col min="14" max="14" width="6.75" style="217" customWidth="1"/>
    <col min="15" max="15" width="8.25" style="217" customWidth="1"/>
    <col min="16" max="16" width="7" style="217" customWidth="1"/>
    <col min="17" max="17" width="11.25" style="217" customWidth="1"/>
    <col min="18" max="18" width="9" style="217"/>
    <col min="19" max="19" width="12" style="217" bestFit="1" customWidth="1"/>
    <col min="20" max="16384" width="9" style="217"/>
  </cols>
  <sheetData>
    <row r="1" spans="1:21" x14ac:dyDescent="0.15">
      <c r="H1" s="216" t="s">
        <v>135</v>
      </c>
      <c r="I1" s="216" t="s">
        <v>3946</v>
      </c>
      <c r="J1" s="215"/>
    </row>
    <row r="2" spans="1:21" x14ac:dyDescent="0.15">
      <c r="B2" s="216" t="s">
        <v>3689</v>
      </c>
      <c r="C2" s="216"/>
      <c r="D2" s="216"/>
      <c r="E2" s="216"/>
      <c r="F2" s="216"/>
      <c r="G2" s="216"/>
      <c r="H2" s="216"/>
      <c r="I2" s="216" t="s">
        <v>3948</v>
      </c>
      <c r="J2" s="215"/>
      <c r="Q2" s="241"/>
      <c r="R2" s="241"/>
      <c r="S2" s="241"/>
      <c r="T2" s="241"/>
      <c r="U2" s="241"/>
    </row>
    <row r="3" spans="1:21" x14ac:dyDescent="0.15">
      <c r="B3" s="216" t="s">
        <v>88</v>
      </c>
      <c r="C3" s="216"/>
      <c r="D3" s="216"/>
      <c r="E3" s="216" t="s">
        <v>95</v>
      </c>
      <c r="F3" s="216"/>
      <c r="G3" s="216"/>
      <c r="H3" s="216"/>
      <c r="I3" s="240" t="s">
        <v>3939</v>
      </c>
      <c r="J3" s="215"/>
      <c r="Q3" s="241"/>
      <c r="R3" s="241"/>
      <c r="S3" s="216" t="s">
        <v>3715</v>
      </c>
      <c r="T3" s="216">
        <f>Yaw_frition</f>
        <v>1500</v>
      </c>
      <c r="U3" s="241"/>
    </row>
    <row r="4" spans="1:21" x14ac:dyDescent="0.15">
      <c r="B4" s="216" t="s">
        <v>89</v>
      </c>
      <c r="C4" s="216"/>
      <c r="D4" s="216"/>
      <c r="E4" s="216" t="s">
        <v>3684</v>
      </c>
      <c r="F4" s="216"/>
      <c r="G4" s="216"/>
      <c r="H4" s="216"/>
      <c r="I4" s="216" t="s">
        <v>3942</v>
      </c>
      <c r="J4" s="215"/>
      <c r="Q4" s="241"/>
      <c r="R4" s="241"/>
      <c r="S4" s="241"/>
      <c r="T4" s="241"/>
      <c r="U4" s="241"/>
    </row>
    <row r="5" spans="1:21" x14ac:dyDescent="0.15">
      <c r="B5" s="216" t="s">
        <v>91</v>
      </c>
      <c r="C5" s="216"/>
      <c r="D5" s="216"/>
      <c r="E5" s="216" t="s">
        <v>99</v>
      </c>
      <c r="F5" s="216"/>
      <c r="G5" s="216"/>
      <c r="H5" s="216"/>
      <c r="I5" s="240" t="s">
        <v>3940</v>
      </c>
      <c r="J5" s="215"/>
      <c r="Q5" s="241"/>
      <c r="R5" s="241"/>
      <c r="S5" s="241"/>
      <c r="T5" s="241"/>
      <c r="U5" s="241"/>
    </row>
    <row r="6" spans="1:21" x14ac:dyDescent="0.15">
      <c r="B6" s="216" t="s">
        <v>93</v>
      </c>
      <c r="C6" s="216"/>
      <c r="D6" s="216"/>
      <c r="E6" s="216" t="s">
        <v>100</v>
      </c>
      <c r="F6" s="216"/>
      <c r="G6" s="216"/>
      <c r="H6" s="216"/>
      <c r="I6" s="216" t="s">
        <v>3932</v>
      </c>
      <c r="J6" s="215"/>
      <c r="Q6" s="241"/>
      <c r="R6" s="241"/>
      <c r="S6" s="241"/>
      <c r="T6" s="241"/>
      <c r="U6" s="241"/>
    </row>
    <row r="7" spans="1:21" x14ac:dyDescent="0.15">
      <c r="I7" s="216" t="s">
        <v>3930</v>
      </c>
    </row>
    <row r="8" spans="1:21" ht="15.75" thickBot="1" x14ac:dyDescent="0.2">
      <c r="A8" s="217">
        <v>1</v>
      </c>
      <c r="B8" s="217">
        <v>2</v>
      </c>
      <c r="C8" s="217">
        <v>3</v>
      </c>
      <c r="D8" s="217">
        <v>4</v>
      </c>
      <c r="E8" s="217">
        <v>5</v>
      </c>
      <c r="F8" s="217">
        <v>6</v>
      </c>
      <c r="G8" s="217">
        <v>7</v>
      </c>
      <c r="H8" s="217">
        <v>8</v>
      </c>
      <c r="I8" s="217">
        <v>9</v>
      </c>
      <c r="J8" s="217">
        <v>10</v>
      </c>
      <c r="K8" s="217">
        <v>11</v>
      </c>
      <c r="L8" s="217">
        <v>12</v>
      </c>
      <c r="M8" s="217">
        <v>13</v>
      </c>
      <c r="N8" s="217">
        <v>14</v>
      </c>
      <c r="O8" s="217">
        <v>15</v>
      </c>
      <c r="P8" s="217">
        <v>16</v>
      </c>
      <c r="Q8" s="217">
        <v>17</v>
      </c>
    </row>
    <row r="9" spans="1:21" x14ac:dyDescent="0.25">
      <c r="A9" s="218" t="s">
        <v>97</v>
      </c>
      <c r="B9" s="219" t="s">
        <v>96</v>
      </c>
      <c r="C9" s="218" t="s">
        <v>0</v>
      </c>
      <c r="D9" s="219" t="s">
        <v>137</v>
      </c>
      <c r="E9" s="236" t="s">
        <v>142</v>
      </c>
      <c r="F9" s="219" t="s">
        <v>119</v>
      </c>
      <c r="G9" s="219" t="s">
        <v>120</v>
      </c>
      <c r="H9" s="219" t="s">
        <v>121</v>
      </c>
      <c r="I9" s="219" t="s">
        <v>144</v>
      </c>
      <c r="J9" s="219" t="s">
        <v>140</v>
      </c>
      <c r="K9" s="220" t="s">
        <v>3</v>
      </c>
      <c r="L9" s="219" t="s">
        <v>141</v>
      </c>
      <c r="M9" s="219" t="s">
        <v>13</v>
      </c>
      <c r="N9" s="221" t="s">
        <v>138</v>
      </c>
      <c r="O9" s="234" t="s">
        <v>160</v>
      </c>
      <c r="P9" s="221" t="s">
        <v>139</v>
      </c>
      <c r="Q9" s="221" t="s">
        <v>256</v>
      </c>
    </row>
    <row r="10" spans="1:21" ht="15.75" thickBot="1" x14ac:dyDescent="0.3">
      <c r="A10" s="222" t="s">
        <v>76</v>
      </c>
      <c r="B10" s="223" t="str">
        <f>B2</f>
        <v>DLC21d</v>
      </c>
      <c r="C10" s="222"/>
      <c r="D10" s="223" t="s">
        <v>4</v>
      </c>
      <c r="E10" s="237" t="s">
        <v>4</v>
      </c>
      <c r="F10" s="223" t="s">
        <v>5</v>
      </c>
      <c r="G10" s="223" t="s">
        <v>5</v>
      </c>
      <c r="H10" s="223" t="s">
        <v>5</v>
      </c>
      <c r="I10" s="223" t="s">
        <v>6</v>
      </c>
      <c r="J10" s="223" t="s">
        <v>6</v>
      </c>
      <c r="K10" s="224"/>
      <c r="L10" s="223"/>
      <c r="M10" s="225" t="s">
        <v>7</v>
      </c>
      <c r="N10" s="225" t="s">
        <v>7</v>
      </c>
      <c r="O10" s="225" t="s">
        <v>7</v>
      </c>
      <c r="P10" s="225" t="s">
        <v>7</v>
      </c>
      <c r="Q10" s="225" t="s">
        <v>257</v>
      </c>
    </row>
    <row r="11" spans="1:21" x14ac:dyDescent="0.25">
      <c r="A11" s="229">
        <f>DLC21c!A250+1</f>
        <v>1741</v>
      </c>
      <c r="B11" s="230">
        <v>1</v>
      </c>
      <c r="C11" s="229" t="str">
        <f>TEXT(RIGHT($B$2,LEN($B$2)-3),"000")&amp;IF(Q11&gt;0,"A","B")&amp;TEXT(D11,"00")&amp;"+"&amp;IF(J11&lt;0,TEXT(360+J11,"000"),TEXT(J11,"000"))&amp;"_"&amp;TEXT(M11,"000")&amp;"_"&amp;TEXT(RIGHT(K11,LEN(K11)-FIND("-",K11)),"00")</f>
        <v>21dA08+000_000_01</v>
      </c>
      <c r="D11" s="226">
        <f>vr_b</f>
        <v>7.8000000000000007</v>
      </c>
      <c r="E11" s="238">
        <f t="shared" ref="E11:E30" si="0">I_ref*(0.75*D11+5.6)</f>
        <v>1.603</v>
      </c>
      <c r="F11" s="227">
        <f>E11/D11*100</f>
        <v>20.551282051282051</v>
      </c>
      <c r="G11" s="227">
        <f t="shared" ref="G11:G30" si="1">m_ty*F11</f>
        <v>16.441025641025643</v>
      </c>
      <c r="H11" s="227">
        <f t="shared" ref="H11:H30" si="2">m_tz*F11</f>
        <v>10.275641025641026</v>
      </c>
      <c r="I11" s="227">
        <f>inflow</f>
        <v>8</v>
      </c>
      <c r="J11" s="233">
        <f>yaw_null</f>
        <v>0</v>
      </c>
      <c r="K11" s="228" t="str">
        <f>D11&amp;-1</f>
        <v>7.8-1</v>
      </c>
      <c r="L11" s="227">
        <f>alpha_n</f>
        <v>0.2</v>
      </c>
      <c r="M11" s="235">
        <v>0</v>
      </c>
      <c r="N11" s="232">
        <f>t_out</f>
        <v>150</v>
      </c>
      <c r="O11" s="232">
        <f>trig_t</f>
        <v>160</v>
      </c>
      <c r="P11" s="232">
        <f>N11+2*T_s2</f>
        <v>270</v>
      </c>
      <c r="Q11" s="230">
        <f>yaw_runaway</f>
        <v>0.32</v>
      </c>
    </row>
    <row r="12" spans="1:21" x14ac:dyDescent="0.25">
      <c r="A12" s="229">
        <f t="shared" ref="A12:B12" si="3">A11+1</f>
        <v>1742</v>
      </c>
      <c r="B12" s="230">
        <f t="shared" si="3"/>
        <v>2</v>
      </c>
      <c r="C12" s="229" t="str">
        <f t="shared" ref="C12:C75" si="4">TEXT(RIGHT($B$2,LEN($B$2)-3),"000")&amp;IF(Q12&gt;0,"A","B")&amp;TEXT(D12,"00")&amp;"+"&amp;IF(J12&lt;0,TEXT(360+J12,"000"),TEXT(J12,"000"))&amp;"_"&amp;TEXT(M12,"000")&amp;"_"&amp;TEXT(RIGHT(K12,LEN(K12)-FIND("-",K12)),"00")</f>
        <v>21dA08+000_030_02</v>
      </c>
      <c r="D12" s="231">
        <f t="shared" ref="D12:D32" si="5">D11</f>
        <v>7.8000000000000007</v>
      </c>
      <c r="E12" s="239">
        <f t="shared" si="0"/>
        <v>1.603</v>
      </c>
      <c r="F12" s="232">
        <f t="shared" ref="F12:F32" si="6">E12/D12*100</f>
        <v>20.551282051282051</v>
      </c>
      <c r="G12" s="232">
        <f t="shared" si="1"/>
        <v>16.441025641025643</v>
      </c>
      <c r="H12" s="232">
        <f t="shared" si="2"/>
        <v>10.275641025641026</v>
      </c>
      <c r="I12" s="232">
        <f t="shared" ref="I12:J27" si="7">I11</f>
        <v>8</v>
      </c>
      <c r="J12" s="233">
        <f>J11</f>
        <v>0</v>
      </c>
      <c r="K12" s="228" t="str">
        <f>D12&amp;-2</f>
        <v>7.8-2</v>
      </c>
      <c r="L12" s="232">
        <f t="shared" ref="L12:L34" si="8">L11</f>
        <v>0.2</v>
      </c>
      <c r="M12" s="235">
        <v>30</v>
      </c>
      <c r="N12" s="232">
        <f t="shared" ref="N12:Q27" si="9">N11</f>
        <v>150</v>
      </c>
      <c r="O12" s="232">
        <f t="shared" si="9"/>
        <v>160</v>
      </c>
      <c r="P12" s="232">
        <f t="shared" si="9"/>
        <v>270</v>
      </c>
      <c r="Q12" s="230">
        <f>Q11</f>
        <v>0.32</v>
      </c>
    </row>
    <row r="13" spans="1:21" x14ac:dyDescent="0.25">
      <c r="A13" s="229">
        <f t="shared" ref="A13:B13" si="10">A12+1</f>
        <v>1743</v>
      </c>
      <c r="B13" s="230">
        <f t="shared" si="10"/>
        <v>3</v>
      </c>
      <c r="C13" s="229" t="str">
        <f t="shared" si="4"/>
        <v>21dA08+000_060_03</v>
      </c>
      <c r="D13" s="231">
        <f t="shared" si="5"/>
        <v>7.8000000000000007</v>
      </c>
      <c r="E13" s="239">
        <f t="shared" si="0"/>
        <v>1.603</v>
      </c>
      <c r="F13" s="232">
        <f t="shared" si="6"/>
        <v>20.551282051282051</v>
      </c>
      <c r="G13" s="232">
        <f t="shared" si="1"/>
        <v>16.441025641025643</v>
      </c>
      <c r="H13" s="232">
        <f t="shared" si="2"/>
        <v>10.275641025641026</v>
      </c>
      <c r="I13" s="232">
        <f t="shared" si="7"/>
        <v>8</v>
      </c>
      <c r="J13" s="233">
        <f t="shared" si="7"/>
        <v>0</v>
      </c>
      <c r="K13" s="228" t="str">
        <f>D13&amp;-3</f>
        <v>7.8-3</v>
      </c>
      <c r="L13" s="232">
        <f t="shared" si="8"/>
        <v>0.2</v>
      </c>
      <c r="M13" s="235">
        <v>60</v>
      </c>
      <c r="N13" s="232">
        <f t="shared" si="9"/>
        <v>150</v>
      </c>
      <c r="O13" s="232">
        <f t="shared" si="9"/>
        <v>160</v>
      </c>
      <c r="P13" s="232">
        <f t="shared" si="9"/>
        <v>270</v>
      </c>
      <c r="Q13" s="230">
        <f t="shared" si="9"/>
        <v>0.32</v>
      </c>
    </row>
    <row r="14" spans="1:21" x14ac:dyDescent="0.25">
      <c r="A14" s="229">
        <f t="shared" ref="A14:B14" si="11">A13+1</f>
        <v>1744</v>
      </c>
      <c r="B14" s="230">
        <f t="shared" si="11"/>
        <v>4</v>
      </c>
      <c r="C14" s="229" t="str">
        <f t="shared" si="4"/>
        <v>21dA08+000_090_04</v>
      </c>
      <c r="D14" s="231">
        <f t="shared" si="5"/>
        <v>7.8000000000000007</v>
      </c>
      <c r="E14" s="239">
        <f t="shared" si="0"/>
        <v>1.603</v>
      </c>
      <c r="F14" s="232">
        <f t="shared" si="6"/>
        <v>20.551282051282051</v>
      </c>
      <c r="G14" s="232">
        <f t="shared" si="1"/>
        <v>16.441025641025643</v>
      </c>
      <c r="H14" s="232">
        <f t="shared" si="2"/>
        <v>10.275641025641026</v>
      </c>
      <c r="I14" s="232">
        <f t="shared" si="7"/>
        <v>8</v>
      </c>
      <c r="J14" s="233">
        <f t="shared" si="7"/>
        <v>0</v>
      </c>
      <c r="K14" s="228" t="str">
        <f>D14&amp;-4</f>
        <v>7.8-4</v>
      </c>
      <c r="L14" s="232">
        <f t="shared" si="8"/>
        <v>0.2</v>
      </c>
      <c r="M14" s="235">
        <v>90</v>
      </c>
      <c r="N14" s="232">
        <f t="shared" si="9"/>
        <v>150</v>
      </c>
      <c r="O14" s="232">
        <f t="shared" si="9"/>
        <v>160</v>
      </c>
      <c r="P14" s="232">
        <f t="shared" si="9"/>
        <v>270</v>
      </c>
      <c r="Q14" s="230">
        <f t="shared" si="9"/>
        <v>0.32</v>
      </c>
    </row>
    <row r="15" spans="1:21" x14ac:dyDescent="0.25">
      <c r="A15" s="229">
        <f t="shared" ref="A15:B15" si="12">A14+1</f>
        <v>1745</v>
      </c>
      <c r="B15" s="230">
        <f t="shared" si="12"/>
        <v>5</v>
      </c>
      <c r="C15" s="229" t="str">
        <f t="shared" si="4"/>
        <v>21dA08+000_000_05</v>
      </c>
      <c r="D15" s="231">
        <f t="shared" si="5"/>
        <v>7.8000000000000007</v>
      </c>
      <c r="E15" s="239">
        <f t="shared" si="0"/>
        <v>1.603</v>
      </c>
      <c r="F15" s="232">
        <f t="shared" si="6"/>
        <v>20.551282051282051</v>
      </c>
      <c r="G15" s="232">
        <f t="shared" si="1"/>
        <v>16.441025641025643</v>
      </c>
      <c r="H15" s="232">
        <f t="shared" si="2"/>
        <v>10.275641025641026</v>
      </c>
      <c r="I15" s="232">
        <f t="shared" si="7"/>
        <v>8</v>
      </c>
      <c r="J15" s="233">
        <f t="shared" si="7"/>
        <v>0</v>
      </c>
      <c r="K15" s="228" t="str">
        <f>D15&amp;-5</f>
        <v>7.8-5</v>
      </c>
      <c r="L15" s="232">
        <f t="shared" si="8"/>
        <v>0.2</v>
      </c>
      <c r="M15" s="235">
        <v>0</v>
      </c>
      <c r="N15" s="232">
        <f t="shared" si="9"/>
        <v>150</v>
      </c>
      <c r="O15" s="232">
        <f t="shared" si="9"/>
        <v>160</v>
      </c>
      <c r="P15" s="232">
        <f t="shared" si="9"/>
        <v>270</v>
      </c>
      <c r="Q15" s="230">
        <f t="shared" si="9"/>
        <v>0.32</v>
      </c>
    </row>
    <row r="16" spans="1:21" x14ac:dyDescent="0.25">
      <c r="A16" s="229">
        <f t="shared" ref="A16:B16" si="13">A15+1</f>
        <v>1746</v>
      </c>
      <c r="B16" s="230">
        <f t="shared" si="13"/>
        <v>6</v>
      </c>
      <c r="C16" s="229" t="str">
        <f t="shared" si="4"/>
        <v>21dA08+000_030_06</v>
      </c>
      <c r="D16" s="231">
        <f t="shared" si="5"/>
        <v>7.8000000000000007</v>
      </c>
      <c r="E16" s="239">
        <f t="shared" si="0"/>
        <v>1.603</v>
      </c>
      <c r="F16" s="232">
        <f t="shared" si="6"/>
        <v>20.551282051282051</v>
      </c>
      <c r="G16" s="232">
        <f t="shared" si="1"/>
        <v>16.441025641025643</v>
      </c>
      <c r="H16" s="232">
        <f t="shared" si="2"/>
        <v>10.275641025641026</v>
      </c>
      <c r="I16" s="232">
        <f t="shared" si="7"/>
        <v>8</v>
      </c>
      <c r="J16" s="233">
        <f t="shared" si="7"/>
        <v>0</v>
      </c>
      <c r="K16" s="228" t="str">
        <f>D16&amp;-6</f>
        <v>7.8-6</v>
      </c>
      <c r="L16" s="232">
        <f t="shared" si="8"/>
        <v>0.2</v>
      </c>
      <c r="M16" s="235">
        <v>30</v>
      </c>
      <c r="N16" s="232">
        <f t="shared" si="9"/>
        <v>150</v>
      </c>
      <c r="O16" s="232">
        <f t="shared" si="9"/>
        <v>160</v>
      </c>
      <c r="P16" s="232">
        <f t="shared" si="9"/>
        <v>270</v>
      </c>
      <c r="Q16" s="230">
        <f t="shared" si="9"/>
        <v>0.32</v>
      </c>
    </row>
    <row r="17" spans="1:17" x14ac:dyDescent="0.25">
      <c r="A17" s="229">
        <f t="shared" ref="A17:B17" si="14">A16+1</f>
        <v>1747</v>
      </c>
      <c r="B17" s="230">
        <f t="shared" si="14"/>
        <v>7</v>
      </c>
      <c r="C17" s="229" t="str">
        <f t="shared" si="4"/>
        <v>21dA08+000_060_07</v>
      </c>
      <c r="D17" s="231">
        <f t="shared" si="5"/>
        <v>7.8000000000000007</v>
      </c>
      <c r="E17" s="239">
        <f t="shared" si="0"/>
        <v>1.603</v>
      </c>
      <c r="F17" s="232">
        <f t="shared" si="6"/>
        <v>20.551282051282051</v>
      </c>
      <c r="G17" s="232">
        <f t="shared" si="1"/>
        <v>16.441025641025643</v>
      </c>
      <c r="H17" s="232">
        <f t="shared" si="2"/>
        <v>10.275641025641026</v>
      </c>
      <c r="I17" s="232">
        <f t="shared" si="7"/>
        <v>8</v>
      </c>
      <c r="J17" s="233">
        <f t="shared" si="7"/>
        <v>0</v>
      </c>
      <c r="K17" s="228" t="str">
        <f>D17&amp;-7</f>
        <v>7.8-7</v>
      </c>
      <c r="L17" s="232">
        <f t="shared" si="8"/>
        <v>0.2</v>
      </c>
      <c r="M17" s="235">
        <v>60</v>
      </c>
      <c r="N17" s="232">
        <f t="shared" si="9"/>
        <v>150</v>
      </c>
      <c r="O17" s="232">
        <f t="shared" si="9"/>
        <v>160</v>
      </c>
      <c r="P17" s="232">
        <f t="shared" si="9"/>
        <v>270</v>
      </c>
      <c r="Q17" s="230">
        <f t="shared" si="9"/>
        <v>0.32</v>
      </c>
    </row>
    <row r="18" spans="1:17" x14ac:dyDescent="0.25">
      <c r="A18" s="229">
        <f t="shared" ref="A18:B18" si="15">A17+1</f>
        <v>1748</v>
      </c>
      <c r="B18" s="230">
        <f t="shared" si="15"/>
        <v>8</v>
      </c>
      <c r="C18" s="229" t="str">
        <f t="shared" si="4"/>
        <v>21dA08+000_090_08</v>
      </c>
      <c r="D18" s="231">
        <f t="shared" si="5"/>
        <v>7.8000000000000007</v>
      </c>
      <c r="E18" s="239">
        <f t="shared" si="0"/>
        <v>1.603</v>
      </c>
      <c r="F18" s="232">
        <f t="shared" si="6"/>
        <v>20.551282051282051</v>
      </c>
      <c r="G18" s="232">
        <f t="shared" si="1"/>
        <v>16.441025641025643</v>
      </c>
      <c r="H18" s="232">
        <f t="shared" si="2"/>
        <v>10.275641025641026</v>
      </c>
      <c r="I18" s="232">
        <f t="shared" si="7"/>
        <v>8</v>
      </c>
      <c r="J18" s="233">
        <f t="shared" si="7"/>
        <v>0</v>
      </c>
      <c r="K18" s="228" t="str">
        <f>D18&amp;-8</f>
        <v>7.8-8</v>
      </c>
      <c r="L18" s="232">
        <f t="shared" si="8"/>
        <v>0.2</v>
      </c>
      <c r="M18" s="235">
        <v>90</v>
      </c>
      <c r="N18" s="232">
        <f t="shared" si="9"/>
        <v>150</v>
      </c>
      <c r="O18" s="232">
        <f t="shared" si="9"/>
        <v>160</v>
      </c>
      <c r="P18" s="232">
        <f t="shared" si="9"/>
        <v>270</v>
      </c>
      <c r="Q18" s="230">
        <f t="shared" si="9"/>
        <v>0.32</v>
      </c>
    </row>
    <row r="19" spans="1:17" x14ac:dyDescent="0.25">
      <c r="A19" s="229">
        <f t="shared" ref="A19:B19" si="16">A18+1</f>
        <v>1749</v>
      </c>
      <c r="B19" s="230">
        <f t="shared" si="16"/>
        <v>9</v>
      </c>
      <c r="C19" s="229" t="str">
        <f t="shared" si="4"/>
        <v>21dA08+000_000_09</v>
      </c>
      <c r="D19" s="231">
        <f t="shared" si="5"/>
        <v>7.8000000000000007</v>
      </c>
      <c r="E19" s="239">
        <f t="shared" si="0"/>
        <v>1.603</v>
      </c>
      <c r="F19" s="232">
        <f t="shared" si="6"/>
        <v>20.551282051282051</v>
      </c>
      <c r="G19" s="232">
        <f t="shared" si="1"/>
        <v>16.441025641025643</v>
      </c>
      <c r="H19" s="232">
        <f t="shared" si="2"/>
        <v>10.275641025641026</v>
      </c>
      <c r="I19" s="232">
        <f t="shared" si="7"/>
        <v>8</v>
      </c>
      <c r="J19" s="233">
        <f t="shared" si="7"/>
        <v>0</v>
      </c>
      <c r="K19" s="228" t="str">
        <f>D19&amp;-9</f>
        <v>7.8-9</v>
      </c>
      <c r="L19" s="232">
        <f t="shared" si="8"/>
        <v>0.2</v>
      </c>
      <c r="M19" s="235">
        <v>0</v>
      </c>
      <c r="N19" s="232">
        <f t="shared" si="9"/>
        <v>150</v>
      </c>
      <c r="O19" s="232">
        <f t="shared" si="9"/>
        <v>160</v>
      </c>
      <c r="P19" s="232">
        <f t="shared" si="9"/>
        <v>270</v>
      </c>
      <c r="Q19" s="230">
        <f t="shared" si="9"/>
        <v>0.32</v>
      </c>
    </row>
    <row r="20" spans="1:17" x14ac:dyDescent="0.25">
      <c r="A20" s="229">
        <f t="shared" ref="A20:B20" si="17">A19+1</f>
        <v>1750</v>
      </c>
      <c r="B20" s="230">
        <f t="shared" si="17"/>
        <v>10</v>
      </c>
      <c r="C20" s="229" t="str">
        <f t="shared" si="4"/>
        <v>21dA08+000_030_10</v>
      </c>
      <c r="D20" s="231">
        <f t="shared" si="5"/>
        <v>7.8000000000000007</v>
      </c>
      <c r="E20" s="239">
        <f t="shared" si="0"/>
        <v>1.603</v>
      </c>
      <c r="F20" s="232">
        <f t="shared" si="6"/>
        <v>20.551282051282051</v>
      </c>
      <c r="G20" s="232">
        <f t="shared" si="1"/>
        <v>16.441025641025643</v>
      </c>
      <c r="H20" s="232">
        <f t="shared" si="2"/>
        <v>10.275641025641026</v>
      </c>
      <c r="I20" s="232">
        <f t="shared" si="7"/>
        <v>8</v>
      </c>
      <c r="J20" s="233">
        <f t="shared" si="7"/>
        <v>0</v>
      </c>
      <c r="K20" s="228" t="str">
        <f>D20&amp;-10</f>
        <v>7.8-10</v>
      </c>
      <c r="L20" s="232">
        <f t="shared" si="8"/>
        <v>0.2</v>
      </c>
      <c r="M20" s="235">
        <v>30</v>
      </c>
      <c r="N20" s="232">
        <f t="shared" si="9"/>
        <v>150</v>
      </c>
      <c r="O20" s="232">
        <f t="shared" si="9"/>
        <v>160</v>
      </c>
      <c r="P20" s="232">
        <f t="shared" si="9"/>
        <v>270</v>
      </c>
      <c r="Q20" s="230">
        <f t="shared" si="9"/>
        <v>0.32</v>
      </c>
    </row>
    <row r="21" spans="1:17" x14ac:dyDescent="0.25">
      <c r="A21" s="229">
        <f t="shared" ref="A21:B21" si="18">A20+1</f>
        <v>1751</v>
      </c>
      <c r="B21" s="230">
        <f t="shared" si="18"/>
        <v>11</v>
      </c>
      <c r="C21" s="229" t="str">
        <f t="shared" si="4"/>
        <v>21dA08+000_060_11</v>
      </c>
      <c r="D21" s="231">
        <f t="shared" si="5"/>
        <v>7.8000000000000007</v>
      </c>
      <c r="E21" s="239">
        <f t="shared" si="0"/>
        <v>1.603</v>
      </c>
      <c r="F21" s="232">
        <f t="shared" si="6"/>
        <v>20.551282051282051</v>
      </c>
      <c r="G21" s="232">
        <f t="shared" si="1"/>
        <v>16.441025641025643</v>
      </c>
      <c r="H21" s="232">
        <f t="shared" si="2"/>
        <v>10.275641025641026</v>
      </c>
      <c r="I21" s="232">
        <f t="shared" si="7"/>
        <v>8</v>
      </c>
      <c r="J21" s="233">
        <f t="shared" si="7"/>
        <v>0</v>
      </c>
      <c r="K21" s="228" t="str">
        <f>D21&amp;-11</f>
        <v>7.8-11</v>
      </c>
      <c r="L21" s="232">
        <f t="shared" si="8"/>
        <v>0.2</v>
      </c>
      <c r="M21" s="235">
        <v>60</v>
      </c>
      <c r="N21" s="232">
        <f t="shared" si="9"/>
        <v>150</v>
      </c>
      <c r="O21" s="232">
        <f t="shared" si="9"/>
        <v>160</v>
      </c>
      <c r="P21" s="232">
        <f t="shared" si="9"/>
        <v>270</v>
      </c>
      <c r="Q21" s="230">
        <f t="shared" si="9"/>
        <v>0.32</v>
      </c>
    </row>
    <row r="22" spans="1:17" x14ac:dyDescent="0.25">
      <c r="A22" s="229">
        <f t="shared" ref="A22:B22" si="19">A21+1</f>
        <v>1752</v>
      </c>
      <c r="B22" s="230">
        <f t="shared" si="19"/>
        <v>12</v>
      </c>
      <c r="C22" s="229" t="str">
        <f t="shared" si="4"/>
        <v>21dA08+000_090_12</v>
      </c>
      <c r="D22" s="231">
        <f t="shared" si="5"/>
        <v>7.8000000000000007</v>
      </c>
      <c r="E22" s="239">
        <f t="shared" si="0"/>
        <v>1.603</v>
      </c>
      <c r="F22" s="232">
        <f t="shared" si="6"/>
        <v>20.551282051282051</v>
      </c>
      <c r="G22" s="232">
        <f t="shared" si="1"/>
        <v>16.441025641025643</v>
      </c>
      <c r="H22" s="232">
        <f t="shared" si="2"/>
        <v>10.275641025641026</v>
      </c>
      <c r="I22" s="232">
        <f t="shared" si="7"/>
        <v>8</v>
      </c>
      <c r="J22" s="233">
        <f t="shared" si="7"/>
        <v>0</v>
      </c>
      <c r="K22" s="228" t="str">
        <f>D22&amp;-12</f>
        <v>7.8-12</v>
      </c>
      <c r="L22" s="232">
        <f t="shared" si="8"/>
        <v>0.2</v>
      </c>
      <c r="M22" s="235">
        <v>90</v>
      </c>
      <c r="N22" s="232">
        <f t="shared" si="9"/>
        <v>150</v>
      </c>
      <c r="O22" s="232">
        <f t="shared" si="9"/>
        <v>160</v>
      </c>
      <c r="P22" s="232">
        <f t="shared" si="9"/>
        <v>270</v>
      </c>
      <c r="Q22" s="230">
        <f t="shared" si="9"/>
        <v>0.32</v>
      </c>
    </row>
    <row r="23" spans="1:17" x14ac:dyDescent="0.25">
      <c r="A23" s="229">
        <f t="shared" ref="A23:B23" si="20">A22+1</f>
        <v>1753</v>
      </c>
      <c r="B23" s="230">
        <f t="shared" si="20"/>
        <v>13</v>
      </c>
      <c r="C23" s="229" t="str">
        <f t="shared" si="4"/>
        <v>21dB08+000_000_01</v>
      </c>
      <c r="D23" s="231">
        <f t="shared" si="5"/>
        <v>7.8000000000000007</v>
      </c>
      <c r="E23" s="239">
        <f t="shared" si="0"/>
        <v>1.603</v>
      </c>
      <c r="F23" s="232">
        <f t="shared" si="6"/>
        <v>20.551282051282051</v>
      </c>
      <c r="G23" s="232">
        <f t="shared" si="1"/>
        <v>16.441025641025643</v>
      </c>
      <c r="H23" s="232">
        <f t="shared" si="2"/>
        <v>10.275641025641026</v>
      </c>
      <c r="I23" s="232">
        <f t="shared" si="7"/>
        <v>8</v>
      </c>
      <c r="J23" s="233">
        <f t="shared" si="7"/>
        <v>0</v>
      </c>
      <c r="K23" s="228" t="str">
        <f>D23&amp;-1</f>
        <v>7.8-1</v>
      </c>
      <c r="L23" s="232">
        <f t="shared" si="8"/>
        <v>0.2</v>
      </c>
      <c r="M23" s="235">
        <v>0</v>
      </c>
      <c r="N23" s="232">
        <f t="shared" si="9"/>
        <v>150</v>
      </c>
      <c r="O23" s="232">
        <f t="shared" si="9"/>
        <v>160</v>
      </c>
      <c r="P23" s="232">
        <f t="shared" si="9"/>
        <v>270</v>
      </c>
      <c r="Q23" s="230">
        <f>-yaw_runaway</f>
        <v>-0.32</v>
      </c>
    </row>
    <row r="24" spans="1:17" x14ac:dyDescent="0.25">
      <c r="A24" s="229">
        <f t="shared" ref="A24:B24" si="21">A23+1</f>
        <v>1754</v>
      </c>
      <c r="B24" s="230">
        <f t="shared" si="21"/>
        <v>14</v>
      </c>
      <c r="C24" s="229" t="str">
        <f t="shared" si="4"/>
        <v>21dB08+000_030_02</v>
      </c>
      <c r="D24" s="231">
        <f t="shared" si="5"/>
        <v>7.8000000000000007</v>
      </c>
      <c r="E24" s="239">
        <f t="shared" si="0"/>
        <v>1.603</v>
      </c>
      <c r="F24" s="232">
        <f t="shared" si="6"/>
        <v>20.551282051282051</v>
      </c>
      <c r="G24" s="232">
        <f t="shared" si="1"/>
        <v>16.441025641025643</v>
      </c>
      <c r="H24" s="232">
        <f t="shared" si="2"/>
        <v>10.275641025641026</v>
      </c>
      <c r="I24" s="232">
        <f t="shared" si="7"/>
        <v>8</v>
      </c>
      <c r="J24" s="233">
        <f t="shared" si="7"/>
        <v>0</v>
      </c>
      <c r="K24" s="228" t="str">
        <f>D24&amp;-2</f>
        <v>7.8-2</v>
      </c>
      <c r="L24" s="232">
        <f t="shared" si="8"/>
        <v>0.2</v>
      </c>
      <c r="M24" s="235">
        <v>30</v>
      </c>
      <c r="N24" s="232">
        <f t="shared" si="9"/>
        <v>150</v>
      </c>
      <c r="O24" s="232">
        <f t="shared" si="9"/>
        <v>160</v>
      </c>
      <c r="P24" s="232">
        <f t="shared" si="9"/>
        <v>270</v>
      </c>
      <c r="Q24" s="230">
        <f>Q23</f>
        <v>-0.32</v>
      </c>
    </row>
    <row r="25" spans="1:17" x14ac:dyDescent="0.25">
      <c r="A25" s="229">
        <f t="shared" ref="A25:B25" si="22">A24+1</f>
        <v>1755</v>
      </c>
      <c r="B25" s="230">
        <f t="shared" si="22"/>
        <v>15</v>
      </c>
      <c r="C25" s="229" t="str">
        <f t="shared" si="4"/>
        <v>21dB08+000_060_03</v>
      </c>
      <c r="D25" s="231">
        <f t="shared" si="5"/>
        <v>7.8000000000000007</v>
      </c>
      <c r="E25" s="239">
        <f t="shared" si="0"/>
        <v>1.603</v>
      </c>
      <c r="F25" s="232">
        <f t="shared" si="6"/>
        <v>20.551282051282051</v>
      </c>
      <c r="G25" s="232">
        <f t="shared" si="1"/>
        <v>16.441025641025643</v>
      </c>
      <c r="H25" s="232">
        <f t="shared" si="2"/>
        <v>10.275641025641026</v>
      </c>
      <c r="I25" s="232">
        <f t="shared" si="7"/>
        <v>8</v>
      </c>
      <c r="J25" s="233">
        <f t="shared" si="7"/>
        <v>0</v>
      </c>
      <c r="K25" s="228" t="str">
        <f>D25&amp;-3</f>
        <v>7.8-3</v>
      </c>
      <c r="L25" s="232">
        <f t="shared" si="8"/>
        <v>0.2</v>
      </c>
      <c r="M25" s="235">
        <v>60</v>
      </c>
      <c r="N25" s="232">
        <f t="shared" si="9"/>
        <v>150</v>
      </c>
      <c r="O25" s="232">
        <f t="shared" si="9"/>
        <v>160</v>
      </c>
      <c r="P25" s="232">
        <f t="shared" si="9"/>
        <v>270</v>
      </c>
      <c r="Q25" s="230">
        <f t="shared" si="9"/>
        <v>-0.32</v>
      </c>
    </row>
    <row r="26" spans="1:17" x14ac:dyDescent="0.25">
      <c r="A26" s="229">
        <f t="shared" ref="A26:B26" si="23">A25+1</f>
        <v>1756</v>
      </c>
      <c r="B26" s="230">
        <f t="shared" si="23"/>
        <v>16</v>
      </c>
      <c r="C26" s="229" t="str">
        <f t="shared" si="4"/>
        <v>21dB08+000_090_04</v>
      </c>
      <c r="D26" s="231">
        <f t="shared" si="5"/>
        <v>7.8000000000000007</v>
      </c>
      <c r="E26" s="239">
        <f t="shared" si="0"/>
        <v>1.603</v>
      </c>
      <c r="F26" s="232">
        <f t="shared" si="6"/>
        <v>20.551282051282051</v>
      </c>
      <c r="G26" s="232">
        <f t="shared" si="1"/>
        <v>16.441025641025643</v>
      </c>
      <c r="H26" s="232">
        <f t="shared" si="2"/>
        <v>10.275641025641026</v>
      </c>
      <c r="I26" s="232">
        <f t="shared" si="7"/>
        <v>8</v>
      </c>
      <c r="J26" s="233">
        <f t="shared" si="7"/>
        <v>0</v>
      </c>
      <c r="K26" s="228" t="str">
        <f>D26&amp;-4</f>
        <v>7.8-4</v>
      </c>
      <c r="L26" s="232">
        <f t="shared" si="8"/>
        <v>0.2</v>
      </c>
      <c r="M26" s="235">
        <v>90</v>
      </c>
      <c r="N26" s="232">
        <f t="shared" si="9"/>
        <v>150</v>
      </c>
      <c r="O26" s="232">
        <f t="shared" si="9"/>
        <v>160</v>
      </c>
      <c r="P26" s="232">
        <f t="shared" si="9"/>
        <v>270</v>
      </c>
      <c r="Q26" s="230">
        <f t="shared" si="9"/>
        <v>-0.32</v>
      </c>
    </row>
    <row r="27" spans="1:17" x14ac:dyDescent="0.25">
      <c r="A27" s="229">
        <f t="shared" ref="A27:B27" si="24">A26+1</f>
        <v>1757</v>
      </c>
      <c r="B27" s="230">
        <f t="shared" si="24"/>
        <v>17</v>
      </c>
      <c r="C27" s="229" t="str">
        <f t="shared" si="4"/>
        <v>21dB08+000_000_05</v>
      </c>
      <c r="D27" s="231">
        <f t="shared" si="5"/>
        <v>7.8000000000000007</v>
      </c>
      <c r="E27" s="239">
        <f t="shared" si="0"/>
        <v>1.603</v>
      </c>
      <c r="F27" s="232">
        <f t="shared" si="6"/>
        <v>20.551282051282051</v>
      </c>
      <c r="G27" s="232">
        <f t="shared" si="1"/>
        <v>16.441025641025643</v>
      </c>
      <c r="H27" s="232">
        <f t="shared" si="2"/>
        <v>10.275641025641026</v>
      </c>
      <c r="I27" s="232">
        <f t="shared" si="7"/>
        <v>8</v>
      </c>
      <c r="J27" s="233">
        <f t="shared" si="7"/>
        <v>0</v>
      </c>
      <c r="K27" s="228" t="str">
        <f>D27&amp;-5</f>
        <v>7.8-5</v>
      </c>
      <c r="L27" s="232">
        <f t="shared" si="8"/>
        <v>0.2</v>
      </c>
      <c r="M27" s="235">
        <v>0</v>
      </c>
      <c r="N27" s="232">
        <f t="shared" si="9"/>
        <v>150</v>
      </c>
      <c r="O27" s="232">
        <f t="shared" si="9"/>
        <v>160</v>
      </c>
      <c r="P27" s="232">
        <f t="shared" si="9"/>
        <v>270</v>
      </c>
      <c r="Q27" s="230">
        <f t="shared" si="9"/>
        <v>-0.32</v>
      </c>
    </row>
    <row r="28" spans="1:17" x14ac:dyDescent="0.25">
      <c r="A28" s="229">
        <f t="shared" ref="A28:B28" si="25">A27+1</f>
        <v>1758</v>
      </c>
      <c r="B28" s="230">
        <f t="shared" si="25"/>
        <v>18</v>
      </c>
      <c r="C28" s="229" t="str">
        <f t="shared" si="4"/>
        <v>21dB08+000_030_06</v>
      </c>
      <c r="D28" s="231">
        <f t="shared" si="5"/>
        <v>7.8000000000000007</v>
      </c>
      <c r="E28" s="239">
        <f t="shared" si="0"/>
        <v>1.603</v>
      </c>
      <c r="F28" s="232">
        <f t="shared" si="6"/>
        <v>20.551282051282051</v>
      </c>
      <c r="G28" s="232">
        <f t="shared" si="1"/>
        <v>16.441025641025643</v>
      </c>
      <c r="H28" s="232">
        <f t="shared" si="2"/>
        <v>10.275641025641026</v>
      </c>
      <c r="I28" s="232">
        <f t="shared" ref="I28:J35" si="26">I27</f>
        <v>8</v>
      </c>
      <c r="J28" s="233">
        <f t="shared" si="26"/>
        <v>0</v>
      </c>
      <c r="K28" s="228" t="str">
        <f>D28&amp;-6</f>
        <v>7.8-6</v>
      </c>
      <c r="L28" s="232">
        <f t="shared" si="8"/>
        <v>0.2</v>
      </c>
      <c r="M28" s="235">
        <v>30</v>
      </c>
      <c r="N28" s="232">
        <f t="shared" ref="N28:Q34" si="27">N27</f>
        <v>150</v>
      </c>
      <c r="O28" s="232">
        <f t="shared" si="27"/>
        <v>160</v>
      </c>
      <c r="P28" s="232">
        <f t="shared" si="27"/>
        <v>270</v>
      </c>
      <c r="Q28" s="230">
        <f t="shared" si="27"/>
        <v>-0.32</v>
      </c>
    </row>
    <row r="29" spans="1:17" x14ac:dyDescent="0.25">
      <c r="A29" s="229">
        <f t="shared" ref="A29:B29" si="28">A28+1</f>
        <v>1759</v>
      </c>
      <c r="B29" s="230">
        <f t="shared" si="28"/>
        <v>19</v>
      </c>
      <c r="C29" s="229" t="str">
        <f t="shared" si="4"/>
        <v>21dB08+000_060_07</v>
      </c>
      <c r="D29" s="231">
        <f t="shared" si="5"/>
        <v>7.8000000000000007</v>
      </c>
      <c r="E29" s="239">
        <f t="shared" si="0"/>
        <v>1.603</v>
      </c>
      <c r="F29" s="232">
        <f t="shared" si="6"/>
        <v>20.551282051282051</v>
      </c>
      <c r="G29" s="232">
        <f t="shared" si="1"/>
        <v>16.441025641025643</v>
      </c>
      <c r="H29" s="232">
        <f t="shared" si="2"/>
        <v>10.275641025641026</v>
      </c>
      <c r="I29" s="232">
        <f t="shared" si="26"/>
        <v>8</v>
      </c>
      <c r="J29" s="233">
        <f t="shared" si="26"/>
        <v>0</v>
      </c>
      <c r="K29" s="228" t="str">
        <f>D29&amp;-7</f>
        <v>7.8-7</v>
      </c>
      <c r="L29" s="232">
        <f t="shared" si="8"/>
        <v>0.2</v>
      </c>
      <c r="M29" s="235">
        <v>60</v>
      </c>
      <c r="N29" s="232">
        <f t="shared" si="27"/>
        <v>150</v>
      </c>
      <c r="O29" s="232">
        <f t="shared" si="27"/>
        <v>160</v>
      </c>
      <c r="P29" s="232">
        <f t="shared" si="27"/>
        <v>270</v>
      </c>
      <c r="Q29" s="230">
        <f t="shared" si="27"/>
        <v>-0.32</v>
      </c>
    </row>
    <row r="30" spans="1:17" x14ac:dyDescent="0.25">
      <c r="A30" s="229">
        <f t="shared" ref="A30:B30" si="29">A29+1</f>
        <v>1760</v>
      </c>
      <c r="B30" s="230">
        <f t="shared" si="29"/>
        <v>20</v>
      </c>
      <c r="C30" s="229" t="str">
        <f t="shared" si="4"/>
        <v>21dB08+000_090_08</v>
      </c>
      <c r="D30" s="231">
        <f t="shared" si="5"/>
        <v>7.8000000000000007</v>
      </c>
      <c r="E30" s="239">
        <f t="shared" si="0"/>
        <v>1.603</v>
      </c>
      <c r="F30" s="232">
        <f t="shared" si="6"/>
        <v>20.551282051282051</v>
      </c>
      <c r="G30" s="232">
        <f t="shared" si="1"/>
        <v>16.441025641025643</v>
      </c>
      <c r="H30" s="232">
        <f t="shared" si="2"/>
        <v>10.275641025641026</v>
      </c>
      <c r="I30" s="232">
        <f t="shared" si="26"/>
        <v>8</v>
      </c>
      <c r="J30" s="233">
        <f t="shared" si="26"/>
        <v>0</v>
      </c>
      <c r="K30" s="228" t="str">
        <f>D30&amp;-8</f>
        <v>7.8-8</v>
      </c>
      <c r="L30" s="232">
        <f t="shared" si="8"/>
        <v>0.2</v>
      </c>
      <c r="M30" s="235">
        <v>90</v>
      </c>
      <c r="N30" s="232">
        <f t="shared" si="27"/>
        <v>150</v>
      </c>
      <c r="O30" s="232">
        <f t="shared" si="27"/>
        <v>160</v>
      </c>
      <c r="P30" s="232">
        <f t="shared" si="27"/>
        <v>270</v>
      </c>
      <c r="Q30" s="230">
        <f t="shared" si="27"/>
        <v>-0.32</v>
      </c>
    </row>
    <row r="31" spans="1:17" x14ac:dyDescent="0.25">
      <c r="A31" s="229">
        <f t="shared" ref="A31:B31" si="30">A30+1</f>
        <v>1761</v>
      </c>
      <c r="B31" s="230">
        <f t="shared" si="30"/>
        <v>21</v>
      </c>
      <c r="C31" s="229" t="str">
        <f t="shared" si="4"/>
        <v>21dB08+000_000_09</v>
      </c>
      <c r="D31" s="231">
        <f t="shared" si="5"/>
        <v>7.8000000000000007</v>
      </c>
      <c r="E31" s="239">
        <f>I_ref*(0.75*D31+5.6)</f>
        <v>1.603</v>
      </c>
      <c r="F31" s="232">
        <f t="shared" si="6"/>
        <v>20.551282051282051</v>
      </c>
      <c r="G31" s="232">
        <f>m_ty*F31</f>
        <v>16.441025641025643</v>
      </c>
      <c r="H31" s="232">
        <f>m_tz*F31</f>
        <v>10.275641025641026</v>
      </c>
      <c r="I31" s="232">
        <f t="shared" si="26"/>
        <v>8</v>
      </c>
      <c r="J31" s="233">
        <f t="shared" si="26"/>
        <v>0</v>
      </c>
      <c r="K31" s="228" t="str">
        <f>D31&amp;-9</f>
        <v>7.8-9</v>
      </c>
      <c r="L31" s="232">
        <f t="shared" si="8"/>
        <v>0.2</v>
      </c>
      <c r="M31" s="235">
        <v>0</v>
      </c>
      <c r="N31" s="232">
        <f t="shared" si="27"/>
        <v>150</v>
      </c>
      <c r="O31" s="232">
        <f t="shared" si="27"/>
        <v>160</v>
      </c>
      <c r="P31" s="232">
        <f t="shared" si="27"/>
        <v>270</v>
      </c>
      <c r="Q31" s="230">
        <f t="shared" si="27"/>
        <v>-0.32</v>
      </c>
    </row>
    <row r="32" spans="1:17" x14ac:dyDescent="0.25">
      <c r="A32" s="229">
        <f t="shared" ref="A32:B32" si="31">A31+1</f>
        <v>1762</v>
      </c>
      <c r="B32" s="230">
        <f t="shared" si="31"/>
        <v>22</v>
      </c>
      <c r="C32" s="229" t="str">
        <f t="shared" si="4"/>
        <v>21dB08+000_030_10</v>
      </c>
      <c r="D32" s="231">
        <f t="shared" si="5"/>
        <v>7.8000000000000007</v>
      </c>
      <c r="E32" s="239">
        <f>I_ref*(0.75*D32+5.6)</f>
        <v>1.603</v>
      </c>
      <c r="F32" s="232">
        <f t="shared" si="6"/>
        <v>20.551282051282051</v>
      </c>
      <c r="G32" s="232">
        <f>m_ty*F32</f>
        <v>16.441025641025643</v>
      </c>
      <c r="H32" s="232">
        <f>m_tz*F32</f>
        <v>10.275641025641026</v>
      </c>
      <c r="I32" s="232">
        <f t="shared" si="26"/>
        <v>8</v>
      </c>
      <c r="J32" s="233">
        <f t="shared" si="26"/>
        <v>0</v>
      </c>
      <c r="K32" s="228" t="str">
        <f>D32&amp;-10</f>
        <v>7.8-10</v>
      </c>
      <c r="L32" s="232">
        <f t="shared" si="8"/>
        <v>0.2</v>
      </c>
      <c r="M32" s="235">
        <v>30</v>
      </c>
      <c r="N32" s="232">
        <f t="shared" si="27"/>
        <v>150</v>
      </c>
      <c r="O32" s="232">
        <f t="shared" si="27"/>
        <v>160</v>
      </c>
      <c r="P32" s="232">
        <f t="shared" si="27"/>
        <v>270</v>
      </c>
      <c r="Q32" s="230">
        <f t="shared" si="27"/>
        <v>-0.32</v>
      </c>
    </row>
    <row r="33" spans="1:17" x14ac:dyDescent="0.25">
      <c r="A33" s="229">
        <f t="shared" ref="A33:B33" si="32">A32+1</f>
        <v>1763</v>
      </c>
      <c r="B33" s="230">
        <f t="shared" si="32"/>
        <v>23</v>
      </c>
      <c r="C33" s="229" t="str">
        <f t="shared" si="4"/>
        <v>21dB08+000_060_11</v>
      </c>
      <c r="D33" s="231">
        <f>D32</f>
        <v>7.8000000000000007</v>
      </c>
      <c r="E33" s="239">
        <f>I_ref*(0.75*D33+5.6)</f>
        <v>1.603</v>
      </c>
      <c r="F33" s="232">
        <f>E33/D33*100</f>
        <v>20.551282051282051</v>
      </c>
      <c r="G33" s="232">
        <f>m_ty*F33</f>
        <v>16.441025641025643</v>
      </c>
      <c r="H33" s="232">
        <f>m_tz*F33</f>
        <v>10.275641025641026</v>
      </c>
      <c r="I33" s="232">
        <f>I32</f>
        <v>8</v>
      </c>
      <c r="J33" s="233">
        <f t="shared" si="26"/>
        <v>0</v>
      </c>
      <c r="K33" s="228" t="str">
        <f>D33&amp;-11</f>
        <v>7.8-11</v>
      </c>
      <c r="L33" s="232">
        <f t="shared" si="8"/>
        <v>0.2</v>
      </c>
      <c r="M33" s="235">
        <v>60</v>
      </c>
      <c r="N33" s="232">
        <f t="shared" si="27"/>
        <v>150</v>
      </c>
      <c r="O33" s="232">
        <f t="shared" si="27"/>
        <v>160</v>
      </c>
      <c r="P33" s="232">
        <f t="shared" si="27"/>
        <v>270</v>
      </c>
      <c r="Q33" s="230">
        <f t="shared" si="27"/>
        <v>-0.32</v>
      </c>
    </row>
    <row r="34" spans="1:17" x14ac:dyDescent="0.25">
      <c r="A34" s="229">
        <f t="shared" ref="A34:B34" si="33">A33+1</f>
        <v>1764</v>
      </c>
      <c r="B34" s="230">
        <f t="shared" si="33"/>
        <v>24</v>
      </c>
      <c r="C34" s="229" t="str">
        <f t="shared" si="4"/>
        <v>21dB08+000_090_12</v>
      </c>
      <c r="D34" s="231">
        <f>D33</f>
        <v>7.8000000000000007</v>
      </c>
      <c r="E34" s="239">
        <f>I_ref*(0.75*D34+5.6)</f>
        <v>1.603</v>
      </c>
      <c r="F34" s="232">
        <f>E34/D34*100</f>
        <v>20.551282051282051</v>
      </c>
      <c r="G34" s="232">
        <f>m_ty*F34</f>
        <v>16.441025641025643</v>
      </c>
      <c r="H34" s="232">
        <f>m_tz*F34</f>
        <v>10.275641025641026</v>
      </c>
      <c r="I34" s="232">
        <f>I33</f>
        <v>8</v>
      </c>
      <c r="J34" s="233">
        <f t="shared" si="26"/>
        <v>0</v>
      </c>
      <c r="K34" s="228" t="str">
        <f>D34&amp;-12</f>
        <v>7.8-12</v>
      </c>
      <c r="L34" s="232">
        <f t="shared" si="8"/>
        <v>0.2</v>
      </c>
      <c r="M34" s="235">
        <v>90</v>
      </c>
      <c r="N34" s="232">
        <f t="shared" si="27"/>
        <v>150</v>
      </c>
      <c r="O34" s="232">
        <f t="shared" si="27"/>
        <v>160</v>
      </c>
      <c r="P34" s="232">
        <f t="shared" si="27"/>
        <v>270</v>
      </c>
      <c r="Q34" s="230">
        <f t="shared" si="27"/>
        <v>-0.32</v>
      </c>
    </row>
    <row r="35" spans="1:17" x14ac:dyDescent="0.25">
      <c r="A35" s="229">
        <f t="shared" ref="A35:B35" si="34">A34+1</f>
        <v>1765</v>
      </c>
      <c r="B35" s="230">
        <f t="shared" si="34"/>
        <v>25</v>
      </c>
      <c r="C35" s="229" t="str">
        <f t="shared" si="4"/>
        <v>21dA10+000_000_01</v>
      </c>
      <c r="D35" s="231">
        <f>v_r</f>
        <v>9.8000000000000007</v>
      </c>
      <c r="E35" s="239">
        <f t="shared" ref="E35:E50" si="35">I_ref*(0.75*D35+5.6)</f>
        <v>1.8130000000000002</v>
      </c>
      <c r="F35" s="232">
        <f>E35/D35*100</f>
        <v>18.5</v>
      </c>
      <c r="G35" s="232">
        <f t="shared" ref="G35:G50" si="36">m_ty*F35</f>
        <v>14.8</v>
      </c>
      <c r="H35" s="232">
        <f t="shared" ref="H35:H50" si="37">m_tz*F35</f>
        <v>9.25</v>
      </c>
      <c r="I35" s="232">
        <f>inflow</f>
        <v>8</v>
      </c>
      <c r="J35" s="233">
        <f t="shared" si="26"/>
        <v>0</v>
      </c>
      <c r="K35" s="228" t="str">
        <f>D35&amp;-1</f>
        <v>9.8-1</v>
      </c>
      <c r="L35" s="232">
        <f>alpha_n</f>
        <v>0.2</v>
      </c>
      <c r="M35" s="235">
        <v>0</v>
      </c>
      <c r="N35" s="232">
        <f>t_out</f>
        <v>150</v>
      </c>
      <c r="O35" s="232">
        <f>trig_t</f>
        <v>160</v>
      </c>
      <c r="P35" s="232">
        <f>N35+2*T_s2</f>
        <v>270</v>
      </c>
      <c r="Q35" s="230">
        <f>yaw_runaway</f>
        <v>0.32</v>
      </c>
    </row>
    <row r="36" spans="1:17" x14ac:dyDescent="0.25">
      <c r="A36" s="229">
        <f t="shared" ref="A36:B36" si="38">A35+1</f>
        <v>1766</v>
      </c>
      <c r="B36" s="230">
        <f t="shared" si="38"/>
        <v>26</v>
      </c>
      <c r="C36" s="229" t="str">
        <f t="shared" si="4"/>
        <v>21dA10+000_030_02</v>
      </c>
      <c r="D36" s="231">
        <f t="shared" ref="D36:D58" si="39">D35</f>
        <v>9.8000000000000007</v>
      </c>
      <c r="E36" s="239">
        <f t="shared" si="35"/>
        <v>1.8130000000000002</v>
      </c>
      <c r="F36" s="232">
        <f t="shared" ref="F36:F56" si="40">E36/D36*100</f>
        <v>18.5</v>
      </c>
      <c r="G36" s="232">
        <f t="shared" si="36"/>
        <v>14.8</v>
      </c>
      <c r="H36" s="232">
        <f t="shared" si="37"/>
        <v>9.25</v>
      </c>
      <c r="I36" s="232">
        <f t="shared" ref="I36:J51" si="41">I35</f>
        <v>8</v>
      </c>
      <c r="J36" s="233">
        <f t="shared" si="41"/>
        <v>0</v>
      </c>
      <c r="K36" s="228" t="str">
        <f>D36&amp;-2</f>
        <v>9.8-2</v>
      </c>
      <c r="L36" s="232">
        <f t="shared" ref="L36:L58" si="42">L35</f>
        <v>0.2</v>
      </c>
      <c r="M36" s="235">
        <v>30</v>
      </c>
      <c r="N36" s="232">
        <f t="shared" ref="N36:Q51" si="43">N35</f>
        <v>150</v>
      </c>
      <c r="O36" s="232">
        <f t="shared" si="43"/>
        <v>160</v>
      </c>
      <c r="P36" s="232">
        <f t="shared" si="43"/>
        <v>270</v>
      </c>
      <c r="Q36" s="230">
        <f>Q35</f>
        <v>0.32</v>
      </c>
    </row>
    <row r="37" spans="1:17" x14ac:dyDescent="0.25">
      <c r="A37" s="229">
        <f t="shared" ref="A37:B37" si="44">A36+1</f>
        <v>1767</v>
      </c>
      <c r="B37" s="230">
        <f t="shared" si="44"/>
        <v>27</v>
      </c>
      <c r="C37" s="229" t="str">
        <f t="shared" si="4"/>
        <v>21dA10+000_060_03</v>
      </c>
      <c r="D37" s="231">
        <f t="shared" si="39"/>
        <v>9.8000000000000007</v>
      </c>
      <c r="E37" s="239">
        <f t="shared" si="35"/>
        <v>1.8130000000000002</v>
      </c>
      <c r="F37" s="232">
        <f t="shared" si="40"/>
        <v>18.5</v>
      </c>
      <c r="G37" s="232">
        <f t="shared" si="36"/>
        <v>14.8</v>
      </c>
      <c r="H37" s="232">
        <f t="shared" si="37"/>
        <v>9.25</v>
      </c>
      <c r="I37" s="232">
        <f t="shared" si="41"/>
        <v>8</v>
      </c>
      <c r="J37" s="233">
        <f t="shared" si="41"/>
        <v>0</v>
      </c>
      <c r="K37" s="228" t="str">
        <f>D37&amp;-3</f>
        <v>9.8-3</v>
      </c>
      <c r="L37" s="232">
        <f t="shared" si="42"/>
        <v>0.2</v>
      </c>
      <c r="M37" s="235">
        <v>60</v>
      </c>
      <c r="N37" s="232">
        <f t="shared" si="43"/>
        <v>150</v>
      </c>
      <c r="O37" s="232">
        <f t="shared" si="43"/>
        <v>160</v>
      </c>
      <c r="P37" s="232">
        <f t="shared" si="43"/>
        <v>270</v>
      </c>
      <c r="Q37" s="230">
        <f t="shared" si="43"/>
        <v>0.32</v>
      </c>
    </row>
    <row r="38" spans="1:17" x14ac:dyDescent="0.25">
      <c r="A38" s="229">
        <f t="shared" ref="A38:B38" si="45">A37+1</f>
        <v>1768</v>
      </c>
      <c r="B38" s="230">
        <f t="shared" si="45"/>
        <v>28</v>
      </c>
      <c r="C38" s="229" t="str">
        <f t="shared" si="4"/>
        <v>21dA10+000_090_04</v>
      </c>
      <c r="D38" s="231">
        <f t="shared" si="39"/>
        <v>9.8000000000000007</v>
      </c>
      <c r="E38" s="239">
        <f t="shared" si="35"/>
        <v>1.8130000000000002</v>
      </c>
      <c r="F38" s="232">
        <f t="shared" si="40"/>
        <v>18.5</v>
      </c>
      <c r="G38" s="232">
        <f t="shared" si="36"/>
        <v>14.8</v>
      </c>
      <c r="H38" s="232">
        <f t="shared" si="37"/>
        <v>9.25</v>
      </c>
      <c r="I38" s="232">
        <f t="shared" si="41"/>
        <v>8</v>
      </c>
      <c r="J38" s="233">
        <f t="shared" si="41"/>
        <v>0</v>
      </c>
      <c r="K38" s="228" t="str">
        <f>D38&amp;-4</f>
        <v>9.8-4</v>
      </c>
      <c r="L38" s="232">
        <f t="shared" si="42"/>
        <v>0.2</v>
      </c>
      <c r="M38" s="235">
        <v>90</v>
      </c>
      <c r="N38" s="232">
        <f t="shared" si="43"/>
        <v>150</v>
      </c>
      <c r="O38" s="232">
        <f t="shared" si="43"/>
        <v>160</v>
      </c>
      <c r="P38" s="232">
        <f t="shared" si="43"/>
        <v>270</v>
      </c>
      <c r="Q38" s="230">
        <f t="shared" si="43"/>
        <v>0.32</v>
      </c>
    </row>
    <row r="39" spans="1:17" x14ac:dyDescent="0.25">
      <c r="A39" s="229">
        <f t="shared" ref="A39:B39" si="46">A38+1</f>
        <v>1769</v>
      </c>
      <c r="B39" s="230">
        <f t="shared" si="46"/>
        <v>29</v>
      </c>
      <c r="C39" s="229" t="str">
        <f t="shared" si="4"/>
        <v>21dA10+000_000_05</v>
      </c>
      <c r="D39" s="231">
        <f t="shared" si="39"/>
        <v>9.8000000000000007</v>
      </c>
      <c r="E39" s="239">
        <f t="shared" si="35"/>
        <v>1.8130000000000002</v>
      </c>
      <c r="F39" s="232">
        <f t="shared" si="40"/>
        <v>18.5</v>
      </c>
      <c r="G39" s="232">
        <f t="shared" si="36"/>
        <v>14.8</v>
      </c>
      <c r="H39" s="232">
        <f t="shared" si="37"/>
        <v>9.25</v>
      </c>
      <c r="I39" s="232">
        <f t="shared" si="41"/>
        <v>8</v>
      </c>
      <c r="J39" s="233">
        <f t="shared" si="41"/>
        <v>0</v>
      </c>
      <c r="K39" s="228" t="str">
        <f>D39&amp;-5</f>
        <v>9.8-5</v>
      </c>
      <c r="L39" s="232">
        <f t="shared" si="42"/>
        <v>0.2</v>
      </c>
      <c r="M39" s="235">
        <v>0</v>
      </c>
      <c r="N39" s="232">
        <f t="shared" si="43"/>
        <v>150</v>
      </c>
      <c r="O39" s="232">
        <f t="shared" si="43"/>
        <v>160</v>
      </c>
      <c r="P39" s="232">
        <f t="shared" si="43"/>
        <v>270</v>
      </c>
      <c r="Q39" s="230">
        <f t="shared" si="43"/>
        <v>0.32</v>
      </c>
    </row>
    <row r="40" spans="1:17" x14ac:dyDescent="0.25">
      <c r="A40" s="229">
        <f t="shared" ref="A40:B40" si="47">A39+1</f>
        <v>1770</v>
      </c>
      <c r="B40" s="230">
        <f t="shared" si="47"/>
        <v>30</v>
      </c>
      <c r="C40" s="229" t="str">
        <f t="shared" si="4"/>
        <v>21dA10+000_030_06</v>
      </c>
      <c r="D40" s="231">
        <f t="shared" si="39"/>
        <v>9.8000000000000007</v>
      </c>
      <c r="E40" s="239">
        <f t="shared" si="35"/>
        <v>1.8130000000000002</v>
      </c>
      <c r="F40" s="232">
        <f t="shared" si="40"/>
        <v>18.5</v>
      </c>
      <c r="G40" s="232">
        <f t="shared" si="36"/>
        <v>14.8</v>
      </c>
      <c r="H40" s="232">
        <f t="shared" si="37"/>
        <v>9.25</v>
      </c>
      <c r="I40" s="232">
        <f t="shared" si="41"/>
        <v>8</v>
      </c>
      <c r="J40" s="233">
        <f t="shared" si="41"/>
        <v>0</v>
      </c>
      <c r="K40" s="228" t="str">
        <f>D40&amp;-6</f>
        <v>9.8-6</v>
      </c>
      <c r="L40" s="232">
        <f t="shared" si="42"/>
        <v>0.2</v>
      </c>
      <c r="M40" s="235">
        <v>30</v>
      </c>
      <c r="N40" s="232">
        <f t="shared" si="43"/>
        <v>150</v>
      </c>
      <c r="O40" s="232">
        <f t="shared" si="43"/>
        <v>160</v>
      </c>
      <c r="P40" s="232">
        <f t="shared" si="43"/>
        <v>270</v>
      </c>
      <c r="Q40" s="230">
        <f t="shared" si="43"/>
        <v>0.32</v>
      </c>
    </row>
    <row r="41" spans="1:17" x14ac:dyDescent="0.25">
      <c r="A41" s="229">
        <f t="shared" ref="A41:B41" si="48">A40+1</f>
        <v>1771</v>
      </c>
      <c r="B41" s="230">
        <f t="shared" si="48"/>
        <v>31</v>
      </c>
      <c r="C41" s="229" t="str">
        <f t="shared" si="4"/>
        <v>21dA10+000_060_07</v>
      </c>
      <c r="D41" s="231">
        <f t="shared" si="39"/>
        <v>9.8000000000000007</v>
      </c>
      <c r="E41" s="239">
        <f t="shared" si="35"/>
        <v>1.8130000000000002</v>
      </c>
      <c r="F41" s="232">
        <f t="shared" si="40"/>
        <v>18.5</v>
      </c>
      <c r="G41" s="232">
        <f t="shared" si="36"/>
        <v>14.8</v>
      </c>
      <c r="H41" s="232">
        <f t="shared" si="37"/>
        <v>9.25</v>
      </c>
      <c r="I41" s="232">
        <f t="shared" si="41"/>
        <v>8</v>
      </c>
      <c r="J41" s="233">
        <f t="shared" si="41"/>
        <v>0</v>
      </c>
      <c r="K41" s="228" t="str">
        <f>D41&amp;-7</f>
        <v>9.8-7</v>
      </c>
      <c r="L41" s="232">
        <f t="shared" si="42"/>
        <v>0.2</v>
      </c>
      <c r="M41" s="235">
        <v>60</v>
      </c>
      <c r="N41" s="232">
        <f t="shared" si="43"/>
        <v>150</v>
      </c>
      <c r="O41" s="232">
        <f t="shared" si="43"/>
        <v>160</v>
      </c>
      <c r="P41" s="232">
        <f t="shared" si="43"/>
        <v>270</v>
      </c>
      <c r="Q41" s="230">
        <f t="shared" si="43"/>
        <v>0.32</v>
      </c>
    </row>
    <row r="42" spans="1:17" x14ac:dyDescent="0.25">
      <c r="A42" s="229">
        <f t="shared" ref="A42:B42" si="49">A41+1</f>
        <v>1772</v>
      </c>
      <c r="B42" s="230">
        <f t="shared" si="49"/>
        <v>32</v>
      </c>
      <c r="C42" s="229" t="str">
        <f t="shared" si="4"/>
        <v>21dA10+000_090_08</v>
      </c>
      <c r="D42" s="231">
        <f t="shared" si="39"/>
        <v>9.8000000000000007</v>
      </c>
      <c r="E42" s="239">
        <f t="shared" si="35"/>
        <v>1.8130000000000002</v>
      </c>
      <c r="F42" s="232">
        <f t="shared" si="40"/>
        <v>18.5</v>
      </c>
      <c r="G42" s="232">
        <f t="shared" si="36"/>
        <v>14.8</v>
      </c>
      <c r="H42" s="232">
        <f t="shared" si="37"/>
        <v>9.25</v>
      </c>
      <c r="I42" s="232">
        <f t="shared" si="41"/>
        <v>8</v>
      </c>
      <c r="J42" s="233">
        <f t="shared" si="41"/>
        <v>0</v>
      </c>
      <c r="K42" s="228" t="str">
        <f>D42&amp;-8</f>
        <v>9.8-8</v>
      </c>
      <c r="L42" s="232">
        <f t="shared" si="42"/>
        <v>0.2</v>
      </c>
      <c r="M42" s="235">
        <v>90</v>
      </c>
      <c r="N42" s="232">
        <f t="shared" si="43"/>
        <v>150</v>
      </c>
      <c r="O42" s="232">
        <f t="shared" si="43"/>
        <v>160</v>
      </c>
      <c r="P42" s="232">
        <f t="shared" si="43"/>
        <v>270</v>
      </c>
      <c r="Q42" s="230">
        <f t="shared" si="43"/>
        <v>0.32</v>
      </c>
    </row>
    <row r="43" spans="1:17" x14ac:dyDescent="0.25">
      <c r="A43" s="229">
        <f t="shared" ref="A43:B43" si="50">A42+1</f>
        <v>1773</v>
      </c>
      <c r="B43" s="230">
        <f t="shared" si="50"/>
        <v>33</v>
      </c>
      <c r="C43" s="229" t="str">
        <f t="shared" si="4"/>
        <v>21dA10+000_000_09</v>
      </c>
      <c r="D43" s="231">
        <f t="shared" si="39"/>
        <v>9.8000000000000007</v>
      </c>
      <c r="E43" s="239">
        <f t="shared" si="35"/>
        <v>1.8130000000000002</v>
      </c>
      <c r="F43" s="232">
        <f t="shared" si="40"/>
        <v>18.5</v>
      </c>
      <c r="G43" s="232">
        <f t="shared" si="36"/>
        <v>14.8</v>
      </c>
      <c r="H43" s="232">
        <f t="shared" si="37"/>
        <v>9.25</v>
      </c>
      <c r="I43" s="232">
        <f t="shared" si="41"/>
        <v>8</v>
      </c>
      <c r="J43" s="233">
        <f t="shared" si="41"/>
        <v>0</v>
      </c>
      <c r="K43" s="228" t="str">
        <f>D43&amp;-9</f>
        <v>9.8-9</v>
      </c>
      <c r="L43" s="232">
        <f t="shared" si="42"/>
        <v>0.2</v>
      </c>
      <c r="M43" s="235">
        <v>0</v>
      </c>
      <c r="N43" s="232">
        <f t="shared" si="43"/>
        <v>150</v>
      </c>
      <c r="O43" s="232">
        <f t="shared" si="43"/>
        <v>160</v>
      </c>
      <c r="P43" s="232">
        <f t="shared" si="43"/>
        <v>270</v>
      </c>
      <c r="Q43" s="230">
        <f t="shared" si="43"/>
        <v>0.32</v>
      </c>
    </row>
    <row r="44" spans="1:17" x14ac:dyDescent="0.25">
      <c r="A44" s="229">
        <f t="shared" ref="A44:B44" si="51">A43+1</f>
        <v>1774</v>
      </c>
      <c r="B44" s="230">
        <f t="shared" si="51"/>
        <v>34</v>
      </c>
      <c r="C44" s="229" t="str">
        <f t="shared" si="4"/>
        <v>21dA10+000_030_10</v>
      </c>
      <c r="D44" s="231">
        <f t="shared" si="39"/>
        <v>9.8000000000000007</v>
      </c>
      <c r="E44" s="239">
        <f t="shared" si="35"/>
        <v>1.8130000000000002</v>
      </c>
      <c r="F44" s="232">
        <f t="shared" si="40"/>
        <v>18.5</v>
      </c>
      <c r="G44" s="232">
        <f t="shared" si="36"/>
        <v>14.8</v>
      </c>
      <c r="H44" s="232">
        <f t="shared" si="37"/>
        <v>9.25</v>
      </c>
      <c r="I44" s="232">
        <f t="shared" si="41"/>
        <v>8</v>
      </c>
      <c r="J44" s="233">
        <f t="shared" si="41"/>
        <v>0</v>
      </c>
      <c r="K44" s="228" t="str">
        <f>D44&amp;-10</f>
        <v>9.8-10</v>
      </c>
      <c r="L44" s="232">
        <f t="shared" si="42"/>
        <v>0.2</v>
      </c>
      <c r="M44" s="235">
        <v>30</v>
      </c>
      <c r="N44" s="232">
        <f t="shared" si="43"/>
        <v>150</v>
      </c>
      <c r="O44" s="232">
        <f t="shared" si="43"/>
        <v>160</v>
      </c>
      <c r="P44" s="232">
        <f t="shared" si="43"/>
        <v>270</v>
      </c>
      <c r="Q44" s="230">
        <f t="shared" si="43"/>
        <v>0.32</v>
      </c>
    </row>
    <row r="45" spans="1:17" x14ac:dyDescent="0.25">
      <c r="A45" s="229">
        <f t="shared" ref="A45:B45" si="52">A44+1</f>
        <v>1775</v>
      </c>
      <c r="B45" s="230">
        <f t="shared" si="52"/>
        <v>35</v>
      </c>
      <c r="C45" s="229" t="str">
        <f t="shared" si="4"/>
        <v>21dA10+000_060_11</v>
      </c>
      <c r="D45" s="231">
        <f t="shared" si="39"/>
        <v>9.8000000000000007</v>
      </c>
      <c r="E45" s="239">
        <f t="shared" si="35"/>
        <v>1.8130000000000002</v>
      </c>
      <c r="F45" s="232">
        <f t="shared" si="40"/>
        <v>18.5</v>
      </c>
      <c r="G45" s="232">
        <f t="shared" si="36"/>
        <v>14.8</v>
      </c>
      <c r="H45" s="232">
        <f t="shared" si="37"/>
        <v>9.25</v>
      </c>
      <c r="I45" s="232">
        <f t="shared" si="41"/>
        <v>8</v>
      </c>
      <c r="J45" s="233">
        <f t="shared" si="41"/>
        <v>0</v>
      </c>
      <c r="K45" s="228" t="str">
        <f>D45&amp;-11</f>
        <v>9.8-11</v>
      </c>
      <c r="L45" s="232">
        <f t="shared" si="42"/>
        <v>0.2</v>
      </c>
      <c r="M45" s="235">
        <v>60</v>
      </c>
      <c r="N45" s="232">
        <f t="shared" si="43"/>
        <v>150</v>
      </c>
      <c r="O45" s="232">
        <f t="shared" si="43"/>
        <v>160</v>
      </c>
      <c r="P45" s="232">
        <f t="shared" si="43"/>
        <v>270</v>
      </c>
      <c r="Q45" s="230">
        <f t="shared" si="43"/>
        <v>0.32</v>
      </c>
    </row>
    <row r="46" spans="1:17" x14ac:dyDescent="0.25">
      <c r="A46" s="229">
        <f t="shared" ref="A46:B46" si="53">A45+1</f>
        <v>1776</v>
      </c>
      <c r="B46" s="230">
        <f t="shared" si="53"/>
        <v>36</v>
      </c>
      <c r="C46" s="229" t="str">
        <f t="shared" si="4"/>
        <v>21dA10+000_090_12</v>
      </c>
      <c r="D46" s="231">
        <f t="shared" si="39"/>
        <v>9.8000000000000007</v>
      </c>
      <c r="E46" s="239">
        <f t="shared" si="35"/>
        <v>1.8130000000000002</v>
      </c>
      <c r="F46" s="232">
        <f t="shared" si="40"/>
        <v>18.5</v>
      </c>
      <c r="G46" s="232">
        <f t="shared" si="36"/>
        <v>14.8</v>
      </c>
      <c r="H46" s="232">
        <f t="shared" si="37"/>
        <v>9.25</v>
      </c>
      <c r="I46" s="232">
        <f t="shared" si="41"/>
        <v>8</v>
      </c>
      <c r="J46" s="233">
        <f t="shared" si="41"/>
        <v>0</v>
      </c>
      <c r="K46" s="228" t="str">
        <f>D46&amp;-12</f>
        <v>9.8-12</v>
      </c>
      <c r="L46" s="232">
        <f t="shared" si="42"/>
        <v>0.2</v>
      </c>
      <c r="M46" s="235">
        <v>90</v>
      </c>
      <c r="N46" s="232">
        <f t="shared" si="43"/>
        <v>150</v>
      </c>
      <c r="O46" s="232">
        <f t="shared" si="43"/>
        <v>160</v>
      </c>
      <c r="P46" s="232">
        <f t="shared" si="43"/>
        <v>270</v>
      </c>
      <c r="Q46" s="230">
        <f t="shared" si="43"/>
        <v>0.32</v>
      </c>
    </row>
    <row r="47" spans="1:17" x14ac:dyDescent="0.25">
      <c r="A47" s="229">
        <f t="shared" ref="A47:B47" si="54">A46+1</f>
        <v>1777</v>
      </c>
      <c r="B47" s="230">
        <f t="shared" si="54"/>
        <v>37</v>
      </c>
      <c r="C47" s="229" t="str">
        <f t="shared" si="4"/>
        <v>21dB10+000_000_01</v>
      </c>
      <c r="D47" s="231">
        <f t="shared" si="39"/>
        <v>9.8000000000000007</v>
      </c>
      <c r="E47" s="239">
        <f t="shared" si="35"/>
        <v>1.8130000000000002</v>
      </c>
      <c r="F47" s="232">
        <f t="shared" si="40"/>
        <v>18.5</v>
      </c>
      <c r="G47" s="232">
        <f t="shared" si="36"/>
        <v>14.8</v>
      </c>
      <c r="H47" s="232">
        <f t="shared" si="37"/>
        <v>9.25</v>
      </c>
      <c r="I47" s="232">
        <f t="shared" si="41"/>
        <v>8</v>
      </c>
      <c r="J47" s="233">
        <f t="shared" si="41"/>
        <v>0</v>
      </c>
      <c r="K47" s="228" t="str">
        <f>D47&amp;-1</f>
        <v>9.8-1</v>
      </c>
      <c r="L47" s="232">
        <f t="shared" si="42"/>
        <v>0.2</v>
      </c>
      <c r="M47" s="235">
        <v>0</v>
      </c>
      <c r="N47" s="232">
        <f t="shared" si="43"/>
        <v>150</v>
      </c>
      <c r="O47" s="232">
        <f t="shared" si="43"/>
        <v>160</v>
      </c>
      <c r="P47" s="232">
        <f t="shared" si="43"/>
        <v>270</v>
      </c>
      <c r="Q47" s="230">
        <f>-yaw_runaway</f>
        <v>-0.32</v>
      </c>
    </row>
    <row r="48" spans="1:17" x14ac:dyDescent="0.25">
      <c r="A48" s="229">
        <f t="shared" ref="A48:B48" si="55">A47+1</f>
        <v>1778</v>
      </c>
      <c r="B48" s="230">
        <f t="shared" si="55"/>
        <v>38</v>
      </c>
      <c r="C48" s="229" t="str">
        <f t="shared" si="4"/>
        <v>21dB10+000_030_02</v>
      </c>
      <c r="D48" s="231">
        <f t="shared" si="39"/>
        <v>9.8000000000000007</v>
      </c>
      <c r="E48" s="239">
        <f t="shared" si="35"/>
        <v>1.8130000000000002</v>
      </c>
      <c r="F48" s="232">
        <f t="shared" si="40"/>
        <v>18.5</v>
      </c>
      <c r="G48" s="232">
        <f t="shared" si="36"/>
        <v>14.8</v>
      </c>
      <c r="H48" s="232">
        <f t="shared" si="37"/>
        <v>9.25</v>
      </c>
      <c r="I48" s="232">
        <f t="shared" si="41"/>
        <v>8</v>
      </c>
      <c r="J48" s="233">
        <f t="shared" si="41"/>
        <v>0</v>
      </c>
      <c r="K48" s="228" t="str">
        <f>D48&amp;-2</f>
        <v>9.8-2</v>
      </c>
      <c r="L48" s="232">
        <f t="shared" si="42"/>
        <v>0.2</v>
      </c>
      <c r="M48" s="235">
        <v>30</v>
      </c>
      <c r="N48" s="232">
        <f t="shared" si="43"/>
        <v>150</v>
      </c>
      <c r="O48" s="232">
        <f t="shared" si="43"/>
        <v>160</v>
      </c>
      <c r="P48" s="232">
        <f t="shared" si="43"/>
        <v>270</v>
      </c>
      <c r="Q48" s="230">
        <f>Q47</f>
        <v>-0.32</v>
      </c>
    </row>
    <row r="49" spans="1:17" x14ac:dyDescent="0.25">
      <c r="A49" s="229">
        <f t="shared" ref="A49:B49" si="56">A48+1</f>
        <v>1779</v>
      </c>
      <c r="B49" s="230">
        <f t="shared" si="56"/>
        <v>39</v>
      </c>
      <c r="C49" s="229" t="str">
        <f t="shared" si="4"/>
        <v>21dB10+000_060_03</v>
      </c>
      <c r="D49" s="231">
        <f t="shared" si="39"/>
        <v>9.8000000000000007</v>
      </c>
      <c r="E49" s="239">
        <f t="shared" si="35"/>
        <v>1.8130000000000002</v>
      </c>
      <c r="F49" s="232">
        <f t="shared" si="40"/>
        <v>18.5</v>
      </c>
      <c r="G49" s="232">
        <f t="shared" si="36"/>
        <v>14.8</v>
      </c>
      <c r="H49" s="232">
        <f t="shared" si="37"/>
        <v>9.25</v>
      </c>
      <c r="I49" s="232">
        <f t="shared" si="41"/>
        <v>8</v>
      </c>
      <c r="J49" s="233">
        <f t="shared" si="41"/>
        <v>0</v>
      </c>
      <c r="K49" s="228" t="str">
        <f>D49&amp;-3</f>
        <v>9.8-3</v>
      </c>
      <c r="L49" s="232">
        <f t="shared" si="42"/>
        <v>0.2</v>
      </c>
      <c r="M49" s="235">
        <v>60</v>
      </c>
      <c r="N49" s="232">
        <f t="shared" si="43"/>
        <v>150</v>
      </c>
      <c r="O49" s="232">
        <f t="shared" si="43"/>
        <v>160</v>
      </c>
      <c r="P49" s="232">
        <f t="shared" si="43"/>
        <v>270</v>
      </c>
      <c r="Q49" s="230">
        <f t="shared" si="43"/>
        <v>-0.32</v>
      </c>
    </row>
    <row r="50" spans="1:17" x14ac:dyDescent="0.25">
      <c r="A50" s="229">
        <f t="shared" ref="A50:B50" si="57">A49+1</f>
        <v>1780</v>
      </c>
      <c r="B50" s="230">
        <f t="shared" si="57"/>
        <v>40</v>
      </c>
      <c r="C50" s="229" t="str">
        <f t="shared" si="4"/>
        <v>21dB10+000_090_04</v>
      </c>
      <c r="D50" s="231">
        <f t="shared" si="39"/>
        <v>9.8000000000000007</v>
      </c>
      <c r="E50" s="239">
        <f t="shared" si="35"/>
        <v>1.8130000000000002</v>
      </c>
      <c r="F50" s="232">
        <f t="shared" si="40"/>
        <v>18.5</v>
      </c>
      <c r="G50" s="232">
        <f t="shared" si="36"/>
        <v>14.8</v>
      </c>
      <c r="H50" s="232">
        <f t="shared" si="37"/>
        <v>9.25</v>
      </c>
      <c r="I50" s="232">
        <f t="shared" si="41"/>
        <v>8</v>
      </c>
      <c r="J50" s="233">
        <f t="shared" si="41"/>
        <v>0</v>
      </c>
      <c r="K50" s="228" t="str">
        <f>D50&amp;-4</f>
        <v>9.8-4</v>
      </c>
      <c r="L50" s="232">
        <f t="shared" si="42"/>
        <v>0.2</v>
      </c>
      <c r="M50" s="235">
        <v>90</v>
      </c>
      <c r="N50" s="232">
        <f t="shared" si="43"/>
        <v>150</v>
      </c>
      <c r="O50" s="232">
        <f t="shared" si="43"/>
        <v>160</v>
      </c>
      <c r="P50" s="232">
        <f t="shared" si="43"/>
        <v>270</v>
      </c>
      <c r="Q50" s="230">
        <f t="shared" si="43"/>
        <v>-0.32</v>
      </c>
    </row>
    <row r="51" spans="1:17" x14ac:dyDescent="0.25">
      <c r="A51" s="229">
        <f t="shared" ref="A51:B51" si="58">A50+1</f>
        <v>1781</v>
      </c>
      <c r="B51" s="230">
        <f t="shared" si="58"/>
        <v>41</v>
      </c>
      <c r="C51" s="229" t="str">
        <f t="shared" si="4"/>
        <v>21dB10+000_000_05</v>
      </c>
      <c r="D51" s="231">
        <f t="shared" si="39"/>
        <v>9.8000000000000007</v>
      </c>
      <c r="E51" s="239">
        <f t="shared" ref="E51:E58" si="59">I_ref*(0.75*D51+5.6)</f>
        <v>1.8130000000000002</v>
      </c>
      <c r="F51" s="232">
        <f t="shared" si="40"/>
        <v>18.5</v>
      </c>
      <c r="G51" s="232">
        <f t="shared" ref="G51:G58" si="60">m_ty*F51</f>
        <v>14.8</v>
      </c>
      <c r="H51" s="232">
        <f t="shared" ref="H51:H58" si="61">m_tz*F51</f>
        <v>9.25</v>
      </c>
      <c r="I51" s="232">
        <f t="shared" si="41"/>
        <v>8</v>
      </c>
      <c r="J51" s="233">
        <f t="shared" si="41"/>
        <v>0</v>
      </c>
      <c r="K51" s="228" t="str">
        <f>D51&amp;-5</f>
        <v>9.8-5</v>
      </c>
      <c r="L51" s="232">
        <f t="shared" si="42"/>
        <v>0.2</v>
      </c>
      <c r="M51" s="235">
        <v>0</v>
      </c>
      <c r="N51" s="232">
        <f t="shared" si="43"/>
        <v>150</v>
      </c>
      <c r="O51" s="232">
        <f t="shared" si="43"/>
        <v>160</v>
      </c>
      <c r="P51" s="232">
        <f t="shared" si="43"/>
        <v>270</v>
      </c>
      <c r="Q51" s="230">
        <f t="shared" si="43"/>
        <v>-0.32</v>
      </c>
    </row>
    <row r="52" spans="1:17" x14ac:dyDescent="0.25">
      <c r="A52" s="229">
        <f t="shared" ref="A52:B52" si="62">A51+1</f>
        <v>1782</v>
      </c>
      <c r="B52" s="230">
        <f t="shared" si="62"/>
        <v>42</v>
      </c>
      <c r="C52" s="229" t="str">
        <f t="shared" si="4"/>
        <v>21dB10+000_030_06</v>
      </c>
      <c r="D52" s="231">
        <f t="shared" si="39"/>
        <v>9.8000000000000007</v>
      </c>
      <c r="E52" s="239">
        <f t="shared" si="59"/>
        <v>1.8130000000000002</v>
      </c>
      <c r="F52" s="232">
        <f t="shared" si="40"/>
        <v>18.5</v>
      </c>
      <c r="G52" s="232">
        <f t="shared" si="60"/>
        <v>14.8</v>
      </c>
      <c r="H52" s="232">
        <f t="shared" si="61"/>
        <v>9.25</v>
      </c>
      <c r="I52" s="232">
        <f t="shared" ref="I52:J59" si="63">I51</f>
        <v>8</v>
      </c>
      <c r="J52" s="233">
        <f t="shared" si="63"/>
        <v>0</v>
      </c>
      <c r="K52" s="228" t="str">
        <f>D52&amp;-6</f>
        <v>9.8-6</v>
      </c>
      <c r="L52" s="232">
        <f t="shared" si="42"/>
        <v>0.2</v>
      </c>
      <c r="M52" s="235">
        <v>30</v>
      </c>
      <c r="N52" s="232">
        <f t="shared" ref="N52:Q58" si="64">N51</f>
        <v>150</v>
      </c>
      <c r="O52" s="232">
        <f t="shared" si="64"/>
        <v>160</v>
      </c>
      <c r="P52" s="232">
        <f t="shared" si="64"/>
        <v>270</v>
      </c>
      <c r="Q52" s="230">
        <f t="shared" si="64"/>
        <v>-0.32</v>
      </c>
    </row>
    <row r="53" spans="1:17" x14ac:dyDescent="0.25">
      <c r="A53" s="229">
        <f t="shared" ref="A53:B53" si="65">A52+1</f>
        <v>1783</v>
      </c>
      <c r="B53" s="230">
        <f t="shared" si="65"/>
        <v>43</v>
      </c>
      <c r="C53" s="229" t="str">
        <f t="shared" si="4"/>
        <v>21dB10+000_060_07</v>
      </c>
      <c r="D53" s="231">
        <f t="shared" si="39"/>
        <v>9.8000000000000007</v>
      </c>
      <c r="E53" s="239">
        <f t="shared" si="59"/>
        <v>1.8130000000000002</v>
      </c>
      <c r="F53" s="232">
        <f t="shared" si="40"/>
        <v>18.5</v>
      </c>
      <c r="G53" s="232">
        <f t="shared" si="60"/>
        <v>14.8</v>
      </c>
      <c r="H53" s="232">
        <f t="shared" si="61"/>
        <v>9.25</v>
      </c>
      <c r="I53" s="232">
        <f t="shared" si="63"/>
        <v>8</v>
      </c>
      <c r="J53" s="233">
        <f t="shared" si="63"/>
        <v>0</v>
      </c>
      <c r="K53" s="228" t="str">
        <f>D53&amp;-7</f>
        <v>9.8-7</v>
      </c>
      <c r="L53" s="232">
        <f t="shared" si="42"/>
        <v>0.2</v>
      </c>
      <c r="M53" s="235">
        <v>60</v>
      </c>
      <c r="N53" s="232">
        <f t="shared" si="64"/>
        <v>150</v>
      </c>
      <c r="O53" s="232">
        <f t="shared" si="64"/>
        <v>160</v>
      </c>
      <c r="P53" s="232">
        <f t="shared" si="64"/>
        <v>270</v>
      </c>
      <c r="Q53" s="230">
        <f t="shared" si="64"/>
        <v>-0.32</v>
      </c>
    </row>
    <row r="54" spans="1:17" x14ac:dyDescent="0.25">
      <c r="A54" s="229">
        <f t="shared" ref="A54:B54" si="66">A53+1</f>
        <v>1784</v>
      </c>
      <c r="B54" s="230">
        <f t="shared" si="66"/>
        <v>44</v>
      </c>
      <c r="C54" s="229" t="str">
        <f t="shared" si="4"/>
        <v>21dB10+000_090_08</v>
      </c>
      <c r="D54" s="231">
        <f t="shared" si="39"/>
        <v>9.8000000000000007</v>
      </c>
      <c r="E54" s="239">
        <f t="shared" si="59"/>
        <v>1.8130000000000002</v>
      </c>
      <c r="F54" s="232">
        <f t="shared" si="40"/>
        <v>18.5</v>
      </c>
      <c r="G54" s="232">
        <f t="shared" si="60"/>
        <v>14.8</v>
      </c>
      <c r="H54" s="232">
        <f t="shared" si="61"/>
        <v>9.25</v>
      </c>
      <c r="I54" s="232">
        <f t="shared" si="63"/>
        <v>8</v>
      </c>
      <c r="J54" s="233">
        <f t="shared" si="63"/>
        <v>0</v>
      </c>
      <c r="K54" s="228" t="str">
        <f>D54&amp;-8</f>
        <v>9.8-8</v>
      </c>
      <c r="L54" s="232">
        <f t="shared" si="42"/>
        <v>0.2</v>
      </c>
      <c r="M54" s="235">
        <v>90</v>
      </c>
      <c r="N54" s="232">
        <f t="shared" si="64"/>
        <v>150</v>
      </c>
      <c r="O54" s="232">
        <f t="shared" si="64"/>
        <v>160</v>
      </c>
      <c r="P54" s="232">
        <f t="shared" si="64"/>
        <v>270</v>
      </c>
      <c r="Q54" s="230">
        <f t="shared" si="64"/>
        <v>-0.32</v>
      </c>
    </row>
    <row r="55" spans="1:17" x14ac:dyDescent="0.25">
      <c r="A55" s="229">
        <f t="shared" ref="A55:B55" si="67">A54+1</f>
        <v>1785</v>
      </c>
      <c r="B55" s="230">
        <f t="shared" si="67"/>
        <v>45</v>
      </c>
      <c r="C55" s="229" t="str">
        <f t="shared" si="4"/>
        <v>21dB10+000_000_09</v>
      </c>
      <c r="D55" s="231">
        <f t="shared" si="39"/>
        <v>9.8000000000000007</v>
      </c>
      <c r="E55" s="239">
        <f t="shared" si="59"/>
        <v>1.8130000000000002</v>
      </c>
      <c r="F55" s="232">
        <f t="shared" si="40"/>
        <v>18.5</v>
      </c>
      <c r="G55" s="232">
        <f t="shared" si="60"/>
        <v>14.8</v>
      </c>
      <c r="H55" s="232">
        <f t="shared" si="61"/>
        <v>9.25</v>
      </c>
      <c r="I55" s="232">
        <f t="shared" si="63"/>
        <v>8</v>
      </c>
      <c r="J55" s="233">
        <f t="shared" si="63"/>
        <v>0</v>
      </c>
      <c r="K55" s="228" t="str">
        <f>D55&amp;-9</f>
        <v>9.8-9</v>
      </c>
      <c r="L55" s="232">
        <f t="shared" si="42"/>
        <v>0.2</v>
      </c>
      <c r="M55" s="235">
        <v>0</v>
      </c>
      <c r="N55" s="232">
        <f t="shared" si="64"/>
        <v>150</v>
      </c>
      <c r="O55" s="232">
        <f t="shared" si="64"/>
        <v>160</v>
      </c>
      <c r="P55" s="232">
        <f t="shared" si="64"/>
        <v>270</v>
      </c>
      <c r="Q55" s="230">
        <f t="shared" si="64"/>
        <v>-0.32</v>
      </c>
    </row>
    <row r="56" spans="1:17" x14ac:dyDescent="0.25">
      <c r="A56" s="229">
        <f t="shared" ref="A56:B56" si="68">A55+1</f>
        <v>1786</v>
      </c>
      <c r="B56" s="230">
        <f t="shared" si="68"/>
        <v>46</v>
      </c>
      <c r="C56" s="229" t="str">
        <f t="shared" si="4"/>
        <v>21dB10+000_030_10</v>
      </c>
      <c r="D56" s="231">
        <f t="shared" si="39"/>
        <v>9.8000000000000007</v>
      </c>
      <c r="E56" s="239">
        <f t="shared" si="59"/>
        <v>1.8130000000000002</v>
      </c>
      <c r="F56" s="232">
        <f t="shared" si="40"/>
        <v>18.5</v>
      </c>
      <c r="G56" s="232">
        <f t="shared" si="60"/>
        <v>14.8</v>
      </c>
      <c r="H56" s="232">
        <f t="shared" si="61"/>
        <v>9.25</v>
      </c>
      <c r="I56" s="232">
        <f t="shared" si="63"/>
        <v>8</v>
      </c>
      <c r="J56" s="233">
        <f t="shared" si="63"/>
        <v>0</v>
      </c>
      <c r="K56" s="228" t="str">
        <f>D56&amp;-10</f>
        <v>9.8-10</v>
      </c>
      <c r="L56" s="232">
        <f t="shared" si="42"/>
        <v>0.2</v>
      </c>
      <c r="M56" s="235">
        <v>30</v>
      </c>
      <c r="N56" s="232">
        <f t="shared" si="64"/>
        <v>150</v>
      </c>
      <c r="O56" s="232">
        <f t="shared" si="64"/>
        <v>160</v>
      </c>
      <c r="P56" s="232">
        <f t="shared" si="64"/>
        <v>270</v>
      </c>
      <c r="Q56" s="230">
        <f t="shared" si="64"/>
        <v>-0.32</v>
      </c>
    </row>
    <row r="57" spans="1:17" x14ac:dyDescent="0.25">
      <c r="A57" s="229">
        <f t="shared" ref="A57:B57" si="69">A56+1</f>
        <v>1787</v>
      </c>
      <c r="B57" s="230">
        <f t="shared" si="69"/>
        <v>47</v>
      </c>
      <c r="C57" s="229" t="str">
        <f t="shared" si="4"/>
        <v>21dB10+000_060_11</v>
      </c>
      <c r="D57" s="231">
        <f t="shared" si="39"/>
        <v>9.8000000000000007</v>
      </c>
      <c r="E57" s="239">
        <f t="shared" si="59"/>
        <v>1.8130000000000002</v>
      </c>
      <c r="F57" s="232">
        <f>E57/D57*100</f>
        <v>18.5</v>
      </c>
      <c r="G57" s="232">
        <f t="shared" si="60"/>
        <v>14.8</v>
      </c>
      <c r="H57" s="232">
        <f t="shared" si="61"/>
        <v>9.25</v>
      </c>
      <c r="I57" s="232">
        <f t="shared" si="63"/>
        <v>8</v>
      </c>
      <c r="J57" s="233">
        <f t="shared" si="63"/>
        <v>0</v>
      </c>
      <c r="K57" s="228" t="str">
        <f>D57&amp;-11</f>
        <v>9.8-11</v>
      </c>
      <c r="L57" s="232">
        <f t="shared" si="42"/>
        <v>0.2</v>
      </c>
      <c r="M57" s="235">
        <v>60</v>
      </c>
      <c r="N57" s="232">
        <f t="shared" si="64"/>
        <v>150</v>
      </c>
      <c r="O57" s="232">
        <f t="shared" si="64"/>
        <v>160</v>
      </c>
      <c r="P57" s="232">
        <f t="shared" si="64"/>
        <v>270</v>
      </c>
      <c r="Q57" s="230">
        <f t="shared" si="64"/>
        <v>-0.32</v>
      </c>
    </row>
    <row r="58" spans="1:17" x14ac:dyDescent="0.25">
      <c r="A58" s="229">
        <f t="shared" ref="A58:B58" si="70">A57+1</f>
        <v>1788</v>
      </c>
      <c r="B58" s="230">
        <f t="shared" si="70"/>
        <v>48</v>
      </c>
      <c r="C58" s="229" t="str">
        <f t="shared" si="4"/>
        <v>21dB10+000_090_12</v>
      </c>
      <c r="D58" s="231">
        <f t="shared" si="39"/>
        <v>9.8000000000000007</v>
      </c>
      <c r="E58" s="239">
        <f t="shared" si="59"/>
        <v>1.8130000000000002</v>
      </c>
      <c r="F58" s="232">
        <f>E58/D58*100</f>
        <v>18.5</v>
      </c>
      <c r="G58" s="232">
        <f t="shared" si="60"/>
        <v>14.8</v>
      </c>
      <c r="H58" s="232">
        <f t="shared" si="61"/>
        <v>9.25</v>
      </c>
      <c r="I58" s="232">
        <f t="shared" si="63"/>
        <v>8</v>
      </c>
      <c r="J58" s="233">
        <f t="shared" si="63"/>
        <v>0</v>
      </c>
      <c r="K58" s="228" t="str">
        <f>D58&amp;-12</f>
        <v>9.8-12</v>
      </c>
      <c r="L58" s="232">
        <f t="shared" si="42"/>
        <v>0.2</v>
      </c>
      <c r="M58" s="235">
        <v>90</v>
      </c>
      <c r="N58" s="232">
        <f t="shared" si="64"/>
        <v>150</v>
      </c>
      <c r="O58" s="232">
        <f t="shared" si="64"/>
        <v>160</v>
      </c>
      <c r="P58" s="232">
        <f t="shared" si="64"/>
        <v>270</v>
      </c>
      <c r="Q58" s="230">
        <f t="shared" si="64"/>
        <v>-0.32</v>
      </c>
    </row>
    <row r="59" spans="1:17" x14ac:dyDescent="0.25">
      <c r="A59" s="229">
        <f t="shared" ref="A59:B59" si="71">A58+1</f>
        <v>1789</v>
      </c>
      <c r="B59" s="230">
        <f t="shared" si="71"/>
        <v>49</v>
      </c>
      <c r="C59" s="229" t="str">
        <f t="shared" si="4"/>
        <v>21dA12+000_000_01</v>
      </c>
      <c r="D59" s="231">
        <f>vr_a</f>
        <v>11.8</v>
      </c>
      <c r="E59" s="239">
        <f t="shared" ref="E59:E82" si="72">I_ref*(0.75*D59+5.6)</f>
        <v>2.0230000000000001</v>
      </c>
      <c r="F59" s="232">
        <f>E59/D59*100</f>
        <v>17.14406779661017</v>
      </c>
      <c r="G59" s="232">
        <f t="shared" ref="G59:G70" si="73">m_ty*F59</f>
        <v>13.715254237288136</v>
      </c>
      <c r="H59" s="232">
        <f t="shared" ref="H59:H70" si="74">m_tz*F59</f>
        <v>8.5720338983050848</v>
      </c>
      <c r="I59" s="232">
        <f>inflow</f>
        <v>8</v>
      </c>
      <c r="J59" s="233">
        <f t="shared" si="63"/>
        <v>0</v>
      </c>
      <c r="K59" s="228" t="str">
        <f>D59&amp;-1</f>
        <v>11.8-1</v>
      </c>
      <c r="L59" s="232">
        <f>alpha_n</f>
        <v>0.2</v>
      </c>
      <c r="M59" s="235">
        <v>0</v>
      </c>
      <c r="N59" s="232">
        <f>t_out</f>
        <v>150</v>
      </c>
      <c r="O59" s="232">
        <f>trig_t</f>
        <v>160</v>
      </c>
      <c r="P59" s="232">
        <f>N59+2*T_s2</f>
        <v>270</v>
      </c>
      <c r="Q59" s="230">
        <f>yaw_runaway</f>
        <v>0.32</v>
      </c>
    </row>
    <row r="60" spans="1:17" x14ac:dyDescent="0.25">
      <c r="A60" s="229">
        <f t="shared" ref="A60:B60" si="75">A59+1</f>
        <v>1790</v>
      </c>
      <c r="B60" s="230">
        <f t="shared" si="75"/>
        <v>50</v>
      </c>
      <c r="C60" s="229" t="str">
        <f t="shared" si="4"/>
        <v>21dA12+000_030_02</v>
      </c>
      <c r="D60" s="231">
        <f t="shared" ref="D60:D80" si="76">D59</f>
        <v>11.8</v>
      </c>
      <c r="E60" s="239">
        <f t="shared" si="72"/>
        <v>2.0230000000000001</v>
      </c>
      <c r="F60" s="232">
        <f t="shared" ref="F60:F80" si="77">E60/D60*100</f>
        <v>17.14406779661017</v>
      </c>
      <c r="G60" s="232">
        <f t="shared" si="73"/>
        <v>13.715254237288136</v>
      </c>
      <c r="H60" s="232">
        <f t="shared" si="74"/>
        <v>8.5720338983050848</v>
      </c>
      <c r="I60" s="232">
        <f t="shared" ref="I60:J75" si="78">I59</f>
        <v>8</v>
      </c>
      <c r="J60" s="233">
        <f t="shared" si="78"/>
        <v>0</v>
      </c>
      <c r="K60" s="228" t="str">
        <f>D60&amp;-2</f>
        <v>11.8-2</v>
      </c>
      <c r="L60" s="232">
        <f t="shared" ref="L60:L82" si="79">L59</f>
        <v>0.2</v>
      </c>
      <c r="M60" s="235">
        <v>30</v>
      </c>
      <c r="N60" s="232">
        <f t="shared" ref="N60:Q75" si="80">N59</f>
        <v>150</v>
      </c>
      <c r="O60" s="232">
        <f t="shared" si="80"/>
        <v>160</v>
      </c>
      <c r="P60" s="232">
        <f t="shared" si="80"/>
        <v>270</v>
      </c>
      <c r="Q60" s="230">
        <f>Q59</f>
        <v>0.32</v>
      </c>
    </row>
    <row r="61" spans="1:17" x14ac:dyDescent="0.25">
      <c r="A61" s="229">
        <f t="shared" ref="A61:B61" si="81">A60+1</f>
        <v>1791</v>
      </c>
      <c r="B61" s="230">
        <f t="shared" si="81"/>
        <v>51</v>
      </c>
      <c r="C61" s="229" t="str">
        <f t="shared" si="4"/>
        <v>21dA12+000_060_03</v>
      </c>
      <c r="D61" s="231">
        <f t="shared" si="76"/>
        <v>11.8</v>
      </c>
      <c r="E61" s="239">
        <f t="shared" si="72"/>
        <v>2.0230000000000001</v>
      </c>
      <c r="F61" s="232">
        <f t="shared" si="77"/>
        <v>17.14406779661017</v>
      </c>
      <c r="G61" s="232">
        <f t="shared" si="73"/>
        <v>13.715254237288136</v>
      </c>
      <c r="H61" s="232">
        <f t="shared" si="74"/>
        <v>8.5720338983050848</v>
      </c>
      <c r="I61" s="232">
        <f t="shared" si="78"/>
        <v>8</v>
      </c>
      <c r="J61" s="233">
        <f t="shared" si="78"/>
        <v>0</v>
      </c>
      <c r="K61" s="228" t="str">
        <f>D61&amp;-3</f>
        <v>11.8-3</v>
      </c>
      <c r="L61" s="232">
        <f t="shared" si="79"/>
        <v>0.2</v>
      </c>
      <c r="M61" s="235">
        <v>60</v>
      </c>
      <c r="N61" s="232">
        <f t="shared" si="80"/>
        <v>150</v>
      </c>
      <c r="O61" s="232">
        <f t="shared" si="80"/>
        <v>160</v>
      </c>
      <c r="P61" s="232">
        <f t="shared" si="80"/>
        <v>270</v>
      </c>
      <c r="Q61" s="230">
        <f t="shared" si="80"/>
        <v>0.32</v>
      </c>
    </row>
    <row r="62" spans="1:17" x14ac:dyDescent="0.25">
      <c r="A62" s="229">
        <f t="shared" ref="A62:B62" si="82">A61+1</f>
        <v>1792</v>
      </c>
      <c r="B62" s="230">
        <f t="shared" si="82"/>
        <v>52</v>
      </c>
      <c r="C62" s="229" t="str">
        <f t="shared" si="4"/>
        <v>21dA12+000_090_04</v>
      </c>
      <c r="D62" s="231">
        <f t="shared" si="76"/>
        <v>11.8</v>
      </c>
      <c r="E62" s="239">
        <f t="shared" si="72"/>
        <v>2.0230000000000001</v>
      </c>
      <c r="F62" s="232">
        <f t="shared" si="77"/>
        <v>17.14406779661017</v>
      </c>
      <c r="G62" s="232">
        <f t="shared" si="73"/>
        <v>13.715254237288136</v>
      </c>
      <c r="H62" s="232">
        <f t="shared" si="74"/>
        <v>8.5720338983050848</v>
      </c>
      <c r="I62" s="232">
        <f t="shared" si="78"/>
        <v>8</v>
      </c>
      <c r="J62" s="233">
        <f t="shared" si="78"/>
        <v>0</v>
      </c>
      <c r="K62" s="228" t="str">
        <f>D62&amp;-4</f>
        <v>11.8-4</v>
      </c>
      <c r="L62" s="232">
        <f t="shared" si="79"/>
        <v>0.2</v>
      </c>
      <c r="M62" s="235">
        <v>90</v>
      </c>
      <c r="N62" s="232">
        <f t="shared" si="80"/>
        <v>150</v>
      </c>
      <c r="O62" s="232">
        <f t="shared" si="80"/>
        <v>160</v>
      </c>
      <c r="P62" s="232">
        <f t="shared" si="80"/>
        <v>270</v>
      </c>
      <c r="Q62" s="230">
        <f t="shared" si="80"/>
        <v>0.32</v>
      </c>
    </row>
    <row r="63" spans="1:17" x14ac:dyDescent="0.25">
      <c r="A63" s="229">
        <f t="shared" ref="A63:B63" si="83">A62+1</f>
        <v>1793</v>
      </c>
      <c r="B63" s="230">
        <f t="shared" si="83"/>
        <v>53</v>
      </c>
      <c r="C63" s="229" t="str">
        <f t="shared" si="4"/>
        <v>21dA12+000_000_05</v>
      </c>
      <c r="D63" s="231">
        <f t="shared" si="76"/>
        <v>11.8</v>
      </c>
      <c r="E63" s="239">
        <f t="shared" si="72"/>
        <v>2.0230000000000001</v>
      </c>
      <c r="F63" s="232">
        <f t="shared" si="77"/>
        <v>17.14406779661017</v>
      </c>
      <c r="G63" s="232">
        <f t="shared" si="73"/>
        <v>13.715254237288136</v>
      </c>
      <c r="H63" s="232">
        <f t="shared" si="74"/>
        <v>8.5720338983050848</v>
      </c>
      <c r="I63" s="232">
        <f t="shared" si="78"/>
        <v>8</v>
      </c>
      <c r="J63" s="233">
        <f t="shared" si="78"/>
        <v>0</v>
      </c>
      <c r="K63" s="228" t="str">
        <f>D63&amp;-5</f>
        <v>11.8-5</v>
      </c>
      <c r="L63" s="232">
        <f t="shared" si="79"/>
        <v>0.2</v>
      </c>
      <c r="M63" s="235">
        <v>0</v>
      </c>
      <c r="N63" s="232">
        <f t="shared" si="80"/>
        <v>150</v>
      </c>
      <c r="O63" s="232">
        <f t="shared" si="80"/>
        <v>160</v>
      </c>
      <c r="P63" s="232">
        <f t="shared" si="80"/>
        <v>270</v>
      </c>
      <c r="Q63" s="230">
        <f t="shared" si="80"/>
        <v>0.32</v>
      </c>
    </row>
    <row r="64" spans="1:17" x14ac:dyDescent="0.25">
      <c r="A64" s="229">
        <f t="shared" ref="A64:B64" si="84">A63+1</f>
        <v>1794</v>
      </c>
      <c r="B64" s="230">
        <f t="shared" si="84"/>
        <v>54</v>
      </c>
      <c r="C64" s="229" t="str">
        <f t="shared" si="4"/>
        <v>21dA12+000_030_06</v>
      </c>
      <c r="D64" s="231">
        <f t="shared" si="76"/>
        <v>11.8</v>
      </c>
      <c r="E64" s="239">
        <f t="shared" si="72"/>
        <v>2.0230000000000001</v>
      </c>
      <c r="F64" s="232">
        <f t="shared" si="77"/>
        <v>17.14406779661017</v>
      </c>
      <c r="G64" s="232">
        <f t="shared" si="73"/>
        <v>13.715254237288136</v>
      </c>
      <c r="H64" s="232">
        <f t="shared" si="74"/>
        <v>8.5720338983050848</v>
      </c>
      <c r="I64" s="232">
        <f t="shared" si="78"/>
        <v>8</v>
      </c>
      <c r="J64" s="233">
        <f t="shared" si="78"/>
        <v>0</v>
      </c>
      <c r="K64" s="228" t="str">
        <f>D64&amp;-6</f>
        <v>11.8-6</v>
      </c>
      <c r="L64" s="232">
        <f t="shared" si="79"/>
        <v>0.2</v>
      </c>
      <c r="M64" s="235">
        <v>30</v>
      </c>
      <c r="N64" s="232">
        <f t="shared" si="80"/>
        <v>150</v>
      </c>
      <c r="O64" s="232">
        <f t="shared" si="80"/>
        <v>160</v>
      </c>
      <c r="P64" s="232">
        <f t="shared" si="80"/>
        <v>270</v>
      </c>
      <c r="Q64" s="230">
        <f t="shared" si="80"/>
        <v>0.32</v>
      </c>
    </row>
    <row r="65" spans="1:17" x14ac:dyDescent="0.25">
      <c r="A65" s="229">
        <f t="shared" ref="A65:B65" si="85">A64+1</f>
        <v>1795</v>
      </c>
      <c r="B65" s="230">
        <f t="shared" si="85"/>
        <v>55</v>
      </c>
      <c r="C65" s="229" t="str">
        <f t="shared" si="4"/>
        <v>21dA12+000_060_07</v>
      </c>
      <c r="D65" s="231">
        <f t="shared" si="76"/>
        <v>11.8</v>
      </c>
      <c r="E65" s="239">
        <f t="shared" si="72"/>
        <v>2.0230000000000001</v>
      </c>
      <c r="F65" s="232">
        <f t="shared" si="77"/>
        <v>17.14406779661017</v>
      </c>
      <c r="G65" s="232">
        <f t="shared" si="73"/>
        <v>13.715254237288136</v>
      </c>
      <c r="H65" s="232">
        <f t="shared" si="74"/>
        <v>8.5720338983050848</v>
      </c>
      <c r="I65" s="232">
        <f t="shared" si="78"/>
        <v>8</v>
      </c>
      <c r="J65" s="233">
        <f t="shared" si="78"/>
        <v>0</v>
      </c>
      <c r="K65" s="228" t="str">
        <f>D65&amp;-7</f>
        <v>11.8-7</v>
      </c>
      <c r="L65" s="232">
        <f t="shared" si="79"/>
        <v>0.2</v>
      </c>
      <c r="M65" s="235">
        <v>60</v>
      </c>
      <c r="N65" s="232">
        <f t="shared" si="80"/>
        <v>150</v>
      </c>
      <c r="O65" s="232">
        <f t="shared" si="80"/>
        <v>160</v>
      </c>
      <c r="P65" s="232">
        <f t="shared" si="80"/>
        <v>270</v>
      </c>
      <c r="Q65" s="230">
        <f t="shared" si="80"/>
        <v>0.32</v>
      </c>
    </row>
    <row r="66" spans="1:17" x14ac:dyDescent="0.25">
      <c r="A66" s="229">
        <f t="shared" ref="A66:B66" si="86">A65+1</f>
        <v>1796</v>
      </c>
      <c r="B66" s="230">
        <f t="shared" si="86"/>
        <v>56</v>
      </c>
      <c r="C66" s="229" t="str">
        <f t="shared" si="4"/>
        <v>21dA12+000_090_08</v>
      </c>
      <c r="D66" s="231">
        <f t="shared" si="76"/>
        <v>11.8</v>
      </c>
      <c r="E66" s="239">
        <f t="shared" si="72"/>
        <v>2.0230000000000001</v>
      </c>
      <c r="F66" s="232">
        <f t="shared" si="77"/>
        <v>17.14406779661017</v>
      </c>
      <c r="G66" s="232">
        <f t="shared" si="73"/>
        <v>13.715254237288136</v>
      </c>
      <c r="H66" s="232">
        <f t="shared" si="74"/>
        <v>8.5720338983050848</v>
      </c>
      <c r="I66" s="232">
        <f t="shared" si="78"/>
        <v>8</v>
      </c>
      <c r="J66" s="233">
        <f t="shared" si="78"/>
        <v>0</v>
      </c>
      <c r="K66" s="228" t="str">
        <f>D66&amp;-8</f>
        <v>11.8-8</v>
      </c>
      <c r="L66" s="232">
        <f t="shared" si="79"/>
        <v>0.2</v>
      </c>
      <c r="M66" s="235">
        <v>90</v>
      </c>
      <c r="N66" s="232">
        <f t="shared" si="80"/>
        <v>150</v>
      </c>
      <c r="O66" s="232">
        <f t="shared" si="80"/>
        <v>160</v>
      </c>
      <c r="P66" s="232">
        <f t="shared" si="80"/>
        <v>270</v>
      </c>
      <c r="Q66" s="230">
        <f t="shared" si="80"/>
        <v>0.32</v>
      </c>
    </row>
    <row r="67" spans="1:17" x14ac:dyDescent="0.25">
      <c r="A67" s="229">
        <f t="shared" ref="A67:B67" si="87">A66+1</f>
        <v>1797</v>
      </c>
      <c r="B67" s="230">
        <f t="shared" si="87"/>
        <v>57</v>
      </c>
      <c r="C67" s="229" t="str">
        <f t="shared" si="4"/>
        <v>21dA12+000_000_09</v>
      </c>
      <c r="D67" s="231">
        <f t="shared" si="76"/>
        <v>11.8</v>
      </c>
      <c r="E67" s="239">
        <f t="shared" si="72"/>
        <v>2.0230000000000001</v>
      </c>
      <c r="F67" s="232">
        <f t="shared" si="77"/>
        <v>17.14406779661017</v>
      </c>
      <c r="G67" s="232">
        <f t="shared" si="73"/>
        <v>13.715254237288136</v>
      </c>
      <c r="H67" s="232">
        <f t="shared" si="74"/>
        <v>8.5720338983050848</v>
      </c>
      <c r="I67" s="232">
        <f t="shared" si="78"/>
        <v>8</v>
      </c>
      <c r="J67" s="233">
        <f t="shared" si="78"/>
        <v>0</v>
      </c>
      <c r="K67" s="228" t="str">
        <f>D67&amp;-9</f>
        <v>11.8-9</v>
      </c>
      <c r="L67" s="232">
        <f t="shared" si="79"/>
        <v>0.2</v>
      </c>
      <c r="M67" s="235">
        <v>0</v>
      </c>
      <c r="N67" s="232">
        <f t="shared" si="80"/>
        <v>150</v>
      </c>
      <c r="O67" s="232">
        <f t="shared" si="80"/>
        <v>160</v>
      </c>
      <c r="P67" s="232">
        <f t="shared" si="80"/>
        <v>270</v>
      </c>
      <c r="Q67" s="230">
        <f t="shared" si="80"/>
        <v>0.32</v>
      </c>
    </row>
    <row r="68" spans="1:17" x14ac:dyDescent="0.25">
      <c r="A68" s="229">
        <f t="shared" ref="A68:B68" si="88">A67+1</f>
        <v>1798</v>
      </c>
      <c r="B68" s="230">
        <f t="shared" si="88"/>
        <v>58</v>
      </c>
      <c r="C68" s="229" t="str">
        <f t="shared" si="4"/>
        <v>21dA12+000_030_10</v>
      </c>
      <c r="D68" s="231">
        <f t="shared" si="76"/>
        <v>11.8</v>
      </c>
      <c r="E68" s="239">
        <f t="shared" si="72"/>
        <v>2.0230000000000001</v>
      </c>
      <c r="F68" s="232">
        <f t="shared" si="77"/>
        <v>17.14406779661017</v>
      </c>
      <c r="G68" s="232">
        <f t="shared" si="73"/>
        <v>13.715254237288136</v>
      </c>
      <c r="H68" s="232">
        <f t="shared" si="74"/>
        <v>8.5720338983050848</v>
      </c>
      <c r="I68" s="232">
        <f t="shared" si="78"/>
        <v>8</v>
      </c>
      <c r="J68" s="233">
        <f t="shared" si="78"/>
        <v>0</v>
      </c>
      <c r="K68" s="228" t="str">
        <f>D68&amp;-10</f>
        <v>11.8-10</v>
      </c>
      <c r="L68" s="232">
        <f t="shared" si="79"/>
        <v>0.2</v>
      </c>
      <c r="M68" s="235">
        <v>30</v>
      </c>
      <c r="N68" s="232">
        <f t="shared" si="80"/>
        <v>150</v>
      </c>
      <c r="O68" s="232">
        <f t="shared" si="80"/>
        <v>160</v>
      </c>
      <c r="P68" s="232">
        <f t="shared" si="80"/>
        <v>270</v>
      </c>
      <c r="Q68" s="230">
        <f t="shared" si="80"/>
        <v>0.32</v>
      </c>
    </row>
    <row r="69" spans="1:17" x14ac:dyDescent="0.25">
      <c r="A69" s="229">
        <f t="shared" ref="A69:B69" si="89">A68+1</f>
        <v>1799</v>
      </c>
      <c r="B69" s="230">
        <f t="shared" si="89"/>
        <v>59</v>
      </c>
      <c r="C69" s="229" t="str">
        <f t="shared" si="4"/>
        <v>21dA12+000_060_11</v>
      </c>
      <c r="D69" s="231">
        <f t="shared" si="76"/>
        <v>11.8</v>
      </c>
      <c r="E69" s="239">
        <f t="shared" si="72"/>
        <v>2.0230000000000001</v>
      </c>
      <c r="F69" s="232">
        <f t="shared" si="77"/>
        <v>17.14406779661017</v>
      </c>
      <c r="G69" s="232">
        <f t="shared" si="73"/>
        <v>13.715254237288136</v>
      </c>
      <c r="H69" s="232">
        <f t="shared" si="74"/>
        <v>8.5720338983050848</v>
      </c>
      <c r="I69" s="232">
        <f t="shared" si="78"/>
        <v>8</v>
      </c>
      <c r="J69" s="233">
        <f t="shared" si="78"/>
        <v>0</v>
      </c>
      <c r="K69" s="228" t="str">
        <f>D69&amp;-11</f>
        <v>11.8-11</v>
      </c>
      <c r="L69" s="232">
        <f t="shared" si="79"/>
        <v>0.2</v>
      </c>
      <c r="M69" s="235">
        <v>60</v>
      </c>
      <c r="N69" s="232">
        <f t="shared" si="80"/>
        <v>150</v>
      </c>
      <c r="O69" s="232">
        <f t="shared" si="80"/>
        <v>160</v>
      </c>
      <c r="P69" s="232">
        <f t="shared" si="80"/>
        <v>270</v>
      </c>
      <c r="Q69" s="230">
        <f t="shared" si="80"/>
        <v>0.32</v>
      </c>
    </row>
    <row r="70" spans="1:17" x14ac:dyDescent="0.25">
      <c r="A70" s="229">
        <f t="shared" ref="A70:B70" si="90">A69+1</f>
        <v>1800</v>
      </c>
      <c r="B70" s="230">
        <f t="shared" si="90"/>
        <v>60</v>
      </c>
      <c r="C70" s="229" t="str">
        <f t="shared" si="4"/>
        <v>21dA12+000_090_12</v>
      </c>
      <c r="D70" s="231">
        <f t="shared" si="76"/>
        <v>11.8</v>
      </c>
      <c r="E70" s="239">
        <f t="shared" si="72"/>
        <v>2.0230000000000001</v>
      </c>
      <c r="F70" s="232">
        <f t="shared" si="77"/>
        <v>17.14406779661017</v>
      </c>
      <c r="G70" s="232">
        <f t="shared" si="73"/>
        <v>13.715254237288136</v>
      </c>
      <c r="H70" s="232">
        <f t="shared" si="74"/>
        <v>8.5720338983050848</v>
      </c>
      <c r="I70" s="232">
        <f t="shared" si="78"/>
        <v>8</v>
      </c>
      <c r="J70" s="233">
        <f t="shared" si="78"/>
        <v>0</v>
      </c>
      <c r="K70" s="228" t="str">
        <f>D70&amp;-12</f>
        <v>11.8-12</v>
      </c>
      <c r="L70" s="232">
        <f t="shared" si="79"/>
        <v>0.2</v>
      </c>
      <c r="M70" s="235">
        <v>90</v>
      </c>
      <c r="N70" s="232">
        <f t="shared" si="80"/>
        <v>150</v>
      </c>
      <c r="O70" s="232">
        <f t="shared" si="80"/>
        <v>160</v>
      </c>
      <c r="P70" s="232">
        <f t="shared" si="80"/>
        <v>270</v>
      </c>
      <c r="Q70" s="230">
        <f t="shared" si="80"/>
        <v>0.32</v>
      </c>
    </row>
    <row r="71" spans="1:17" x14ac:dyDescent="0.25">
      <c r="A71" s="229">
        <f t="shared" ref="A71:B71" si="91">A70+1</f>
        <v>1801</v>
      </c>
      <c r="B71" s="230">
        <f t="shared" si="91"/>
        <v>61</v>
      </c>
      <c r="C71" s="229" t="str">
        <f t="shared" si="4"/>
        <v>21dB12+000_000_01</v>
      </c>
      <c r="D71" s="231">
        <f t="shared" si="76"/>
        <v>11.8</v>
      </c>
      <c r="E71" s="239">
        <f t="shared" si="72"/>
        <v>2.0230000000000001</v>
      </c>
      <c r="F71" s="232">
        <f t="shared" si="77"/>
        <v>17.14406779661017</v>
      </c>
      <c r="G71" s="232">
        <f t="shared" ref="G71:G82" si="92">m_ty*F71</f>
        <v>13.715254237288136</v>
      </c>
      <c r="H71" s="232">
        <f t="shared" ref="H71:H82" si="93">m_tz*F71</f>
        <v>8.5720338983050848</v>
      </c>
      <c r="I71" s="232">
        <f t="shared" si="78"/>
        <v>8</v>
      </c>
      <c r="J71" s="233">
        <f t="shared" si="78"/>
        <v>0</v>
      </c>
      <c r="K71" s="228" t="str">
        <f>D71&amp;-1</f>
        <v>11.8-1</v>
      </c>
      <c r="L71" s="232">
        <f t="shared" si="79"/>
        <v>0.2</v>
      </c>
      <c r="M71" s="235">
        <v>0</v>
      </c>
      <c r="N71" s="232">
        <f t="shared" si="80"/>
        <v>150</v>
      </c>
      <c r="O71" s="232">
        <f t="shared" si="80"/>
        <v>160</v>
      </c>
      <c r="P71" s="232">
        <f t="shared" si="80"/>
        <v>270</v>
      </c>
      <c r="Q71" s="230">
        <f>-yaw_runaway</f>
        <v>-0.32</v>
      </c>
    </row>
    <row r="72" spans="1:17" x14ac:dyDescent="0.25">
      <c r="A72" s="229">
        <f t="shared" ref="A72:B72" si="94">A71+1</f>
        <v>1802</v>
      </c>
      <c r="B72" s="230">
        <f t="shared" si="94"/>
        <v>62</v>
      </c>
      <c r="C72" s="229" t="str">
        <f t="shared" si="4"/>
        <v>21dB12+000_030_02</v>
      </c>
      <c r="D72" s="231">
        <f t="shared" si="76"/>
        <v>11.8</v>
      </c>
      <c r="E72" s="239">
        <f t="shared" si="72"/>
        <v>2.0230000000000001</v>
      </c>
      <c r="F72" s="232">
        <f t="shared" si="77"/>
        <v>17.14406779661017</v>
      </c>
      <c r="G72" s="232">
        <f t="shared" si="92"/>
        <v>13.715254237288136</v>
      </c>
      <c r="H72" s="232">
        <f t="shared" si="93"/>
        <v>8.5720338983050848</v>
      </c>
      <c r="I72" s="232">
        <f t="shared" si="78"/>
        <v>8</v>
      </c>
      <c r="J72" s="233">
        <f t="shared" si="78"/>
        <v>0</v>
      </c>
      <c r="K72" s="228" t="str">
        <f>D72&amp;-2</f>
        <v>11.8-2</v>
      </c>
      <c r="L72" s="232">
        <f t="shared" si="79"/>
        <v>0.2</v>
      </c>
      <c r="M72" s="235">
        <v>30</v>
      </c>
      <c r="N72" s="232">
        <f t="shared" si="80"/>
        <v>150</v>
      </c>
      <c r="O72" s="232">
        <f t="shared" si="80"/>
        <v>160</v>
      </c>
      <c r="P72" s="232">
        <f t="shared" si="80"/>
        <v>270</v>
      </c>
      <c r="Q72" s="230">
        <f>Q71</f>
        <v>-0.32</v>
      </c>
    </row>
    <row r="73" spans="1:17" x14ac:dyDescent="0.25">
      <c r="A73" s="229">
        <f t="shared" ref="A73:B73" si="95">A72+1</f>
        <v>1803</v>
      </c>
      <c r="B73" s="230">
        <f t="shared" si="95"/>
        <v>63</v>
      </c>
      <c r="C73" s="229" t="str">
        <f t="shared" si="4"/>
        <v>21dB12+000_060_03</v>
      </c>
      <c r="D73" s="231">
        <f t="shared" si="76"/>
        <v>11.8</v>
      </c>
      <c r="E73" s="239">
        <f t="shared" si="72"/>
        <v>2.0230000000000001</v>
      </c>
      <c r="F73" s="232">
        <f t="shared" si="77"/>
        <v>17.14406779661017</v>
      </c>
      <c r="G73" s="232">
        <f t="shared" si="92"/>
        <v>13.715254237288136</v>
      </c>
      <c r="H73" s="232">
        <f t="shared" si="93"/>
        <v>8.5720338983050848</v>
      </c>
      <c r="I73" s="232">
        <f t="shared" si="78"/>
        <v>8</v>
      </c>
      <c r="J73" s="233">
        <f t="shared" si="78"/>
        <v>0</v>
      </c>
      <c r="K73" s="228" t="str">
        <f>D73&amp;-3</f>
        <v>11.8-3</v>
      </c>
      <c r="L73" s="232">
        <f t="shared" si="79"/>
        <v>0.2</v>
      </c>
      <c r="M73" s="235">
        <v>60</v>
      </c>
      <c r="N73" s="232">
        <f t="shared" si="80"/>
        <v>150</v>
      </c>
      <c r="O73" s="232">
        <f t="shared" si="80"/>
        <v>160</v>
      </c>
      <c r="P73" s="232">
        <f t="shared" si="80"/>
        <v>270</v>
      </c>
      <c r="Q73" s="230">
        <f t="shared" si="80"/>
        <v>-0.32</v>
      </c>
    </row>
    <row r="74" spans="1:17" x14ac:dyDescent="0.25">
      <c r="A74" s="229">
        <f t="shared" ref="A74:B74" si="96">A73+1</f>
        <v>1804</v>
      </c>
      <c r="B74" s="230">
        <f t="shared" si="96"/>
        <v>64</v>
      </c>
      <c r="C74" s="229" t="str">
        <f t="shared" si="4"/>
        <v>21dB12+000_090_04</v>
      </c>
      <c r="D74" s="231">
        <f t="shared" si="76"/>
        <v>11.8</v>
      </c>
      <c r="E74" s="239">
        <f t="shared" si="72"/>
        <v>2.0230000000000001</v>
      </c>
      <c r="F74" s="232">
        <f t="shared" si="77"/>
        <v>17.14406779661017</v>
      </c>
      <c r="G74" s="232">
        <f t="shared" si="92"/>
        <v>13.715254237288136</v>
      </c>
      <c r="H74" s="232">
        <f t="shared" si="93"/>
        <v>8.5720338983050848</v>
      </c>
      <c r="I74" s="232">
        <f t="shared" si="78"/>
        <v>8</v>
      </c>
      <c r="J74" s="233">
        <f t="shared" si="78"/>
        <v>0</v>
      </c>
      <c r="K74" s="228" t="str">
        <f>D74&amp;-4</f>
        <v>11.8-4</v>
      </c>
      <c r="L74" s="232">
        <f t="shared" si="79"/>
        <v>0.2</v>
      </c>
      <c r="M74" s="235">
        <v>90</v>
      </c>
      <c r="N74" s="232">
        <f t="shared" si="80"/>
        <v>150</v>
      </c>
      <c r="O74" s="232">
        <f t="shared" si="80"/>
        <v>160</v>
      </c>
      <c r="P74" s="232">
        <f t="shared" si="80"/>
        <v>270</v>
      </c>
      <c r="Q74" s="230">
        <f t="shared" si="80"/>
        <v>-0.32</v>
      </c>
    </row>
    <row r="75" spans="1:17" x14ac:dyDescent="0.25">
      <c r="A75" s="229">
        <f t="shared" ref="A75:B75" si="97">A74+1</f>
        <v>1805</v>
      </c>
      <c r="B75" s="230">
        <f t="shared" si="97"/>
        <v>65</v>
      </c>
      <c r="C75" s="229" t="str">
        <f t="shared" si="4"/>
        <v>21dB12+000_000_05</v>
      </c>
      <c r="D75" s="231">
        <f t="shared" si="76"/>
        <v>11.8</v>
      </c>
      <c r="E75" s="239">
        <f t="shared" si="72"/>
        <v>2.0230000000000001</v>
      </c>
      <c r="F75" s="232">
        <f t="shared" si="77"/>
        <v>17.14406779661017</v>
      </c>
      <c r="G75" s="232">
        <f t="shared" si="92"/>
        <v>13.715254237288136</v>
      </c>
      <c r="H75" s="232">
        <f t="shared" si="93"/>
        <v>8.5720338983050848</v>
      </c>
      <c r="I75" s="232">
        <f t="shared" si="78"/>
        <v>8</v>
      </c>
      <c r="J75" s="233">
        <f t="shared" si="78"/>
        <v>0</v>
      </c>
      <c r="K75" s="228" t="str">
        <f>D75&amp;-5</f>
        <v>11.8-5</v>
      </c>
      <c r="L75" s="232">
        <f t="shared" si="79"/>
        <v>0.2</v>
      </c>
      <c r="M75" s="235">
        <v>0</v>
      </c>
      <c r="N75" s="232">
        <f t="shared" si="80"/>
        <v>150</v>
      </c>
      <c r="O75" s="232">
        <f t="shared" si="80"/>
        <v>160</v>
      </c>
      <c r="P75" s="232">
        <f t="shared" si="80"/>
        <v>270</v>
      </c>
      <c r="Q75" s="230">
        <f t="shared" si="80"/>
        <v>-0.32</v>
      </c>
    </row>
    <row r="76" spans="1:17" x14ac:dyDescent="0.25">
      <c r="A76" s="229">
        <f t="shared" ref="A76:B76" si="98">A75+1</f>
        <v>1806</v>
      </c>
      <c r="B76" s="230">
        <f t="shared" si="98"/>
        <v>66</v>
      </c>
      <c r="C76" s="229" t="str">
        <f t="shared" ref="C76:C130" si="99">TEXT(RIGHT($B$2,LEN($B$2)-3),"000")&amp;IF(Q76&gt;0,"A","B")&amp;TEXT(D76,"00")&amp;"+"&amp;IF(J76&lt;0,TEXT(360+J76,"000"),TEXT(J76,"000"))&amp;"_"&amp;TEXT(M76,"000")&amp;"_"&amp;TEXT(RIGHT(K76,LEN(K76)-FIND("-",K76)),"00")</f>
        <v>21dB12+000_030_06</v>
      </c>
      <c r="D76" s="231">
        <f t="shared" si="76"/>
        <v>11.8</v>
      </c>
      <c r="E76" s="239">
        <f t="shared" si="72"/>
        <v>2.0230000000000001</v>
      </c>
      <c r="F76" s="232">
        <f t="shared" si="77"/>
        <v>17.14406779661017</v>
      </c>
      <c r="G76" s="232">
        <f t="shared" si="92"/>
        <v>13.715254237288136</v>
      </c>
      <c r="H76" s="232">
        <f t="shared" si="93"/>
        <v>8.5720338983050848</v>
      </c>
      <c r="I76" s="232">
        <f t="shared" ref="I76:J83" si="100">I75</f>
        <v>8</v>
      </c>
      <c r="J76" s="233">
        <f t="shared" si="100"/>
        <v>0</v>
      </c>
      <c r="K76" s="228" t="str">
        <f>D76&amp;-6</f>
        <v>11.8-6</v>
      </c>
      <c r="L76" s="232">
        <f t="shared" si="79"/>
        <v>0.2</v>
      </c>
      <c r="M76" s="235">
        <v>30</v>
      </c>
      <c r="N76" s="232">
        <f t="shared" ref="N76:Q82" si="101">N75</f>
        <v>150</v>
      </c>
      <c r="O76" s="232">
        <f t="shared" si="101"/>
        <v>160</v>
      </c>
      <c r="P76" s="232">
        <f t="shared" si="101"/>
        <v>270</v>
      </c>
      <c r="Q76" s="230">
        <f t="shared" si="101"/>
        <v>-0.32</v>
      </c>
    </row>
    <row r="77" spans="1:17" x14ac:dyDescent="0.25">
      <c r="A77" s="229">
        <f t="shared" ref="A77:B77" si="102">A76+1</f>
        <v>1807</v>
      </c>
      <c r="B77" s="230">
        <f t="shared" si="102"/>
        <v>67</v>
      </c>
      <c r="C77" s="229" t="str">
        <f t="shared" si="99"/>
        <v>21dB12+000_060_07</v>
      </c>
      <c r="D77" s="231">
        <f t="shared" si="76"/>
        <v>11.8</v>
      </c>
      <c r="E77" s="239">
        <f t="shared" si="72"/>
        <v>2.0230000000000001</v>
      </c>
      <c r="F77" s="232">
        <f t="shared" si="77"/>
        <v>17.14406779661017</v>
      </c>
      <c r="G77" s="232">
        <f t="shared" si="92"/>
        <v>13.715254237288136</v>
      </c>
      <c r="H77" s="232">
        <f t="shared" si="93"/>
        <v>8.5720338983050848</v>
      </c>
      <c r="I77" s="232">
        <f t="shared" si="100"/>
        <v>8</v>
      </c>
      <c r="J77" s="233">
        <f t="shared" si="100"/>
        <v>0</v>
      </c>
      <c r="K77" s="228" t="str">
        <f>D77&amp;-7</f>
        <v>11.8-7</v>
      </c>
      <c r="L77" s="232">
        <f t="shared" si="79"/>
        <v>0.2</v>
      </c>
      <c r="M77" s="235">
        <v>60</v>
      </c>
      <c r="N77" s="232">
        <f t="shared" si="101"/>
        <v>150</v>
      </c>
      <c r="O77" s="232">
        <f t="shared" si="101"/>
        <v>160</v>
      </c>
      <c r="P77" s="232">
        <f t="shared" si="101"/>
        <v>270</v>
      </c>
      <c r="Q77" s="230">
        <f t="shared" si="101"/>
        <v>-0.32</v>
      </c>
    </row>
    <row r="78" spans="1:17" x14ac:dyDescent="0.25">
      <c r="A78" s="229">
        <f t="shared" ref="A78:B78" si="103">A77+1</f>
        <v>1808</v>
      </c>
      <c r="B78" s="230">
        <f t="shared" si="103"/>
        <v>68</v>
      </c>
      <c r="C78" s="229" t="str">
        <f t="shared" si="99"/>
        <v>21dB12+000_090_08</v>
      </c>
      <c r="D78" s="231">
        <f t="shared" si="76"/>
        <v>11.8</v>
      </c>
      <c r="E78" s="239">
        <f t="shared" si="72"/>
        <v>2.0230000000000001</v>
      </c>
      <c r="F78" s="232">
        <f t="shared" si="77"/>
        <v>17.14406779661017</v>
      </c>
      <c r="G78" s="232">
        <f t="shared" si="92"/>
        <v>13.715254237288136</v>
      </c>
      <c r="H78" s="232">
        <f t="shared" si="93"/>
        <v>8.5720338983050848</v>
      </c>
      <c r="I78" s="232">
        <f t="shared" si="100"/>
        <v>8</v>
      </c>
      <c r="J78" s="233">
        <f t="shared" si="100"/>
        <v>0</v>
      </c>
      <c r="K78" s="228" t="str">
        <f>D78&amp;-8</f>
        <v>11.8-8</v>
      </c>
      <c r="L78" s="232">
        <f t="shared" si="79"/>
        <v>0.2</v>
      </c>
      <c r="M78" s="235">
        <v>90</v>
      </c>
      <c r="N78" s="232">
        <f t="shared" si="101"/>
        <v>150</v>
      </c>
      <c r="O78" s="232">
        <f t="shared" si="101"/>
        <v>160</v>
      </c>
      <c r="P78" s="232">
        <f t="shared" si="101"/>
        <v>270</v>
      </c>
      <c r="Q78" s="230">
        <f t="shared" si="101"/>
        <v>-0.32</v>
      </c>
    </row>
    <row r="79" spans="1:17" x14ac:dyDescent="0.25">
      <c r="A79" s="229">
        <f t="shared" ref="A79:B79" si="104">A78+1</f>
        <v>1809</v>
      </c>
      <c r="B79" s="230">
        <f t="shared" si="104"/>
        <v>69</v>
      </c>
      <c r="C79" s="229" t="str">
        <f t="shared" si="99"/>
        <v>21dB12+000_000_09</v>
      </c>
      <c r="D79" s="231">
        <f t="shared" si="76"/>
        <v>11.8</v>
      </c>
      <c r="E79" s="239">
        <f t="shared" si="72"/>
        <v>2.0230000000000001</v>
      </c>
      <c r="F79" s="232">
        <f t="shared" si="77"/>
        <v>17.14406779661017</v>
      </c>
      <c r="G79" s="232">
        <f t="shared" si="92"/>
        <v>13.715254237288136</v>
      </c>
      <c r="H79" s="232">
        <f t="shared" si="93"/>
        <v>8.5720338983050848</v>
      </c>
      <c r="I79" s="232">
        <f t="shared" si="100"/>
        <v>8</v>
      </c>
      <c r="J79" s="233">
        <f t="shared" si="100"/>
        <v>0</v>
      </c>
      <c r="K79" s="228" t="str">
        <f>D79&amp;-9</f>
        <v>11.8-9</v>
      </c>
      <c r="L79" s="232">
        <f t="shared" si="79"/>
        <v>0.2</v>
      </c>
      <c r="M79" s="235">
        <v>0</v>
      </c>
      <c r="N79" s="232">
        <f t="shared" si="101"/>
        <v>150</v>
      </c>
      <c r="O79" s="232">
        <f t="shared" si="101"/>
        <v>160</v>
      </c>
      <c r="P79" s="232">
        <f t="shared" si="101"/>
        <v>270</v>
      </c>
      <c r="Q79" s="230">
        <f t="shared" si="101"/>
        <v>-0.32</v>
      </c>
    </row>
    <row r="80" spans="1:17" x14ac:dyDescent="0.25">
      <c r="A80" s="229">
        <f t="shared" ref="A80:B80" si="105">A79+1</f>
        <v>1810</v>
      </c>
      <c r="B80" s="230">
        <f t="shared" si="105"/>
        <v>70</v>
      </c>
      <c r="C80" s="229" t="str">
        <f t="shared" si="99"/>
        <v>21dB12+000_030_10</v>
      </c>
      <c r="D80" s="231">
        <f t="shared" si="76"/>
        <v>11.8</v>
      </c>
      <c r="E80" s="239">
        <f t="shared" si="72"/>
        <v>2.0230000000000001</v>
      </c>
      <c r="F80" s="232">
        <f t="shared" si="77"/>
        <v>17.14406779661017</v>
      </c>
      <c r="G80" s="232">
        <f t="shared" si="92"/>
        <v>13.715254237288136</v>
      </c>
      <c r="H80" s="232">
        <f t="shared" si="93"/>
        <v>8.5720338983050848</v>
      </c>
      <c r="I80" s="232">
        <f t="shared" si="100"/>
        <v>8</v>
      </c>
      <c r="J80" s="233">
        <f t="shared" si="100"/>
        <v>0</v>
      </c>
      <c r="K80" s="228" t="str">
        <f>D80&amp;-10</f>
        <v>11.8-10</v>
      </c>
      <c r="L80" s="232">
        <f t="shared" si="79"/>
        <v>0.2</v>
      </c>
      <c r="M80" s="235">
        <v>30</v>
      </c>
      <c r="N80" s="232">
        <f t="shared" si="101"/>
        <v>150</v>
      </c>
      <c r="O80" s="232">
        <f t="shared" si="101"/>
        <v>160</v>
      </c>
      <c r="P80" s="232">
        <f t="shared" si="101"/>
        <v>270</v>
      </c>
      <c r="Q80" s="230">
        <f t="shared" si="101"/>
        <v>-0.32</v>
      </c>
    </row>
    <row r="81" spans="1:17" x14ac:dyDescent="0.25">
      <c r="A81" s="229">
        <f t="shared" ref="A81:B81" si="106">A80+1</f>
        <v>1811</v>
      </c>
      <c r="B81" s="230">
        <f t="shared" si="106"/>
        <v>71</v>
      </c>
      <c r="C81" s="229" t="str">
        <f t="shared" si="99"/>
        <v>21dB12+000_060_11</v>
      </c>
      <c r="D81" s="231">
        <f>D80</f>
        <v>11.8</v>
      </c>
      <c r="E81" s="239">
        <f t="shared" si="72"/>
        <v>2.0230000000000001</v>
      </c>
      <c r="F81" s="232">
        <f>E81/D81*100</f>
        <v>17.14406779661017</v>
      </c>
      <c r="G81" s="232">
        <f t="shared" si="92"/>
        <v>13.715254237288136</v>
      </c>
      <c r="H81" s="232">
        <f t="shared" si="93"/>
        <v>8.5720338983050848</v>
      </c>
      <c r="I81" s="232">
        <f t="shared" si="100"/>
        <v>8</v>
      </c>
      <c r="J81" s="233">
        <f t="shared" si="100"/>
        <v>0</v>
      </c>
      <c r="K81" s="228" t="str">
        <f>D81&amp;-11</f>
        <v>11.8-11</v>
      </c>
      <c r="L81" s="232">
        <f t="shared" si="79"/>
        <v>0.2</v>
      </c>
      <c r="M81" s="235">
        <v>60</v>
      </c>
      <c r="N81" s="232">
        <f t="shared" si="101"/>
        <v>150</v>
      </c>
      <c r="O81" s="232">
        <f t="shared" si="101"/>
        <v>160</v>
      </c>
      <c r="P81" s="232">
        <f t="shared" si="101"/>
        <v>270</v>
      </c>
      <c r="Q81" s="230">
        <f t="shared" si="101"/>
        <v>-0.32</v>
      </c>
    </row>
    <row r="82" spans="1:17" x14ac:dyDescent="0.25">
      <c r="A82" s="229">
        <f t="shared" ref="A82:B82" si="107">A81+1</f>
        <v>1812</v>
      </c>
      <c r="B82" s="230">
        <f t="shared" si="107"/>
        <v>72</v>
      </c>
      <c r="C82" s="229" t="str">
        <f t="shared" si="99"/>
        <v>21dB12+000_090_12</v>
      </c>
      <c r="D82" s="231">
        <f>D81</f>
        <v>11.8</v>
      </c>
      <c r="E82" s="239">
        <f t="shared" si="72"/>
        <v>2.0230000000000001</v>
      </c>
      <c r="F82" s="232">
        <f>E82/D82*100</f>
        <v>17.14406779661017</v>
      </c>
      <c r="G82" s="232">
        <f t="shared" si="92"/>
        <v>13.715254237288136</v>
      </c>
      <c r="H82" s="232">
        <f t="shared" si="93"/>
        <v>8.5720338983050848</v>
      </c>
      <c r="I82" s="232">
        <f t="shared" si="100"/>
        <v>8</v>
      </c>
      <c r="J82" s="233">
        <f t="shared" si="100"/>
        <v>0</v>
      </c>
      <c r="K82" s="228" t="str">
        <f>D82&amp;-12</f>
        <v>11.8-12</v>
      </c>
      <c r="L82" s="232">
        <f t="shared" si="79"/>
        <v>0.2</v>
      </c>
      <c r="M82" s="235">
        <v>90</v>
      </c>
      <c r="N82" s="232">
        <f t="shared" si="101"/>
        <v>150</v>
      </c>
      <c r="O82" s="232">
        <f t="shared" si="101"/>
        <v>160</v>
      </c>
      <c r="P82" s="232">
        <f t="shared" si="101"/>
        <v>270</v>
      </c>
      <c r="Q82" s="230">
        <f t="shared" si="101"/>
        <v>-0.32</v>
      </c>
    </row>
    <row r="83" spans="1:17" x14ac:dyDescent="0.25">
      <c r="A83" s="229">
        <f t="shared" ref="A83:B83" si="108">A82+1</f>
        <v>1813</v>
      </c>
      <c r="B83" s="230">
        <f t="shared" si="108"/>
        <v>73</v>
      </c>
      <c r="C83" s="229" t="str">
        <f t="shared" si="99"/>
        <v>21dA20+000_000_01</v>
      </c>
      <c r="D83" s="231">
        <f>v_c</f>
        <v>20</v>
      </c>
      <c r="E83" s="239">
        <f t="shared" ref="E83:E106" si="109">I_ref*(0.75*D83+5.6)</f>
        <v>2.8840000000000003</v>
      </c>
      <c r="F83" s="232">
        <f>E83/D83*100</f>
        <v>14.420000000000002</v>
      </c>
      <c r="G83" s="232">
        <f t="shared" ref="G83:G90" si="110">m_ty*F83</f>
        <v>11.536000000000001</v>
      </c>
      <c r="H83" s="232">
        <f t="shared" ref="H83:H90" si="111">m_tz*F83</f>
        <v>7.2100000000000009</v>
      </c>
      <c r="I83" s="232">
        <f>inflow</f>
        <v>8</v>
      </c>
      <c r="J83" s="233">
        <f t="shared" si="100"/>
        <v>0</v>
      </c>
      <c r="K83" s="228" t="str">
        <f>D83&amp;-1</f>
        <v>20-1</v>
      </c>
      <c r="L83" s="232">
        <f>alpha_n</f>
        <v>0.2</v>
      </c>
      <c r="M83" s="235">
        <v>0</v>
      </c>
      <c r="N83" s="232">
        <f>t_out</f>
        <v>150</v>
      </c>
      <c r="O83" s="232">
        <f>trig_t</f>
        <v>160</v>
      </c>
      <c r="P83" s="232">
        <f>N83+2*T_s2</f>
        <v>270</v>
      </c>
      <c r="Q83" s="230">
        <f>yaw_runaway</f>
        <v>0.32</v>
      </c>
    </row>
    <row r="84" spans="1:17" x14ac:dyDescent="0.25">
      <c r="A84" s="229">
        <f t="shared" ref="A84:B84" si="112">A83+1</f>
        <v>1814</v>
      </c>
      <c r="B84" s="230">
        <f t="shared" si="112"/>
        <v>74</v>
      </c>
      <c r="C84" s="229" t="str">
        <f t="shared" si="99"/>
        <v>21dA20+000_030_02</v>
      </c>
      <c r="D84" s="231">
        <f t="shared" ref="D84:D104" si="113">D83</f>
        <v>20</v>
      </c>
      <c r="E84" s="239">
        <f t="shared" si="109"/>
        <v>2.8840000000000003</v>
      </c>
      <c r="F84" s="232">
        <f t="shared" ref="F84:F104" si="114">E84/D84*100</f>
        <v>14.420000000000002</v>
      </c>
      <c r="G84" s="232">
        <f t="shared" si="110"/>
        <v>11.536000000000001</v>
      </c>
      <c r="H84" s="232">
        <f t="shared" si="111"/>
        <v>7.2100000000000009</v>
      </c>
      <c r="I84" s="232">
        <f t="shared" ref="I84:J99" si="115">I83</f>
        <v>8</v>
      </c>
      <c r="J84" s="233">
        <f t="shared" si="115"/>
        <v>0</v>
      </c>
      <c r="K84" s="228" t="str">
        <f>D84&amp;-2</f>
        <v>20-2</v>
      </c>
      <c r="L84" s="232">
        <f t="shared" ref="L84:L130" si="116">L83</f>
        <v>0.2</v>
      </c>
      <c r="M84" s="235">
        <v>30</v>
      </c>
      <c r="N84" s="232">
        <f t="shared" ref="N84:Q99" si="117">N83</f>
        <v>150</v>
      </c>
      <c r="O84" s="232">
        <f t="shared" si="117"/>
        <v>160</v>
      </c>
      <c r="P84" s="232">
        <f t="shared" si="117"/>
        <v>270</v>
      </c>
      <c r="Q84" s="230">
        <f>Q83</f>
        <v>0.32</v>
      </c>
    </row>
    <row r="85" spans="1:17" x14ac:dyDescent="0.25">
      <c r="A85" s="229">
        <f t="shared" ref="A85:B85" si="118">A84+1</f>
        <v>1815</v>
      </c>
      <c r="B85" s="230">
        <f t="shared" si="118"/>
        <v>75</v>
      </c>
      <c r="C85" s="229" t="str">
        <f t="shared" si="99"/>
        <v>21dA20+000_060_03</v>
      </c>
      <c r="D85" s="231">
        <f t="shared" si="113"/>
        <v>20</v>
      </c>
      <c r="E85" s="239">
        <f t="shared" si="109"/>
        <v>2.8840000000000003</v>
      </c>
      <c r="F85" s="232">
        <f t="shared" si="114"/>
        <v>14.420000000000002</v>
      </c>
      <c r="G85" s="232">
        <f t="shared" si="110"/>
        <v>11.536000000000001</v>
      </c>
      <c r="H85" s="232">
        <f t="shared" si="111"/>
        <v>7.2100000000000009</v>
      </c>
      <c r="I85" s="232">
        <f t="shared" si="115"/>
        <v>8</v>
      </c>
      <c r="J85" s="233">
        <f t="shared" si="115"/>
        <v>0</v>
      </c>
      <c r="K85" s="228" t="str">
        <f>D85&amp;-3</f>
        <v>20-3</v>
      </c>
      <c r="L85" s="232">
        <f t="shared" si="116"/>
        <v>0.2</v>
      </c>
      <c r="M85" s="235">
        <v>60</v>
      </c>
      <c r="N85" s="232">
        <f t="shared" si="117"/>
        <v>150</v>
      </c>
      <c r="O85" s="232">
        <f t="shared" si="117"/>
        <v>160</v>
      </c>
      <c r="P85" s="232">
        <f t="shared" si="117"/>
        <v>270</v>
      </c>
      <c r="Q85" s="230">
        <f t="shared" si="117"/>
        <v>0.32</v>
      </c>
    </row>
    <row r="86" spans="1:17" x14ac:dyDescent="0.25">
      <c r="A86" s="229">
        <f t="shared" ref="A86:B86" si="119">A85+1</f>
        <v>1816</v>
      </c>
      <c r="B86" s="230">
        <f t="shared" si="119"/>
        <v>76</v>
      </c>
      <c r="C86" s="229" t="str">
        <f t="shared" si="99"/>
        <v>21dA20+000_090_04</v>
      </c>
      <c r="D86" s="231">
        <f t="shared" si="113"/>
        <v>20</v>
      </c>
      <c r="E86" s="239">
        <f t="shared" si="109"/>
        <v>2.8840000000000003</v>
      </c>
      <c r="F86" s="232">
        <f t="shared" si="114"/>
        <v>14.420000000000002</v>
      </c>
      <c r="G86" s="232">
        <f t="shared" si="110"/>
        <v>11.536000000000001</v>
      </c>
      <c r="H86" s="232">
        <f t="shared" si="111"/>
        <v>7.2100000000000009</v>
      </c>
      <c r="I86" s="232">
        <f t="shared" si="115"/>
        <v>8</v>
      </c>
      <c r="J86" s="233">
        <f t="shared" si="115"/>
        <v>0</v>
      </c>
      <c r="K86" s="228" t="str">
        <f>D86&amp;-4</f>
        <v>20-4</v>
      </c>
      <c r="L86" s="232">
        <f t="shared" si="116"/>
        <v>0.2</v>
      </c>
      <c r="M86" s="235">
        <v>90</v>
      </c>
      <c r="N86" s="232">
        <f t="shared" si="117"/>
        <v>150</v>
      </c>
      <c r="O86" s="232">
        <f t="shared" si="117"/>
        <v>160</v>
      </c>
      <c r="P86" s="232">
        <f t="shared" si="117"/>
        <v>270</v>
      </c>
      <c r="Q86" s="230">
        <f t="shared" si="117"/>
        <v>0.32</v>
      </c>
    </row>
    <row r="87" spans="1:17" x14ac:dyDescent="0.25">
      <c r="A87" s="229">
        <f t="shared" ref="A87:B87" si="120">A86+1</f>
        <v>1817</v>
      </c>
      <c r="B87" s="230">
        <f t="shared" si="120"/>
        <v>77</v>
      </c>
      <c r="C87" s="229" t="str">
        <f t="shared" si="99"/>
        <v>21dA20+000_000_05</v>
      </c>
      <c r="D87" s="231">
        <f t="shared" si="113"/>
        <v>20</v>
      </c>
      <c r="E87" s="239">
        <f t="shared" si="109"/>
        <v>2.8840000000000003</v>
      </c>
      <c r="F87" s="232">
        <f t="shared" si="114"/>
        <v>14.420000000000002</v>
      </c>
      <c r="G87" s="232">
        <f t="shared" si="110"/>
        <v>11.536000000000001</v>
      </c>
      <c r="H87" s="232">
        <f t="shared" si="111"/>
        <v>7.2100000000000009</v>
      </c>
      <c r="I87" s="232">
        <f t="shared" si="115"/>
        <v>8</v>
      </c>
      <c r="J87" s="233">
        <f t="shared" si="115"/>
        <v>0</v>
      </c>
      <c r="K87" s="228" t="str">
        <f>D87&amp;-5</f>
        <v>20-5</v>
      </c>
      <c r="L87" s="232">
        <f t="shared" si="116"/>
        <v>0.2</v>
      </c>
      <c r="M87" s="235">
        <v>0</v>
      </c>
      <c r="N87" s="232">
        <f t="shared" si="117"/>
        <v>150</v>
      </c>
      <c r="O87" s="232">
        <f t="shared" si="117"/>
        <v>160</v>
      </c>
      <c r="P87" s="232">
        <f t="shared" si="117"/>
        <v>270</v>
      </c>
      <c r="Q87" s="230">
        <f t="shared" si="117"/>
        <v>0.32</v>
      </c>
    </row>
    <row r="88" spans="1:17" x14ac:dyDescent="0.25">
      <c r="A88" s="229">
        <f t="shared" ref="A88:B88" si="121">A87+1</f>
        <v>1818</v>
      </c>
      <c r="B88" s="230">
        <f t="shared" si="121"/>
        <v>78</v>
      </c>
      <c r="C88" s="229" t="str">
        <f t="shared" si="99"/>
        <v>21dA20+000_030_06</v>
      </c>
      <c r="D88" s="231">
        <f t="shared" si="113"/>
        <v>20</v>
      </c>
      <c r="E88" s="239">
        <f t="shared" si="109"/>
        <v>2.8840000000000003</v>
      </c>
      <c r="F88" s="232">
        <f t="shared" si="114"/>
        <v>14.420000000000002</v>
      </c>
      <c r="G88" s="232">
        <f t="shared" si="110"/>
        <v>11.536000000000001</v>
      </c>
      <c r="H88" s="232">
        <f t="shared" si="111"/>
        <v>7.2100000000000009</v>
      </c>
      <c r="I88" s="232">
        <f t="shared" si="115"/>
        <v>8</v>
      </c>
      <c r="J88" s="233">
        <f t="shared" si="115"/>
        <v>0</v>
      </c>
      <c r="K88" s="228" t="str">
        <f>D88&amp;-6</f>
        <v>20-6</v>
      </c>
      <c r="L88" s="232">
        <f t="shared" si="116"/>
        <v>0.2</v>
      </c>
      <c r="M88" s="235">
        <v>30</v>
      </c>
      <c r="N88" s="232">
        <f t="shared" si="117"/>
        <v>150</v>
      </c>
      <c r="O88" s="232">
        <f t="shared" si="117"/>
        <v>160</v>
      </c>
      <c r="P88" s="232">
        <f t="shared" si="117"/>
        <v>270</v>
      </c>
      <c r="Q88" s="230">
        <f t="shared" si="117"/>
        <v>0.32</v>
      </c>
    </row>
    <row r="89" spans="1:17" x14ac:dyDescent="0.25">
      <c r="A89" s="229">
        <f t="shared" ref="A89:B89" si="122">A88+1</f>
        <v>1819</v>
      </c>
      <c r="B89" s="230">
        <f t="shared" si="122"/>
        <v>79</v>
      </c>
      <c r="C89" s="229" t="str">
        <f t="shared" si="99"/>
        <v>21dA20+000_060_07</v>
      </c>
      <c r="D89" s="231">
        <f t="shared" si="113"/>
        <v>20</v>
      </c>
      <c r="E89" s="239">
        <f t="shared" si="109"/>
        <v>2.8840000000000003</v>
      </c>
      <c r="F89" s="232">
        <f t="shared" si="114"/>
        <v>14.420000000000002</v>
      </c>
      <c r="G89" s="232">
        <f t="shared" si="110"/>
        <v>11.536000000000001</v>
      </c>
      <c r="H89" s="232">
        <f t="shared" si="111"/>
        <v>7.2100000000000009</v>
      </c>
      <c r="I89" s="232">
        <f t="shared" si="115"/>
        <v>8</v>
      </c>
      <c r="J89" s="233">
        <f t="shared" si="115"/>
        <v>0</v>
      </c>
      <c r="K89" s="228" t="str">
        <f>D89&amp;-7</f>
        <v>20-7</v>
      </c>
      <c r="L89" s="232">
        <f t="shared" si="116"/>
        <v>0.2</v>
      </c>
      <c r="M89" s="235">
        <v>60</v>
      </c>
      <c r="N89" s="232">
        <f t="shared" si="117"/>
        <v>150</v>
      </c>
      <c r="O89" s="232">
        <f t="shared" si="117"/>
        <v>160</v>
      </c>
      <c r="P89" s="232">
        <f t="shared" si="117"/>
        <v>270</v>
      </c>
      <c r="Q89" s="230">
        <f t="shared" si="117"/>
        <v>0.32</v>
      </c>
    </row>
    <row r="90" spans="1:17" x14ac:dyDescent="0.25">
      <c r="A90" s="229">
        <f t="shared" ref="A90:B90" si="123">A89+1</f>
        <v>1820</v>
      </c>
      <c r="B90" s="230">
        <f t="shared" si="123"/>
        <v>80</v>
      </c>
      <c r="C90" s="229" t="str">
        <f t="shared" si="99"/>
        <v>21dA20+000_090_08</v>
      </c>
      <c r="D90" s="231">
        <f t="shared" si="113"/>
        <v>20</v>
      </c>
      <c r="E90" s="239">
        <f t="shared" si="109"/>
        <v>2.8840000000000003</v>
      </c>
      <c r="F90" s="232">
        <f t="shared" si="114"/>
        <v>14.420000000000002</v>
      </c>
      <c r="G90" s="232">
        <f t="shared" si="110"/>
        <v>11.536000000000001</v>
      </c>
      <c r="H90" s="232">
        <f t="shared" si="111"/>
        <v>7.2100000000000009</v>
      </c>
      <c r="I90" s="232">
        <f t="shared" si="115"/>
        <v>8</v>
      </c>
      <c r="J90" s="233">
        <f t="shared" si="115"/>
        <v>0</v>
      </c>
      <c r="K90" s="228" t="str">
        <f>D90&amp;-8</f>
        <v>20-8</v>
      </c>
      <c r="L90" s="232">
        <f t="shared" si="116"/>
        <v>0.2</v>
      </c>
      <c r="M90" s="235">
        <v>90</v>
      </c>
      <c r="N90" s="232">
        <f t="shared" si="117"/>
        <v>150</v>
      </c>
      <c r="O90" s="232">
        <f t="shared" si="117"/>
        <v>160</v>
      </c>
      <c r="P90" s="232">
        <f t="shared" si="117"/>
        <v>270</v>
      </c>
      <c r="Q90" s="230">
        <f t="shared" si="117"/>
        <v>0.32</v>
      </c>
    </row>
    <row r="91" spans="1:17" x14ac:dyDescent="0.25">
      <c r="A91" s="229">
        <f t="shared" ref="A91:B91" si="124">A90+1</f>
        <v>1821</v>
      </c>
      <c r="B91" s="230">
        <f t="shared" si="124"/>
        <v>81</v>
      </c>
      <c r="C91" s="229" t="str">
        <f t="shared" si="99"/>
        <v>21dA20+000_000_09</v>
      </c>
      <c r="D91" s="231">
        <f t="shared" si="113"/>
        <v>20</v>
      </c>
      <c r="E91" s="239">
        <f t="shared" si="109"/>
        <v>2.8840000000000003</v>
      </c>
      <c r="F91" s="232">
        <f t="shared" si="114"/>
        <v>14.420000000000002</v>
      </c>
      <c r="G91" s="232">
        <f t="shared" ref="G91:G114" si="125">m_ty*F91</f>
        <v>11.536000000000001</v>
      </c>
      <c r="H91" s="232">
        <f t="shared" ref="H91:H114" si="126">m_tz*F91</f>
        <v>7.2100000000000009</v>
      </c>
      <c r="I91" s="232">
        <f t="shared" si="115"/>
        <v>8</v>
      </c>
      <c r="J91" s="233">
        <f t="shared" si="115"/>
        <v>0</v>
      </c>
      <c r="K91" s="228" t="str">
        <f>D91&amp;-9</f>
        <v>20-9</v>
      </c>
      <c r="L91" s="232">
        <f t="shared" si="116"/>
        <v>0.2</v>
      </c>
      <c r="M91" s="235">
        <v>0</v>
      </c>
      <c r="N91" s="232">
        <f t="shared" si="117"/>
        <v>150</v>
      </c>
      <c r="O91" s="232">
        <f t="shared" si="117"/>
        <v>160</v>
      </c>
      <c r="P91" s="232">
        <f t="shared" si="117"/>
        <v>270</v>
      </c>
      <c r="Q91" s="230">
        <f t="shared" si="117"/>
        <v>0.32</v>
      </c>
    </row>
    <row r="92" spans="1:17" x14ac:dyDescent="0.25">
      <c r="A92" s="229">
        <f t="shared" ref="A92:B92" si="127">A91+1</f>
        <v>1822</v>
      </c>
      <c r="B92" s="230">
        <f t="shared" si="127"/>
        <v>82</v>
      </c>
      <c r="C92" s="229" t="str">
        <f t="shared" si="99"/>
        <v>21dA20+000_030_10</v>
      </c>
      <c r="D92" s="231">
        <f t="shared" si="113"/>
        <v>20</v>
      </c>
      <c r="E92" s="239">
        <f t="shared" si="109"/>
        <v>2.8840000000000003</v>
      </c>
      <c r="F92" s="232">
        <f t="shared" si="114"/>
        <v>14.420000000000002</v>
      </c>
      <c r="G92" s="232">
        <f t="shared" si="125"/>
        <v>11.536000000000001</v>
      </c>
      <c r="H92" s="232">
        <f t="shared" si="126"/>
        <v>7.2100000000000009</v>
      </c>
      <c r="I92" s="232">
        <f t="shared" si="115"/>
        <v>8</v>
      </c>
      <c r="J92" s="233">
        <f t="shared" si="115"/>
        <v>0</v>
      </c>
      <c r="K92" s="228" t="str">
        <f>D92&amp;-10</f>
        <v>20-10</v>
      </c>
      <c r="L92" s="232">
        <f t="shared" si="116"/>
        <v>0.2</v>
      </c>
      <c r="M92" s="235">
        <v>30</v>
      </c>
      <c r="N92" s="232">
        <f t="shared" si="117"/>
        <v>150</v>
      </c>
      <c r="O92" s="232">
        <f t="shared" si="117"/>
        <v>160</v>
      </c>
      <c r="P92" s="232">
        <f t="shared" si="117"/>
        <v>270</v>
      </c>
      <c r="Q92" s="230">
        <f t="shared" si="117"/>
        <v>0.32</v>
      </c>
    </row>
    <row r="93" spans="1:17" x14ac:dyDescent="0.25">
      <c r="A93" s="229">
        <f t="shared" ref="A93:B93" si="128">A92+1</f>
        <v>1823</v>
      </c>
      <c r="B93" s="230">
        <f t="shared" si="128"/>
        <v>83</v>
      </c>
      <c r="C93" s="229" t="str">
        <f t="shared" si="99"/>
        <v>21dA20+000_060_11</v>
      </c>
      <c r="D93" s="231">
        <f t="shared" si="113"/>
        <v>20</v>
      </c>
      <c r="E93" s="239">
        <f t="shared" si="109"/>
        <v>2.8840000000000003</v>
      </c>
      <c r="F93" s="232">
        <f t="shared" si="114"/>
        <v>14.420000000000002</v>
      </c>
      <c r="G93" s="232">
        <f t="shared" si="125"/>
        <v>11.536000000000001</v>
      </c>
      <c r="H93" s="232">
        <f t="shared" si="126"/>
        <v>7.2100000000000009</v>
      </c>
      <c r="I93" s="232">
        <f t="shared" si="115"/>
        <v>8</v>
      </c>
      <c r="J93" s="233">
        <f t="shared" si="115"/>
        <v>0</v>
      </c>
      <c r="K93" s="228" t="str">
        <f>D93&amp;-11</f>
        <v>20-11</v>
      </c>
      <c r="L93" s="232">
        <f t="shared" si="116"/>
        <v>0.2</v>
      </c>
      <c r="M93" s="235">
        <v>60</v>
      </c>
      <c r="N93" s="232">
        <f t="shared" si="117"/>
        <v>150</v>
      </c>
      <c r="O93" s="232">
        <f t="shared" si="117"/>
        <v>160</v>
      </c>
      <c r="P93" s="232">
        <f t="shared" si="117"/>
        <v>270</v>
      </c>
      <c r="Q93" s="230">
        <f t="shared" si="117"/>
        <v>0.32</v>
      </c>
    </row>
    <row r="94" spans="1:17" x14ac:dyDescent="0.25">
      <c r="A94" s="229">
        <f t="shared" ref="A94:B94" si="129">A93+1</f>
        <v>1824</v>
      </c>
      <c r="B94" s="230">
        <f t="shared" si="129"/>
        <v>84</v>
      </c>
      <c r="C94" s="229" t="str">
        <f t="shared" si="99"/>
        <v>21dA20+000_090_12</v>
      </c>
      <c r="D94" s="231">
        <f t="shared" si="113"/>
        <v>20</v>
      </c>
      <c r="E94" s="239">
        <f t="shared" si="109"/>
        <v>2.8840000000000003</v>
      </c>
      <c r="F94" s="232">
        <f t="shared" si="114"/>
        <v>14.420000000000002</v>
      </c>
      <c r="G94" s="232">
        <f t="shared" si="125"/>
        <v>11.536000000000001</v>
      </c>
      <c r="H94" s="232">
        <f t="shared" si="126"/>
        <v>7.2100000000000009</v>
      </c>
      <c r="I94" s="232">
        <f t="shared" si="115"/>
        <v>8</v>
      </c>
      <c r="J94" s="233">
        <f t="shared" si="115"/>
        <v>0</v>
      </c>
      <c r="K94" s="228" t="str">
        <f>D94&amp;-12</f>
        <v>20-12</v>
      </c>
      <c r="L94" s="232">
        <f t="shared" si="116"/>
        <v>0.2</v>
      </c>
      <c r="M94" s="235">
        <v>90</v>
      </c>
      <c r="N94" s="232">
        <f t="shared" si="117"/>
        <v>150</v>
      </c>
      <c r="O94" s="232">
        <f t="shared" si="117"/>
        <v>160</v>
      </c>
      <c r="P94" s="232">
        <f t="shared" si="117"/>
        <v>270</v>
      </c>
      <c r="Q94" s="230">
        <f t="shared" si="117"/>
        <v>0.32</v>
      </c>
    </row>
    <row r="95" spans="1:17" x14ac:dyDescent="0.25">
      <c r="A95" s="229">
        <f t="shared" ref="A95:B95" si="130">A94+1</f>
        <v>1825</v>
      </c>
      <c r="B95" s="230">
        <f t="shared" si="130"/>
        <v>85</v>
      </c>
      <c r="C95" s="229" t="str">
        <f t="shared" si="99"/>
        <v>21dB20+000_000_01</v>
      </c>
      <c r="D95" s="231">
        <f t="shared" si="113"/>
        <v>20</v>
      </c>
      <c r="E95" s="239">
        <f t="shared" si="109"/>
        <v>2.8840000000000003</v>
      </c>
      <c r="F95" s="232">
        <f t="shared" si="114"/>
        <v>14.420000000000002</v>
      </c>
      <c r="G95" s="232">
        <f t="shared" si="125"/>
        <v>11.536000000000001</v>
      </c>
      <c r="H95" s="232">
        <f t="shared" si="126"/>
        <v>7.2100000000000009</v>
      </c>
      <c r="I95" s="232">
        <f t="shared" si="115"/>
        <v>8</v>
      </c>
      <c r="J95" s="233">
        <f t="shared" si="115"/>
        <v>0</v>
      </c>
      <c r="K95" s="228" t="str">
        <f>D95&amp;-1</f>
        <v>20-1</v>
      </c>
      <c r="L95" s="232">
        <f t="shared" si="116"/>
        <v>0.2</v>
      </c>
      <c r="M95" s="235">
        <v>0</v>
      </c>
      <c r="N95" s="232">
        <f t="shared" si="117"/>
        <v>150</v>
      </c>
      <c r="O95" s="232">
        <f t="shared" si="117"/>
        <v>160</v>
      </c>
      <c r="P95" s="232">
        <f t="shared" si="117"/>
        <v>270</v>
      </c>
      <c r="Q95" s="230">
        <f>-yaw_runaway</f>
        <v>-0.32</v>
      </c>
    </row>
    <row r="96" spans="1:17" x14ac:dyDescent="0.25">
      <c r="A96" s="229">
        <f t="shared" ref="A96:B96" si="131">A95+1</f>
        <v>1826</v>
      </c>
      <c r="B96" s="230">
        <f t="shared" si="131"/>
        <v>86</v>
      </c>
      <c r="C96" s="229" t="str">
        <f t="shared" si="99"/>
        <v>21dB20+000_030_02</v>
      </c>
      <c r="D96" s="231">
        <f t="shared" si="113"/>
        <v>20</v>
      </c>
      <c r="E96" s="239">
        <f t="shared" si="109"/>
        <v>2.8840000000000003</v>
      </c>
      <c r="F96" s="232">
        <f t="shared" si="114"/>
        <v>14.420000000000002</v>
      </c>
      <c r="G96" s="232">
        <f t="shared" si="125"/>
        <v>11.536000000000001</v>
      </c>
      <c r="H96" s="232">
        <f t="shared" si="126"/>
        <v>7.2100000000000009</v>
      </c>
      <c r="I96" s="232">
        <f t="shared" si="115"/>
        <v>8</v>
      </c>
      <c r="J96" s="233">
        <f t="shared" si="115"/>
        <v>0</v>
      </c>
      <c r="K96" s="228" t="str">
        <f>D96&amp;-2</f>
        <v>20-2</v>
      </c>
      <c r="L96" s="232">
        <f t="shared" si="116"/>
        <v>0.2</v>
      </c>
      <c r="M96" s="235">
        <v>30</v>
      </c>
      <c r="N96" s="232">
        <f t="shared" si="117"/>
        <v>150</v>
      </c>
      <c r="O96" s="232">
        <f t="shared" si="117"/>
        <v>160</v>
      </c>
      <c r="P96" s="232">
        <f t="shared" si="117"/>
        <v>270</v>
      </c>
      <c r="Q96" s="230">
        <f>Q95</f>
        <v>-0.32</v>
      </c>
    </row>
    <row r="97" spans="1:17" x14ac:dyDescent="0.25">
      <c r="A97" s="229">
        <f t="shared" ref="A97:B97" si="132">A96+1</f>
        <v>1827</v>
      </c>
      <c r="B97" s="230">
        <f t="shared" si="132"/>
        <v>87</v>
      </c>
      <c r="C97" s="229" t="str">
        <f t="shared" si="99"/>
        <v>21dB20+000_060_03</v>
      </c>
      <c r="D97" s="231">
        <f t="shared" si="113"/>
        <v>20</v>
      </c>
      <c r="E97" s="239">
        <f t="shared" si="109"/>
        <v>2.8840000000000003</v>
      </c>
      <c r="F97" s="232">
        <f t="shared" si="114"/>
        <v>14.420000000000002</v>
      </c>
      <c r="G97" s="232">
        <f t="shared" si="125"/>
        <v>11.536000000000001</v>
      </c>
      <c r="H97" s="232">
        <f t="shared" si="126"/>
        <v>7.2100000000000009</v>
      </c>
      <c r="I97" s="232">
        <f t="shared" si="115"/>
        <v>8</v>
      </c>
      <c r="J97" s="233">
        <f t="shared" si="115"/>
        <v>0</v>
      </c>
      <c r="K97" s="228" t="str">
        <f>D97&amp;-3</f>
        <v>20-3</v>
      </c>
      <c r="L97" s="232">
        <f t="shared" si="116"/>
        <v>0.2</v>
      </c>
      <c r="M97" s="235">
        <v>60</v>
      </c>
      <c r="N97" s="232">
        <f t="shared" si="117"/>
        <v>150</v>
      </c>
      <c r="O97" s="232">
        <f t="shared" si="117"/>
        <v>160</v>
      </c>
      <c r="P97" s="232">
        <f t="shared" si="117"/>
        <v>270</v>
      </c>
      <c r="Q97" s="230">
        <f t="shared" si="117"/>
        <v>-0.32</v>
      </c>
    </row>
    <row r="98" spans="1:17" x14ac:dyDescent="0.25">
      <c r="A98" s="229">
        <f t="shared" ref="A98:B98" si="133">A97+1</f>
        <v>1828</v>
      </c>
      <c r="B98" s="230">
        <f t="shared" si="133"/>
        <v>88</v>
      </c>
      <c r="C98" s="229" t="str">
        <f t="shared" si="99"/>
        <v>21dB20+000_090_04</v>
      </c>
      <c r="D98" s="231">
        <f t="shared" si="113"/>
        <v>20</v>
      </c>
      <c r="E98" s="239">
        <f t="shared" si="109"/>
        <v>2.8840000000000003</v>
      </c>
      <c r="F98" s="232">
        <f t="shared" si="114"/>
        <v>14.420000000000002</v>
      </c>
      <c r="G98" s="232">
        <f t="shared" si="125"/>
        <v>11.536000000000001</v>
      </c>
      <c r="H98" s="232">
        <f t="shared" si="126"/>
        <v>7.2100000000000009</v>
      </c>
      <c r="I98" s="232">
        <f t="shared" si="115"/>
        <v>8</v>
      </c>
      <c r="J98" s="233">
        <f t="shared" si="115"/>
        <v>0</v>
      </c>
      <c r="K98" s="228" t="str">
        <f>D98&amp;-4</f>
        <v>20-4</v>
      </c>
      <c r="L98" s="232">
        <f t="shared" si="116"/>
        <v>0.2</v>
      </c>
      <c r="M98" s="235">
        <v>90</v>
      </c>
      <c r="N98" s="232">
        <f t="shared" si="117"/>
        <v>150</v>
      </c>
      <c r="O98" s="232">
        <f t="shared" si="117"/>
        <v>160</v>
      </c>
      <c r="P98" s="232">
        <f t="shared" si="117"/>
        <v>270</v>
      </c>
      <c r="Q98" s="230">
        <f t="shared" si="117"/>
        <v>-0.32</v>
      </c>
    </row>
    <row r="99" spans="1:17" x14ac:dyDescent="0.25">
      <c r="A99" s="229">
        <f t="shared" ref="A99:B99" si="134">A98+1</f>
        <v>1829</v>
      </c>
      <c r="B99" s="230">
        <f t="shared" si="134"/>
        <v>89</v>
      </c>
      <c r="C99" s="229" t="str">
        <f t="shared" si="99"/>
        <v>21dB20+000_000_05</v>
      </c>
      <c r="D99" s="231">
        <f t="shared" si="113"/>
        <v>20</v>
      </c>
      <c r="E99" s="239">
        <f t="shared" si="109"/>
        <v>2.8840000000000003</v>
      </c>
      <c r="F99" s="232">
        <f t="shared" si="114"/>
        <v>14.420000000000002</v>
      </c>
      <c r="G99" s="232">
        <f t="shared" si="125"/>
        <v>11.536000000000001</v>
      </c>
      <c r="H99" s="232">
        <f t="shared" si="126"/>
        <v>7.2100000000000009</v>
      </c>
      <c r="I99" s="232">
        <f t="shared" si="115"/>
        <v>8</v>
      </c>
      <c r="J99" s="233">
        <f t="shared" si="115"/>
        <v>0</v>
      </c>
      <c r="K99" s="228" t="str">
        <f>D99&amp;-5</f>
        <v>20-5</v>
      </c>
      <c r="L99" s="232">
        <f t="shared" si="116"/>
        <v>0.2</v>
      </c>
      <c r="M99" s="235">
        <v>0</v>
      </c>
      <c r="N99" s="232">
        <f t="shared" si="117"/>
        <v>150</v>
      </c>
      <c r="O99" s="232">
        <f t="shared" si="117"/>
        <v>160</v>
      </c>
      <c r="P99" s="232">
        <f t="shared" si="117"/>
        <v>270</v>
      </c>
      <c r="Q99" s="230">
        <f t="shared" si="117"/>
        <v>-0.32</v>
      </c>
    </row>
    <row r="100" spans="1:17" x14ac:dyDescent="0.25">
      <c r="A100" s="229">
        <f t="shared" ref="A100:B100" si="135">A99+1</f>
        <v>1830</v>
      </c>
      <c r="B100" s="230">
        <f t="shared" si="135"/>
        <v>90</v>
      </c>
      <c r="C100" s="229" t="str">
        <f t="shared" si="99"/>
        <v>21dB20+000_030_06</v>
      </c>
      <c r="D100" s="231">
        <f t="shared" si="113"/>
        <v>20</v>
      </c>
      <c r="E100" s="239">
        <f t="shared" si="109"/>
        <v>2.8840000000000003</v>
      </c>
      <c r="F100" s="232">
        <f t="shared" si="114"/>
        <v>14.420000000000002</v>
      </c>
      <c r="G100" s="232">
        <f t="shared" si="125"/>
        <v>11.536000000000001</v>
      </c>
      <c r="H100" s="232">
        <f t="shared" si="126"/>
        <v>7.2100000000000009</v>
      </c>
      <c r="I100" s="232">
        <f t="shared" ref="I100:J106" si="136">I99</f>
        <v>8</v>
      </c>
      <c r="J100" s="233">
        <f t="shared" si="136"/>
        <v>0</v>
      </c>
      <c r="K100" s="228" t="str">
        <f>D100&amp;-6</f>
        <v>20-6</v>
      </c>
      <c r="L100" s="232">
        <f t="shared" si="116"/>
        <v>0.2</v>
      </c>
      <c r="M100" s="235">
        <v>30</v>
      </c>
      <c r="N100" s="232">
        <f t="shared" ref="N100:Q106" si="137">N99</f>
        <v>150</v>
      </c>
      <c r="O100" s="232">
        <f t="shared" si="137"/>
        <v>160</v>
      </c>
      <c r="P100" s="232">
        <f t="shared" si="137"/>
        <v>270</v>
      </c>
      <c r="Q100" s="230">
        <f t="shared" si="137"/>
        <v>-0.32</v>
      </c>
    </row>
    <row r="101" spans="1:17" x14ac:dyDescent="0.25">
      <c r="A101" s="229">
        <f t="shared" ref="A101:B101" si="138">A100+1</f>
        <v>1831</v>
      </c>
      <c r="B101" s="230">
        <f t="shared" si="138"/>
        <v>91</v>
      </c>
      <c r="C101" s="229" t="str">
        <f t="shared" si="99"/>
        <v>21dB20+000_060_07</v>
      </c>
      <c r="D101" s="231">
        <f t="shared" si="113"/>
        <v>20</v>
      </c>
      <c r="E101" s="239">
        <f t="shared" si="109"/>
        <v>2.8840000000000003</v>
      </c>
      <c r="F101" s="232">
        <f t="shared" si="114"/>
        <v>14.420000000000002</v>
      </c>
      <c r="G101" s="232">
        <f t="shared" si="125"/>
        <v>11.536000000000001</v>
      </c>
      <c r="H101" s="232">
        <f t="shared" si="126"/>
        <v>7.2100000000000009</v>
      </c>
      <c r="I101" s="232">
        <f t="shared" si="136"/>
        <v>8</v>
      </c>
      <c r="J101" s="233">
        <f t="shared" si="136"/>
        <v>0</v>
      </c>
      <c r="K101" s="228" t="str">
        <f>D101&amp;-7</f>
        <v>20-7</v>
      </c>
      <c r="L101" s="232">
        <f t="shared" si="116"/>
        <v>0.2</v>
      </c>
      <c r="M101" s="235">
        <v>60</v>
      </c>
      <c r="N101" s="232">
        <f t="shared" si="137"/>
        <v>150</v>
      </c>
      <c r="O101" s="232">
        <f t="shared" si="137"/>
        <v>160</v>
      </c>
      <c r="P101" s="232">
        <f t="shared" si="137"/>
        <v>270</v>
      </c>
      <c r="Q101" s="230">
        <f t="shared" si="137"/>
        <v>-0.32</v>
      </c>
    </row>
    <row r="102" spans="1:17" x14ac:dyDescent="0.25">
      <c r="A102" s="229">
        <f t="shared" ref="A102:B102" si="139">A101+1</f>
        <v>1832</v>
      </c>
      <c r="B102" s="230">
        <f t="shared" si="139"/>
        <v>92</v>
      </c>
      <c r="C102" s="229" t="str">
        <f t="shared" si="99"/>
        <v>21dB20+000_090_08</v>
      </c>
      <c r="D102" s="231">
        <f t="shared" si="113"/>
        <v>20</v>
      </c>
      <c r="E102" s="239">
        <f t="shared" si="109"/>
        <v>2.8840000000000003</v>
      </c>
      <c r="F102" s="232">
        <f t="shared" si="114"/>
        <v>14.420000000000002</v>
      </c>
      <c r="G102" s="232">
        <f t="shared" si="125"/>
        <v>11.536000000000001</v>
      </c>
      <c r="H102" s="232">
        <f t="shared" si="126"/>
        <v>7.2100000000000009</v>
      </c>
      <c r="I102" s="232">
        <f t="shared" si="136"/>
        <v>8</v>
      </c>
      <c r="J102" s="233">
        <f t="shared" si="136"/>
        <v>0</v>
      </c>
      <c r="K102" s="228" t="str">
        <f>D102&amp;-8</f>
        <v>20-8</v>
      </c>
      <c r="L102" s="232">
        <f t="shared" si="116"/>
        <v>0.2</v>
      </c>
      <c r="M102" s="235">
        <v>90</v>
      </c>
      <c r="N102" s="232">
        <f t="shared" si="137"/>
        <v>150</v>
      </c>
      <c r="O102" s="232">
        <f t="shared" si="137"/>
        <v>160</v>
      </c>
      <c r="P102" s="232">
        <f t="shared" si="137"/>
        <v>270</v>
      </c>
      <c r="Q102" s="230">
        <f t="shared" si="137"/>
        <v>-0.32</v>
      </c>
    </row>
    <row r="103" spans="1:17" x14ac:dyDescent="0.25">
      <c r="A103" s="229">
        <f t="shared" ref="A103:B103" si="140">A102+1</f>
        <v>1833</v>
      </c>
      <c r="B103" s="230">
        <f t="shared" si="140"/>
        <v>93</v>
      </c>
      <c r="C103" s="229" t="str">
        <f t="shared" si="99"/>
        <v>21dB20+000_000_09</v>
      </c>
      <c r="D103" s="231">
        <f t="shared" si="113"/>
        <v>20</v>
      </c>
      <c r="E103" s="239">
        <f t="shared" si="109"/>
        <v>2.8840000000000003</v>
      </c>
      <c r="F103" s="232">
        <f t="shared" si="114"/>
        <v>14.420000000000002</v>
      </c>
      <c r="G103" s="232">
        <f t="shared" si="125"/>
        <v>11.536000000000001</v>
      </c>
      <c r="H103" s="232">
        <f t="shared" si="126"/>
        <v>7.2100000000000009</v>
      </c>
      <c r="I103" s="232">
        <f t="shared" si="136"/>
        <v>8</v>
      </c>
      <c r="J103" s="233">
        <f t="shared" si="136"/>
        <v>0</v>
      </c>
      <c r="K103" s="228" t="str">
        <f>D103&amp;-9</f>
        <v>20-9</v>
      </c>
      <c r="L103" s="232">
        <f t="shared" si="116"/>
        <v>0.2</v>
      </c>
      <c r="M103" s="235">
        <v>0</v>
      </c>
      <c r="N103" s="232">
        <f t="shared" si="137"/>
        <v>150</v>
      </c>
      <c r="O103" s="232">
        <f t="shared" si="137"/>
        <v>160</v>
      </c>
      <c r="P103" s="232">
        <f t="shared" si="137"/>
        <v>270</v>
      </c>
      <c r="Q103" s="230">
        <f t="shared" si="137"/>
        <v>-0.32</v>
      </c>
    </row>
    <row r="104" spans="1:17" x14ac:dyDescent="0.25">
      <c r="A104" s="229">
        <f t="shared" ref="A104:B104" si="141">A103+1</f>
        <v>1834</v>
      </c>
      <c r="B104" s="230">
        <f t="shared" si="141"/>
        <v>94</v>
      </c>
      <c r="C104" s="229" t="str">
        <f t="shared" si="99"/>
        <v>21dB20+000_030_10</v>
      </c>
      <c r="D104" s="231">
        <f t="shared" si="113"/>
        <v>20</v>
      </c>
      <c r="E104" s="239">
        <f t="shared" si="109"/>
        <v>2.8840000000000003</v>
      </c>
      <c r="F104" s="232">
        <f t="shared" si="114"/>
        <v>14.420000000000002</v>
      </c>
      <c r="G104" s="232">
        <f t="shared" si="125"/>
        <v>11.536000000000001</v>
      </c>
      <c r="H104" s="232">
        <f t="shared" si="126"/>
        <v>7.2100000000000009</v>
      </c>
      <c r="I104" s="232">
        <f t="shared" si="136"/>
        <v>8</v>
      </c>
      <c r="J104" s="233">
        <f t="shared" si="136"/>
        <v>0</v>
      </c>
      <c r="K104" s="228" t="str">
        <f>D104&amp;-10</f>
        <v>20-10</v>
      </c>
      <c r="L104" s="232">
        <f t="shared" si="116"/>
        <v>0.2</v>
      </c>
      <c r="M104" s="235">
        <v>30</v>
      </c>
      <c r="N104" s="232">
        <f t="shared" si="137"/>
        <v>150</v>
      </c>
      <c r="O104" s="232">
        <f t="shared" si="137"/>
        <v>160</v>
      </c>
      <c r="P104" s="232">
        <f t="shared" si="137"/>
        <v>270</v>
      </c>
      <c r="Q104" s="230">
        <f t="shared" si="137"/>
        <v>-0.32</v>
      </c>
    </row>
    <row r="105" spans="1:17" x14ac:dyDescent="0.25">
      <c r="A105" s="229">
        <f t="shared" ref="A105:B105" si="142">A104+1</f>
        <v>1835</v>
      </c>
      <c r="B105" s="230">
        <f t="shared" si="142"/>
        <v>95</v>
      </c>
      <c r="C105" s="229" t="str">
        <f t="shared" si="99"/>
        <v>21dB20+000_060_11</v>
      </c>
      <c r="D105" s="231">
        <f>D104</f>
        <v>20</v>
      </c>
      <c r="E105" s="239">
        <f t="shared" si="109"/>
        <v>2.8840000000000003</v>
      </c>
      <c r="F105" s="232">
        <f>E105/D105*100</f>
        <v>14.420000000000002</v>
      </c>
      <c r="G105" s="232">
        <f t="shared" si="125"/>
        <v>11.536000000000001</v>
      </c>
      <c r="H105" s="232">
        <f t="shared" si="126"/>
        <v>7.2100000000000009</v>
      </c>
      <c r="I105" s="232">
        <f t="shared" si="136"/>
        <v>8</v>
      </c>
      <c r="J105" s="233">
        <f t="shared" si="136"/>
        <v>0</v>
      </c>
      <c r="K105" s="228" t="str">
        <f>D105&amp;-11</f>
        <v>20-11</v>
      </c>
      <c r="L105" s="232">
        <f t="shared" si="116"/>
        <v>0.2</v>
      </c>
      <c r="M105" s="235">
        <v>60</v>
      </c>
      <c r="N105" s="232">
        <f t="shared" si="137"/>
        <v>150</v>
      </c>
      <c r="O105" s="232">
        <f t="shared" si="137"/>
        <v>160</v>
      </c>
      <c r="P105" s="232">
        <f t="shared" si="137"/>
        <v>270</v>
      </c>
      <c r="Q105" s="230">
        <f t="shared" si="137"/>
        <v>-0.32</v>
      </c>
    </row>
    <row r="106" spans="1:17" x14ac:dyDescent="0.25">
      <c r="A106" s="229">
        <f t="shared" ref="A106:B106" si="143">A105+1</f>
        <v>1836</v>
      </c>
      <c r="B106" s="230">
        <f t="shared" si="143"/>
        <v>96</v>
      </c>
      <c r="C106" s="229" t="str">
        <f t="shared" si="99"/>
        <v>21dB20+000_090_12</v>
      </c>
      <c r="D106" s="231">
        <f>D105</f>
        <v>20</v>
      </c>
      <c r="E106" s="239">
        <f t="shared" si="109"/>
        <v>2.8840000000000003</v>
      </c>
      <c r="F106" s="232">
        <f>E106/D106*100</f>
        <v>14.420000000000002</v>
      </c>
      <c r="G106" s="232">
        <f t="shared" si="125"/>
        <v>11.536000000000001</v>
      </c>
      <c r="H106" s="232">
        <f t="shared" si="126"/>
        <v>7.2100000000000009</v>
      </c>
      <c r="I106" s="232">
        <f t="shared" si="136"/>
        <v>8</v>
      </c>
      <c r="J106" s="233">
        <f t="shared" si="136"/>
        <v>0</v>
      </c>
      <c r="K106" s="228" t="str">
        <f>D106&amp;-12</f>
        <v>20-12</v>
      </c>
      <c r="L106" s="232">
        <f t="shared" si="116"/>
        <v>0.2</v>
      </c>
      <c r="M106" s="235">
        <v>90</v>
      </c>
      <c r="N106" s="232">
        <f t="shared" si="137"/>
        <v>150</v>
      </c>
      <c r="O106" s="232">
        <f t="shared" si="137"/>
        <v>160</v>
      </c>
      <c r="P106" s="232">
        <f t="shared" si="137"/>
        <v>270</v>
      </c>
      <c r="Q106" s="230">
        <f t="shared" si="137"/>
        <v>-0.32</v>
      </c>
    </row>
    <row r="107" spans="1:17" x14ac:dyDescent="0.25">
      <c r="A107" s="229">
        <f t="shared" ref="A107:B107" si="144">A106+1</f>
        <v>1837</v>
      </c>
      <c r="B107" s="230">
        <f t="shared" si="144"/>
        <v>97</v>
      </c>
      <c r="C107" s="229" t="str">
        <f t="shared" si="99"/>
        <v>21dA25+000_000_01</v>
      </c>
      <c r="D107" s="231">
        <f>v_out</f>
        <v>25</v>
      </c>
      <c r="E107" s="239">
        <f t="shared" ref="E107:E130" si="145">I_ref*(0.75*D107+5.6)</f>
        <v>3.4090000000000007</v>
      </c>
      <c r="F107" s="232">
        <f>E107/D107*100</f>
        <v>13.636000000000003</v>
      </c>
      <c r="G107" s="232">
        <f t="shared" si="125"/>
        <v>10.908800000000003</v>
      </c>
      <c r="H107" s="232">
        <f t="shared" si="126"/>
        <v>6.8180000000000014</v>
      </c>
      <c r="I107" s="232">
        <f>inflow</f>
        <v>8</v>
      </c>
      <c r="J107" s="233">
        <f t="shared" ref="J107" si="146">J106</f>
        <v>0</v>
      </c>
      <c r="K107" s="228" t="str">
        <f>D107&amp;-1</f>
        <v>25-1</v>
      </c>
      <c r="L107" s="232">
        <f>alpha_n</f>
        <v>0.2</v>
      </c>
      <c r="M107" s="235">
        <v>0</v>
      </c>
      <c r="N107" s="232">
        <f>t_out</f>
        <v>150</v>
      </c>
      <c r="O107" s="232">
        <f>trig_t</f>
        <v>160</v>
      </c>
      <c r="P107" s="232">
        <f>N107+2*T_s2</f>
        <v>270</v>
      </c>
      <c r="Q107" s="230">
        <f>yaw_runaway</f>
        <v>0.32</v>
      </c>
    </row>
    <row r="108" spans="1:17" x14ac:dyDescent="0.25">
      <c r="A108" s="229">
        <f t="shared" ref="A108:B108" si="147">A107+1</f>
        <v>1838</v>
      </c>
      <c r="B108" s="230">
        <f t="shared" si="147"/>
        <v>98</v>
      </c>
      <c r="C108" s="229" t="str">
        <f t="shared" si="99"/>
        <v>21dA25+000_030_02</v>
      </c>
      <c r="D108" s="231">
        <f t="shared" ref="D108:D128" si="148">D107</f>
        <v>25</v>
      </c>
      <c r="E108" s="239">
        <f t="shared" si="145"/>
        <v>3.4090000000000007</v>
      </c>
      <c r="F108" s="232">
        <f t="shared" ref="F108:F128" si="149">E108/D108*100</f>
        <v>13.636000000000003</v>
      </c>
      <c r="G108" s="232">
        <f t="shared" si="125"/>
        <v>10.908800000000003</v>
      </c>
      <c r="H108" s="232">
        <f t="shared" si="126"/>
        <v>6.8180000000000014</v>
      </c>
      <c r="I108" s="232">
        <f t="shared" ref="I108:J108" si="150">I107</f>
        <v>8</v>
      </c>
      <c r="J108" s="233">
        <f t="shared" si="150"/>
        <v>0</v>
      </c>
      <c r="K108" s="228" t="str">
        <f>D108&amp;-2</f>
        <v>25-2</v>
      </c>
      <c r="L108" s="232">
        <f t="shared" si="116"/>
        <v>0.2</v>
      </c>
      <c r="M108" s="235">
        <v>30</v>
      </c>
      <c r="N108" s="232">
        <f t="shared" ref="N108:P108" si="151">N107</f>
        <v>150</v>
      </c>
      <c r="O108" s="232">
        <f t="shared" si="151"/>
        <v>160</v>
      </c>
      <c r="P108" s="232">
        <f t="shared" si="151"/>
        <v>270</v>
      </c>
      <c r="Q108" s="230">
        <f>Q107</f>
        <v>0.32</v>
      </c>
    </row>
    <row r="109" spans="1:17" x14ac:dyDescent="0.25">
      <c r="A109" s="229">
        <f t="shared" ref="A109:B109" si="152">A108+1</f>
        <v>1839</v>
      </c>
      <c r="B109" s="230">
        <f t="shared" si="152"/>
        <v>99</v>
      </c>
      <c r="C109" s="229" t="str">
        <f t="shared" si="99"/>
        <v>21dA25+000_060_03</v>
      </c>
      <c r="D109" s="231">
        <f t="shared" si="148"/>
        <v>25</v>
      </c>
      <c r="E109" s="239">
        <f t="shared" si="145"/>
        <v>3.4090000000000007</v>
      </c>
      <c r="F109" s="232">
        <f t="shared" si="149"/>
        <v>13.636000000000003</v>
      </c>
      <c r="G109" s="232">
        <f t="shared" si="125"/>
        <v>10.908800000000003</v>
      </c>
      <c r="H109" s="232">
        <f t="shared" si="126"/>
        <v>6.8180000000000014</v>
      </c>
      <c r="I109" s="232">
        <f t="shared" ref="I109:J109" si="153">I108</f>
        <v>8</v>
      </c>
      <c r="J109" s="233">
        <f t="shared" si="153"/>
        <v>0</v>
      </c>
      <c r="K109" s="228" t="str">
        <f>D109&amp;-3</f>
        <v>25-3</v>
      </c>
      <c r="L109" s="232">
        <f t="shared" si="116"/>
        <v>0.2</v>
      </c>
      <c r="M109" s="235">
        <v>60</v>
      </c>
      <c r="N109" s="232">
        <f t="shared" ref="N109:Q109" si="154">N108</f>
        <v>150</v>
      </c>
      <c r="O109" s="232">
        <f t="shared" si="154"/>
        <v>160</v>
      </c>
      <c r="P109" s="232">
        <f t="shared" si="154"/>
        <v>270</v>
      </c>
      <c r="Q109" s="230">
        <f t="shared" si="154"/>
        <v>0.32</v>
      </c>
    </row>
    <row r="110" spans="1:17" x14ac:dyDescent="0.25">
      <c r="A110" s="229">
        <f t="shared" ref="A110:B110" si="155">A109+1</f>
        <v>1840</v>
      </c>
      <c r="B110" s="230">
        <f t="shared" si="155"/>
        <v>100</v>
      </c>
      <c r="C110" s="229" t="str">
        <f t="shared" si="99"/>
        <v>21dA25+000_090_04</v>
      </c>
      <c r="D110" s="231">
        <f t="shared" si="148"/>
        <v>25</v>
      </c>
      <c r="E110" s="239">
        <f t="shared" si="145"/>
        <v>3.4090000000000007</v>
      </c>
      <c r="F110" s="232">
        <f t="shared" si="149"/>
        <v>13.636000000000003</v>
      </c>
      <c r="G110" s="232">
        <f t="shared" si="125"/>
        <v>10.908800000000003</v>
      </c>
      <c r="H110" s="232">
        <f t="shared" si="126"/>
        <v>6.8180000000000014</v>
      </c>
      <c r="I110" s="232">
        <f t="shared" ref="I110:J110" si="156">I109</f>
        <v>8</v>
      </c>
      <c r="J110" s="233">
        <f t="shared" si="156"/>
        <v>0</v>
      </c>
      <c r="K110" s="228" t="str">
        <f>D110&amp;-4</f>
        <v>25-4</v>
      </c>
      <c r="L110" s="232">
        <f t="shared" si="116"/>
        <v>0.2</v>
      </c>
      <c r="M110" s="235">
        <v>90</v>
      </c>
      <c r="N110" s="232">
        <f t="shared" ref="N110:Q110" si="157">N109</f>
        <v>150</v>
      </c>
      <c r="O110" s="232">
        <f t="shared" si="157"/>
        <v>160</v>
      </c>
      <c r="P110" s="232">
        <f t="shared" si="157"/>
        <v>270</v>
      </c>
      <c r="Q110" s="230">
        <f t="shared" si="157"/>
        <v>0.32</v>
      </c>
    </row>
    <row r="111" spans="1:17" x14ac:dyDescent="0.25">
      <c r="A111" s="229">
        <f t="shared" ref="A111:B111" si="158">A110+1</f>
        <v>1841</v>
      </c>
      <c r="B111" s="230">
        <f t="shared" si="158"/>
        <v>101</v>
      </c>
      <c r="C111" s="229" t="str">
        <f t="shared" si="99"/>
        <v>21dA25+000_000_05</v>
      </c>
      <c r="D111" s="231">
        <f t="shared" si="148"/>
        <v>25</v>
      </c>
      <c r="E111" s="239">
        <f t="shared" si="145"/>
        <v>3.4090000000000007</v>
      </c>
      <c r="F111" s="232">
        <f t="shared" si="149"/>
        <v>13.636000000000003</v>
      </c>
      <c r="G111" s="232">
        <f t="shared" si="125"/>
        <v>10.908800000000003</v>
      </c>
      <c r="H111" s="232">
        <f t="shared" si="126"/>
        <v>6.8180000000000014</v>
      </c>
      <c r="I111" s="232">
        <f t="shared" ref="I111:J111" si="159">I110</f>
        <v>8</v>
      </c>
      <c r="J111" s="233">
        <f t="shared" si="159"/>
        <v>0</v>
      </c>
      <c r="K111" s="228" t="str">
        <f>D111&amp;-5</f>
        <v>25-5</v>
      </c>
      <c r="L111" s="232">
        <f t="shared" si="116"/>
        <v>0.2</v>
      </c>
      <c r="M111" s="235">
        <v>0</v>
      </c>
      <c r="N111" s="232">
        <f t="shared" ref="N111:Q111" si="160">N110</f>
        <v>150</v>
      </c>
      <c r="O111" s="232">
        <f t="shared" si="160"/>
        <v>160</v>
      </c>
      <c r="P111" s="232">
        <f t="shared" si="160"/>
        <v>270</v>
      </c>
      <c r="Q111" s="230">
        <f t="shared" si="160"/>
        <v>0.32</v>
      </c>
    </row>
    <row r="112" spans="1:17" x14ac:dyDescent="0.25">
      <c r="A112" s="229">
        <f t="shared" ref="A112:B112" si="161">A111+1</f>
        <v>1842</v>
      </c>
      <c r="B112" s="230">
        <f t="shared" si="161"/>
        <v>102</v>
      </c>
      <c r="C112" s="229" t="str">
        <f t="shared" si="99"/>
        <v>21dA25+000_030_06</v>
      </c>
      <c r="D112" s="231">
        <f t="shared" si="148"/>
        <v>25</v>
      </c>
      <c r="E112" s="239">
        <f t="shared" si="145"/>
        <v>3.4090000000000007</v>
      </c>
      <c r="F112" s="232">
        <f t="shared" si="149"/>
        <v>13.636000000000003</v>
      </c>
      <c r="G112" s="232">
        <f t="shared" si="125"/>
        <v>10.908800000000003</v>
      </c>
      <c r="H112" s="232">
        <f t="shared" si="126"/>
        <v>6.8180000000000014</v>
      </c>
      <c r="I112" s="232">
        <f t="shared" ref="I112:J112" si="162">I111</f>
        <v>8</v>
      </c>
      <c r="J112" s="233">
        <f t="shared" si="162"/>
        <v>0</v>
      </c>
      <c r="K112" s="228" t="str">
        <f>D112&amp;-6</f>
        <v>25-6</v>
      </c>
      <c r="L112" s="232">
        <f t="shared" si="116"/>
        <v>0.2</v>
      </c>
      <c r="M112" s="235">
        <v>30</v>
      </c>
      <c r="N112" s="232">
        <f t="shared" ref="N112:Q112" si="163">N111</f>
        <v>150</v>
      </c>
      <c r="O112" s="232">
        <f t="shared" si="163"/>
        <v>160</v>
      </c>
      <c r="P112" s="232">
        <f t="shared" si="163"/>
        <v>270</v>
      </c>
      <c r="Q112" s="230">
        <f t="shared" si="163"/>
        <v>0.32</v>
      </c>
    </row>
    <row r="113" spans="1:17" x14ac:dyDescent="0.25">
      <c r="A113" s="229">
        <f t="shared" ref="A113:B113" si="164">A112+1</f>
        <v>1843</v>
      </c>
      <c r="B113" s="230">
        <f t="shared" si="164"/>
        <v>103</v>
      </c>
      <c r="C113" s="229" t="str">
        <f t="shared" si="99"/>
        <v>21dA25+000_060_07</v>
      </c>
      <c r="D113" s="231">
        <f t="shared" si="148"/>
        <v>25</v>
      </c>
      <c r="E113" s="239">
        <f t="shared" si="145"/>
        <v>3.4090000000000007</v>
      </c>
      <c r="F113" s="232">
        <f t="shared" si="149"/>
        <v>13.636000000000003</v>
      </c>
      <c r="G113" s="232">
        <f t="shared" si="125"/>
        <v>10.908800000000003</v>
      </c>
      <c r="H113" s="232">
        <f t="shared" si="126"/>
        <v>6.8180000000000014</v>
      </c>
      <c r="I113" s="232">
        <f t="shared" ref="I113:J113" si="165">I112</f>
        <v>8</v>
      </c>
      <c r="J113" s="233">
        <f t="shared" si="165"/>
        <v>0</v>
      </c>
      <c r="K113" s="228" t="str">
        <f>D113&amp;-7</f>
        <v>25-7</v>
      </c>
      <c r="L113" s="232">
        <f t="shared" si="116"/>
        <v>0.2</v>
      </c>
      <c r="M113" s="235">
        <v>60</v>
      </c>
      <c r="N113" s="232">
        <f t="shared" ref="N113:Q113" si="166">N112</f>
        <v>150</v>
      </c>
      <c r="O113" s="232">
        <f t="shared" si="166"/>
        <v>160</v>
      </c>
      <c r="P113" s="232">
        <f t="shared" si="166"/>
        <v>270</v>
      </c>
      <c r="Q113" s="230">
        <f t="shared" si="166"/>
        <v>0.32</v>
      </c>
    </row>
    <row r="114" spans="1:17" x14ac:dyDescent="0.25">
      <c r="A114" s="229">
        <f t="shared" ref="A114:B114" si="167">A113+1</f>
        <v>1844</v>
      </c>
      <c r="B114" s="230">
        <f t="shared" si="167"/>
        <v>104</v>
      </c>
      <c r="C114" s="229" t="str">
        <f t="shared" si="99"/>
        <v>21dA25+000_090_08</v>
      </c>
      <c r="D114" s="231">
        <f t="shared" si="148"/>
        <v>25</v>
      </c>
      <c r="E114" s="239">
        <f t="shared" si="145"/>
        <v>3.4090000000000007</v>
      </c>
      <c r="F114" s="232">
        <f t="shared" si="149"/>
        <v>13.636000000000003</v>
      </c>
      <c r="G114" s="232">
        <f t="shared" si="125"/>
        <v>10.908800000000003</v>
      </c>
      <c r="H114" s="232">
        <f t="shared" si="126"/>
        <v>6.8180000000000014</v>
      </c>
      <c r="I114" s="232">
        <f t="shared" ref="I114:J114" si="168">I113</f>
        <v>8</v>
      </c>
      <c r="J114" s="233">
        <f t="shared" si="168"/>
        <v>0</v>
      </c>
      <c r="K114" s="228" t="str">
        <f>D114&amp;-8</f>
        <v>25-8</v>
      </c>
      <c r="L114" s="232">
        <f t="shared" si="116"/>
        <v>0.2</v>
      </c>
      <c r="M114" s="235">
        <v>90</v>
      </c>
      <c r="N114" s="232">
        <f t="shared" ref="N114:Q114" si="169">N113</f>
        <v>150</v>
      </c>
      <c r="O114" s="232">
        <f t="shared" si="169"/>
        <v>160</v>
      </c>
      <c r="P114" s="232">
        <f t="shared" si="169"/>
        <v>270</v>
      </c>
      <c r="Q114" s="230">
        <f t="shared" si="169"/>
        <v>0.32</v>
      </c>
    </row>
    <row r="115" spans="1:17" x14ac:dyDescent="0.25">
      <c r="A115" s="229">
        <f t="shared" ref="A115:B115" si="170">A114+1</f>
        <v>1845</v>
      </c>
      <c r="B115" s="230">
        <f t="shared" si="170"/>
        <v>105</v>
      </c>
      <c r="C115" s="229" t="str">
        <f t="shared" si="99"/>
        <v>21dA25+000_000_09</v>
      </c>
      <c r="D115" s="231">
        <f t="shared" si="148"/>
        <v>25</v>
      </c>
      <c r="E115" s="239">
        <f t="shared" si="145"/>
        <v>3.4090000000000007</v>
      </c>
      <c r="F115" s="232">
        <f t="shared" si="149"/>
        <v>13.636000000000003</v>
      </c>
      <c r="G115" s="232">
        <f t="shared" ref="G115:G130" si="171">m_ty*F115</f>
        <v>10.908800000000003</v>
      </c>
      <c r="H115" s="232">
        <f t="shared" ref="H115:H130" si="172">m_tz*F115</f>
        <v>6.8180000000000014</v>
      </c>
      <c r="I115" s="232">
        <f t="shared" ref="I115:J115" si="173">I114</f>
        <v>8</v>
      </c>
      <c r="J115" s="233">
        <f t="shared" si="173"/>
        <v>0</v>
      </c>
      <c r="K115" s="228" t="str">
        <f>D115&amp;-9</f>
        <v>25-9</v>
      </c>
      <c r="L115" s="232">
        <f t="shared" si="116"/>
        <v>0.2</v>
      </c>
      <c r="M115" s="235">
        <v>0</v>
      </c>
      <c r="N115" s="232">
        <f t="shared" ref="N115:Q115" si="174">N114</f>
        <v>150</v>
      </c>
      <c r="O115" s="232">
        <f t="shared" si="174"/>
        <v>160</v>
      </c>
      <c r="P115" s="232">
        <f t="shared" si="174"/>
        <v>270</v>
      </c>
      <c r="Q115" s="230">
        <f t="shared" si="174"/>
        <v>0.32</v>
      </c>
    </row>
    <row r="116" spans="1:17" x14ac:dyDescent="0.25">
      <c r="A116" s="229">
        <f t="shared" ref="A116:B116" si="175">A115+1</f>
        <v>1846</v>
      </c>
      <c r="B116" s="230">
        <f t="shared" si="175"/>
        <v>106</v>
      </c>
      <c r="C116" s="229" t="str">
        <f t="shared" si="99"/>
        <v>21dA25+000_030_10</v>
      </c>
      <c r="D116" s="231">
        <f t="shared" si="148"/>
        <v>25</v>
      </c>
      <c r="E116" s="239">
        <f t="shared" si="145"/>
        <v>3.4090000000000007</v>
      </c>
      <c r="F116" s="232">
        <f t="shared" si="149"/>
        <v>13.636000000000003</v>
      </c>
      <c r="G116" s="232">
        <f t="shared" si="171"/>
        <v>10.908800000000003</v>
      </c>
      <c r="H116" s="232">
        <f t="shared" si="172"/>
        <v>6.8180000000000014</v>
      </c>
      <c r="I116" s="232">
        <f t="shared" ref="I116:J116" si="176">I115</f>
        <v>8</v>
      </c>
      <c r="J116" s="233">
        <f t="shared" si="176"/>
        <v>0</v>
      </c>
      <c r="K116" s="228" t="str">
        <f>D116&amp;-10</f>
        <v>25-10</v>
      </c>
      <c r="L116" s="232">
        <f t="shared" si="116"/>
        <v>0.2</v>
      </c>
      <c r="M116" s="235">
        <v>30</v>
      </c>
      <c r="N116" s="232">
        <f t="shared" ref="N116:Q116" si="177">N115</f>
        <v>150</v>
      </c>
      <c r="O116" s="232">
        <f t="shared" si="177"/>
        <v>160</v>
      </c>
      <c r="P116" s="232">
        <f t="shared" si="177"/>
        <v>270</v>
      </c>
      <c r="Q116" s="230">
        <f t="shared" si="177"/>
        <v>0.32</v>
      </c>
    </row>
    <row r="117" spans="1:17" x14ac:dyDescent="0.25">
      <c r="A117" s="229">
        <f t="shared" ref="A117:B117" si="178">A116+1</f>
        <v>1847</v>
      </c>
      <c r="B117" s="230">
        <f t="shared" si="178"/>
        <v>107</v>
      </c>
      <c r="C117" s="229" t="str">
        <f t="shared" si="99"/>
        <v>21dA25+000_060_11</v>
      </c>
      <c r="D117" s="231">
        <f t="shared" si="148"/>
        <v>25</v>
      </c>
      <c r="E117" s="239">
        <f t="shared" si="145"/>
        <v>3.4090000000000007</v>
      </c>
      <c r="F117" s="232">
        <f t="shared" si="149"/>
        <v>13.636000000000003</v>
      </c>
      <c r="G117" s="232">
        <f t="shared" si="171"/>
        <v>10.908800000000003</v>
      </c>
      <c r="H117" s="232">
        <f t="shared" si="172"/>
        <v>6.8180000000000014</v>
      </c>
      <c r="I117" s="232">
        <f t="shared" ref="I117:J117" si="179">I116</f>
        <v>8</v>
      </c>
      <c r="J117" s="233">
        <f t="shared" si="179"/>
        <v>0</v>
      </c>
      <c r="K117" s="228" t="str">
        <f>D117&amp;-11</f>
        <v>25-11</v>
      </c>
      <c r="L117" s="232">
        <f t="shared" si="116"/>
        <v>0.2</v>
      </c>
      <c r="M117" s="235">
        <v>60</v>
      </c>
      <c r="N117" s="232">
        <f t="shared" ref="N117:Q117" si="180">N116</f>
        <v>150</v>
      </c>
      <c r="O117" s="232">
        <f t="shared" si="180"/>
        <v>160</v>
      </c>
      <c r="P117" s="232">
        <f t="shared" si="180"/>
        <v>270</v>
      </c>
      <c r="Q117" s="230">
        <f t="shared" si="180"/>
        <v>0.32</v>
      </c>
    </row>
    <row r="118" spans="1:17" x14ac:dyDescent="0.25">
      <c r="A118" s="229">
        <f t="shared" ref="A118:B118" si="181">A117+1</f>
        <v>1848</v>
      </c>
      <c r="B118" s="230">
        <f t="shared" si="181"/>
        <v>108</v>
      </c>
      <c r="C118" s="229" t="str">
        <f t="shared" si="99"/>
        <v>21dA25+000_090_12</v>
      </c>
      <c r="D118" s="231">
        <f t="shared" si="148"/>
        <v>25</v>
      </c>
      <c r="E118" s="239">
        <f t="shared" si="145"/>
        <v>3.4090000000000007</v>
      </c>
      <c r="F118" s="232">
        <f t="shared" si="149"/>
        <v>13.636000000000003</v>
      </c>
      <c r="G118" s="232">
        <f t="shared" si="171"/>
        <v>10.908800000000003</v>
      </c>
      <c r="H118" s="232">
        <f t="shared" si="172"/>
        <v>6.8180000000000014</v>
      </c>
      <c r="I118" s="232">
        <f t="shared" ref="I118:J118" si="182">I117</f>
        <v>8</v>
      </c>
      <c r="J118" s="233">
        <f t="shared" si="182"/>
        <v>0</v>
      </c>
      <c r="K118" s="228" t="str">
        <f>D118&amp;-12</f>
        <v>25-12</v>
      </c>
      <c r="L118" s="232">
        <f t="shared" si="116"/>
        <v>0.2</v>
      </c>
      <c r="M118" s="235">
        <v>90</v>
      </c>
      <c r="N118" s="232">
        <f t="shared" ref="N118:Q118" si="183">N117</f>
        <v>150</v>
      </c>
      <c r="O118" s="232">
        <f t="shared" si="183"/>
        <v>160</v>
      </c>
      <c r="P118" s="232">
        <f t="shared" si="183"/>
        <v>270</v>
      </c>
      <c r="Q118" s="230">
        <f t="shared" si="183"/>
        <v>0.32</v>
      </c>
    </row>
    <row r="119" spans="1:17" x14ac:dyDescent="0.25">
      <c r="A119" s="229">
        <f t="shared" ref="A119:B119" si="184">A118+1</f>
        <v>1849</v>
      </c>
      <c r="B119" s="230">
        <f t="shared" si="184"/>
        <v>109</v>
      </c>
      <c r="C119" s="229" t="str">
        <f t="shared" si="99"/>
        <v>21dB25+000_000_01</v>
      </c>
      <c r="D119" s="231">
        <f t="shared" si="148"/>
        <v>25</v>
      </c>
      <c r="E119" s="239">
        <f t="shared" si="145"/>
        <v>3.4090000000000007</v>
      </c>
      <c r="F119" s="232">
        <f t="shared" si="149"/>
        <v>13.636000000000003</v>
      </c>
      <c r="G119" s="232">
        <f t="shared" si="171"/>
        <v>10.908800000000003</v>
      </c>
      <c r="H119" s="232">
        <f t="shared" si="172"/>
        <v>6.8180000000000014</v>
      </c>
      <c r="I119" s="232">
        <f t="shared" ref="I119:J119" si="185">I118</f>
        <v>8</v>
      </c>
      <c r="J119" s="233">
        <f t="shared" si="185"/>
        <v>0</v>
      </c>
      <c r="K119" s="228" t="str">
        <f>D119&amp;-1</f>
        <v>25-1</v>
      </c>
      <c r="L119" s="232">
        <f t="shared" si="116"/>
        <v>0.2</v>
      </c>
      <c r="M119" s="235">
        <v>0</v>
      </c>
      <c r="N119" s="232">
        <f t="shared" ref="N119:P119" si="186">N118</f>
        <v>150</v>
      </c>
      <c r="O119" s="232">
        <f t="shared" si="186"/>
        <v>160</v>
      </c>
      <c r="P119" s="232">
        <f t="shared" si="186"/>
        <v>270</v>
      </c>
      <c r="Q119" s="230">
        <f>-yaw_runaway</f>
        <v>-0.32</v>
      </c>
    </row>
    <row r="120" spans="1:17" x14ac:dyDescent="0.25">
      <c r="A120" s="229">
        <f t="shared" ref="A120:B120" si="187">A119+1</f>
        <v>1850</v>
      </c>
      <c r="B120" s="230">
        <f t="shared" si="187"/>
        <v>110</v>
      </c>
      <c r="C120" s="229" t="str">
        <f t="shared" si="99"/>
        <v>21dB25+000_030_02</v>
      </c>
      <c r="D120" s="231">
        <f t="shared" si="148"/>
        <v>25</v>
      </c>
      <c r="E120" s="239">
        <f t="shared" si="145"/>
        <v>3.4090000000000007</v>
      </c>
      <c r="F120" s="232">
        <f t="shared" si="149"/>
        <v>13.636000000000003</v>
      </c>
      <c r="G120" s="232">
        <f t="shared" si="171"/>
        <v>10.908800000000003</v>
      </c>
      <c r="H120" s="232">
        <f t="shared" si="172"/>
        <v>6.8180000000000014</v>
      </c>
      <c r="I120" s="232">
        <f t="shared" ref="I120:J120" si="188">I119</f>
        <v>8</v>
      </c>
      <c r="J120" s="233">
        <f t="shared" si="188"/>
        <v>0</v>
      </c>
      <c r="K120" s="228" t="str">
        <f>D120&amp;-2</f>
        <v>25-2</v>
      </c>
      <c r="L120" s="232">
        <f t="shared" si="116"/>
        <v>0.2</v>
      </c>
      <c r="M120" s="235">
        <v>30</v>
      </c>
      <c r="N120" s="232">
        <f t="shared" ref="N120:P120" si="189">N119</f>
        <v>150</v>
      </c>
      <c r="O120" s="232">
        <f t="shared" si="189"/>
        <v>160</v>
      </c>
      <c r="P120" s="232">
        <f t="shared" si="189"/>
        <v>270</v>
      </c>
      <c r="Q120" s="230">
        <f>Q119</f>
        <v>-0.32</v>
      </c>
    </row>
    <row r="121" spans="1:17" x14ac:dyDescent="0.25">
      <c r="A121" s="229">
        <f t="shared" ref="A121:B121" si="190">A120+1</f>
        <v>1851</v>
      </c>
      <c r="B121" s="230">
        <f t="shared" si="190"/>
        <v>111</v>
      </c>
      <c r="C121" s="229" t="str">
        <f t="shared" si="99"/>
        <v>21dB25+000_060_03</v>
      </c>
      <c r="D121" s="231">
        <f t="shared" si="148"/>
        <v>25</v>
      </c>
      <c r="E121" s="239">
        <f t="shared" si="145"/>
        <v>3.4090000000000007</v>
      </c>
      <c r="F121" s="232">
        <f t="shared" si="149"/>
        <v>13.636000000000003</v>
      </c>
      <c r="G121" s="232">
        <f t="shared" si="171"/>
        <v>10.908800000000003</v>
      </c>
      <c r="H121" s="232">
        <f t="shared" si="172"/>
        <v>6.8180000000000014</v>
      </c>
      <c r="I121" s="232">
        <f t="shared" ref="I121:J121" si="191">I120</f>
        <v>8</v>
      </c>
      <c r="J121" s="233">
        <f t="shared" si="191"/>
        <v>0</v>
      </c>
      <c r="K121" s="228" t="str">
        <f>D121&amp;-3</f>
        <v>25-3</v>
      </c>
      <c r="L121" s="232">
        <f t="shared" si="116"/>
        <v>0.2</v>
      </c>
      <c r="M121" s="235">
        <v>60</v>
      </c>
      <c r="N121" s="232">
        <f t="shared" ref="N121:Q121" si="192">N120</f>
        <v>150</v>
      </c>
      <c r="O121" s="232">
        <f t="shared" si="192"/>
        <v>160</v>
      </c>
      <c r="P121" s="232">
        <f t="shared" si="192"/>
        <v>270</v>
      </c>
      <c r="Q121" s="230">
        <f t="shared" si="192"/>
        <v>-0.32</v>
      </c>
    </row>
    <row r="122" spans="1:17" x14ac:dyDescent="0.25">
      <c r="A122" s="229">
        <f t="shared" ref="A122:B122" si="193">A121+1</f>
        <v>1852</v>
      </c>
      <c r="B122" s="230">
        <f t="shared" si="193"/>
        <v>112</v>
      </c>
      <c r="C122" s="229" t="str">
        <f t="shared" si="99"/>
        <v>21dB25+000_090_04</v>
      </c>
      <c r="D122" s="231">
        <f t="shared" si="148"/>
        <v>25</v>
      </c>
      <c r="E122" s="239">
        <f t="shared" si="145"/>
        <v>3.4090000000000007</v>
      </c>
      <c r="F122" s="232">
        <f t="shared" si="149"/>
        <v>13.636000000000003</v>
      </c>
      <c r="G122" s="232">
        <f t="shared" si="171"/>
        <v>10.908800000000003</v>
      </c>
      <c r="H122" s="232">
        <f t="shared" si="172"/>
        <v>6.8180000000000014</v>
      </c>
      <c r="I122" s="232">
        <f t="shared" ref="I122:J122" si="194">I121</f>
        <v>8</v>
      </c>
      <c r="J122" s="233">
        <f t="shared" si="194"/>
        <v>0</v>
      </c>
      <c r="K122" s="228" t="str">
        <f>D122&amp;-4</f>
        <v>25-4</v>
      </c>
      <c r="L122" s="232">
        <f t="shared" si="116"/>
        <v>0.2</v>
      </c>
      <c r="M122" s="235">
        <v>90</v>
      </c>
      <c r="N122" s="232">
        <f t="shared" ref="N122:Q122" si="195">N121</f>
        <v>150</v>
      </c>
      <c r="O122" s="232">
        <f t="shared" si="195"/>
        <v>160</v>
      </c>
      <c r="P122" s="232">
        <f t="shared" si="195"/>
        <v>270</v>
      </c>
      <c r="Q122" s="230">
        <f t="shared" si="195"/>
        <v>-0.32</v>
      </c>
    </row>
    <row r="123" spans="1:17" x14ac:dyDescent="0.25">
      <c r="A123" s="229">
        <f t="shared" ref="A123:B123" si="196">A122+1</f>
        <v>1853</v>
      </c>
      <c r="B123" s="230">
        <f t="shared" si="196"/>
        <v>113</v>
      </c>
      <c r="C123" s="229" t="str">
        <f t="shared" si="99"/>
        <v>21dB25+000_000_05</v>
      </c>
      <c r="D123" s="231">
        <f t="shared" si="148"/>
        <v>25</v>
      </c>
      <c r="E123" s="239">
        <f t="shared" si="145"/>
        <v>3.4090000000000007</v>
      </c>
      <c r="F123" s="232">
        <f t="shared" si="149"/>
        <v>13.636000000000003</v>
      </c>
      <c r="G123" s="232">
        <f t="shared" si="171"/>
        <v>10.908800000000003</v>
      </c>
      <c r="H123" s="232">
        <f t="shared" si="172"/>
        <v>6.8180000000000014</v>
      </c>
      <c r="I123" s="232">
        <f t="shared" ref="I123:J123" si="197">I122</f>
        <v>8</v>
      </c>
      <c r="J123" s="233">
        <f t="shared" si="197"/>
        <v>0</v>
      </c>
      <c r="K123" s="228" t="str">
        <f>D123&amp;-5</f>
        <v>25-5</v>
      </c>
      <c r="L123" s="232">
        <f t="shared" si="116"/>
        <v>0.2</v>
      </c>
      <c r="M123" s="235">
        <v>0</v>
      </c>
      <c r="N123" s="232">
        <f t="shared" ref="N123:Q123" si="198">N122</f>
        <v>150</v>
      </c>
      <c r="O123" s="232">
        <f t="shared" si="198"/>
        <v>160</v>
      </c>
      <c r="P123" s="232">
        <f t="shared" si="198"/>
        <v>270</v>
      </c>
      <c r="Q123" s="230">
        <f t="shared" si="198"/>
        <v>-0.32</v>
      </c>
    </row>
    <row r="124" spans="1:17" x14ac:dyDescent="0.25">
      <c r="A124" s="229">
        <f t="shared" ref="A124:B124" si="199">A123+1</f>
        <v>1854</v>
      </c>
      <c r="B124" s="230">
        <f t="shared" si="199"/>
        <v>114</v>
      </c>
      <c r="C124" s="229" t="str">
        <f t="shared" si="99"/>
        <v>21dB25+000_030_06</v>
      </c>
      <c r="D124" s="231">
        <f t="shared" si="148"/>
        <v>25</v>
      </c>
      <c r="E124" s="239">
        <f t="shared" si="145"/>
        <v>3.4090000000000007</v>
      </c>
      <c r="F124" s="232">
        <f t="shared" si="149"/>
        <v>13.636000000000003</v>
      </c>
      <c r="G124" s="232">
        <f t="shared" si="171"/>
        <v>10.908800000000003</v>
      </c>
      <c r="H124" s="232">
        <f t="shared" si="172"/>
        <v>6.8180000000000014</v>
      </c>
      <c r="I124" s="232">
        <f t="shared" ref="I124:J124" si="200">I123</f>
        <v>8</v>
      </c>
      <c r="J124" s="233">
        <f t="shared" si="200"/>
        <v>0</v>
      </c>
      <c r="K124" s="228" t="str">
        <f>D124&amp;-6</f>
        <v>25-6</v>
      </c>
      <c r="L124" s="232">
        <f t="shared" si="116"/>
        <v>0.2</v>
      </c>
      <c r="M124" s="235">
        <v>30</v>
      </c>
      <c r="N124" s="232">
        <f t="shared" ref="N124:Q124" si="201">N123</f>
        <v>150</v>
      </c>
      <c r="O124" s="232">
        <f t="shared" si="201"/>
        <v>160</v>
      </c>
      <c r="P124" s="232">
        <f t="shared" si="201"/>
        <v>270</v>
      </c>
      <c r="Q124" s="230">
        <f t="shared" si="201"/>
        <v>-0.32</v>
      </c>
    </row>
    <row r="125" spans="1:17" x14ac:dyDescent="0.25">
      <c r="A125" s="229">
        <f t="shared" ref="A125:B125" si="202">A124+1</f>
        <v>1855</v>
      </c>
      <c r="B125" s="230">
        <f t="shared" si="202"/>
        <v>115</v>
      </c>
      <c r="C125" s="229" t="str">
        <f t="shared" si="99"/>
        <v>21dB25+000_060_07</v>
      </c>
      <c r="D125" s="231">
        <f t="shared" si="148"/>
        <v>25</v>
      </c>
      <c r="E125" s="239">
        <f t="shared" si="145"/>
        <v>3.4090000000000007</v>
      </c>
      <c r="F125" s="232">
        <f t="shared" si="149"/>
        <v>13.636000000000003</v>
      </c>
      <c r="G125" s="232">
        <f t="shared" si="171"/>
        <v>10.908800000000003</v>
      </c>
      <c r="H125" s="232">
        <f t="shared" si="172"/>
        <v>6.8180000000000014</v>
      </c>
      <c r="I125" s="232">
        <f t="shared" ref="I125:J125" si="203">I124</f>
        <v>8</v>
      </c>
      <c r="J125" s="233">
        <f t="shared" si="203"/>
        <v>0</v>
      </c>
      <c r="K125" s="228" t="str">
        <f>D125&amp;-7</f>
        <v>25-7</v>
      </c>
      <c r="L125" s="232">
        <f t="shared" si="116"/>
        <v>0.2</v>
      </c>
      <c r="M125" s="235">
        <v>60</v>
      </c>
      <c r="N125" s="232">
        <f t="shared" ref="N125:Q125" si="204">N124</f>
        <v>150</v>
      </c>
      <c r="O125" s="232">
        <f t="shared" si="204"/>
        <v>160</v>
      </c>
      <c r="P125" s="232">
        <f t="shared" si="204"/>
        <v>270</v>
      </c>
      <c r="Q125" s="230">
        <f t="shared" si="204"/>
        <v>-0.32</v>
      </c>
    </row>
    <row r="126" spans="1:17" x14ac:dyDescent="0.25">
      <c r="A126" s="229">
        <f t="shared" ref="A126:B126" si="205">A125+1</f>
        <v>1856</v>
      </c>
      <c r="B126" s="230">
        <f t="shared" si="205"/>
        <v>116</v>
      </c>
      <c r="C126" s="229" t="str">
        <f t="shared" si="99"/>
        <v>21dB25+000_090_08</v>
      </c>
      <c r="D126" s="231">
        <f t="shared" si="148"/>
        <v>25</v>
      </c>
      <c r="E126" s="239">
        <f t="shared" si="145"/>
        <v>3.4090000000000007</v>
      </c>
      <c r="F126" s="232">
        <f t="shared" si="149"/>
        <v>13.636000000000003</v>
      </c>
      <c r="G126" s="232">
        <f t="shared" si="171"/>
        <v>10.908800000000003</v>
      </c>
      <c r="H126" s="232">
        <f t="shared" si="172"/>
        <v>6.8180000000000014</v>
      </c>
      <c r="I126" s="232">
        <f t="shared" ref="I126:J126" si="206">I125</f>
        <v>8</v>
      </c>
      <c r="J126" s="233">
        <f t="shared" si="206"/>
        <v>0</v>
      </c>
      <c r="K126" s="228" t="str">
        <f>D126&amp;-8</f>
        <v>25-8</v>
      </c>
      <c r="L126" s="232">
        <f t="shared" si="116"/>
        <v>0.2</v>
      </c>
      <c r="M126" s="235">
        <v>90</v>
      </c>
      <c r="N126" s="232">
        <f t="shared" ref="N126:Q126" si="207">N125</f>
        <v>150</v>
      </c>
      <c r="O126" s="232">
        <f t="shared" si="207"/>
        <v>160</v>
      </c>
      <c r="P126" s="232">
        <f t="shared" si="207"/>
        <v>270</v>
      </c>
      <c r="Q126" s="230">
        <f t="shared" si="207"/>
        <v>-0.32</v>
      </c>
    </row>
    <row r="127" spans="1:17" x14ac:dyDescent="0.25">
      <c r="A127" s="229">
        <f t="shared" ref="A127:B127" si="208">A126+1</f>
        <v>1857</v>
      </c>
      <c r="B127" s="230">
        <f t="shared" si="208"/>
        <v>117</v>
      </c>
      <c r="C127" s="229" t="str">
        <f t="shared" si="99"/>
        <v>21dB25+000_000_09</v>
      </c>
      <c r="D127" s="231">
        <f t="shared" si="148"/>
        <v>25</v>
      </c>
      <c r="E127" s="239">
        <f t="shared" si="145"/>
        <v>3.4090000000000007</v>
      </c>
      <c r="F127" s="232">
        <f t="shared" si="149"/>
        <v>13.636000000000003</v>
      </c>
      <c r="G127" s="232">
        <f t="shared" si="171"/>
        <v>10.908800000000003</v>
      </c>
      <c r="H127" s="232">
        <f t="shared" si="172"/>
        <v>6.8180000000000014</v>
      </c>
      <c r="I127" s="232">
        <f t="shared" ref="I127:J127" si="209">I126</f>
        <v>8</v>
      </c>
      <c r="J127" s="233">
        <f t="shared" si="209"/>
        <v>0</v>
      </c>
      <c r="K127" s="228" t="str">
        <f>D127&amp;-9</f>
        <v>25-9</v>
      </c>
      <c r="L127" s="232">
        <f t="shared" si="116"/>
        <v>0.2</v>
      </c>
      <c r="M127" s="235">
        <v>0</v>
      </c>
      <c r="N127" s="232">
        <f t="shared" ref="N127:Q127" si="210">N126</f>
        <v>150</v>
      </c>
      <c r="O127" s="232">
        <f t="shared" si="210"/>
        <v>160</v>
      </c>
      <c r="P127" s="232">
        <f t="shared" si="210"/>
        <v>270</v>
      </c>
      <c r="Q127" s="230">
        <f t="shared" si="210"/>
        <v>-0.32</v>
      </c>
    </row>
    <row r="128" spans="1:17" x14ac:dyDescent="0.25">
      <c r="A128" s="229">
        <f t="shared" ref="A128:B128" si="211">A127+1</f>
        <v>1858</v>
      </c>
      <c r="B128" s="230">
        <f t="shared" si="211"/>
        <v>118</v>
      </c>
      <c r="C128" s="229" t="str">
        <f t="shared" si="99"/>
        <v>21dB25+000_030_10</v>
      </c>
      <c r="D128" s="231">
        <f t="shared" si="148"/>
        <v>25</v>
      </c>
      <c r="E128" s="239">
        <f t="shared" si="145"/>
        <v>3.4090000000000007</v>
      </c>
      <c r="F128" s="232">
        <f t="shared" si="149"/>
        <v>13.636000000000003</v>
      </c>
      <c r="G128" s="232">
        <f t="shared" si="171"/>
        <v>10.908800000000003</v>
      </c>
      <c r="H128" s="232">
        <f t="shared" si="172"/>
        <v>6.8180000000000014</v>
      </c>
      <c r="I128" s="232">
        <f t="shared" ref="I128:J128" si="212">I127</f>
        <v>8</v>
      </c>
      <c r="J128" s="233">
        <f t="shared" si="212"/>
        <v>0</v>
      </c>
      <c r="K128" s="228" t="str">
        <f>D128&amp;-10</f>
        <v>25-10</v>
      </c>
      <c r="L128" s="232">
        <f t="shared" si="116"/>
        <v>0.2</v>
      </c>
      <c r="M128" s="235">
        <v>30</v>
      </c>
      <c r="N128" s="232">
        <f t="shared" ref="N128:Q128" si="213">N127</f>
        <v>150</v>
      </c>
      <c r="O128" s="232">
        <f t="shared" si="213"/>
        <v>160</v>
      </c>
      <c r="P128" s="232">
        <f t="shared" si="213"/>
        <v>270</v>
      </c>
      <c r="Q128" s="230">
        <f t="shared" si="213"/>
        <v>-0.32</v>
      </c>
    </row>
    <row r="129" spans="1:17" x14ac:dyDescent="0.25">
      <c r="A129" s="229">
        <f t="shared" ref="A129:B129" si="214">A128+1</f>
        <v>1859</v>
      </c>
      <c r="B129" s="230">
        <f t="shared" si="214"/>
        <v>119</v>
      </c>
      <c r="C129" s="229" t="str">
        <f t="shared" si="99"/>
        <v>21dB25+000_060_11</v>
      </c>
      <c r="D129" s="231">
        <f>D128</f>
        <v>25</v>
      </c>
      <c r="E129" s="239">
        <f t="shared" si="145"/>
        <v>3.4090000000000007</v>
      </c>
      <c r="F129" s="232">
        <f>E129/D129*100</f>
        <v>13.636000000000003</v>
      </c>
      <c r="G129" s="232">
        <f t="shared" si="171"/>
        <v>10.908800000000003</v>
      </c>
      <c r="H129" s="232">
        <f t="shared" si="172"/>
        <v>6.8180000000000014</v>
      </c>
      <c r="I129" s="232">
        <f t="shared" ref="I129:J129" si="215">I128</f>
        <v>8</v>
      </c>
      <c r="J129" s="233">
        <f t="shared" si="215"/>
        <v>0</v>
      </c>
      <c r="K129" s="228" t="str">
        <f>D129&amp;-11</f>
        <v>25-11</v>
      </c>
      <c r="L129" s="232">
        <f t="shared" si="116"/>
        <v>0.2</v>
      </c>
      <c r="M129" s="235">
        <v>60</v>
      </c>
      <c r="N129" s="232">
        <f t="shared" ref="N129:Q129" si="216">N128</f>
        <v>150</v>
      </c>
      <c r="O129" s="232">
        <f t="shared" si="216"/>
        <v>160</v>
      </c>
      <c r="P129" s="232">
        <f t="shared" si="216"/>
        <v>270</v>
      </c>
      <c r="Q129" s="230">
        <f t="shared" si="216"/>
        <v>-0.32</v>
      </c>
    </row>
    <row r="130" spans="1:17" x14ac:dyDescent="0.25">
      <c r="A130" s="229">
        <f t="shared" ref="A130:B130" si="217">A129+1</f>
        <v>1860</v>
      </c>
      <c r="B130" s="230">
        <f t="shared" si="217"/>
        <v>120</v>
      </c>
      <c r="C130" s="229" t="str">
        <f t="shared" si="99"/>
        <v>21dB25+000_090_12</v>
      </c>
      <c r="D130" s="231">
        <f>D129</f>
        <v>25</v>
      </c>
      <c r="E130" s="239">
        <f t="shared" si="145"/>
        <v>3.4090000000000007</v>
      </c>
      <c r="F130" s="232">
        <f>E130/D130*100</f>
        <v>13.636000000000003</v>
      </c>
      <c r="G130" s="232">
        <f t="shared" si="171"/>
        <v>10.908800000000003</v>
      </c>
      <c r="H130" s="232">
        <f t="shared" si="172"/>
        <v>6.8180000000000014</v>
      </c>
      <c r="I130" s="232">
        <f t="shared" ref="I130:J130" si="218">I129</f>
        <v>8</v>
      </c>
      <c r="J130" s="233">
        <f t="shared" si="218"/>
        <v>0</v>
      </c>
      <c r="K130" s="228" t="str">
        <f>D130&amp;-12</f>
        <v>25-12</v>
      </c>
      <c r="L130" s="232">
        <f t="shared" si="116"/>
        <v>0.2</v>
      </c>
      <c r="M130" s="235">
        <v>90</v>
      </c>
      <c r="N130" s="232">
        <f t="shared" ref="N130:Q130" si="219">N129</f>
        <v>150</v>
      </c>
      <c r="O130" s="232">
        <f t="shared" si="219"/>
        <v>160</v>
      </c>
      <c r="P130" s="232">
        <f t="shared" si="219"/>
        <v>270</v>
      </c>
      <c r="Q130" s="230">
        <f t="shared" si="219"/>
        <v>-0.32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70"/>
  <sheetViews>
    <sheetView topLeftCell="B1" zoomScaleNormal="100" workbookViewId="0">
      <selection activeCell="S6" sqref="S6"/>
    </sheetView>
  </sheetViews>
  <sheetFormatPr defaultColWidth="9" defaultRowHeight="15" x14ac:dyDescent="0.15"/>
  <cols>
    <col min="1" max="1" width="7" style="23" customWidth="1"/>
    <col min="2" max="2" width="7.375" style="23" customWidth="1"/>
    <col min="3" max="3" width="16.75" style="23" customWidth="1"/>
    <col min="4" max="4" width="6.875" style="23" customWidth="1"/>
    <col min="5" max="5" width="7.375" style="23" customWidth="1"/>
    <col min="6" max="6" width="8.125" style="23" customWidth="1"/>
    <col min="7" max="8" width="7.375" style="23" customWidth="1"/>
    <col min="9" max="9" width="8" style="23" customWidth="1"/>
    <col min="10" max="10" width="9" style="23"/>
    <col min="11" max="11" width="8.875" style="23" customWidth="1"/>
    <col min="12" max="12" width="7.375" style="23" customWidth="1"/>
    <col min="13" max="13" width="7.125" style="182" customWidth="1"/>
    <col min="14" max="14" width="6.75" style="23" customWidth="1"/>
    <col min="15" max="15" width="8.375" style="23" customWidth="1"/>
    <col min="16" max="16" width="7" style="23" customWidth="1"/>
    <col min="17" max="17" width="9.375" style="23" customWidth="1"/>
    <col min="18" max="16384" width="9" style="23"/>
  </cols>
  <sheetData>
    <row r="1" spans="1:20" x14ac:dyDescent="0.15">
      <c r="H1" s="22" t="s">
        <v>135</v>
      </c>
      <c r="I1" s="216" t="s">
        <v>3949</v>
      </c>
      <c r="J1" s="21"/>
    </row>
    <row r="2" spans="1:20" x14ac:dyDescent="0.15">
      <c r="B2" s="22" t="s">
        <v>3690</v>
      </c>
      <c r="C2" s="22"/>
      <c r="D2" s="22"/>
      <c r="E2" s="22"/>
      <c r="F2" s="22"/>
      <c r="G2" s="22"/>
      <c r="H2" s="22"/>
      <c r="I2" s="216" t="s">
        <v>3928</v>
      </c>
      <c r="J2" s="21"/>
      <c r="S2" s="120"/>
    </row>
    <row r="3" spans="1:20" x14ac:dyDescent="0.15">
      <c r="B3" s="22" t="s">
        <v>88</v>
      </c>
      <c r="C3" s="22"/>
      <c r="D3" s="22"/>
      <c r="E3" s="22" t="s">
        <v>95</v>
      </c>
      <c r="F3" s="22"/>
      <c r="G3" s="22"/>
      <c r="H3" s="22"/>
      <c r="I3" s="240" t="s">
        <v>3939</v>
      </c>
      <c r="J3" s="21"/>
      <c r="S3" s="119"/>
      <c r="T3" s="119"/>
    </row>
    <row r="4" spans="1:20" x14ac:dyDescent="0.15">
      <c r="B4" s="22" t="s">
        <v>89</v>
      </c>
      <c r="C4" s="22"/>
      <c r="D4" s="22"/>
      <c r="E4" s="22" t="s">
        <v>3685</v>
      </c>
      <c r="F4" s="22"/>
      <c r="G4" s="22"/>
      <c r="H4" s="22"/>
      <c r="I4" s="216" t="s">
        <v>3942</v>
      </c>
      <c r="J4" s="21"/>
      <c r="S4" s="119"/>
      <c r="T4" s="119"/>
    </row>
    <row r="5" spans="1:20" x14ac:dyDescent="0.15">
      <c r="B5" s="22" t="s">
        <v>91</v>
      </c>
      <c r="C5" s="22"/>
      <c r="D5" s="22"/>
      <c r="E5" s="22" t="s">
        <v>99</v>
      </c>
      <c r="F5" s="22"/>
      <c r="G5" s="22"/>
      <c r="H5" s="22"/>
      <c r="I5" s="240" t="s">
        <v>3940</v>
      </c>
      <c r="J5" s="21"/>
      <c r="S5" s="119"/>
      <c r="T5" s="119"/>
    </row>
    <row r="6" spans="1:20" x14ac:dyDescent="0.15">
      <c r="B6" s="22" t="s">
        <v>93</v>
      </c>
      <c r="C6" s="22"/>
      <c r="D6" s="22"/>
      <c r="E6" s="22" t="s">
        <v>106</v>
      </c>
      <c r="F6" s="22"/>
      <c r="G6" s="22"/>
      <c r="H6" s="22"/>
      <c r="I6" s="216" t="s">
        <v>3932</v>
      </c>
      <c r="J6" s="21"/>
      <c r="S6" s="119"/>
      <c r="T6" s="119"/>
    </row>
    <row r="7" spans="1:20" x14ac:dyDescent="0.15">
      <c r="I7" s="216" t="s">
        <v>3930</v>
      </c>
      <c r="P7" s="22"/>
      <c r="S7" s="119"/>
      <c r="T7" s="119"/>
    </row>
    <row r="8" spans="1:20" ht="15.75" thickBot="1" x14ac:dyDescent="0.2">
      <c r="A8" s="46">
        <v>1</v>
      </c>
      <c r="B8" s="46">
        <v>2</v>
      </c>
      <c r="C8" s="139">
        <v>3</v>
      </c>
      <c r="D8" s="139">
        <v>4</v>
      </c>
      <c r="E8" s="139">
        <v>5</v>
      </c>
      <c r="F8" s="139">
        <v>6</v>
      </c>
      <c r="G8" s="139">
        <v>7</v>
      </c>
      <c r="H8" s="139">
        <v>8</v>
      </c>
      <c r="I8" s="139">
        <v>9</v>
      </c>
      <c r="J8" s="139">
        <v>10</v>
      </c>
      <c r="K8" s="139">
        <v>11</v>
      </c>
      <c r="L8" s="139">
        <v>12</v>
      </c>
      <c r="M8" s="139">
        <v>13</v>
      </c>
      <c r="N8" s="139">
        <v>14</v>
      </c>
      <c r="O8" s="139">
        <v>15</v>
      </c>
      <c r="P8" s="139">
        <v>16</v>
      </c>
      <c r="Q8" s="139">
        <v>18</v>
      </c>
      <c r="R8" s="46"/>
      <c r="S8" s="119"/>
      <c r="T8" s="119"/>
    </row>
    <row r="9" spans="1:20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140</v>
      </c>
      <c r="K9" s="26" t="s">
        <v>3</v>
      </c>
      <c r="L9" s="25" t="s">
        <v>141</v>
      </c>
      <c r="M9" s="184" t="s">
        <v>13</v>
      </c>
      <c r="N9" s="27" t="s">
        <v>138</v>
      </c>
      <c r="O9" s="47" t="s">
        <v>160</v>
      </c>
      <c r="P9" s="27" t="s">
        <v>139</v>
      </c>
      <c r="Q9" s="27" t="s">
        <v>933</v>
      </c>
      <c r="S9" s="119"/>
      <c r="T9" s="119"/>
    </row>
    <row r="10" spans="1:20" ht="15.75" thickBot="1" x14ac:dyDescent="0.3">
      <c r="A10" s="29" t="s">
        <v>76</v>
      </c>
      <c r="B10" s="30" t="str">
        <f>B2</f>
        <v>DLC22a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190" t="s">
        <v>7</v>
      </c>
      <c r="N10" s="32" t="s">
        <v>7</v>
      </c>
      <c r="O10" s="32" t="s">
        <v>7</v>
      </c>
      <c r="P10" s="32" t="s">
        <v>7</v>
      </c>
      <c r="Q10" s="32"/>
      <c r="S10" s="119"/>
      <c r="T10" s="119"/>
    </row>
    <row r="11" spans="1:20" ht="15.75" thickBot="1" x14ac:dyDescent="0.3">
      <c r="A11" s="24">
        <f>DLC21d!A130+1</f>
        <v>1861</v>
      </c>
      <c r="B11" s="27">
        <v>1</v>
      </c>
      <c r="C11" s="24" t="str">
        <f>TEXT(RIGHT($B$2,LEN($B$2)-3),"000")&amp;"X"&amp;TEXT(D11,"00")&amp;"+"&amp;IF(J11&lt;0,TEXT(360+J11,"000"),TEXT(J11,"000"))&amp;"_"&amp;TEXT(M11,"000")&amp;"_"&amp;TEXT(RIGHT(K11,LEN(K11)-FIND("-",K11)),"00")</f>
        <v>22aX08+000_000_01</v>
      </c>
      <c r="D11" s="34">
        <f t="shared" ref="D11" si="0">vr_b</f>
        <v>7.8000000000000007</v>
      </c>
      <c r="E11" s="60">
        <f t="shared" ref="E11:E22" si="1">I_ref*(0.75*D11+5.6)</f>
        <v>1.603</v>
      </c>
      <c r="F11" s="35">
        <f>E11/D11*100</f>
        <v>20.551282051282051</v>
      </c>
      <c r="G11" s="35">
        <f t="shared" ref="G11:G22" si="2">m_ty*F11</f>
        <v>16.441025641025643</v>
      </c>
      <c r="H11" s="35">
        <f t="shared" ref="H11:H22" si="3">m_tz*F11</f>
        <v>10.275641025641026</v>
      </c>
      <c r="I11" s="35">
        <f>inflow</f>
        <v>8</v>
      </c>
      <c r="J11" s="193">
        <f>yaw_null</f>
        <v>0</v>
      </c>
      <c r="K11" s="194" t="str">
        <f>D11&amp;-1</f>
        <v>7.8-1</v>
      </c>
      <c r="L11" s="35">
        <f>alpha_n</f>
        <v>0.2</v>
      </c>
      <c r="M11" s="49">
        <v>0</v>
      </c>
      <c r="N11" s="44">
        <f>t_out</f>
        <v>150</v>
      </c>
      <c r="O11" s="44">
        <f>trig_t</f>
        <v>160</v>
      </c>
      <c r="P11" s="44">
        <f>N11+4*T_s2</f>
        <v>390</v>
      </c>
      <c r="Q11" s="42" t="s">
        <v>76</v>
      </c>
      <c r="S11" s="119"/>
      <c r="T11" s="119"/>
    </row>
    <row r="12" spans="1:20" ht="15.75" thickBot="1" x14ac:dyDescent="0.3">
      <c r="A12" s="41">
        <f>A11+1</f>
        <v>1862</v>
      </c>
      <c r="B12" s="42">
        <f>B11+1</f>
        <v>2</v>
      </c>
      <c r="C12" s="218" t="str">
        <f t="shared" ref="C12:C70" si="4">TEXT(RIGHT($B$2,LEN($B$2)-3),"000")&amp;"X"&amp;TEXT(D12,"00")&amp;"+"&amp;IF(J12&lt;0,TEXT(360+J12,"000"),TEXT(J12,"000"))&amp;"_"&amp;TEXT(M12,"000")&amp;"_"&amp;TEXT(RIGHT(K12,LEN(K12)-FIND("-",K12)),"00")</f>
        <v>22aX08+000_030_02</v>
      </c>
      <c r="D12" s="43">
        <f>D11</f>
        <v>7.8000000000000007</v>
      </c>
      <c r="E12" s="61">
        <f t="shared" si="1"/>
        <v>1.603</v>
      </c>
      <c r="F12" s="44">
        <f>E12/D12*100</f>
        <v>20.551282051282051</v>
      </c>
      <c r="G12" s="44">
        <f t="shared" si="2"/>
        <v>16.441025641025643</v>
      </c>
      <c r="H12" s="44">
        <f t="shared" si="3"/>
        <v>10.275641025641026</v>
      </c>
      <c r="I12" s="44">
        <f>I11</f>
        <v>8</v>
      </c>
      <c r="J12" s="199">
        <f>J11</f>
        <v>0</v>
      </c>
      <c r="K12" s="194" t="str">
        <f>D12&amp;-2</f>
        <v>7.8-2</v>
      </c>
      <c r="L12" s="44">
        <f t="shared" ref="L12:Q12" si="5">L11</f>
        <v>0.2</v>
      </c>
      <c r="M12" s="49">
        <v>30</v>
      </c>
      <c r="N12" s="44">
        <f t="shared" si="5"/>
        <v>150</v>
      </c>
      <c r="O12" s="44">
        <f t="shared" si="5"/>
        <v>160</v>
      </c>
      <c r="P12" s="44">
        <f t="shared" si="5"/>
        <v>390</v>
      </c>
      <c r="Q12" s="42" t="str">
        <f t="shared" si="5"/>
        <v>-</v>
      </c>
    </row>
    <row r="13" spans="1:20" ht="15.75" thickBot="1" x14ac:dyDescent="0.3">
      <c r="A13" s="229">
        <f t="shared" ref="A13:A70" si="6">A12+1</f>
        <v>1863</v>
      </c>
      <c r="B13" s="230">
        <f t="shared" ref="B13:B70" si="7">B12+1</f>
        <v>3</v>
      </c>
      <c r="C13" s="218" t="str">
        <f t="shared" si="4"/>
        <v>22aX08+000_060_03</v>
      </c>
      <c r="D13" s="197">
        <f t="shared" ref="D13:D22" si="8">D12</f>
        <v>7.8000000000000007</v>
      </c>
      <c r="E13" s="61">
        <f t="shared" si="1"/>
        <v>1.603</v>
      </c>
      <c r="F13" s="44">
        <f t="shared" ref="F13:F22" si="9">E13/D13*100</f>
        <v>20.551282051282051</v>
      </c>
      <c r="G13" s="44">
        <f t="shared" si="2"/>
        <v>16.441025641025643</v>
      </c>
      <c r="H13" s="44">
        <f t="shared" si="3"/>
        <v>10.275641025641026</v>
      </c>
      <c r="I13" s="44">
        <f t="shared" ref="I13:J22" si="10">I12</f>
        <v>8</v>
      </c>
      <c r="J13" s="199">
        <f t="shared" si="10"/>
        <v>0</v>
      </c>
      <c r="K13" s="194" t="str">
        <f>D13&amp;-3</f>
        <v>7.8-3</v>
      </c>
      <c r="L13" s="44">
        <f t="shared" ref="L13:P22" si="11">L12</f>
        <v>0.2</v>
      </c>
      <c r="M13" s="49">
        <v>60</v>
      </c>
      <c r="N13" s="44">
        <f t="shared" si="11"/>
        <v>150</v>
      </c>
      <c r="O13" s="44">
        <f t="shared" ref="O13:O22" si="12">O12</f>
        <v>160</v>
      </c>
      <c r="P13" s="44">
        <f t="shared" si="11"/>
        <v>390</v>
      </c>
      <c r="Q13" s="42" t="str">
        <f t="shared" ref="Q13:Q22" si="13">Q12</f>
        <v>-</v>
      </c>
    </row>
    <row r="14" spans="1:20" ht="15.75" thickBot="1" x14ac:dyDescent="0.3">
      <c r="A14" s="229">
        <f t="shared" si="6"/>
        <v>1864</v>
      </c>
      <c r="B14" s="230">
        <f t="shared" si="7"/>
        <v>4</v>
      </c>
      <c r="C14" s="218" t="str">
        <f t="shared" si="4"/>
        <v>22aX08+000_090_04</v>
      </c>
      <c r="D14" s="197">
        <f t="shared" si="8"/>
        <v>7.8000000000000007</v>
      </c>
      <c r="E14" s="61">
        <f t="shared" si="1"/>
        <v>1.603</v>
      </c>
      <c r="F14" s="44">
        <f t="shared" si="9"/>
        <v>20.551282051282051</v>
      </c>
      <c r="G14" s="44">
        <f t="shared" si="2"/>
        <v>16.441025641025643</v>
      </c>
      <c r="H14" s="44">
        <f t="shared" si="3"/>
        <v>10.275641025641026</v>
      </c>
      <c r="I14" s="44">
        <f t="shared" si="10"/>
        <v>8</v>
      </c>
      <c r="J14" s="199">
        <f t="shared" si="10"/>
        <v>0</v>
      </c>
      <c r="K14" s="194" t="str">
        <f>D14&amp;-4</f>
        <v>7.8-4</v>
      </c>
      <c r="L14" s="44">
        <f t="shared" si="11"/>
        <v>0.2</v>
      </c>
      <c r="M14" s="49">
        <v>90</v>
      </c>
      <c r="N14" s="44">
        <f t="shared" si="11"/>
        <v>150</v>
      </c>
      <c r="O14" s="44">
        <f t="shared" si="12"/>
        <v>160</v>
      </c>
      <c r="P14" s="44">
        <f t="shared" si="11"/>
        <v>390</v>
      </c>
      <c r="Q14" s="42" t="str">
        <f t="shared" si="13"/>
        <v>-</v>
      </c>
    </row>
    <row r="15" spans="1:20" ht="15.75" thickBot="1" x14ac:dyDescent="0.3">
      <c r="A15" s="229">
        <f t="shared" si="6"/>
        <v>1865</v>
      </c>
      <c r="B15" s="230">
        <f t="shared" si="7"/>
        <v>5</v>
      </c>
      <c r="C15" s="218" t="str">
        <f t="shared" si="4"/>
        <v>22aX08+000_000_05</v>
      </c>
      <c r="D15" s="197">
        <f t="shared" si="8"/>
        <v>7.8000000000000007</v>
      </c>
      <c r="E15" s="61">
        <f t="shared" si="1"/>
        <v>1.603</v>
      </c>
      <c r="F15" s="44">
        <f t="shared" si="9"/>
        <v>20.551282051282051</v>
      </c>
      <c r="G15" s="44">
        <f t="shared" si="2"/>
        <v>16.441025641025643</v>
      </c>
      <c r="H15" s="44">
        <f t="shared" si="3"/>
        <v>10.275641025641026</v>
      </c>
      <c r="I15" s="44">
        <f t="shared" si="10"/>
        <v>8</v>
      </c>
      <c r="J15" s="199">
        <f t="shared" si="10"/>
        <v>0</v>
      </c>
      <c r="K15" s="194" t="str">
        <f>D15&amp;-5</f>
        <v>7.8-5</v>
      </c>
      <c r="L15" s="44">
        <f t="shared" si="11"/>
        <v>0.2</v>
      </c>
      <c r="M15" s="49">
        <v>0</v>
      </c>
      <c r="N15" s="44">
        <f t="shared" si="11"/>
        <v>150</v>
      </c>
      <c r="O15" s="44">
        <f t="shared" si="12"/>
        <v>160</v>
      </c>
      <c r="P15" s="44">
        <f t="shared" si="11"/>
        <v>390</v>
      </c>
      <c r="Q15" s="42" t="str">
        <f t="shared" si="13"/>
        <v>-</v>
      </c>
    </row>
    <row r="16" spans="1:20" ht="15.75" thickBot="1" x14ac:dyDescent="0.3">
      <c r="A16" s="229">
        <f t="shared" si="6"/>
        <v>1866</v>
      </c>
      <c r="B16" s="230">
        <f t="shared" si="7"/>
        <v>6</v>
      </c>
      <c r="C16" s="218" t="str">
        <f t="shared" si="4"/>
        <v>22aX08+000_030_06</v>
      </c>
      <c r="D16" s="197">
        <f t="shared" si="8"/>
        <v>7.8000000000000007</v>
      </c>
      <c r="E16" s="61">
        <f t="shared" si="1"/>
        <v>1.603</v>
      </c>
      <c r="F16" s="44">
        <f t="shared" si="9"/>
        <v>20.551282051282051</v>
      </c>
      <c r="G16" s="44">
        <f t="shared" si="2"/>
        <v>16.441025641025643</v>
      </c>
      <c r="H16" s="44">
        <f t="shared" si="3"/>
        <v>10.275641025641026</v>
      </c>
      <c r="I16" s="44">
        <f t="shared" si="10"/>
        <v>8</v>
      </c>
      <c r="J16" s="199">
        <f t="shared" si="10"/>
        <v>0</v>
      </c>
      <c r="K16" s="194" t="str">
        <f>D16&amp;-6</f>
        <v>7.8-6</v>
      </c>
      <c r="L16" s="44">
        <f t="shared" si="11"/>
        <v>0.2</v>
      </c>
      <c r="M16" s="49">
        <v>30</v>
      </c>
      <c r="N16" s="44">
        <f t="shared" si="11"/>
        <v>150</v>
      </c>
      <c r="O16" s="44">
        <f t="shared" si="12"/>
        <v>160</v>
      </c>
      <c r="P16" s="44">
        <f t="shared" si="11"/>
        <v>390</v>
      </c>
      <c r="Q16" s="42" t="str">
        <f t="shared" si="13"/>
        <v>-</v>
      </c>
    </row>
    <row r="17" spans="1:24" ht="15.75" thickBot="1" x14ac:dyDescent="0.3">
      <c r="A17" s="229">
        <f t="shared" si="6"/>
        <v>1867</v>
      </c>
      <c r="B17" s="230">
        <f t="shared" si="7"/>
        <v>7</v>
      </c>
      <c r="C17" s="218" t="str">
        <f t="shared" si="4"/>
        <v>22aX08+000_060_07</v>
      </c>
      <c r="D17" s="197">
        <f t="shared" si="8"/>
        <v>7.8000000000000007</v>
      </c>
      <c r="E17" s="61">
        <f t="shared" si="1"/>
        <v>1.603</v>
      </c>
      <c r="F17" s="44">
        <f t="shared" si="9"/>
        <v>20.551282051282051</v>
      </c>
      <c r="G17" s="44">
        <f t="shared" si="2"/>
        <v>16.441025641025643</v>
      </c>
      <c r="H17" s="44">
        <f t="shared" si="3"/>
        <v>10.275641025641026</v>
      </c>
      <c r="I17" s="44">
        <f t="shared" si="10"/>
        <v>8</v>
      </c>
      <c r="J17" s="199">
        <f t="shared" si="10"/>
        <v>0</v>
      </c>
      <c r="K17" s="194" t="str">
        <f>D17&amp;-7</f>
        <v>7.8-7</v>
      </c>
      <c r="L17" s="44">
        <f t="shared" si="11"/>
        <v>0.2</v>
      </c>
      <c r="M17" s="49">
        <v>60</v>
      </c>
      <c r="N17" s="44">
        <f t="shared" si="11"/>
        <v>150</v>
      </c>
      <c r="O17" s="44">
        <f t="shared" si="12"/>
        <v>160</v>
      </c>
      <c r="P17" s="44">
        <f t="shared" si="11"/>
        <v>390</v>
      </c>
      <c r="Q17" s="42" t="str">
        <f t="shared" si="13"/>
        <v>-</v>
      </c>
    </row>
    <row r="18" spans="1:24" ht="15.75" thickBot="1" x14ac:dyDescent="0.3">
      <c r="A18" s="229">
        <f t="shared" si="6"/>
        <v>1868</v>
      </c>
      <c r="B18" s="230">
        <f t="shared" si="7"/>
        <v>8</v>
      </c>
      <c r="C18" s="218" t="str">
        <f t="shared" si="4"/>
        <v>22aX08+000_090_08</v>
      </c>
      <c r="D18" s="197">
        <f t="shared" si="8"/>
        <v>7.8000000000000007</v>
      </c>
      <c r="E18" s="61">
        <f t="shared" si="1"/>
        <v>1.603</v>
      </c>
      <c r="F18" s="44">
        <f t="shared" si="9"/>
        <v>20.551282051282051</v>
      </c>
      <c r="G18" s="44">
        <f t="shared" si="2"/>
        <v>16.441025641025643</v>
      </c>
      <c r="H18" s="44">
        <f t="shared" si="3"/>
        <v>10.275641025641026</v>
      </c>
      <c r="I18" s="44">
        <f t="shared" si="10"/>
        <v>8</v>
      </c>
      <c r="J18" s="199">
        <f t="shared" si="10"/>
        <v>0</v>
      </c>
      <c r="K18" s="194" t="str">
        <f>D18&amp;-8</f>
        <v>7.8-8</v>
      </c>
      <c r="L18" s="44">
        <f t="shared" si="11"/>
        <v>0.2</v>
      </c>
      <c r="M18" s="49">
        <v>90</v>
      </c>
      <c r="N18" s="44">
        <f t="shared" si="11"/>
        <v>150</v>
      </c>
      <c r="O18" s="44">
        <f t="shared" si="12"/>
        <v>160</v>
      </c>
      <c r="P18" s="44">
        <f t="shared" si="11"/>
        <v>390</v>
      </c>
      <c r="Q18" s="42" t="str">
        <f t="shared" si="13"/>
        <v>-</v>
      </c>
    </row>
    <row r="19" spans="1:24" ht="15.75" thickBot="1" x14ac:dyDescent="0.3">
      <c r="A19" s="229">
        <f t="shared" si="6"/>
        <v>1869</v>
      </c>
      <c r="B19" s="230">
        <f t="shared" si="7"/>
        <v>9</v>
      </c>
      <c r="C19" s="218" t="str">
        <f t="shared" si="4"/>
        <v>22aX08+000_000_09</v>
      </c>
      <c r="D19" s="197">
        <f t="shared" si="8"/>
        <v>7.8000000000000007</v>
      </c>
      <c r="E19" s="61">
        <f t="shared" si="1"/>
        <v>1.603</v>
      </c>
      <c r="F19" s="44">
        <f t="shared" si="9"/>
        <v>20.551282051282051</v>
      </c>
      <c r="G19" s="44">
        <f t="shared" si="2"/>
        <v>16.441025641025643</v>
      </c>
      <c r="H19" s="44">
        <f t="shared" si="3"/>
        <v>10.275641025641026</v>
      </c>
      <c r="I19" s="44">
        <f t="shared" si="10"/>
        <v>8</v>
      </c>
      <c r="J19" s="199">
        <f t="shared" si="10"/>
        <v>0</v>
      </c>
      <c r="K19" s="194" t="str">
        <f>D19&amp;-9</f>
        <v>7.8-9</v>
      </c>
      <c r="L19" s="44">
        <f t="shared" si="11"/>
        <v>0.2</v>
      </c>
      <c r="M19" s="49">
        <v>0</v>
      </c>
      <c r="N19" s="44">
        <f t="shared" si="11"/>
        <v>150</v>
      </c>
      <c r="O19" s="44">
        <f t="shared" si="12"/>
        <v>160</v>
      </c>
      <c r="P19" s="44">
        <f t="shared" si="11"/>
        <v>390</v>
      </c>
      <c r="Q19" s="42" t="str">
        <f t="shared" si="13"/>
        <v>-</v>
      </c>
    </row>
    <row r="20" spans="1:24" ht="15.75" thickBot="1" x14ac:dyDescent="0.3">
      <c r="A20" s="229">
        <f t="shared" si="6"/>
        <v>1870</v>
      </c>
      <c r="B20" s="230">
        <f t="shared" si="7"/>
        <v>10</v>
      </c>
      <c r="C20" s="218" t="str">
        <f t="shared" si="4"/>
        <v>22aX08+000_030_10</v>
      </c>
      <c r="D20" s="197">
        <f t="shared" si="8"/>
        <v>7.8000000000000007</v>
      </c>
      <c r="E20" s="61">
        <f t="shared" si="1"/>
        <v>1.603</v>
      </c>
      <c r="F20" s="44">
        <f t="shared" si="9"/>
        <v>20.551282051282051</v>
      </c>
      <c r="G20" s="44">
        <f t="shared" si="2"/>
        <v>16.441025641025643</v>
      </c>
      <c r="H20" s="44">
        <f t="shared" si="3"/>
        <v>10.275641025641026</v>
      </c>
      <c r="I20" s="44">
        <f t="shared" si="10"/>
        <v>8</v>
      </c>
      <c r="J20" s="199">
        <f t="shared" si="10"/>
        <v>0</v>
      </c>
      <c r="K20" s="194" t="str">
        <f>D20&amp;-10</f>
        <v>7.8-10</v>
      </c>
      <c r="L20" s="44">
        <f t="shared" si="11"/>
        <v>0.2</v>
      </c>
      <c r="M20" s="49">
        <v>30</v>
      </c>
      <c r="N20" s="44">
        <f t="shared" si="11"/>
        <v>150</v>
      </c>
      <c r="O20" s="44">
        <f t="shared" si="12"/>
        <v>160</v>
      </c>
      <c r="P20" s="44">
        <f t="shared" si="11"/>
        <v>390</v>
      </c>
      <c r="Q20" s="42" t="str">
        <f t="shared" si="13"/>
        <v>-</v>
      </c>
    </row>
    <row r="21" spans="1:24" ht="15.75" thickBot="1" x14ac:dyDescent="0.3">
      <c r="A21" s="229">
        <f t="shared" si="6"/>
        <v>1871</v>
      </c>
      <c r="B21" s="230">
        <f t="shared" si="7"/>
        <v>11</v>
      </c>
      <c r="C21" s="218" t="str">
        <f t="shared" si="4"/>
        <v>22aX08+000_060_11</v>
      </c>
      <c r="D21" s="197">
        <f t="shared" si="8"/>
        <v>7.8000000000000007</v>
      </c>
      <c r="E21" s="61">
        <f t="shared" si="1"/>
        <v>1.603</v>
      </c>
      <c r="F21" s="44">
        <f t="shared" si="9"/>
        <v>20.551282051282051</v>
      </c>
      <c r="G21" s="44">
        <f t="shared" si="2"/>
        <v>16.441025641025643</v>
      </c>
      <c r="H21" s="44">
        <f t="shared" si="3"/>
        <v>10.275641025641026</v>
      </c>
      <c r="I21" s="44">
        <f t="shared" si="10"/>
        <v>8</v>
      </c>
      <c r="J21" s="199">
        <f t="shared" si="10"/>
        <v>0</v>
      </c>
      <c r="K21" s="194" t="str">
        <f>D21&amp;-11</f>
        <v>7.8-11</v>
      </c>
      <c r="L21" s="44">
        <f t="shared" si="11"/>
        <v>0.2</v>
      </c>
      <c r="M21" s="49">
        <v>60</v>
      </c>
      <c r="N21" s="44">
        <f t="shared" si="11"/>
        <v>150</v>
      </c>
      <c r="O21" s="44">
        <f t="shared" si="12"/>
        <v>160</v>
      </c>
      <c r="P21" s="44">
        <f t="shared" si="11"/>
        <v>390</v>
      </c>
      <c r="Q21" s="42" t="str">
        <f t="shared" si="13"/>
        <v>-</v>
      </c>
      <c r="S21" s="94"/>
      <c r="T21" s="95"/>
      <c r="U21" s="95"/>
      <c r="V21" s="95"/>
      <c r="W21" s="95"/>
      <c r="X21" s="95"/>
    </row>
    <row r="22" spans="1:24" ht="15.75" thickBot="1" x14ac:dyDescent="0.3">
      <c r="A22" s="229">
        <f t="shared" si="6"/>
        <v>1872</v>
      </c>
      <c r="B22" s="230">
        <f t="shared" si="7"/>
        <v>12</v>
      </c>
      <c r="C22" s="218" t="str">
        <f t="shared" si="4"/>
        <v>22aX08+000_090_12</v>
      </c>
      <c r="D22" s="197">
        <f t="shared" si="8"/>
        <v>7.8000000000000007</v>
      </c>
      <c r="E22" s="61">
        <f t="shared" si="1"/>
        <v>1.603</v>
      </c>
      <c r="F22" s="44">
        <f t="shared" si="9"/>
        <v>20.551282051282051</v>
      </c>
      <c r="G22" s="44">
        <f t="shared" si="2"/>
        <v>16.441025641025643</v>
      </c>
      <c r="H22" s="44">
        <f t="shared" si="3"/>
        <v>10.275641025641026</v>
      </c>
      <c r="I22" s="44">
        <f t="shared" si="10"/>
        <v>8</v>
      </c>
      <c r="J22" s="199">
        <f t="shared" si="10"/>
        <v>0</v>
      </c>
      <c r="K22" s="194" t="str">
        <f>D22&amp;-12</f>
        <v>7.8-12</v>
      </c>
      <c r="L22" s="44">
        <f t="shared" si="11"/>
        <v>0.2</v>
      </c>
      <c r="M22" s="49">
        <v>90</v>
      </c>
      <c r="N22" s="44">
        <f t="shared" si="11"/>
        <v>150</v>
      </c>
      <c r="O22" s="44">
        <f t="shared" si="12"/>
        <v>160</v>
      </c>
      <c r="P22" s="44">
        <f t="shared" si="11"/>
        <v>390</v>
      </c>
      <c r="Q22" s="42" t="str">
        <f t="shared" si="13"/>
        <v>-</v>
      </c>
      <c r="S22" s="95"/>
      <c r="T22" s="95"/>
      <c r="U22" s="95"/>
      <c r="V22" s="95"/>
      <c r="W22" s="95"/>
      <c r="X22" s="95"/>
    </row>
    <row r="23" spans="1:24" s="182" customFormat="1" ht="15.75" thickBot="1" x14ac:dyDescent="0.3">
      <c r="A23" s="229">
        <f t="shared" si="6"/>
        <v>1873</v>
      </c>
      <c r="B23" s="230">
        <f t="shared" si="7"/>
        <v>13</v>
      </c>
      <c r="C23" s="218" t="str">
        <f t="shared" si="4"/>
        <v>22aX10+000_000_01</v>
      </c>
      <c r="D23" s="197">
        <f t="shared" ref="D23" si="14">v_r</f>
        <v>9.8000000000000007</v>
      </c>
      <c r="E23" s="204">
        <f t="shared" ref="E23:E34" si="15">I_ref*(0.75*D23+5.6)</f>
        <v>1.8130000000000002</v>
      </c>
      <c r="F23" s="198">
        <f>E23/D23*100</f>
        <v>18.5</v>
      </c>
      <c r="G23" s="198">
        <f t="shared" ref="G23:G34" si="16">m_ty*F23</f>
        <v>14.8</v>
      </c>
      <c r="H23" s="198">
        <f t="shared" ref="H23:H34" si="17">m_tz*F23</f>
        <v>9.25</v>
      </c>
      <c r="I23" s="198">
        <f>inflow</f>
        <v>8</v>
      </c>
      <c r="J23" s="199">
        <f>yaw_null</f>
        <v>0</v>
      </c>
      <c r="K23" s="194" t="str">
        <f>D23&amp;-1</f>
        <v>9.8-1</v>
      </c>
      <c r="L23" s="198">
        <f>alpha_n</f>
        <v>0.2</v>
      </c>
      <c r="M23" s="49">
        <v>0</v>
      </c>
      <c r="N23" s="198">
        <f>t_out</f>
        <v>150</v>
      </c>
      <c r="O23" s="198">
        <f>trig_t</f>
        <v>160</v>
      </c>
      <c r="P23" s="198">
        <f>N23+4*T_s2</f>
        <v>390</v>
      </c>
      <c r="Q23" s="196" t="s">
        <v>76</v>
      </c>
      <c r="S23" s="119"/>
      <c r="T23" s="119"/>
    </row>
    <row r="24" spans="1:24" s="182" customFormat="1" ht="15.75" thickBot="1" x14ac:dyDescent="0.3">
      <c r="A24" s="229">
        <f t="shared" si="6"/>
        <v>1874</v>
      </c>
      <c r="B24" s="230">
        <f t="shared" si="7"/>
        <v>14</v>
      </c>
      <c r="C24" s="218" t="str">
        <f t="shared" si="4"/>
        <v>22aX10+000_030_02</v>
      </c>
      <c r="D24" s="197">
        <f>D23</f>
        <v>9.8000000000000007</v>
      </c>
      <c r="E24" s="204">
        <f t="shared" si="15"/>
        <v>1.8130000000000002</v>
      </c>
      <c r="F24" s="198">
        <f>E24/D24*100</f>
        <v>18.5</v>
      </c>
      <c r="G24" s="198">
        <f t="shared" si="16"/>
        <v>14.8</v>
      </c>
      <c r="H24" s="198">
        <f t="shared" si="17"/>
        <v>9.25</v>
      </c>
      <c r="I24" s="198">
        <f>I23</f>
        <v>8</v>
      </c>
      <c r="J24" s="199">
        <f>J23</f>
        <v>0</v>
      </c>
      <c r="K24" s="194" t="str">
        <f>D24&amp;-2</f>
        <v>9.8-2</v>
      </c>
      <c r="L24" s="198">
        <f t="shared" ref="L24" si="18">L23</f>
        <v>0.2</v>
      </c>
      <c r="M24" s="49">
        <v>30</v>
      </c>
      <c r="N24" s="198">
        <f t="shared" ref="N24:Q34" si="19">N23</f>
        <v>150</v>
      </c>
      <c r="O24" s="198">
        <f t="shared" si="19"/>
        <v>160</v>
      </c>
      <c r="P24" s="198">
        <f t="shared" si="19"/>
        <v>390</v>
      </c>
      <c r="Q24" s="196" t="str">
        <f t="shared" si="19"/>
        <v>-</v>
      </c>
    </row>
    <row r="25" spans="1:24" s="182" customFormat="1" ht="15.75" thickBot="1" x14ac:dyDescent="0.3">
      <c r="A25" s="229">
        <f t="shared" si="6"/>
        <v>1875</v>
      </c>
      <c r="B25" s="230">
        <f t="shared" si="7"/>
        <v>15</v>
      </c>
      <c r="C25" s="218" t="str">
        <f t="shared" si="4"/>
        <v>22aX10+000_060_03</v>
      </c>
      <c r="D25" s="197">
        <f t="shared" ref="D25:D34" si="20">D24</f>
        <v>9.8000000000000007</v>
      </c>
      <c r="E25" s="204">
        <f t="shared" si="15"/>
        <v>1.8130000000000002</v>
      </c>
      <c r="F25" s="198">
        <f t="shared" ref="F25:F34" si="21">E25/D25*100</f>
        <v>18.5</v>
      </c>
      <c r="G25" s="198">
        <f t="shared" si="16"/>
        <v>14.8</v>
      </c>
      <c r="H25" s="198">
        <f t="shared" si="17"/>
        <v>9.25</v>
      </c>
      <c r="I25" s="198">
        <f t="shared" ref="I25:J25" si="22">I24</f>
        <v>8</v>
      </c>
      <c r="J25" s="199">
        <f t="shared" si="22"/>
        <v>0</v>
      </c>
      <c r="K25" s="194" t="str">
        <f>D25&amp;-3</f>
        <v>9.8-3</v>
      </c>
      <c r="L25" s="198">
        <f t="shared" ref="L25" si="23">L24</f>
        <v>0.2</v>
      </c>
      <c r="M25" s="49">
        <v>60</v>
      </c>
      <c r="N25" s="198">
        <f t="shared" ref="N25" si="24">N24</f>
        <v>150</v>
      </c>
      <c r="O25" s="198">
        <f t="shared" si="19"/>
        <v>160</v>
      </c>
      <c r="P25" s="198">
        <f t="shared" si="19"/>
        <v>390</v>
      </c>
      <c r="Q25" s="196" t="str">
        <f t="shared" si="19"/>
        <v>-</v>
      </c>
    </row>
    <row r="26" spans="1:24" s="182" customFormat="1" ht="15.75" thickBot="1" x14ac:dyDescent="0.3">
      <c r="A26" s="229">
        <f t="shared" si="6"/>
        <v>1876</v>
      </c>
      <c r="B26" s="230">
        <f t="shared" si="7"/>
        <v>16</v>
      </c>
      <c r="C26" s="218" t="str">
        <f t="shared" si="4"/>
        <v>22aX10+000_090_04</v>
      </c>
      <c r="D26" s="197">
        <f t="shared" si="20"/>
        <v>9.8000000000000007</v>
      </c>
      <c r="E26" s="204">
        <f t="shared" si="15"/>
        <v>1.8130000000000002</v>
      </c>
      <c r="F26" s="198">
        <f t="shared" si="21"/>
        <v>18.5</v>
      </c>
      <c r="G26" s="198">
        <f t="shared" si="16"/>
        <v>14.8</v>
      </c>
      <c r="H26" s="198">
        <f t="shared" si="17"/>
        <v>9.25</v>
      </c>
      <c r="I26" s="198">
        <f t="shared" ref="I26:J26" si="25">I25</f>
        <v>8</v>
      </c>
      <c r="J26" s="199">
        <f t="shared" si="25"/>
        <v>0</v>
      </c>
      <c r="K26" s="194" t="str">
        <f>D26&amp;-4</f>
        <v>9.8-4</v>
      </c>
      <c r="L26" s="198">
        <f t="shared" ref="L26" si="26">L25</f>
        <v>0.2</v>
      </c>
      <c r="M26" s="49">
        <v>90</v>
      </c>
      <c r="N26" s="198">
        <f t="shared" ref="N26" si="27">N25</f>
        <v>150</v>
      </c>
      <c r="O26" s="198">
        <f t="shared" si="19"/>
        <v>160</v>
      </c>
      <c r="P26" s="198">
        <f t="shared" si="19"/>
        <v>390</v>
      </c>
      <c r="Q26" s="196" t="str">
        <f t="shared" si="19"/>
        <v>-</v>
      </c>
    </row>
    <row r="27" spans="1:24" s="182" customFormat="1" ht="15.75" thickBot="1" x14ac:dyDescent="0.3">
      <c r="A27" s="229">
        <f t="shared" si="6"/>
        <v>1877</v>
      </c>
      <c r="B27" s="230">
        <f t="shared" si="7"/>
        <v>17</v>
      </c>
      <c r="C27" s="218" t="str">
        <f t="shared" si="4"/>
        <v>22aX10+000_000_05</v>
      </c>
      <c r="D27" s="197">
        <f t="shared" si="20"/>
        <v>9.8000000000000007</v>
      </c>
      <c r="E27" s="204">
        <f t="shared" si="15"/>
        <v>1.8130000000000002</v>
      </c>
      <c r="F27" s="198">
        <f t="shared" si="21"/>
        <v>18.5</v>
      </c>
      <c r="G27" s="198">
        <f t="shared" si="16"/>
        <v>14.8</v>
      </c>
      <c r="H27" s="198">
        <f t="shared" si="17"/>
        <v>9.25</v>
      </c>
      <c r="I27" s="198">
        <f t="shared" ref="I27:J27" si="28">I26</f>
        <v>8</v>
      </c>
      <c r="J27" s="199">
        <f t="shared" si="28"/>
        <v>0</v>
      </c>
      <c r="K27" s="194" t="str">
        <f>D27&amp;-5</f>
        <v>9.8-5</v>
      </c>
      <c r="L27" s="198">
        <f t="shared" ref="L27" si="29">L26</f>
        <v>0.2</v>
      </c>
      <c r="M27" s="49">
        <v>0</v>
      </c>
      <c r="N27" s="198">
        <f t="shared" ref="N27" si="30">N26</f>
        <v>150</v>
      </c>
      <c r="O27" s="198">
        <f t="shared" si="19"/>
        <v>160</v>
      </c>
      <c r="P27" s="198">
        <f t="shared" si="19"/>
        <v>390</v>
      </c>
      <c r="Q27" s="196" t="str">
        <f t="shared" si="19"/>
        <v>-</v>
      </c>
    </row>
    <row r="28" spans="1:24" s="182" customFormat="1" ht="15.75" thickBot="1" x14ac:dyDescent="0.3">
      <c r="A28" s="229">
        <f t="shared" si="6"/>
        <v>1878</v>
      </c>
      <c r="B28" s="230">
        <f t="shared" si="7"/>
        <v>18</v>
      </c>
      <c r="C28" s="218" t="str">
        <f t="shared" si="4"/>
        <v>22aX10+000_030_06</v>
      </c>
      <c r="D28" s="197">
        <f t="shared" si="20"/>
        <v>9.8000000000000007</v>
      </c>
      <c r="E28" s="204">
        <f t="shared" si="15"/>
        <v>1.8130000000000002</v>
      </c>
      <c r="F28" s="198">
        <f t="shared" si="21"/>
        <v>18.5</v>
      </c>
      <c r="G28" s="198">
        <f t="shared" si="16"/>
        <v>14.8</v>
      </c>
      <c r="H28" s="198">
        <f t="shared" si="17"/>
        <v>9.25</v>
      </c>
      <c r="I28" s="198">
        <f t="shared" ref="I28:J28" si="31">I27</f>
        <v>8</v>
      </c>
      <c r="J28" s="199">
        <f t="shared" si="31"/>
        <v>0</v>
      </c>
      <c r="K28" s="194" t="str">
        <f>D28&amp;-6</f>
        <v>9.8-6</v>
      </c>
      <c r="L28" s="198">
        <f t="shared" ref="L28" si="32">L27</f>
        <v>0.2</v>
      </c>
      <c r="M28" s="49">
        <v>30</v>
      </c>
      <c r="N28" s="198">
        <f t="shared" ref="N28" si="33">N27</f>
        <v>150</v>
      </c>
      <c r="O28" s="198">
        <f t="shared" si="19"/>
        <v>160</v>
      </c>
      <c r="P28" s="198">
        <f t="shared" si="19"/>
        <v>390</v>
      </c>
      <c r="Q28" s="196" t="str">
        <f t="shared" si="19"/>
        <v>-</v>
      </c>
    </row>
    <row r="29" spans="1:24" s="182" customFormat="1" ht="15.75" thickBot="1" x14ac:dyDescent="0.3">
      <c r="A29" s="229">
        <f t="shared" si="6"/>
        <v>1879</v>
      </c>
      <c r="B29" s="230">
        <f t="shared" si="7"/>
        <v>19</v>
      </c>
      <c r="C29" s="218" t="str">
        <f t="shared" si="4"/>
        <v>22aX10+000_060_07</v>
      </c>
      <c r="D29" s="197">
        <f t="shared" si="20"/>
        <v>9.8000000000000007</v>
      </c>
      <c r="E29" s="204">
        <f t="shared" si="15"/>
        <v>1.8130000000000002</v>
      </c>
      <c r="F29" s="198">
        <f t="shared" si="21"/>
        <v>18.5</v>
      </c>
      <c r="G29" s="198">
        <f t="shared" si="16"/>
        <v>14.8</v>
      </c>
      <c r="H29" s="198">
        <f t="shared" si="17"/>
        <v>9.25</v>
      </c>
      <c r="I29" s="198">
        <f t="shared" ref="I29:J29" si="34">I28</f>
        <v>8</v>
      </c>
      <c r="J29" s="199">
        <f t="shared" si="34"/>
        <v>0</v>
      </c>
      <c r="K29" s="194" t="str">
        <f>D29&amp;-7</f>
        <v>9.8-7</v>
      </c>
      <c r="L29" s="198">
        <f t="shared" ref="L29" si="35">L28</f>
        <v>0.2</v>
      </c>
      <c r="M29" s="49">
        <v>60</v>
      </c>
      <c r="N29" s="198">
        <f t="shared" ref="N29" si="36">N28</f>
        <v>150</v>
      </c>
      <c r="O29" s="198">
        <f t="shared" si="19"/>
        <v>160</v>
      </c>
      <c r="P29" s="198">
        <f t="shared" si="19"/>
        <v>390</v>
      </c>
      <c r="Q29" s="196" t="str">
        <f t="shared" si="19"/>
        <v>-</v>
      </c>
    </row>
    <row r="30" spans="1:24" s="182" customFormat="1" ht="15.75" thickBot="1" x14ac:dyDescent="0.3">
      <c r="A30" s="229">
        <f t="shared" si="6"/>
        <v>1880</v>
      </c>
      <c r="B30" s="230">
        <f t="shared" si="7"/>
        <v>20</v>
      </c>
      <c r="C30" s="218" t="str">
        <f t="shared" si="4"/>
        <v>22aX10+000_090_08</v>
      </c>
      <c r="D30" s="197">
        <f t="shared" si="20"/>
        <v>9.8000000000000007</v>
      </c>
      <c r="E30" s="204">
        <f t="shared" si="15"/>
        <v>1.8130000000000002</v>
      </c>
      <c r="F30" s="198">
        <f t="shared" si="21"/>
        <v>18.5</v>
      </c>
      <c r="G30" s="198">
        <f t="shared" si="16"/>
        <v>14.8</v>
      </c>
      <c r="H30" s="198">
        <f t="shared" si="17"/>
        <v>9.25</v>
      </c>
      <c r="I30" s="198">
        <f t="shared" ref="I30:J30" si="37">I29</f>
        <v>8</v>
      </c>
      <c r="J30" s="199">
        <f t="shared" si="37"/>
        <v>0</v>
      </c>
      <c r="K30" s="194" t="str">
        <f>D30&amp;-8</f>
        <v>9.8-8</v>
      </c>
      <c r="L30" s="198">
        <f t="shared" ref="L30" si="38">L29</f>
        <v>0.2</v>
      </c>
      <c r="M30" s="49">
        <v>90</v>
      </c>
      <c r="N30" s="198">
        <f t="shared" ref="N30" si="39">N29</f>
        <v>150</v>
      </c>
      <c r="O30" s="198">
        <f t="shared" si="19"/>
        <v>160</v>
      </c>
      <c r="P30" s="198">
        <f t="shared" si="19"/>
        <v>390</v>
      </c>
      <c r="Q30" s="196" t="str">
        <f t="shared" si="19"/>
        <v>-</v>
      </c>
    </row>
    <row r="31" spans="1:24" s="182" customFormat="1" ht="15.75" thickBot="1" x14ac:dyDescent="0.3">
      <c r="A31" s="229">
        <f t="shared" si="6"/>
        <v>1881</v>
      </c>
      <c r="B31" s="230">
        <f t="shared" si="7"/>
        <v>21</v>
      </c>
      <c r="C31" s="218" t="str">
        <f t="shared" si="4"/>
        <v>22aX10+000_000_09</v>
      </c>
      <c r="D31" s="197">
        <f t="shared" si="20"/>
        <v>9.8000000000000007</v>
      </c>
      <c r="E31" s="204">
        <f t="shared" si="15"/>
        <v>1.8130000000000002</v>
      </c>
      <c r="F31" s="198">
        <f t="shared" si="21"/>
        <v>18.5</v>
      </c>
      <c r="G31" s="198">
        <f t="shared" si="16"/>
        <v>14.8</v>
      </c>
      <c r="H31" s="198">
        <f t="shared" si="17"/>
        <v>9.25</v>
      </c>
      <c r="I31" s="198">
        <f t="shared" ref="I31:J31" si="40">I30</f>
        <v>8</v>
      </c>
      <c r="J31" s="199">
        <f t="shared" si="40"/>
        <v>0</v>
      </c>
      <c r="K31" s="194" t="str">
        <f>D31&amp;-9</f>
        <v>9.8-9</v>
      </c>
      <c r="L31" s="198">
        <f t="shared" ref="L31" si="41">L30</f>
        <v>0.2</v>
      </c>
      <c r="M31" s="49">
        <v>0</v>
      </c>
      <c r="N31" s="198">
        <f t="shared" ref="N31" si="42">N30</f>
        <v>150</v>
      </c>
      <c r="O31" s="198">
        <f t="shared" si="19"/>
        <v>160</v>
      </c>
      <c r="P31" s="198">
        <f t="shared" si="19"/>
        <v>390</v>
      </c>
      <c r="Q31" s="196" t="str">
        <f t="shared" si="19"/>
        <v>-</v>
      </c>
    </row>
    <row r="32" spans="1:24" s="182" customFormat="1" ht="15.75" thickBot="1" x14ac:dyDescent="0.3">
      <c r="A32" s="229">
        <f t="shared" si="6"/>
        <v>1882</v>
      </c>
      <c r="B32" s="230">
        <f t="shared" si="7"/>
        <v>22</v>
      </c>
      <c r="C32" s="218" t="str">
        <f t="shared" si="4"/>
        <v>22aX10+000_030_10</v>
      </c>
      <c r="D32" s="197">
        <f t="shared" si="20"/>
        <v>9.8000000000000007</v>
      </c>
      <c r="E32" s="204">
        <f t="shared" si="15"/>
        <v>1.8130000000000002</v>
      </c>
      <c r="F32" s="198">
        <f t="shared" si="21"/>
        <v>18.5</v>
      </c>
      <c r="G32" s="198">
        <f t="shared" si="16"/>
        <v>14.8</v>
      </c>
      <c r="H32" s="198">
        <f t="shared" si="17"/>
        <v>9.25</v>
      </c>
      <c r="I32" s="198">
        <f t="shared" ref="I32:J32" si="43">I31</f>
        <v>8</v>
      </c>
      <c r="J32" s="199">
        <f t="shared" si="43"/>
        <v>0</v>
      </c>
      <c r="K32" s="194" t="str">
        <f>D32&amp;-10</f>
        <v>9.8-10</v>
      </c>
      <c r="L32" s="198">
        <f t="shared" ref="L32" si="44">L31</f>
        <v>0.2</v>
      </c>
      <c r="M32" s="49">
        <v>30</v>
      </c>
      <c r="N32" s="198">
        <f t="shared" ref="N32" si="45">N31</f>
        <v>150</v>
      </c>
      <c r="O32" s="198">
        <f t="shared" si="19"/>
        <v>160</v>
      </c>
      <c r="P32" s="198">
        <f t="shared" si="19"/>
        <v>390</v>
      </c>
      <c r="Q32" s="196" t="str">
        <f t="shared" si="19"/>
        <v>-</v>
      </c>
    </row>
    <row r="33" spans="1:24" s="182" customFormat="1" ht="15.75" thickBot="1" x14ac:dyDescent="0.3">
      <c r="A33" s="229">
        <f t="shared" si="6"/>
        <v>1883</v>
      </c>
      <c r="B33" s="230">
        <f t="shared" si="7"/>
        <v>23</v>
      </c>
      <c r="C33" s="218" t="str">
        <f t="shared" si="4"/>
        <v>22aX10+000_060_11</v>
      </c>
      <c r="D33" s="197">
        <f t="shared" si="20"/>
        <v>9.8000000000000007</v>
      </c>
      <c r="E33" s="204">
        <f t="shared" si="15"/>
        <v>1.8130000000000002</v>
      </c>
      <c r="F33" s="198">
        <f t="shared" si="21"/>
        <v>18.5</v>
      </c>
      <c r="G33" s="198">
        <f t="shared" si="16"/>
        <v>14.8</v>
      </c>
      <c r="H33" s="198">
        <f t="shared" si="17"/>
        <v>9.25</v>
      </c>
      <c r="I33" s="198">
        <f t="shared" ref="I33:J33" si="46">I32</f>
        <v>8</v>
      </c>
      <c r="J33" s="199">
        <f t="shared" si="46"/>
        <v>0</v>
      </c>
      <c r="K33" s="194" t="str">
        <f>D33&amp;-11</f>
        <v>9.8-11</v>
      </c>
      <c r="L33" s="198">
        <f t="shared" ref="L33" si="47">L32</f>
        <v>0.2</v>
      </c>
      <c r="M33" s="49">
        <v>60</v>
      </c>
      <c r="N33" s="198">
        <f t="shared" ref="N33" si="48">N32</f>
        <v>150</v>
      </c>
      <c r="O33" s="198">
        <f t="shared" si="19"/>
        <v>160</v>
      </c>
      <c r="P33" s="198">
        <f t="shared" si="19"/>
        <v>390</v>
      </c>
      <c r="Q33" s="196" t="str">
        <f t="shared" si="19"/>
        <v>-</v>
      </c>
      <c r="S33" s="206"/>
      <c r="T33" s="95"/>
      <c r="U33" s="95"/>
      <c r="V33" s="95"/>
      <c r="W33" s="95"/>
      <c r="X33" s="95"/>
    </row>
    <row r="34" spans="1:24" s="182" customFormat="1" ht="15.75" thickBot="1" x14ac:dyDescent="0.3">
      <c r="A34" s="229">
        <f t="shared" si="6"/>
        <v>1884</v>
      </c>
      <c r="B34" s="230">
        <f t="shared" si="7"/>
        <v>24</v>
      </c>
      <c r="C34" s="218" t="str">
        <f t="shared" si="4"/>
        <v>22aX10+000_090_12</v>
      </c>
      <c r="D34" s="197">
        <f t="shared" si="20"/>
        <v>9.8000000000000007</v>
      </c>
      <c r="E34" s="204">
        <f t="shared" si="15"/>
        <v>1.8130000000000002</v>
      </c>
      <c r="F34" s="198">
        <f t="shared" si="21"/>
        <v>18.5</v>
      </c>
      <c r="G34" s="198">
        <f t="shared" si="16"/>
        <v>14.8</v>
      </c>
      <c r="H34" s="198">
        <f t="shared" si="17"/>
        <v>9.25</v>
      </c>
      <c r="I34" s="198">
        <f t="shared" ref="I34:J34" si="49">I33</f>
        <v>8</v>
      </c>
      <c r="J34" s="199">
        <f t="shared" si="49"/>
        <v>0</v>
      </c>
      <c r="K34" s="194" t="str">
        <f>D34&amp;-12</f>
        <v>9.8-12</v>
      </c>
      <c r="L34" s="198">
        <f t="shared" ref="L34" si="50">L33</f>
        <v>0.2</v>
      </c>
      <c r="M34" s="49">
        <v>90</v>
      </c>
      <c r="N34" s="198">
        <f t="shared" ref="N34" si="51">N33</f>
        <v>150</v>
      </c>
      <c r="O34" s="198">
        <f t="shared" si="19"/>
        <v>160</v>
      </c>
      <c r="P34" s="198">
        <f t="shared" si="19"/>
        <v>390</v>
      </c>
      <c r="Q34" s="196" t="str">
        <f t="shared" si="19"/>
        <v>-</v>
      </c>
      <c r="S34" s="95"/>
      <c r="T34" s="95"/>
      <c r="U34" s="95"/>
      <c r="V34" s="95"/>
      <c r="W34" s="95"/>
      <c r="X34" s="95"/>
    </row>
    <row r="35" spans="1:24" s="182" customFormat="1" ht="15.75" thickBot="1" x14ac:dyDescent="0.3">
      <c r="A35" s="229">
        <f t="shared" si="6"/>
        <v>1885</v>
      </c>
      <c r="B35" s="230">
        <f t="shared" si="7"/>
        <v>25</v>
      </c>
      <c r="C35" s="218" t="str">
        <f t="shared" si="4"/>
        <v>22aX12+000_000_01</v>
      </c>
      <c r="D35" s="197">
        <f>vr_a</f>
        <v>11.8</v>
      </c>
      <c r="E35" s="204">
        <f t="shared" ref="E35:E46" si="52">I_ref*(0.75*D35+5.6)</f>
        <v>2.0230000000000001</v>
      </c>
      <c r="F35" s="198">
        <f>E35/D35*100</f>
        <v>17.14406779661017</v>
      </c>
      <c r="G35" s="198">
        <f t="shared" ref="G35:G46" si="53">m_ty*F35</f>
        <v>13.715254237288136</v>
      </c>
      <c r="H35" s="198">
        <f t="shared" ref="H35:H46" si="54">m_tz*F35</f>
        <v>8.5720338983050848</v>
      </c>
      <c r="I35" s="198">
        <f>inflow</f>
        <v>8</v>
      </c>
      <c r="J35" s="199">
        <f>yaw_null</f>
        <v>0</v>
      </c>
      <c r="K35" s="194" t="str">
        <f>D35&amp;-1</f>
        <v>11.8-1</v>
      </c>
      <c r="L35" s="198">
        <f>alpha_n</f>
        <v>0.2</v>
      </c>
      <c r="M35" s="49">
        <v>0</v>
      </c>
      <c r="N35" s="198">
        <f>t_out</f>
        <v>150</v>
      </c>
      <c r="O35" s="198">
        <f>trig_t</f>
        <v>160</v>
      </c>
      <c r="P35" s="198">
        <f>N35+4*T_s2</f>
        <v>390</v>
      </c>
      <c r="Q35" s="196" t="s">
        <v>76</v>
      </c>
      <c r="S35" s="119"/>
      <c r="T35" s="119"/>
    </row>
    <row r="36" spans="1:24" s="182" customFormat="1" ht="15.75" thickBot="1" x14ac:dyDescent="0.3">
      <c r="A36" s="229">
        <f t="shared" si="6"/>
        <v>1886</v>
      </c>
      <c r="B36" s="230">
        <f t="shared" si="7"/>
        <v>26</v>
      </c>
      <c r="C36" s="218" t="str">
        <f t="shared" si="4"/>
        <v>22aX12+000_030_02</v>
      </c>
      <c r="D36" s="197">
        <f>D35</f>
        <v>11.8</v>
      </c>
      <c r="E36" s="204">
        <f t="shared" si="52"/>
        <v>2.0230000000000001</v>
      </c>
      <c r="F36" s="198">
        <f>E36/D36*100</f>
        <v>17.14406779661017</v>
      </c>
      <c r="G36" s="198">
        <f t="shared" si="53"/>
        <v>13.715254237288136</v>
      </c>
      <c r="H36" s="198">
        <f t="shared" si="54"/>
        <v>8.5720338983050848</v>
      </c>
      <c r="I36" s="198">
        <f>I35</f>
        <v>8</v>
      </c>
      <c r="J36" s="199">
        <f>J35</f>
        <v>0</v>
      </c>
      <c r="K36" s="194" t="str">
        <f>D36&amp;-2</f>
        <v>11.8-2</v>
      </c>
      <c r="L36" s="198">
        <f t="shared" ref="L36:L46" si="55">L35</f>
        <v>0.2</v>
      </c>
      <c r="M36" s="49">
        <v>30</v>
      </c>
      <c r="N36" s="198">
        <f t="shared" ref="N36:Q46" si="56">N35</f>
        <v>150</v>
      </c>
      <c r="O36" s="198">
        <f t="shared" si="56"/>
        <v>160</v>
      </c>
      <c r="P36" s="198">
        <f t="shared" si="56"/>
        <v>390</v>
      </c>
      <c r="Q36" s="196" t="str">
        <f t="shared" si="56"/>
        <v>-</v>
      </c>
    </row>
    <row r="37" spans="1:24" s="182" customFormat="1" ht="15.75" thickBot="1" x14ac:dyDescent="0.3">
      <c r="A37" s="229">
        <f t="shared" si="6"/>
        <v>1887</v>
      </c>
      <c r="B37" s="230">
        <f t="shared" si="7"/>
        <v>27</v>
      </c>
      <c r="C37" s="218" t="str">
        <f t="shared" si="4"/>
        <v>22aX12+000_060_03</v>
      </c>
      <c r="D37" s="197">
        <f t="shared" ref="D37:D46" si="57">D36</f>
        <v>11.8</v>
      </c>
      <c r="E37" s="204">
        <f t="shared" si="52"/>
        <v>2.0230000000000001</v>
      </c>
      <c r="F37" s="198">
        <f t="shared" ref="F37:F46" si="58">E37/D37*100</f>
        <v>17.14406779661017</v>
      </c>
      <c r="G37" s="198">
        <f t="shared" si="53"/>
        <v>13.715254237288136</v>
      </c>
      <c r="H37" s="198">
        <f t="shared" si="54"/>
        <v>8.5720338983050848</v>
      </c>
      <c r="I37" s="198">
        <f t="shared" ref="I37:J37" si="59">I36</f>
        <v>8</v>
      </c>
      <c r="J37" s="199">
        <f t="shared" si="59"/>
        <v>0</v>
      </c>
      <c r="K37" s="194" t="str">
        <f>D37&amp;-3</f>
        <v>11.8-3</v>
      </c>
      <c r="L37" s="198">
        <f t="shared" si="55"/>
        <v>0.2</v>
      </c>
      <c r="M37" s="49">
        <v>60</v>
      </c>
      <c r="N37" s="198">
        <f t="shared" si="56"/>
        <v>150</v>
      </c>
      <c r="O37" s="198">
        <f t="shared" si="56"/>
        <v>160</v>
      </c>
      <c r="P37" s="198">
        <f t="shared" si="56"/>
        <v>390</v>
      </c>
      <c r="Q37" s="196" t="str">
        <f t="shared" ref="Q37" si="60">Q36</f>
        <v>-</v>
      </c>
    </row>
    <row r="38" spans="1:24" s="182" customFormat="1" ht="15.75" thickBot="1" x14ac:dyDescent="0.3">
      <c r="A38" s="229">
        <f t="shared" si="6"/>
        <v>1888</v>
      </c>
      <c r="B38" s="230">
        <f t="shared" si="7"/>
        <v>28</v>
      </c>
      <c r="C38" s="218" t="str">
        <f t="shared" si="4"/>
        <v>22aX12+000_090_04</v>
      </c>
      <c r="D38" s="197">
        <f t="shared" si="57"/>
        <v>11.8</v>
      </c>
      <c r="E38" s="204">
        <f t="shared" si="52"/>
        <v>2.0230000000000001</v>
      </c>
      <c r="F38" s="198">
        <f t="shared" si="58"/>
        <v>17.14406779661017</v>
      </c>
      <c r="G38" s="198">
        <f t="shared" si="53"/>
        <v>13.715254237288136</v>
      </c>
      <c r="H38" s="198">
        <f t="shared" si="54"/>
        <v>8.5720338983050848</v>
      </c>
      <c r="I38" s="198">
        <f t="shared" ref="I38:J38" si="61">I37</f>
        <v>8</v>
      </c>
      <c r="J38" s="199">
        <f t="shared" si="61"/>
        <v>0</v>
      </c>
      <c r="K38" s="194" t="str">
        <f>D38&amp;-4</f>
        <v>11.8-4</v>
      </c>
      <c r="L38" s="198">
        <f t="shared" si="55"/>
        <v>0.2</v>
      </c>
      <c r="M38" s="49">
        <v>90</v>
      </c>
      <c r="N38" s="198">
        <f t="shared" si="56"/>
        <v>150</v>
      </c>
      <c r="O38" s="198">
        <f t="shared" si="56"/>
        <v>160</v>
      </c>
      <c r="P38" s="198">
        <f t="shared" si="56"/>
        <v>390</v>
      </c>
      <c r="Q38" s="196" t="str">
        <f t="shared" si="56"/>
        <v>-</v>
      </c>
    </row>
    <row r="39" spans="1:24" s="182" customFormat="1" ht="15.75" thickBot="1" x14ac:dyDescent="0.3">
      <c r="A39" s="229">
        <f t="shared" si="6"/>
        <v>1889</v>
      </c>
      <c r="B39" s="230">
        <f t="shared" si="7"/>
        <v>29</v>
      </c>
      <c r="C39" s="218" t="str">
        <f t="shared" si="4"/>
        <v>22aX12+000_000_05</v>
      </c>
      <c r="D39" s="197">
        <f t="shared" si="57"/>
        <v>11.8</v>
      </c>
      <c r="E39" s="204">
        <f t="shared" si="52"/>
        <v>2.0230000000000001</v>
      </c>
      <c r="F39" s="198">
        <f t="shared" si="58"/>
        <v>17.14406779661017</v>
      </c>
      <c r="G39" s="198">
        <f t="shared" si="53"/>
        <v>13.715254237288136</v>
      </c>
      <c r="H39" s="198">
        <f t="shared" si="54"/>
        <v>8.5720338983050848</v>
      </c>
      <c r="I39" s="198">
        <f t="shared" ref="I39:J39" si="62">I38</f>
        <v>8</v>
      </c>
      <c r="J39" s="199">
        <f t="shared" si="62"/>
        <v>0</v>
      </c>
      <c r="K39" s="194" t="str">
        <f>D39&amp;-5</f>
        <v>11.8-5</v>
      </c>
      <c r="L39" s="198">
        <f t="shared" si="55"/>
        <v>0.2</v>
      </c>
      <c r="M39" s="49">
        <v>0</v>
      </c>
      <c r="N39" s="198">
        <f t="shared" si="56"/>
        <v>150</v>
      </c>
      <c r="O39" s="198">
        <f t="shared" si="56"/>
        <v>160</v>
      </c>
      <c r="P39" s="198">
        <f t="shared" si="56"/>
        <v>390</v>
      </c>
      <c r="Q39" s="196" t="str">
        <f t="shared" si="56"/>
        <v>-</v>
      </c>
    </row>
    <row r="40" spans="1:24" s="182" customFormat="1" ht="15.75" thickBot="1" x14ac:dyDescent="0.3">
      <c r="A40" s="229">
        <f t="shared" si="6"/>
        <v>1890</v>
      </c>
      <c r="B40" s="230">
        <f t="shared" si="7"/>
        <v>30</v>
      </c>
      <c r="C40" s="218" t="str">
        <f t="shared" si="4"/>
        <v>22aX12+000_030_06</v>
      </c>
      <c r="D40" s="197">
        <f t="shared" si="57"/>
        <v>11.8</v>
      </c>
      <c r="E40" s="204">
        <f t="shared" si="52"/>
        <v>2.0230000000000001</v>
      </c>
      <c r="F40" s="198">
        <f t="shared" si="58"/>
        <v>17.14406779661017</v>
      </c>
      <c r="G40" s="198">
        <f t="shared" si="53"/>
        <v>13.715254237288136</v>
      </c>
      <c r="H40" s="198">
        <f t="shared" si="54"/>
        <v>8.5720338983050848</v>
      </c>
      <c r="I40" s="198">
        <f t="shared" ref="I40:J40" si="63">I39</f>
        <v>8</v>
      </c>
      <c r="J40" s="199">
        <f t="shared" si="63"/>
        <v>0</v>
      </c>
      <c r="K40" s="194" t="str">
        <f>D40&amp;-6</f>
        <v>11.8-6</v>
      </c>
      <c r="L40" s="198">
        <f t="shared" si="55"/>
        <v>0.2</v>
      </c>
      <c r="M40" s="49">
        <v>30</v>
      </c>
      <c r="N40" s="198">
        <f t="shared" si="56"/>
        <v>150</v>
      </c>
      <c r="O40" s="198">
        <f t="shared" si="56"/>
        <v>160</v>
      </c>
      <c r="P40" s="198">
        <f t="shared" si="56"/>
        <v>390</v>
      </c>
      <c r="Q40" s="196" t="str">
        <f t="shared" si="56"/>
        <v>-</v>
      </c>
    </row>
    <row r="41" spans="1:24" s="182" customFormat="1" ht="15.75" thickBot="1" x14ac:dyDescent="0.3">
      <c r="A41" s="229">
        <f t="shared" si="6"/>
        <v>1891</v>
      </c>
      <c r="B41" s="230">
        <f t="shared" si="7"/>
        <v>31</v>
      </c>
      <c r="C41" s="218" t="str">
        <f t="shared" si="4"/>
        <v>22aX12+000_060_07</v>
      </c>
      <c r="D41" s="197">
        <f t="shared" si="57"/>
        <v>11.8</v>
      </c>
      <c r="E41" s="204">
        <f t="shared" si="52"/>
        <v>2.0230000000000001</v>
      </c>
      <c r="F41" s="198">
        <f t="shared" si="58"/>
        <v>17.14406779661017</v>
      </c>
      <c r="G41" s="198">
        <f t="shared" si="53"/>
        <v>13.715254237288136</v>
      </c>
      <c r="H41" s="198">
        <f t="shared" si="54"/>
        <v>8.5720338983050848</v>
      </c>
      <c r="I41" s="198">
        <f t="shared" ref="I41:J41" si="64">I40</f>
        <v>8</v>
      </c>
      <c r="J41" s="199">
        <f t="shared" si="64"/>
        <v>0</v>
      </c>
      <c r="K41" s="194" t="str">
        <f>D41&amp;-7</f>
        <v>11.8-7</v>
      </c>
      <c r="L41" s="198">
        <f t="shared" si="55"/>
        <v>0.2</v>
      </c>
      <c r="M41" s="49">
        <v>60</v>
      </c>
      <c r="N41" s="198">
        <f t="shared" si="56"/>
        <v>150</v>
      </c>
      <c r="O41" s="198">
        <f t="shared" si="56"/>
        <v>160</v>
      </c>
      <c r="P41" s="198">
        <f t="shared" si="56"/>
        <v>390</v>
      </c>
      <c r="Q41" s="196" t="str">
        <f t="shared" si="56"/>
        <v>-</v>
      </c>
    </row>
    <row r="42" spans="1:24" s="182" customFormat="1" ht="15.75" thickBot="1" x14ac:dyDescent="0.3">
      <c r="A42" s="229">
        <f t="shared" si="6"/>
        <v>1892</v>
      </c>
      <c r="B42" s="230">
        <f t="shared" si="7"/>
        <v>32</v>
      </c>
      <c r="C42" s="218" t="str">
        <f t="shared" si="4"/>
        <v>22aX12+000_090_08</v>
      </c>
      <c r="D42" s="197">
        <f t="shared" si="57"/>
        <v>11.8</v>
      </c>
      <c r="E42" s="204">
        <f t="shared" si="52"/>
        <v>2.0230000000000001</v>
      </c>
      <c r="F42" s="198">
        <f t="shared" si="58"/>
        <v>17.14406779661017</v>
      </c>
      <c r="G42" s="198">
        <f t="shared" si="53"/>
        <v>13.715254237288136</v>
      </c>
      <c r="H42" s="198">
        <f t="shared" si="54"/>
        <v>8.5720338983050848</v>
      </c>
      <c r="I42" s="198">
        <f t="shared" ref="I42:J42" si="65">I41</f>
        <v>8</v>
      </c>
      <c r="J42" s="199">
        <f t="shared" si="65"/>
        <v>0</v>
      </c>
      <c r="K42" s="194" t="str">
        <f>D42&amp;-8</f>
        <v>11.8-8</v>
      </c>
      <c r="L42" s="198">
        <f t="shared" si="55"/>
        <v>0.2</v>
      </c>
      <c r="M42" s="49">
        <v>90</v>
      </c>
      <c r="N42" s="198">
        <f t="shared" si="56"/>
        <v>150</v>
      </c>
      <c r="O42" s="198">
        <f t="shared" si="56"/>
        <v>160</v>
      </c>
      <c r="P42" s="198">
        <f t="shared" si="56"/>
        <v>390</v>
      </c>
      <c r="Q42" s="196" t="str">
        <f t="shared" si="56"/>
        <v>-</v>
      </c>
    </row>
    <row r="43" spans="1:24" s="182" customFormat="1" ht="15.75" thickBot="1" x14ac:dyDescent="0.3">
      <c r="A43" s="229">
        <f t="shared" si="6"/>
        <v>1893</v>
      </c>
      <c r="B43" s="230">
        <f t="shared" si="7"/>
        <v>33</v>
      </c>
      <c r="C43" s="218" t="str">
        <f t="shared" si="4"/>
        <v>22aX12+000_000_09</v>
      </c>
      <c r="D43" s="197">
        <f t="shared" si="57"/>
        <v>11.8</v>
      </c>
      <c r="E43" s="204">
        <f t="shared" si="52"/>
        <v>2.0230000000000001</v>
      </c>
      <c r="F43" s="198">
        <f t="shared" si="58"/>
        <v>17.14406779661017</v>
      </c>
      <c r="G43" s="198">
        <f t="shared" si="53"/>
        <v>13.715254237288136</v>
      </c>
      <c r="H43" s="198">
        <f t="shared" si="54"/>
        <v>8.5720338983050848</v>
      </c>
      <c r="I43" s="198">
        <f t="shared" ref="I43:J43" si="66">I42</f>
        <v>8</v>
      </c>
      <c r="J43" s="199">
        <f t="shared" si="66"/>
        <v>0</v>
      </c>
      <c r="K43" s="194" t="str">
        <f>D43&amp;-9</f>
        <v>11.8-9</v>
      </c>
      <c r="L43" s="198">
        <f t="shared" si="55"/>
        <v>0.2</v>
      </c>
      <c r="M43" s="49">
        <v>0</v>
      </c>
      <c r="N43" s="198">
        <f t="shared" si="56"/>
        <v>150</v>
      </c>
      <c r="O43" s="198">
        <f t="shared" si="56"/>
        <v>160</v>
      </c>
      <c r="P43" s="198">
        <f t="shared" si="56"/>
        <v>390</v>
      </c>
      <c r="Q43" s="196" t="str">
        <f t="shared" si="56"/>
        <v>-</v>
      </c>
    </row>
    <row r="44" spans="1:24" s="182" customFormat="1" ht="15.75" thickBot="1" x14ac:dyDescent="0.3">
      <c r="A44" s="229">
        <f t="shared" si="6"/>
        <v>1894</v>
      </c>
      <c r="B44" s="230">
        <f t="shared" si="7"/>
        <v>34</v>
      </c>
      <c r="C44" s="218" t="str">
        <f t="shared" si="4"/>
        <v>22aX12+000_030_10</v>
      </c>
      <c r="D44" s="197">
        <f t="shared" si="57"/>
        <v>11.8</v>
      </c>
      <c r="E44" s="204">
        <f t="shared" si="52"/>
        <v>2.0230000000000001</v>
      </c>
      <c r="F44" s="198">
        <f t="shared" si="58"/>
        <v>17.14406779661017</v>
      </c>
      <c r="G44" s="198">
        <f t="shared" si="53"/>
        <v>13.715254237288136</v>
      </c>
      <c r="H44" s="198">
        <f t="shared" si="54"/>
        <v>8.5720338983050848</v>
      </c>
      <c r="I44" s="198">
        <f t="shared" ref="I44:J44" si="67">I43</f>
        <v>8</v>
      </c>
      <c r="J44" s="199">
        <f t="shared" si="67"/>
        <v>0</v>
      </c>
      <c r="K44" s="194" t="str">
        <f>D44&amp;-10</f>
        <v>11.8-10</v>
      </c>
      <c r="L44" s="198">
        <f t="shared" si="55"/>
        <v>0.2</v>
      </c>
      <c r="M44" s="49">
        <v>30</v>
      </c>
      <c r="N44" s="198">
        <f t="shared" si="56"/>
        <v>150</v>
      </c>
      <c r="O44" s="198">
        <f t="shared" si="56"/>
        <v>160</v>
      </c>
      <c r="P44" s="198">
        <f t="shared" si="56"/>
        <v>390</v>
      </c>
      <c r="Q44" s="196" t="str">
        <f t="shared" si="56"/>
        <v>-</v>
      </c>
    </row>
    <row r="45" spans="1:24" s="182" customFormat="1" ht="15.75" thickBot="1" x14ac:dyDescent="0.3">
      <c r="A45" s="229">
        <f t="shared" si="6"/>
        <v>1895</v>
      </c>
      <c r="B45" s="230">
        <f t="shared" si="7"/>
        <v>35</v>
      </c>
      <c r="C45" s="218" t="str">
        <f t="shared" si="4"/>
        <v>22aX12+000_060_11</v>
      </c>
      <c r="D45" s="197">
        <f t="shared" si="57"/>
        <v>11.8</v>
      </c>
      <c r="E45" s="204">
        <f t="shared" si="52"/>
        <v>2.0230000000000001</v>
      </c>
      <c r="F45" s="198">
        <f t="shared" si="58"/>
        <v>17.14406779661017</v>
      </c>
      <c r="G45" s="198">
        <f t="shared" si="53"/>
        <v>13.715254237288136</v>
      </c>
      <c r="H45" s="198">
        <f t="shared" si="54"/>
        <v>8.5720338983050848</v>
      </c>
      <c r="I45" s="198">
        <f t="shared" ref="I45:J45" si="68">I44</f>
        <v>8</v>
      </c>
      <c r="J45" s="199">
        <f t="shared" si="68"/>
        <v>0</v>
      </c>
      <c r="K45" s="194" t="str">
        <f>D45&amp;-11</f>
        <v>11.8-11</v>
      </c>
      <c r="L45" s="198">
        <f t="shared" si="55"/>
        <v>0.2</v>
      </c>
      <c r="M45" s="49">
        <v>60</v>
      </c>
      <c r="N45" s="198">
        <f t="shared" si="56"/>
        <v>150</v>
      </c>
      <c r="O45" s="198">
        <f t="shared" si="56"/>
        <v>160</v>
      </c>
      <c r="P45" s="198">
        <f t="shared" si="56"/>
        <v>390</v>
      </c>
      <c r="Q45" s="196" t="str">
        <f t="shared" si="56"/>
        <v>-</v>
      </c>
      <c r="S45" s="206"/>
      <c r="T45" s="95"/>
      <c r="U45" s="95"/>
      <c r="V45" s="95"/>
      <c r="W45" s="95"/>
      <c r="X45" s="95"/>
    </row>
    <row r="46" spans="1:24" s="182" customFormat="1" ht="15.75" thickBot="1" x14ac:dyDescent="0.3">
      <c r="A46" s="229">
        <f t="shared" si="6"/>
        <v>1896</v>
      </c>
      <c r="B46" s="230">
        <f t="shared" si="7"/>
        <v>36</v>
      </c>
      <c r="C46" s="218" t="str">
        <f t="shared" si="4"/>
        <v>22aX12+000_090_12</v>
      </c>
      <c r="D46" s="197">
        <f t="shared" si="57"/>
        <v>11.8</v>
      </c>
      <c r="E46" s="204">
        <f t="shared" si="52"/>
        <v>2.0230000000000001</v>
      </c>
      <c r="F46" s="198">
        <f t="shared" si="58"/>
        <v>17.14406779661017</v>
      </c>
      <c r="G46" s="198">
        <f t="shared" si="53"/>
        <v>13.715254237288136</v>
      </c>
      <c r="H46" s="198">
        <f t="shared" si="54"/>
        <v>8.5720338983050848</v>
      </c>
      <c r="I46" s="198">
        <f t="shared" ref="I46:J46" si="69">I45</f>
        <v>8</v>
      </c>
      <c r="J46" s="199">
        <f t="shared" si="69"/>
        <v>0</v>
      </c>
      <c r="K46" s="194" t="str">
        <f>D46&amp;-12</f>
        <v>11.8-12</v>
      </c>
      <c r="L46" s="198">
        <f t="shared" si="55"/>
        <v>0.2</v>
      </c>
      <c r="M46" s="49">
        <v>90</v>
      </c>
      <c r="N46" s="198">
        <f t="shared" si="56"/>
        <v>150</v>
      </c>
      <c r="O46" s="198">
        <f t="shared" si="56"/>
        <v>160</v>
      </c>
      <c r="P46" s="198">
        <f t="shared" si="56"/>
        <v>390</v>
      </c>
      <c r="Q46" s="196" t="str">
        <f t="shared" si="56"/>
        <v>-</v>
      </c>
      <c r="S46" s="95"/>
      <c r="T46" s="95"/>
      <c r="U46" s="95"/>
      <c r="V46" s="95"/>
      <c r="W46" s="95"/>
      <c r="X46" s="95"/>
    </row>
    <row r="47" spans="1:24" s="182" customFormat="1" ht="15.75" thickBot="1" x14ac:dyDescent="0.3">
      <c r="A47" s="229">
        <f t="shared" si="6"/>
        <v>1897</v>
      </c>
      <c r="B47" s="230">
        <f t="shared" si="7"/>
        <v>37</v>
      </c>
      <c r="C47" s="218" t="str">
        <f t="shared" si="4"/>
        <v>22aX20+000_000_01</v>
      </c>
      <c r="D47" s="197">
        <f>v_c</f>
        <v>20</v>
      </c>
      <c r="E47" s="204">
        <f t="shared" ref="E47:E58" si="70">I_ref*(0.75*D47+5.6)</f>
        <v>2.8840000000000003</v>
      </c>
      <c r="F47" s="198">
        <f>E47/D47*100</f>
        <v>14.420000000000002</v>
      </c>
      <c r="G47" s="198">
        <f t="shared" ref="G47:G58" si="71">m_ty*F47</f>
        <v>11.536000000000001</v>
      </c>
      <c r="H47" s="198">
        <f t="shared" ref="H47:H58" si="72">m_tz*F47</f>
        <v>7.2100000000000009</v>
      </c>
      <c r="I47" s="198">
        <f>inflow</f>
        <v>8</v>
      </c>
      <c r="J47" s="199">
        <f>yaw_null</f>
        <v>0</v>
      </c>
      <c r="K47" s="194" t="str">
        <f>D47&amp;-1</f>
        <v>20-1</v>
      </c>
      <c r="L47" s="198">
        <f>alpha_n</f>
        <v>0.2</v>
      </c>
      <c r="M47" s="49">
        <v>0</v>
      </c>
      <c r="N47" s="198">
        <f>t_out</f>
        <v>150</v>
      </c>
      <c r="O47" s="198">
        <f>trig_t</f>
        <v>160</v>
      </c>
      <c r="P47" s="198">
        <f>N47+4*T_s2</f>
        <v>390</v>
      </c>
      <c r="Q47" s="196" t="s">
        <v>76</v>
      </c>
      <c r="S47" s="119"/>
      <c r="T47" s="119"/>
    </row>
    <row r="48" spans="1:24" s="182" customFormat="1" ht="15.75" thickBot="1" x14ac:dyDescent="0.3">
      <c r="A48" s="229">
        <f t="shared" si="6"/>
        <v>1898</v>
      </c>
      <c r="B48" s="230">
        <f t="shared" si="7"/>
        <v>38</v>
      </c>
      <c r="C48" s="218" t="str">
        <f t="shared" si="4"/>
        <v>22aX20+000_030_02</v>
      </c>
      <c r="D48" s="197">
        <f>D47</f>
        <v>20</v>
      </c>
      <c r="E48" s="204">
        <f t="shared" si="70"/>
        <v>2.8840000000000003</v>
      </c>
      <c r="F48" s="198">
        <f>E48/D48*100</f>
        <v>14.420000000000002</v>
      </c>
      <c r="G48" s="198">
        <f t="shared" si="71"/>
        <v>11.536000000000001</v>
      </c>
      <c r="H48" s="198">
        <f t="shared" si="72"/>
        <v>7.2100000000000009</v>
      </c>
      <c r="I48" s="198">
        <f>I47</f>
        <v>8</v>
      </c>
      <c r="J48" s="199">
        <f>J47</f>
        <v>0</v>
      </c>
      <c r="K48" s="194" t="str">
        <f>D48&amp;-2</f>
        <v>20-2</v>
      </c>
      <c r="L48" s="198">
        <f t="shared" ref="L48:L70" si="73">L47</f>
        <v>0.2</v>
      </c>
      <c r="M48" s="49">
        <v>30</v>
      </c>
      <c r="N48" s="198">
        <f t="shared" ref="N48:Q49" si="74">N47</f>
        <v>150</v>
      </c>
      <c r="O48" s="198">
        <f t="shared" si="74"/>
        <v>160</v>
      </c>
      <c r="P48" s="198">
        <f t="shared" si="74"/>
        <v>390</v>
      </c>
      <c r="Q48" s="196" t="str">
        <f t="shared" si="74"/>
        <v>-</v>
      </c>
    </row>
    <row r="49" spans="1:24" s="182" customFormat="1" ht="15.75" thickBot="1" x14ac:dyDescent="0.3">
      <c r="A49" s="229">
        <f t="shared" si="6"/>
        <v>1899</v>
      </c>
      <c r="B49" s="230">
        <f t="shared" si="7"/>
        <v>39</v>
      </c>
      <c r="C49" s="218" t="str">
        <f t="shared" si="4"/>
        <v>22aX20+000_060_03</v>
      </c>
      <c r="D49" s="197">
        <f t="shared" ref="D49:D58" si="75">D48</f>
        <v>20</v>
      </c>
      <c r="E49" s="204">
        <f t="shared" si="70"/>
        <v>2.8840000000000003</v>
      </c>
      <c r="F49" s="198">
        <f t="shared" ref="F49:F58" si="76">E49/D49*100</f>
        <v>14.420000000000002</v>
      </c>
      <c r="G49" s="198">
        <f t="shared" si="71"/>
        <v>11.536000000000001</v>
      </c>
      <c r="H49" s="198">
        <f t="shared" si="72"/>
        <v>7.2100000000000009</v>
      </c>
      <c r="I49" s="198">
        <f t="shared" ref="I49:J49" si="77">I48</f>
        <v>8</v>
      </c>
      <c r="J49" s="199">
        <f t="shared" si="77"/>
        <v>0</v>
      </c>
      <c r="K49" s="194" t="str">
        <f>D49&amp;-3</f>
        <v>20-3</v>
      </c>
      <c r="L49" s="198">
        <f t="shared" si="73"/>
        <v>0.2</v>
      </c>
      <c r="M49" s="49">
        <v>60</v>
      </c>
      <c r="N49" s="198">
        <f t="shared" ref="N49:P49" si="78">N48</f>
        <v>150</v>
      </c>
      <c r="O49" s="198">
        <f t="shared" si="78"/>
        <v>160</v>
      </c>
      <c r="P49" s="198">
        <f t="shared" si="78"/>
        <v>390</v>
      </c>
      <c r="Q49" s="196" t="str">
        <f t="shared" si="74"/>
        <v>-</v>
      </c>
    </row>
    <row r="50" spans="1:24" s="182" customFormat="1" ht="15.75" thickBot="1" x14ac:dyDescent="0.3">
      <c r="A50" s="229">
        <f t="shared" si="6"/>
        <v>1900</v>
      </c>
      <c r="B50" s="230">
        <f t="shared" si="7"/>
        <v>40</v>
      </c>
      <c r="C50" s="218" t="str">
        <f t="shared" si="4"/>
        <v>22aX20+000_090_04</v>
      </c>
      <c r="D50" s="197">
        <f t="shared" si="75"/>
        <v>20</v>
      </c>
      <c r="E50" s="204">
        <f t="shared" si="70"/>
        <v>2.8840000000000003</v>
      </c>
      <c r="F50" s="198">
        <f t="shared" si="76"/>
        <v>14.420000000000002</v>
      </c>
      <c r="G50" s="198">
        <f t="shared" si="71"/>
        <v>11.536000000000001</v>
      </c>
      <c r="H50" s="198">
        <f t="shared" si="72"/>
        <v>7.2100000000000009</v>
      </c>
      <c r="I50" s="198">
        <f t="shared" ref="I50:J50" si="79">I49</f>
        <v>8</v>
      </c>
      <c r="J50" s="199">
        <f t="shared" si="79"/>
        <v>0</v>
      </c>
      <c r="K50" s="194" t="str">
        <f>D50&amp;-4</f>
        <v>20-4</v>
      </c>
      <c r="L50" s="198">
        <f t="shared" si="73"/>
        <v>0.2</v>
      </c>
      <c r="M50" s="49">
        <v>90</v>
      </c>
      <c r="N50" s="198">
        <f t="shared" ref="N50:Q50" si="80">N49</f>
        <v>150</v>
      </c>
      <c r="O50" s="198">
        <f t="shared" si="80"/>
        <v>160</v>
      </c>
      <c r="P50" s="198">
        <f t="shared" si="80"/>
        <v>390</v>
      </c>
      <c r="Q50" s="196" t="str">
        <f t="shared" si="80"/>
        <v>-</v>
      </c>
    </row>
    <row r="51" spans="1:24" s="182" customFormat="1" ht="15.75" thickBot="1" x14ac:dyDescent="0.3">
      <c r="A51" s="229">
        <f t="shared" si="6"/>
        <v>1901</v>
      </c>
      <c r="B51" s="230">
        <f t="shared" si="7"/>
        <v>41</v>
      </c>
      <c r="C51" s="218" t="str">
        <f t="shared" si="4"/>
        <v>22aX20+000_000_05</v>
      </c>
      <c r="D51" s="197">
        <f t="shared" si="75"/>
        <v>20</v>
      </c>
      <c r="E51" s="204">
        <f t="shared" si="70"/>
        <v>2.8840000000000003</v>
      </c>
      <c r="F51" s="198">
        <f t="shared" si="76"/>
        <v>14.420000000000002</v>
      </c>
      <c r="G51" s="198">
        <f t="shared" si="71"/>
        <v>11.536000000000001</v>
      </c>
      <c r="H51" s="198">
        <f t="shared" si="72"/>
        <v>7.2100000000000009</v>
      </c>
      <c r="I51" s="198">
        <f t="shared" ref="I51:J51" si="81">I50</f>
        <v>8</v>
      </c>
      <c r="J51" s="199">
        <f t="shared" si="81"/>
        <v>0</v>
      </c>
      <c r="K51" s="194" t="str">
        <f>D51&amp;-5</f>
        <v>20-5</v>
      </c>
      <c r="L51" s="198">
        <f t="shared" si="73"/>
        <v>0.2</v>
      </c>
      <c r="M51" s="49">
        <v>0</v>
      </c>
      <c r="N51" s="198">
        <f t="shared" ref="N51:Q51" si="82">N50</f>
        <v>150</v>
      </c>
      <c r="O51" s="198">
        <f t="shared" si="82"/>
        <v>160</v>
      </c>
      <c r="P51" s="198">
        <f t="shared" si="82"/>
        <v>390</v>
      </c>
      <c r="Q51" s="196" t="str">
        <f t="shared" si="82"/>
        <v>-</v>
      </c>
    </row>
    <row r="52" spans="1:24" s="182" customFormat="1" ht="15.75" thickBot="1" x14ac:dyDescent="0.3">
      <c r="A52" s="229">
        <f t="shared" si="6"/>
        <v>1902</v>
      </c>
      <c r="B52" s="230">
        <f t="shared" si="7"/>
        <v>42</v>
      </c>
      <c r="C52" s="218" t="str">
        <f t="shared" si="4"/>
        <v>22aX20+000_030_06</v>
      </c>
      <c r="D52" s="197">
        <f t="shared" si="75"/>
        <v>20</v>
      </c>
      <c r="E52" s="204">
        <f t="shared" si="70"/>
        <v>2.8840000000000003</v>
      </c>
      <c r="F52" s="198">
        <f t="shared" si="76"/>
        <v>14.420000000000002</v>
      </c>
      <c r="G52" s="198">
        <f t="shared" si="71"/>
        <v>11.536000000000001</v>
      </c>
      <c r="H52" s="198">
        <f t="shared" si="72"/>
        <v>7.2100000000000009</v>
      </c>
      <c r="I52" s="198">
        <f t="shared" ref="I52:J52" si="83">I51</f>
        <v>8</v>
      </c>
      <c r="J52" s="199">
        <f t="shared" si="83"/>
        <v>0</v>
      </c>
      <c r="K52" s="194" t="str">
        <f>D52&amp;-6</f>
        <v>20-6</v>
      </c>
      <c r="L52" s="198">
        <f t="shared" si="73"/>
        <v>0.2</v>
      </c>
      <c r="M52" s="49">
        <v>30</v>
      </c>
      <c r="N52" s="198">
        <f t="shared" ref="N52:Q52" si="84">N51</f>
        <v>150</v>
      </c>
      <c r="O52" s="198">
        <f t="shared" si="84"/>
        <v>160</v>
      </c>
      <c r="P52" s="198">
        <f t="shared" si="84"/>
        <v>390</v>
      </c>
      <c r="Q52" s="196" t="str">
        <f t="shared" si="84"/>
        <v>-</v>
      </c>
    </row>
    <row r="53" spans="1:24" s="182" customFormat="1" ht="15.75" thickBot="1" x14ac:dyDescent="0.3">
      <c r="A53" s="229">
        <f t="shared" si="6"/>
        <v>1903</v>
      </c>
      <c r="B53" s="230">
        <f t="shared" si="7"/>
        <v>43</v>
      </c>
      <c r="C53" s="218" t="str">
        <f t="shared" si="4"/>
        <v>22aX20+000_060_07</v>
      </c>
      <c r="D53" s="197">
        <f t="shared" si="75"/>
        <v>20</v>
      </c>
      <c r="E53" s="204">
        <f t="shared" si="70"/>
        <v>2.8840000000000003</v>
      </c>
      <c r="F53" s="198">
        <f t="shared" si="76"/>
        <v>14.420000000000002</v>
      </c>
      <c r="G53" s="198">
        <f t="shared" si="71"/>
        <v>11.536000000000001</v>
      </c>
      <c r="H53" s="198">
        <f t="shared" si="72"/>
        <v>7.2100000000000009</v>
      </c>
      <c r="I53" s="198">
        <f t="shared" ref="I53:J53" si="85">I52</f>
        <v>8</v>
      </c>
      <c r="J53" s="199">
        <f t="shared" si="85"/>
        <v>0</v>
      </c>
      <c r="K53" s="194" t="str">
        <f>D53&amp;-7</f>
        <v>20-7</v>
      </c>
      <c r="L53" s="198">
        <f t="shared" si="73"/>
        <v>0.2</v>
      </c>
      <c r="M53" s="49">
        <v>60</v>
      </c>
      <c r="N53" s="198">
        <f t="shared" ref="N53:Q53" si="86">N52</f>
        <v>150</v>
      </c>
      <c r="O53" s="198">
        <f t="shared" si="86"/>
        <v>160</v>
      </c>
      <c r="P53" s="198">
        <f t="shared" si="86"/>
        <v>390</v>
      </c>
      <c r="Q53" s="196" t="str">
        <f t="shared" si="86"/>
        <v>-</v>
      </c>
    </row>
    <row r="54" spans="1:24" s="182" customFormat="1" ht="15.75" thickBot="1" x14ac:dyDescent="0.3">
      <c r="A54" s="229">
        <f t="shared" si="6"/>
        <v>1904</v>
      </c>
      <c r="B54" s="230">
        <f t="shared" si="7"/>
        <v>44</v>
      </c>
      <c r="C54" s="218" t="str">
        <f t="shared" si="4"/>
        <v>22aX20+000_090_08</v>
      </c>
      <c r="D54" s="197">
        <f t="shared" si="75"/>
        <v>20</v>
      </c>
      <c r="E54" s="204">
        <f t="shared" si="70"/>
        <v>2.8840000000000003</v>
      </c>
      <c r="F54" s="198">
        <f t="shared" si="76"/>
        <v>14.420000000000002</v>
      </c>
      <c r="G54" s="198">
        <f t="shared" si="71"/>
        <v>11.536000000000001</v>
      </c>
      <c r="H54" s="198">
        <f t="shared" si="72"/>
        <v>7.2100000000000009</v>
      </c>
      <c r="I54" s="198">
        <f t="shared" ref="I54:J54" si="87">I53</f>
        <v>8</v>
      </c>
      <c r="J54" s="199">
        <f t="shared" si="87"/>
        <v>0</v>
      </c>
      <c r="K54" s="194" t="str">
        <f>D54&amp;-8</f>
        <v>20-8</v>
      </c>
      <c r="L54" s="198">
        <f t="shared" si="73"/>
        <v>0.2</v>
      </c>
      <c r="M54" s="49">
        <v>90</v>
      </c>
      <c r="N54" s="198">
        <f t="shared" ref="N54:Q54" si="88">N53</f>
        <v>150</v>
      </c>
      <c r="O54" s="198">
        <f t="shared" si="88"/>
        <v>160</v>
      </c>
      <c r="P54" s="198">
        <f t="shared" si="88"/>
        <v>390</v>
      </c>
      <c r="Q54" s="196" t="str">
        <f t="shared" si="88"/>
        <v>-</v>
      </c>
    </row>
    <row r="55" spans="1:24" s="182" customFormat="1" ht="15.75" thickBot="1" x14ac:dyDescent="0.3">
      <c r="A55" s="229">
        <f t="shared" si="6"/>
        <v>1905</v>
      </c>
      <c r="B55" s="230">
        <f t="shared" si="7"/>
        <v>45</v>
      </c>
      <c r="C55" s="218" t="str">
        <f t="shared" si="4"/>
        <v>22aX20+000_000_09</v>
      </c>
      <c r="D55" s="197">
        <f t="shared" si="75"/>
        <v>20</v>
      </c>
      <c r="E55" s="204">
        <f t="shared" si="70"/>
        <v>2.8840000000000003</v>
      </c>
      <c r="F55" s="198">
        <f t="shared" si="76"/>
        <v>14.420000000000002</v>
      </c>
      <c r="G55" s="198">
        <f t="shared" si="71"/>
        <v>11.536000000000001</v>
      </c>
      <c r="H55" s="198">
        <f t="shared" si="72"/>
        <v>7.2100000000000009</v>
      </c>
      <c r="I55" s="198">
        <f t="shared" ref="I55:J55" si="89">I54</f>
        <v>8</v>
      </c>
      <c r="J55" s="199">
        <f t="shared" si="89"/>
        <v>0</v>
      </c>
      <c r="K55" s="194" t="str">
        <f>D55&amp;-9</f>
        <v>20-9</v>
      </c>
      <c r="L55" s="198">
        <f t="shared" si="73"/>
        <v>0.2</v>
      </c>
      <c r="M55" s="49">
        <v>0</v>
      </c>
      <c r="N55" s="198">
        <f t="shared" ref="N55:Q55" si="90">N54</f>
        <v>150</v>
      </c>
      <c r="O55" s="198">
        <f t="shared" si="90"/>
        <v>160</v>
      </c>
      <c r="P55" s="198">
        <f t="shared" si="90"/>
        <v>390</v>
      </c>
      <c r="Q55" s="196" t="str">
        <f t="shared" si="90"/>
        <v>-</v>
      </c>
    </row>
    <row r="56" spans="1:24" s="182" customFormat="1" ht="15.75" thickBot="1" x14ac:dyDescent="0.3">
      <c r="A56" s="229">
        <f t="shared" si="6"/>
        <v>1906</v>
      </c>
      <c r="B56" s="230">
        <f t="shared" si="7"/>
        <v>46</v>
      </c>
      <c r="C56" s="218" t="str">
        <f t="shared" si="4"/>
        <v>22aX20+000_030_10</v>
      </c>
      <c r="D56" s="197">
        <f t="shared" si="75"/>
        <v>20</v>
      </c>
      <c r="E56" s="204">
        <f t="shared" si="70"/>
        <v>2.8840000000000003</v>
      </c>
      <c r="F56" s="198">
        <f t="shared" si="76"/>
        <v>14.420000000000002</v>
      </c>
      <c r="G56" s="198">
        <f t="shared" si="71"/>
        <v>11.536000000000001</v>
      </c>
      <c r="H56" s="198">
        <f t="shared" si="72"/>
        <v>7.2100000000000009</v>
      </c>
      <c r="I56" s="198">
        <f t="shared" ref="I56:J56" si="91">I55</f>
        <v>8</v>
      </c>
      <c r="J56" s="199">
        <f t="shared" si="91"/>
        <v>0</v>
      </c>
      <c r="K56" s="194" t="str">
        <f>D56&amp;-10</f>
        <v>20-10</v>
      </c>
      <c r="L56" s="198">
        <f t="shared" si="73"/>
        <v>0.2</v>
      </c>
      <c r="M56" s="49">
        <v>30</v>
      </c>
      <c r="N56" s="198">
        <f t="shared" ref="N56:Q56" si="92">N55</f>
        <v>150</v>
      </c>
      <c r="O56" s="198">
        <f t="shared" si="92"/>
        <v>160</v>
      </c>
      <c r="P56" s="198">
        <f t="shared" si="92"/>
        <v>390</v>
      </c>
      <c r="Q56" s="196" t="str">
        <f t="shared" si="92"/>
        <v>-</v>
      </c>
    </row>
    <row r="57" spans="1:24" s="182" customFormat="1" ht="15.75" thickBot="1" x14ac:dyDescent="0.3">
      <c r="A57" s="229">
        <f t="shared" si="6"/>
        <v>1907</v>
      </c>
      <c r="B57" s="230">
        <f t="shared" si="7"/>
        <v>47</v>
      </c>
      <c r="C57" s="218" t="str">
        <f t="shared" si="4"/>
        <v>22aX20+000_060_11</v>
      </c>
      <c r="D57" s="197">
        <f t="shared" si="75"/>
        <v>20</v>
      </c>
      <c r="E57" s="204">
        <f t="shared" si="70"/>
        <v>2.8840000000000003</v>
      </c>
      <c r="F57" s="198">
        <f t="shared" si="76"/>
        <v>14.420000000000002</v>
      </c>
      <c r="G57" s="198">
        <f t="shared" si="71"/>
        <v>11.536000000000001</v>
      </c>
      <c r="H57" s="198">
        <f t="shared" si="72"/>
        <v>7.2100000000000009</v>
      </c>
      <c r="I57" s="198">
        <f t="shared" ref="I57:J57" si="93">I56</f>
        <v>8</v>
      </c>
      <c r="J57" s="199">
        <f t="shared" si="93"/>
        <v>0</v>
      </c>
      <c r="K57" s="194" t="str">
        <f>D57&amp;-11</f>
        <v>20-11</v>
      </c>
      <c r="L57" s="198">
        <f t="shared" si="73"/>
        <v>0.2</v>
      </c>
      <c r="M57" s="49">
        <v>60</v>
      </c>
      <c r="N57" s="198">
        <f t="shared" ref="N57:Q57" si="94">N56</f>
        <v>150</v>
      </c>
      <c r="O57" s="198">
        <f t="shared" si="94"/>
        <v>160</v>
      </c>
      <c r="P57" s="198">
        <f t="shared" si="94"/>
        <v>390</v>
      </c>
      <c r="Q57" s="196" t="str">
        <f t="shared" si="94"/>
        <v>-</v>
      </c>
      <c r="S57" s="206"/>
      <c r="T57" s="95"/>
      <c r="U57" s="95"/>
      <c r="V57" s="95"/>
      <c r="W57" s="95"/>
      <c r="X57" s="95"/>
    </row>
    <row r="58" spans="1:24" s="182" customFormat="1" ht="15.75" thickBot="1" x14ac:dyDescent="0.3">
      <c r="A58" s="229">
        <f t="shared" si="6"/>
        <v>1908</v>
      </c>
      <c r="B58" s="230">
        <f t="shared" si="7"/>
        <v>48</v>
      </c>
      <c r="C58" s="218" t="str">
        <f t="shared" si="4"/>
        <v>22aX20+000_090_12</v>
      </c>
      <c r="D58" s="197">
        <f t="shared" si="75"/>
        <v>20</v>
      </c>
      <c r="E58" s="204">
        <f t="shared" si="70"/>
        <v>2.8840000000000003</v>
      </c>
      <c r="F58" s="198">
        <f t="shared" si="76"/>
        <v>14.420000000000002</v>
      </c>
      <c r="G58" s="198">
        <f t="shared" si="71"/>
        <v>11.536000000000001</v>
      </c>
      <c r="H58" s="198">
        <f t="shared" si="72"/>
        <v>7.2100000000000009</v>
      </c>
      <c r="I58" s="198">
        <f t="shared" ref="I58:J58" si="95">I57</f>
        <v>8</v>
      </c>
      <c r="J58" s="199">
        <f t="shared" si="95"/>
        <v>0</v>
      </c>
      <c r="K58" s="194" t="str">
        <f>D58&amp;-12</f>
        <v>20-12</v>
      </c>
      <c r="L58" s="198">
        <f t="shared" si="73"/>
        <v>0.2</v>
      </c>
      <c r="M58" s="49">
        <v>90</v>
      </c>
      <c r="N58" s="198">
        <f t="shared" ref="N58:Q58" si="96">N57</f>
        <v>150</v>
      </c>
      <c r="O58" s="198">
        <f t="shared" si="96"/>
        <v>160</v>
      </c>
      <c r="P58" s="198">
        <f t="shared" si="96"/>
        <v>390</v>
      </c>
      <c r="Q58" s="196" t="str">
        <f t="shared" si="96"/>
        <v>-</v>
      </c>
      <c r="S58" s="95"/>
      <c r="T58" s="95"/>
      <c r="U58" s="95"/>
      <c r="V58" s="95"/>
      <c r="W58" s="95"/>
      <c r="X58" s="95"/>
    </row>
    <row r="59" spans="1:24" s="217" customFormat="1" ht="15.75" thickBot="1" x14ac:dyDescent="0.3">
      <c r="A59" s="229">
        <f t="shared" si="6"/>
        <v>1909</v>
      </c>
      <c r="B59" s="230">
        <f t="shared" si="7"/>
        <v>49</v>
      </c>
      <c r="C59" s="218" t="str">
        <f t="shared" si="4"/>
        <v>22aX25+000_000_01</v>
      </c>
      <c r="D59" s="231">
        <f t="shared" ref="D59" si="97">v_out</f>
        <v>25</v>
      </c>
      <c r="E59" s="239">
        <f t="shared" ref="E59:E70" si="98">I_ref*(0.75*D59+5.6)</f>
        <v>3.4090000000000007</v>
      </c>
      <c r="F59" s="232">
        <f>E59/D59*100</f>
        <v>13.636000000000003</v>
      </c>
      <c r="G59" s="232">
        <f t="shared" ref="G59:G70" si="99">m_ty*F59</f>
        <v>10.908800000000003</v>
      </c>
      <c r="H59" s="232">
        <f t="shared" ref="H59:H70" si="100">m_tz*F59</f>
        <v>6.8180000000000014</v>
      </c>
      <c r="I59" s="232">
        <f>inflow</f>
        <v>8</v>
      </c>
      <c r="J59" s="233">
        <f>yaw_null</f>
        <v>0</v>
      </c>
      <c r="K59" s="228" t="str">
        <f>D59&amp;-1</f>
        <v>25-1</v>
      </c>
      <c r="L59" s="232">
        <f>alpha_n</f>
        <v>0.2</v>
      </c>
      <c r="M59" s="235">
        <v>0</v>
      </c>
      <c r="N59" s="232">
        <f>t_out</f>
        <v>150</v>
      </c>
      <c r="O59" s="232">
        <f>trig_t</f>
        <v>160</v>
      </c>
      <c r="P59" s="232">
        <f>N59+4*T_s2</f>
        <v>390</v>
      </c>
      <c r="Q59" s="230" t="s">
        <v>76</v>
      </c>
      <c r="S59" s="119"/>
      <c r="T59" s="119"/>
    </row>
    <row r="60" spans="1:24" s="217" customFormat="1" ht="15.75" thickBot="1" x14ac:dyDescent="0.3">
      <c r="A60" s="229">
        <f t="shared" si="6"/>
        <v>1910</v>
      </c>
      <c r="B60" s="230">
        <f t="shared" si="7"/>
        <v>50</v>
      </c>
      <c r="C60" s="218" t="str">
        <f t="shared" si="4"/>
        <v>22aX25+000_030_02</v>
      </c>
      <c r="D60" s="231">
        <f>D59</f>
        <v>25</v>
      </c>
      <c r="E60" s="239">
        <f t="shared" si="98"/>
        <v>3.4090000000000007</v>
      </c>
      <c r="F60" s="232">
        <f>E60/D60*100</f>
        <v>13.636000000000003</v>
      </c>
      <c r="G60" s="232">
        <f t="shared" si="99"/>
        <v>10.908800000000003</v>
      </c>
      <c r="H60" s="232">
        <f t="shared" si="100"/>
        <v>6.8180000000000014</v>
      </c>
      <c r="I60" s="232">
        <f>I59</f>
        <v>8</v>
      </c>
      <c r="J60" s="233">
        <f>J59</f>
        <v>0</v>
      </c>
      <c r="K60" s="228" t="str">
        <f>D60&amp;-2</f>
        <v>25-2</v>
      </c>
      <c r="L60" s="232">
        <f t="shared" si="73"/>
        <v>0.2</v>
      </c>
      <c r="M60" s="235">
        <v>30</v>
      </c>
      <c r="N60" s="232">
        <f t="shared" ref="N60:Q60" si="101">N59</f>
        <v>150</v>
      </c>
      <c r="O60" s="232">
        <f t="shared" si="101"/>
        <v>160</v>
      </c>
      <c r="P60" s="232">
        <f t="shared" si="101"/>
        <v>390</v>
      </c>
      <c r="Q60" s="230" t="str">
        <f t="shared" si="101"/>
        <v>-</v>
      </c>
    </row>
    <row r="61" spans="1:24" s="217" customFormat="1" ht="15.75" thickBot="1" x14ac:dyDescent="0.3">
      <c r="A61" s="229">
        <f t="shared" si="6"/>
        <v>1911</v>
      </c>
      <c r="B61" s="230">
        <f t="shared" si="7"/>
        <v>51</v>
      </c>
      <c r="C61" s="218" t="str">
        <f t="shared" si="4"/>
        <v>22aX25+000_060_03</v>
      </c>
      <c r="D61" s="231">
        <f t="shared" ref="D61:D70" si="102">D60</f>
        <v>25</v>
      </c>
      <c r="E61" s="239">
        <f t="shared" si="98"/>
        <v>3.4090000000000007</v>
      </c>
      <c r="F61" s="232">
        <f t="shared" ref="F61:F70" si="103">E61/D61*100</f>
        <v>13.636000000000003</v>
      </c>
      <c r="G61" s="232">
        <f t="shared" si="99"/>
        <v>10.908800000000003</v>
      </c>
      <c r="H61" s="232">
        <f t="shared" si="100"/>
        <v>6.8180000000000014</v>
      </c>
      <c r="I61" s="232">
        <f t="shared" ref="I61:J61" si="104">I60</f>
        <v>8</v>
      </c>
      <c r="J61" s="233">
        <f t="shared" si="104"/>
        <v>0</v>
      </c>
      <c r="K61" s="228" t="str">
        <f>D61&amp;-3</f>
        <v>25-3</v>
      </c>
      <c r="L61" s="232">
        <f t="shared" si="73"/>
        <v>0.2</v>
      </c>
      <c r="M61" s="235">
        <v>60</v>
      </c>
      <c r="N61" s="232">
        <f t="shared" ref="N61:Q61" si="105">N60</f>
        <v>150</v>
      </c>
      <c r="O61" s="232">
        <f t="shared" si="105"/>
        <v>160</v>
      </c>
      <c r="P61" s="232">
        <f t="shared" si="105"/>
        <v>390</v>
      </c>
      <c r="Q61" s="230" t="str">
        <f t="shared" si="105"/>
        <v>-</v>
      </c>
    </row>
    <row r="62" spans="1:24" s="217" customFormat="1" ht="15.75" thickBot="1" x14ac:dyDescent="0.3">
      <c r="A62" s="229">
        <f t="shared" si="6"/>
        <v>1912</v>
      </c>
      <c r="B62" s="230">
        <f t="shared" si="7"/>
        <v>52</v>
      </c>
      <c r="C62" s="218" t="str">
        <f t="shared" si="4"/>
        <v>22aX25+000_090_04</v>
      </c>
      <c r="D62" s="231">
        <f t="shared" si="102"/>
        <v>25</v>
      </c>
      <c r="E62" s="239">
        <f t="shared" si="98"/>
        <v>3.4090000000000007</v>
      </c>
      <c r="F62" s="232">
        <f t="shared" si="103"/>
        <v>13.636000000000003</v>
      </c>
      <c r="G62" s="232">
        <f t="shared" si="99"/>
        <v>10.908800000000003</v>
      </c>
      <c r="H62" s="232">
        <f t="shared" si="100"/>
        <v>6.8180000000000014</v>
      </c>
      <c r="I62" s="232">
        <f t="shared" ref="I62:J62" si="106">I61</f>
        <v>8</v>
      </c>
      <c r="J62" s="233">
        <f t="shared" si="106"/>
        <v>0</v>
      </c>
      <c r="K62" s="228" t="str">
        <f>D62&amp;-4</f>
        <v>25-4</v>
      </c>
      <c r="L62" s="232">
        <f t="shared" si="73"/>
        <v>0.2</v>
      </c>
      <c r="M62" s="235">
        <v>90</v>
      </c>
      <c r="N62" s="232">
        <f t="shared" ref="N62:Q62" si="107">N61</f>
        <v>150</v>
      </c>
      <c r="O62" s="232">
        <f t="shared" si="107"/>
        <v>160</v>
      </c>
      <c r="P62" s="232">
        <f t="shared" si="107"/>
        <v>390</v>
      </c>
      <c r="Q62" s="230" t="str">
        <f t="shared" si="107"/>
        <v>-</v>
      </c>
    </row>
    <row r="63" spans="1:24" s="217" customFormat="1" ht="15.75" thickBot="1" x14ac:dyDescent="0.3">
      <c r="A63" s="229">
        <f t="shared" si="6"/>
        <v>1913</v>
      </c>
      <c r="B63" s="230">
        <f t="shared" si="7"/>
        <v>53</v>
      </c>
      <c r="C63" s="218" t="str">
        <f t="shared" si="4"/>
        <v>22aX25+000_000_05</v>
      </c>
      <c r="D63" s="231">
        <f t="shared" si="102"/>
        <v>25</v>
      </c>
      <c r="E63" s="239">
        <f t="shared" si="98"/>
        <v>3.4090000000000007</v>
      </c>
      <c r="F63" s="232">
        <f t="shared" si="103"/>
        <v>13.636000000000003</v>
      </c>
      <c r="G63" s="232">
        <f t="shared" si="99"/>
        <v>10.908800000000003</v>
      </c>
      <c r="H63" s="232">
        <f t="shared" si="100"/>
        <v>6.8180000000000014</v>
      </c>
      <c r="I63" s="232">
        <f t="shared" ref="I63:J63" si="108">I62</f>
        <v>8</v>
      </c>
      <c r="J63" s="233">
        <f t="shared" si="108"/>
        <v>0</v>
      </c>
      <c r="K63" s="228" t="str">
        <f>D63&amp;-5</f>
        <v>25-5</v>
      </c>
      <c r="L63" s="232">
        <f t="shared" si="73"/>
        <v>0.2</v>
      </c>
      <c r="M63" s="235">
        <v>0</v>
      </c>
      <c r="N63" s="232">
        <f t="shared" ref="N63:Q63" si="109">N62</f>
        <v>150</v>
      </c>
      <c r="O63" s="232">
        <f t="shared" si="109"/>
        <v>160</v>
      </c>
      <c r="P63" s="232">
        <f t="shared" si="109"/>
        <v>390</v>
      </c>
      <c r="Q63" s="230" t="str">
        <f t="shared" si="109"/>
        <v>-</v>
      </c>
    </row>
    <row r="64" spans="1:24" s="217" customFormat="1" ht="15.75" thickBot="1" x14ac:dyDescent="0.3">
      <c r="A64" s="229">
        <f t="shared" si="6"/>
        <v>1914</v>
      </c>
      <c r="B64" s="230">
        <f t="shared" si="7"/>
        <v>54</v>
      </c>
      <c r="C64" s="218" t="str">
        <f t="shared" si="4"/>
        <v>22aX25+000_030_06</v>
      </c>
      <c r="D64" s="231">
        <f t="shared" si="102"/>
        <v>25</v>
      </c>
      <c r="E64" s="239">
        <f t="shared" si="98"/>
        <v>3.4090000000000007</v>
      </c>
      <c r="F64" s="232">
        <f t="shared" si="103"/>
        <v>13.636000000000003</v>
      </c>
      <c r="G64" s="232">
        <f t="shared" si="99"/>
        <v>10.908800000000003</v>
      </c>
      <c r="H64" s="232">
        <f t="shared" si="100"/>
        <v>6.8180000000000014</v>
      </c>
      <c r="I64" s="232">
        <f t="shared" ref="I64:J64" si="110">I63</f>
        <v>8</v>
      </c>
      <c r="J64" s="233">
        <f t="shared" si="110"/>
        <v>0</v>
      </c>
      <c r="K64" s="228" t="str">
        <f>D64&amp;-6</f>
        <v>25-6</v>
      </c>
      <c r="L64" s="232">
        <f t="shared" si="73"/>
        <v>0.2</v>
      </c>
      <c r="M64" s="235">
        <v>30</v>
      </c>
      <c r="N64" s="232">
        <f t="shared" ref="N64:Q64" si="111">N63</f>
        <v>150</v>
      </c>
      <c r="O64" s="232">
        <f t="shared" si="111"/>
        <v>160</v>
      </c>
      <c r="P64" s="232">
        <f t="shared" si="111"/>
        <v>390</v>
      </c>
      <c r="Q64" s="230" t="str">
        <f t="shared" si="111"/>
        <v>-</v>
      </c>
    </row>
    <row r="65" spans="1:24" s="217" customFormat="1" ht="15.75" thickBot="1" x14ac:dyDescent="0.3">
      <c r="A65" s="229">
        <f t="shared" si="6"/>
        <v>1915</v>
      </c>
      <c r="B65" s="230">
        <f t="shared" si="7"/>
        <v>55</v>
      </c>
      <c r="C65" s="218" t="str">
        <f t="shared" si="4"/>
        <v>22aX25+000_060_07</v>
      </c>
      <c r="D65" s="231">
        <f t="shared" si="102"/>
        <v>25</v>
      </c>
      <c r="E65" s="239">
        <f t="shared" si="98"/>
        <v>3.4090000000000007</v>
      </c>
      <c r="F65" s="232">
        <f t="shared" si="103"/>
        <v>13.636000000000003</v>
      </c>
      <c r="G65" s="232">
        <f t="shared" si="99"/>
        <v>10.908800000000003</v>
      </c>
      <c r="H65" s="232">
        <f t="shared" si="100"/>
        <v>6.8180000000000014</v>
      </c>
      <c r="I65" s="232">
        <f t="shared" ref="I65:J65" si="112">I64</f>
        <v>8</v>
      </c>
      <c r="J65" s="233">
        <f t="shared" si="112"/>
        <v>0</v>
      </c>
      <c r="K65" s="228" t="str">
        <f>D65&amp;-7</f>
        <v>25-7</v>
      </c>
      <c r="L65" s="232">
        <f t="shared" si="73"/>
        <v>0.2</v>
      </c>
      <c r="M65" s="235">
        <v>60</v>
      </c>
      <c r="N65" s="232">
        <f t="shared" ref="N65:Q65" si="113">N64</f>
        <v>150</v>
      </c>
      <c r="O65" s="232">
        <f t="shared" si="113"/>
        <v>160</v>
      </c>
      <c r="P65" s="232">
        <f t="shared" si="113"/>
        <v>390</v>
      </c>
      <c r="Q65" s="230" t="str">
        <f t="shared" si="113"/>
        <v>-</v>
      </c>
    </row>
    <row r="66" spans="1:24" s="217" customFormat="1" ht="15.75" thickBot="1" x14ac:dyDescent="0.3">
      <c r="A66" s="229">
        <f t="shared" si="6"/>
        <v>1916</v>
      </c>
      <c r="B66" s="230">
        <f t="shared" si="7"/>
        <v>56</v>
      </c>
      <c r="C66" s="218" t="str">
        <f t="shared" si="4"/>
        <v>22aX25+000_090_08</v>
      </c>
      <c r="D66" s="231">
        <f t="shared" si="102"/>
        <v>25</v>
      </c>
      <c r="E66" s="239">
        <f t="shared" si="98"/>
        <v>3.4090000000000007</v>
      </c>
      <c r="F66" s="232">
        <f t="shared" si="103"/>
        <v>13.636000000000003</v>
      </c>
      <c r="G66" s="232">
        <f t="shared" si="99"/>
        <v>10.908800000000003</v>
      </c>
      <c r="H66" s="232">
        <f t="shared" si="100"/>
        <v>6.8180000000000014</v>
      </c>
      <c r="I66" s="232">
        <f t="shared" ref="I66:J66" si="114">I65</f>
        <v>8</v>
      </c>
      <c r="J66" s="233">
        <f t="shared" si="114"/>
        <v>0</v>
      </c>
      <c r="K66" s="228" t="str">
        <f>D66&amp;-8</f>
        <v>25-8</v>
      </c>
      <c r="L66" s="232">
        <f t="shared" si="73"/>
        <v>0.2</v>
      </c>
      <c r="M66" s="235">
        <v>90</v>
      </c>
      <c r="N66" s="232">
        <f t="shared" ref="N66:Q66" si="115">N65</f>
        <v>150</v>
      </c>
      <c r="O66" s="232">
        <f t="shared" si="115"/>
        <v>160</v>
      </c>
      <c r="P66" s="232">
        <f t="shared" si="115"/>
        <v>390</v>
      </c>
      <c r="Q66" s="230" t="str">
        <f t="shared" si="115"/>
        <v>-</v>
      </c>
    </row>
    <row r="67" spans="1:24" s="217" customFormat="1" ht="15.75" thickBot="1" x14ac:dyDescent="0.3">
      <c r="A67" s="229">
        <f t="shared" si="6"/>
        <v>1917</v>
      </c>
      <c r="B67" s="230">
        <f t="shared" si="7"/>
        <v>57</v>
      </c>
      <c r="C67" s="218" t="str">
        <f t="shared" si="4"/>
        <v>22aX25+000_000_09</v>
      </c>
      <c r="D67" s="231">
        <f t="shared" si="102"/>
        <v>25</v>
      </c>
      <c r="E67" s="239">
        <f t="shared" si="98"/>
        <v>3.4090000000000007</v>
      </c>
      <c r="F67" s="232">
        <f t="shared" si="103"/>
        <v>13.636000000000003</v>
      </c>
      <c r="G67" s="232">
        <f t="shared" si="99"/>
        <v>10.908800000000003</v>
      </c>
      <c r="H67" s="232">
        <f t="shared" si="100"/>
        <v>6.8180000000000014</v>
      </c>
      <c r="I67" s="232">
        <f t="shared" ref="I67:J67" si="116">I66</f>
        <v>8</v>
      </c>
      <c r="J67" s="233">
        <f t="shared" si="116"/>
        <v>0</v>
      </c>
      <c r="K67" s="228" t="str">
        <f>D67&amp;-9</f>
        <v>25-9</v>
      </c>
      <c r="L67" s="232">
        <f t="shared" si="73"/>
        <v>0.2</v>
      </c>
      <c r="M67" s="235">
        <v>0</v>
      </c>
      <c r="N67" s="232">
        <f t="shared" ref="N67:Q67" si="117">N66</f>
        <v>150</v>
      </c>
      <c r="O67" s="232">
        <f t="shared" si="117"/>
        <v>160</v>
      </c>
      <c r="P67" s="232">
        <f t="shared" si="117"/>
        <v>390</v>
      </c>
      <c r="Q67" s="230" t="str">
        <f t="shared" si="117"/>
        <v>-</v>
      </c>
    </row>
    <row r="68" spans="1:24" s="217" customFormat="1" ht="15.75" thickBot="1" x14ac:dyDescent="0.3">
      <c r="A68" s="229">
        <f t="shared" si="6"/>
        <v>1918</v>
      </c>
      <c r="B68" s="230">
        <f t="shared" si="7"/>
        <v>58</v>
      </c>
      <c r="C68" s="218" t="str">
        <f t="shared" si="4"/>
        <v>22aX25+000_030_10</v>
      </c>
      <c r="D68" s="231">
        <f t="shared" si="102"/>
        <v>25</v>
      </c>
      <c r="E68" s="239">
        <f t="shared" si="98"/>
        <v>3.4090000000000007</v>
      </c>
      <c r="F68" s="232">
        <f t="shared" si="103"/>
        <v>13.636000000000003</v>
      </c>
      <c r="G68" s="232">
        <f t="shared" si="99"/>
        <v>10.908800000000003</v>
      </c>
      <c r="H68" s="232">
        <f t="shared" si="100"/>
        <v>6.8180000000000014</v>
      </c>
      <c r="I68" s="232">
        <f t="shared" ref="I68:J68" si="118">I67</f>
        <v>8</v>
      </c>
      <c r="J68" s="233">
        <f t="shared" si="118"/>
        <v>0</v>
      </c>
      <c r="K68" s="228" t="str">
        <f>D68&amp;-10</f>
        <v>25-10</v>
      </c>
      <c r="L68" s="232">
        <f t="shared" si="73"/>
        <v>0.2</v>
      </c>
      <c r="M68" s="235">
        <v>30</v>
      </c>
      <c r="N68" s="232">
        <f t="shared" ref="N68:Q68" si="119">N67</f>
        <v>150</v>
      </c>
      <c r="O68" s="232">
        <f t="shared" si="119"/>
        <v>160</v>
      </c>
      <c r="P68" s="232">
        <f t="shared" si="119"/>
        <v>390</v>
      </c>
      <c r="Q68" s="230" t="str">
        <f t="shared" si="119"/>
        <v>-</v>
      </c>
    </row>
    <row r="69" spans="1:24" s="217" customFormat="1" ht="15.75" thickBot="1" x14ac:dyDescent="0.3">
      <c r="A69" s="229">
        <f t="shared" si="6"/>
        <v>1919</v>
      </c>
      <c r="B69" s="230">
        <f t="shared" si="7"/>
        <v>59</v>
      </c>
      <c r="C69" s="218" t="str">
        <f t="shared" si="4"/>
        <v>22aX25+000_060_11</v>
      </c>
      <c r="D69" s="231">
        <f t="shared" si="102"/>
        <v>25</v>
      </c>
      <c r="E69" s="239">
        <f t="shared" si="98"/>
        <v>3.4090000000000007</v>
      </c>
      <c r="F69" s="232">
        <f t="shared" si="103"/>
        <v>13.636000000000003</v>
      </c>
      <c r="G69" s="232">
        <f t="shared" si="99"/>
        <v>10.908800000000003</v>
      </c>
      <c r="H69" s="232">
        <f t="shared" si="100"/>
        <v>6.8180000000000014</v>
      </c>
      <c r="I69" s="232">
        <f t="shared" ref="I69:J69" si="120">I68</f>
        <v>8</v>
      </c>
      <c r="J69" s="233">
        <f t="shared" si="120"/>
        <v>0</v>
      </c>
      <c r="K69" s="228" t="str">
        <f>D69&amp;-11</f>
        <v>25-11</v>
      </c>
      <c r="L69" s="232">
        <f t="shared" si="73"/>
        <v>0.2</v>
      </c>
      <c r="M69" s="235">
        <v>60</v>
      </c>
      <c r="N69" s="232">
        <f t="shared" ref="N69:Q69" si="121">N68</f>
        <v>150</v>
      </c>
      <c r="O69" s="232">
        <f t="shared" si="121"/>
        <v>160</v>
      </c>
      <c r="P69" s="232">
        <f t="shared" si="121"/>
        <v>390</v>
      </c>
      <c r="Q69" s="230" t="str">
        <f t="shared" si="121"/>
        <v>-</v>
      </c>
      <c r="S69" s="241"/>
      <c r="T69" s="95"/>
      <c r="U69" s="95"/>
      <c r="V69" s="95"/>
      <c r="W69" s="95"/>
      <c r="X69" s="95"/>
    </row>
    <row r="70" spans="1:24" s="217" customFormat="1" x14ac:dyDescent="0.25">
      <c r="A70" s="229">
        <f t="shared" si="6"/>
        <v>1920</v>
      </c>
      <c r="B70" s="230">
        <f t="shared" si="7"/>
        <v>60</v>
      </c>
      <c r="C70" s="218" t="str">
        <f t="shared" si="4"/>
        <v>22aX25+000_090_12</v>
      </c>
      <c r="D70" s="231">
        <f t="shared" si="102"/>
        <v>25</v>
      </c>
      <c r="E70" s="239">
        <f t="shared" si="98"/>
        <v>3.4090000000000007</v>
      </c>
      <c r="F70" s="232">
        <f t="shared" si="103"/>
        <v>13.636000000000003</v>
      </c>
      <c r="G70" s="232">
        <f t="shared" si="99"/>
        <v>10.908800000000003</v>
      </c>
      <c r="H70" s="232">
        <f t="shared" si="100"/>
        <v>6.8180000000000014</v>
      </c>
      <c r="I70" s="232">
        <f t="shared" ref="I70:J70" si="122">I69</f>
        <v>8</v>
      </c>
      <c r="J70" s="233">
        <f t="shared" si="122"/>
        <v>0</v>
      </c>
      <c r="K70" s="228" t="str">
        <f>D70&amp;-12</f>
        <v>25-12</v>
      </c>
      <c r="L70" s="232">
        <f t="shared" si="73"/>
        <v>0.2</v>
      </c>
      <c r="M70" s="235">
        <v>90</v>
      </c>
      <c r="N70" s="232">
        <f t="shared" ref="N70:Q70" si="123">N69</f>
        <v>150</v>
      </c>
      <c r="O70" s="232">
        <f t="shared" si="123"/>
        <v>160</v>
      </c>
      <c r="P70" s="232">
        <f t="shared" si="123"/>
        <v>390</v>
      </c>
      <c r="Q70" s="230" t="str">
        <f t="shared" si="123"/>
        <v>-</v>
      </c>
      <c r="S70" s="95"/>
      <c r="T70" s="95"/>
      <c r="U70" s="95"/>
      <c r="V70" s="95"/>
      <c r="W70" s="95"/>
      <c r="X70" s="9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T250"/>
  <sheetViews>
    <sheetView topLeftCell="B1" zoomScaleNormal="100" workbookViewId="0">
      <selection activeCell="J27" sqref="J27"/>
    </sheetView>
  </sheetViews>
  <sheetFormatPr defaultColWidth="9" defaultRowHeight="15" x14ac:dyDescent="0.15"/>
  <cols>
    <col min="1" max="1" width="7" style="182" customWidth="1"/>
    <col min="2" max="2" width="7.375" style="182" customWidth="1"/>
    <col min="3" max="3" width="18" style="182" customWidth="1"/>
    <col min="4" max="4" width="6.875" style="182" customWidth="1"/>
    <col min="5" max="5" width="7.375" style="182" customWidth="1"/>
    <col min="6" max="6" width="8.125" style="182" customWidth="1"/>
    <col min="7" max="8" width="7.375" style="182" customWidth="1"/>
    <col min="9" max="9" width="8" style="182" customWidth="1"/>
    <col min="10" max="10" width="9" style="182"/>
    <col min="11" max="11" width="8.875" style="182" customWidth="1"/>
    <col min="12" max="12" width="7.375" style="182" customWidth="1"/>
    <col min="13" max="13" width="7.125" style="182" customWidth="1"/>
    <col min="14" max="14" width="6.75" style="182" customWidth="1"/>
    <col min="15" max="15" width="8.375" style="182" customWidth="1"/>
    <col min="16" max="16" width="7" style="182" customWidth="1"/>
    <col min="17" max="17" width="9.375" style="182" customWidth="1"/>
    <col min="18" max="16384" width="9" style="182"/>
  </cols>
  <sheetData>
    <row r="1" spans="1:20" x14ac:dyDescent="0.15">
      <c r="H1" s="181" t="s">
        <v>135</v>
      </c>
      <c r="I1" s="216" t="s">
        <v>3950</v>
      </c>
      <c r="J1" s="180"/>
    </row>
    <row r="2" spans="1:20" x14ac:dyDescent="0.15">
      <c r="B2" s="181" t="s">
        <v>3691</v>
      </c>
      <c r="C2" s="181"/>
      <c r="D2" s="181"/>
      <c r="E2" s="181"/>
      <c r="F2" s="181"/>
      <c r="G2" s="181"/>
      <c r="H2" s="181"/>
      <c r="I2" s="216" t="s">
        <v>3969</v>
      </c>
      <c r="J2" s="180"/>
      <c r="S2" s="120"/>
    </row>
    <row r="3" spans="1:20" x14ac:dyDescent="0.15">
      <c r="B3" s="181" t="s">
        <v>88</v>
      </c>
      <c r="C3" s="181"/>
      <c r="D3" s="181"/>
      <c r="E3" s="181" t="s">
        <v>95</v>
      </c>
      <c r="F3" s="181"/>
      <c r="G3" s="181"/>
      <c r="H3" s="181"/>
      <c r="I3" s="240" t="s">
        <v>3939</v>
      </c>
      <c r="J3" s="180"/>
      <c r="S3" s="119"/>
      <c r="T3" s="119"/>
    </row>
    <row r="4" spans="1:20" x14ac:dyDescent="0.15">
      <c r="B4" s="181" t="s">
        <v>89</v>
      </c>
      <c r="C4" s="181"/>
      <c r="D4" s="181"/>
      <c r="E4" s="181" t="s">
        <v>3692</v>
      </c>
      <c r="F4" s="181"/>
      <c r="G4" s="181"/>
      <c r="H4" s="181"/>
      <c r="I4" s="216" t="s">
        <v>3942</v>
      </c>
      <c r="J4" s="180"/>
      <c r="S4" s="119"/>
      <c r="T4" s="119"/>
    </row>
    <row r="5" spans="1:20" x14ac:dyDescent="0.15">
      <c r="B5" s="181" t="s">
        <v>91</v>
      </c>
      <c r="C5" s="181"/>
      <c r="D5" s="181"/>
      <c r="E5" s="181" t="s">
        <v>99</v>
      </c>
      <c r="F5" s="181"/>
      <c r="G5" s="181"/>
      <c r="H5" s="181"/>
      <c r="I5" s="240" t="s">
        <v>3940</v>
      </c>
      <c r="J5" s="180"/>
      <c r="S5" s="119"/>
      <c r="T5" s="119"/>
    </row>
    <row r="6" spans="1:20" x14ac:dyDescent="0.15">
      <c r="B6" s="181" t="s">
        <v>93</v>
      </c>
      <c r="C6" s="181"/>
      <c r="D6" s="181"/>
      <c r="E6" s="181" t="s">
        <v>106</v>
      </c>
      <c r="F6" s="181"/>
      <c r="G6" s="181"/>
      <c r="H6" s="181"/>
      <c r="I6" s="216" t="s">
        <v>3932</v>
      </c>
      <c r="J6" s="180"/>
      <c r="S6" s="119"/>
      <c r="T6" s="119"/>
    </row>
    <row r="7" spans="1:20" ht="16.5" customHeight="1" x14ac:dyDescent="0.15">
      <c r="I7" s="216" t="s">
        <v>3930</v>
      </c>
      <c r="P7" s="181"/>
      <c r="S7" s="119"/>
      <c r="T7" s="119"/>
    </row>
    <row r="8" spans="1:20" ht="15.75" thickBot="1" x14ac:dyDescent="0.2">
      <c r="A8" s="139">
        <v>1</v>
      </c>
      <c r="B8" s="139">
        <v>2</v>
      </c>
      <c r="C8" s="139">
        <v>3</v>
      </c>
      <c r="D8" s="139">
        <v>4</v>
      </c>
      <c r="E8" s="139">
        <v>5</v>
      </c>
      <c r="F8" s="139">
        <v>6</v>
      </c>
      <c r="G8" s="139">
        <v>7</v>
      </c>
      <c r="H8" s="139">
        <v>8</v>
      </c>
      <c r="I8" s="139">
        <v>9</v>
      </c>
      <c r="J8" s="139">
        <v>10</v>
      </c>
      <c r="K8" s="139">
        <v>11</v>
      </c>
      <c r="L8" s="139">
        <v>12</v>
      </c>
      <c r="M8" s="139">
        <v>13</v>
      </c>
      <c r="N8" s="139">
        <v>14</v>
      </c>
      <c r="O8" s="139">
        <v>15</v>
      </c>
      <c r="P8" s="139">
        <v>16</v>
      </c>
      <c r="Q8" s="139">
        <v>17</v>
      </c>
      <c r="R8" s="139"/>
      <c r="S8" s="119"/>
      <c r="T8" s="119"/>
    </row>
    <row r="9" spans="1:20" x14ac:dyDescent="0.25">
      <c r="A9" s="183" t="s">
        <v>97</v>
      </c>
      <c r="B9" s="184" t="s">
        <v>96</v>
      </c>
      <c r="C9" s="183" t="s">
        <v>0</v>
      </c>
      <c r="D9" s="184" t="s">
        <v>137</v>
      </c>
      <c r="E9" s="201" t="s">
        <v>142</v>
      </c>
      <c r="F9" s="184" t="s">
        <v>119</v>
      </c>
      <c r="G9" s="184" t="s">
        <v>120</v>
      </c>
      <c r="H9" s="184" t="s">
        <v>121</v>
      </c>
      <c r="I9" s="184" t="s">
        <v>144</v>
      </c>
      <c r="J9" s="184" t="s">
        <v>140</v>
      </c>
      <c r="K9" s="185" t="s">
        <v>3</v>
      </c>
      <c r="L9" s="184" t="s">
        <v>141</v>
      </c>
      <c r="M9" s="184" t="s">
        <v>13</v>
      </c>
      <c r="N9" s="186" t="s">
        <v>138</v>
      </c>
      <c r="O9" s="200" t="s">
        <v>160</v>
      </c>
      <c r="P9" s="186" t="s">
        <v>139</v>
      </c>
      <c r="Q9" s="186" t="s">
        <v>933</v>
      </c>
      <c r="S9" s="119"/>
      <c r="T9" s="119"/>
    </row>
    <row r="10" spans="1:20" ht="15.75" thickBot="1" x14ac:dyDescent="0.3">
      <c r="A10" s="187" t="s">
        <v>76</v>
      </c>
      <c r="B10" s="188" t="str">
        <f>B2</f>
        <v>DLC22b</v>
      </c>
      <c r="C10" s="187"/>
      <c r="D10" s="188" t="s">
        <v>4</v>
      </c>
      <c r="E10" s="202" t="s">
        <v>4</v>
      </c>
      <c r="F10" s="188" t="s">
        <v>5</v>
      </c>
      <c r="G10" s="188" t="s">
        <v>5</v>
      </c>
      <c r="H10" s="188" t="s">
        <v>5</v>
      </c>
      <c r="I10" s="188" t="s">
        <v>6</v>
      </c>
      <c r="J10" s="188" t="s">
        <v>6</v>
      </c>
      <c r="K10" s="189"/>
      <c r="L10" s="188"/>
      <c r="M10" s="190" t="s">
        <v>7</v>
      </c>
      <c r="N10" s="190" t="s">
        <v>7</v>
      </c>
      <c r="O10" s="190" t="s">
        <v>7</v>
      </c>
      <c r="P10" s="190" t="s">
        <v>7</v>
      </c>
      <c r="Q10" s="190"/>
      <c r="S10" s="119"/>
      <c r="T10" s="119"/>
    </row>
    <row r="11" spans="1:20" x14ac:dyDescent="0.25">
      <c r="A11" s="195">
        <f>DLC22a!A70+1</f>
        <v>1921</v>
      </c>
      <c r="B11" s="196">
        <v>1</v>
      </c>
      <c r="C11" s="195" t="str">
        <f>TEXT(RIGHT($B$2,LEN($B$2)-3),"000")&amp;"X"&amp;TEXT(D11,"00")&amp;"+"&amp;IF(J11&lt;0,TEXT(360+J11,"000"),TEXT(J11,"000"))&amp;"_"&amp;TEXT(M11,"000")&amp;"_"&amp;TEXT(RIGHT(K11,LEN(K11)-FIND("-",K11)),"00")</f>
        <v>22bX08+000_000_01</v>
      </c>
      <c r="D11" s="191">
        <f t="shared" ref="D11" si="0">vr_b</f>
        <v>7.8000000000000007</v>
      </c>
      <c r="E11" s="203">
        <f t="shared" ref="E11" si="1">I_ref*(0.75*D11+5.6)</f>
        <v>1.603</v>
      </c>
      <c r="F11" s="192">
        <f>E11/D11*100</f>
        <v>20.551282051282051</v>
      </c>
      <c r="G11" s="192">
        <f t="shared" ref="G11" si="2">m_ty*F11</f>
        <v>16.441025641025643</v>
      </c>
      <c r="H11" s="192">
        <f t="shared" ref="H11" si="3">m_tz*F11</f>
        <v>10.275641025641026</v>
      </c>
      <c r="I11" s="192">
        <f>inflow</f>
        <v>8</v>
      </c>
      <c r="J11" s="193">
        <f>yaw_null</f>
        <v>0</v>
      </c>
      <c r="K11" s="194" t="str">
        <f>D11&amp;-1</f>
        <v>7.8-1</v>
      </c>
      <c r="L11" s="192">
        <f>alpha_n</f>
        <v>0.2</v>
      </c>
      <c r="M11" s="49">
        <v>0</v>
      </c>
      <c r="N11" s="198">
        <f>t_out</f>
        <v>150</v>
      </c>
      <c r="O11" s="198">
        <f>trig_t</f>
        <v>160</v>
      </c>
      <c r="P11" s="198">
        <f>N11+4*T_s2</f>
        <v>390</v>
      </c>
      <c r="Q11" s="196" t="s">
        <v>76</v>
      </c>
    </row>
    <row r="12" spans="1:20" x14ac:dyDescent="0.25">
      <c r="A12" s="195">
        <f t="shared" ref="A12:B12" si="4">A11+1</f>
        <v>1922</v>
      </c>
      <c r="B12" s="196">
        <f t="shared" si="4"/>
        <v>2</v>
      </c>
      <c r="C12" s="229" t="str">
        <f t="shared" ref="C12:C75" si="5">TEXT(RIGHT($B$2,LEN($B$2)-3),"000")&amp;"X"&amp;TEXT(D12,"00")&amp;"+"&amp;IF(J12&lt;0,TEXT(360+J12,"000"),TEXT(J12,"000"))&amp;"_"&amp;TEXT(M12,"000")&amp;"_"&amp;TEXT(RIGHT(K12,LEN(K12)-FIND("-",K12)),"00")</f>
        <v>22bX08+000_030_01</v>
      </c>
      <c r="D12" s="197">
        <f t="shared" ref="D12:D58" si="6">D11</f>
        <v>7.8000000000000007</v>
      </c>
      <c r="E12" s="204">
        <f t="shared" ref="E12:E58" si="7">I_ref*(0.75*D12+5.6)</f>
        <v>1.603</v>
      </c>
      <c r="F12" s="198">
        <f t="shared" ref="F12:F58" si="8">E12/D12*100</f>
        <v>20.551282051282051</v>
      </c>
      <c r="G12" s="198">
        <f t="shared" ref="G12:G58" si="9">m_ty*F12</f>
        <v>16.441025641025643</v>
      </c>
      <c r="H12" s="198">
        <f t="shared" ref="H12:H58" si="10">m_tz*F12</f>
        <v>10.275641025641026</v>
      </c>
      <c r="I12" s="198">
        <f t="shared" ref="I12:J16" si="11">I11</f>
        <v>8</v>
      </c>
      <c r="J12" s="199">
        <f>J11</f>
        <v>0</v>
      </c>
      <c r="K12" s="194" t="str">
        <f t="shared" ref="K12:K14" si="12">D12&amp;-1</f>
        <v>7.8-1</v>
      </c>
      <c r="L12" s="198">
        <f t="shared" ref="L12:P15" si="13">L11</f>
        <v>0.2</v>
      </c>
      <c r="M12" s="49">
        <v>30</v>
      </c>
      <c r="N12" s="198">
        <f t="shared" si="13"/>
        <v>150</v>
      </c>
      <c r="O12" s="198">
        <f t="shared" si="13"/>
        <v>160</v>
      </c>
      <c r="P12" s="198">
        <f t="shared" si="13"/>
        <v>390</v>
      </c>
      <c r="Q12" s="196" t="s">
        <v>76</v>
      </c>
    </row>
    <row r="13" spans="1:20" x14ac:dyDescent="0.25">
      <c r="A13" s="229">
        <f t="shared" ref="A13:B13" si="14">A12+1</f>
        <v>1923</v>
      </c>
      <c r="B13" s="230">
        <f t="shared" si="14"/>
        <v>3</v>
      </c>
      <c r="C13" s="229" t="str">
        <f t="shared" si="5"/>
        <v>22bX08+000_060_01</v>
      </c>
      <c r="D13" s="197">
        <f t="shared" si="6"/>
        <v>7.8000000000000007</v>
      </c>
      <c r="E13" s="204">
        <f t="shared" si="7"/>
        <v>1.603</v>
      </c>
      <c r="F13" s="198">
        <f t="shared" si="8"/>
        <v>20.551282051282051</v>
      </c>
      <c r="G13" s="198">
        <f t="shared" si="9"/>
        <v>16.441025641025643</v>
      </c>
      <c r="H13" s="198">
        <f t="shared" si="10"/>
        <v>10.275641025641026</v>
      </c>
      <c r="I13" s="198">
        <f t="shared" si="11"/>
        <v>8</v>
      </c>
      <c r="J13" s="199">
        <f t="shared" si="11"/>
        <v>0</v>
      </c>
      <c r="K13" s="194" t="str">
        <f t="shared" si="12"/>
        <v>7.8-1</v>
      </c>
      <c r="L13" s="198">
        <f t="shared" si="13"/>
        <v>0.2</v>
      </c>
      <c r="M13" s="49">
        <v>60</v>
      </c>
      <c r="N13" s="198">
        <f t="shared" si="13"/>
        <v>150</v>
      </c>
      <c r="O13" s="198">
        <f t="shared" si="13"/>
        <v>160</v>
      </c>
      <c r="P13" s="198">
        <f t="shared" si="13"/>
        <v>390</v>
      </c>
      <c r="Q13" s="196" t="s">
        <v>76</v>
      </c>
    </row>
    <row r="14" spans="1:20" x14ac:dyDescent="0.25">
      <c r="A14" s="229">
        <f t="shared" ref="A14:B14" si="15">A13+1</f>
        <v>1924</v>
      </c>
      <c r="B14" s="230">
        <f t="shared" si="15"/>
        <v>4</v>
      </c>
      <c r="C14" s="229" t="str">
        <f t="shared" si="5"/>
        <v>22bX08+000_090_01</v>
      </c>
      <c r="D14" s="197">
        <f t="shared" si="6"/>
        <v>7.8000000000000007</v>
      </c>
      <c r="E14" s="204">
        <f t="shared" si="7"/>
        <v>1.603</v>
      </c>
      <c r="F14" s="198">
        <f t="shared" si="8"/>
        <v>20.551282051282051</v>
      </c>
      <c r="G14" s="198">
        <f t="shared" si="9"/>
        <v>16.441025641025643</v>
      </c>
      <c r="H14" s="198">
        <f t="shared" si="10"/>
        <v>10.275641025641026</v>
      </c>
      <c r="I14" s="198">
        <f t="shared" si="11"/>
        <v>8</v>
      </c>
      <c r="J14" s="199">
        <f t="shared" si="11"/>
        <v>0</v>
      </c>
      <c r="K14" s="194" t="str">
        <f t="shared" si="12"/>
        <v>7.8-1</v>
      </c>
      <c r="L14" s="198">
        <f t="shared" si="13"/>
        <v>0.2</v>
      </c>
      <c r="M14" s="49">
        <v>90</v>
      </c>
      <c r="N14" s="198">
        <f t="shared" si="13"/>
        <v>150</v>
      </c>
      <c r="O14" s="198">
        <f t="shared" si="13"/>
        <v>160</v>
      </c>
      <c r="P14" s="198">
        <f t="shared" si="13"/>
        <v>390</v>
      </c>
      <c r="Q14" s="196" t="s">
        <v>76</v>
      </c>
    </row>
    <row r="15" spans="1:20" x14ac:dyDescent="0.25">
      <c r="A15" s="229">
        <f t="shared" ref="A15:B15" si="16">A14+1</f>
        <v>1925</v>
      </c>
      <c r="B15" s="230">
        <f t="shared" si="16"/>
        <v>5</v>
      </c>
      <c r="C15" s="229" t="str">
        <f t="shared" si="5"/>
        <v>22bX08+000_000_02</v>
      </c>
      <c r="D15" s="197">
        <f t="shared" si="6"/>
        <v>7.8000000000000007</v>
      </c>
      <c r="E15" s="204">
        <f t="shared" si="7"/>
        <v>1.603</v>
      </c>
      <c r="F15" s="198">
        <f t="shared" si="8"/>
        <v>20.551282051282051</v>
      </c>
      <c r="G15" s="198">
        <f t="shared" si="9"/>
        <v>16.441025641025643</v>
      </c>
      <c r="H15" s="198">
        <f t="shared" si="10"/>
        <v>10.275641025641026</v>
      </c>
      <c r="I15" s="198">
        <f t="shared" si="11"/>
        <v>8</v>
      </c>
      <c r="J15" s="199">
        <f t="shared" si="11"/>
        <v>0</v>
      </c>
      <c r="K15" s="194" t="str">
        <f>D15&amp;-2</f>
        <v>7.8-2</v>
      </c>
      <c r="L15" s="198">
        <f t="shared" si="13"/>
        <v>0.2</v>
      </c>
      <c r="M15" s="49">
        <v>0</v>
      </c>
      <c r="N15" s="198">
        <f t="shared" si="13"/>
        <v>150</v>
      </c>
      <c r="O15" s="198">
        <f t="shared" si="13"/>
        <v>160</v>
      </c>
      <c r="P15" s="198">
        <f t="shared" si="13"/>
        <v>390</v>
      </c>
      <c r="Q15" s="196" t="s">
        <v>76</v>
      </c>
    </row>
    <row r="16" spans="1:20" x14ac:dyDescent="0.25">
      <c r="A16" s="229">
        <f t="shared" ref="A16:B16" si="17">A15+1</f>
        <v>1926</v>
      </c>
      <c r="B16" s="230">
        <f t="shared" si="17"/>
        <v>6</v>
      </c>
      <c r="C16" s="229" t="str">
        <f t="shared" si="5"/>
        <v>22bX08+000_030_02</v>
      </c>
      <c r="D16" s="197">
        <f t="shared" si="6"/>
        <v>7.8000000000000007</v>
      </c>
      <c r="E16" s="204">
        <f t="shared" si="7"/>
        <v>1.603</v>
      </c>
      <c r="F16" s="198">
        <f t="shared" si="8"/>
        <v>20.551282051282051</v>
      </c>
      <c r="G16" s="198">
        <f t="shared" si="9"/>
        <v>16.441025641025643</v>
      </c>
      <c r="H16" s="198">
        <f t="shared" si="10"/>
        <v>10.275641025641026</v>
      </c>
      <c r="I16" s="198">
        <f t="shared" si="11"/>
        <v>8</v>
      </c>
      <c r="J16" s="199">
        <f t="shared" si="11"/>
        <v>0</v>
      </c>
      <c r="K16" s="194" t="str">
        <f t="shared" ref="K16:K18" si="18">D16&amp;-2</f>
        <v>7.8-2</v>
      </c>
      <c r="L16" s="198">
        <f t="shared" ref="L16:L58" si="19">L15</f>
        <v>0.2</v>
      </c>
      <c r="M16" s="49">
        <v>30</v>
      </c>
      <c r="N16" s="198">
        <f t="shared" ref="N16:P31" si="20">N15</f>
        <v>150</v>
      </c>
      <c r="O16" s="198">
        <f t="shared" si="20"/>
        <v>160</v>
      </c>
      <c r="P16" s="198">
        <f t="shared" si="20"/>
        <v>390</v>
      </c>
      <c r="Q16" s="196" t="s">
        <v>76</v>
      </c>
    </row>
    <row r="17" spans="1:17" x14ac:dyDescent="0.25">
      <c r="A17" s="229">
        <f t="shared" ref="A17:B17" si="21">A16+1</f>
        <v>1927</v>
      </c>
      <c r="B17" s="230">
        <f t="shared" si="21"/>
        <v>7</v>
      </c>
      <c r="C17" s="229" t="str">
        <f t="shared" si="5"/>
        <v>22bX08+000_060_02</v>
      </c>
      <c r="D17" s="197">
        <f t="shared" si="6"/>
        <v>7.8000000000000007</v>
      </c>
      <c r="E17" s="204">
        <f t="shared" si="7"/>
        <v>1.603</v>
      </c>
      <c r="F17" s="198">
        <f t="shared" si="8"/>
        <v>20.551282051282051</v>
      </c>
      <c r="G17" s="198">
        <f t="shared" si="9"/>
        <v>16.441025641025643</v>
      </c>
      <c r="H17" s="198">
        <f t="shared" si="10"/>
        <v>10.275641025641026</v>
      </c>
      <c r="I17" s="198">
        <f t="shared" ref="I17:J32" si="22">I16</f>
        <v>8</v>
      </c>
      <c r="J17" s="199">
        <f t="shared" si="22"/>
        <v>0</v>
      </c>
      <c r="K17" s="194" t="str">
        <f t="shared" si="18"/>
        <v>7.8-2</v>
      </c>
      <c r="L17" s="198">
        <f t="shared" si="19"/>
        <v>0.2</v>
      </c>
      <c r="M17" s="49">
        <v>60</v>
      </c>
      <c r="N17" s="198">
        <f t="shared" si="20"/>
        <v>150</v>
      </c>
      <c r="O17" s="198">
        <f t="shared" si="20"/>
        <v>160</v>
      </c>
      <c r="P17" s="198">
        <f t="shared" si="20"/>
        <v>390</v>
      </c>
      <c r="Q17" s="196" t="s">
        <v>76</v>
      </c>
    </row>
    <row r="18" spans="1:17" x14ac:dyDescent="0.25">
      <c r="A18" s="229">
        <f t="shared" ref="A18:B18" si="23">A17+1</f>
        <v>1928</v>
      </c>
      <c r="B18" s="230">
        <f t="shared" si="23"/>
        <v>8</v>
      </c>
      <c r="C18" s="229" t="str">
        <f t="shared" si="5"/>
        <v>22bX08+000_090_02</v>
      </c>
      <c r="D18" s="197">
        <f t="shared" si="6"/>
        <v>7.8000000000000007</v>
      </c>
      <c r="E18" s="204">
        <f t="shared" si="7"/>
        <v>1.603</v>
      </c>
      <c r="F18" s="198">
        <f t="shared" si="8"/>
        <v>20.551282051282051</v>
      </c>
      <c r="G18" s="198">
        <f t="shared" si="9"/>
        <v>16.441025641025643</v>
      </c>
      <c r="H18" s="198">
        <f t="shared" si="10"/>
        <v>10.275641025641026</v>
      </c>
      <c r="I18" s="198">
        <f t="shared" si="22"/>
        <v>8</v>
      </c>
      <c r="J18" s="199">
        <f t="shared" si="22"/>
        <v>0</v>
      </c>
      <c r="K18" s="194" t="str">
        <f t="shared" si="18"/>
        <v>7.8-2</v>
      </c>
      <c r="L18" s="198">
        <f t="shared" si="19"/>
        <v>0.2</v>
      </c>
      <c r="M18" s="49">
        <v>90</v>
      </c>
      <c r="N18" s="198">
        <f t="shared" si="20"/>
        <v>150</v>
      </c>
      <c r="O18" s="198">
        <f t="shared" si="20"/>
        <v>160</v>
      </c>
      <c r="P18" s="198">
        <f t="shared" si="20"/>
        <v>390</v>
      </c>
      <c r="Q18" s="196" t="s">
        <v>76</v>
      </c>
    </row>
    <row r="19" spans="1:17" x14ac:dyDescent="0.25">
      <c r="A19" s="229">
        <f t="shared" ref="A19:B19" si="24">A18+1</f>
        <v>1929</v>
      </c>
      <c r="B19" s="230">
        <f t="shared" si="24"/>
        <v>9</v>
      </c>
      <c r="C19" s="229" t="str">
        <f t="shared" si="5"/>
        <v>22bX08+000_000_03</v>
      </c>
      <c r="D19" s="197">
        <f t="shared" si="6"/>
        <v>7.8000000000000007</v>
      </c>
      <c r="E19" s="204">
        <f t="shared" si="7"/>
        <v>1.603</v>
      </c>
      <c r="F19" s="198">
        <f t="shared" si="8"/>
        <v>20.551282051282051</v>
      </c>
      <c r="G19" s="198">
        <f t="shared" si="9"/>
        <v>16.441025641025643</v>
      </c>
      <c r="H19" s="198">
        <f t="shared" si="10"/>
        <v>10.275641025641026</v>
      </c>
      <c r="I19" s="198">
        <f t="shared" si="22"/>
        <v>8</v>
      </c>
      <c r="J19" s="199">
        <f t="shared" si="22"/>
        <v>0</v>
      </c>
      <c r="K19" s="194" t="str">
        <f>D19&amp;-3</f>
        <v>7.8-3</v>
      </c>
      <c r="L19" s="198">
        <f t="shared" si="19"/>
        <v>0.2</v>
      </c>
      <c r="M19" s="49">
        <v>0</v>
      </c>
      <c r="N19" s="198">
        <f t="shared" si="20"/>
        <v>150</v>
      </c>
      <c r="O19" s="198">
        <f t="shared" si="20"/>
        <v>160</v>
      </c>
      <c r="P19" s="198">
        <f t="shared" si="20"/>
        <v>390</v>
      </c>
      <c r="Q19" s="196" t="s">
        <v>76</v>
      </c>
    </row>
    <row r="20" spans="1:17" x14ac:dyDescent="0.25">
      <c r="A20" s="229">
        <f t="shared" ref="A20:B20" si="25">A19+1</f>
        <v>1930</v>
      </c>
      <c r="B20" s="230">
        <f t="shared" si="25"/>
        <v>10</v>
      </c>
      <c r="C20" s="229" t="str">
        <f t="shared" si="5"/>
        <v>22bX08+000_030_03</v>
      </c>
      <c r="D20" s="197">
        <f t="shared" si="6"/>
        <v>7.8000000000000007</v>
      </c>
      <c r="E20" s="204">
        <f t="shared" si="7"/>
        <v>1.603</v>
      </c>
      <c r="F20" s="198">
        <f t="shared" si="8"/>
        <v>20.551282051282051</v>
      </c>
      <c r="G20" s="198">
        <f t="shared" si="9"/>
        <v>16.441025641025643</v>
      </c>
      <c r="H20" s="198">
        <f t="shared" si="10"/>
        <v>10.275641025641026</v>
      </c>
      <c r="I20" s="198">
        <f t="shared" si="22"/>
        <v>8</v>
      </c>
      <c r="J20" s="199">
        <f t="shared" si="22"/>
        <v>0</v>
      </c>
      <c r="K20" s="194" t="str">
        <f t="shared" ref="K20:K22" si="26">D20&amp;-3</f>
        <v>7.8-3</v>
      </c>
      <c r="L20" s="198">
        <f t="shared" si="19"/>
        <v>0.2</v>
      </c>
      <c r="M20" s="49">
        <v>30</v>
      </c>
      <c r="N20" s="198">
        <f t="shared" si="20"/>
        <v>150</v>
      </c>
      <c r="O20" s="198">
        <f t="shared" si="20"/>
        <v>160</v>
      </c>
      <c r="P20" s="198">
        <f t="shared" si="20"/>
        <v>390</v>
      </c>
      <c r="Q20" s="196" t="s">
        <v>76</v>
      </c>
    </row>
    <row r="21" spans="1:17" x14ac:dyDescent="0.25">
      <c r="A21" s="229">
        <f t="shared" ref="A21:B21" si="27">A20+1</f>
        <v>1931</v>
      </c>
      <c r="B21" s="230">
        <f t="shared" si="27"/>
        <v>11</v>
      </c>
      <c r="C21" s="229" t="str">
        <f t="shared" si="5"/>
        <v>22bX08+000_060_03</v>
      </c>
      <c r="D21" s="197">
        <f t="shared" si="6"/>
        <v>7.8000000000000007</v>
      </c>
      <c r="E21" s="204">
        <f t="shared" si="7"/>
        <v>1.603</v>
      </c>
      <c r="F21" s="198">
        <f t="shared" si="8"/>
        <v>20.551282051282051</v>
      </c>
      <c r="G21" s="198">
        <f t="shared" si="9"/>
        <v>16.441025641025643</v>
      </c>
      <c r="H21" s="198">
        <f t="shared" si="10"/>
        <v>10.275641025641026</v>
      </c>
      <c r="I21" s="198">
        <f t="shared" si="22"/>
        <v>8</v>
      </c>
      <c r="J21" s="199">
        <f t="shared" si="22"/>
        <v>0</v>
      </c>
      <c r="K21" s="194" t="str">
        <f t="shared" si="26"/>
        <v>7.8-3</v>
      </c>
      <c r="L21" s="198">
        <f t="shared" si="19"/>
        <v>0.2</v>
      </c>
      <c r="M21" s="49">
        <v>60</v>
      </c>
      <c r="N21" s="198">
        <f t="shared" si="20"/>
        <v>150</v>
      </c>
      <c r="O21" s="198">
        <f t="shared" si="20"/>
        <v>160</v>
      </c>
      <c r="P21" s="198">
        <f t="shared" si="20"/>
        <v>390</v>
      </c>
      <c r="Q21" s="196" t="s">
        <v>76</v>
      </c>
    </row>
    <row r="22" spans="1:17" x14ac:dyDescent="0.25">
      <c r="A22" s="229">
        <f t="shared" ref="A22:B22" si="28">A21+1</f>
        <v>1932</v>
      </c>
      <c r="B22" s="230">
        <f t="shared" si="28"/>
        <v>12</v>
      </c>
      <c r="C22" s="229" t="str">
        <f t="shared" si="5"/>
        <v>22bX08+000_090_03</v>
      </c>
      <c r="D22" s="197">
        <f t="shared" si="6"/>
        <v>7.8000000000000007</v>
      </c>
      <c r="E22" s="204">
        <f t="shared" si="7"/>
        <v>1.603</v>
      </c>
      <c r="F22" s="198">
        <f t="shared" si="8"/>
        <v>20.551282051282051</v>
      </c>
      <c r="G22" s="198">
        <f t="shared" si="9"/>
        <v>16.441025641025643</v>
      </c>
      <c r="H22" s="198">
        <f t="shared" si="10"/>
        <v>10.275641025641026</v>
      </c>
      <c r="I22" s="198">
        <f t="shared" si="22"/>
        <v>8</v>
      </c>
      <c r="J22" s="199">
        <f t="shared" si="22"/>
        <v>0</v>
      </c>
      <c r="K22" s="194" t="str">
        <f t="shared" si="26"/>
        <v>7.8-3</v>
      </c>
      <c r="L22" s="198">
        <f t="shared" si="19"/>
        <v>0.2</v>
      </c>
      <c r="M22" s="49">
        <v>90</v>
      </c>
      <c r="N22" s="198">
        <f t="shared" si="20"/>
        <v>150</v>
      </c>
      <c r="O22" s="198">
        <f t="shared" si="20"/>
        <v>160</v>
      </c>
      <c r="P22" s="198">
        <f t="shared" si="20"/>
        <v>390</v>
      </c>
      <c r="Q22" s="196" t="s">
        <v>76</v>
      </c>
    </row>
    <row r="23" spans="1:17" x14ac:dyDescent="0.25">
      <c r="A23" s="229">
        <f t="shared" ref="A23:B23" si="29">A22+1</f>
        <v>1933</v>
      </c>
      <c r="B23" s="230">
        <f t="shared" si="29"/>
        <v>13</v>
      </c>
      <c r="C23" s="229" t="str">
        <f t="shared" si="5"/>
        <v>22bX08+000_000_04</v>
      </c>
      <c r="D23" s="197">
        <f t="shared" si="6"/>
        <v>7.8000000000000007</v>
      </c>
      <c r="E23" s="204">
        <f t="shared" si="7"/>
        <v>1.603</v>
      </c>
      <c r="F23" s="198">
        <f t="shared" si="8"/>
        <v>20.551282051282051</v>
      </c>
      <c r="G23" s="198">
        <f t="shared" si="9"/>
        <v>16.441025641025643</v>
      </c>
      <c r="H23" s="198">
        <f t="shared" si="10"/>
        <v>10.275641025641026</v>
      </c>
      <c r="I23" s="198">
        <f t="shared" si="22"/>
        <v>8</v>
      </c>
      <c r="J23" s="199">
        <f t="shared" si="22"/>
        <v>0</v>
      </c>
      <c r="K23" s="194" t="str">
        <f>D23&amp;-4</f>
        <v>7.8-4</v>
      </c>
      <c r="L23" s="198">
        <f t="shared" si="19"/>
        <v>0.2</v>
      </c>
      <c r="M23" s="49">
        <v>0</v>
      </c>
      <c r="N23" s="198">
        <f t="shared" si="20"/>
        <v>150</v>
      </c>
      <c r="O23" s="198">
        <f t="shared" si="20"/>
        <v>160</v>
      </c>
      <c r="P23" s="198">
        <f t="shared" si="20"/>
        <v>390</v>
      </c>
      <c r="Q23" s="196" t="s">
        <v>76</v>
      </c>
    </row>
    <row r="24" spans="1:17" x14ac:dyDescent="0.25">
      <c r="A24" s="229">
        <f t="shared" ref="A24:B24" si="30">A23+1</f>
        <v>1934</v>
      </c>
      <c r="B24" s="230">
        <f t="shared" si="30"/>
        <v>14</v>
      </c>
      <c r="C24" s="229" t="str">
        <f t="shared" si="5"/>
        <v>22bX08+000_030_04</v>
      </c>
      <c r="D24" s="197">
        <f t="shared" si="6"/>
        <v>7.8000000000000007</v>
      </c>
      <c r="E24" s="204">
        <f t="shared" si="7"/>
        <v>1.603</v>
      </c>
      <c r="F24" s="198">
        <f t="shared" si="8"/>
        <v>20.551282051282051</v>
      </c>
      <c r="G24" s="198">
        <f t="shared" si="9"/>
        <v>16.441025641025643</v>
      </c>
      <c r="H24" s="198">
        <f t="shared" si="10"/>
        <v>10.275641025641026</v>
      </c>
      <c r="I24" s="198">
        <f t="shared" si="22"/>
        <v>8</v>
      </c>
      <c r="J24" s="199">
        <f t="shared" si="22"/>
        <v>0</v>
      </c>
      <c r="K24" s="194" t="str">
        <f t="shared" ref="K24:K26" si="31">D24&amp;-4</f>
        <v>7.8-4</v>
      </c>
      <c r="L24" s="198">
        <f t="shared" si="19"/>
        <v>0.2</v>
      </c>
      <c r="M24" s="49">
        <v>30</v>
      </c>
      <c r="N24" s="198">
        <f t="shared" si="20"/>
        <v>150</v>
      </c>
      <c r="O24" s="198">
        <f t="shared" si="20"/>
        <v>160</v>
      </c>
      <c r="P24" s="198">
        <f t="shared" si="20"/>
        <v>390</v>
      </c>
      <c r="Q24" s="196" t="s">
        <v>76</v>
      </c>
    </row>
    <row r="25" spans="1:17" x14ac:dyDescent="0.25">
      <c r="A25" s="229">
        <f t="shared" ref="A25:B25" si="32">A24+1</f>
        <v>1935</v>
      </c>
      <c r="B25" s="230">
        <f t="shared" si="32"/>
        <v>15</v>
      </c>
      <c r="C25" s="229" t="str">
        <f t="shared" si="5"/>
        <v>22bX08+000_060_04</v>
      </c>
      <c r="D25" s="197">
        <f t="shared" si="6"/>
        <v>7.8000000000000007</v>
      </c>
      <c r="E25" s="204">
        <f t="shared" si="7"/>
        <v>1.603</v>
      </c>
      <c r="F25" s="198">
        <f t="shared" si="8"/>
        <v>20.551282051282051</v>
      </c>
      <c r="G25" s="198">
        <f t="shared" si="9"/>
        <v>16.441025641025643</v>
      </c>
      <c r="H25" s="198">
        <f t="shared" si="10"/>
        <v>10.275641025641026</v>
      </c>
      <c r="I25" s="198">
        <f t="shared" si="22"/>
        <v>8</v>
      </c>
      <c r="J25" s="199">
        <f t="shared" si="22"/>
        <v>0</v>
      </c>
      <c r="K25" s="194" t="str">
        <f t="shared" si="31"/>
        <v>7.8-4</v>
      </c>
      <c r="L25" s="198">
        <f t="shared" si="19"/>
        <v>0.2</v>
      </c>
      <c r="M25" s="49">
        <v>60</v>
      </c>
      <c r="N25" s="198">
        <f t="shared" si="20"/>
        <v>150</v>
      </c>
      <c r="O25" s="198">
        <f t="shared" si="20"/>
        <v>160</v>
      </c>
      <c r="P25" s="198">
        <f t="shared" si="20"/>
        <v>390</v>
      </c>
      <c r="Q25" s="196" t="s">
        <v>76</v>
      </c>
    </row>
    <row r="26" spans="1:17" x14ac:dyDescent="0.25">
      <c r="A26" s="229">
        <f t="shared" ref="A26:B26" si="33">A25+1</f>
        <v>1936</v>
      </c>
      <c r="B26" s="230">
        <f t="shared" si="33"/>
        <v>16</v>
      </c>
      <c r="C26" s="229" t="str">
        <f t="shared" si="5"/>
        <v>22bX08+000_090_04</v>
      </c>
      <c r="D26" s="197">
        <f t="shared" si="6"/>
        <v>7.8000000000000007</v>
      </c>
      <c r="E26" s="204">
        <f t="shared" si="7"/>
        <v>1.603</v>
      </c>
      <c r="F26" s="198">
        <f t="shared" si="8"/>
        <v>20.551282051282051</v>
      </c>
      <c r="G26" s="198">
        <f t="shared" si="9"/>
        <v>16.441025641025643</v>
      </c>
      <c r="H26" s="198">
        <f t="shared" si="10"/>
        <v>10.275641025641026</v>
      </c>
      <c r="I26" s="198">
        <f t="shared" si="22"/>
        <v>8</v>
      </c>
      <c r="J26" s="199">
        <f t="shared" si="22"/>
        <v>0</v>
      </c>
      <c r="K26" s="194" t="str">
        <f t="shared" si="31"/>
        <v>7.8-4</v>
      </c>
      <c r="L26" s="198">
        <f t="shared" si="19"/>
        <v>0.2</v>
      </c>
      <c r="M26" s="49">
        <v>90</v>
      </c>
      <c r="N26" s="198">
        <f t="shared" si="20"/>
        <v>150</v>
      </c>
      <c r="O26" s="198">
        <f t="shared" si="20"/>
        <v>160</v>
      </c>
      <c r="P26" s="198">
        <f t="shared" si="20"/>
        <v>390</v>
      </c>
      <c r="Q26" s="196" t="s">
        <v>76</v>
      </c>
    </row>
    <row r="27" spans="1:17" x14ac:dyDescent="0.25">
      <c r="A27" s="229">
        <f t="shared" ref="A27:B27" si="34">A26+1</f>
        <v>1937</v>
      </c>
      <c r="B27" s="230">
        <f t="shared" si="34"/>
        <v>17</v>
      </c>
      <c r="C27" s="229" t="str">
        <f t="shared" si="5"/>
        <v>22bX08+000_000_05</v>
      </c>
      <c r="D27" s="197">
        <f t="shared" si="6"/>
        <v>7.8000000000000007</v>
      </c>
      <c r="E27" s="204">
        <f t="shared" si="7"/>
        <v>1.603</v>
      </c>
      <c r="F27" s="198">
        <f t="shared" si="8"/>
        <v>20.551282051282051</v>
      </c>
      <c r="G27" s="198">
        <f t="shared" si="9"/>
        <v>16.441025641025643</v>
      </c>
      <c r="H27" s="198">
        <f t="shared" si="10"/>
        <v>10.275641025641026</v>
      </c>
      <c r="I27" s="198">
        <f t="shared" si="22"/>
        <v>8</v>
      </c>
      <c r="J27" s="199">
        <f>yaw_null</f>
        <v>0</v>
      </c>
      <c r="K27" s="194" t="str">
        <f>D27&amp;-5</f>
        <v>7.8-5</v>
      </c>
      <c r="L27" s="198">
        <f t="shared" si="19"/>
        <v>0.2</v>
      </c>
      <c r="M27" s="49">
        <v>0</v>
      </c>
      <c r="N27" s="198">
        <f t="shared" si="20"/>
        <v>150</v>
      </c>
      <c r="O27" s="198">
        <f t="shared" si="20"/>
        <v>160</v>
      </c>
      <c r="P27" s="198">
        <f t="shared" si="20"/>
        <v>390</v>
      </c>
      <c r="Q27" s="196" t="s">
        <v>76</v>
      </c>
    </row>
    <row r="28" spans="1:17" x14ac:dyDescent="0.25">
      <c r="A28" s="229">
        <f t="shared" ref="A28:B28" si="35">A27+1</f>
        <v>1938</v>
      </c>
      <c r="B28" s="230">
        <f t="shared" si="35"/>
        <v>18</v>
      </c>
      <c r="C28" s="229" t="str">
        <f t="shared" si="5"/>
        <v>22bX08+000_030_05</v>
      </c>
      <c r="D28" s="197">
        <f t="shared" si="6"/>
        <v>7.8000000000000007</v>
      </c>
      <c r="E28" s="204">
        <f t="shared" si="7"/>
        <v>1.603</v>
      </c>
      <c r="F28" s="198">
        <f t="shared" si="8"/>
        <v>20.551282051282051</v>
      </c>
      <c r="G28" s="198">
        <f t="shared" si="9"/>
        <v>16.441025641025643</v>
      </c>
      <c r="H28" s="198">
        <f t="shared" si="10"/>
        <v>10.275641025641026</v>
      </c>
      <c r="I28" s="198">
        <f t="shared" si="22"/>
        <v>8</v>
      </c>
      <c r="J28" s="199">
        <f>J27</f>
        <v>0</v>
      </c>
      <c r="K28" s="194" t="str">
        <f t="shared" ref="K28:K30" si="36">D28&amp;-5</f>
        <v>7.8-5</v>
      </c>
      <c r="L28" s="198">
        <f t="shared" si="19"/>
        <v>0.2</v>
      </c>
      <c r="M28" s="49">
        <v>30</v>
      </c>
      <c r="N28" s="198">
        <f t="shared" si="20"/>
        <v>150</v>
      </c>
      <c r="O28" s="198">
        <f t="shared" si="20"/>
        <v>160</v>
      </c>
      <c r="P28" s="198">
        <f t="shared" si="20"/>
        <v>390</v>
      </c>
      <c r="Q28" s="196" t="s">
        <v>76</v>
      </c>
    </row>
    <row r="29" spans="1:17" x14ac:dyDescent="0.25">
      <c r="A29" s="229">
        <f t="shared" ref="A29:B29" si="37">A28+1</f>
        <v>1939</v>
      </c>
      <c r="B29" s="230">
        <f t="shared" si="37"/>
        <v>19</v>
      </c>
      <c r="C29" s="229" t="str">
        <f t="shared" si="5"/>
        <v>22bX08+000_060_05</v>
      </c>
      <c r="D29" s="197">
        <f t="shared" si="6"/>
        <v>7.8000000000000007</v>
      </c>
      <c r="E29" s="204">
        <f t="shared" si="7"/>
        <v>1.603</v>
      </c>
      <c r="F29" s="198">
        <f t="shared" si="8"/>
        <v>20.551282051282051</v>
      </c>
      <c r="G29" s="198">
        <f t="shared" si="9"/>
        <v>16.441025641025643</v>
      </c>
      <c r="H29" s="198">
        <f t="shared" si="10"/>
        <v>10.275641025641026</v>
      </c>
      <c r="I29" s="198">
        <f t="shared" si="22"/>
        <v>8</v>
      </c>
      <c r="J29" s="199">
        <f t="shared" si="22"/>
        <v>0</v>
      </c>
      <c r="K29" s="194" t="str">
        <f t="shared" si="36"/>
        <v>7.8-5</v>
      </c>
      <c r="L29" s="198">
        <f t="shared" si="19"/>
        <v>0.2</v>
      </c>
      <c r="M29" s="49">
        <v>60</v>
      </c>
      <c r="N29" s="198">
        <f t="shared" si="20"/>
        <v>150</v>
      </c>
      <c r="O29" s="198">
        <f t="shared" si="20"/>
        <v>160</v>
      </c>
      <c r="P29" s="198">
        <f t="shared" si="20"/>
        <v>390</v>
      </c>
      <c r="Q29" s="196" t="s">
        <v>76</v>
      </c>
    </row>
    <row r="30" spans="1:17" x14ac:dyDescent="0.25">
      <c r="A30" s="229">
        <f t="shared" ref="A30:B30" si="38">A29+1</f>
        <v>1940</v>
      </c>
      <c r="B30" s="230">
        <f t="shared" si="38"/>
        <v>20</v>
      </c>
      <c r="C30" s="229" t="str">
        <f t="shared" si="5"/>
        <v>22bX08+000_090_05</v>
      </c>
      <c r="D30" s="197">
        <f t="shared" si="6"/>
        <v>7.8000000000000007</v>
      </c>
      <c r="E30" s="204">
        <f t="shared" si="7"/>
        <v>1.603</v>
      </c>
      <c r="F30" s="198">
        <f t="shared" si="8"/>
        <v>20.551282051282051</v>
      </c>
      <c r="G30" s="198">
        <f t="shared" si="9"/>
        <v>16.441025641025643</v>
      </c>
      <c r="H30" s="198">
        <f t="shared" si="10"/>
        <v>10.275641025641026</v>
      </c>
      <c r="I30" s="198">
        <f t="shared" si="22"/>
        <v>8</v>
      </c>
      <c r="J30" s="199">
        <f t="shared" si="22"/>
        <v>0</v>
      </c>
      <c r="K30" s="194" t="str">
        <f t="shared" si="36"/>
        <v>7.8-5</v>
      </c>
      <c r="L30" s="198">
        <f t="shared" si="19"/>
        <v>0.2</v>
      </c>
      <c r="M30" s="49">
        <v>90</v>
      </c>
      <c r="N30" s="198">
        <f t="shared" si="20"/>
        <v>150</v>
      </c>
      <c r="O30" s="198">
        <f t="shared" si="20"/>
        <v>160</v>
      </c>
      <c r="P30" s="198">
        <f t="shared" si="20"/>
        <v>390</v>
      </c>
      <c r="Q30" s="196" t="s">
        <v>76</v>
      </c>
    </row>
    <row r="31" spans="1:17" x14ac:dyDescent="0.25">
      <c r="A31" s="229">
        <f t="shared" ref="A31:B31" si="39">A30+1</f>
        <v>1941</v>
      </c>
      <c r="B31" s="230">
        <f t="shared" si="39"/>
        <v>21</v>
      </c>
      <c r="C31" s="229" t="str">
        <f t="shared" si="5"/>
        <v>22bX08+000_000_06</v>
      </c>
      <c r="D31" s="197">
        <f t="shared" si="6"/>
        <v>7.8000000000000007</v>
      </c>
      <c r="E31" s="204">
        <f t="shared" si="7"/>
        <v>1.603</v>
      </c>
      <c r="F31" s="198">
        <f t="shared" si="8"/>
        <v>20.551282051282051</v>
      </c>
      <c r="G31" s="198">
        <f t="shared" si="9"/>
        <v>16.441025641025643</v>
      </c>
      <c r="H31" s="198">
        <f t="shared" si="10"/>
        <v>10.275641025641026</v>
      </c>
      <c r="I31" s="198">
        <f t="shared" si="22"/>
        <v>8</v>
      </c>
      <c r="J31" s="199">
        <f t="shared" si="22"/>
        <v>0</v>
      </c>
      <c r="K31" s="194" t="str">
        <f>D31&amp;-6</f>
        <v>7.8-6</v>
      </c>
      <c r="L31" s="198">
        <f t="shared" si="19"/>
        <v>0.2</v>
      </c>
      <c r="M31" s="49">
        <v>0</v>
      </c>
      <c r="N31" s="198">
        <f t="shared" si="20"/>
        <v>150</v>
      </c>
      <c r="O31" s="198">
        <f t="shared" si="20"/>
        <v>160</v>
      </c>
      <c r="P31" s="198">
        <f t="shared" si="20"/>
        <v>390</v>
      </c>
      <c r="Q31" s="196" t="s">
        <v>76</v>
      </c>
    </row>
    <row r="32" spans="1:17" x14ac:dyDescent="0.25">
      <c r="A32" s="229">
        <f t="shared" ref="A32:B32" si="40">A31+1</f>
        <v>1942</v>
      </c>
      <c r="B32" s="230">
        <f t="shared" si="40"/>
        <v>22</v>
      </c>
      <c r="C32" s="229" t="str">
        <f t="shared" si="5"/>
        <v>22bX08+000_030_06</v>
      </c>
      <c r="D32" s="197">
        <f t="shared" si="6"/>
        <v>7.8000000000000007</v>
      </c>
      <c r="E32" s="204">
        <f t="shared" si="7"/>
        <v>1.603</v>
      </c>
      <c r="F32" s="198">
        <f t="shared" si="8"/>
        <v>20.551282051282051</v>
      </c>
      <c r="G32" s="198">
        <f t="shared" si="9"/>
        <v>16.441025641025643</v>
      </c>
      <c r="H32" s="198">
        <f t="shared" si="10"/>
        <v>10.275641025641026</v>
      </c>
      <c r="I32" s="198">
        <f t="shared" si="22"/>
        <v>8</v>
      </c>
      <c r="J32" s="199">
        <f t="shared" si="22"/>
        <v>0</v>
      </c>
      <c r="K32" s="194" t="str">
        <f t="shared" ref="K32:K34" si="41">D32&amp;-6</f>
        <v>7.8-6</v>
      </c>
      <c r="L32" s="198">
        <f t="shared" si="19"/>
        <v>0.2</v>
      </c>
      <c r="M32" s="49">
        <v>30</v>
      </c>
      <c r="N32" s="198">
        <f t="shared" ref="N32:P47" si="42">N31</f>
        <v>150</v>
      </c>
      <c r="O32" s="198">
        <f t="shared" si="42"/>
        <v>160</v>
      </c>
      <c r="P32" s="198">
        <f t="shared" si="42"/>
        <v>390</v>
      </c>
      <c r="Q32" s="196" t="s">
        <v>76</v>
      </c>
    </row>
    <row r="33" spans="1:17" x14ac:dyDescent="0.25">
      <c r="A33" s="229">
        <f t="shared" ref="A33:B33" si="43">A32+1</f>
        <v>1943</v>
      </c>
      <c r="B33" s="230">
        <f t="shared" si="43"/>
        <v>23</v>
      </c>
      <c r="C33" s="229" t="str">
        <f t="shared" si="5"/>
        <v>22bX08+000_060_06</v>
      </c>
      <c r="D33" s="197">
        <f t="shared" si="6"/>
        <v>7.8000000000000007</v>
      </c>
      <c r="E33" s="204">
        <f t="shared" si="7"/>
        <v>1.603</v>
      </c>
      <c r="F33" s="198">
        <f t="shared" si="8"/>
        <v>20.551282051282051</v>
      </c>
      <c r="G33" s="198">
        <f t="shared" si="9"/>
        <v>16.441025641025643</v>
      </c>
      <c r="H33" s="198">
        <f t="shared" si="10"/>
        <v>10.275641025641026</v>
      </c>
      <c r="I33" s="198">
        <f t="shared" ref="I33:J48" si="44">I32</f>
        <v>8</v>
      </c>
      <c r="J33" s="199">
        <f t="shared" si="44"/>
        <v>0</v>
      </c>
      <c r="K33" s="194" t="str">
        <f t="shared" si="41"/>
        <v>7.8-6</v>
      </c>
      <c r="L33" s="198">
        <f t="shared" si="19"/>
        <v>0.2</v>
      </c>
      <c r="M33" s="49">
        <v>60</v>
      </c>
      <c r="N33" s="198">
        <f t="shared" si="42"/>
        <v>150</v>
      </c>
      <c r="O33" s="198">
        <f t="shared" si="42"/>
        <v>160</v>
      </c>
      <c r="P33" s="198">
        <f t="shared" si="42"/>
        <v>390</v>
      </c>
      <c r="Q33" s="196" t="s">
        <v>76</v>
      </c>
    </row>
    <row r="34" spans="1:17" x14ac:dyDescent="0.25">
      <c r="A34" s="229">
        <f t="shared" ref="A34:B34" si="45">A33+1</f>
        <v>1944</v>
      </c>
      <c r="B34" s="230">
        <f t="shared" si="45"/>
        <v>24</v>
      </c>
      <c r="C34" s="229" t="str">
        <f t="shared" si="5"/>
        <v>22bX08+000_090_06</v>
      </c>
      <c r="D34" s="197">
        <f t="shared" si="6"/>
        <v>7.8000000000000007</v>
      </c>
      <c r="E34" s="204">
        <f t="shared" si="7"/>
        <v>1.603</v>
      </c>
      <c r="F34" s="198">
        <f t="shared" si="8"/>
        <v>20.551282051282051</v>
      </c>
      <c r="G34" s="198">
        <f t="shared" si="9"/>
        <v>16.441025641025643</v>
      </c>
      <c r="H34" s="198">
        <f t="shared" si="10"/>
        <v>10.275641025641026</v>
      </c>
      <c r="I34" s="198">
        <f t="shared" si="44"/>
        <v>8</v>
      </c>
      <c r="J34" s="199">
        <f t="shared" si="44"/>
        <v>0</v>
      </c>
      <c r="K34" s="194" t="str">
        <f t="shared" si="41"/>
        <v>7.8-6</v>
      </c>
      <c r="L34" s="198">
        <f t="shared" si="19"/>
        <v>0.2</v>
      </c>
      <c r="M34" s="49">
        <v>90</v>
      </c>
      <c r="N34" s="198">
        <f t="shared" si="42"/>
        <v>150</v>
      </c>
      <c r="O34" s="198">
        <f t="shared" si="42"/>
        <v>160</v>
      </c>
      <c r="P34" s="198">
        <f t="shared" si="42"/>
        <v>390</v>
      </c>
      <c r="Q34" s="196" t="s">
        <v>76</v>
      </c>
    </row>
    <row r="35" spans="1:17" x14ac:dyDescent="0.25">
      <c r="A35" s="229">
        <f t="shared" ref="A35:B35" si="46">A34+1</f>
        <v>1945</v>
      </c>
      <c r="B35" s="230">
        <f t="shared" si="46"/>
        <v>25</v>
      </c>
      <c r="C35" s="229" t="str">
        <f t="shared" si="5"/>
        <v>22bX08+000_000_07</v>
      </c>
      <c r="D35" s="197">
        <f t="shared" si="6"/>
        <v>7.8000000000000007</v>
      </c>
      <c r="E35" s="204">
        <f t="shared" si="7"/>
        <v>1.603</v>
      </c>
      <c r="F35" s="198">
        <f t="shared" si="8"/>
        <v>20.551282051282051</v>
      </c>
      <c r="G35" s="198">
        <f t="shared" si="9"/>
        <v>16.441025641025643</v>
      </c>
      <c r="H35" s="198">
        <f t="shared" si="10"/>
        <v>10.275641025641026</v>
      </c>
      <c r="I35" s="198">
        <f t="shared" si="44"/>
        <v>8</v>
      </c>
      <c r="J35" s="199">
        <f t="shared" si="44"/>
        <v>0</v>
      </c>
      <c r="K35" s="194" t="str">
        <f>D35&amp;-7</f>
        <v>7.8-7</v>
      </c>
      <c r="L35" s="198">
        <f t="shared" si="19"/>
        <v>0.2</v>
      </c>
      <c r="M35" s="49">
        <v>0</v>
      </c>
      <c r="N35" s="198">
        <f t="shared" si="42"/>
        <v>150</v>
      </c>
      <c r="O35" s="198">
        <f t="shared" si="42"/>
        <v>160</v>
      </c>
      <c r="P35" s="198">
        <f t="shared" si="42"/>
        <v>390</v>
      </c>
      <c r="Q35" s="196" t="s">
        <v>76</v>
      </c>
    </row>
    <row r="36" spans="1:17" x14ac:dyDescent="0.25">
      <c r="A36" s="229">
        <f t="shared" ref="A36:B36" si="47">A35+1</f>
        <v>1946</v>
      </c>
      <c r="B36" s="230">
        <f t="shared" si="47"/>
        <v>26</v>
      </c>
      <c r="C36" s="229" t="str">
        <f t="shared" si="5"/>
        <v>22bX08+000_030_07</v>
      </c>
      <c r="D36" s="197">
        <f t="shared" si="6"/>
        <v>7.8000000000000007</v>
      </c>
      <c r="E36" s="204">
        <f t="shared" si="7"/>
        <v>1.603</v>
      </c>
      <c r="F36" s="198">
        <f t="shared" si="8"/>
        <v>20.551282051282051</v>
      </c>
      <c r="G36" s="198">
        <f t="shared" si="9"/>
        <v>16.441025641025643</v>
      </c>
      <c r="H36" s="198">
        <f t="shared" si="10"/>
        <v>10.275641025641026</v>
      </c>
      <c r="I36" s="198">
        <f t="shared" si="44"/>
        <v>8</v>
      </c>
      <c r="J36" s="199">
        <f t="shared" si="44"/>
        <v>0</v>
      </c>
      <c r="K36" s="194" t="str">
        <f t="shared" ref="K36:K38" si="48">D36&amp;-7</f>
        <v>7.8-7</v>
      </c>
      <c r="L36" s="198">
        <f t="shared" si="19"/>
        <v>0.2</v>
      </c>
      <c r="M36" s="49">
        <v>30</v>
      </c>
      <c r="N36" s="198">
        <f t="shared" si="42"/>
        <v>150</v>
      </c>
      <c r="O36" s="198">
        <f t="shared" si="42"/>
        <v>160</v>
      </c>
      <c r="P36" s="198">
        <f t="shared" si="42"/>
        <v>390</v>
      </c>
      <c r="Q36" s="196" t="s">
        <v>76</v>
      </c>
    </row>
    <row r="37" spans="1:17" x14ac:dyDescent="0.25">
      <c r="A37" s="229">
        <f t="shared" ref="A37:B37" si="49">A36+1</f>
        <v>1947</v>
      </c>
      <c r="B37" s="230">
        <f t="shared" si="49"/>
        <v>27</v>
      </c>
      <c r="C37" s="229" t="str">
        <f t="shared" si="5"/>
        <v>22bX08+000_060_07</v>
      </c>
      <c r="D37" s="197">
        <f t="shared" si="6"/>
        <v>7.8000000000000007</v>
      </c>
      <c r="E37" s="204">
        <f t="shared" si="7"/>
        <v>1.603</v>
      </c>
      <c r="F37" s="198">
        <f t="shared" si="8"/>
        <v>20.551282051282051</v>
      </c>
      <c r="G37" s="198">
        <f t="shared" si="9"/>
        <v>16.441025641025643</v>
      </c>
      <c r="H37" s="198">
        <f t="shared" si="10"/>
        <v>10.275641025641026</v>
      </c>
      <c r="I37" s="198">
        <f t="shared" si="44"/>
        <v>8</v>
      </c>
      <c r="J37" s="199">
        <f t="shared" si="44"/>
        <v>0</v>
      </c>
      <c r="K37" s="194" t="str">
        <f t="shared" si="48"/>
        <v>7.8-7</v>
      </c>
      <c r="L37" s="198">
        <f t="shared" si="19"/>
        <v>0.2</v>
      </c>
      <c r="M37" s="49">
        <v>60</v>
      </c>
      <c r="N37" s="198">
        <f t="shared" si="42"/>
        <v>150</v>
      </c>
      <c r="O37" s="198">
        <f t="shared" si="42"/>
        <v>160</v>
      </c>
      <c r="P37" s="198">
        <f t="shared" si="42"/>
        <v>390</v>
      </c>
      <c r="Q37" s="196" t="s">
        <v>76</v>
      </c>
    </row>
    <row r="38" spans="1:17" x14ac:dyDescent="0.25">
      <c r="A38" s="229">
        <f t="shared" ref="A38:B38" si="50">A37+1</f>
        <v>1948</v>
      </c>
      <c r="B38" s="230">
        <f t="shared" si="50"/>
        <v>28</v>
      </c>
      <c r="C38" s="229" t="str">
        <f t="shared" si="5"/>
        <v>22bX08+000_090_07</v>
      </c>
      <c r="D38" s="197">
        <f t="shared" si="6"/>
        <v>7.8000000000000007</v>
      </c>
      <c r="E38" s="204">
        <f t="shared" si="7"/>
        <v>1.603</v>
      </c>
      <c r="F38" s="198">
        <f t="shared" si="8"/>
        <v>20.551282051282051</v>
      </c>
      <c r="G38" s="198">
        <f t="shared" si="9"/>
        <v>16.441025641025643</v>
      </c>
      <c r="H38" s="198">
        <f t="shared" si="10"/>
        <v>10.275641025641026</v>
      </c>
      <c r="I38" s="198">
        <f t="shared" si="44"/>
        <v>8</v>
      </c>
      <c r="J38" s="199">
        <f t="shared" si="44"/>
        <v>0</v>
      </c>
      <c r="K38" s="194" t="str">
        <f t="shared" si="48"/>
        <v>7.8-7</v>
      </c>
      <c r="L38" s="198">
        <f t="shared" si="19"/>
        <v>0.2</v>
      </c>
      <c r="M38" s="49">
        <v>90</v>
      </c>
      <c r="N38" s="198">
        <f t="shared" si="42"/>
        <v>150</v>
      </c>
      <c r="O38" s="198">
        <f t="shared" si="42"/>
        <v>160</v>
      </c>
      <c r="P38" s="198">
        <f t="shared" si="42"/>
        <v>390</v>
      </c>
      <c r="Q38" s="196" t="s">
        <v>76</v>
      </c>
    </row>
    <row r="39" spans="1:17" x14ac:dyDescent="0.25">
      <c r="A39" s="229">
        <f t="shared" ref="A39:B39" si="51">A38+1</f>
        <v>1949</v>
      </c>
      <c r="B39" s="230">
        <f t="shared" si="51"/>
        <v>29</v>
      </c>
      <c r="C39" s="229" t="str">
        <f t="shared" si="5"/>
        <v>22bX08+000_000_08</v>
      </c>
      <c r="D39" s="197">
        <f t="shared" si="6"/>
        <v>7.8000000000000007</v>
      </c>
      <c r="E39" s="204">
        <f t="shared" si="7"/>
        <v>1.603</v>
      </c>
      <c r="F39" s="198">
        <f t="shared" si="8"/>
        <v>20.551282051282051</v>
      </c>
      <c r="G39" s="198">
        <f t="shared" si="9"/>
        <v>16.441025641025643</v>
      </c>
      <c r="H39" s="198">
        <f t="shared" si="10"/>
        <v>10.275641025641026</v>
      </c>
      <c r="I39" s="198">
        <f t="shared" si="44"/>
        <v>8</v>
      </c>
      <c r="J39" s="199">
        <f t="shared" si="44"/>
        <v>0</v>
      </c>
      <c r="K39" s="194" t="str">
        <f>D39&amp;-8</f>
        <v>7.8-8</v>
      </c>
      <c r="L39" s="198">
        <f t="shared" si="19"/>
        <v>0.2</v>
      </c>
      <c r="M39" s="49">
        <v>0</v>
      </c>
      <c r="N39" s="198">
        <f t="shared" si="42"/>
        <v>150</v>
      </c>
      <c r="O39" s="198">
        <f t="shared" si="42"/>
        <v>160</v>
      </c>
      <c r="P39" s="198">
        <f t="shared" si="42"/>
        <v>390</v>
      </c>
      <c r="Q39" s="196" t="s">
        <v>76</v>
      </c>
    </row>
    <row r="40" spans="1:17" x14ac:dyDescent="0.25">
      <c r="A40" s="229">
        <f t="shared" ref="A40:B40" si="52">A39+1</f>
        <v>1950</v>
      </c>
      <c r="B40" s="230">
        <f t="shared" si="52"/>
        <v>30</v>
      </c>
      <c r="C40" s="229" t="str">
        <f t="shared" si="5"/>
        <v>22bX08+000_030_08</v>
      </c>
      <c r="D40" s="197">
        <f t="shared" si="6"/>
        <v>7.8000000000000007</v>
      </c>
      <c r="E40" s="204">
        <f t="shared" si="7"/>
        <v>1.603</v>
      </c>
      <c r="F40" s="198">
        <f t="shared" si="8"/>
        <v>20.551282051282051</v>
      </c>
      <c r="G40" s="198">
        <f t="shared" si="9"/>
        <v>16.441025641025643</v>
      </c>
      <c r="H40" s="198">
        <f t="shared" si="10"/>
        <v>10.275641025641026</v>
      </c>
      <c r="I40" s="198">
        <f t="shared" si="44"/>
        <v>8</v>
      </c>
      <c r="J40" s="199">
        <f t="shared" si="44"/>
        <v>0</v>
      </c>
      <c r="K40" s="194" t="str">
        <f t="shared" ref="K40:K42" si="53">D40&amp;-8</f>
        <v>7.8-8</v>
      </c>
      <c r="L40" s="198">
        <f t="shared" si="19"/>
        <v>0.2</v>
      </c>
      <c r="M40" s="49">
        <v>30</v>
      </c>
      <c r="N40" s="198">
        <f t="shared" si="42"/>
        <v>150</v>
      </c>
      <c r="O40" s="198">
        <f t="shared" si="42"/>
        <v>160</v>
      </c>
      <c r="P40" s="198">
        <f t="shared" si="42"/>
        <v>390</v>
      </c>
      <c r="Q40" s="196" t="s">
        <v>76</v>
      </c>
    </row>
    <row r="41" spans="1:17" x14ac:dyDescent="0.25">
      <c r="A41" s="229">
        <f t="shared" ref="A41:B41" si="54">A40+1</f>
        <v>1951</v>
      </c>
      <c r="B41" s="230">
        <f t="shared" si="54"/>
        <v>31</v>
      </c>
      <c r="C41" s="229" t="str">
        <f t="shared" si="5"/>
        <v>22bX08+000_060_08</v>
      </c>
      <c r="D41" s="197">
        <f t="shared" si="6"/>
        <v>7.8000000000000007</v>
      </c>
      <c r="E41" s="204">
        <f t="shared" si="7"/>
        <v>1.603</v>
      </c>
      <c r="F41" s="198">
        <f t="shared" si="8"/>
        <v>20.551282051282051</v>
      </c>
      <c r="G41" s="198">
        <f t="shared" si="9"/>
        <v>16.441025641025643</v>
      </c>
      <c r="H41" s="198">
        <f t="shared" si="10"/>
        <v>10.275641025641026</v>
      </c>
      <c r="I41" s="198">
        <f t="shared" si="44"/>
        <v>8</v>
      </c>
      <c r="J41" s="199">
        <f t="shared" si="44"/>
        <v>0</v>
      </c>
      <c r="K41" s="194" t="str">
        <f t="shared" si="53"/>
        <v>7.8-8</v>
      </c>
      <c r="L41" s="198">
        <f t="shared" si="19"/>
        <v>0.2</v>
      </c>
      <c r="M41" s="49">
        <v>60</v>
      </c>
      <c r="N41" s="198">
        <f t="shared" si="42"/>
        <v>150</v>
      </c>
      <c r="O41" s="198">
        <f t="shared" si="42"/>
        <v>160</v>
      </c>
      <c r="P41" s="198">
        <f t="shared" si="42"/>
        <v>390</v>
      </c>
      <c r="Q41" s="196" t="s">
        <v>76</v>
      </c>
    </row>
    <row r="42" spans="1:17" x14ac:dyDescent="0.25">
      <c r="A42" s="229">
        <f t="shared" ref="A42:B42" si="55">A41+1</f>
        <v>1952</v>
      </c>
      <c r="B42" s="230">
        <f t="shared" si="55"/>
        <v>32</v>
      </c>
      <c r="C42" s="229" t="str">
        <f t="shared" si="5"/>
        <v>22bX08+000_090_08</v>
      </c>
      <c r="D42" s="197">
        <f t="shared" si="6"/>
        <v>7.8000000000000007</v>
      </c>
      <c r="E42" s="204">
        <f t="shared" si="7"/>
        <v>1.603</v>
      </c>
      <c r="F42" s="198">
        <f t="shared" si="8"/>
        <v>20.551282051282051</v>
      </c>
      <c r="G42" s="198">
        <f t="shared" si="9"/>
        <v>16.441025641025643</v>
      </c>
      <c r="H42" s="198">
        <f t="shared" si="10"/>
        <v>10.275641025641026</v>
      </c>
      <c r="I42" s="198">
        <f t="shared" si="44"/>
        <v>8</v>
      </c>
      <c r="J42" s="199">
        <f t="shared" si="44"/>
        <v>0</v>
      </c>
      <c r="K42" s="194" t="str">
        <f t="shared" si="53"/>
        <v>7.8-8</v>
      </c>
      <c r="L42" s="198">
        <f t="shared" si="19"/>
        <v>0.2</v>
      </c>
      <c r="M42" s="49">
        <v>90</v>
      </c>
      <c r="N42" s="198">
        <f t="shared" si="42"/>
        <v>150</v>
      </c>
      <c r="O42" s="198">
        <f t="shared" si="42"/>
        <v>160</v>
      </c>
      <c r="P42" s="198">
        <f t="shared" si="42"/>
        <v>390</v>
      </c>
      <c r="Q42" s="196" t="s">
        <v>76</v>
      </c>
    </row>
    <row r="43" spans="1:17" x14ac:dyDescent="0.25">
      <c r="A43" s="229">
        <f t="shared" ref="A43:B43" si="56">A42+1</f>
        <v>1953</v>
      </c>
      <c r="B43" s="230">
        <f t="shared" si="56"/>
        <v>33</v>
      </c>
      <c r="C43" s="229" t="str">
        <f t="shared" si="5"/>
        <v>22bX08+000_000_09</v>
      </c>
      <c r="D43" s="197">
        <f t="shared" si="6"/>
        <v>7.8000000000000007</v>
      </c>
      <c r="E43" s="204">
        <f t="shared" si="7"/>
        <v>1.603</v>
      </c>
      <c r="F43" s="198">
        <f t="shared" si="8"/>
        <v>20.551282051282051</v>
      </c>
      <c r="G43" s="198">
        <f t="shared" si="9"/>
        <v>16.441025641025643</v>
      </c>
      <c r="H43" s="198">
        <f t="shared" si="10"/>
        <v>10.275641025641026</v>
      </c>
      <c r="I43" s="198">
        <f t="shared" si="44"/>
        <v>8</v>
      </c>
      <c r="J43" s="199">
        <f t="shared" si="44"/>
        <v>0</v>
      </c>
      <c r="K43" s="194" t="str">
        <f>D43&amp;-9</f>
        <v>7.8-9</v>
      </c>
      <c r="L43" s="198">
        <f t="shared" si="19"/>
        <v>0.2</v>
      </c>
      <c r="M43" s="49">
        <v>0</v>
      </c>
      <c r="N43" s="198">
        <f t="shared" si="42"/>
        <v>150</v>
      </c>
      <c r="O43" s="198">
        <f t="shared" si="42"/>
        <v>160</v>
      </c>
      <c r="P43" s="198">
        <f t="shared" si="42"/>
        <v>390</v>
      </c>
      <c r="Q43" s="196" t="s">
        <v>76</v>
      </c>
    </row>
    <row r="44" spans="1:17" x14ac:dyDescent="0.25">
      <c r="A44" s="229">
        <f t="shared" ref="A44:B44" si="57">A43+1</f>
        <v>1954</v>
      </c>
      <c r="B44" s="230">
        <f t="shared" si="57"/>
        <v>34</v>
      </c>
      <c r="C44" s="229" t="str">
        <f t="shared" si="5"/>
        <v>22bX08+000_030_09</v>
      </c>
      <c r="D44" s="197">
        <f t="shared" si="6"/>
        <v>7.8000000000000007</v>
      </c>
      <c r="E44" s="204">
        <f t="shared" si="7"/>
        <v>1.603</v>
      </c>
      <c r="F44" s="198">
        <f t="shared" si="8"/>
        <v>20.551282051282051</v>
      </c>
      <c r="G44" s="198">
        <f t="shared" si="9"/>
        <v>16.441025641025643</v>
      </c>
      <c r="H44" s="198">
        <f t="shared" si="10"/>
        <v>10.275641025641026</v>
      </c>
      <c r="I44" s="198">
        <f t="shared" si="44"/>
        <v>8</v>
      </c>
      <c r="J44" s="199">
        <f>J43</f>
        <v>0</v>
      </c>
      <c r="K44" s="194" t="str">
        <f t="shared" ref="K44:K46" si="58">D44&amp;-9</f>
        <v>7.8-9</v>
      </c>
      <c r="L44" s="198">
        <f t="shared" si="19"/>
        <v>0.2</v>
      </c>
      <c r="M44" s="49">
        <v>30</v>
      </c>
      <c r="N44" s="198">
        <f t="shared" si="42"/>
        <v>150</v>
      </c>
      <c r="O44" s="198">
        <f t="shared" si="42"/>
        <v>160</v>
      </c>
      <c r="P44" s="198">
        <f t="shared" si="42"/>
        <v>390</v>
      </c>
      <c r="Q44" s="196" t="s">
        <v>76</v>
      </c>
    </row>
    <row r="45" spans="1:17" x14ac:dyDescent="0.25">
      <c r="A45" s="229">
        <f t="shared" ref="A45:B45" si="59">A44+1</f>
        <v>1955</v>
      </c>
      <c r="B45" s="230">
        <f t="shared" si="59"/>
        <v>35</v>
      </c>
      <c r="C45" s="229" t="str">
        <f t="shared" si="5"/>
        <v>22bX08+000_060_09</v>
      </c>
      <c r="D45" s="197">
        <f t="shared" si="6"/>
        <v>7.8000000000000007</v>
      </c>
      <c r="E45" s="204">
        <f t="shared" si="7"/>
        <v>1.603</v>
      </c>
      <c r="F45" s="198">
        <f t="shared" si="8"/>
        <v>20.551282051282051</v>
      </c>
      <c r="G45" s="198">
        <f t="shared" si="9"/>
        <v>16.441025641025643</v>
      </c>
      <c r="H45" s="198">
        <f t="shared" si="10"/>
        <v>10.275641025641026</v>
      </c>
      <c r="I45" s="198">
        <f t="shared" si="44"/>
        <v>8</v>
      </c>
      <c r="J45" s="199">
        <f t="shared" si="44"/>
        <v>0</v>
      </c>
      <c r="K45" s="194" t="str">
        <f t="shared" si="58"/>
        <v>7.8-9</v>
      </c>
      <c r="L45" s="198">
        <f t="shared" si="19"/>
        <v>0.2</v>
      </c>
      <c r="M45" s="49">
        <v>60</v>
      </c>
      <c r="N45" s="198">
        <f t="shared" si="42"/>
        <v>150</v>
      </c>
      <c r="O45" s="198">
        <f t="shared" si="42"/>
        <v>160</v>
      </c>
      <c r="P45" s="198">
        <f t="shared" si="42"/>
        <v>390</v>
      </c>
      <c r="Q45" s="196" t="s">
        <v>76</v>
      </c>
    </row>
    <row r="46" spans="1:17" x14ac:dyDescent="0.25">
      <c r="A46" s="229">
        <f t="shared" ref="A46:B46" si="60">A45+1</f>
        <v>1956</v>
      </c>
      <c r="B46" s="230">
        <f t="shared" si="60"/>
        <v>36</v>
      </c>
      <c r="C46" s="229" t="str">
        <f t="shared" si="5"/>
        <v>22bX08+000_090_09</v>
      </c>
      <c r="D46" s="197">
        <f t="shared" si="6"/>
        <v>7.8000000000000007</v>
      </c>
      <c r="E46" s="204">
        <f t="shared" si="7"/>
        <v>1.603</v>
      </c>
      <c r="F46" s="198">
        <f t="shared" si="8"/>
        <v>20.551282051282051</v>
      </c>
      <c r="G46" s="198">
        <f t="shared" si="9"/>
        <v>16.441025641025643</v>
      </c>
      <c r="H46" s="198">
        <f t="shared" si="10"/>
        <v>10.275641025641026</v>
      </c>
      <c r="I46" s="198">
        <f t="shared" si="44"/>
        <v>8</v>
      </c>
      <c r="J46" s="199">
        <f t="shared" si="44"/>
        <v>0</v>
      </c>
      <c r="K46" s="194" t="str">
        <f t="shared" si="58"/>
        <v>7.8-9</v>
      </c>
      <c r="L46" s="198">
        <f t="shared" si="19"/>
        <v>0.2</v>
      </c>
      <c r="M46" s="49">
        <v>90</v>
      </c>
      <c r="N46" s="198">
        <f t="shared" si="42"/>
        <v>150</v>
      </c>
      <c r="O46" s="198">
        <f t="shared" si="42"/>
        <v>160</v>
      </c>
      <c r="P46" s="198">
        <f t="shared" si="42"/>
        <v>390</v>
      </c>
      <c r="Q46" s="196" t="s">
        <v>76</v>
      </c>
    </row>
    <row r="47" spans="1:17" x14ac:dyDescent="0.25">
      <c r="A47" s="229">
        <f t="shared" ref="A47:B47" si="61">A46+1</f>
        <v>1957</v>
      </c>
      <c r="B47" s="230">
        <f t="shared" si="61"/>
        <v>37</v>
      </c>
      <c r="C47" s="229" t="str">
        <f t="shared" si="5"/>
        <v>22bX08+000_000_10</v>
      </c>
      <c r="D47" s="197">
        <f t="shared" si="6"/>
        <v>7.8000000000000007</v>
      </c>
      <c r="E47" s="204">
        <f t="shared" si="7"/>
        <v>1.603</v>
      </c>
      <c r="F47" s="198">
        <f t="shared" si="8"/>
        <v>20.551282051282051</v>
      </c>
      <c r="G47" s="198">
        <f t="shared" si="9"/>
        <v>16.441025641025643</v>
      </c>
      <c r="H47" s="198">
        <f t="shared" si="10"/>
        <v>10.275641025641026</v>
      </c>
      <c r="I47" s="198">
        <f t="shared" si="44"/>
        <v>8</v>
      </c>
      <c r="J47" s="199">
        <f t="shared" si="44"/>
        <v>0</v>
      </c>
      <c r="K47" s="194" t="str">
        <f>D47&amp;-10</f>
        <v>7.8-10</v>
      </c>
      <c r="L47" s="198">
        <f t="shared" si="19"/>
        <v>0.2</v>
      </c>
      <c r="M47" s="49">
        <v>0</v>
      </c>
      <c r="N47" s="198">
        <f t="shared" si="42"/>
        <v>150</v>
      </c>
      <c r="O47" s="198">
        <f t="shared" si="42"/>
        <v>160</v>
      </c>
      <c r="P47" s="198">
        <f t="shared" si="42"/>
        <v>390</v>
      </c>
      <c r="Q47" s="196" t="s">
        <v>76</v>
      </c>
    </row>
    <row r="48" spans="1:17" x14ac:dyDescent="0.25">
      <c r="A48" s="229">
        <f t="shared" ref="A48:B48" si="62">A47+1</f>
        <v>1958</v>
      </c>
      <c r="B48" s="230">
        <f t="shared" si="62"/>
        <v>38</v>
      </c>
      <c r="C48" s="229" t="str">
        <f t="shared" si="5"/>
        <v>22bX08+000_030_10</v>
      </c>
      <c r="D48" s="197">
        <f t="shared" si="6"/>
        <v>7.8000000000000007</v>
      </c>
      <c r="E48" s="204">
        <f t="shared" si="7"/>
        <v>1.603</v>
      </c>
      <c r="F48" s="198">
        <f t="shared" si="8"/>
        <v>20.551282051282051</v>
      </c>
      <c r="G48" s="198">
        <f t="shared" si="9"/>
        <v>16.441025641025643</v>
      </c>
      <c r="H48" s="198">
        <f t="shared" si="10"/>
        <v>10.275641025641026</v>
      </c>
      <c r="I48" s="198">
        <f t="shared" si="44"/>
        <v>8</v>
      </c>
      <c r="J48" s="199">
        <f t="shared" si="44"/>
        <v>0</v>
      </c>
      <c r="K48" s="194" t="str">
        <f t="shared" ref="K48:K50" si="63">D48&amp;-10</f>
        <v>7.8-10</v>
      </c>
      <c r="L48" s="198">
        <f t="shared" si="19"/>
        <v>0.2</v>
      </c>
      <c r="M48" s="49">
        <v>30</v>
      </c>
      <c r="N48" s="198">
        <f t="shared" ref="N48:P58" si="64">N47</f>
        <v>150</v>
      </c>
      <c r="O48" s="198">
        <f t="shared" si="64"/>
        <v>160</v>
      </c>
      <c r="P48" s="198">
        <f t="shared" si="64"/>
        <v>390</v>
      </c>
      <c r="Q48" s="196" t="s">
        <v>76</v>
      </c>
    </row>
    <row r="49" spans="1:17" x14ac:dyDescent="0.25">
      <c r="A49" s="229">
        <f t="shared" ref="A49:B49" si="65">A48+1</f>
        <v>1959</v>
      </c>
      <c r="B49" s="230">
        <f t="shared" si="65"/>
        <v>39</v>
      </c>
      <c r="C49" s="229" t="str">
        <f t="shared" si="5"/>
        <v>22bX08+000_060_10</v>
      </c>
      <c r="D49" s="197">
        <f t="shared" si="6"/>
        <v>7.8000000000000007</v>
      </c>
      <c r="E49" s="204">
        <f t="shared" si="7"/>
        <v>1.603</v>
      </c>
      <c r="F49" s="198">
        <f t="shared" si="8"/>
        <v>20.551282051282051</v>
      </c>
      <c r="G49" s="198">
        <f t="shared" si="9"/>
        <v>16.441025641025643</v>
      </c>
      <c r="H49" s="198">
        <f t="shared" si="10"/>
        <v>10.275641025641026</v>
      </c>
      <c r="I49" s="198">
        <f t="shared" ref="I49:J58" si="66">I48</f>
        <v>8</v>
      </c>
      <c r="J49" s="199">
        <f t="shared" si="66"/>
        <v>0</v>
      </c>
      <c r="K49" s="194" t="str">
        <f t="shared" si="63"/>
        <v>7.8-10</v>
      </c>
      <c r="L49" s="198">
        <f t="shared" si="19"/>
        <v>0.2</v>
      </c>
      <c r="M49" s="49">
        <v>60</v>
      </c>
      <c r="N49" s="198">
        <f t="shared" si="64"/>
        <v>150</v>
      </c>
      <c r="O49" s="198">
        <f t="shared" si="64"/>
        <v>160</v>
      </c>
      <c r="P49" s="198">
        <f t="shared" si="64"/>
        <v>390</v>
      </c>
      <c r="Q49" s="196" t="s">
        <v>76</v>
      </c>
    </row>
    <row r="50" spans="1:17" x14ac:dyDescent="0.25">
      <c r="A50" s="229">
        <f t="shared" ref="A50:B50" si="67">A49+1</f>
        <v>1960</v>
      </c>
      <c r="B50" s="230">
        <f t="shared" si="67"/>
        <v>40</v>
      </c>
      <c r="C50" s="229" t="str">
        <f t="shared" si="5"/>
        <v>22bX08+000_090_10</v>
      </c>
      <c r="D50" s="197">
        <f t="shared" si="6"/>
        <v>7.8000000000000007</v>
      </c>
      <c r="E50" s="204">
        <f t="shared" si="7"/>
        <v>1.603</v>
      </c>
      <c r="F50" s="198">
        <f t="shared" si="8"/>
        <v>20.551282051282051</v>
      </c>
      <c r="G50" s="198">
        <f t="shared" si="9"/>
        <v>16.441025641025643</v>
      </c>
      <c r="H50" s="198">
        <f t="shared" si="10"/>
        <v>10.275641025641026</v>
      </c>
      <c r="I50" s="198">
        <f t="shared" si="66"/>
        <v>8</v>
      </c>
      <c r="J50" s="199">
        <f t="shared" si="66"/>
        <v>0</v>
      </c>
      <c r="K50" s="194" t="str">
        <f t="shared" si="63"/>
        <v>7.8-10</v>
      </c>
      <c r="L50" s="198">
        <f t="shared" si="19"/>
        <v>0.2</v>
      </c>
      <c r="M50" s="49">
        <v>90</v>
      </c>
      <c r="N50" s="198">
        <f t="shared" si="64"/>
        <v>150</v>
      </c>
      <c r="O50" s="198">
        <f t="shared" si="64"/>
        <v>160</v>
      </c>
      <c r="P50" s="198">
        <f t="shared" si="64"/>
        <v>390</v>
      </c>
      <c r="Q50" s="196" t="s">
        <v>76</v>
      </c>
    </row>
    <row r="51" spans="1:17" x14ac:dyDescent="0.25">
      <c r="A51" s="229">
        <f t="shared" ref="A51:B51" si="68">A50+1</f>
        <v>1961</v>
      </c>
      <c r="B51" s="230">
        <f t="shared" si="68"/>
        <v>41</v>
      </c>
      <c r="C51" s="229" t="str">
        <f t="shared" si="5"/>
        <v>22bX08+000_000_11</v>
      </c>
      <c r="D51" s="197">
        <f t="shared" si="6"/>
        <v>7.8000000000000007</v>
      </c>
      <c r="E51" s="204">
        <f t="shared" si="7"/>
        <v>1.603</v>
      </c>
      <c r="F51" s="198">
        <f t="shared" si="8"/>
        <v>20.551282051282051</v>
      </c>
      <c r="G51" s="198">
        <f t="shared" si="9"/>
        <v>16.441025641025643</v>
      </c>
      <c r="H51" s="198">
        <f t="shared" si="10"/>
        <v>10.275641025641026</v>
      </c>
      <c r="I51" s="198">
        <f t="shared" si="66"/>
        <v>8</v>
      </c>
      <c r="J51" s="199">
        <f t="shared" si="66"/>
        <v>0</v>
      </c>
      <c r="K51" s="194" t="str">
        <f>D51&amp;-11</f>
        <v>7.8-11</v>
      </c>
      <c r="L51" s="198">
        <f t="shared" si="19"/>
        <v>0.2</v>
      </c>
      <c r="M51" s="49">
        <v>0</v>
      </c>
      <c r="N51" s="198">
        <f t="shared" si="64"/>
        <v>150</v>
      </c>
      <c r="O51" s="198">
        <f t="shared" si="64"/>
        <v>160</v>
      </c>
      <c r="P51" s="198">
        <f t="shared" si="64"/>
        <v>390</v>
      </c>
      <c r="Q51" s="196" t="s">
        <v>76</v>
      </c>
    </row>
    <row r="52" spans="1:17" x14ac:dyDescent="0.25">
      <c r="A52" s="229">
        <f t="shared" ref="A52:B52" si="69">A51+1</f>
        <v>1962</v>
      </c>
      <c r="B52" s="230">
        <f t="shared" si="69"/>
        <v>42</v>
      </c>
      <c r="C52" s="229" t="str">
        <f t="shared" si="5"/>
        <v>22bX08+000_030_11</v>
      </c>
      <c r="D52" s="197">
        <f t="shared" si="6"/>
        <v>7.8000000000000007</v>
      </c>
      <c r="E52" s="204">
        <f t="shared" si="7"/>
        <v>1.603</v>
      </c>
      <c r="F52" s="198">
        <f t="shared" si="8"/>
        <v>20.551282051282051</v>
      </c>
      <c r="G52" s="198">
        <f t="shared" si="9"/>
        <v>16.441025641025643</v>
      </c>
      <c r="H52" s="198">
        <f t="shared" si="10"/>
        <v>10.275641025641026</v>
      </c>
      <c r="I52" s="198">
        <f t="shared" si="66"/>
        <v>8</v>
      </c>
      <c r="J52" s="199">
        <f t="shared" si="66"/>
        <v>0</v>
      </c>
      <c r="K52" s="194" t="str">
        <f t="shared" ref="K52:K54" si="70">D52&amp;-11</f>
        <v>7.8-11</v>
      </c>
      <c r="L52" s="198">
        <f t="shared" si="19"/>
        <v>0.2</v>
      </c>
      <c r="M52" s="49">
        <v>30</v>
      </c>
      <c r="N52" s="198">
        <f t="shared" si="64"/>
        <v>150</v>
      </c>
      <c r="O52" s="198">
        <f t="shared" si="64"/>
        <v>160</v>
      </c>
      <c r="P52" s="198">
        <f t="shared" si="64"/>
        <v>390</v>
      </c>
      <c r="Q52" s="196" t="s">
        <v>76</v>
      </c>
    </row>
    <row r="53" spans="1:17" x14ac:dyDescent="0.25">
      <c r="A53" s="229">
        <f t="shared" ref="A53:B53" si="71">A52+1</f>
        <v>1963</v>
      </c>
      <c r="B53" s="230">
        <f t="shared" si="71"/>
        <v>43</v>
      </c>
      <c r="C53" s="229" t="str">
        <f t="shared" si="5"/>
        <v>22bX08+000_060_11</v>
      </c>
      <c r="D53" s="197">
        <f t="shared" si="6"/>
        <v>7.8000000000000007</v>
      </c>
      <c r="E53" s="204">
        <f t="shared" si="7"/>
        <v>1.603</v>
      </c>
      <c r="F53" s="198">
        <f t="shared" si="8"/>
        <v>20.551282051282051</v>
      </c>
      <c r="G53" s="198">
        <f t="shared" si="9"/>
        <v>16.441025641025643</v>
      </c>
      <c r="H53" s="198">
        <f t="shared" si="10"/>
        <v>10.275641025641026</v>
      </c>
      <c r="I53" s="198">
        <f t="shared" si="66"/>
        <v>8</v>
      </c>
      <c r="J53" s="199">
        <f t="shared" si="66"/>
        <v>0</v>
      </c>
      <c r="K53" s="194" t="str">
        <f t="shared" si="70"/>
        <v>7.8-11</v>
      </c>
      <c r="L53" s="198">
        <f t="shared" si="19"/>
        <v>0.2</v>
      </c>
      <c r="M53" s="49">
        <v>60</v>
      </c>
      <c r="N53" s="198">
        <f t="shared" si="64"/>
        <v>150</v>
      </c>
      <c r="O53" s="198">
        <f t="shared" si="64"/>
        <v>160</v>
      </c>
      <c r="P53" s="198">
        <f t="shared" si="64"/>
        <v>390</v>
      </c>
      <c r="Q53" s="196" t="s">
        <v>76</v>
      </c>
    </row>
    <row r="54" spans="1:17" x14ac:dyDescent="0.25">
      <c r="A54" s="229">
        <f t="shared" ref="A54:B54" si="72">A53+1</f>
        <v>1964</v>
      </c>
      <c r="B54" s="230">
        <f t="shared" si="72"/>
        <v>44</v>
      </c>
      <c r="C54" s="229" t="str">
        <f t="shared" si="5"/>
        <v>22bX08+000_090_11</v>
      </c>
      <c r="D54" s="197">
        <f t="shared" si="6"/>
        <v>7.8000000000000007</v>
      </c>
      <c r="E54" s="204">
        <f t="shared" si="7"/>
        <v>1.603</v>
      </c>
      <c r="F54" s="198">
        <f t="shared" si="8"/>
        <v>20.551282051282051</v>
      </c>
      <c r="G54" s="198">
        <f t="shared" si="9"/>
        <v>16.441025641025643</v>
      </c>
      <c r="H54" s="198">
        <f t="shared" si="10"/>
        <v>10.275641025641026</v>
      </c>
      <c r="I54" s="198">
        <f t="shared" si="66"/>
        <v>8</v>
      </c>
      <c r="J54" s="199">
        <f t="shared" si="66"/>
        <v>0</v>
      </c>
      <c r="K54" s="194" t="str">
        <f t="shared" si="70"/>
        <v>7.8-11</v>
      </c>
      <c r="L54" s="198">
        <f t="shared" si="19"/>
        <v>0.2</v>
      </c>
      <c r="M54" s="49">
        <v>90</v>
      </c>
      <c r="N54" s="198">
        <f t="shared" si="64"/>
        <v>150</v>
      </c>
      <c r="O54" s="198">
        <f t="shared" si="64"/>
        <v>160</v>
      </c>
      <c r="P54" s="198">
        <f t="shared" si="64"/>
        <v>390</v>
      </c>
      <c r="Q54" s="196" t="s">
        <v>76</v>
      </c>
    </row>
    <row r="55" spans="1:17" x14ac:dyDescent="0.25">
      <c r="A55" s="229">
        <f t="shared" ref="A55:B55" si="73">A54+1</f>
        <v>1965</v>
      </c>
      <c r="B55" s="230">
        <f t="shared" si="73"/>
        <v>45</v>
      </c>
      <c r="C55" s="229" t="str">
        <f t="shared" si="5"/>
        <v>22bX08+000_000_12</v>
      </c>
      <c r="D55" s="197">
        <f t="shared" si="6"/>
        <v>7.8000000000000007</v>
      </c>
      <c r="E55" s="204">
        <f t="shared" si="7"/>
        <v>1.603</v>
      </c>
      <c r="F55" s="198">
        <f t="shared" si="8"/>
        <v>20.551282051282051</v>
      </c>
      <c r="G55" s="198">
        <f t="shared" si="9"/>
        <v>16.441025641025643</v>
      </c>
      <c r="H55" s="198">
        <f t="shared" si="10"/>
        <v>10.275641025641026</v>
      </c>
      <c r="I55" s="198">
        <f t="shared" si="66"/>
        <v>8</v>
      </c>
      <c r="J55" s="199">
        <f t="shared" si="66"/>
        <v>0</v>
      </c>
      <c r="K55" s="194" t="str">
        <f>D55&amp;-12</f>
        <v>7.8-12</v>
      </c>
      <c r="L55" s="198">
        <f t="shared" si="19"/>
        <v>0.2</v>
      </c>
      <c r="M55" s="49">
        <v>0</v>
      </c>
      <c r="N55" s="198">
        <f t="shared" si="64"/>
        <v>150</v>
      </c>
      <c r="O55" s="198">
        <f t="shared" si="64"/>
        <v>160</v>
      </c>
      <c r="P55" s="198">
        <f t="shared" si="64"/>
        <v>390</v>
      </c>
      <c r="Q55" s="196" t="s">
        <v>76</v>
      </c>
    </row>
    <row r="56" spans="1:17" x14ac:dyDescent="0.25">
      <c r="A56" s="229">
        <f t="shared" ref="A56:B56" si="74">A55+1</f>
        <v>1966</v>
      </c>
      <c r="B56" s="230">
        <f t="shared" si="74"/>
        <v>46</v>
      </c>
      <c r="C56" s="229" t="str">
        <f t="shared" si="5"/>
        <v>22bX08+000_030_12</v>
      </c>
      <c r="D56" s="197">
        <f t="shared" si="6"/>
        <v>7.8000000000000007</v>
      </c>
      <c r="E56" s="204">
        <f t="shared" si="7"/>
        <v>1.603</v>
      </c>
      <c r="F56" s="198">
        <f t="shared" si="8"/>
        <v>20.551282051282051</v>
      </c>
      <c r="G56" s="198">
        <f t="shared" si="9"/>
        <v>16.441025641025643</v>
      </c>
      <c r="H56" s="198">
        <f t="shared" si="10"/>
        <v>10.275641025641026</v>
      </c>
      <c r="I56" s="198">
        <f t="shared" si="66"/>
        <v>8</v>
      </c>
      <c r="J56" s="199">
        <f t="shared" si="66"/>
        <v>0</v>
      </c>
      <c r="K56" s="194" t="str">
        <f t="shared" ref="K56:K58" si="75">D56&amp;-12</f>
        <v>7.8-12</v>
      </c>
      <c r="L56" s="198">
        <f t="shared" si="19"/>
        <v>0.2</v>
      </c>
      <c r="M56" s="49">
        <v>30</v>
      </c>
      <c r="N56" s="198">
        <f t="shared" si="64"/>
        <v>150</v>
      </c>
      <c r="O56" s="198">
        <f t="shared" si="64"/>
        <v>160</v>
      </c>
      <c r="P56" s="198">
        <f t="shared" si="64"/>
        <v>390</v>
      </c>
      <c r="Q56" s="196" t="s">
        <v>76</v>
      </c>
    </row>
    <row r="57" spans="1:17" x14ac:dyDescent="0.25">
      <c r="A57" s="229">
        <f t="shared" ref="A57:B57" si="76">A56+1</f>
        <v>1967</v>
      </c>
      <c r="B57" s="230">
        <f t="shared" si="76"/>
        <v>47</v>
      </c>
      <c r="C57" s="229" t="str">
        <f t="shared" si="5"/>
        <v>22bX08+000_060_12</v>
      </c>
      <c r="D57" s="197">
        <f t="shared" si="6"/>
        <v>7.8000000000000007</v>
      </c>
      <c r="E57" s="204">
        <f t="shared" si="7"/>
        <v>1.603</v>
      </c>
      <c r="F57" s="198">
        <f t="shared" si="8"/>
        <v>20.551282051282051</v>
      </c>
      <c r="G57" s="198">
        <f t="shared" si="9"/>
        <v>16.441025641025643</v>
      </c>
      <c r="H57" s="198">
        <f t="shared" si="10"/>
        <v>10.275641025641026</v>
      </c>
      <c r="I57" s="198">
        <f t="shared" si="66"/>
        <v>8</v>
      </c>
      <c r="J57" s="199">
        <f t="shared" si="66"/>
        <v>0</v>
      </c>
      <c r="K57" s="194" t="str">
        <f t="shared" si="75"/>
        <v>7.8-12</v>
      </c>
      <c r="L57" s="198">
        <f t="shared" si="19"/>
        <v>0.2</v>
      </c>
      <c r="M57" s="49">
        <v>60</v>
      </c>
      <c r="N57" s="198">
        <f t="shared" si="64"/>
        <v>150</v>
      </c>
      <c r="O57" s="198">
        <f t="shared" si="64"/>
        <v>160</v>
      </c>
      <c r="P57" s="198">
        <f t="shared" si="64"/>
        <v>390</v>
      </c>
      <c r="Q57" s="196" t="s">
        <v>76</v>
      </c>
    </row>
    <row r="58" spans="1:17" x14ac:dyDescent="0.25">
      <c r="A58" s="229">
        <f t="shared" ref="A58:B58" si="77">A57+1</f>
        <v>1968</v>
      </c>
      <c r="B58" s="230">
        <f t="shared" si="77"/>
        <v>48</v>
      </c>
      <c r="C58" s="229" t="str">
        <f t="shared" si="5"/>
        <v>22bX08+000_090_12</v>
      </c>
      <c r="D58" s="197">
        <f t="shared" si="6"/>
        <v>7.8000000000000007</v>
      </c>
      <c r="E58" s="204">
        <f t="shared" si="7"/>
        <v>1.603</v>
      </c>
      <c r="F58" s="198">
        <f t="shared" si="8"/>
        <v>20.551282051282051</v>
      </c>
      <c r="G58" s="198">
        <f t="shared" si="9"/>
        <v>16.441025641025643</v>
      </c>
      <c r="H58" s="198">
        <f t="shared" si="10"/>
        <v>10.275641025641026</v>
      </c>
      <c r="I58" s="198">
        <f t="shared" si="66"/>
        <v>8</v>
      </c>
      <c r="J58" s="199">
        <f t="shared" si="66"/>
        <v>0</v>
      </c>
      <c r="K58" s="194" t="str">
        <f t="shared" si="75"/>
        <v>7.8-12</v>
      </c>
      <c r="L58" s="198">
        <f t="shared" si="19"/>
        <v>0.2</v>
      </c>
      <c r="M58" s="49">
        <v>90</v>
      </c>
      <c r="N58" s="198">
        <f t="shared" si="64"/>
        <v>150</v>
      </c>
      <c r="O58" s="198">
        <f t="shared" si="64"/>
        <v>160</v>
      </c>
      <c r="P58" s="198">
        <f t="shared" si="64"/>
        <v>390</v>
      </c>
      <c r="Q58" s="196" t="s">
        <v>76</v>
      </c>
    </row>
    <row r="59" spans="1:17" x14ac:dyDescent="0.25">
      <c r="A59" s="229">
        <f t="shared" ref="A59:B59" si="78">A58+1</f>
        <v>1969</v>
      </c>
      <c r="B59" s="230">
        <f t="shared" si="78"/>
        <v>49</v>
      </c>
      <c r="C59" s="229" t="str">
        <f t="shared" si="5"/>
        <v>22bX10+000_000_01</v>
      </c>
      <c r="D59" s="197">
        <f t="shared" ref="D59" si="79">v_r</f>
        <v>9.8000000000000007</v>
      </c>
      <c r="E59" s="204">
        <f t="shared" ref="E59" si="80">I_ref*(0.75*D59+5.6)</f>
        <v>1.8130000000000002</v>
      </c>
      <c r="F59" s="198">
        <f>E59/D59*100</f>
        <v>18.5</v>
      </c>
      <c r="G59" s="198">
        <f t="shared" ref="G59" si="81">m_ty*F59</f>
        <v>14.8</v>
      </c>
      <c r="H59" s="198">
        <f t="shared" ref="H59" si="82">m_tz*F59</f>
        <v>9.25</v>
      </c>
      <c r="I59" s="198">
        <f>inflow</f>
        <v>8</v>
      </c>
      <c r="J59" s="199">
        <f>yaw_null</f>
        <v>0</v>
      </c>
      <c r="K59" s="194" t="str">
        <f>D59&amp;-1</f>
        <v>9.8-1</v>
      </c>
      <c r="L59" s="198">
        <f>alpha_n</f>
        <v>0.2</v>
      </c>
      <c r="M59" s="49">
        <v>0</v>
      </c>
      <c r="N59" s="198">
        <f>t_out</f>
        <v>150</v>
      </c>
      <c r="O59" s="198">
        <f>trig_t</f>
        <v>160</v>
      </c>
      <c r="P59" s="198">
        <f>N59+4*T_s2</f>
        <v>390</v>
      </c>
      <c r="Q59" s="196" t="s">
        <v>76</v>
      </c>
    </row>
    <row r="60" spans="1:17" x14ac:dyDescent="0.25">
      <c r="A60" s="229">
        <f t="shared" ref="A60:B60" si="83">A59+1</f>
        <v>1970</v>
      </c>
      <c r="B60" s="230">
        <f t="shared" si="83"/>
        <v>50</v>
      </c>
      <c r="C60" s="229" t="str">
        <f t="shared" si="5"/>
        <v>22bX10+000_030_01</v>
      </c>
      <c r="D60" s="197">
        <f t="shared" ref="D60:D106" si="84">D59</f>
        <v>9.8000000000000007</v>
      </c>
      <c r="E60" s="204">
        <f t="shared" ref="E60:E66" si="85">I_ref*(0.75*D60+5.6)</f>
        <v>1.8130000000000002</v>
      </c>
      <c r="F60" s="198">
        <f t="shared" ref="F60:F106" si="86">E60/D60*100</f>
        <v>18.5</v>
      </c>
      <c r="G60" s="198">
        <f t="shared" ref="G60:G66" si="87">m_ty*F60</f>
        <v>14.8</v>
      </c>
      <c r="H60" s="198">
        <f t="shared" ref="H60:H66" si="88">m_tz*F60</f>
        <v>9.25</v>
      </c>
      <c r="I60" s="198">
        <f t="shared" ref="I60:J64" si="89">I59</f>
        <v>8</v>
      </c>
      <c r="J60" s="199">
        <f>J59</f>
        <v>0</v>
      </c>
      <c r="K60" s="194" t="str">
        <f t="shared" ref="K60:K62" si="90">D60&amp;-1</f>
        <v>9.8-1</v>
      </c>
      <c r="L60" s="198">
        <f t="shared" ref="L60:L106" si="91">L59</f>
        <v>0.2</v>
      </c>
      <c r="M60" s="49">
        <v>30</v>
      </c>
      <c r="N60" s="198">
        <f t="shared" ref="N60:P63" si="92">N59</f>
        <v>150</v>
      </c>
      <c r="O60" s="198">
        <f t="shared" si="92"/>
        <v>160</v>
      </c>
      <c r="P60" s="198">
        <f t="shared" si="92"/>
        <v>390</v>
      </c>
      <c r="Q60" s="196" t="s">
        <v>76</v>
      </c>
    </row>
    <row r="61" spans="1:17" x14ac:dyDescent="0.25">
      <c r="A61" s="229">
        <f t="shared" ref="A61:B61" si="93">A60+1</f>
        <v>1971</v>
      </c>
      <c r="B61" s="230">
        <f t="shared" si="93"/>
        <v>51</v>
      </c>
      <c r="C61" s="229" t="str">
        <f t="shared" si="5"/>
        <v>22bX10+000_060_01</v>
      </c>
      <c r="D61" s="197">
        <f t="shared" si="84"/>
        <v>9.8000000000000007</v>
      </c>
      <c r="E61" s="204">
        <f t="shared" si="85"/>
        <v>1.8130000000000002</v>
      </c>
      <c r="F61" s="198">
        <f t="shared" si="86"/>
        <v>18.5</v>
      </c>
      <c r="G61" s="198">
        <f t="shared" si="87"/>
        <v>14.8</v>
      </c>
      <c r="H61" s="198">
        <f t="shared" si="88"/>
        <v>9.25</v>
      </c>
      <c r="I61" s="198">
        <f t="shared" si="89"/>
        <v>8</v>
      </c>
      <c r="J61" s="199">
        <f t="shared" si="89"/>
        <v>0</v>
      </c>
      <c r="K61" s="194" t="str">
        <f t="shared" si="90"/>
        <v>9.8-1</v>
      </c>
      <c r="L61" s="198">
        <f t="shared" si="91"/>
        <v>0.2</v>
      </c>
      <c r="M61" s="49">
        <v>60</v>
      </c>
      <c r="N61" s="198">
        <f t="shared" si="92"/>
        <v>150</v>
      </c>
      <c r="O61" s="198">
        <f t="shared" si="92"/>
        <v>160</v>
      </c>
      <c r="P61" s="198">
        <f t="shared" si="92"/>
        <v>390</v>
      </c>
      <c r="Q61" s="196" t="s">
        <v>76</v>
      </c>
    </row>
    <row r="62" spans="1:17" x14ac:dyDescent="0.25">
      <c r="A62" s="229">
        <f t="shared" ref="A62:B62" si="94">A61+1</f>
        <v>1972</v>
      </c>
      <c r="B62" s="230">
        <f t="shared" si="94"/>
        <v>52</v>
      </c>
      <c r="C62" s="229" t="str">
        <f t="shared" si="5"/>
        <v>22bX10+000_090_01</v>
      </c>
      <c r="D62" s="197">
        <f t="shared" si="84"/>
        <v>9.8000000000000007</v>
      </c>
      <c r="E62" s="204">
        <f t="shared" si="85"/>
        <v>1.8130000000000002</v>
      </c>
      <c r="F62" s="198">
        <f t="shared" si="86"/>
        <v>18.5</v>
      </c>
      <c r="G62" s="198">
        <f t="shared" si="87"/>
        <v>14.8</v>
      </c>
      <c r="H62" s="198">
        <f t="shared" si="88"/>
        <v>9.25</v>
      </c>
      <c r="I62" s="198">
        <f t="shared" si="89"/>
        <v>8</v>
      </c>
      <c r="J62" s="199">
        <f t="shared" si="89"/>
        <v>0</v>
      </c>
      <c r="K62" s="194" t="str">
        <f t="shared" si="90"/>
        <v>9.8-1</v>
      </c>
      <c r="L62" s="198">
        <f t="shared" si="91"/>
        <v>0.2</v>
      </c>
      <c r="M62" s="49">
        <v>90</v>
      </c>
      <c r="N62" s="198">
        <f t="shared" si="92"/>
        <v>150</v>
      </c>
      <c r="O62" s="198">
        <f t="shared" si="92"/>
        <v>160</v>
      </c>
      <c r="P62" s="198">
        <f t="shared" si="92"/>
        <v>390</v>
      </c>
      <c r="Q62" s="196" t="s">
        <v>76</v>
      </c>
    </row>
    <row r="63" spans="1:17" x14ac:dyDescent="0.25">
      <c r="A63" s="229">
        <f t="shared" ref="A63:B63" si="95">A62+1</f>
        <v>1973</v>
      </c>
      <c r="B63" s="230">
        <f t="shared" si="95"/>
        <v>53</v>
      </c>
      <c r="C63" s="229" t="str">
        <f t="shared" si="5"/>
        <v>22bX10+000_000_02</v>
      </c>
      <c r="D63" s="197">
        <f t="shared" si="84"/>
        <v>9.8000000000000007</v>
      </c>
      <c r="E63" s="204">
        <f t="shared" si="85"/>
        <v>1.8130000000000002</v>
      </c>
      <c r="F63" s="198">
        <f t="shared" si="86"/>
        <v>18.5</v>
      </c>
      <c r="G63" s="198">
        <f t="shared" si="87"/>
        <v>14.8</v>
      </c>
      <c r="H63" s="198">
        <f t="shared" si="88"/>
        <v>9.25</v>
      </c>
      <c r="I63" s="198">
        <f t="shared" si="89"/>
        <v>8</v>
      </c>
      <c r="J63" s="199">
        <f t="shared" si="89"/>
        <v>0</v>
      </c>
      <c r="K63" s="194" t="str">
        <f>D63&amp;-2</f>
        <v>9.8-2</v>
      </c>
      <c r="L63" s="198">
        <f t="shared" si="91"/>
        <v>0.2</v>
      </c>
      <c r="M63" s="49">
        <v>0</v>
      </c>
      <c r="N63" s="198">
        <f t="shared" si="92"/>
        <v>150</v>
      </c>
      <c r="O63" s="198">
        <f t="shared" si="92"/>
        <v>160</v>
      </c>
      <c r="P63" s="198">
        <f t="shared" si="92"/>
        <v>390</v>
      </c>
      <c r="Q63" s="196" t="s">
        <v>76</v>
      </c>
    </row>
    <row r="64" spans="1:17" x14ac:dyDescent="0.25">
      <c r="A64" s="229">
        <f t="shared" ref="A64:B64" si="96">A63+1</f>
        <v>1974</v>
      </c>
      <c r="B64" s="230">
        <f t="shared" si="96"/>
        <v>54</v>
      </c>
      <c r="C64" s="229" t="str">
        <f t="shared" si="5"/>
        <v>22bX10+000_030_02</v>
      </c>
      <c r="D64" s="197">
        <f t="shared" si="84"/>
        <v>9.8000000000000007</v>
      </c>
      <c r="E64" s="204">
        <f t="shared" si="85"/>
        <v>1.8130000000000002</v>
      </c>
      <c r="F64" s="198">
        <f t="shared" si="86"/>
        <v>18.5</v>
      </c>
      <c r="G64" s="198">
        <f t="shared" si="87"/>
        <v>14.8</v>
      </c>
      <c r="H64" s="198">
        <f t="shared" si="88"/>
        <v>9.25</v>
      </c>
      <c r="I64" s="198">
        <f t="shared" si="89"/>
        <v>8</v>
      </c>
      <c r="J64" s="199">
        <f t="shared" si="89"/>
        <v>0</v>
      </c>
      <c r="K64" s="194" t="str">
        <f t="shared" ref="K64:K66" si="97">D64&amp;-2</f>
        <v>9.8-2</v>
      </c>
      <c r="L64" s="198">
        <f t="shared" si="91"/>
        <v>0.2</v>
      </c>
      <c r="M64" s="49">
        <v>30</v>
      </c>
      <c r="N64" s="198">
        <f t="shared" ref="N64:P79" si="98">N63</f>
        <v>150</v>
      </c>
      <c r="O64" s="198">
        <f t="shared" si="98"/>
        <v>160</v>
      </c>
      <c r="P64" s="198">
        <f t="shared" si="98"/>
        <v>390</v>
      </c>
      <c r="Q64" s="196" t="s">
        <v>76</v>
      </c>
    </row>
    <row r="65" spans="1:17" x14ac:dyDescent="0.25">
      <c r="A65" s="229">
        <f t="shared" ref="A65:B65" si="99">A64+1</f>
        <v>1975</v>
      </c>
      <c r="B65" s="230">
        <f t="shared" si="99"/>
        <v>55</v>
      </c>
      <c r="C65" s="229" t="str">
        <f t="shared" si="5"/>
        <v>22bX10+000_060_02</v>
      </c>
      <c r="D65" s="197">
        <f t="shared" si="84"/>
        <v>9.8000000000000007</v>
      </c>
      <c r="E65" s="204">
        <f t="shared" si="85"/>
        <v>1.8130000000000002</v>
      </c>
      <c r="F65" s="198">
        <f t="shared" si="86"/>
        <v>18.5</v>
      </c>
      <c r="G65" s="198">
        <f t="shared" si="87"/>
        <v>14.8</v>
      </c>
      <c r="H65" s="198">
        <f t="shared" si="88"/>
        <v>9.25</v>
      </c>
      <c r="I65" s="198">
        <f t="shared" ref="I65:J80" si="100">I64</f>
        <v>8</v>
      </c>
      <c r="J65" s="199">
        <f t="shared" si="100"/>
        <v>0</v>
      </c>
      <c r="K65" s="194" t="str">
        <f t="shared" si="97"/>
        <v>9.8-2</v>
      </c>
      <c r="L65" s="198">
        <f t="shared" si="91"/>
        <v>0.2</v>
      </c>
      <c r="M65" s="49">
        <v>60</v>
      </c>
      <c r="N65" s="198">
        <f t="shared" si="98"/>
        <v>150</v>
      </c>
      <c r="O65" s="198">
        <f t="shared" si="98"/>
        <v>160</v>
      </c>
      <c r="P65" s="198">
        <f t="shared" si="98"/>
        <v>390</v>
      </c>
      <c r="Q65" s="196" t="s">
        <v>76</v>
      </c>
    </row>
    <row r="66" spans="1:17" x14ac:dyDescent="0.25">
      <c r="A66" s="229">
        <f t="shared" ref="A66:B66" si="101">A65+1</f>
        <v>1976</v>
      </c>
      <c r="B66" s="230">
        <f t="shared" si="101"/>
        <v>56</v>
      </c>
      <c r="C66" s="229" t="str">
        <f t="shared" si="5"/>
        <v>22bX10+000_090_02</v>
      </c>
      <c r="D66" s="197">
        <f t="shared" si="84"/>
        <v>9.8000000000000007</v>
      </c>
      <c r="E66" s="204">
        <f t="shared" si="85"/>
        <v>1.8130000000000002</v>
      </c>
      <c r="F66" s="198">
        <f t="shared" si="86"/>
        <v>18.5</v>
      </c>
      <c r="G66" s="198">
        <f t="shared" si="87"/>
        <v>14.8</v>
      </c>
      <c r="H66" s="198">
        <f t="shared" si="88"/>
        <v>9.25</v>
      </c>
      <c r="I66" s="198">
        <f t="shared" si="100"/>
        <v>8</v>
      </c>
      <c r="J66" s="199">
        <f t="shared" si="100"/>
        <v>0</v>
      </c>
      <c r="K66" s="194" t="str">
        <f t="shared" si="97"/>
        <v>9.8-2</v>
      </c>
      <c r="L66" s="198">
        <f t="shared" si="91"/>
        <v>0.2</v>
      </c>
      <c r="M66" s="49">
        <v>90</v>
      </c>
      <c r="N66" s="198">
        <f t="shared" si="98"/>
        <v>150</v>
      </c>
      <c r="O66" s="198">
        <f t="shared" si="98"/>
        <v>160</v>
      </c>
      <c r="P66" s="198">
        <f t="shared" si="98"/>
        <v>390</v>
      </c>
      <c r="Q66" s="196" t="s">
        <v>76</v>
      </c>
    </row>
    <row r="67" spans="1:17" x14ac:dyDescent="0.25">
      <c r="A67" s="229">
        <f t="shared" ref="A67:B67" si="102">A66+1</f>
        <v>1977</v>
      </c>
      <c r="B67" s="230">
        <f t="shared" si="102"/>
        <v>57</v>
      </c>
      <c r="C67" s="229" t="str">
        <f t="shared" si="5"/>
        <v>22bX10+000_000_03</v>
      </c>
      <c r="D67" s="197">
        <f t="shared" si="84"/>
        <v>9.8000000000000007</v>
      </c>
      <c r="E67" s="204">
        <f t="shared" ref="E67:E106" si="103">I_ref*(0.75*D67+5.6)</f>
        <v>1.8130000000000002</v>
      </c>
      <c r="F67" s="198">
        <f t="shared" si="86"/>
        <v>18.5</v>
      </c>
      <c r="G67" s="198">
        <f t="shared" ref="G67:G106" si="104">m_ty*F67</f>
        <v>14.8</v>
      </c>
      <c r="H67" s="198">
        <f t="shared" ref="H67:H106" si="105">m_tz*F67</f>
        <v>9.25</v>
      </c>
      <c r="I67" s="198">
        <f t="shared" si="100"/>
        <v>8</v>
      </c>
      <c r="J67" s="199">
        <f t="shared" si="100"/>
        <v>0</v>
      </c>
      <c r="K67" s="194" t="str">
        <f>D67&amp;-3</f>
        <v>9.8-3</v>
      </c>
      <c r="L67" s="198">
        <f t="shared" si="91"/>
        <v>0.2</v>
      </c>
      <c r="M67" s="49">
        <v>0</v>
      </c>
      <c r="N67" s="198">
        <f t="shared" si="98"/>
        <v>150</v>
      </c>
      <c r="O67" s="198">
        <f t="shared" si="98"/>
        <v>160</v>
      </c>
      <c r="P67" s="198">
        <f t="shared" si="98"/>
        <v>390</v>
      </c>
      <c r="Q67" s="196" t="s">
        <v>76</v>
      </c>
    </row>
    <row r="68" spans="1:17" x14ac:dyDescent="0.25">
      <c r="A68" s="229">
        <f t="shared" ref="A68:B68" si="106">A67+1</f>
        <v>1978</v>
      </c>
      <c r="B68" s="230">
        <f t="shared" si="106"/>
        <v>58</v>
      </c>
      <c r="C68" s="229" t="str">
        <f t="shared" si="5"/>
        <v>22bX10+000_030_03</v>
      </c>
      <c r="D68" s="197">
        <f t="shared" si="84"/>
        <v>9.8000000000000007</v>
      </c>
      <c r="E68" s="204">
        <f t="shared" si="103"/>
        <v>1.8130000000000002</v>
      </c>
      <c r="F68" s="198">
        <f t="shared" si="86"/>
        <v>18.5</v>
      </c>
      <c r="G68" s="198">
        <f t="shared" si="104"/>
        <v>14.8</v>
      </c>
      <c r="H68" s="198">
        <f t="shared" si="105"/>
        <v>9.25</v>
      </c>
      <c r="I68" s="198">
        <f t="shared" si="100"/>
        <v>8</v>
      </c>
      <c r="J68" s="199">
        <f t="shared" si="100"/>
        <v>0</v>
      </c>
      <c r="K68" s="194" t="str">
        <f t="shared" ref="K68:K70" si="107">D68&amp;-3</f>
        <v>9.8-3</v>
      </c>
      <c r="L68" s="198">
        <f t="shared" si="91"/>
        <v>0.2</v>
      </c>
      <c r="M68" s="49">
        <v>30</v>
      </c>
      <c r="N68" s="198">
        <f t="shared" si="98"/>
        <v>150</v>
      </c>
      <c r="O68" s="198">
        <f t="shared" si="98"/>
        <v>160</v>
      </c>
      <c r="P68" s="198">
        <f t="shared" si="98"/>
        <v>390</v>
      </c>
      <c r="Q68" s="196" t="s">
        <v>76</v>
      </c>
    </row>
    <row r="69" spans="1:17" x14ac:dyDescent="0.25">
      <c r="A69" s="229">
        <f t="shared" ref="A69:B69" si="108">A68+1</f>
        <v>1979</v>
      </c>
      <c r="B69" s="230">
        <f t="shared" si="108"/>
        <v>59</v>
      </c>
      <c r="C69" s="229" t="str">
        <f t="shared" si="5"/>
        <v>22bX10+000_060_03</v>
      </c>
      <c r="D69" s="197">
        <f t="shared" si="84"/>
        <v>9.8000000000000007</v>
      </c>
      <c r="E69" s="204">
        <f t="shared" si="103"/>
        <v>1.8130000000000002</v>
      </c>
      <c r="F69" s="198">
        <f t="shared" si="86"/>
        <v>18.5</v>
      </c>
      <c r="G69" s="198">
        <f t="shared" si="104"/>
        <v>14.8</v>
      </c>
      <c r="H69" s="198">
        <f t="shared" si="105"/>
        <v>9.25</v>
      </c>
      <c r="I69" s="198">
        <f t="shared" si="100"/>
        <v>8</v>
      </c>
      <c r="J69" s="199">
        <f t="shared" si="100"/>
        <v>0</v>
      </c>
      <c r="K69" s="194" t="str">
        <f t="shared" si="107"/>
        <v>9.8-3</v>
      </c>
      <c r="L69" s="198">
        <f t="shared" si="91"/>
        <v>0.2</v>
      </c>
      <c r="M69" s="49">
        <v>60</v>
      </c>
      <c r="N69" s="198">
        <f t="shared" si="98"/>
        <v>150</v>
      </c>
      <c r="O69" s="198">
        <f t="shared" si="98"/>
        <v>160</v>
      </c>
      <c r="P69" s="198">
        <f t="shared" si="98"/>
        <v>390</v>
      </c>
      <c r="Q69" s="196" t="s">
        <v>76</v>
      </c>
    </row>
    <row r="70" spans="1:17" x14ac:dyDescent="0.25">
      <c r="A70" s="229">
        <f t="shared" ref="A70:B70" si="109">A69+1</f>
        <v>1980</v>
      </c>
      <c r="B70" s="230">
        <f t="shared" si="109"/>
        <v>60</v>
      </c>
      <c r="C70" s="229" t="str">
        <f t="shared" si="5"/>
        <v>22bX10+000_090_03</v>
      </c>
      <c r="D70" s="197">
        <f t="shared" si="84"/>
        <v>9.8000000000000007</v>
      </c>
      <c r="E70" s="204">
        <f t="shared" si="103"/>
        <v>1.8130000000000002</v>
      </c>
      <c r="F70" s="198">
        <f t="shared" si="86"/>
        <v>18.5</v>
      </c>
      <c r="G70" s="198">
        <f t="shared" si="104"/>
        <v>14.8</v>
      </c>
      <c r="H70" s="198">
        <f t="shared" si="105"/>
        <v>9.25</v>
      </c>
      <c r="I70" s="198">
        <f t="shared" si="100"/>
        <v>8</v>
      </c>
      <c r="J70" s="199">
        <f t="shared" si="100"/>
        <v>0</v>
      </c>
      <c r="K70" s="194" t="str">
        <f t="shared" si="107"/>
        <v>9.8-3</v>
      </c>
      <c r="L70" s="198">
        <f t="shared" si="91"/>
        <v>0.2</v>
      </c>
      <c r="M70" s="49">
        <v>90</v>
      </c>
      <c r="N70" s="198">
        <f t="shared" si="98"/>
        <v>150</v>
      </c>
      <c r="O70" s="198">
        <f t="shared" si="98"/>
        <v>160</v>
      </c>
      <c r="P70" s="198">
        <f t="shared" si="98"/>
        <v>390</v>
      </c>
      <c r="Q70" s="196" t="s">
        <v>76</v>
      </c>
    </row>
    <row r="71" spans="1:17" x14ac:dyDescent="0.25">
      <c r="A71" s="229">
        <f t="shared" ref="A71:B71" si="110">A70+1</f>
        <v>1981</v>
      </c>
      <c r="B71" s="230">
        <f t="shared" si="110"/>
        <v>61</v>
      </c>
      <c r="C71" s="229" t="str">
        <f t="shared" si="5"/>
        <v>22bX10+000_000_04</v>
      </c>
      <c r="D71" s="197">
        <f t="shared" si="84"/>
        <v>9.8000000000000007</v>
      </c>
      <c r="E71" s="204">
        <f t="shared" si="103"/>
        <v>1.8130000000000002</v>
      </c>
      <c r="F71" s="198">
        <f t="shared" si="86"/>
        <v>18.5</v>
      </c>
      <c r="G71" s="198">
        <f t="shared" si="104"/>
        <v>14.8</v>
      </c>
      <c r="H71" s="198">
        <f t="shared" si="105"/>
        <v>9.25</v>
      </c>
      <c r="I71" s="198">
        <f t="shared" si="100"/>
        <v>8</v>
      </c>
      <c r="J71" s="199">
        <f t="shared" si="100"/>
        <v>0</v>
      </c>
      <c r="K71" s="194" t="str">
        <f>D71&amp;-4</f>
        <v>9.8-4</v>
      </c>
      <c r="L71" s="198">
        <f t="shared" si="91"/>
        <v>0.2</v>
      </c>
      <c r="M71" s="49">
        <v>0</v>
      </c>
      <c r="N71" s="198">
        <f t="shared" si="98"/>
        <v>150</v>
      </c>
      <c r="O71" s="198">
        <f t="shared" si="98"/>
        <v>160</v>
      </c>
      <c r="P71" s="198">
        <f t="shared" si="98"/>
        <v>390</v>
      </c>
      <c r="Q71" s="196" t="s">
        <v>76</v>
      </c>
    </row>
    <row r="72" spans="1:17" x14ac:dyDescent="0.25">
      <c r="A72" s="229">
        <f t="shared" ref="A72:B72" si="111">A71+1</f>
        <v>1982</v>
      </c>
      <c r="B72" s="230">
        <f t="shared" si="111"/>
        <v>62</v>
      </c>
      <c r="C72" s="229" t="str">
        <f t="shared" si="5"/>
        <v>22bX10+000_030_04</v>
      </c>
      <c r="D72" s="197">
        <f t="shared" si="84"/>
        <v>9.8000000000000007</v>
      </c>
      <c r="E72" s="204">
        <f t="shared" si="103"/>
        <v>1.8130000000000002</v>
      </c>
      <c r="F72" s="198">
        <f t="shared" si="86"/>
        <v>18.5</v>
      </c>
      <c r="G72" s="198">
        <f t="shared" si="104"/>
        <v>14.8</v>
      </c>
      <c r="H72" s="198">
        <f t="shared" si="105"/>
        <v>9.25</v>
      </c>
      <c r="I72" s="198">
        <f t="shared" si="100"/>
        <v>8</v>
      </c>
      <c r="J72" s="199">
        <f t="shared" si="100"/>
        <v>0</v>
      </c>
      <c r="K72" s="194" t="str">
        <f t="shared" ref="K72:K74" si="112">D72&amp;-4</f>
        <v>9.8-4</v>
      </c>
      <c r="L72" s="198">
        <f t="shared" si="91"/>
        <v>0.2</v>
      </c>
      <c r="M72" s="49">
        <v>30</v>
      </c>
      <c r="N72" s="198">
        <f t="shared" si="98"/>
        <v>150</v>
      </c>
      <c r="O72" s="198">
        <f t="shared" si="98"/>
        <v>160</v>
      </c>
      <c r="P72" s="198">
        <f t="shared" si="98"/>
        <v>390</v>
      </c>
      <c r="Q72" s="196" t="s">
        <v>76</v>
      </c>
    </row>
    <row r="73" spans="1:17" x14ac:dyDescent="0.25">
      <c r="A73" s="229">
        <f t="shared" ref="A73:B73" si="113">A72+1</f>
        <v>1983</v>
      </c>
      <c r="B73" s="230">
        <f t="shared" si="113"/>
        <v>63</v>
      </c>
      <c r="C73" s="229" t="str">
        <f t="shared" si="5"/>
        <v>22bX10+000_060_04</v>
      </c>
      <c r="D73" s="197">
        <f t="shared" si="84"/>
        <v>9.8000000000000007</v>
      </c>
      <c r="E73" s="204">
        <f t="shared" si="103"/>
        <v>1.8130000000000002</v>
      </c>
      <c r="F73" s="198">
        <f t="shared" si="86"/>
        <v>18.5</v>
      </c>
      <c r="G73" s="198">
        <f t="shared" si="104"/>
        <v>14.8</v>
      </c>
      <c r="H73" s="198">
        <f t="shared" si="105"/>
        <v>9.25</v>
      </c>
      <c r="I73" s="198">
        <f t="shared" si="100"/>
        <v>8</v>
      </c>
      <c r="J73" s="199">
        <f t="shared" si="100"/>
        <v>0</v>
      </c>
      <c r="K73" s="194" t="str">
        <f t="shared" si="112"/>
        <v>9.8-4</v>
      </c>
      <c r="L73" s="198">
        <f t="shared" si="91"/>
        <v>0.2</v>
      </c>
      <c r="M73" s="49">
        <v>60</v>
      </c>
      <c r="N73" s="198">
        <f t="shared" si="98"/>
        <v>150</v>
      </c>
      <c r="O73" s="198">
        <f t="shared" si="98"/>
        <v>160</v>
      </c>
      <c r="P73" s="198">
        <f t="shared" si="98"/>
        <v>390</v>
      </c>
      <c r="Q73" s="196" t="s">
        <v>76</v>
      </c>
    </row>
    <row r="74" spans="1:17" x14ac:dyDescent="0.25">
      <c r="A74" s="229">
        <f t="shared" ref="A74:B74" si="114">A73+1</f>
        <v>1984</v>
      </c>
      <c r="B74" s="230">
        <f t="shared" si="114"/>
        <v>64</v>
      </c>
      <c r="C74" s="229" t="str">
        <f t="shared" si="5"/>
        <v>22bX10+000_090_04</v>
      </c>
      <c r="D74" s="197">
        <f t="shared" si="84"/>
        <v>9.8000000000000007</v>
      </c>
      <c r="E74" s="204">
        <f t="shared" si="103"/>
        <v>1.8130000000000002</v>
      </c>
      <c r="F74" s="198">
        <f t="shared" si="86"/>
        <v>18.5</v>
      </c>
      <c r="G74" s="198">
        <f t="shared" si="104"/>
        <v>14.8</v>
      </c>
      <c r="H74" s="198">
        <f t="shared" si="105"/>
        <v>9.25</v>
      </c>
      <c r="I74" s="198">
        <f t="shared" si="100"/>
        <v>8</v>
      </c>
      <c r="J74" s="199">
        <f t="shared" si="100"/>
        <v>0</v>
      </c>
      <c r="K74" s="194" t="str">
        <f t="shared" si="112"/>
        <v>9.8-4</v>
      </c>
      <c r="L74" s="198">
        <f t="shared" si="91"/>
        <v>0.2</v>
      </c>
      <c r="M74" s="49">
        <v>90</v>
      </c>
      <c r="N74" s="198">
        <f t="shared" si="98"/>
        <v>150</v>
      </c>
      <c r="O74" s="198">
        <f t="shared" si="98"/>
        <v>160</v>
      </c>
      <c r="P74" s="198">
        <f t="shared" si="98"/>
        <v>390</v>
      </c>
      <c r="Q74" s="196" t="s">
        <v>76</v>
      </c>
    </row>
    <row r="75" spans="1:17" x14ac:dyDescent="0.25">
      <c r="A75" s="229">
        <f t="shared" ref="A75:B75" si="115">A74+1</f>
        <v>1985</v>
      </c>
      <c r="B75" s="230">
        <f t="shared" si="115"/>
        <v>65</v>
      </c>
      <c r="C75" s="229" t="str">
        <f t="shared" si="5"/>
        <v>22bX10+000_000_05</v>
      </c>
      <c r="D75" s="197">
        <f t="shared" si="84"/>
        <v>9.8000000000000007</v>
      </c>
      <c r="E75" s="204">
        <f t="shared" si="103"/>
        <v>1.8130000000000002</v>
      </c>
      <c r="F75" s="198">
        <f t="shared" si="86"/>
        <v>18.5</v>
      </c>
      <c r="G75" s="198">
        <f t="shared" si="104"/>
        <v>14.8</v>
      </c>
      <c r="H75" s="198">
        <f t="shared" si="105"/>
        <v>9.25</v>
      </c>
      <c r="I75" s="198">
        <f t="shared" si="100"/>
        <v>8</v>
      </c>
      <c r="J75" s="199">
        <f>yaw_null</f>
        <v>0</v>
      </c>
      <c r="K75" s="194" t="str">
        <f>D75&amp;-5</f>
        <v>9.8-5</v>
      </c>
      <c r="L75" s="198">
        <f t="shared" si="91"/>
        <v>0.2</v>
      </c>
      <c r="M75" s="49">
        <v>0</v>
      </c>
      <c r="N75" s="198">
        <f t="shared" si="98"/>
        <v>150</v>
      </c>
      <c r="O75" s="198">
        <f t="shared" si="98"/>
        <v>160</v>
      </c>
      <c r="P75" s="198">
        <f t="shared" si="98"/>
        <v>390</v>
      </c>
      <c r="Q75" s="196" t="s">
        <v>76</v>
      </c>
    </row>
    <row r="76" spans="1:17" x14ac:dyDescent="0.25">
      <c r="A76" s="229">
        <f t="shared" ref="A76:B76" si="116">A75+1</f>
        <v>1986</v>
      </c>
      <c r="B76" s="230">
        <f t="shared" si="116"/>
        <v>66</v>
      </c>
      <c r="C76" s="229" t="str">
        <f t="shared" ref="C76:C139" si="117">TEXT(RIGHT($B$2,LEN($B$2)-3),"000")&amp;"X"&amp;TEXT(D76,"00")&amp;"+"&amp;IF(J76&lt;0,TEXT(360+J76,"000"),TEXT(J76,"000"))&amp;"_"&amp;TEXT(M76,"000")&amp;"_"&amp;TEXT(RIGHT(K76,LEN(K76)-FIND("-",K76)),"00")</f>
        <v>22bX10+000_030_05</v>
      </c>
      <c r="D76" s="197">
        <f t="shared" si="84"/>
        <v>9.8000000000000007</v>
      </c>
      <c r="E76" s="204">
        <f t="shared" si="103"/>
        <v>1.8130000000000002</v>
      </c>
      <c r="F76" s="198">
        <f t="shared" si="86"/>
        <v>18.5</v>
      </c>
      <c r="G76" s="198">
        <f t="shared" si="104"/>
        <v>14.8</v>
      </c>
      <c r="H76" s="198">
        <f t="shared" si="105"/>
        <v>9.25</v>
      </c>
      <c r="I76" s="198">
        <f t="shared" si="100"/>
        <v>8</v>
      </c>
      <c r="J76" s="199">
        <f>J75</f>
        <v>0</v>
      </c>
      <c r="K76" s="194" t="str">
        <f t="shared" ref="K76:K78" si="118">D76&amp;-5</f>
        <v>9.8-5</v>
      </c>
      <c r="L76" s="198">
        <f t="shared" si="91"/>
        <v>0.2</v>
      </c>
      <c r="M76" s="49">
        <v>30</v>
      </c>
      <c r="N76" s="198">
        <f t="shared" si="98"/>
        <v>150</v>
      </c>
      <c r="O76" s="198">
        <f t="shared" si="98"/>
        <v>160</v>
      </c>
      <c r="P76" s="198">
        <f t="shared" si="98"/>
        <v>390</v>
      </c>
      <c r="Q76" s="196" t="s">
        <v>76</v>
      </c>
    </row>
    <row r="77" spans="1:17" x14ac:dyDescent="0.25">
      <c r="A77" s="229">
        <f t="shared" ref="A77:B77" si="119">A76+1</f>
        <v>1987</v>
      </c>
      <c r="B77" s="230">
        <f t="shared" si="119"/>
        <v>67</v>
      </c>
      <c r="C77" s="229" t="str">
        <f t="shared" si="117"/>
        <v>22bX10+000_060_05</v>
      </c>
      <c r="D77" s="197">
        <f t="shared" si="84"/>
        <v>9.8000000000000007</v>
      </c>
      <c r="E77" s="204">
        <f t="shared" si="103"/>
        <v>1.8130000000000002</v>
      </c>
      <c r="F77" s="198">
        <f t="shared" si="86"/>
        <v>18.5</v>
      </c>
      <c r="G77" s="198">
        <f t="shared" si="104"/>
        <v>14.8</v>
      </c>
      <c r="H77" s="198">
        <f t="shared" si="105"/>
        <v>9.25</v>
      </c>
      <c r="I77" s="198">
        <f t="shared" si="100"/>
        <v>8</v>
      </c>
      <c r="J77" s="199">
        <f t="shared" si="100"/>
        <v>0</v>
      </c>
      <c r="K77" s="194" t="str">
        <f t="shared" si="118"/>
        <v>9.8-5</v>
      </c>
      <c r="L77" s="198">
        <f t="shared" si="91"/>
        <v>0.2</v>
      </c>
      <c r="M77" s="49">
        <v>60</v>
      </c>
      <c r="N77" s="198">
        <f t="shared" si="98"/>
        <v>150</v>
      </c>
      <c r="O77" s="198">
        <f t="shared" si="98"/>
        <v>160</v>
      </c>
      <c r="P77" s="198">
        <f t="shared" si="98"/>
        <v>390</v>
      </c>
      <c r="Q77" s="196" t="s">
        <v>76</v>
      </c>
    </row>
    <row r="78" spans="1:17" x14ac:dyDescent="0.25">
      <c r="A78" s="229">
        <f t="shared" ref="A78:B78" si="120">A77+1</f>
        <v>1988</v>
      </c>
      <c r="B78" s="230">
        <f t="shared" si="120"/>
        <v>68</v>
      </c>
      <c r="C78" s="229" t="str">
        <f t="shared" si="117"/>
        <v>22bX10+000_090_05</v>
      </c>
      <c r="D78" s="197">
        <f t="shared" si="84"/>
        <v>9.8000000000000007</v>
      </c>
      <c r="E78" s="204">
        <f t="shared" si="103"/>
        <v>1.8130000000000002</v>
      </c>
      <c r="F78" s="198">
        <f t="shared" si="86"/>
        <v>18.5</v>
      </c>
      <c r="G78" s="198">
        <f t="shared" si="104"/>
        <v>14.8</v>
      </c>
      <c r="H78" s="198">
        <f t="shared" si="105"/>
        <v>9.25</v>
      </c>
      <c r="I78" s="198">
        <f t="shared" si="100"/>
        <v>8</v>
      </c>
      <c r="J78" s="199">
        <f t="shared" si="100"/>
        <v>0</v>
      </c>
      <c r="K78" s="194" t="str">
        <f t="shared" si="118"/>
        <v>9.8-5</v>
      </c>
      <c r="L78" s="198">
        <f t="shared" si="91"/>
        <v>0.2</v>
      </c>
      <c r="M78" s="49">
        <v>90</v>
      </c>
      <c r="N78" s="198">
        <f t="shared" si="98"/>
        <v>150</v>
      </c>
      <c r="O78" s="198">
        <f t="shared" si="98"/>
        <v>160</v>
      </c>
      <c r="P78" s="198">
        <f t="shared" si="98"/>
        <v>390</v>
      </c>
      <c r="Q78" s="196" t="s">
        <v>76</v>
      </c>
    </row>
    <row r="79" spans="1:17" x14ac:dyDescent="0.25">
      <c r="A79" s="229">
        <f t="shared" ref="A79:B79" si="121">A78+1</f>
        <v>1989</v>
      </c>
      <c r="B79" s="230">
        <f t="shared" si="121"/>
        <v>69</v>
      </c>
      <c r="C79" s="229" t="str">
        <f t="shared" si="117"/>
        <v>22bX10+000_000_06</v>
      </c>
      <c r="D79" s="197">
        <f t="shared" si="84"/>
        <v>9.8000000000000007</v>
      </c>
      <c r="E79" s="204">
        <f t="shared" si="103"/>
        <v>1.8130000000000002</v>
      </c>
      <c r="F79" s="198">
        <f t="shared" si="86"/>
        <v>18.5</v>
      </c>
      <c r="G79" s="198">
        <f t="shared" si="104"/>
        <v>14.8</v>
      </c>
      <c r="H79" s="198">
        <f t="shared" si="105"/>
        <v>9.25</v>
      </c>
      <c r="I79" s="198">
        <f t="shared" si="100"/>
        <v>8</v>
      </c>
      <c r="J79" s="199">
        <f t="shared" si="100"/>
        <v>0</v>
      </c>
      <c r="K79" s="194" t="str">
        <f>D79&amp;-6</f>
        <v>9.8-6</v>
      </c>
      <c r="L79" s="198">
        <f t="shared" si="91"/>
        <v>0.2</v>
      </c>
      <c r="M79" s="49">
        <v>0</v>
      </c>
      <c r="N79" s="198">
        <f t="shared" si="98"/>
        <v>150</v>
      </c>
      <c r="O79" s="198">
        <f t="shared" si="98"/>
        <v>160</v>
      </c>
      <c r="P79" s="198">
        <f t="shared" si="98"/>
        <v>390</v>
      </c>
      <c r="Q79" s="196" t="s">
        <v>76</v>
      </c>
    </row>
    <row r="80" spans="1:17" x14ac:dyDescent="0.25">
      <c r="A80" s="229">
        <f t="shared" ref="A80:B80" si="122">A79+1</f>
        <v>1990</v>
      </c>
      <c r="B80" s="230">
        <f t="shared" si="122"/>
        <v>70</v>
      </c>
      <c r="C80" s="229" t="str">
        <f t="shared" si="117"/>
        <v>22bX10+000_030_06</v>
      </c>
      <c r="D80" s="197">
        <f t="shared" si="84"/>
        <v>9.8000000000000007</v>
      </c>
      <c r="E80" s="204">
        <f t="shared" si="103"/>
        <v>1.8130000000000002</v>
      </c>
      <c r="F80" s="198">
        <f t="shared" si="86"/>
        <v>18.5</v>
      </c>
      <c r="G80" s="198">
        <f t="shared" si="104"/>
        <v>14.8</v>
      </c>
      <c r="H80" s="198">
        <f t="shared" si="105"/>
        <v>9.25</v>
      </c>
      <c r="I80" s="198">
        <f t="shared" si="100"/>
        <v>8</v>
      </c>
      <c r="J80" s="199">
        <f t="shared" si="100"/>
        <v>0</v>
      </c>
      <c r="K80" s="194" t="str">
        <f t="shared" ref="K80:K82" si="123">D80&amp;-6</f>
        <v>9.8-6</v>
      </c>
      <c r="L80" s="198">
        <f t="shared" si="91"/>
        <v>0.2</v>
      </c>
      <c r="M80" s="49">
        <v>30</v>
      </c>
      <c r="N80" s="198">
        <f t="shared" ref="N80:P95" si="124">N79</f>
        <v>150</v>
      </c>
      <c r="O80" s="198">
        <f t="shared" si="124"/>
        <v>160</v>
      </c>
      <c r="P80" s="198">
        <f t="shared" si="124"/>
        <v>390</v>
      </c>
      <c r="Q80" s="196" t="s">
        <v>76</v>
      </c>
    </row>
    <row r="81" spans="1:17" x14ac:dyDescent="0.25">
      <c r="A81" s="229">
        <f t="shared" ref="A81:B81" si="125">A80+1</f>
        <v>1991</v>
      </c>
      <c r="B81" s="230">
        <f t="shared" si="125"/>
        <v>71</v>
      </c>
      <c r="C81" s="229" t="str">
        <f t="shared" si="117"/>
        <v>22bX10+000_060_06</v>
      </c>
      <c r="D81" s="197">
        <f t="shared" si="84"/>
        <v>9.8000000000000007</v>
      </c>
      <c r="E81" s="204">
        <f t="shared" si="103"/>
        <v>1.8130000000000002</v>
      </c>
      <c r="F81" s="198">
        <f t="shared" si="86"/>
        <v>18.5</v>
      </c>
      <c r="G81" s="198">
        <f t="shared" si="104"/>
        <v>14.8</v>
      </c>
      <c r="H81" s="198">
        <f t="shared" si="105"/>
        <v>9.25</v>
      </c>
      <c r="I81" s="198">
        <f t="shared" ref="I81:J96" si="126">I80</f>
        <v>8</v>
      </c>
      <c r="J81" s="199">
        <f t="shared" si="126"/>
        <v>0</v>
      </c>
      <c r="K81" s="194" t="str">
        <f t="shared" si="123"/>
        <v>9.8-6</v>
      </c>
      <c r="L81" s="198">
        <f t="shared" si="91"/>
        <v>0.2</v>
      </c>
      <c r="M81" s="49">
        <v>60</v>
      </c>
      <c r="N81" s="198">
        <f t="shared" si="124"/>
        <v>150</v>
      </c>
      <c r="O81" s="198">
        <f t="shared" si="124"/>
        <v>160</v>
      </c>
      <c r="P81" s="198">
        <f t="shared" si="124"/>
        <v>390</v>
      </c>
      <c r="Q81" s="196" t="s">
        <v>76</v>
      </c>
    </row>
    <row r="82" spans="1:17" x14ac:dyDescent="0.25">
      <c r="A82" s="229">
        <f t="shared" ref="A82:B82" si="127">A81+1</f>
        <v>1992</v>
      </c>
      <c r="B82" s="230">
        <f t="shared" si="127"/>
        <v>72</v>
      </c>
      <c r="C82" s="229" t="str">
        <f t="shared" si="117"/>
        <v>22bX10+000_090_06</v>
      </c>
      <c r="D82" s="197">
        <f t="shared" si="84"/>
        <v>9.8000000000000007</v>
      </c>
      <c r="E82" s="204">
        <f t="shared" si="103"/>
        <v>1.8130000000000002</v>
      </c>
      <c r="F82" s="198">
        <f t="shared" si="86"/>
        <v>18.5</v>
      </c>
      <c r="G82" s="198">
        <f t="shared" si="104"/>
        <v>14.8</v>
      </c>
      <c r="H82" s="198">
        <f t="shared" si="105"/>
        <v>9.25</v>
      </c>
      <c r="I82" s="198">
        <f t="shared" si="126"/>
        <v>8</v>
      </c>
      <c r="J82" s="199">
        <f t="shared" si="126"/>
        <v>0</v>
      </c>
      <c r="K82" s="194" t="str">
        <f t="shared" si="123"/>
        <v>9.8-6</v>
      </c>
      <c r="L82" s="198">
        <f t="shared" si="91"/>
        <v>0.2</v>
      </c>
      <c r="M82" s="49">
        <v>90</v>
      </c>
      <c r="N82" s="198">
        <f t="shared" si="124"/>
        <v>150</v>
      </c>
      <c r="O82" s="198">
        <f t="shared" si="124"/>
        <v>160</v>
      </c>
      <c r="P82" s="198">
        <f t="shared" si="124"/>
        <v>390</v>
      </c>
      <c r="Q82" s="196" t="s">
        <v>76</v>
      </c>
    </row>
    <row r="83" spans="1:17" x14ac:dyDescent="0.25">
      <c r="A83" s="229">
        <f t="shared" ref="A83:B83" si="128">A82+1</f>
        <v>1993</v>
      </c>
      <c r="B83" s="230">
        <f t="shared" si="128"/>
        <v>73</v>
      </c>
      <c r="C83" s="229" t="str">
        <f t="shared" si="117"/>
        <v>22bX10+000_000_07</v>
      </c>
      <c r="D83" s="197">
        <f t="shared" si="84"/>
        <v>9.8000000000000007</v>
      </c>
      <c r="E83" s="204">
        <f t="shared" si="103"/>
        <v>1.8130000000000002</v>
      </c>
      <c r="F83" s="198">
        <f t="shared" si="86"/>
        <v>18.5</v>
      </c>
      <c r="G83" s="198">
        <f t="shared" si="104"/>
        <v>14.8</v>
      </c>
      <c r="H83" s="198">
        <f t="shared" si="105"/>
        <v>9.25</v>
      </c>
      <c r="I83" s="198">
        <f t="shared" si="126"/>
        <v>8</v>
      </c>
      <c r="J83" s="199">
        <f t="shared" si="126"/>
        <v>0</v>
      </c>
      <c r="K83" s="194" t="str">
        <f>D83&amp;-7</f>
        <v>9.8-7</v>
      </c>
      <c r="L83" s="198">
        <f t="shared" si="91"/>
        <v>0.2</v>
      </c>
      <c r="M83" s="49">
        <v>0</v>
      </c>
      <c r="N83" s="198">
        <f t="shared" si="124"/>
        <v>150</v>
      </c>
      <c r="O83" s="198">
        <f t="shared" si="124"/>
        <v>160</v>
      </c>
      <c r="P83" s="198">
        <f t="shared" si="124"/>
        <v>390</v>
      </c>
      <c r="Q83" s="196" t="s">
        <v>76</v>
      </c>
    </row>
    <row r="84" spans="1:17" x14ac:dyDescent="0.25">
      <c r="A84" s="229">
        <f t="shared" ref="A84:B84" si="129">A83+1</f>
        <v>1994</v>
      </c>
      <c r="B84" s="230">
        <f t="shared" si="129"/>
        <v>74</v>
      </c>
      <c r="C84" s="229" t="str">
        <f t="shared" si="117"/>
        <v>22bX10+000_030_07</v>
      </c>
      <c r="D84" s="197">
        <f t="shared" si="84"/>
        <v>9.8000000000000007</v>
      </c>
      <c r="E84" s="204">
        <f t="shared" si="103"/>
        <v>1.8130000000000002</v>
      </c>
      <c r="F84" s="198">
        <f t="shared" si="86"/>
        <v>18.5</v>
      </c>
      <c r="G84" s="198">
        <f t="shared" si="104"/>
        <v>14.8</v>
      </c>
      <c r="H84" s="198">
        <f t="shared" si="105"/>
        <v>9.25</v>
      </c>
      <c r="I84" s="198">
        <f t="shared" si="126"/>
        <v>8</v>
      </c>
      <c r="J84" s="199">
        <f t="shared" si="126"/>
        <v>0</v>
      </c>
      <c r="K84" s="194" t="str">
        <f t="shared" ref="K84:K86" si="130">D84&amp;-7</f>
        <v>9.8-7</v>
      </c>
      <c r="L84" s="198">
        <f t="shared" si="91"/>
        <v>0.2</v>
      </c>
      <c r="M84" s="49">
        <v>30</v>
      </c>
      <c r="N84" s="198">
        <f t="shared" si="124"/>
        <v>150</v>
      </c>
      <c r="O84" s="198">
        <f t="shared" si="124"/>
        <v>160</v>
      </c>
      <c r="P84" s="198">
        <f t="shared" si="124"/>
        <v>390</v>
      </c>
      <c r="Q84" s="196" t="s">
        <v>76</v>
      </c>
    </row>
    <row r="85" spans="1:17" x14ac:dyDescent="0.25">
      <c r="A85" s="229">
        <f t="shared" ref="A85:B85" si="131">A84+1</f>
        <v>1995</v>
      </c>
      <c r="B85" s="230">
        <f t="shared" si="131"/>
        <v>75</v>
      </c>
      <c r="C85" s="229" t="str">
        <f t="shared" si="117"/>
        <v>22bX10+000_060_07</v>
      </c>
      <c r="D85" s="197">
        <f t="shared" si="84"/>
        <v>9.8000000000000007</v>
      </c>
      <c r="E85" s="204">
        <f t="shared" si="103"/>
        <v>1.8130000000000002</v>
      </c>
      <c r="F85" s="198">
        <f t="shared" si="86"/>
        <v>18.5</v>
      </c>
      <c r="G85" s="198">
        <f t="shared" si="104"/>
        <v>14.8</v>
      </c>
      <c r="H85" s="198">
        <f t="shared" si="105"/>
        <v>9.25</v>
      </c>
      <c r="I85" s="198">
        <f t="shared" si="126"/>
        <v>8</v>
      </c>
      <c r="J85" s="199">
        <f t="shared" si="126"/>
        <v>0</v>
      </c>
      <c r="K85" s="194" t="str">
        <f t="shared" si="130"/>
        <v>9.8-7</v>
      </c>
      <c r="L85" s="198">
        <f t="shared" si="91"/>
        <v>0.2</v>
      </c>
      <c r="M85" s="49">
        <v>60</v>
      </c>
      <c r="N85" s="198">
        <f t="shared" si="124"/>
        <v>150</v>
      </c>
      <c r="O85" s="198">
        <f t="shared" si="124"/>
        <v>160</v>
      </c>
      <c r="P85" s="198">
        <f t="shared" si="124"/>
        <v>390</v>
      </c>
      <c r="Q85" s="196" t="s">
        <v>76</v>
      </c>
    </row>
    <row r="86" spans="1:17" x14ac:dyDescent="0.25">
      <c r="A86" s="229">
        <f t="shared" ref="A86:B86" si="132">A85+1</f>
        <v>1996</v>
      </c>
      <c r="B86" s="230">
        <f t="shared" si="132"/>
        <v>76</v>
      </c>
      <c r="C86" s="229" t="str">
        <f t="shared" si="117"/>
        <v>22bX10+000_090_07</v>
      </c>
      <c r="D86" s="197">
        <f t="shared" si="84"/>
        <v>9.8000000000000007</v>
      </c>
      <c r="E86" s="204">
        <f t="shared" si="103"/>
        <v>1.8130000000000002</v>
      </c>
      <c r="F86" s="198">
        <f t="shared" si="86"/>
        <v>18.5</v>
      </c>
      <c r="G86" s="198">
        <f t="shared" si="104"/>
        <v>14.8</v>
      </c>
      <c r="H86" s="198">
        <f t="shared" si="105"/>
        <v>9.25</v>
      </c>
      <c r="I86" s="198">
        <f t="shared" si="126"/>
        <v>8</v>
      </c>
      <c r="J86" s="199">
        <f t="shared" si="126"/>
        <v>0</v>
      </c>
      <c r="K86" s="194" t="str">
        <f t="shared" si="130"/>
        <v>9.8-7</v>
      </c>
      <c r="L86" s="198">
        <f t="shared" si="91"/>
        <v>0.2</v>
      </c>
      <c r="M86" s="49">
        <v>90</v>
      </c>
      <c r="N86" s="198">
        <f t="shared" si="124"/>
        <v>150</v>
      </c>
      <c r="O86" s="198">
        <f t="shared" si="124"/>
        <v>160</v>
      </c>
      <c r="P86" s="198">
        <f t="shared" si="124"/>
        <v>390</v>
      </c>
      <c r="Q86" s="196" t="s">
        <v>76</v>
      </c>
    </row>
    <row r="87" spans="1:17" x14ac:dyDescent="0.25">
      <c r="A87" s="229">
        <f t="shared" ref="A87:B87" si="133">A86+1</f>
        <v>1997</v>
      </c>
      <c r="B87" s="230">
        <f t="shared" si="133"/>
        <v>77</v>
      </c>
      <c r="C87" s="229" t="str">
        <f t="shared" si="117"/>
        <v>22bX10+000_000_08</v>
      </c>
      <c r="D87" s="197">
        <f t="shared" si="84"/>
        <v>9.8000000000000007</v>
      </c>
      <c r="E87" s="204">
        <f t="shared" si="103"/>
        <v>1.8130000000000002</v>
      </c>
      <c r="F87" s="198">
        <f t="shared" si="86"/>
        <v>18.5</v>
      </c>
      <c r="G87" s="198">
        <f t="shared" si="104"/>
        <v>14.8</v>
      </c>
      <c r="H87" s="198">
        <f t="shared" si="105"/>
        <v>9.25</v>
      </c>
      <c r="I87" s="198">
        <f t="shared" si="126"/>
        <v>8</v>
      </c>
      <c r="J87" s="199">
        <f t="shared" si="126"/>
        <v>0</v>
      </c>
      <c r="K87" s="194" t="str">
        <f>D87&amp;-8</f>
        <v>9.8-8</v>
      </c>
      <c r="L87" s="198">
        <f t="shared" si="91"/>
        <v>0.2</v>
      </c>
      <c r="M87" s="49">
        <v>0</v>
      </c>
      <c r="N87" s="198">
        <f t="shared" si="124"/>
        <v>150</v>
      </c>
      <c r="O87" s="198">
        <f t="shared" si="124"/>
        <v>160</v>
      </c>
      <c r="P87" s="198">
        <f t="shared" si="124"/>
        <v>390</v>
      </c>
      <c r="Q87" s="196" t="s">
        <v>76</v>
      </c>
    </row>
    <row r="88" spans="1:17" x14ac:dyDescent="0.25">
      <c r="A88" s="229">
        <f t="shared" ref="A88:B88" si="134">A87+1</f>
        <v>1998</v>
      </c>
      <c r="B88" s="230">
        <f t="shared" si="134"/>
        <v>78</v>
      </c>
      <c r="C88" s="229" t="str">
        <f t="shared" si="117"/>
        <v>22bX10+000_030_08</v>
      </c>
      <c r="D88" s="197">
        <f t="shared" si="84"/>
        <v>9.8000000000000007</v>
      </c>
      <c r="E88" s="204">
        <f t="shared" si="103"/>
        <v>1.8130000000000002</v>
      </c>
      <c r="F88" s="198">
        <f t="shared" si="86"/>
        <v>18.5</v>
      </c>
      <c r="G88" s="198">
        <f t="shared" si="104"/>
        <v>14.8</v>
      </c>
      <c r="H88" s="198">
        <f t="shared" si="105"/>
        <v>9.25</v>
      </c>
      <c r="I88" s="198">
        <f t="shared" si="126"/>
        <v>8</v>
      </c>
      <c r="J88" s="199">
        <f t="shared" si="126"/>
        <v>0</v>
      </c>
      <c r="K88" s="194" t="str">
        <f t="shared" ref="K88:K90" si="135">D88&amp;-8</f>
        <v>9.8-8</v>
      </c>
      <c r="L88" s="198">
        <f t="shared" si="91"/>
        <v>0.2</v>
      </c>
      <c r="M88" s="49">
        <v>30</v>
      </c>
      <c r="N88" s="198">
        <f t="shared" si="124"/>
        <v>150</v>
      </c>
      <c r="O88" s="198">
        <f t="shared" si="124"/>
        <v>160</v>
      </c>
      <c r="P88" s="198">
        <f t="shared" si="124"/>
        <v>390</v>
      </c>
      <c r="Q88" s="196" t="s">
        <v>76</v>
      </c>
    </row>
    <row r="89" spans="1:17" x14ac:dyDescent="0.25">
      <c r="A89" s="229">
        <f t="shared" ref="A89:B89" si="136">A88+1</f>
        <v>1999</v>
      </c>
      <c r="B89" s="230">
        <f t="shared" si="136"/>
        <v>79</v>
      </c>
      <c r="C89" s="229" t="str">
        <f t="shared" si="117"/>
        <v>22bX10+000_060_08</v>
      </c>
      <c r="D89" s="197">
        <f t="shared" si="84"/>
        <v>9.8000000000000007</v>
      </c>
      <c r="E89" s="204">
        <f t="shared" si="103"/>
        <v>1.8130000000000002</v>
      </c>
      <c r="F89" s="198">
        <f t="shared" si="86"/>
        <v>18.5</v>
      </c>
      <c r="G89" s="198">
        <f t="shared" si="104"/>
        <v>14.8</v>
      </c>
      <c r="H89" s="198">
        <f t="shared" si="105"/>
        <v>9.25</v>
      </c>
      <c r="I89" s="198">
        <f t="shared" si="126"/>
        <v>8</v>
      </c>
      <c r="J89" s="199">
        <f t="shared" si="126"/>
        <v>0</v>
      </c>
      <c r="K89" s="194" t="str">
        <f t="shared" si="135"/>
        <v>9.8-8</v>
      </c>
      <c r="L89" s="198">
        <f t="shared" si="91"/>
        <v>0.2</v>
      </c>
      <c r="M89" s="49">
        <v>60</v>
      </c>
      <c r="N89" s="198">
        <f t="shared" si="124"/>
        <v>150</v>
      </c>
      <c r="O89" s="198">
        <f t="shared" si="124"/>
        <v>160</v>
      </c>
      <c r="P89" s="198">
        <f t="shared" si="124"/>
        <v>390</v>
      </c>
      <c r="Q89" s="196" t="s">
        <v>76</v>
      </c>
    </row>
    <row r="90" spans="1:17" x14ac:dyDescent="0.25">
      <c r="A90" s="229">
        <f t="shared" ref="A90:B90" si="137">A89+1</f>
        <v>2000</v>
      </c>
      <c r="B90" s="230">
        <f t="shared" si="137"/>
        <v>80</v>
      </c>
      <c r="C90" s="229" t="str">
        <f t="shared" si="117"/>
        <v>22bX10+000_090_08</v>
      </c>
      <c r="D90" s="197">
        <f t="shared" si="84"/>
        <v>9.8000000000000007</v>
      </c>
      <c r="E90" s="204">
        <f t="shared" si="103"/>
        <v>1.8130000000000002</v>
      </c>
      <c r="F90" s="198">
        <f t="shared" si="86"/>
        <v>18.5</v>
      </c>
      <c r="G90" s="198">
        <f t="shared" si="104"/>
        <v>14.8</v>
      </c>
      <c r="H90" s="198">
        <f t="shared" si="105"/>
        <v>9.25</v>
      </c>
      <c r="I90" s="198">
        <f t="shared" si="126"/>
        <v>8</v>
      </c>
      <c r="J90" s="199">
        <f t="shared" si="126"/>
        <v>0</v>
      </c>
      <c r="K90" s="194" t="str">
        <f t="shared" si="135"/>
        <v>9.8-8</v>
      </c>
      <c r="L90" s="198">
        <f t="shared" si="91"/>
        <v>0.2</v>
      </c>
      <c r="M90" s="49">
        <v>90</v>
      </c>
      <c r="N90" s="198">
        <f t="shared" si="124"/>
        <v>150</v>
      </c>
      <c r="O90" s="198">
        <f t="shared" si="124"/>
        <v>160</v>
      </c>
      <c r="P90" s="198">
        <f t="shared" si="124"/>
        <v>390</v>
      </c>
      <c r="Q90" s="196" t="s">
        <v>76</v>
      </c>
    </row>
    <row r="91" spans="1:17" x14ac:dyDescent="0.25">
      <c r="A91" s="229">
        <f t="shared" ref="A91:B91" si="138">A90+1</f>
        <v>2001</v>
      </c>
      <c r="B91" s="230">
        <f t="shared" si="138"/>
        <v>81</v>
      </c>
      <c r="C91" s="229" t="str">
        <f t="shared" si="117"/>
        <v>22bX10+000_000_09</v>
      </c>
      <c r="D91" s="197">
        <f t="shared" si="84"/>
        <v>9.8000000000000007</v>
      </c>
      <c r="E91" s="204">
        <f t="shared" si="103"/>
        <v>1.8130000000000002</v>
      </c>
      <c r="F91" s="198">
        <f t="shared" si="86"/>
        <v>18.5</v>
      </c>
      <c r="G91" s="198">
        <f t="shared" si="104"/>
        <v>14.8</v>
      </c>
      <c r="H91" s="198">
        <f t="shared" si="105"/>
        <v>9.25</v>
      </c>
      <c r="I91" s="198">
        <f t="shared" si="126"/>
        <v>8</v>
      </c>
      <c r="J91" s="199">
        <f t="shared" si="126"/>
        <v>0</v>
      </c>
      <c r="K91" s="194" t="str">
        <f>D91&amp;-9</f>
        <v>9.8-9</v>
      </c>
      <c r="L91" s="198">
        <f t="shared" si="91"/>
        <v>0.2</v>
      </c>
      <c r="M91" s="49">
        <v>0</v>
      </c>
      <c r="N91" s="198">
        <f t="shared" si="124"/>
        <v>150</v>
      </c>
      <c r="O91" s="198">
        <f t="shared" si="124"/>
        <v>160</v>
      </c>
      <c r="P91" s="198">
        <f t="shared" si="124"/>
        <v>390</v>
      </c>
      <c r="Q91" s="196" t="s">
        <v>76</v>
      </c>
    </row>
    <row r="92" spans="1:17" x14ac:dyDescent="0.25">
      <c r="A92" s="229">
        <f t="shared" ref="A92:B92" si="139">A91+1</f>
        <v>2002</v>
      </c>
      <c r="B92" s="230">
        <f t="shared" si="139"/>
        <v>82</v>
      </c>
      <c r="C92" s="229" t="str">
        <f t="shared" si="117"/>
        <v>22bX10+000_030_09</v>
      </c>
      <c r="D92" s="197">
        <f t="shared" si="84"/>
        <v>9.8000000000000007</v>
      </c>
      <c r="E92" s="204">
        <f t="shared" si="103"/>
        <v>1.8130000000000002</v>
      </c>
      <c r="F92" s="198">
        <f t="shared" si="86"/>
        <v>18.5</v>
      </c>
      <c r="G92" s="198">
        <f t="shared" si="104"/>
        <v>14.8</v>
      </c>
      <c r="H92" s="198">
        <f t="shared" si="105"/>
        <v>9.25</v>
      </c>
      <c r="I92" s="198">
        <f t="shared" si="126"/>
        <v>8</v>
      </c>
      <c r="J92" s="199">
        <f>J91</f>
        <v>0</v>
      </c>
      <c r="K92" s="194" t="str">
        <f t="shared" ref="K92:K94" si="140">D92&amp;-9</f>
        <v>9.8-9</v>
      </c>
      <c r="L92" s="198">
        <f t="shared" si="91"/>
        <v>0.2</v>
      </c>
      <c r="M92" s="49">
        <v>30</v>
      </c>
      <c r="N92" s="198">
        <f t="shared" si="124"/>
        <v>150</v>
      </c>
      <c r="O92" s="198">
        <f t="shared" si="124"/>
        <v>160</v>
      </c>
      <c r="P92" s="198">
        <f t="shared" si="124"/>
        <v>390</v>
      </c>
      <c r="Q92" s="196" t="s">
        <v>76</v>
      </c>
    </row>
    <row r="93" spans="1:17" x14ac:dyDescent="0.25">
      <c r="A93" s="229">
        <f t="shared" ref="A93:B93" si="141">A92+1</f>
        <v>2003</v>
      </c>
      <c r="B93" s="230">
        <f t="shared" si="141"/>
        <v>83</v>
      </c>
      <c r="C93" s="229" t="str">
        <f t="shared" si="117"/>
        <v>22bX10+000_060_09</v>
      </c>
      <c r="D93" s="197">
        <f t="shared" si="84"/>
        <v>9.8000000000000007</v>
      </c>
      <c r="E93" s="204">
        <f t="shared" si="103"/>
        <v>1.8130000000000002</v>
      </c>
      <c r="F93" s="198">
        <f t="shared" si="86"/>
        <v>18.5</v>
      </c>
      <c r="G93" s="198">
        <f t="shared" si="104"/>
        <v>14.8</v>
      </c>
      <c r="H93" s="198">
        <f t="shared" si="105"/>
        <v>9.25</v>
      </c>
      <c r="I93" s="198">
        <f t="shared" si="126"/>
        <v>8</v>
      </c>
      <c r="J93" s="199">
        <f t="shared" si="126"/>
        <v>0</v>
      </c>
      <c r="K93" s="194" t="str">
        <f t="shared" si="140"/>
        <v>9.8-9</v>
      </c>
      <c r="L93" s="198">
        <f t="shared" si="91"/>
        <v>0.2</v>
      </c>
      <c r="M93" s="49">
        <v>60</v>
      </c>
      <c r="N93" s="198">
        <f t="shared" si="124"/>
        <v>150</v>
      </c>
      <c r="O93" s="198">
        <f t="shared" si="124"/>
        <v>160</v>
      </c>
      <c r="P93" s="198">
        <f t="shared" si="124"/>
        <v>390</v>
      </c>
      <c r="Q93" s="196" t="s">
        <v>76</v>
      </c>
    </row>
    <row r="94" spans="1:17" x14ac:dyDescent="0.25">
      <c r="A94" s="229">
        <f t="shared" ref="A94:B94" si="142">A93+1</f>
        <v>2004</v>
      </c>
      <c r="B94" s="230">
        <f t="shared" si="142"/>
        <v>84</v>
      </c>
      <c r="C94" s="229" t="str">
        <f t="shared" si="117"/>
        <v>22bX10+000_090_09</v>
      </c>
      <c r="D94" s="197">
        <f t="shared" si="84"/>
        <v>9.8000000000000007</v>
      </c>
      <c r="E94" s="204">
        <f t="shared" si="103"/>
        <v>1.8130000000000002</v>
      </c>
      <c r="F94" s="198">
        <f t="shared" si="86"/>
        <v>18.5</v>
      </c>
      <c r="G94" s="198">
        <f t="shared" si="104"/>
        <v>14.8</v>
      </c>
      <c r="H94" s="198">
        <f t="shared" si="105"/>
        <v>9.25</v>
      </c>
      <c r="I94" s="198">
        <f t="shared" si="126"/>
        <v>8</v>
      </c>
      <c r="J94" s="199">
        <f t="shared" si="126"/>
        <v>0</v>
      </c>
      <c r="K94" s="194" t="str">
        <f t="shared" si="140"/>
        <v>9.8-9</v>
      </c>
      <c r="L94" s="198">
        <f t="shared" si="91"/>
        <v>0.2</v>
      </c>
      <c r="M94" s="49">
        <v>90</v>
      </c>
      <c r="N94" s="198">
        <f t="shared" si="124"/>
        <v>150</v>
      </c>
      <c r="O94" s="198">
        <f t="shared" si="124"/>
        <v>160</v>
      </c>
      <c r="P94" s="198">
        <f t="shared" si="124"/>
        <v>390</v>
      </c>
      <c r="Q94" s="196" t="s">
        <v>76</v>
      </c>
    </row>
    <row r="95" spans="1:17" x14ac:dyDescent="0.25">
      <c r="A95" s="229">
        <f t="shared" ref="A95:B95" si="143">A94+1</f>
        <v>2005</v>
      </c>
      <c r="B95" s="230">
        <f t="shared" si="143"/>
        <v>85</v>
      </c>
      <c r="C95" s="229" t="str">
        <f t="shared" si="117"/>
        <v>22bX10+000_000_10</v>
      </c>
      <c r="D95" s="197">
        <f t="shared" si="84"/>
        <v>9.8000000000000007</v>
      </c>
      <c r="E95" s="204">
        <f t="shared" si="103"/>
        <v>1.8130000000000002</v>
      </c>
      <c r="F95" s="198">
        <f t="shared" si="86"/>
        <v>18.5</v>
      </c>
      <c r="G95" s="198">
        <f t="shared" si="104"/>
        <v>14.8</v>
      </c>
      <c r="H95" s="198">
        <f t="shared" si="105"/>
        <v>9.25</v>
      </c>
      <c r="I95" s="198">
        <f t="shared" si="126"/>
        <v>8</v>
      </c>
      <c r="J95" s="199">
        <f t="shared" si="126"/>
        <v>0</v>
      </c>
      <c r="K95" s="194" t="str">
        <f>D95&amp;-10</f>
        <v>9.8-10</v>
      </c>
      <c r="L95" s="198">
        <f t="shared" si="91"/>
        <v>0.2</v>
      </c>
      <c r="M95" s="49">
        <v>0</v>
      </c>
      <c r="N95" s="198">
        <f t="shared" si="124"/>
        <v>150</v>
      </c>
      <c r="O95" s="198">
        <f t="shared" si="124"/>
        <v>160</v>
      </c>
      <c r="P95" s="198">
        <f t="shared" si="124"/>
        <v>390</v>
      </c>
      <c r="Q95" s="196" t="s">
        <v>76</v>
      </c>
    </row>
    <row r="96" spans="1:17" x14ac:dyDescent="0.25">
      <c r="A96" s="229">
        <f t="shared" ref="A96:B96" si="144">A95+1</f>
        <v>2006</v>
      </c>
      <c r="B96" s="230">
        <f t="shared" si="144"/>
        <v>86</v>
      </c>
      <c r="C96" s="229" t="str">
        <f t="shared" si="117"/>
        <v>22bX10+000_030_10</v>
      </c>
      <c r="D96" s="197">
        <f t="shared" si="84"/>
        <v>9.8000000000000007</v>
      </c>
      <c r="E96" s="204">
        <f t="shared" si="103"/>
        <v>1.8130000000000002</v>
      </c>
      <c r="F96" s="198">
        <f t="shared" si="86"/>
        <v>18.5</v>
      </c>
      <c r="G96" s="198">
        <f t="shared" si="104"/>
        <v>14.8</v>
      </c>
      <c r="H96" s="198">
        <f t="shared" si="105"/>
        <v>9.25</v>
      </c>
      <c r="I96" s="198">
        <f t="shared" si="126"/>
        <v>8</v>
      </c>
      <c r="J96" s="199">
        <f t="shared" si="126"/>
        <v>0</v>
      </c>
      <c r="K96" s="194" t="str">
        <f t="shared" ref="K96:K98" si="145">D96&amp;-10</f>
        <v>9.8-10</v>
      </c>
      <c r="L96" s="198">
        <f t="shared" si="91"/>
        <v>0.2</v>
      </c>
      <c r="M96" s="49">
        <v>30</v>
      </c>
      <c r="N96" s="198">
        <f t="shared" ref="N96:P106" si="146">N95</f>
        <v>150</v>
      </c>
      <c r="O96" s="198">
        <f t="shared" si="146"/>
        <v>160</v>
      </c>
      <c r="P96" s="198">
        <f t="shared" si="146"/>
        <v>390</v>
      </c>
      <c r="Q96" s="196" t="s">
        <v>76</v>
      </c>
    </row>
    <row r="97" spans="1:17" x14ac:dyDescent="0.25">
      <c r="A97" s="229">
        <f t="shared" ref="A97:B97" si="147">A96+1</f>
        <v>2007</v>
      </c>
      <c r="B97" s="230">
        <f t="shared" si="147"/>
        <v>87</v>
      </c>
      <c r="C97" s="229" t="str">
        <f t="shared" si="117"/>
        <v>22bX10+000_060_10</v>
      </c>
      <c r="D97" s="197">
        <f t="shared" si="84"/>
        <v>9.8000000000000007</v>
      </c>
      <c r="E97" s="204">
        <f t="shared" si="103"/>
        <v>1.8130000000000002</v>
      </c>
      <c r="F97" s="198">
        <f t="shared" si="86"/>
        <v>18.5</v>
      </c>
      <c r="G97" s="198">
        <f t="shared" si="104"/>
        <v>14.8</v>
      </c>
      <c r="H97" s="198">
        <f t="shared" si="105"/>
        <v>9.25</v>
      </c>
      <c r="I97" s="198">
        <f t="shared" ref="I97:J106" si="148">I96</f>
        <v>8</v>
      </c>
      <c r="J97" s="199">
        <f t="shared" si="148"/>
        <v>0</v>
      </c>
      <c r="K97" s="194" t="str">
        <f t="shared" si="145"/>
        <v>9.8-10</v>
      </c>
      <c r="L97" s="198">
        <f t="shared" si="91"/>
        <v>0.2</v>
      </c>
      <c r="M97" s="49">
        <v>60</v>
      </c>
      <c r="N97" s="198">
        <f t="shared" si="146"/>
        <v>150</v>
      </c>
      <c r="O97" s="198">
        <f t="shared" si="146"/>
        <v>160</v>
      </c>
      <c r="P97" s="198">
        <f t="shared" si="146"/>
        <v>390</v>
      </c>
      <c r="Q97" s="196" t="s">
        <v>76</v>
      </c>
    </row>
    <row r="98" spans="1:17" x14ac:dyDescent="0.25">
      <c r="A98" s="229">
        <f t="shared" ref="A98:B98" si="149">A97+1</f>
        <v>2008</v>
      </c>
      <c r="B98" s="230">
        <f t="shared" si="149"/>
        <v>88</v>
      </c>
      <c r="C98" s="229" t="str">
        <f t="shared" si="117"/>
        <v>22bX10+000_090_10</v>
      </c>
      <c r="D98" s="197">
        <f t="shared" si="84"/>
        <v>9.8000000000000007</v>
      </c>
      <c r="E98" s="204">
        <f t="shared" si="103"/>
        <v>1.8130000000000002</v>
      </c>
      <c r="F98" s="198">
        <f t="shared" si="86"/>
        <v>18.5</v>
      </c>
      <c r="G98" s="198">
        <f t="shared" si="104"/>
        <v>14.8</v>
      </c>
      <c r="H98" s="198">
        <f t="shared" si="105"/>
        <v>9.25</v>
      </c>
      <c r="I98" s="198">
        <f t="shared" si="148"/>
        <v>8</v>
      </c>
      <c r="J98" s="199">
        <f t="shared" si="148"/>
        <v>0</v>
      </c>
      <c r="K98" s="194" t="str">
        <f t="shared" si="145"/>
        <v>9.8-10</v>
      </c>
      <c r="L98" s="198">
        <f t="shared" si="91"/>
        <v>0.2</v>
      </c>
      <c r="M98" s="49">
        <v>90</v>
      </c>
      <c r="N98" s="198">
        <f t="shared" si="146"/>
        <v>150</v>
      </c>
      <c r="O98" s="198">
        <f t="shared" si="146"/>
        <v>160</v>
      </c>
      <c r="P98" s="198">
        <f t="shared" si="146"/>
        <v>390</v>
      </c>
      <c r="Q98" s="196" t="s">
        <v>76</v>
      </c>
    </row>
    <row r="99" spans="1:17" x14ac:dyDescent="0.25">
      <c r="A99" s="229">
        <f t="shared" ref="A99:B99" si="150">A98+1</f>
        <v>2009</v>
      </c>
      <c r="B99" s="230">
        <f t="shared" si="150"/>
        <v>89</v>
      </c>
      <c r="C99" s="229" t="str">
        <f t="shared" si="117"/>
        <v>22bX10+000_000_11</v>
      </c>
      <c r="D99" s="197">
        <f t="shared" si="84"/>
        <v>9.8000000000000007</v>
      </c>
      <c r="E99" s="204">
        <f t="shared" si="103"/>
        <v>1.8130000000000002</v>
      </c>
      <c r="F99" s="198">
        <f t="shared" si="86"/>
        <v>18.5</v>
      </c>
      <c r="G99" s="198">
        <f t="shared" si="104"/>
        <v>14.8</v>
      </c>
      <c r="H99" s="198">
        <f t="shared" si="105"/>
        <v>9.25</v>
      </c>
      <c r="I99" s="198">
        <f t="shared" si="148"/>
        <v>8</v>
      </c>
      <c r="J99" s="199">
        <f t="shared" si="148"/>
        <v>0</v>
      </c>
      <c r="K99" s="194" t="str">
        <f>D99&amp;-11</f>
        <v>9.8-11</v>
      </c>
      <c r="L99" s="198">
        <f t="shared" si="91"/>
        <v>0.2</v>
      </c>
      <c r="M99" s="49">
        <v>0</v>
      </c>
      <c r="N99" s="198">
        <f t="shared" si="146"/>
        <v>150</v>
      </c>
      <c r="O99" s="198">
        <f t="shared" si="146"/>
        <v>160</v>
      </c>
      <c r="P99" s="198">
        <f t="shared" si="146"/>
        <v>390</v>
      </c>
      <c r="Q99" s="196" t="s">
        <v>76</v>
      </c>
    </row>
    <row r="100" spans="1:17" x14ac:dyDescent="0.25">
      <c r="A100" s="229">
        <f t="shared" ref="A100:B100" si="151">A99+1</f>
        <v>2010</v>
      </c>
      <c r="B100" s="230">
        <f t="shared" si="151"/>
        <v>90</v>
      </c>
      <c r="C100" s="229" t="str">
        <f t="shared" si="117"/>
        <v>22bX10+000_030_11</v>
      </c>
      <c r="D100" s="197">
        <f t="shared" si="84"/>
        <v>9.8000000000000007</v>
      </c>
      <c r="E100" s="204">
        <f t="shared" si="103"/>
        <v>1.8130000000000002</v>
      </c>
      <c r="F100" s="198">
        <f t="shared" si="86"/>
        <v>18.5</v>
      </c>
      <c r="G100" s="198">
        <f t="shared" si="104"/>
        <v>14.8</v>
      </c>
      <c r="H100" s="198">
        <f t="shared" si="105"/>
        <v>9.25</v>
      </c>
      <c r="I100" s="198">
        <f t="shared" si="148"/>
        <v>8</v>
      </c>
      <c r="J100" s="199">
        <f t="shared" si="148"/>
        <v>0</v>
      </c>
      <c r="K100" s="194" t="str">
        <f t="shared" ref="K100:K102" si="152">D100&amp;-11</f>
        <v>9.8-11</v>
      </c>
      <c r="L100" s="198">
        <f t="shared" si="91"/>
        <v>0.2</v>
      </c>
      <c r="M100" s="49">
        <v>30</v>
      </c>
      <c r="N100" s="198">
        <f t="shared" si="146"/>
        <v>150</v>
      </c>
      <c r="O100" s="198">
        <f t="shared" si="146"/>
        <v>160</v>
      </c>
      <c r="P100" s="198">
        <f t="shared" si="146"/>
        <v>390</v>
      </c>
      <c r="Q100" s="196" t="s">
        <v>76</v>
      </c>
    </row>
    <row r="101" spans="1:17" x14ac:dyDescent="0.25">
      <c r="A101" s="229">
        <f t="shared" ref="A101:B101" si="153">A100+1</f>
        <v>2011</v>
      </c>
      <c r="B101" s="230">
        <f t="shared" si="153"/>
        <v>91</v>
      </c>
      <c r="C101" s="229" t="str">
        <f t="shared" si="117"/>
        <v>22bX10+000_060_11</v>
      </c>
      <c r="D101" s="197">
        <f t="shared" si="84"/>
        <v>9.8000000000000007</v>
      </c>
      <c r="E101" s="204">
        <f t="shared" si="103"/>
        <v>1.8130000000000002</v>
      </c>
      <c r="F101" s="198">
        <f t="shared" si="86"/>
        <v>18.5</v>
      </c>
      <c r="G101" s="198">
        <f t="shared" si="104"/>
        <v>14.8</v>
      </c>
      <c r="H101" s="198">
        <f t="shared" si="105"/>
        <v>9.25</v>
      </c>
      <c r="I101" s="198">
        <f t="shared" si="148"/>
        <v>8</v>
      </c>
      <c r="J101" s="199">
        <f t="shared" si="148"/>
        <v>0</v>
      </c>
      <c r="K101" s="194" t="str">
        <f t="shared" si="152"/>
        <v>9.8-11</v>
      </c>
      <c r="L101" s="198">
        <f t="shared" si="91"/>
        <v>0.2</v>
      </c>
      <c r="M101" s="49">
        <v>60</v>
      </c>
      <c r="N101" s="198">
        <f t="shared" si="146"/>
        <v>150</v>
      </c>
      <c r="O101" s="198">
        <f t="shared" si="146"/>
        <v>160</v>
      </c>
      <c r="P101" s="198">
        <f t="shared" si="146"/>
        <v>390</v>
      </c>
      <c r="Q101" s="196" t="s">
        <v>76</v>
      </c>
    </row>
    <row r="102" spans="1:17" x14ac:dyDescent="0.25">
      <c r="A102" s="229">
        <f t="shared" ref="A102:B102" si="154">A101+1</f>
        <v>2012</v>
      </c>
      <c r="B102" s="230">
        <f t="shared" si="154"/>
        <v>92</v>
      </c>
      <c r="C102" s="229" t="str">
        <f t="shared" si="117"/>
        <v>22bX10+000_090_11</v>
      </c>
      <c r="D102" s="197">
        <f t="shared" si="84"/>
        <v>9.8000000000000007</v>
      </c>
      <c r="E102" s="204">
        <f t="shared" si="103"/>
        <v>1.8130000000000002</v>
      </c>
      <c r="F102" s="198">
        <f t="shared" si="86"/>
        <v>18.5</v>
      </c>
      <c r="G102" s="198">
        <f t="shared" si="104"/>
        <v>14.8</v>
      </c>
      <c r="H102" s="198">
        <f t="shared" si="105"/>
        <v>9.25</v>
      </c>
      <c r="I102" s="198">
        <f t="shared" si="148"/>
        <v>8</v>
      </c>
      <c r="J102" s="199">
        <f t="shared" si="148"/>
        <v>0</v>
      </c>
      <c r="K102" s="194" t="str">
        <f t="shared" si="152"/>
        <v>9.8-11</v>
      </c>
      <c r="L102" s="198">
        <f t="shared" si="91"/>
        <v>0.2</v>
      </c>
      <c r="M102" s="49">
        <v>90</v>
      </c>
      <c r="N102" s="198">
        <f t="shared" si="146"/>
        <v>150</v>
      </c>
      <c r="O102" s="198">
        <f t="shared" si="146"/>
        <v>160</v>
      </c>
      <c r="P102" s="198">
        <f t="shared" si="146"/>
        <v>390</v>
      </c>
      <c r="Q102" s="196" t="s">
        <v>76</v>
      </c>
    </row>
    <row r="103" spans="1:17" x14ac:dyDescent="0.25">
      <c r="A103" s="229">
        <f t="shared" ref="A103:B103" si="155">A102+1</f>
        <v>2013</v>
      </c>
      <c r="B103" s="230">
        <f t="shared" si="155"/>
        <v>93</v>
      </c>
      <c r="C103" s="229" t="str">
        <f t="shared" si="117"/>
        <v>22bX10+000_000_12</v>
      </c>
      <c r="D103" s="197">
        <f t="shared" si="84"/>
        <v>9.8000000000000007</v>
      </c>
      <c r="E103" s="204">
        <f t="shared" si="103"/>
        <v>1.8130000000000002</v>
      </c>
      <c r="F103" s="198">
        <f t="shared" si="86"/>
        <v>18.5</v>
      </c>
      <c r="G103" s="198">
        <f t="shared" si="104"/>
        <v>14.8</v>
      </c>
      <c r="H103" s="198">
        <f t="shared" si="105"/>
        <v>9.25</v>
      </c>
      <c r="I103" s="198">
        <f t="shared" si="148"/>
        <v>8</v>
      </c>
      <c r="J103" s="199">
        <f t="shared" si="148"/>
        <v>0</v>
      </c>
      <c r="K103" s="194" t="str">
        <f>D103&amp;-12</f>
        <v>9.8-12</v>
      </c>
      <c r="L103" s="198">
        <f t="shared" si="91"/>
        <v>0.2</v>
      </c>
      <c r="M103" s="49">
        <v>0</v>
      </c>
      <c r="N103" s="198">
        <f t="shared" si="146"/>
        <v>150</v>
      </c>
      <c r="O103" s="198">
        <f t="shared" si="146"/>
        <v>160</v>
      </c>
      <c r="P103" s="198">
        <f t="shared" si="146"/>
        <v>390</v>
      </c>
      <c r="Q103" s="196" t="s">
        <v>76</v>
      </c>
    </row>
    <row r="104" spans="1:17" x14ac:dyDescent="0.25">
      <c r="A104" s="229">
        <f t="shared" ref="A104:B104" si="156">A103+1</f>
        <v>2014</v>
      </c>
      <c r="B104" s="230">
        <f t="shared" si="156"/>
        <v>94</v>
      </c>
      <c r="C104" s="229" t="str">
        <f t="shared" si="117"/>
        <v>22bX10+000_030_12</v>
      </c>
      <c r="D104" s="197">
        <f t="shared" si="84"/>
        <v>9.8000000000000007</v>
      </c>
      <c r="E104" s="204">
        <f t="shared" si="103"/>
        <v>1.8130000000000002</v>
      </c>
      <c r="F104" s="198">
        <f t="shared" si="86"/>
        <v>18.5</v>
      </c>
      <c r="G104" s="198">
        <f t="shared" si="104"/>
        <v>14.8</v>
      </c>
      <c r="H104" s="198">
        <f t="shared" si="105"/>
        <v>9.25</v>
      </c>
      <c r="I104" s="198">
        <f t="shared" si="148"/>
        <v>8</v>
      </c>
      <c r="J104" s="199">
        <f t="shared" si="148"/>
        <v>0</v>
      </c>
      <c r="K104" s="194" t="str">
        <f t="shared" ref="K104:K106" si="157">D104&amp;-12</f>
        <v>9.8-12</v>
      </c>
      <c r="L104" s="198">
        <f t="shared" si="91"/>
        <v>0.2</v>
      </c>
      <c r="M104" s="49">
        <v>30</v>
      </c>
      <c r="N104" s="198">
        <f t="shared" si="146"/>
        <v>150</v>
      </c>
      <c r="O104" s="198">
        <f t="shared" si="146"/>
        <v>160</v>
      </c>
      <c r="P104" s="198">
        <f t="shared" si="146"/>
        <v>390</v>
      </c>
      <c r="Q104" s="196" t="s">
        <v>76</v>
      </c>
    </row>
    <row r="105" spans="1:17" x14ac:dyDescent="0.25">
      <c r="A105" s="229">
        <f t="shared" ref="A105:B105" si="158">A104+1</f>
        <v>2015</v>
      </c>
      <c r="B105" s="230">
        <f t="shared" si="158"/>
        <v>95</v>
      </c>
      <c r="C105" s="229" t="str">
        <f t="shared" si="117"/>
        <v>22bX10+000_060_12</v>
      </c>
      <c r="D105" s="197">
        <f t="shared" si="84"/>
        <v>9.8000000000000007</v>
      </c>
      <c r="E105" s="204">
        <f t="shared" si="103"/>
        <v>1.8130000000000002</v>
      </c>
      <c r="F105" s="198">
        <f t="shared" si="86"/>
        <v>18.5</v>
      </c>
      <c r="G105" s="198">
        <f t="shared" si="104"/>
        <v>14.8</v>
      </c>
      <c r="H105" s="198">
        <f t="shared" si="105"/>
        <v>9.25</v>
      </c>
      <c r="I105" s="198">
        <f t="shared" si="148"/>
        <v>8</v>
      </c>
      <c r="J105" s="199">
        <f t="shared" si="148"/>
        <v>0</v>
      </c>
      <c r="K105" s="194" t="str">
        <f t="shared" si="157"/>
        <v>9.8-12</v>
      </c>
      <c r="L105" s="198">
        <f t="shared" si="91"/>
        <v>0.2</v>
      </c>
      <c r="M105" s="49">
        <v>60</v>
      </c>
      <c r="N105" s="198">
        <f t="shared" si="146"/>
        <v>150</v>
      </c>
      <c r="O105" s="198">
        <f t="shared" si="146"/>
        <v>160</v>
      </c>
      <c r="P105" s="198">
        <f t="shared" si="146"/>
        <v>390</v>
      </c>
      <c r="Q105" s="196" t="s">
        <v>76</v>
      </c>
    </row>
    <row r="106" spans="1:17" x14ac:dyDescent="0.25">
      <c r="A106" s="229">
        <f t="shared" ref="A106:B106" si="159">A105+1</f>
        <v>2016</v>
      </c>
      <c r="B106" s="230">
        <f t="shared" si="159"/>
        <v>96</v>
      </c>
      <c r="C106" s="229" t="str">
        <f t="shared" si="117"/>
        <v>22bX10+000_090_12</v>
      </c>
      <c r="D106" s="197">
        <f t="shared" si="84"/>
        <v>9.8000000000000007</v>
      </c>
      <c r="E106" s="204">
        <f t="shared" si="103"/>
        <v>1.8130000000000002</v>
      </c>
      <c r="F106" s="198">
        <f t="shared" si="86"/>
        <v>18.5</v>
      </c>
      <c r="G106" s="198">
        <f t="shared" si="104"/>
        <v>14.8</v>
      </c>
      <c r="H106" s="198">
        <f t="shared" si="105"/>
        <v>9.25</v>
      </c>
      <c r="I106" s="198">
        <f t="shared" si="148"/>
        <v>8</v>
      </c>
      <c r="J106" s="199">
        <f t="shared" si="148"/>
        <v>0</v>
      </c>
      <c r="K106" s="194" t="str">
        <f t="shared" si="157"/>
        <v>9.8-12</v>
      </c>
      <c r="L106" s="198">
        <f t="shared" si="91"/>
        <v>0.2</v>
      </c>
      <c r="M106" s="49">
        <v>90</v>
      </c>
      <c r="N106" s="198">
        <f t="shared" si="146"/>
        <v>150</v>
      </c>
      <c r="O106" s="198">
        <f t="shared" si="146"/>
        <v>160</v>
      </c>
      <c r="P106" s="198">
        <f t="shared" si="146"/>
        <v>390</v>
      </c>
      <c r="Q106" s="196" t="s">
        <v>76</v>
      </c>
    </row>
    <row r="107" spans="1:17" x14ac:dyDescent="0.25">
      <c r="A107" s="229">
        <f t="shared" ref="A107:B107" si="160">A106+1</f>
        <v>2017</v>
      </c>
      <c r="B107" s="230">
        <f t="shared" si="160"/>
        <v>97</v>
      </c>
      <c r="C107" s="229" t="str">
        <f t="shared" si="117"/>
        <v>22bX12+000_000_01</v>
      </c>
      <c r="D107" s="197">
        <f>vr_a</f>
        <v>11.8</v>
      </c>
      <c r="E107" s="204">
        <f t="shared" ref="E107" si="161">I_ref*(0.75*D107+5.6)</f>
        <v>2.0230000000000001</v>
      </c>
      <c r="F107" s="198">
        <f>E107/D107*100</f>
        <v>17.14406779661017</v>
      </c>
      <c r="G107" s="198">
        <f t="shared" ref="G107" si="162">m_ty*F107</f>
        <v>13.715254237288136</v>
      </c>
      <c r="H107" s="198">
        <f t="shared" ref="H107" si="163">m_tz*F107</f>
        <v>8.5720338983050848</v>
      </c>
      <c r="I107" s="198">
        <f>inflow</f>
        <v>8</v>
      </c>
      <c r="J107" s="199">
        <f>yaw_null</f>
        <v>0</v>
      </c>
      <c r="K107" s="194" t="str">
        <f>D107&amp;-1</f>
        <v>11.8-1</v>
      </c>
      <c r="L107" s="198">
        <f>alpha_n</f>
        <v>0.2</v>
      </c>
      <c r="M107" s="49">
        <v>0</v>
      </c>
      <c r="N107" s="198">
        <f>t_out</f>
        <v>150</v>
      </c>
      <c r="O107" s="198">
        <f>trig_t</f>
        <v>160</v>
      </c>
      <c r="P107" s="198">
        <f>N107+4*T_s2</f>
        <v>390</v>
      </c>
      <c r="Q107" s="196" t="s">
        <v>76</v>
      </c>
    </row>
    <row r="108" spans="1:17" x14ac:dyDescent="0.25">
      <c r="A108" s="229">
        <f t="shared" ref="A108:B108" si="164">A107+1</f>
        <v>2018</v>
      </c>
      <c r="B108" s="230">
        <f t="shared" si="164"/>
        <v>98</v>
      </c>
      <c r="C108" s="229" t="str">
        <f t="shared" si="117"/>
        <v>22bX12+000_030_01</v>
      </c>
      <c r="D108" s="197">
        <f t="shared" ref="D108:D154" si="165">D107</f>
        <v>11.8</v>
      </c>
      <c r="E108" s="204">
        <f t="shared" ref="E108:E154" si="166">I_ref*(0.75*D108+5.6)</f>
        <v>2.0230000000000001</v>
      </c>
      <c r="F108" s="198">
        <f t="shared" ref="F108:F154" si="167">E108/D108*100</f>
        <v>17.14406779661017</v>
      </c>
      <c r="G108" s="198">
        <f t="shared" ref="G108:G154" si="168">m_ty*F108</f>
        <v>13.715254237288136</v>
      </c>
      <c r="H108" s="198">
        <f t="shared" ref="H108:H154" si="169">m_tz*F108</f>
        <v>8.5720338983050848</v>
      </c>
      <c r="I108" s="198">
        <f t="shared" ref="I108:J112" si="170">I107</f>
        <v>8</v>
      </c>
      <c r="J108" s="199">
        <f>J107</f>
        <v>0</v>
      </c>
      <c r="K108" s="194" t="str">
        <f t="shared" ref="K108:K110" si="171">D108&amp;-1</f>
        <v>11.8-1</v>
      </c>
      <c r="L108" s="198">
        <f t="shared" ref="L108:L154" si="172">L107</f>
        <v>0.2</v>
      </c>
      <c r="M108" s="49">
        <v>30</v>
      </c>
      <c r="N108" s="198">
        <f t="shared" ref="N108:P111" si="173">N107</f>
        <v>150</v>
      </c>
      <c r="O108" s="198">
        <f t="shared" si="173"/>
        <v>160</v>
      </c>
      <c r="P108" s="198">
        <f t="shared" si="173"/>
        <v>390</v>
      </c>
      <c r="Q108" s="196" t="s">
        <v>76</v>
      </c>
    </row>
    <row r="109" spans="1:17" x14ac:dyDescent="0.25">
      <c r="A109" s="229">
        <f t="shared" ref="A109:B109" si="174">A108+1</f>
        <v>2019</v>
      </c>
      <c r="B109" s="230">
        <f t="shared" si="174"/>
        <v>99</v>
      </c>
      <c r="C109" s="229" t="str">
        <f t="shared" si="117"/>
        <v>22bX12+000_060_01</v>
      </c>
      <c r="D109" s="197">
        <f t="shared" si="165"/>
        <v>11.8</v>
      </c>
      <c r="E109" s="204">
        <f t="shared" si="166"/>
        <v>2.0230000000000001</v>
      </c>
      <c r="F109" s="198">
        <f t="shared" si="167"/>
        <v>17.14406779661017</v>
      </c>
      <c r="G109" s="198">
        <f t="shared" si="168"/>
        <v>13.715254237288136</v>
      </c>
      <c r="H109" s="198">
        <f t="shared" si="169"/>
        <v>8.5720338983050848</v>
      </c>
      <c r="I109" s="198">
        <f t="shared" si="170"/>
        <v>8</v>
      </c>
      <c r="J109" s="199">
        <f t="shared" si="170"/>
        <v>0</v>
      </c>
      <c r="K109" s="194" t="str">
        <f t="shared" si="171"/>
        <v>11.8-1</v>
      </c>
      <c r="L109" s="198">
        <f t="shared" si="172"/>
        <v>0.2</v>
      </c>
      <c r="M109" s="49">
        <v>60</v>
      </c>
      <c r="N109" s="198">
        <f t="shared" si="173"/>
        <v>150</v>
      </c>
      <c r="O109" s="198">
        <f t="shared" si="173"/>
        <v>160</v>
      </c>
      <c r="P109" s="198">
        <f t="shared" si="173"/>
        <v>390</v>
      </c>
      <c r="Q109" s="196" t="s">
        <v>76</v>
      </c>
    </row>
    <row r="110" spans="1:17" x14ac:dyDescent="0.25">
      <c r="A110" s="229">
        <f t="shared" ref="A110:B110" si="175">A109+1</f>
        <v>2020</v>
      </c>
      <c r="B110" s="230">
        <f t="shared" si="175"/>
        <v>100</v>
      </c>
      <c r="C110" s="229" t="str">
        <f t="shared" si="117"/>
        <v>22bX12+000_090_01</v>
      </c>
      <c r="D110" s="197">
        <f t="shared" si="165"/>
        <v>11.8</v>
      </c>
      <c r="E110" s="204">
        <f t="shared" si="166"/>
        <v>2.0230000000000001</v>
      </c>
      <c r="F110" s="198">
        <f t="shared" si="167"/>
        <v>17.14406779661017</v>
      </c>
      <c r="G110" s="198">
        <f t="shared" si="168"/>
        <v>13.715254237288136</v>
      </c>
      <c r="H110" s="198">
        <f t="shared" si="169"/>
        <v>8.5720338983050848</v>
      </c>
      <c r="I110" s="198">
        <f t="shared" si="170"/>
        <v>8</v>
      </c>
      <c r="J110" s="199">
        <f t="shared" si="170"/>
        <v>0</v>
      </c>
      <c r="K110" s="194" t="str">
        <f t="shared" si="171"/>
        <v>11.8-1</v>
      </c>
      <c r="L110" s="198">
        <f t="shared" si="172"/>
        <v>0.2</v>
      </c>
      <c r="M110" s="49">
        <v>90</v>
      </c>
      <c r="N110" s="198">
        <f t="shared" si="173"/>
        <v>150</v>
      </c>
      <c r="O110" s="198">
        <f t="shared" si="173"/>
        <v>160</v>
      </c>
      <c r="P110" s="198">
        <f t="shared" si="173"/>
        <v>390</v>
      </c>
      <c r="Q110" s="196" t="s">
        <v>76</v>
      </c>
    </row>
    <row r="111" spans="1:17" x14ac:dyDescent="0.25">
      <c r="A111" s="229">
        <f t="shared" ref="A111:B111" si="176">A110+1</f>
        <v>2021</v>
      </c>
      <c r="B111" s="230">
        <f t="shared" si="176"/>
        <v>101</v>
      </c>
      <c r="C111" s="229" t="str">
        <f t="shared" si="117"/>
        <v>22bX12+000_000_02</v>
      </c>
      <c r="D111" s="197">
        <f t="shared" si="165"/>
        <v>11.8</v>
      </c>
      <c r="E111" s="204">
        <f t="shared" si="166"/>
        <v>2.0230000000000001</v>
      </c>
      <c r="F111" s="198">
        <f t="shared" si="167"/>
        <v>17.14406779661017</v>
      </c>
      <c r="G111" s="198">
        <f t="shared" si="168"/>
        <v>13.715254237288136</v>
      </c>
      <c r="H111" s="198">
        <f t="shared" si="169"/>
        <v>8.5720338983050848</v>
      </c>
      <c r="I111" s="198">
        <f t="shared" si="170"/>
        <v>8</v>
      </c>
      <c r="J111" s="199">
        <f t="shared" si="170"/>
        <v>0</v>
      </c>
      <c r="K111" s="194" t="str">
        <f>D111&amp;-2</f>
        <v>11.8-2</v>
      </c>
      <c r="L111" s="198">
        <f t="shared" si="172"/>
        <v>0.2</v>
      </c>
      <c r="M111" s="49">
        <v>0</v>
      </c>
      <c r="N111" s="198">
        <f t="shared" si="173"/>
        <v>150</v>
      </c>
      <c r="O111" s="198">
        <f t="shared" si="173"/>
        <v>160</v>
      </c>
      <c r="P111" s="198">
        <f t="shared" si="173"/>
        <v>390</v>
      </c>
      <c r="Q111" s="196" t="s">
        <v>76</v>
      </c>
    </row>
    <row r="112" spans="1:17" x14ac:dyDescent="0.25">
      <c r="A112" s="229">
        <f t="shared" ref="A112:B112" si="177">A111+1</f>
        <v>2022</v>
      </c>
      <c r="B112" s="230">
        <f t="shared" si="177"/>
        <v>102</v>
      </c>
      <c r="C112" s="229" t="str">
        <f t="shared" si="117"/>
        <v>22bX12+000_030_02</v>
      </c>
      <c r="D112" s="197">
        <f t="shared" si="165"/>
        <v>11.8</v>
      </c>
      <c r="E112" s="204">
        <f t="shared" si="166"/>
        <v>2.0230000000000001</v>
      </c>
      <c r="F112" s="198">
        <f t="shared" si="167"/>
        <v>17.14406779661017</v>
      </c>
      <c r="G112" s="198">
        <f t="shared" si="168"/>
        <v>13.715254237288136</v>
      </c>
      <c r="H112" s="198">
        <f t="shared" si="169"/>
        <v>8.5720338983050848</v>
      </c>
      <c r="I112" s="198">
        <f t="shared" si="170"/>
        <v>8</v>
      </c>
      <c r="J112" s="199">
        <f t="shared" si="170"/>
        <v>0</v>
      </c>
      <c r="K112" s="194" t="str">
        <f t="shared" ref="K112:K114" si="178">D112&amp;-2</f>
        <v>11.8-2</v>
      </c>
      <c r="L112" s="198">
        <f t="shared" si="172"/>
        <v>0.2</v>
      </c>
      <c r="M112" s="49">
        <v>30</v>
      </c>
      <c r="N112" s="198">
        <f t="shared" ref="N112:P127" si="179">N111</f>
        <v>150</v>
      </c>
      <c r="O112" s="198">
        <f t="shared" si="179"/>
        <v>160</v>
      </c>
      <c r="P112" s="198">
        <f t="shared" si="179"/>
        <v>390</v>
      </c>
      <c r="Q112" s="196" t="s">
        <v>76</v>
      </c>
    </row>
    <row r="113" spans="1:17" x14ac:dyDescent="0.25">
      <c r="A113" s="229">
        <f t="shared" ref="A113:B113" si="180">A112+1</f>
        <v>2023</v>
      </c>
      <c r="B113" s="230">
        <f t="shared" si="180"/>
        <v>103</v>
      </c>
      <c r="C113" s="229" t="str">
        <f t="shared" si="117"/>
        <v>22bX12+000_060_02</v>
      </c>
      <c r="D113" s="197">
        <f t="shared" si="165"/>
        <v>11.8</v>
      </c>
      <c r="E113" s="204">
        <f t="shared" si="166"/>
        <v>2.0230000000000001</v>
      </c>
      <c r="F113" s="198">
        <f t="shared" si="167"/>
        <v>17.14406779661017</v>
      </c>
      <c r="G113" s="198">
        <f t="shared" si="168"/>
        <v>13.715254237288136</v>
      </c>
      <c r="H113" s="198">
        <f t="shared" si="169"/>
        <v>8.5720338983050848</v>
      </c>
      <c r="I113" s="198">
        <f t="shared" ref="I113:J128" si="181">I112</f>
        <v>8</v>
      </c>
      <c r="J113" s="199">
        <f t="shared" si="181"/>
        <v>0</v>
      </c>
      <c r="K113" s="194" t="str">
        <f t="shared" si="178"/>
        <v>11.8-2</v>
      </c>
      <c r="L113" s="198">
        <f t="shared" si="172"/>
        <v>0.2</v>
      </c>
      <c r="M113" s="49">
        <v>60</v>
      </c>
      <c r="N113" s="198">
        <f t="shared" si="179"/>
        <v>150</v>
      </c>
      <c r="O113" s="198">
        <f t="shared" si="179"/>
        <v>160</v>
      </c>
      <c r="P113" s="198">
        <f t="shared" si="179"/>
        <v>390</v>
      </c>
      <c r="Q113" s="196" t="s">
        <v>76</v>
      </c>
    </row>
    <row r="114" spans="1:17" x14ac:dyDescent="0.25">
      <c r="A114" s="229">
        <f t="shared" ref="A114:B114" si="182">A113+1</f>
        <v>2024</v>
      </c>
      <c r="B114" s="230">
        <f t="shared" si="182"/>
        <v>104</v>
      </c>
      <c r="C114" s="229" t="str">
        <f t="shared" si="117"/>
        <v>22bX12+000_090_02</v>
      </c>
      <c r="D114" s="197">
        <f t="shared" si="165"/>
        <v>11.8</v>
      </c>
      <c r="E114" s="204">
        <f t="shared" si="166"/>
        <v>2.0230000000000001</v>
      </c>
      <c r="F114" s="198">
        <f t="shared" si="167"/>
        <v>17.14406779661017</v>
      </c>
      <c r="G114" s="198">
        <f t="shared" si="168"/>
        <v>13.715254237288136</v>
      </c>
      <c r="H114" s="198">
        <f t="shared" si="169"/>
        <v>8.5720338983050848</v>
      </c>
      <c r="I114" s="198">
        <f t="shared" si="181"/>
        <v>8</v>
      </c>
      <c r="J114" s="199">
        <f t="shared" si="181"/>
        <v>0</v>
      </c>
      <c r="K114" s="194" t="str">
        <f t="shared" si="178"/>
        <v>11.8-2</v>
      </c>
      <c r="L114" s="198">
        <f t="shared" si="172"/>
        <v>0.2</v>
      </c>
      <c r="M114" s="49">
        <v>90</v>
      </c>
      <c r="N114" s="198">
        <f t="shared" si="179"/>
        <v>150</v>
      </c>
      <c r="O114" s="198">
        <f t="shared" si="179"/>
        <v>160</v>
      </c>
      <c r="P114" s="198">
        <f t="shared" si="179"/>
        <v>390</v>
      </c>
      <c r="Q114" s="196" t="s">
        <v>76</v>
      </c>
    </row>
    <row r="115" spans="1:17" x14ac:dyDescent="0.25">
      <c r="A115" s="229">
        <f t="shared" ref="A115:B115" si="183">A114+1</f>
        <v>2025</v>
      </c>
      <c r="B115" s="230">
        <f t="shared" si="183"/>
        <v>105</v>
      </c>
      <c r="C115" s="229" t="str">
        <f t="shared" si="117"/>
        <v>22bX12+000_000_03</v>
      </c>
      <c r="D115" s="197">
        <f t="shared" si="165"/>
        <v>11.8</v>
      </c>
      <c r="E115" s="204">
        <f t="shared" si="166"/>
        <v>2.0230000000000001</v>
      </c>
      <c r="F115" s="198">
        <f t="shared" si="167"/>
        <v>17.14406779661017</v>
      </c>
      <c r="G115" s="198">
        <f t="shared" si="168"/>
        <v>13.715254237288136</v>
      </c>
      <c r="H115" s="198">
        <f t="shared" si="169"/>
        <v>8.5720338983050848</v>
      </c>
      <c r="I115" s="198">
        <f t="shared" si="181"/>
        <v>8</v>
      </c>
      <c r="J115" s="199">
        <f t="shared" si="181"/>
        <v>0</v>
      </c>
      <c r="K115" s="194" t="str">
        <f>D115&amp;-3</f>
        <v>11.8-3</v>
      </c>
      <c r="L115" s="198">
        <f t="shared" si="172"/>
        <v>0.2</v>
      </c>
      <c r="M115" s="49">
        <v>0</v>
      </c>
      <c r="N115" s="198">
        <f t="shared" si="179"/>
        <v>150</v>
      </c>
      <c r="O115" s="198">
        <f t="shared" si="179"/>
        <v>160</v>
      </c>
      <c r="P115" s="198">
        <f t="shared" si="179"/>
        <v>390</v>
      </c>
      <c r="Q115" s="196" t="s">
        <v>76</v>
      </c>
    </row>
    <row r="116" spans="1:17" x14ac:dyDescent="0.25">
      <c r="A116" s="229">
        <f t="shared" ref="A116:B116" si="184">A115+1</f>
        <v>2026</v>
      </c>
      <c r="B116" s="230">
        <f t="shared" si="184"/>
        <v>106</v>
      </c>
      <c r="C116" s="229" t="str">
        <f t="shared" si="117"/>
        <v>22bX12+000_030_03</v>
      </c>
      <c r="D116" s="197">
        <f t="shared" si="165"/>
        <v>11.8</v>
      </c>
      <c r="E116" s="204">
        <f t="shared" si="166"/>
        <v>2.0230000000000001</v>
      </c>
      <c r="F116" s="198">
        <f t="shared" si="167"/>
        <v>17.14406779661017</v>
      </c>
      <c r="G116" s="198">
        <f t="shared" si="168"/>
        <v>13.715254237288136</v>
      </c>
      <c r="H116" s="198">
        <f t="shared" si="169"/>
        <v>8.5720338983050848</v>
      </c>
      <c r="I116" s="198">
        <f t="shared" si="181"/>
        <v>8</v>
      </c>
      <c r="J116" s="199">
        <f t="shared" si="181"/>
        <v>0</v>
      </c>
      <c r="K116" s="194" t="str">
        <f t="shared" ref="K116:K118" si="185">D116&amp;-3</f>
        <v>11.8-3</v>
      </c>
      <c r="L116" s="198">
        <f t="shared" si="172"/>
        <v>0.2</v>
      </c>
      <c r="M116" s="49">
        <v>30</v>
      </c>
      <c r="N116" s="198">
        <f t="shared" si="179"/>
        <v>150</v>
      </c>
      <c r="O116" s="198">
        <f t="shared" si="179"/>
        <v>160</v>
      </c>
      <c r="P116" s="198">
        <f t="shared" si="179"/>
        <v>390</v>
      </c>
      <c r="Q116" s="196" t="s">
        <v>76</v>
      </c>
    </row>
    <row r="117" spans="1:17" x14ac:dyDescent="0.25">
      <c r="A117" s="229">
        <f t="shared" ref="A117:B117" si="186">A116+1</f>
        <v>2027</v>
      </c>
      <c r="B117" s="230">
        <f t="shared" si="186"/>
        <v>107</v>
      </c>
      <c r="C117" s="229" t="str">
        <f t="shared" si="117"/>
        <v>22bX12+000_060_03</v>
      </c>
      <c r="D117" s="197">
        <f t="shared" si="165"/>
        <v>11.8</v>
      </c>
      <c r="E117" s="204">
        <f t="shared" si="166"/>
        <v>2.0230000000000001</v>
      </c>
      <c r="F117" s="198">
        <f t="shared" si="167"/>
        <v>17.14406779661017</v>
      </c>
      <c r="G117" s="198">
        <f t="shared" si="168"/>
        <v>13.715254237288136</v>
      </c>
      <c r="H117" s="198">
        <f t="shared" si="169"/>
        <v>8.5720338983050848</v>
      </c>
      <c r="I117" s="198">
        <f t="shared" si="181"/>
        <v>8</v>
      </c>
      <c r="J117" s="199">
        <f t="shared" si="181"/>
        <v>0</v>
      </c>
      <c r="K117" s="194" t="str">
        <f t="shared" si="185"/>
        <v>11.8-3</v>
      </c>
      <c r="L117" s="198">
        <f t="shared" si="172"/>
        <v>0.2</v>
      </c>
      <c r="M117" s="49">
        <v>60</v>
      </c>
      <c r="N117" s="198">
        <f t="shared" si="179"/>
        <v>150</v>
      </c>
      <c r="O117" s="198">
        <f t="shared" si="179"/>
        <v>160</v>
      </c>
      <c r="P117" s="198">
        <f t="shared" si="179"/>
        <v>390</v>
      </c>
      <c r="Q117" s="196" t="s">
        <v>76</v>
      </c>
    </row>
    <row r="118" spans="1:17" x14ac:dyDescent="0.25">
      <c r="A118" s="229">
        <f t="shared" ref="A118:B118" si="187">A117+1</f>
        <v>2028</v>
      </c>
      <c r="B118" s="230">
        <f t="shared" si="187"/>
        <v>108</v>
      </c>
      <c r="C118" s="229" t="str">
        <f t="shared" si="117"/>
        <v>22bX12+000_090_03</v>
      </c>
      <c r="D118" s="197">
        <f t="shared" si="165"/>
        <v>11.8</v>
      </c>
      <c r="E118" s="204">
        <f t="shared" si="166"/>
        <v>2.0230000000000001</v>
      </c>
      <c r="F118" s="198">
        <f t="shared" si="167"/>
        <v>17.14406779661017</v>
      </c>
      <c r="G118" s="198">
        <f t="shared" si="168"/>
        <v>13.715254237288136</v>
      </c>
      <c r="H118" s="198">
        <f t="shared" si="169"/>
        <v>8.5720338983050848</v>
      </c>
      <c r="I118" s="198">
        <f t="shared" si="181"/>
        <v>8</v>
      </c>
      <c r="J118" s="199">
        <f t="shared" si="181"/>
        <v>0</v>
      </c>
      <c r="K118" s="194" t="str">
        <f t="shared" si="185"/>
        <v>11.8-3</v>
      </c>
      <c r="L118" s="198">
        <f t="shared" si="172"/>
        <v>0.2</v>
      </c>
      <c r="M118" s="49">
        <v>90</v>
      </c>
      <c r="N118" s="198">
        <f t="shared" si="179"/>
        <v>150</v>
      </c>
      <c r="O118" s="198">
        <f t="shared" si="179"/>
        <v>160</v>
      </c>
      <c r="P118" s="198">
        <f t="shared" si="179"/>
        <v>390</v>
      </c>
      <c r="Q118" s="196" t="s">
        <v>76</v>
      </c>
    </row>
    <row r="119" spans="1:17" x14ac:dyDescent="0.25">
      <c r="A119" s="229">
        <f t="shared" ref="A119:B119" si="188">A118+1</f>
        <v>2029</v>
      </c>
      <c r="B119" s="230">
        <f t="shared" si="188"/>
        <v>109</v>
      </c>
      <c r="C119" s="229" t="str">
        <f t="shared" si="117"/>
        <v>22bX12+000_000_04</v>
      </c>
      <c r="D119" s="197">
        <f t="shared" si="165"/>
        <v>11.8</v>
      </c>
      <c r="E119" s="204">
        <f t="shared" si="166"/>
        <v>2.0230000000000001</v>
      </c>
      <c r="F119" s="198">
        <f t="shared" si="167"/>
        <v>17.14406779661017</v>
      </c>
      <c r="G119" s="198">
        <f t="shared" si="168"/>
        <v>13.715254237288136</v>
      </c>
      <c r="H119" s="198">
        <f t="shared" si="169"/>
        <v>8.5720338983050848</v>
      </c>
      <c r="I119" s="198">
        <f t="shared" si="181"/>
        <v>8</v>
      </c>
      <c r="J119" s="199">
        <f t="shared" si="181"/>
        <v>0</v>
      </c>
      <c r="K119" s="194" t="str">
        <f>D119&amp;-4</f>
        <v>11.8-4</v>
      </c>
      <c r="L119" s="198">
        <f t="shared" si="172"/>
        <v>0.2</v>
      </c>
      <c r="M119" s="49">
        <v>0</v>
      </c>
      <c r="N119" s="198">
        <f t="shared" si="179"/>
        <v>150</v>
      </c>
      <c r="O119" s="198">
        <f t="shared" si="179"/>
        <v>160</v>
      </c>
      <c r="P119" s="198">
        <f t="shared" si="179"/>
        <v>390</v>
      </c>
      <c r="Q119" s="196" t="s">
        <v>76</v>
      </c>
    </row>
    <row r="120" spans="1:17" x14ac:dyDescent="0.25">
      <c r="A120" s="229">
        <f t="shared" ref="A120:B120" si="189">A119+1</f>
        <v>2030</v>
      </c>
      <c r="B120" s="230">
        <f t="shared" si="189"/>
        <v>110</v>
      </c>
      <c r="C120" s="229" t="str">
        <f t="shared" si="117"/>
        <v>22bX12+000_030_04</v>
      </c>
      <c r="D120" s="197">
        <f t="shared" si="165"/>
        <v>11.8</v>
      </c>
      <c r="E120" s="204">
        <f t="shared" si="166"/>
        <v>2.0230000000000001</v>
      </c>
      <c r="F120" s="198">
        <f t="shared" si="167"/>
        <v>17.14406779661017</v>
      </c>
      <c r="G120" s="198">
        <f t="shared" si="168"/>
        <v>13.715254237288136</v>
      </c>
      <c r="H120" s="198">
        <f t="shared" si="169"/>
        <v>8.5720338983050848</v>
      </c>
      <c r="I120" s="198">
        <f t="shared" si="181"/>
        <v>8</v>
      </c>
      <c r="J120" s="199">
        <f t="shared" si="181"/>
        <v>0</v>
      </c>
      <c r="K120" s="194" t="str">
        <f t="shared" ref="K120:K122" si="190">D120&amp;-4</f>
        <v>11.8-4</v>
      </c>
      <c r="L120" s="198">
        <f t="shared" si="172"/>
        <v>0.2</v>
      </c>
      <c r="M120" s="49">
        <v>30</v>
      </c>
      <c r="N120" s="198">
        <f t="shared" si="179"/>
        <v>150</v>
      </c>
      <c r="O120" s="198">
        <f t="shared" si="179"/>
        <v>160</v>
      </c>
      <c r="P120" s="198">
        <f t="shared" si="179"/>
        <v>390</v>
      </c>
      <c r="Q120" s="196" t="s">
        <v>76</v>
      </c>
    </row>
    <row r="121" spans="1:17" x14ac:dyDescent="0.25">
      <c r="A121" s="229">
        <f t="shared" ref="A121:B121" si="191">A120+1</f>
        <v>2031</v>
      </c>
      <c r="B121" s="230">
        <f t="shared" si="191"/>
        <v>111</v>
      </c>
      <c r="C121" s="229" t="str">
        <f t="shared" si="117"/>
        <v>22bX12+000_060_04</v>
      </c>
      <c r="D121" s="197">
        <f t="shared" si="165"/>
        <v>11.8</v>
      </c>
      <c r="E121" s="204">
        <f t="shared" si="166"/>
        <v>2.0230000000000001</v>
      </c>
      <c r="F121" s="198">
        <f t="shared" si="167"/>
        <v>17.14406779661017</v>
      </c>
      <c r="G121" s="198">
        <f t="shared" si="168"/>
        <v>13.715254237288136</v>
      </c>
      <c r="H121" s="198">
        <f t="shared" si="169"/>
        <v>8.5720338983050848</v>
      </c>
      <c r="I121" s="198">
        <f t="shared" si="181"/>
        <v>8</v>
      </c>
      <c r="J121" s="199">
        <f t="shared" si="181"/>
        <v>0</v>
      </c>
      <c r="K121" s="194" t="str">
        <f t="shared" si="190"/>
        <v>11.8-4</v>
      </c>
      <c r="L121" s="198">
        <f t="shared" si="172"/>
        <v>0.2</v>
      </c>
      <c r="M121" s="49">
        <v>60</v>
      </c>
      <c r="N121" s="198">
        <f t="shared" si="179"/>
        <v>150</v>
      </c>
      <c r="O121" s="198">
        <f t="shared" si="179"/>
        <v>160</v>
      </c>
      <c r="P121" s="198">
        <f t="shared" si="179"/>
        <v>390</v>
      </c>
      <c r="Q121" s="196" t="s">
        <v>76</v>
      </c>
    </row>
    <row r="122" spans="1:17" x14ac:dyDescent="0.25">
      <c r="A122" s="229">
        <f t="shared" ref="A122:B122" si="192">A121+1</f>
        <v>2032</v>
      </c>
      <c r="B122" s="230">
        <f t="shared" si="192"/>
        <v>112</v>
      </c>
      <c r="C122" s="229" t="str">
        <f t="shared" si="117"/>
        <v>22bX12+000_090_04</v>
      </c>
      <c r="D122" s="197">
        <f t="shared" si="165"/>
        <v>11.8</v>
      </c>
      <c r="E122" s="204">
        <f t="shared" si="166"/>
        <v>2.0230000000000001</v>
      </c>
      <c r="F122" s="198">
        <f t="shared" si="167"/>
        <v>17.14406779661017</v>
      </c>
      <c r="G122" s="198">
        <f t="shared" si="168"/>
        <v>13.715254237288136</v>
      </c>
      <c r="H122" s="198">
        <f t="shared" si="169"/>
        <v>8.5720338983050848</v>
      </c>
      <c r="I122" s="198">
        <f t="shared" si="181"/>
        <v>8</v>
      </c>
      <c r="J122" s="199">
        <f t="shared" si="181"/>
        <v>0</v>
      </c>
      <c r="K122" s="194" t="str">
        <f t="shared" si="190"/>
        <v>11.8-4</v>
      </c>
      <c r="L122" s="198">
        <f t="shared" si="172"/>
        <v>0.2</v>
      </c>
      <c r="M122" s="49">
        <v>90</v>
      </c>
      <c r="N122" s="198">
        <f t="shared" si="179"/>
        <v>150</v>
      </c>
      <c r="O122" s="198">
        <f t="shared" si="179"/>
        <v>160</v>
      </c>
      <c r="P122" s="198">
        <f t="shared" si="179"/>
        <v>390</v>
      </c>
      <c r="Q122" s="196" t="s">
        <v>76</v>
      </c>
    </row>
    <row r="123" spans="1:17" x14ac:dyDescent="0.25">
      <c r="A123" s="229">
        <f t="shared" ref="A123:B123" si="193">A122+1</f>
        <v>2033</v>
      </c>
      <c r="B123" s="230">
        <f t="shared" si="193"/>
        <v>113</v>
      </c>
      <c r="C123" s="229" t="str">
        <f t="shared" si="117"/>
        <v>22bX12+000_000_05</v>
      </c>
      <c r="D123" s="197">
        <f t="shared" si="165"/>
        <v>11.8</v>
      </c>
      <c r="E123" s="204">
        <f t="shared" si="166"/>
        <v>2.0230000000000001</v>
      </c>
      <c r="F123" s="198">
        <f t="shared" si="167"/>
        <v>17.14406779661017</v>
      </c>
      <c r="G123" s="198">
        <f t="shared" si="168"/>
        <v>13.715254237288136</v>
      </c>
      <c r="H123" s="198">
        <f t="shared" si="169"/>
        <v>8.5720338983050848</v>
      </c>
      <c r="I123" s="198">
        <f t="shared" si="181"/>
        <v>8</v>
      </c>
      <c r="J123" s="199">
        <f>yaw_null</f>
        <v>0</v>
      </c>
      <c r="K123" s="194" t="str">
        <f>D123&amp;-5</f>
        <v>11.8-5</v>
      </c>
      <c r="L123" s="198">
        <f t="shared" si="172"/>
        <v>0.2</v>
      </c>
      <c r="M123" s="49">
        <v>0</v>
      </c>
      <c r="N123" s="198">
        <f t="shared" si="179"/>
        <v>150</v>
      </c>
      <c r="O123" s="198">
        <f t="shared" si="179"/>
        <v>160</v>
      </c>
      <c r="P123" s="198">
        <f t="shared" si="179"/>
        <v>390</v>
      </c>
      <c r="Q123" s="196" t="s">
        <v>76</v>
      </c>
    </row>
    <row r="124" spans="1:17" x14ac:dyDescent="0.25">
      <c r="A124" s="229">
        <f t="shared" ref="A124:B124" si="194">A123+1</f>
        <v>2034</v>
      </c>
      <c r="B124" s="230">
        <f t="shared" si="194"/>
        <v>114</v>
      </c>
      <c r="C124" s="229" t="str">
        <f t="shared" si="117"/>
        <v>22bX12+000_030_05</v>
      </c>
      <c r="D124" s="197">
        <f t="shared" si="165"/>
        <v>11.8</v>
      </c>
      <c r="E124" s="204">
        <f t="shared" si="166"/>
        <v>2.0230000000000001</v>
      </c>
      <c r="F124" s="198">
        <f t="shared" si="167"/>
        <v>17.14406779661017</v>
      </c>
      <c r="G124" s="198">
        <f t="shared" si="168"/>
        <v>13.715254237288136</v>
      </c>
      <c r="H124" s="198">
        <f t="shared" si="169"/>
        <v>8.5720338983050848</v>
      </c>
      <c r="I124" s="198">
        <f t="shared" si="181"/>
        <v>8</v>
      </c>
      <c r="J124" s="199">
        <f>J123</f>
        <v>0</v>
      </c>
      <c r="K124" s="194" t="str">
        <f t="shared" ref="K124:K126" si="195">D124&amp;-5</f>
        <v>11.8-5</v>
      </c>
      <c r="L124" s="198">
        <f t="shared" si="172"/>
        <v>0.2</v>
      </c>
      <c r="M124" s="49">
        <v>30</v>
      </c>
      <c r="N124" s="198">
        <f t="shared" si="179"/>
        <v>150</v>
      </c>
      <c r="O124" s="198">
        <f t="shared" si="179"/>
        <v>160</v>
      </c>
      <c r="P124" s="198">
        <f t="shared" si="179"/>
        <v>390</v>
      </c>
      <c r="Q124" s="196" t="s">
        <v>76</v>
      </c>
    </row>
    <row r="125" spans="1:17" x14ac:dyDescent="0.25">
      <c r="A125" s="229">
        <f t="shared" ref="A125:B125" si="196">A124+1</f>
        <v>2035</v>
      </c>
      <c r="B125" s="230">
        <f t="shared" si="196"/>
        <v>115</v>
      </c>
      <c r="C125" s="229" t="str">
        <f t="shared" si="117"/>
        <v>22bX12+000_060_05</v>
      </c>
      <c r="D125" s="197">
        <f t="shared" si="165"/>
        <v>11.8</v>
      </c>
      <c r="E125" s="204">
        <f t="shared" si="166"/>
        <v>2.0230000000000001</v>
      </c>
      <c r="F125" s="198">
        <f t="shared" si="167"/>
        <v>17.14406779661017</v>
      </c>
      <c r="G125" s="198">
        <f t="shared" si="168"/>
        <v>13.715254237288136</v>
      </c>
      <c r="H125" s="198">
        <f t="shared" si="169"/>
        <v>8.5720338983050848</v>
      </c>
      <c r="I125" s="198">
        <f t="shared" si="181"/>
        <v>8</v>
      </c>
      <c r="J125" s="199">
        <f t="shared" si="181"/>
        <v>0</v>
      </c>
      <c r="K125" s="194" t="str">
        <f t="shared" si="195"/>
        <v>11.8-5</v>
      </c>
      <c r="L125" s="198">
        <f t="shared" si="172"/>
        <v>0.2</v>
      </c>
      <c r="M125" s="49">
        <v>60</v>
      </c>
      <c r="N125" s="198">
        <f t="shared" si="179"/>
        <v>150</v>
      </c>
      <c r="O125" s="198">
        <f t="shared" si="179"/>
        <v>160</v>
      </c>
      <c r="P125" s="198">
        <f t="shared" si="179"/>
        <v>390</v>
      </c>
      <c r="Q125" s="196" t="s">
        <v>76</v>
      </c>
    </row>
    <row r="126" spans="1:17" x14ac:dyDescent="0.25">
      <c r="A126" s="229">
        <f t="shared" ref="A126:B126" si="197">A125+1</f>
        <v>2036</v>
      </c>
      <c r="B126" s="230">
        <f t="shared" si="197"/>
        <v>116</v>
      </c>
      <c r="C126" s="229" t="str">
        <f t="shared" si="117"/>
        <v>22bX12+000_090_05</v>
      </c>
      <c r="D126" s="197">
        <f t="shared" si="165"/>
        <v>11.8</v>
      </c>
      <c r="E126" s="204">
        <f t="shared" si="166"/>
        <v>2.0230000000000001</v>
      </c>
      <c r="F126" s="198">
        <f t="shared" si="167"/>
        <v>17.14406779661017</v>
      </c>
      <c r="G126" s="198">
        <f t="shared" si="168"/>
        <v>13.715254237288136</v>
      </c>
      <c r="H126" s="198">
        <f t="shared" si="169"/>
        <v>8.5720338983050848</v>
      </c>
      <c r="I126" s="198">
        <f t="shared" si="181"/>
        <v>8</v>
      </c>
      <c r="J126" s="199">
        <f t="shared" si="181"/>
        <v>0</v>
      </c>
      <c r="K126" s="194" t="str">
        <f t="shared" si="195"/>
        <v>11.8-5</v>
      </c>
      <c r="L126" s="198">
        <f t="shared" si="172"/>
        <v>0.2</v>
      </c>
      <c r="M126" s="49">
        <v>90</v>
      </c>
      <c r="N126" s="198">
        <f t="shared" si="179"/>
        <v>150</v>
      </c>
      <c r="O126" s="198">
        <f t="shared" si="179"/>
        <v>160</v>
      </c>
      <c r="P126" s="198">
        <f t="shared" si="179"/>
        <v>390</v>
      </c>
      <c r="Q126" s="196" t="s">
        <v>76</v>
      </c>
    </row>
    <row r="127" spans="1:17" x14ac:dyDescent="0.25">
      <c r="A127" s="229">
        <f t="shared" ref="A127:B127" si="198">A126+1</f>
        <v>2037</v>
      </c>
      <c r="B127" s="230">
        <f t="shared" si="198"/>
        <v>117</v>
      </c>
      <c r="C127" s="229" t="str">
        <f t="shared" si="117"/>
        <v>22bX12+000_000_06</v>
      </c>
      <c r="D127" s="197">
        <f t="shared" si="165"/>
        <v>11.8</v>
      </c>
      <c r="E127" s="204">
        <f t="shared" si="166"/>
        <v>2.0230000000000001</v>
      </c>
      <c r="F127" s="198">
        <f t="shared" si="167"/>
        <v>17.14406779661017</v>
      </c>
      <c r="G127" s="198">
        <f t="shared" si="168"/>
        <v>13.715254237288136</v>
      </c>
      <c r="H127" s="198">
        <f t="shared" si="169"/>
        <v>8.5720338983050848</v>
      </c>
      <c r="I127" s="198">
        <f t="shared" si="181"/>
        <v>8</v>
      </c>
      <c r="J127" s="199">
        <f t="shared" si="181"/>
        <v>0</v>
      </c>
      <c r="K127" s="194" t="str">
        <f>D127&amp;-6</f>
        <v>11.8-6</v>
      </c>
      <c r="L127" s="198">
        <f t="shared" si="172"/>
        <v>0.2</v>
      </c>
      <c r="M127" s="49">
        <v>0</v>
      </c>
      <c r="N127" s="198">
        <f t="shared" si="179"/>
        <v>150</v>
      </c>
      <c r="O127" s="198">
        <f t="shared" si="179"/>
        <v>160</v>
      </c>
      <c r="P127" s="198">
        <f t="shared" si="179"/>
        <v>390</v>
      </c>
      <c r="Q127" s="196" t="s">
        <v>76</v>
      </c>
    </row>
    <row r="128" spans="1:17" x14ac:dyDescent="0.25">
      <c r="A128" s="229">
        <f t="shared" ref="A128:B128" si="199">A127+1</f>
        <v>2038</v>
      </c>
      <c r="B128" s="230">
        <f t="shared" si="199"/>
        <v>118</v>
      </c>
      <c r="C128" s="229" t="str">
        <f t="shared" si="117"/>
        <v>22bX12+000_030_06</v>
      </c>
      <c r="D128" s="197">
        <f t="shared" si="165"/>
        <v>11.8</v>
      </c>
      <c r="E128" s="204">
        <f t="shared" si="166"/>
        <v>2.0230000000000001</v>
      </c>
      <c r="F128" s="198">
        <f t="shared" si="167"/>
        <v>17.14406779661017</v>
      </c>
      <c r="G128" s="198">
        <f t="shared" si="168"/>
        <v>13.715254237288136</v>
      </c>
      <c r="H128" s="198">
        <f t="shared" si="169"/>
        <v>8.5720338983050848</v>
      </c>
      <c r="I128" s="198">
        <f t="shared" si="181"/>
        <v>8</v>
      </c>
      <c r="J128" s="199">
        <f t="shared" si="181"/>
        <v>0</v>
      </c>
      <c r="K128" s="194" t="str">
        <f t="shared" ref="K128:K130" si="200">D128&amp;-6</f>
        <v>11.8-6</v>
      </c>
      <c r="L128" s="198">
        <f t="shared" si="172"/>
        <v>0.2</v>
      </c>
      <c r="M128" s="49">
        <v>30</v>
      </c>
      <c r="N128" s="198">
        <f t="shared" ref="N128:P143" si="201">N127</f>
        <v>150</v>
      </c>
      <c r="O128" s="198">
        <f t="shared" si="201"/>
        <v>160</v>
      </c>
      <c r="P128" s="198">
        <f t="shared" si="201"/>
        <v>390</v>
      </c>
      <c r="Q128" s="196" t="s">
        <v>76</v>
      </c>
    </row>
    <row r="129" spans="1:17" x14ac:dyDescent="0.25">
      <c r="A129" s="229">
        <f t="shared" ref="A129:B129" si="202">A128+1</f>
        <v>2039</v>
      </c>
      <c r="B129" s="230">
        <f t="shared" si="202"/>
        <v>119</v>
      </c>
      <c r="C129" s="229" t="str">
        <f t="shared" si="117"/>
        <v>22bX12+000_060_06</v>
      </c>
      <c r="D129" s="197">
        <f t="shared" si="165"/>
        <v>11.8</v>
      </c>
      <c r="E129" s="204">
        <f t="shared" si="166"/>
        <v>2.0230000000000001</v>
      </c>
      <c r="F129" s="198">
        <f t="shared" si="167"/>
        <v>17.14406779661017</v>
      </c>
      <c r="G129" s="198">
        <f t="shared" si="168"/>
        <v>13.715254237288136</v>
      </c>
      <c r="H129" s="198">
        <f t="shared" si="169"/>
        <v>8.5720338983050848</v>
      </c>
      <c r="I129" s="198">
        <f t="shared" ref="I129:J144" si="203">I128</f>
        <v>8</v>
      </c>
      <c r="J129" s="199">
        <f t="shared" si="203"/>
        <v>0</v>
      </c>
      <c r="K129" s="194" t="str">
        <f t="shared" si="200"/>
        <v>11.8-6</v>
      </c>
      <c r="L129" s="198">
        <f t="shared" si="172"/>
        <v>0.2</v>
      </c>
      <c r="M129" s="49">
        <v>60</v>
      </c>
      <c r="N129" s="198">
        <f t="shared" si="201"/>
        <v>150</v>
      </c>
      <c r="O129" s="198">
        <f t="shared" si="201"/>
        <v>160</v>
      </c>
      <c r="P129" s="198">
        <f t="shared" si="201"/>
        <v>390</v>
      </c>
      <c r="Q129" s="196" t="s">
        <v>76</v>
      </c>
    </row>
    <row r="130" spans="1:17" x14ac:dyDescent="0.25">
      <c r="A130" s="229">
        <f t="shared" ref="A130:B130" si="204">A129+1</f>
        <v>2040</v>
      </c>
      <c r="B130" s="230">
        <f t="shared" si="204"/>
        <v>120</v>
      </c>
      <c r="C130" s="229" t="str">
        <f t="shared" si="117"/>
        <v>22bX12+000_090_06</v>
      </c>
      <c r="D130" s="197">
        <f t="shared" si="165"/>
        <v>11.8</v>
      </c>
      <c r="E130" s="204">
        <f t="shared" si="166"/>
        <v>2.0230000000000001</v>
      </c>
      <c r="F130" s="198">
        <f t="shared" si="167"/>
        <v>17.14406779661017</v>
      </c>
      <c r="G130" s="198">
        <f t="shared" si="168"/>
        <v>13.715254237288136</v>
      </c>
      <c r="H130" s="198">
        <f t="shared" si="169"/>
        <v>8.5720338983050848</v>
      </c>
      <c r="I130" s="198">
        <f t="shared" si="203"/>
        <v>8</v>
      </c>
      <c r="J130" s="199">
        <f t="shared" si="203"/>
        <v>0</v>
      </c>
      <c r="K130" s="194" t="str">
        <f t="shared" si="200"/>
        <v>11.8-6</v>
      </c>
      <c r="L130" s="198">
        <f t="shared" si="172"/>
        <v>0.2</v>
      </c>
      <c r="M130" s="49">
        <v>90</v>
      </c>
      <c r="N130" s="198">
        <f t="shared" si="201"/>
        <v>150</v>
      </c>
      <c r="O130" s="198">
        <f t="shared" si="201"/>
        <v>160</v>
      </c>
      <c r="P130" s="198">
        <f t="shared" si="201"/>
        <v>390</v>
      </c>
      <c r="Q130" s="196" t="s">
        <v>76</v>
      </c>
    </row>
    <row r="131" spans="1:17" x14ac:dyDescent="0.25">
      <c r="A131" s="229">
        <f t="shared" ref="A131:B131" si="205">A130+1</f>
        <v>2041</v>
      </c>
      <c r="B131" s="230">
        <f t="shared" si="205"/>
        <v>121</v>
      </c>
      <c r="C131" s="229" t="str">
        <f t="shared" si="117"/>
        <v>22bX12+000_000_07</v>
      </c>
      <c r="D131" s="197">
        <f t="shared" si="165"/>
        <v>11.8</v>
      </c>
      <c r="E131" s="204">
        <f t="shared" si="166"/>
        <v>2.0230000000000001</v>
      </c>
      <c r="F131" s="198">
        <f t="shared" si="167"/>
        <v>17.14406779661017</v>
      </c>
      <c r="G131" s="198">
        <f t="shared" si="168"/>
        <v>13.715254237288136</v>
      </c>
      <c r="H131" s="198">
        <f t="shared" si="169"/>
        <v>8.5720338983050848</v>
      </c>
      <c r="I131" s="198">
        <f t="shared" si="203"/>
        <v>8</v>
      </c>
      <c r="J131" s="199">
        <f t="shared" si="203"/>
        <v>0</v>
      </c>
      <c r="K131" s="194" t="str">
        <f>D131&amp;-7</f>
        <v>11.8-7</v>
      </c>
      <c r="L131" s="198">
        <f t="shared" si="172"/>
        <v>0.2</v>
      </c>
      <c r="M131" s="49">
        <v>0</v>
      </c>
      <c r="N131" s="198">
        <f t="shared" si="201"/>
        <v>150</v>
      </c>
      <c r="O131" s="198">
        <f t="shared" si="201"/>
        <v>160</v>
      </c>
      <c r="P131" s="198">
        <f t="shared" si="201"/>
        <v>390</v>
      </c>
      <c r="Q131" s="196" t="s">
        <v>76</v>
      </c>
    </row>
    <row r="132" spans="1:17" x14ac:dyDescent="0.25">
      <c r="A132" s="229">
        <f t="shared" ref="A132:B132" si="206">A131+1</f>
        <v>2042</v>
      </c>
      <c r="B132" s="230">
        <f t="shared" si="206"/>
        <v>122</v>
      </c>
      <c r="C132" s="229" t="str">
        <f t="shared" si="117"/>
        <v>22bX12+000_030_07</v>
      </c>
      <c r="D132" s="197">
        <f t="shared" si="165"/>
        <v>11.8</v>
      </c>
      <c r="E132" s="204">
        <f t="shared" si="166"/>
        <v>2.0230000000000001</v>
      </c>
      <c r="F132" s="198">
        <f t="shared" si="167"/>
        <v>17.14406779661017</v>
      </c>
      <c r="G132" s="198">
        <f t="shared" si="168"/>
        <v>13.715254237288136</v>
      </c>
      <c r="H132" s="198">
        <f t="shared" si="169"/>
        <v>8.5720338983050848</v>
      </c>
      <c r="I132" s="198">
        <f t="shared" si="203"/>
        <v>8</v>
      </c>
      <c r="J132" s="199">
        <f t="shared" si="203"/>
        <v>0</v>
      </c>
      <c r="K132" s="194" t="str">
        <f t="shared" ref="K132:K134" si="207">D132&amp;-7</f>
        <v>11.8-7</v>
      </c>
      <c r="L132" s="198">
        <f t="shared" si="172"/>
        <v>0.2</v>
      </c>
      <c r="M132" s="49">
        <v>30</v>
      </c>
      <c r="N132" s="198">
        <f t="shared" si="201"/>
        <v>150</v>
      </c>
      <c r="O132" s="198">
        <f t="shared" si="201"/>
        <v>160</v>
      </c>
      <c r="P132" s="198">
        <f t="shared" si="201"/>
        <v>390</v>
      </c>
      <c r="Q132" s="196" t="s">
        <v>76</v>
      </c>
    </row>
    <row r="133" spans="1:17" x14ac:dyDescent="0.25">
      <c r="A133" s="229">
        <f t="shared" ref="A133:B133" si="208">A132+1</f>
        <v>2043</v>
      </c>
      <c r="B133" s="230">
        <f t="shared" si="208"/>
        <v>123</v>
      </c>
      <c r="C133" s="229" t="str">
        <f t="shared" si="117"/>
        <v>22bX12+000_060_07</v>
      </c>
      <c r="D133" s="197">
        <f t="shared" si="165"/>
        <v>11.8</v>
      </c>
      <c r="E133" s="204">
        <f t="shared" si="166"/>
        <v>2.0230000000000001</v>
      </c>
      <c r="F133" s="198">
        <f t="shared" si="167"/>
        <v>17.14406779661017</v>
      </c>
      <c r="G133" s="198">
        <f t="shared" si="168"/>
        <v>13.715254237288136</v>
      </c>
      <c r="H133" s="198">
        <f t="shared" si="169"/>
        <v>8.5720338983050848</v>
      </c>
      <c r="I133" s="198">
        <f t="shared" si="203"/>
        <v>8</v>
      </c>
      <c r="J133" s="199">
        <f t="shared" si="203"/>
        <v>0</v>
      </c>
      <c r="K133" s="194" t="str">
        <f t="shared" si="207"/>
        <v>11.8-7</v>
      </c>
      <c r="L133" s="198">
        <f t="shared" si="172"/>
        <v>0.2</v>
      </c>
      <c r="M133" s="49">
        <v>60</v>
      </c>
      <c r="N133" s="198">
        <f t="shared" si="201"/>
        <v>150</v>
      </c>
      <c r="O133" s="198">
        <f t="shared" si="201"/>
        <v>160</v>
      </c>
      <c r="P133" s="198">
        <f t="shared" si="201"/>
        <v>390</v>
      </c>
      <c r="Q133" s="196" t="s">
        <v>76</v>
      </c>
    </row>
    <row r="134" spans="1:17" x14ac:dyDescent="0.25">
      <c r="A134" s="229">
        <f t="shared" ref="A134:B134" si="209">A133+1</f>
        <v>2044</v>
      </c>
      <c r="B134" s="230">
        <f t="shared" si="209"/>
        <v>124</v>
      </c>
      <c r="C134" s="229" t="str">
        <f t="shared" si="117"/>
        <v>22bX12+000_090_07</v>
      </c>
      <c r="D134" s="197">
        <f t="shared" si="165"/>
        <v>11.8</v>
      </c>
      <c r="E134" s="204">
        <f t="shared" si="166"/>
        <v>2.0230000000000001</v>
      </c>
      <c r="F134" s="198">
        <f t="shared" si="167"/>
        <v>17.14406779661017</v>
      </c>
      <c r="G134" s="198">
        <f t="shared" si="168"/>
        <v>13.715254237288136</v>
      </c>
      <c r="H134" s="198">
        <f t="shared" si="169"/>
        <v>8.5720338983050848</v>
      </c>
      <c r="I134" s="198">
        <f t="shared" si="203"/>
        <v>8</v>
      </c>
      <c r="J134" s="199">
        <f t="shared" si="203"/>
        <v>0</v>
      </c>
      <c r="K134" s="194" t="str">
        <f t="shared" si="207"/>
        <v>11.8-7</v>
      </c>
      <c r="L134" s="198">
        <f t="shared" si="172"/>
        <v>0.2</v>
      </c>
      <c r="M134" s="49">
        <v>90</v>
      </c>
      <c r="N134" s="198">
        <f t="shared" si="201"/>
        <v>150</v>
      </c>
      <c r="O134" s="198">
        <f t="shared" si="201"/>
        <v>160</v>
      </c>
      <c r="P134" s="198">
        <f t="shared" si="201"/>
        <v>390</v>
      </c>
      <c r="Q134" s="196" t="s">
        <v>76</v>
      </c>
    </row>
    <row r="135" spans="1:17" x14ac:dyDescent="0.25">
      <c r="A135" s="229">
        <f t="shared" ref="A135:B135" si="210">A134+1</f>
        <v>2045</v>
      </c>
      <c r="B135" s="230">
        <f t="shared" si="210"/>
        <v>125</v>
      </c>
      <c r="C135" s="229" t="str">
        <f t="shared" si="117"/>
        <v>22bX12+000_000_08</v>
      </c>
      <c r="D135" s="197">
        <f t="shared" si="165"/>
        <v>11.8</v>
      </c>
      <c r="E135" s="204">
        <f t="shared" si="166"/>
        <v>2.0230000000000001</v>
      </c>
      <c r="F135" s="198">
        <f t="shared" si="167"/>
        <v>17.14406779661017</v>
      </c>
      <c r="G135" s="198">
        <f t="shared" si="168"/>
        <v>13.715254237288136</v>
      </c>
      <c r="H135" s="198">
        <f t="shared" si="169"/>
        <v>8.5720338983050848</v>
      </c>
      <c r="I135" s="198">
        <f t="shared" si="203"/>
        <v>8</v>
      </c>
      <c r="J135" s="199">
        <f t="shared" si="203"/>
        <v>0</v>
      </c>
      <c r="K135" s="194" t="str">
        <f>D135&amp;-8</f>
        <v>11.8-8</v>
      </c>
      <c r="L135" s="198">
        <f t="shared" si="172"/>
        <v>0.2</v>
      </c>
      <c r="M135" s="49">
        <v>0</v>
      </c>
      <c r="N135" s="198">
        <f t="shared" si="201"/>
        <v>150</v>
      </c>
      <c r="O135" s="198">
        <f t="shared" si="201"/>
        <v>160</v>
      </c>
      <c r="P135" s="198">
        <f t="shared" si="201"/>
        <v>390</v>
      </c>
      <c r="Q135" s="196" t="s">
        <v>76</v>
      </c>
    </row>
    <row r="136" spans="1:17" x14ac:dyDescent="0.25">
      <c r="A136" s="229">
        <f t="shared" ref="A136:B136" si="211">A135+1</f>
        <v>2046</v>
      </c>
      <c r="B136" s="230">
        <f t="shared" si="211"/>
        <v>126</v>
      </c>
      <c r="C136" s="229" t="str">
        <f t="shared" si="117"/>
        <v>22bX12+000_030_08</v>
      </c>
      <c r="D136" s="197">
        <f t="shared" si="165"/>
        <v>11.8</v>
      </c>
      <c r="E136" s="204">
        <f t="shared" si="166"/>
        <v>2.0230000000000001</v>
      </c>
      <c r="F136" s="198">
        <f t="shared" si="167"/>
        <v>17.14406779661017</v>
      </c>
      <c r="G136" s="198">
        <f t="shared" si="168"/>
        <v>13.715254237288136</v>
      </c>
      <c r="H136" s="198">
        <f t="shared" si="169"/>
        <v>8.5720338983050848</v>
      </c>
      <c r="I136" s="198">
        <f t="shared" si="203"/>
        <v>8</v>
      </c>
      <c r="J136" s="199">
        <f t="shared" si="203"/>
        <v>0</v>
      </c>
      <c r="K136" s="194" t="str">
        <f t="shared" ref="K136:K138" si="212">D136&amp;-8</f>
        <v>11.8-8</v>
      </c>
      <c r="L136" s="198">
        <f t="shared" si="172"/>
        <v>0.2</v>
      </c>
      <c r="M136" s="49">
        <v>30</v>
      </c>
      <c r="N136" s="198">
        <f t="shared" si="201"/>
        <v>150</v>
      </c>
      <c r="O136" s="198">
        <f t="shared" si="201"/>
        <v>160</v>
      </c>
      <c r="P136" s="198">
        <f t="shared" si="201"/>
        <v>390</v>
      </c>
      <c r="Q136" s="196" t="s">
        <v>76</v>
      </c>
    </row>
    <row r="137" spans="1:17" x14ac:dyDescent="0.25">
      <c r="A137" s="229">
        <f t="shared" ref="A137:B137" si="213">A136+1</f>
        <v>2047</v>
      </c>
      <c r="B137" s="230">
        <f t="shared" si="213"/>
        <v>127</v>
      </c>
      <c r="C137" s="229" t="str">
        <f t="shared" si="117"/>
        <v>22bX12+000_060_08</v>
      </c>
      <c r="D137" s="197">
        <f t="shared" si="165"/>
        <v>11.8</v>
      </c>
      <c r="E137" s="204">
        <f t="shared" si="166"/>
        <v>2.0230000000000001</v>
      </c>
      <c r="F137" s="198">
        <f t="shared" si="167"/>
        <v>17.14406779661017</v>
      </c>
      <c r="G137" s="198">
        <f t="shared" si="168"/>
        <v>13.715254237288136</v>
      </c>
      <c r="H137" s="198">
        <f t="shared" si="169"/>
        <v>8.5720338983050848</v>
      </c>
      <c r="I137" s="198">
        <f t="shared" si="203"/>
        <v>8</v>
      </c>
      <c r="J137" s="199">
        <f t="shared" si="203"/>
        <v>0</v>
      </c>
      <c r="K137" s="194" t="str">
        <f t="shared" si="212"/>
        <v>11.8-8</v>
      </c>
      <c r="L137" s="198">
        <f t="shared" si="172"/>
        <v>0.2</v>
      </c>
      <c r="M137" s="49">
        <v>60</v>
      </c>
      <c r="N137" s="198">
        <f t="shared" si="201"/>
        <v>150</v>
      </c>
      <c r="O137" s="198">
        <f t="shared" si="201"/>
        <v>160</v>
      </c>
      <c r="P137" s="198">
        <f t="shared" si="201"/>
        <v>390</v>
      </c>
      <c r="Q137" s="196" t="s">
        <v>76</v>
      </c>
    </row>
    <row r="138" spans="1:17" x14ac:dyDescent="0.25">
      <c r="A138" s="229">
        <f t="shared" ref="A138:B138" si="214">A137+1</f>
        <v>2048</v>
      </c>
      <c r="B138" s="230">
        <f t="shared" si="214"/>
        <v>128</v>
      </c>
      <c r="C138" s="229" t="str">
        <f t="shared" si="117"/>
        <v>22bX12+000_090_08</v>
      </c>
      <c r="D138" s="197">
        <f t="shared" si="165"/>
        <v>11.8</v>
      </c>
      <c r="E138" s="204">
        <f t="shared" si="166"/>
        <v>2.0230000000000001</v>
      </c>
      <c r="F138" s="198">
        <f t="shared" si="167"/>
        <v>17.14406779661017</v>
      </c>
      <c r="G138" s="198">
        <f t="shared" si="168"/>
        <v>13.715254237288136</v>
      </c>
      <c r="H138" s="198">
        <f t="shared" si="169"/>
        <v>8.5720338983050848</v>
      </c>
      <c r="I138" s="198">
        <f t="shared" si="203"/>
        <v>8</v>
      </c>
      <c r="J138" s="199">
        <f t="shared" si="203"/>
        <v>0</v>
      </c>
      <c r="K138" s="194" t="str">
        <f t="shared" si="212"/>
        <v>11.8-8</v>
      </c>
      <c r="L138" s="198">
        <f t="shared" si="172"/>
        <v>0.2</v>
      </c>
      <c r="M138" s="49">
        <v>90</v>
      </c>
      <c r="N138" s="198">
        <f t="shared" si="201"/>
        <v>150</v>
      </c>
      <c r="O138" s="198">
        <f t="shared" si="201"/>
        <v>160</v>
      </c>
      <c r="P138" s="198">
        <f t="shared" si="201"/>
        <v>390</v>
      </c>
      <c r="Q138" s="196" t="s">
        <v>76</v>
      </c>
    </row>
    <row r="139" spans="1:17" x14ac:dyDescent="0.25">
      <c r="A139" s="229">
        <f t="shared" ref="A139:B139" si="215">A138+1</f>
        <v>2049</v>
      </c>
      <c r="B139" s="230">
        <f t="shared" si="215"/>
        <v>129</v>
      </c>
      <c r="C139" s="229" t="str">
        <f t="shared" si="117"/>
        <v>22bX12+000_000_09</v>
      </c>
      <c r="D139" s="197">
        <f t="shared" si="165"/>
        <v>11.8</v>
      </c>
      <c r="E139" s="204">
        <f t="shared" si="166"/>
        <v>2.0230000000000001</v>
      </c>
      <c r="F139" s="198">
        <f t="shared" si="167"/>
        <v>17.14406779661017</v>
      </c>
      <c r="G139" s="198">
        <f t="shared" si="168"/>
        <v>13.715254237288136</v>
      </c>
      <c r="H139" s="198">
        <f t="shared" si="169"/>
        <v>8.5720338983050848</v>
      </c>
      <c r="I139" s="198">
        <f t="shared" si="203"/>
        <v>8</v>
      </c>
      <c r="J139" s="199">
        <f t="shared" si="203"/>
        <v>0</v>
      </c>
      <c r="K139" s="194" t="str">
        <f>D139&amp;-9</f>
        <v>11.8-9</v>
      </c>
      <c r="L139" s="198">
        <f t="shared" si="172"/>
        <v>0.2</v>
      </c>
      <c r="M139" s="49">
        <v>0</v>
      </c>
      <c r="N139" s="198">
        <f t="shared" si="201"/>
        <v>150</v>
      </c>
      <c r="O139" s="198">
        <f t="shared" si="201"/>
        <v>160</v>
      </c>
      <c r="P139" s="198">
        <f t="shared" si="201"/>
        <v>390</v>
      </c>
      <c r="Q139" s="196" t="s">
        <v>76</v>
      </c>
    </row>
    <row r="140" spans="1:17" x14ac:dyDescent="0.25">
      <c r="A140" s="229">
        <f t="shared" ref="A140:B140" si="216">A139+1</f>
        <v>2050</v>
      </c>
      <c r="B140" s="230">
        <f t="shared" si="216"/>
        <v>130</v>
      </c>
      <c r="C140" s="229" t="str">
        <f t="shared" ref="C140:C203" si="217">TEXT(RIGHT($B$2,LEN($B$2)-3),"000")&amp;"X"&amp;TEXT(D140,"00")&amp;"+"&amp;IF(J140&lt;0,TEXT(360+J140,"000"),TEXT(J140,"000"))&amp;"_"&amp;TEXT(M140,"000")&amp;"_"&amp;TEXT(RIGHT(K140,LEN(K140)-FIND("-",K140)),"00")</f>
        <v>22bX12+000_030_09</v>
      </c>
      <c r="D140" s="197">
        <f t="shared" si="165"/>
        <v>11.8</v>
      </c>
      <c r="E140" s="204">
        <f t="shared" si="166"/>
        <v>2.0230000000000001</v>
      </c>
      <c r="F140" s="198">
        <f t="shared" si="167"/>
        <v>17.14406779661017</v>
      </c>
      <c r="G140" s="198">
        <f t="shared" si="168"/>
        <v>13.715254237288136</v>
      </c>
      <c r="H140" s="198">
        <f t="shared" si="169"/>
        <v>8.5720338983050848</v>
      </c>
      <c r="I140" s="198">
        <f t="shared" si="203"/>
        <v>8</v>
      </c>
      <c r="J140" s="199">
        <f>J139</f>
        <v>0</v>
      </c>
      <c r="K140" s="194" t="str">
        <f t="shared" ref="K140:K142" si="218">D140&amp;-9</f>
        <v>11.8-9</v>
      </c>
      <c r="L140" s="198">
        <f t="shared" si="172"/>
        <v>0.2</v>
      </c>
      <c r="M140" s="49">
        <v>30</v>
      </c>
      <c r="N140" s="198">
        <f t="shared" si="201"/>
        <v>150</v>
      </c>
      <c r="O140" s="198">
        <f t="shared" si="201"/>
        <v>160</v>
      </c>
      <c r="P140" s="198">
        <f t="shared" si="201"/>
        <v>390</v>
      </c>
      <c r="Q140" s="196" t="s">
        <v>76</v>
      </c>
    </row>
    <row r="141" spans="1:17" x14ac:dyDescent="0.25">
      <c r="A141" s="229">
        <f t="shared" ref="A141:B141" si="219">A140+1</f>
        <v>2051</v>
      </c>
      <c r="B141" s="230">
        <f t="shared" si="219"/>
        <v>131</v>
      </c>
      <c r="C141" s="229" t="str">
        <f t="shared" si="217"/>
        <v>22bX12+000_060_09</v>
      </c>
      <c r="D141" s="197">
        <f t="shared" si="165"/>
        <v>11.8</v>
      </c>
      <c r="E141" s="204">
        <f t="shared" si="166"/>
        <v>2.0230000000000001</v>
      </c>
      <c r="F141" s="198">
        <f t="shared" si="167"/>
        <v>17.14406779661017</v>
      </c>
      <c r="G141" s="198">
        <f t="shared" si="168"/>
        <v>13.715254237288136</v>
      </c>
      <c r="H141" s="198">
        <f t="shared" si="169"/>
        <v>8.5720338983050848</v>
      </c>
      <c r="I141" s="198">
        <f t="shared" si="203"/>
        <v>8</v>
      </c>
      <c r="J141" s="199">
        <f t="shared" si="203"/>
        <v>0</v>
      </c>
      <c r="K141" s="194" t="str">
        <f t="shared" si="218"/>
        <v>11.8-9</v>
      </c>
      <c r="L141" s="198">
        <f t="shared" si="172"/>
        <v>0.2</v>
      </c>
      <c r="M141" s="49">
        <v>60</v>
      </c>
      <c r="N141" s="198">
        <f t="shared" si="201"/>
        <v>150</v>
      </c>
      <c r="O141" s="198">
        <f t="shared" si="201"/>
        <v>160</v>
      </c>
      <c r="P141" s="198">
        <f t="shared" si="201"/>
        <v>390</v>
      </c>
      <c r="Q141" s="196" t="s">
        <v>76</v>
      </c>
    </row>
    <row r="142" spans="1:17" x14ac:dyDescent="0.25">
      <c r="A142" s="229">
        <f t="shared" ref="A142:B142" si="220">A141+1</f>
        <v>2052</v>
      </c>
      <c r="B142" s="230">
        <f t="shared" si="220"/>
        <v>132</v>
      </c>
      <c r="C142" s="229" t="str">
        <f t="shared" si="217"/>
        <v>22bX12+000_090_09</v>
      </c>
      <c r="D142" s="197">
        <f t="shared" si="165"/>
        <v>11.8</v>
      </c>
      <c r="E142" s="204">
        <f t="shared" si="166"/>
        <v>2.0230000000000001</v>
      </c>
      <c r="F142" s="198">
        <f t="shared" si="167"/>
        <v>17.14406779661017</v>
      </c>
      <c r="G142" s="198">
        <f t="shared" si="168"/>
        <v>13.715254237288136</v>
      </c>
      <c r="H142" s="198">
        <f t="shared" si="169"/>
        <v>8.5720338983050848</v>
      </c>
      <c r="I142" s="198">
        <f t="shared" si="203"/>
        <v>8</v>
      </c>
      <c r="J142" s="199">
        <f t="shared" si="203"/>
        <v>0</v>
      </c>
      <c r="K142" s="194" t="str">
        <f t="shared" si="218"/>
        <v>11.8-9</v>
      </c>
      <c r="L142" s="198">
        <f t="shared" si="172"/>
        <v>0.2</v>
      </c>
      <c r="M142" s="49">
        <v>90</v>
      </c>
      <c r="N142" s="198">
        <f t="shared" si="201"/>
        <v>150</v>
      </c>
      <c r="O142" s="198">
        <f t="shared" si="201"/>
        <v>160</v>
      </c>
      <c r="P142" s="198">
        <f t="shared" si="201"/>
        <v>390</v>
      </c>
      <c r="Q142" s="196" t="s">
        <v>76</v>
      </c>
    </row>
    <row r="143" spans="1:17" x14ac:dyDescent="0.25">
      <c r="A143" s="229">
        <f t="shared" ref="A143:B143" si="221">A142+1</f>
        <v>2053</v>
      </c>
      <c r="B143" s="230">
        <f t="shared" si="221"/>
        <v>133</v>
      </c>
      <c r="C143" s="229" t="str">
        <f t="shared" si="217"/>
        <v>22bX12+000_000_10</v>
      </c>
      <c r="D143" s="197">
        <f t="shared" si="165"/>
        <v>11.8</v>
      </c>
      <c r="E143" s="204">
        <f t="shared" si="166"/>
        <v>2.0230000000000001</v>
      </c>
      <c r="F143" s="198">
        <f t="shared" si="167"/>
        <v>17.14406779661017</v>
      </c>
      <c r="G143" s="198">
        <f t="shared" si="168"/>
        <v>13.715254237288136</v>
      </c>
      <c r="H143" s="198">
        <f t="shared" si="169"/>
        <v>8.5720338983050848</v>
      </c>
      <c r="I143" s="198">
        <f t="shared" si="203"/>
        <v>8</v>
      </c>
      <c r="J143" s="199">
        <f t="shared" si="203"/>
        <v>0</v>
      </c>
      <c r="K143" s="194" t="str">
        <f>D143&amp;-10</f>
        <v>11.8-10</v>
      </c>
      <c r="L143" s="198">
        <f t="shared" si="172"/>
        <v>0.2</v>
      </c>
      <c r="M143" s="49">
        <v>0</v>
      </c>
      <c r="N143" s="198">
        <f t="shared" si="201"/>
        <v>150</v>
      </c>
      <c r="O143" s="198">
        <f t="shared" si="201"/>
        <v>160</v>
      </c>
      <c r="P143" s="198">
        <f t="shared" si="201"/>
        <v>390</v>
      </c>
      <c r="Q143" s="196" t="s">
        <v>76</v>
      </c>
    </row>
    <row r="144" spans="1:17" x14ac:dyDescent="0.25">
      <c r="A144" s="229">
        <f t="shared" ref="A144:B144" si="222">A143+1</f>
        <v>2054</v>
      </c>
      <c r="B144" s="230">
        <f t="shared" si="222"/>
        <v>134</v>
      </c>
      <c r="C144" s="229" t="str">
        <f t="shared" si="217"/>
        <v>22bX12+000_030_10</v>
      </c>
      <c r="D144" s="197">
        <f t="shared" si="165"/>
        <v>11.8</v>
      </c>
      <c r="E144" s="204">
        <f t="shared" si="166"/>
        <v>2.0230000000000001</v>
      </c>
      <c r="F144" s="198">
        <f t="shared" si="167"/>
        <v>17.14406779661017</v>
      </c>
      <c r="G144" s="198">
        <f t="shared" si="168"/>
        <v>13.715254237288136</v>
      </c>
      <c r="H144" s="198">
        <f t="shared" si="169"/>
        <v>8.5720338983050848</v>
      </c>
      <c r="I144" s="198">
        <f t="shared" si="203"/>
        <v>8</v>
      </c>
      <c r="J144" s="199">
        <f t="shared" si="203"/>
        <v>0</v>
      </c>
      <c r="K144" s="194" t="str">
        <f t="shared" ref="K144:K146" si="223">D144&amp;-10</f>
        <v>11.8-10</v>
      </c>
      <c r="L144" s="198">
        <f t="shared" si="172"/>
        <v>0.2</v>
      </c>
      <c r="M144" s="49">
        <v>30</v>
      </c>
      <c r="N144" s="198">
        <f t="shared" ref="N144:P154" si="224">N143</f>
        <v>150</v>
      </c>
      <c r="O144" s="198">
        <f t="shared" si="224"/>
        <v>160</v>
      </c>
      <c r="P144" s="198">
        <f t="shared" si="224"/>
        <v>390</v>
      </c>
      <c r="Q144" s="196" t="s">
        <v>76</v>
      </c>
    </row>
    <row r="145" spans="1:17" x14ac:dyDescent="0.25">
      <c r="A145" s="229">
        <f t="shared" ref="A145:B145" si="225">A144+1</f>
        <v>2055</v>
      </c>
      <c r="B145" s="230">
        <f t="shared" si="225"/>
        <v>135</v>
      </c>
      <c r="C145" s="229" t="str">
        <f t="shared" si="217"/>
        <v>22bX12+000_060_10</v>
      </c>
      <c r="D145" s="197">
        <f t="shared" si="165"/>
        <v>11.8</v>
      </c>
      <c r="E145" s="204">
        <f t="shared" si="166"/>
        <v>2.0230000000000001</v>
      </c>
      <c r="F145" s="198">
        <f t="shared" si="167"/>
        <v>17.14406779661017</v>
      </c>
      <c r="G145" s="198">
        <f t="shared" si="168"/>
        <v>13.715254237288136</v>
      </c>
      <c r="H145" s="198">
        <f t="shared" si="169"/>
        <v>8.5720338983050848</v>
      </c>
      <c r="I145" s="198">
        <f t="shared" ref="I145:J154" si="226">I144</f>
        <v>8</v>
      </c>
      <c r="J145" s="199">
        <f t="shared" si="226"/>
        <v>0</v>
      </c>
      <c r="K145" s="194" t="str">
        <f t="shared" si="223"/>
        <v>11.8-10</v>
      </c>
      <c r="L145" s="198">
        <f t="shared" si="172"/>
        <v>0.2</v>
      </c>
      <c r="M145" s="49">
        <v>60</v>
      </c>
      <c r="N145" s="198">
        <f t="shared" si="224"/>
        <v>150</v>
      </c>
      <c r="O145" s="198">
        <f t="shared" si="224"/>
        <v>160</v>
      </c>
      <c r="P145" s="198">
        <f t="shared" si="224"/>
        <v>390</v>
      </c>
      <c r="Q145" s="196" t="s">
        <v>76</v>
      </c>
    </row>
    <row r="146" spans="1:17" x14ac:dyDescent="0.25">
      <c r="A146" s="229">
        <f t="shared" ref="A146:B146" si="227">A145+1</f>
        <v>2056</v>
      </c>
      <c r="B146" s="230">
        <f t="shared" si="227"/>
        <v>136</v>
      </c>
      <c r="C146" s="229" t="str">
        <f t="shared" si="217"/>
        <v>22bX12+000_090_10</v>
      </c>
      <c r="D146" s="197">
        <f t="shared" si="165"/>
        <v>11.8</v>
      </c>
      <c r="E146" s="204">
        <f t="shared" si="166"/>
        <v>2.0230000000000001</v>
      </c>
      <c r="F146" s="198">
        <f t="shared" si="167"/>
        <v>17.14406779661017</v>
      </c>
      <c r="G146" s="198">
        <f t="shared" si="168"/>
        <v>13.715254237288136</v>
      </c>
      <c r="H146" s="198">
        <f t="shared" si="169"/>
        <v>8.5720338983050848</v>
      </c>
      <c r="I146" s="198">
        <f t="shared" si="226"/>
        <v>8</v>
      </c>
      <c r="J146" s="199">
        <f t="shared" si="226"/>
        <v>0</v>
      </c>
      <c r="K146" s="194" t="str">
        <f t="shared" si="223"/>
        <v>11.8-10</v>
      </c>
      <c r="L146" s="198">
        <f t="shared" si="172"/>
        <v>0.2</v>
      </c>
      <c r="M146" s="49">
        <v>90</v>
      </c>
      <c r="N146" s="198">
        <f t="shared" si="224"/>
        <v>150</v>
      </c>
      <c r="O146" s="198">
        <f t="shared" si="224"/>
        <v>160</v>
      </c>
      <c r="P146" s="198">
        <f t="shared" si="224"/>
        <v>390</v>
      </c>
      <c r="Q146" s="196" t="s">
        <v>76</v>
      </c>
    </row>
    <row r="147" spans="1:17" x14ac:dyDescent="0.25">
      <c r="A147" s="229">
        <f t="shared" ref="A147:B147" si="228">A146+1</f>
        <v>2057</v>
      </c>
      <c r="B147" s="230">
        <f t="shared" si="228"/>
        <v>137</v>
      </c>
      <c r="C147" s="229" t="str">
        <f t="shared" si="217"/>
        <v>22bX12+000_000_11</v>
      </c>
      <c r="D147" s="197">
        <f t="shared" si="165"/>
        <v>11.8</v>
      </c>
      <c r="E147" s="204">
        <f t="shared" si="166"/>
        <v>2.0230000000000001</v>
      </c>
      <c r="F147" s="198">
        <f t="shared" si="167"/>
        <v>17.14406779661017</v>
      </c>
      <c r="G147" s="198">
        <f t="shared" si="168"/>
        <v>13.715254237288136</v>
      </c>
      <c r="H147" s="198">
        <f t="shared" si="169"/>
        <v>8.5720338983050848</v>
      </c>
      <c r="I147" s="198">
        <f t="shared" si="226"/>
        <v>8</v>
      </c>
      <c r="J147" s="199">
        <f t="shared" si="226"/>
        <v>0</v>
      </c>
      <c r="K147" s="194" t="str">
        <f>D147&amp;-11</f>
        <v>11.8-11</v>
      </c>
      <c r="L147" s="198">
        <f t="shared" si="172"/>
        <v>0.2</v>
      </c>
      <c r="M147" s="49">
        <v>0</v>
      </c>
      <c r="N147" s="198">
        <f t="shared" si="224"/>
        <v>150</v>
      </c>
      <c r="O147" s="198">
        <f t="shared" si="224"/>
        <v>160</v>
      </c>
      <c r="P147" s="198">
        <f t="shared" si="224"/>
        <v>390</v>
      </c>
      <c r="Q147" s="196" t="s">
        <v>76</v>
      </c>
    </row>
    <row r="148" spans="1:17" x14ac:dyDescent="0.25">
      <c r="A148" s="229">
        <f t="shared" ref="A148:B148" si="229">A147+1</f>
        <v>2058</v>
      </c>
      <c r="B148" s="230">
        <f t="shared" si="229"/>
        <v>138</v>
      </c>
      <c r="C148" s="229" t="str">
        <f t="shared" si="217"/>
        <v>22bX12+000_030_11</v>
      </c>
      <c r="D148" s="197">
        <f t="shared" si="165"/>
        <v>11.8</v>
      </c>
      <c r="E148" s="204">
        <f t="shared" si="166"/>
        <v>2.0230000000000001</v>
      </c>
      <c r="F148" s="198">
        <f t="shared" si="167"/>
        <v>17.14406779661017</v>
      </c>
      <c r="G148" s="198">
        <f t="shared" si="168"/>
        <v>13.715254237288136</v>
      </c>
      <c r="H148" s="198">
        <f t="shared" si="169"/>
        <v>8.5720338983050848</v>
      </c>
      <c r="I148" s="198">
        <f t="shared" si="226"/>
        <v>8</v>
      </c>
      <c r="J148" s="199">
        <f t="shared" si="226"/>
        <v>0</v>
      </c>
      <c r="K148" s="194" t="str">
        <f t="shared" ref="K148:K150" si="230">D148&amp;-11</f>
        <v>11.8-11</v>
      </c>
      <c r="L148" s="198">
        <f t="shared" si="172"/>
        <v>0.2</v>
      </c>
      <c r="M148" s="49">
        <v>30</v>
      </c>
      <c r="N148" s="198">
        <f t="shared" si="224"/>
        <v>150</v>
      </c>
      <c r="O148" s="198">
        <f t="shared" si="224"/>
        <v>160</v>
      </c>
      <c r="P148" s="198">
        <f t="shared" si="224"/>
        <v>390</v>
      </c>
      <c r="Q148" s="196" t="s">
        <v>76</v>
      </c>
    </row>
    <row r="149" spans="1:17" x14ac:dyDescent="0.25">
      <c r="A149" s="229">
        <f t="shared" ref="A149:B149" si="231">A148+1</f>
        <v>2059</v>
      </c>
      <c r="B149" s="230">
        <f t="shared" si="231"/>
        <v>139</v>
      </c>
      <c r="C149" s="229" t="str">
        <f t="shared" si="217"/>
        <v>22bX12+000_060_11</v>
      </c>
      <c r="D149" s="197">
        <f t="shared" si="165"/>
        <v>11.8</v>
      </c>
      <c r="E149" s="204">
        <f t="shared" si="166"/>
        <v>2.0230000000000001</v>
      </c>
      <c r="F149" s="198">
        <f t="shared" si="167"/>
        <v>17.14406779661017</v>
      </c>
      <c r="G149" s="198">
        <f t="shared" si="168"/>
        <v>13.715254237288136</v>
      </c>
      <c r="H149" s="198">
        <f t="shared" si="169"/>
        <v>8.5720338983050848</v>
      </c>
      <c r="I149" s="198">
        <f t="shared" si="226"/>
        <v>8</v>
      </c>
      <c r="J149" s="199">
        <f t="shared" si="226"/>
        <v>0</v>
      </c>
      <c r="K149" s="194" t="str">
        <f t="shared" si="230"/>
        <v>11.8-11</v>
      </c>
      <c r="L149" s="198">
        <f t="shared" si="172"/>
        <v>0.2</v>
      </c>
      <c r="M149" s="49">
        <v>60</v>
      </c>
      <c r="N149" s="198">
        <f t="shared" si="224"/>
        <v>150</v>
      </c>
      <c r="O149" s="198">
        <f t="shared" si="224"/>
        <v>160</v>
      </c>
      <c r="P149" s="198">
        <f t="shared" si="224"/>
        <v>390</v>
      </c>
      <c r="Q149" s="196" t="s">
        <v>76</v>
      </c>
    </row>
    <row r="150" spans="1:17" x14ac:dyDescent="0.25">
      <c r="A150" s="229">
        <f t="shared" ref="A150:B150" si="232">A149+1</f>
        <v>2060</v>
      </c>
      <c r="B150" s="230">
        <f t="shared" si="232"/>
        <v>140</v>
      </c>
      <c r="C150" s="229" t="str">
        <f t="shared" si="217"/>
        <v>22bX12+000_090_11</v>
      </c>
      <c r="D150" s="197">
        <f t="shared" si="165"/>
        <v>11.8</v>
      </c>
      <c r="E150" s="204">
        <f t="shared" si="166"/>
        <v>2.0230000000000001</v>
      </c>
      <c r="F150" s="198">
        <f t="shared" si="167"/>
        <v>17.14406779661017</v>
      </c>
      <c r="G150" s="198">
        <f t="shared" si="168"/>
        <v>13.715254237288136</v>
      </c>
      <c r="H150" s="198">
        <f t="shared" si="169"/>
        <v>8.5720338983050848</v>
      </c>
      <c r="I150" s="198">
        <f t="shared" si="226"/>
        <v>8</v>
      </c>
      <c r="J150" s="199">
        <f t="shared" si="226"/>
        <v>0</v>
      </c>
      <c r="K150" s="194" t="str">
        <f t="shared" si="230"/>
        <v>11.8-11</v>
      </c>
      <c r="L150" s="198">
        <f t="shared" si="172"/>
        <v>0.2</v>
      </c>
      <c r="M150" s="49">
        <v>90</v>
      </c>
      <c r="N150" s="198">
        <f t="shared" si="224"/>
        <v>150</v>
      </c>
      <c r="O150" s="198">
        <f t="shared" si="224"/>
        <v>160</v>
      </c>
      <c r="P150" s="198">
        <f t="shared" si="224"/>
        <v>390</v>
      </c>
      <c r="Q150" s="196" t="s">
        <v>76</v>
      </c>
    </row>
    <row r="151" spans="1:17" x14ac:dyDescent="0.25">
      <c r="A151" s="229">
        <f t="shared" ref="A151:B151" si="233">A150+1</f>
        <v>2061</v>
      </c>
      <c r="B151" s="230">
        <f t="shared" si="233"/>
        <v>141</v>
      </c>
      <c r="C151" s="229" t="str">
        <f t="shared" si="217"/>
        <v>22bX12+000_000_12</v>
      </c>
      <c r="D151" s="197">
        <f t="shared" si="165"/>
        <v>11.8</v>
      </c>
      <c r="E151" s="204">
        <f t="shared" si="166"/>
        <v>2.0230000000000001</v>
      </c>
      <c r="F151" s="198">
        <f t="shared" si="167"/>
        <v>17.14406779661017</v>
      </c>
      <c r="G151" s="198">
        <f t="shared" si="168"/>
        <v>13.715254237288136</v>
      </c>
      <c r="H151" s="198">
        <f t="shared" si="169"/>
        <v>8.5720338983050848</v>
      </c>
      <c r="I151" s="198">
        <f t="shared" si="226"/>
        <v>8</v>
      </c>
      <c r="J151" s="199">
        <f t="shared" si="226"/>
        <v>0</v>
      </c>
      <c r="K151" s="194" t="str">
        <f>D151&amp;-12</f>
        <v>11.8-12</v>
      </c>
      <c r="L151" s="198">
        <f t="shared" si="172"/>
        <v>0.2</v>
      </c>
      <c r="M151" s="49">
        <v>0</v>
      </c>
      <c r="N151" s="198">
        <f t="shared" si="224"/>
        <v>150</v>
      </c>
      <c r="O151" s="198">
        <f t="shared" si="224"/>
        <v>160</v>
      </c>
      <c r="P151" s="198">
        <f t="shared" si="224"/>
        <v>390</v>
      </c>
      <c r="Q151" s="196" t="s">
        <v>76</v>
      </c>
    </row>
    <row r="152" spans="1:17" x14ac:dyDescent="0.25">
      <c r="A152" s="229">
        <f t="shared" ref="A152:B152" si="234">A151+1</f>
        <v>2062</v>
      </c>
      <c r="B152" s="230">
        <f t="shared" si="234"/>
        <v>142</v>
      </c>
      <c r="C152" s="229" t="str">
        <f t="shared" si="217"/>
        <v>22bX12+000_030_12</v>
      </c>
      <c r="D152" s="197">
        <f t="shared" si="165"/>
        <v>11.8</v>
      </c>
      <c r="E152" s="204">
        <f t="shared" si="166"/>
        <v>2.0230000000000001</v>
      </c>
      <c r="F152" s="198">
        <f t="shared" si="167"/>
        <v>17.14406779661017</v>
      </c>
      <c r="G152" s="198">
        <f t="shared" si="168"/>
        <v>13.715254237288136</v>
      </c>
      <c r="H152" s="198">
        <f t="shared" si="169"/>
        <v>8.5720338983050848</v>
      </c>
      <c r="I152" s="198">
        <f t="shared" si="226"/>
        <v>8</v>
      </c>
      <c r="J152" s="199">
        <f t="shared" si="226"/>
        <v>0</v>
      </c>
      <c r="K152" s="194" t="str">
        <f t="shared" ref="K152:K154" si="235">D152&amp;-12</f>
        <v>11.8-12</v>
      </c>
      <c r="L152" s="198">
        <f t="shared" si="172"/>
        <v>0.2</v>
      </c>
      <c r="M152" s="49">
        <v>30</v>
      </c>
      <c r="N152" s="198">
        <f t="shared" si="224"/>
        <v>150</v>
      </c>
      <c r="O152" s="198">
        <f t="shared" si="224"/>
        <v>160</v>
      </c>
      <c r="P152" s="198">
        <f t="shared" si="224"/>
        <v>390</v>
      </c>
      <c r="Q152" s="196" t="s">
        <v>76</v>
      </c>
    </row>
    <row r="153" spans="1:17" x14ac:dyDescent="0.25">
      <c r="A153" s="229">
        <f t="shared" ref="A153:B153" si="236">A152+1</f>
        <v>2063</v>
      </c>
      <c r="B153" s="230">
        <f t="shared" si="236"/>
        <v>143</v>
      </c>
      <c r="C153" s="229" t="str">
        <f t="shared" si="217"/>
        <v>22bX12+000_060_12</v>
      </c>
      <c r="D153" s="197">
        <f t="shared" si="165"/>
        <v>11.8</v>
      </c>
      <c r="E153" s="204">
        <f t="shared" si="166"/>
        <v>2.0230000000000001</v>
      </c>
      <c r="F153" s="198">
        <f t="shared" si="167"/>
        <v>17.14406779661017</v>
      </c>
      <c r="G153" s="198">
        <f t="shared" si="168"/>
        <v>13.715254237288136</v>
      </c>
      <c r="H153" s="198">
        <f t="shared" si="169"/>
        <v>8.5720338983050848</v>
      </c>
      <c r="I153" s="198">
        <f t="shared" si="226"/>
        <v>8</v>
      </c>
      <c r="J153" s="199">
        <f t="shared" si="226"/>
        <v>0</v>
      </c>
      <c r="K153" s="194" t="str">
        <f t="shared" si="235"/>
        <v>11.8-12</v>
      </c>
      <c r="L153" s="198">
        <f t="shared" si="172"/>
        <v>0.2</v>
      </c>
      <c r="M153" s="49">
        <v>60</v>
      </c>
      <c r="N153" s="198">
        <f t="shared" si="224"/>
        <v>150</v>
      </c>
      <c r="O153" s="198">
        <f t="shared" si="224"/>
        <v>160</v>
      </c>
      <c r="P153" s="198">
        <f t="shared" si="224"/>
        <v>390</v>
      </c>
      <c r="Q153" s="196" t="s">
        <v>76</v>
      </c>
    </row>
    <row r="154" spans="1:17" x14ac:dyDescent="0.25">
      <c r="A154" s="229">
        <f t="shared" ref="A154:B154" si="237">A153+1</f>
        <v>2064</v>
      </c>
      <c r="B154" s="230">
        <f t="shared" si="237"/>
        <v>144</v>
      </c>
      <c r="C154" s="229" t="str">
        <f t="shared" si="217"/>
        <v>22bX12+000_090_12</v>
      </c>
      <c r="D154" s="197">
        <f t="shared" si="165"/>
        <v>11.8</v>
      </c>
      <c r="E154" s="204">
        <f t="shared" si="166"/>
        <v>2.0230000000000001</v>
      </c>
      <c r="F154" s="198">
        <f t="shared" si="167"/>
        <v>17.14406779661017</v>
      </c>
      <c r="G154" s="198">
        <f t="shared" si="168"/>
        <v>13.715254237288136</v>
      </c>
      <c r="H154" s="198">
        <f t="shared" si="169"/>
        <v>8.5720338983050848</v>
      </c>
      <c r="I154" s="198">
        <f t="shared" si="226"/>
        <v>8</v>
      </c>
      <c r="J154" s="199">
        <f t="shared" si="226"/>
        <v>0</v>
      </c>
      <c r="K154" s="194" t="str">
        <f t="shared" si="235"/>
        <v>11.8-12</v>
      </c>
      <c r="L154" s="198">
        <f t="shared" si="172"/>
        <v>0.2</v>
      </c>
      <c r="M154" s="49">
        <v>90</v>
      </c>
      <c r="N154" s="198">
        <f t="shared" si="224"/>
        <v>150</v>
      </c>
      <c r="O154" s="198">
        <f t="shared" si="224"/>
        <v>160</v>
      </c>
      <c r="P154" s="198">
        <f t="shared" si="224"/>
        <v>390</v>
      </c>
      <c r="Q154" s="196" t="s">
        <v>76</v>
      </c>
    </row>
    <row r="155" spans="1:17" x14ac:dyDescent="0.25">
      <c r="A155" s="229">
        <f t="shared" ref="A155:B155" si="238">A154+1</f>
        <v>2065</v>
      </c>
      <c r="B155" s="230">
        <f t="shared" si="238"/>
        <v>145</v>
      </c>
      <c r="C155" s="229" t="str">
        <f t="shared" si="217"/>
        <v>22bX20+000_000_01</v>
      </c>
      <c r="D155" s="197">
        <f>v_c</f>
        <v>20</v>
      </c>
      <c r="E155" s="204">
        <f t="shared" ref="E155" si="239">I_ref*(0.75*D155+5.6)</f>
        <v>2.8840000000000003</v>
      </c>
      <c r="F155" s="198">
        <f>E155/D155*100</f>
        <v>14.420000000000002</v>
      </c>
      <c r="G155" s="198">
        <f t="shared" ref="G155" si="240">m_ty*F155</f>
        <v>11.536000000000001</v>
      </c>
      <c r="H155" s="198">
        <f t="shared" ref="H155" si="241">m_tz*F155</f>
        <v>7.2100000000000009</v>
      </c>
      <c r="I155" s="198">
        <f>inflow</f>
        <v>8</v>
      </c>
      <c r="J155" s="199">
        <f>yaw_null</f>
        <v>0</v>
      </c>
      <c r="K155" s="194" t="str">
        <f>D155&amp;-1</f>
        <v>20-1</v>
      </c>
      <c r="L155" s="198">
        <f>alpha_n</f>
        <v>0.2</v>
      </c>
      <c r="M155" s="49">
        <v>0</v>
      </c>
      <c r="N155" s="198">
        <f>t_out</f>
        <v>150</v>
      </c>
      <c r="O155" s="198">
        <f>trig_t</f>
        <v>160</v>
      </c>
      <c r="P155" s="198">
        <f>N155+4*T_s2</f>
        <v>390</v>
      </c>
      <c r="Q155" s="196" t="s">
        <v>76</v>
      </c>
    </row>
    <row r="156" spans="1:17" x14ac:dyDescent="0.25">
      <c r="A156" s="229">
        <f t="shared" ref="A156:B156" si="242">A155+1</f>
        <v>2066</v>
      </c>
      <c r="B156" s="230">
        <f t="shared" si="242"/>
        <v>146</v>
      </c>
      <c r="C156" s="229" t="str">
        <f t="shared" si="217"/>
        <v>22bX20+000_030_01</v>
      </c>
      <c r="D156" s="197">
        <f t="shared" ref="D156:D219" si="243">D155</f>
        <v>20</v>
      </c>
      <c r="E156" s="204">
        <f t="shared" ref="E156:E178" si="244">I_ref*(0.75*D156+5.6)</f>
        <v>2.8840000000000003</v>
      </c>
      <c r="F156" s="198">
        <f t="shared" ref="F156:F202" si="245">E156/D156*100</f>
        <v>14.420000000000002</v>
      </c>
      <c r="G156" s="198">
        <f t="shared" ref="G156:G162" si="246">m_ty*F156</f>
        <v>11.536000000000001</v>
      </c>
      <c r="H156" s="198">
        <f t="shared" ref="H156:H162" si="247">m_tz*F156</f>
        <v>7.2100000000000009</v>
      </c>
      <c r="I156" s="198">
        <f t="shared" ref="I156:J160" si="248">I155</f>
        <v>8</v>
      </c>
      <c r="J156" s="199">
        <f>J155</f>
        <v>0</v>
      </c>
      <c r="K156" s="194" t="str">
        <f t="shared" ref="K156:K158" si="249">D156&amp;-1</f>
        <v>20-1</v>
      </c>
      <c r="L156" s="198">
        <f t="shared" ref="L156:L219" si="250">L155</f>
        <v>0.2</v>
      </c>
      <c r="M156" s="49">
        <v>30</v>
      </c>
      <c r="N156" s="198">
        <f t="shared" ref="N156:P159" si="251">N155</f>
        <v>150</v>
      </c>
      <c r="O156" s="198">
        <f t="shared" si="251"/>
        <v>160</v>
      </c>
      <c r="P156" s="198">
        <f t="shared" si="251"/>
        <v>390</v>
      </c>
      <c r="Q156" s="196" t="s">
        <v>76</v>
      </c>
    </row>
    <row r="157" spans="1:17" x14ac:dyDescent="0.25">
      <c r="A157" s="229">
        <f t="shared" ref="A157:B157" si="252">A156+1</f>
        <v>2067</v>
      </c>
      <c r="B157" s="230">
        <f t="shared" si="252"/>
        <v>147</v>
      </c>
      <c r="C157" s="229" t="str">
        <f t="shared" si="217"/>
        <v>22bX20+000_060_01</v>
      </c>
      <c r="D157" s="197">
        <f t="shared" si="243"/>
        <v>20</v>
      </c>
      <c r="E157" s="204">
        <f t="shared" si="244"/>
        <v>2.8840000000000003</v>
      </c>
      <c r="F157" s="198">
        <f t="shared" si="245"/>
        <v>14.420000000000002</v>
      </c>
      <c r="G157" s="198">
        <f t="shared" si="246"/>
        <v>11.536000000000001</v>
      </c>
      <c r="H157" s="198">
        <f t="shared" si="247"/>
        <v>7.2100000000000009</v>
      </c>
      <c r="I157" s="198">
        <f t="shared" si="248"/>
        <v>8</v>
      </c>
      <c r="J157" s="199">
        <f t="shared" si="248"/>
        <v>0</v>
      </c>
      <c r="K157" s="194" t="str">
        <f t="shared" si="249"/>
        <v>20-1</v>
      </c>
      <c r="L157" s="198">
        <f t="shared" si="250"/>
        <v>0.2</v>
      </c>
      <c r="M157" s="49">
        <v>60</v>
      </c>
      <c r="N157" s="198">
        <f t="shared" si="251"/>
        <v>150</v>
      </c>
      <c r="O157" s="198">
        <f t="shared" si="251"/>
        <v>160</v>
      </c>
      <c r="P157" s="198">
        <f t="shared" si="251"/>
        <v>390</v>
      </c>
      <c r="Q157" s="196" t="s">
        <v>76</v>
      </c>
    </row>
    <row r="158" spans="1:17" x14ac:dyDescent="0.25">
      <c r="A158" s="229">
        <f t="shared" ref="A158:B158" si="253">A157+1</f>
        <v>2068</v>
      </c>
      <c r="B158" s="230">
        <f t="shared" si="253"/>
        <v>148</v>
      </c>
      <c r="C158" s="229" t="str">
        <f t="shared" si="217"/>
        <v>22bX20+000_090_01</v>
      </c>
      <c r="D158" s="197">
        <f t="shared" si="243"/>
        <v>20</v>
      </c>
      <c r="E158" s="204">
        <f t="shared" si="244"/>
        <v>2.8840000000000003</v>
      </c>
      <c r="F158" s="198">
        <f t="shared" si="245"/>
        <v>14.420000000000002</v>
      </c>
      <c r="G158" s="198">
        <f t="shared" si="246"/>
        <v>11.536000000000001</v>
      </c>
      <c r="H158" s="198">
        <f t="shared" si="247"/>
        <v>7.2100000000000009</v>
      </c>
      <c r="I158" s="198">
        <f t="shared" si="248"/>
        <v>8</v>
      </c>
      <c r="J158" s="199">
        <f t="shared" si="248"/>
        <v>0</v>
      </c>
      <c r="K158" s="194" t="str">
        <f t="shared" si="249"/>
        <v>20-1</v>
      </c>
      <c r="L158" s="198">
        <f t="shared" si="250"/>
        <v>0.2</v>
      </c>
      <c r="M158" s="49">
        <v>90</v>
      </c>
      <c r="N158" s="198">
        <f t="shared" si="251"/>
        <v>150</v>
      </c>
      <c r="O158" s="198">
        <f t="shared" si="251"/>
        <v>160</v>
      </c>
      <c r="P158" s="198">
        <f t="shared" si="251"/>
        <v>390</v>
      </c>
      <c r="Q158" s="196" t="s">
        <v>76</v>
      </c>
    </row>
    <row r="159" spans="1:17" x14ac:dyDescent="0.25">
      <c r="A159" s="229">
        <f t="shared" ref="A159:B159" si="254">A158+1</f>
        <v>2069</v>
      </c>
      <c r="B159" s="230">
        <f t="shared" si="254"/>
        <v>149</v>
      </c>
      <c r="C159" s="229" t="str">
        <f t="shared" si="217"/>
        <v>22bX20+000_000_02</v>
      </c>
      <c r="D159" s="197">
        <f t="shared" si="243"/>
        <v>20</v>
      </c>
      <c r="E159" s="204">
        <f t="shared" si="244"/>
        <v>2.8840000000000003</v>
      </c>
      <c r="F159" s="198">
        <f t="shared" si="245"/>
        <v>14.420000000000002</v>
      </c>
      <c r="G159" s="198">
        <f t="shared" si="246"/>
        <v>11.536000000000001</v>
      </c>
      <c r="H159" s="198">
        <f t="shared" si="247"/>
        <v>7.2100000000000009</v>
      </c>
      <c r="I159" s="198">
        <f t="shared" si="248"/>
        <v>8</v>
      </c>
      <c r="J159" s="199">
        <f t="shared" si="248"/>
        <v>0</v>
      </c>
      <c r="K159" s="194" t="str">
        <f>D159&amp;-2</f>
        <v>20-2</v>
      </c>
      <c r="L159" s="198">
        <f t="shared" si="250"/>
        <v>0.2</v>
      </c>
      <c r="M159" s="49">
        <v>0</v>
      </c>
      <c r="N159" s="198">
        <f t="shared" si="251"/>
        <v>150</v>
      </c>
      <c r="O159" s="198">
        <f t="shared" si="251"/>
        <v>160</v>
      </c>
      <c r="P159" s="198">
        <f t="shared" si="251"/>
        <v>390</v>
      </c>
      <c r="Q159" s="196" t="s">
        <v>76</v>
      </c>
    </row>
    <row r="160" spans="1:17" x14ac:dyDescent="0.25">
      <c r="A160" s="229">
        <f t="shared" ref="A160:B160" si="255">A159+1</f>
        <v>2070</v>
      </c>
      <c r="B160" s="230">
        <f t="shared" si="255"/>
        <v>150</v>
      </c>
      <c r="C160" s="229" t="str">
        <f t="shared" si="217"/>
        <v>22bX20+000_030_02</v>
      </c>
      <c r="D160" s="197">
        <f t="shared" si="243"/>
        <v>20</v>
      </c>
      <c r="E160" s="204">
        <f t="shared" si="244"/>
        <v>2.8840000000000003</v>
      </c>
      <c r="F160" s="198">
        <f t="shared" si="245"/>
        <v>14.420000000000002</v>
      </c>
      <c r="G160" s="198">
        <f t="shared" si="246"/>
        <v>11.536000000000001</v>
      </c>
      <c r="H160" s="198">
        <f t="shared" si="247"/>
        <v>7.2100000000000009</v>
      </c>
      <c r="I160" s="198">
        <f t="shared" si="248"/>
        <v>8</v>
      </c>
      <c r="J160" s="199">
        <f t="shared" si="248"/>
        <v>0</v>
      </c>
      <c r="K160" s="194" t="str">
        <f t="shared" ref="K160:K162" si="256">D160&amp;-2</f>
        <v>20-2</v>
      </c>
      <c r="L160" s="198">
        <f t="shared" si="250"/>
        <v>0.2</v>
      </c>
      <c r="M160" s="49">
        <v>30</v>
      </c>
      <c r="N160" s="198">
        <f t="shared" ref="N160:P175" si="257">N159</f>
        <v>150</v>
      </c>
      <c r="O160" s="198">
        <f t="shared" si="257"/>
        <v>160</v>
      </c>
      <c r="P160" s="198">
        <f t="shared" si="257"/>
        <v>390</v>
      </c>
      <c r="Q160" s="196" t="s">
        <v>76</v>
      </c>
    </row>
    <row r="161" spans="1:17" x14ac:dyDescent="0.25">
      <c r="A161" s="229">
        <f t="shared" ref="A161:B161" si="258">A160+1</f>
        <v>2071</v>
      </c>
      <c r="B161" s="230">
        <f t="shared" si="258"/>
        <v>151</v>
      </c>
      <c r="C161" s="229" t="str">
        <f t="shared" si="217"/>
        <v>22bX20+000_060_02</v>
      </c>
      <c r="D161" s="197">
        <f t="shared" si="243"/>
        <v>20</v>
      </c>
      <c r="E161" s="204">
        <f t="shared" si="244"/>
        <v>2.8840000000000003</v>
      </c>
      <c r="F161" s="198">
        <f t="shared" si="245"/>
        <v>14.420000000000002</v>
      </c>
      <c r="G161" s="198">
        <f t="shared" si="246"/>
        <v>11.536000000000001</v>
      </c>
      <c r="H161" s="198">
        <f t="shared" si="247"/>
        <v>7.2100000000000009</v>
      </c>
      <c r="I161" s="198">
        <f t="shared" ref="I161:J176" si="259">I160</f>
        <v>8</v>
      </c>
      <c r="J161" s="199">
        <f t="shared" si="259"/>
        <v>0</v>
      </c>
      <c r="K161" s="194" t="str">
        <f t="shared" si="256"/>
        <v>20-2</v>
      </c>
      <c r="L161" s="198">
        <f t="shared" si="250"/>
        <v>0.2</v>
      </c>
      <c r="M161" s="49">
        <v>60</v>
      </c>
      <c r="N161" s="198">
        <f t="shared" si="257"/>
        <v>150</v>
      </c>
      <c r="O161" s="198">
        <f t="shared" si="257"/>
        <v>160</v>
      </c>
      <c r="P161" s="198">
        <f t="shared" si="257"/>
        <v>390</v>
      </c>
      <c r="Q161" s="196" t="s">
        <v>76</v>
      </c>
    </row>
    <row r="162" spans="1:17" x14ac:dyDescent="0.25">
      <c r="A162" s="229">
        <f t="shared" ref="A162:B162" si="260">A161+1</f>
        <v>2072</v>
      </c>
      <c r="B162" s="230">
        <f t="shared" si="260"/>
        <v>152</v>
      </c>
      <c r="C162" s="229" t="str">
        <f t="shared" si="217"/>
        <v>22bX20+000_090_02</v>
      </c>
      <c r="D162" s="197">
        <f t="shared" si="243"/>
        <v>20</v>
      </c>
      <c r="E162" s="204">
        <f t="shared" si="244"/>
        <v>2.8840000000000003</v>
      </c>
      <c r="F162" s="198">
        <f t="shared" si="245"/>
        <v>14.420000000000002</v>
      </c>
      <c r="G162" s="198">
        <f t="shared" si="246"/>
        <v>11.536000000000001</v>
      </c>
      <c r="H162" s="198">
        <f t="shared" si="247"/>
        <v>7.2100000000000009</v>
      </c>
      <c r="I162" s="198">
        <f t="shared" si="259"/>
        <v>8</v>
      </c>
      <c r="J162" s="199">
        <f t="shared" si="259"/>
        <v>0</v>
      </c>
      <c r="K162" s="194" t="str">
        <f t="shared" si="256"/>
        <v>20-2</v>
      </c>
      <c r="L162" s="198">
        <f t="shared" si="250"/>
        <v>0.2</v>
      </c>
      <c r="M162" s="49">
        <v>90</v>
      </c>
      <c r="N162" s="198">
        <f t="shared" si="257"/>
        <v>150</v>
      </c>
      <c r="O162" s="198">
        <f t="shared" si="257"/>
        <v>160</v>
      </c>
      <c r="P162" s="198">
        <f t="shared" si="257"/>
        <v>390</v>
      </c>
      <c r="Q162" s="196" t="s">
        <v>76</v>
      </c>
    </row>
    <row r="163" spans="1:17" x14ac:dyDescent="0.25">
      <c r="A163" s="229">
        <f t="shared" ref="A163:B163" si="261">A162+1</f>
        <v>2073</v>
      </c>
      <c r="B163" s="230">
        <f t="shared" si="261"/>
        <v>153</v>
      </c>
      <c r="C163" s="229" t="str">
        <f t="shared" si="217"/>
        <v>22bX20+000_000_03</v>
      </c>
      <c r="D163" s="197">
        <f t="shared" si="243"/>
        <v>20</v>
      </c>
      <c r="E163" s="204">
        <f t="shared" si="244"/>
        <v>2.8840000000000003</v>
      </c>
      <c r="F163" s="198">
        <f t="shared" si="245"/>
        <v>14.420000000000002</v>
      </c>
      <c r="G163" s="198">
        <f t="shared" ref="G163:G210" si="262">m_ty*F163</f>
        <v>11.536000000000001</v>
      </c>
      <c r="H163" s="198">
        <f t="shared" ref="H163:H210" si="263">m_tz*F163</f>
        <v>7.2100000000000009</v>
      </c>
      <c r="I163" s="198">
        <f t="shared" si="259"/>
        <v>8</v>
      </c>
      <c r="J163" s="199">
        <f t="shared" si="259"/>
        <v>0</v>
      </c>
      <c r="K163" s="194" t="str">
        <f>D163&amp;-3</f>
        <v>20-3</v>
      </c>
      <c r="L163" s="198">
        <f t="shared" si="250"/>
        <v>0.2</v>
      </c>
      <c r="M163" s="49">
        <v>0</v>
      </c>
      <c r="N163" s="198">
        <f t="shared" si="257"/>
        <v>150</v>
      </c>
      <c r="O163" s="198">
        <f t="shared" si="257"/>
        <v>160</v>
      </c>
      <c r="P163" s="198">
        <f t="shared" si="257"/>
        <v>390</v>
      </c>
      <c r="Q163" s="196" t="s">
        <v>76</v>
      </c>
    </row>
    <row r="164" spans="1:17" x14ac:dyDescent="0.25">
      <c r="A164" s="229">
        <f t="shared" ref="A164:B164" si="264">A163+1</f>
        <v>2074</v>
      </c>
      <c r="B164" s="230">
        <f t="shared" si="264"/>
        <v>154</v>
      </c>
      <c r="C164" s="229" t="str">
        <f t="shared" si="217"/>
        <v>22bX20+000_030_03</v>
      </c>
      <c r="D164" s="197">
        <f t="shared" si="243"/>
        <v>20</v>
      </c>
      <c r="E164" s="204">
        <f t="shared" si="244"/>
        <v>2.8840000000000003</v>
      </c>
      <c r="F164" s="198">
        <f t="shared" si="245"/>
        <v>14.420000000000002</v>
      </c>
      <c r="G164" s="198">
        <f t="shared" si="262"/>
        <v>11.536000000000001</v>
      </c>
      <c r="H164" s="198">
        <f t="shared" si="263"/>
        <v>7.2100000000000009</v>
      </c>
      <c r="I164" s="198">
        <f t="shared" si="259"/>
        <v>8</v>
      </c>
      <c r="J164" s="199">
        <f t="shared" si="259"/>
        <v>0</v>
      </c>
      <c r="K164" s="194" t="str">
        <f t="shared" ref="K164:K166" si="265">D164&amp;-3</f>
        <v>20-3</v>
      </c>
      <c r="L164" s="198">
        <f t="shared" si="250"/>
        <v>0.2</v>
      </c>
      <c r="M164" s="49">
        <v>30</v>
      </c>
      <c r="N164" s="198">
        <f t="shared" si="257"/>
        <v>150</v>
      </c>
      <c r="O164" s="198">
        <f t="shared" si="257"/>
        <v>160</v>
      </c>
      <c r="P164" s="198">
        <f t="shared" si="257"/>
        <v>390</v>
      </c>
      <c r="Q164" s="196" t="s">
        <v>76</v>
      </c>
    </row>
    <row r="165" spans="1:17" x14ac:dyDescent="0.25">
      <c r="A165" s="229">
        <f t="shared" ref="A165:B165" si="266">A164+1</f>
        <v>2075</v>
      </c>
      <c r="B165" s="230">
        <f t="shared" si="266"/>
        <v>155</v>
      </c>
      <c r="C165" s="229" t="str">
        <f t="shared" si="217"/>
        <v>22bX20+000_060_03</v>
      </c>
      <c r="D165" s="197">
        <f t="shared" si="243"/>
        <v>20</v>
      </c>
      <c r="E165" s="204">
        <f t="shared" si="244"/>
        <v>2.8840000000000003</v>
      </c>
      <c r="F165" s="198">
        <f t="shared" si="245"/>
        <v>14.420000000000002</v>
      </c>
      <c r="G165" s="198">
        <f t="shared" si="262"/>
        <v>11.536000000000001</v>
      </c>
      <c r="H165" s="198">
        <f t="shared" si="263"/>
        <v>7.2100000000000009</v>
      </c>
      <c r="I165" s="198">
        <f t="shared" si="259"/>
        <v>8</v>
      </c>
      <c r="J165" s="199">
        <f t="shared" si="259"/>
        <v>0</v>
      </c>
      <c r="K165" s="194" t="str">
        <f t="shared" si="265"/>
        <v>20-3</v>
      </c>
      <c r="L165" s="198">
        <f t="shared" si="250"/>
        <v>0.2</v>
      </c>
      <c r="M165" s="49">
        <v>60</v>
      </c>
      <c r="N165" s="198">
        <f t="shared" si="257"/>
        <v>150</v>
      </c>
      <c r="O165" s="198">
        <f t="shared" si="257"/>
        <v>160</v>
      </c>
      <c r="P165" s="198">
        <f t="shared" si="257"/>
        <v>390</v>
      </c>
      <c r="Q165" s="196" t="s">
        <v>76</v>
      </c>
    </row>
    <row r="166" spans="1:17" x14ac:dyDescent="0.25">
      <c r="A166" s="229">
        <f t="shared" ref="A166:B166" si="267">A165+1</f>
        <v>2076</v>
      </c>
      <c r="B166" s="230">
        <f t="shared" si="267"/>
        <v>156</v>
      </c>
      <c r="C166" s="229" t="str">
        <f t="shared" si="217"/>
        <v>22bX20+000_090_03</v>
      </c>
      <c r="D166" s="197">
        <f t="shared" si="243"/>
        <v>20</v>
      </c>
      <c r="E166" s="204">
        <f t="shared" si="244"/>
        <v>2.8840000000000003</v>
      </c>
      <c r="F166" s="198">
        <f t="shared" si="245"/>
        <v>14.420000000000002</v>
      </c>
      <c r="G166" s="198">
        <f t="shared" si="262"/>
        <v>11.536000000000001</v>
      </c>
      <c r="H166" s="198">
        <f t="shared" si="263"/>
        <v>7.2100000000000009</v>
      </c>
      <c r="I166" s="198">
        <f t="shared" si="259"/>
        <v>8</v>
      </c>
      <c r="J166" s="199">
        <f t="shared" si="259"/>
        <v>0</v>
      </c>
      <c r="K166" s="194" t="str">
        <f t="shared" si="265"/>
        <v>20-3</v>
      </c>
      <c r="L166" s="198">
        <f t="shared" si="250"/>
        <v>0.2</v>
      </c>
      <c r="M166" s="49">
        <v>90</v>
      </c>
      <c r="N166" s="198">
        <f t="shared" si="257"/>
        <v>150</v>
      </c>
      <c r="O166" s="198">
        <f t="shared" si="257"/>
        <v>160</v>
      </c>
      <c r="P166" s="198">
        <f t="shared" si="257"/>
        <v>390</v>
      </c>
      <c r="Q166" s="196" t="s">
        <v>76</v>
      </c>
    </row>
    <row r="167" spans="1:17" x14ac:dyDescent="0.25">
      <c r="A167" s="229">
        <f t="shared" ref="A167:B167" si="268">A166+1</f>
        <v>2077</v>
      </c>
      <c r="B167" s="230">
        <f t="shared" si="268"/>
        <v>157</v>
      </c>
      <c r="C167" s="229" t="str">
        <f t="shared" si="217"/>
        <v>22bX20+000_000_04</v>
      </c>
      <c r="D167" s="197">
        <f t="shared" si="243"/>
        <v>20</v>
      </c>
      <c r="E167" s="204">
        <f t="shared" si="244"/>
        <v>2.8840000000000003</v>
      </c>
      <c r="F167" s="198">
        <f t="shared" si="245"/>
        <v>14.420000000000002</v>
      </c>
      <c r="G167" s="198">
        <f t="shared" si="262"/>
        <v>11.536000000000001</v>
      </c>
      <c r="H167" s="198">
        <f t="shared" si="263"/>
        <v>7.2100000000000009</v>
      </c>
      <c r="I167" s="198">
        <f t="shared" si="259"/>
        <v>8</v>
      </c>
      <c r="J167" s="199">
        <f t="shared" si="259"/>
        <v>0</v>
      </c>
      <c r="K167" s="194" t="str">
        <f>D167&amp;-4</f>
        <v>20-4</v>
      </c>
      <c r="L167" s="198">
        <f t="shared" si="250"/>
        <v>0.2</v>
      </c>
      <c r="M167" s="49">
        <v>0</v>
      </c>
      <c r="N167" s="198">
        <f t="shared" si="257"/>
        <v>150</v>
      </c>
      <c r="O167" s="198">
        <f t="shared" si="257"/>
        <v>160</v>
      </c>
      <c r="P167" s="198">
        <f t="shared" si="257"/>
        <v>390</v>
      </c>
      <c r="Q167" s="196" t="s">
        <v>76</v>
      </c>
    </row>
    <row r="168" spans="1:17" x14ac:dyDescent="0.25">
      <c r="A168" s="229">
        <f t="shared" ref="A168:B168" si="269">A167+1</f>
        <v>2078</v>
      </c>
      <c r="B168" s="230">
        <f t="shared" si="269"/>
        <v>158</v>
      </c>
      <c r="C168" s="229" t="str">
        <f t="shared" si="217"/>
        <v>22bX20+000_030_04</v>
      </c>
      <c r="D168" s="197">
        <f t="shared" si="243"/>
        <v>20</v>
      </c>
      <c r="E168" s="204">
        <f t="shared" si="244"/>
        <v>2.8840000000000003</v>
      </c>
      <c r="F168" s="198">
        <f t="shared" si="245"/>
        <v>14.420000000000002</v>
      </c>
      <c r="G168" s="198">
        <f t="shared" si="262"/>
        <v>11.536000000000001</v>
      </c>
      <c r="H168" s="198">
        <f t="shared" si="263"/>
        <v>7.2100000000000009</v>
      </c>
      <c r="I168" s="198">
        <f t="shared" si="259"/>
        <v>8</v>
      </c>
      <c r="J168" s="199">
        <f t="shared" si="259"/>
        <v>0</v>
      </c>
      <c r="K168" s="194" t="str">
        <f t="shared" ref="K168:K170" si="270">D168&amp;-4</f>
        <v>20-4</v>
      </c>
      <c r="L168" s="198">
        <f t="shared" si="250"/>
        <v>0.2</v>
      </c>
      <c r="M168" s="49">
        <v>30</v>
      </c>
      <c r="N168" s="198">
        <f t="shared" si="257"/>
        <v>150</v>
      </c>
      <c r="O168" s="198">
        <f t="shared" si="257"/>
        <v>160</v>
      </c>
      <c r="P168" s="198">
        <f t="shared" si="257"/>
        <v>390</v>
      </c>
      <c r="Q168" s="196" t="s">
        <v>76</v>
      </c>
    </row>
    <row r="169" spans="1:17" x14ac:dyDescent="0.25">
      <c r="A169" s="229">
        <f t="shared" ref="A169:B169" si="271">A168+1</f>
        <v>2079</v>
      </c>
      <c r="B169" s="230">
        <f t="shared" si="271"/>
        <v>159</v>
      </c>
      <c r="C169" s="229" t="str">
        <f t="shared" si="217"/>
        <v>22bX20+000_060_04</v>
      </c>
      <c r="D169" s="197">
        <f t="shared" si="243"/>
        <v>20</v>
      </c>
      <c r="E169" s="204">
        <f t="shared" si="244"/>
        <v>2.8840000000000003</v>
      </c>
      <c r="F169" s="198">
        <f t="shared" si="245"/>
        <v>14.420000000000002</v>
      </c>
      <c r="G169" s="198">
        <f t="shared" si="262"/>
        <v>11.536000000000001</v>
      </c>
      <c r="H169" s="198">
        <f t="shared" si="263"/>
        <v>7.2100000000000009</v>
      </c>
      <c r="I169" s="198">
        <f t="shared" si="259"/>
        <v>8</v>
      </c>
      <c r="J169" s="199">
        <f t="shared" si="259"/>
        <v>0</v>
      </c>
      <c r="K169" s="194" t="str">
        <f t="shared" si="270"/>
        <v>20-4</v>
      </c>
      <c r="L169" s="198">
        <f t="shared" si="250"/>
        <v>0.2</v>
      </c>
      <c r="M169" s="49">
        <v>60</v>
      </c>
      <c r="N169" s="198">
        <f t="shared" si="257"/>
        <v>150</v>
      </c>
      <c r="O169" s="198">
        <f t="shared" si="257"/>
        <v>160</v>
      </c>
      <c r="P169" s="198">
        <f t="shared" si="257"/>
        <v>390</v>
      </c>
      <c r="Q169" s="196" t="s">
        <v>76</v>
      </c>
    </row>
    <row r="170" spans="1:17" x14ac:dyDescent="0.25">
      <c r="A170" s="229">
        <f t="shared" ref="A170:B170" si="272">A169+1</f>
        <v>2080</v>
      </c>
      <c r="B170" s="230">
        <f t="shared" si="272"/>
        <v>160</v>
      </c>
      <c r="C170" s="229" t="str">
        <f t="shared" si="217"/>
        <v>22bX20+000_090_04</v>
      </c>
      <c r="D170" s="197">
        <f t="shared" si="243"/>
        <v>20</v>
      </c>
      <c r="E170" s="204">
        <f t="shared" si="244"/>
        <v>2.8840000000000003</v>
      </c>
      <c r="F170" s="198">
        <f t="shared" si="245"/>
        <v>14.420000000000002</v>
      </c>
      <c r="G170" s="198">
        <f t="shared" si="262"/>
        <v>11.536000000000001</v>
      </c>
      <c r="H170" s="198">
        <f t="shared" si="263"/>
        <v>7.2100000000000009</v>
      </c>
      <c r="I170" s="198">
        <f t="shared" si="259"/>
        <v>8</v>
      </c>
      <c r="J170" s="199">
        <f t="shared" si="259"/>
        <v>0</v>
      </c>
      <c r="K170" s="194" t="str">
        <f t="shared" si="270"/>
        <v>20-4</v>
      </c>
      <c r="L170" s="198">
        <f t="shared" si="250"/>
        <v>0.2</v>
      </c>
      <c r="M170" s="49">
        <v>90</v>
      </c>
      <c r="N170" s="198">
        <f t="shared" si="257"/>
        <v>150</v>
      </c>
      <c r="O170" s="198">
        <f t="shared" si="257"/>
        <v>160</v>
      </c>
      <c r="P170" s="198">
        <f t="shared" si="257"/>
        <v>390</v>
      </c>
      <c r="Q170" s="196" t="s">
        <v>76</v>
      </c>
    </row>
    <row r="171" spans="1:17" x14ac:dyDescent="0.25">
      <c r="A171" s="229">
        <f t="shared" ref="A171:B171" si="273">A170+1</f>
        <v>2081</v>
      </c>
      <c r="B171" s="230">
        <f t="shared" si="273"/>
        <v>161</v>
      </c>
      <c r="C171" s="229" t="str">
        <f t="shared" si="217"/>
        <v>22bX20+000_000_05</v>
      </c>
      <c r="D171" s="197">
        <f t="shared" si="243"/>
        <v>20</v>
      </c>
      <c r="E171" s="204">
        <f t="shared" si="244"/>
        <v>2.8840000000000003</v>
      </c>
      <c r="F171" s="198">
        <f t="shared" si="245"/>
        <v>14.420000000000002</v>
      </c>
      <c r="G171" s="198">
        <f t="shared" si="262"/>
        <v>11.536000000000001</v>
      </c>
      <c r="H171" s="198">
        <f t="shared" si="263"/>
        <v>7.2100000000000009</v>
      </c>
      <c r="I171" s="198">
        <f t="shared" si="259"/>
        <v>8</v>
      </c>
      <c r="J171" s="199">
        <f>yaw_null</f>
        <v>0</v>
      </c>
      <c r="K171" s="194" t="str">
        <f>D171&amp;-5</f>
        <v>20-5</v>
      </c>
      <c r="L171" s="198">
        <f t="shared" si="250"/>
        <v>0.2</v>
      </c>
      <c r="M171" s="49">
        <v>0</v>
      </c>
      <c r="N171" s="198">
        <f t="shared" si="257"/>
        <v>150</v>
      </c>
      <c r="O171" s="198">
        <f t="shared" si="257"/>
        <v>160</v>
      </c>
      <c r="P171" s="198">
        <f t="shared" si="257"/>
        <v>390</v>
      </c>
      <c r="Q171" s="196" t="s">
        <v>76</v>
      </c>
    </row>
    <row r="172" spans="1:17" x14ac:dyDescent="0.25">
      <c r="A172" s="229">
        <f t="shared" ref="A172:B172" si="274">A171+1</f>
        <v>2082</v>
      </c>
      <c r="B172" s="230">
        <f t="shared" si="274"/>
        <v>162</v>
      </c>
      <c r="C172" s="229" t="str">
        <f t="shared" si="217"/>
        <v>22bX20+000_030_05</v>
      </c>
      <c r="D172" s="197">
        <f t="shared" si="243"/>
        <v>20</v>
      </c>
      <c r="E172" s="204">
        <f t="shared" si="244"/>
        <v>2.8840000000000003</v>
      </c>
      <c r="F172" s="198">
        <f t="shared" si="245"/>
        <v>14.420000000000002</v>
      </c>
      <c r="G172" s="198">
        <f t="shared" si="262"/>
        <v>11.536000000000001</v>
      </c>
      <c r="H172" s="198">
        <f t="shared" si="263"/>
        <v>7.2100000000000009</v>
      </c>
      <c r="I172" s="198">
        <f t="shared" si="259"/>
        <v>8</v>
      </c>
      <c r="J172" s="199">
        <f>J171</f>
        <v>0</v>
      </c>
      <c r="K172" s="194" t="str">
        <f t="shared" ref="K172:K174" si="275">D172&amp;-5</f>
        <v>20-5</v>
      </c>
      <c r="L172" s="198">
        <f t="shared" si="250"/>
        <v>0.2</v>
      </c>
      <c r="M172" s="49">
        <v>30</v>
      </c>
      <c r="N172" s="198">
        <f t="shared" si="257"/>
        <v>150</v>
      </c>
      <c r="O172" s="198">
        <f t="shared" si="257"/>
        <v>160</v>
      </c>
      <c r="P172" s="198">
        <f t="shared" si="257"/>
        <v>390</v>
      </c>
      <c r="Q172" s="196" t="s">
        <v>76</v>
      </c>
    </row>
    <row r="173" spans="1:17" x14ac:dyDescent="0.25">
      <c r="A173" s="229">
        <f t="shared" ref="A173:B173" si="276">A172+1</f>
        <v>2083</v>
      </c>
      <c r="B173" s="230">
        <f t="shared" si="276"/>
        <v>163</v>
      </c>
      <c r="C173" s="229" t="str">
        <f t="shared" si="217"/>
        <v>22bX20+000_060_05</v>
      </c>
      <c r="D173" s="197">
        <f t="shared" si="243"/>
        <v>20</v>
      </c>
      <c r="E173" s="204">
        <f t="shared" si="244"/>
        <v>2.8840000000000003</v>
      </c>
      <c r="F173" s="198">
        <f t="shared" si="245"/>
        <v>14.420000000000002</v>
      </c>
      <c r="G173" s="198">
        <f t="shared" si="262"/>
        <v>11.536000000000001</v>
      </c>
      <c r="H173" s="198">
        <f t="shared" si="263"/>
        <v>7.2100000000000009</v>
      </c>
      <c r="I173" s="198">
        <f t="shared" si="259"/>
        <v>8</v>
      </c>
      <c r="J173" s="199">
        <f t="shared" si="259"/>
        <v>0</v>
      </c>
      <c r="K173" s="194" t="str">
        <f t="shared" si="275"/>
        <v>20-5</v>
      </c>
      <c r="L173" s="198">
        <f t="shared" si="250"/>
        <v>0.2</v>
      </c>
      <c r="M173" s="49">
        <v>60</v>
      </c>
      <c r="N173" s="198">
        <f t="shared" si="257"/>
        <v>150</v>
      </c>
      <c r="O173" s="198">
        <f t="shared" si="257"/>
        <v>160</v>
      </c>
      <c r="P173" s="198">
        <f t="shared" si="257"/>
        <v>390</v>
      </c>
      <c r="Q173" s="196" t="s">
        <v>76</v>
      </c>
    </row>
    <row r="174" spans="1:17" x14ac:dyDescent="0.25">
      <c r="A174" s="229">
        <f t="shared" ref="A174:B174" si="277">A173+1</f>
        <v>2084</v>
      </c>
      <c r="B174" s="230">
        <f t="shared" si="277"/>
        <v>164</v>
      </c>
      <c r="C174" s="229" t="str">
        <f t="shared" si="217"/>
        <v>22bX20+000_090_05</v>
      </c>
      <c r="D174" s="197">
        <f t="shared" si="243"/>
        <v>20</v>
      </c>
      <c r="E174" s="204">
        <f t="shared" si="244"/>
        <v>2.8840000000000003</v>
      </c>
      <c r="F174" s="198">
        <f t="shared" si="245"/>
        <v>14.420000000000002</v>
      </c>
      <c r="G174" s="198">
        <f t="shared" si="262"/>
        <v>11.536000000000001</v>
      </c>
      <c r="H174" s="198">
        <f t="shared" si="263"/>
        <v>7.2100000000000009</v>
      </c>
      <c r="I174" s="198">
        <f t="shared" si="259"/>
        <v>8</v>
      </c>
      <c r="J174" s="199">
        <f t="shared" si="259"/>
        <v>0</v>
      </c>
      <c r="K174" s="194" t="str">
        <f t="shared" si="275"/>
        <v>20-5</v>
      </c>
      <c r="L174" s="198">
        <f t="shared" si="250"/>
        <v>0.2</v>
      </c>
      <c r="M174" s="49">
        <v>90</v>
      </c>
      <c r="N174" s="198">
        <f t="shared" si="257"/>
        <v>150</v>
      </c>
      <c r="O174" s="198">
        <f t="shared" si="257"/>
        <v>160</v>
      </c>
      <c r="P174" s="198">
        <f t="shared" si="257"/>
        <v>390</v>
      </c>
      <c r="Q174" s="196" t="s">
        <v>76</v>
      </c>
    </row>
    <row r="175" spans="1:17" x14ac:dyDescent="0.25">
      <c r="A175" s="229">
        <f t="shared" ref="A175:B175" si="278">A174+1</f>
        <v>2085</v>
      </c>
      <c r="B175" s="230">
        <f t="shared" si="278"/>
        <v>165</v>
      </c>
      <c r="C175" s="229" t="str">
        <f t="shared" si="217"/>
        <v>22bX20+000_000_06</v>
      </c>
      <c r="D175" s="197">
        <f t="shared" si="243"/>
        <v>20</v>
      </c>
      <c r="E175" s="204">
        <f t="shared" si="244"/>
        <v>2.8840000000000003</v>
      </c>
      <c r="F175" s="198">
        <f t="shared" si="245"/>
        <v>14.420000000000002</v>
      </c>
      <c r="G175" s="198">
        <f t="shared" si="262"/>
        <v>11.536000000000001</v>
      </c>
      <c r="H175" s="198">
        <f t="shared" si="263"/>
        <v>7.2100000000000009</v>
      </c>
      <c r="I175" s="198">
        <f t="shared" si="259"/>
        <v>8</v>
      </c>
      <c r="J175" s="199">
        <f t="shared" si="259"/>
        <v>0</v>
      </c>
      <c r="K175" s="194" t="str">
        <f>D175&amp;-6</f>
        <v>20-6</v>
      </c>
      <c r="L175" s="198">
        <f t="shared" si="250"/>
        <v>0.2</v>
      </c>
      <c r="M175" s="49">
        <v>0</v>
      </c>
      <c r="N175" s="198">
        <f t="shared" si="257"/>
        <v>150</v>
      </c>
      <c r="O175" s="198">
        <f t="shared" si="257"/>
        <v>160</v>
      </c>
      <c r="P175" s="198">
        <f t="shared" si="257"/>
        <v>390</v>
      </c>
      <c r="Q175" s="196" t="s">
        <v>76</v>
      </c>
    </row>
    <row r="176" spans="1:17" x14ac:dyDescent="0.25">
      <c r="A176" s="229">
        <f t="shared" ref="A176:B176" si="279">A175+1</f>
        <v>2086</v>
      </c>
      <c r="B176" s="230">
        <f t="shared" si="279"/>
        <v>166</v>
      </c>
      <c r="C176" s="229" t="str">
        <f t="shared" si="217"/>
        <v>22bX20+000_030_06</v>
      </c>
      <c r="D176" s="197">
        <f t="shared" si="243"/>
        <v>20</v>
      </c>
      <c r="E176" s="204">
        <f t="shared" si="244"/>
        <v>2.8840000000000003</v>
      </c>
      <c r="F176" s="198">
        <f t="shared" si="245"/>
        <v>14.420000000000002</v>
      </c>
      <c r="G176" s="198">
        <f t="shared" si="262"/>
        <v>11.536000000000001</v>
      </c>
      <c r="H176" s="198">
        <f t="shared" si="263"/>
        <v>7.2100000000000009</v>
      </c>
      <c r="I176" s="198">
        <f t="shared" si="259"/>
        <v>8</v>
      </c>
      <c r="J176" s="199">
        <f t="shared" si="259"/>
        <v>0</v>
      </c>
      <c r="K176" s="194" t="str">
        <f t="shared" ref="K176:K178" si="280">D176&amp;-6</f>
        <v>20-6</v>
      </c>
      <c r="L176" s="198">
        <f t="shared" si="250"/>
        <v>0.2</v>
      </c>
      <c r="M176" s="49">
        <v>30</v>
      </c>
      <c r="N176" s="198">
        <f t="shared" ref="N176:P191" si="281">N175</f>
        <v>150</v>
      </c>
      <c r="O176" s="198">
        <f t="shared" si="281"/>
        <v>160</v>
      </c>
      <c r="P176" s="198">
        <f t="shared" si="281"/>
        <v>390</v>
      </c>
      <c r="Q176" s="196" t="s">
        <v>76</v>
      </c>
    </row>
    <row r="177" spans="1:17" x14ac:dyDescent="0.25">
      <c r="A177" s="229">
        <f t="shared" ref="A177:B177" si="282">A176+1</f>
        <v>2087</v>
      </c>
      <c r="B177" s="230">
        <f t="shared" si="282"/>
        <v>167</v>
      </c>
      <c r="C177" s="229" t="str">
        <f t="shared" si="217"/>
        <v>22bX20+000_060_06</v>
      </c>
      <c r="D177" s="197">
        <f t="shared" si="243"/>
        <v>20</v>
      </c>
      <c r="E177" s="204">
        <f t="shared" si="244"/>
        <v>2.8840000000000003</v>
      </c>
      <c r="F177" s="198">
        <f t="shared" si="245"/>
        <v>14.420000000000002</v>
      </c>
      <c r="G177" s="198">
        <f t="shared" si="262"/>
        <v>11.536000000000001</v>
      </c>
      <c r="H177" s="198">
        <f t="shared" si="263"/>
        <v>7.2100000000000009</v>
      </c>
      <c r="I177" s="198">
        <f t="shared" ref="I177:J192" si="283">I176</f>
        <v>8</v>
      </c>
      <c r="J177" s="199">
        <f t="shared" si="283"/>
        <v>0</v>
      </c>
      <c r="K177" s="194" t="str">
        <f t="shared" si="280"/>
        <v>20-6</v>
      </c>
      <c r="L177" s="198">
        <f t="shared" si="250"/>
        <v>0.2</v>
      </c>
      <c r="M177" s="49">
        <v>60</v>
      </c>
      <c r="N177" s="198">
        <f t="shared" si="281"/>
        <v>150</v>
      </c>
      <c r="O177" s="198">
        <f t="shared" si="281"/>
        <v>160</v>
      </c>
      <c r="P177" s="198">
        <f t="shared" si="281"/>
        <v>390</v>
      </c>
      <c r="Q177" s="196" t="s">
        <v>76</v>
      </c>
    </row>
    <row r="178" spans="1:17" x14ac:dyDescent="0.25">
      <c r="A178" s="229">
        <f t="shared" ref="A178:B178" si="284">A177+1</f>
        <v>2088</v>
      </c>
      <c r="B178" s="230">
        <f t="shared" si="284"/>
        <v>168</v>
      </c>
      <c r="C178" s="229" t="str">
        <f t="shared" si="217"/>
        <v>22bX20+000_090_06</v>
      </c>
      <c r="D178" s="197">
        <f t="shared" si="243"/>
        <v>20</v>
      </c>
      <c r="E178" s="204">
        <f t="shared" si="244"/>
        <v>2.8840000000000003</v>
      </c>
      <c r="F178" s="198">
        <f t="shared" si="245"/>
        <v>14.420000000000002</v>
      </c>
      <c r="G178" s="198">
        <f t="shared" si="262"/>
        <v>11.536000000000001</v>
      </c>
      <c r="H178" s="198">
        <f t="shared" si="263"/>
        <v>7.2100000000000009</v>
      </c>
      <c r="I178" s="198">
        <f t="shared" si="283"/>
        <v>8</v>
      </c>
      <c r="J178" s="199">
        <f t="shared" si="283"/>
        <v>0</v>
      </c>
      <c r="K178" s="194" t="str">
        <f t="shared" si="280"/>
        <v>20-6</v>
      </c>
      <c r="L178" s="198">
        <f t="shared" si="250"/>
        <v>0.2</v>
      </c>
      <c r="M178" s="49">
        <v>90</v>
      </c>
      <c r="N178" s="198">
        <f t="shared" si="281"/>
        <v>150</v>
      </c>
      <c r="O178" s="198">
        <f t="shared" si="281"/>
        <v>160</v>
      </c>
      <c r="P178" s="198">
        <f t="shared" si="281"/>
        <v>390</v>
      </c>
      <c r="Q178" s="196" t="s">
        <v>76</v>
      </c>
    </row>
    <row r="179" spans="1:17" x14ac:dyDescent="0.25">
      <c r="A179" s="229">
        <f t="shared" ref="A179:B179" si="285">A178+1</f>
        <v>2089</v>
      </c>
      <c r="B179" s="230">
        <f t="shared" si="285"/>
        <v>169</v>
      </c>
      <c r="C179" s="229" t="str">
        <f t="shared" si="217"/>
        <v>22bX20+000_000_07</v>
      </c>
      <c r="D179" s="197">
        <f t="shared" si="243"/>
        <v>20</v>
      </c>
      <c r="E179" s="204">
        <f t="shared" ref="E179:E226" si="286">I_ref*(0.75*D179+5.6)</f>
        <v>2.8840000000000003</v>
      </c>
      <c r="F179" s="198">
        <f t="shared" si="245"/>
        <v>14.420000000000002</v>
      </c>
      <c r="G179" s="198">
        <f t="shared" si="262"/>
        <v>11.536000000000001</v>
      </c>
      <c r="H179" s="198">
        <f t="shared" si="263"/>
        <v>7.2100000000000009</v>
      </c>
      <c r="I179" s="198">
        <f t="shared" si="283"/>
        <v>8</v>
      </c>
      <c r="J179" s="199">
        <f t="shared" si="283"/>
        <v>0</v>
      </c>
      <c r="K179" s="194" t="str">
        <f>D179&amp;-7</f>
        <v>20-7</v>
      </c>
      <c r="L179" s="198">
        <f t="shared" si="250"/>
        <v>0.2</v>
      </c>
      <c r="M179" s="49">
        <v>0</v>
      </c>
      <c r="N179" s="198">
        <f t="shared" si="281"/>
        <v>150</v>
      </c>
      <c r="O179" s="198">
        <f t="shared" si="281"/>
        <v>160</v>
      </c>
      <c r="P179" s="198">
        <f t="shared" si="281"/>
        <v>390</v>
      </c>
      <c r="Q179" s="196" t="s">
        <v>76</v>
      </c>
    </row>
    <row r="180" spans="1:17" x14ac:dyDescent="0.25">
      <c r="A180" s="229">
        <f t="shared" ref="A180:B180" si="287">A179+1</f>
        <v>2090</v>
      </c>
      <c r="B180" s="230">
        <f t="shared" si="287"/>
        <v>170</v>
      </c>
      <c r="C180" s="229" t="str">
        <f t="shared" si="217"/>
        <v>22bX20+000_030_07</v>
      </c>
      <c r="D180" s="197">
        <f t="shared" si="243"/>
        <v>20</v>
      </c>
      <c r="E180" s="204">
        <f t="shared" si="286"/>
        <v>2.8840000000000003</v>
      </c>
      <c r="F180" s="198">
        <f t="shared" si="245"/>
        <v>14.420000000000002</v>
      </c>
      <c r="G180" s="198">
        <f t="shared" si="262"/>
        <v>11.536000000000001</v>
      </c>
      <c r="H180" s="198">
        <f t="shared" si="263"/>
        <v>7.2100000000000009</v>
      </c>
      <c r="I180" s="198">
        <f t="shared" si="283"/>
        <v>8</v>
      </c>
      <c r="J180" s="199">
        <f t="shared" si="283"/>
        <v>0</v>
      </c>
      <c r="K180" s="194" t="str">
        <f t="shared" ref="K180:K182" si="288">D180&amp;-7</f>
        <v>20-7</v>
      </c>
      <c r="L180" s="198">
        <f t="shared" si="250"/>
        <v>0.2</v>
      </c>
      <c r="M180" s="49">
        <v>30</v>
      </c>
      <c r="N180" s="198">
        <f t="shared" si="281"/>
        <v>150</v>
      </c>
      <c r="O180" s="198">
        <f t="shared" si="281"/>
        <v>160</v>
      </c>
      <c r="P180" s="198">
        <f t="shared" si="281"/>
        <v>390</v>
      </c>
      <c r="Q180" s="196" t="s">
        <v>76</v>
      </c>
    </row>
    <row r="181" spans="1:17" x14ac:dyDescent="0.25">
      <c r="A181" s="229">
        <f t="shared" ref="A181:B181" si="289">A180+1</f>
        <v>2091</v>
      </c>
      <c r="B181" s="230">
        <f t="shared" si="289"/>
        <v>171</v>
      </c>
      <c r="C181" s="229" t="str">
        <f t="shared" si="217"/>
        <v>22bX20+000_060_07</v>
      </c>
      <c r="D181" s="197">
        <f t="shared" si="243"/>
        <v>20</v>
      </c>
      <c r="E181" s="204">
        <f t="shared" si="286"/>
        <v>2.8840000000000003</v>
      </c>
      <c r="F181" s="198">
        <f t="shared" si="245"/>
        <v>14.420000000000002</v>
      </c>
      <c r="G181" s="198">
        <f t="shared" si="262"/>
        <v>11.536000000000001</v>
      </c>
      <c r="H181" s="198">
        <f t="shared" si="263"/>
        <v>7.2100000000000009</v>
      </c>
      <c r="I181" s="198">
        <f t="shared" si="283"/>
        <v>8</v>
      </c>
      <c r="J181" s="199">
        <f t="shared" si="283"/>
        <v>0</v>
      </c>
      <c r="K181" s="194" t="str">
        <f t="shared" si="288"/>
        <v>20-7</v>
      </c>
      <c r="L181" s="198">
        <f t="shared" si="250"/>
        <v>0.2</v>
      </c>
      <c r="M181" s="49">
        <v>60</v>
      </c>
      <c r="N181" s="198">
        <f t="shared" si="281"/>
        <v>150</v>
      </c>
      <c r="O181" s="198">
        <f t="shared" si="281"/>
        <v>160</v>
      </c>
      <c r="P181" s="198">
        <f t="shared" si="281"/>
        <v>390</v>
      </c>
      <c r="Q181" s="196" t="s">
        <v>76</v>
      </c>
    </row>
    <row r="182" spans="1:17" x14ac:dyDescent="0.25">
      <c r="A182" s="229">
        <f t="shared" ref="A182:B182" si="290">A181+1</f>
        <v>2092</v>
      </c>
      <c r="B182" s="230">
        <f t="shared" si="290"/>
        <v>172</v>
      </c>
      <c r="C182" s="229" t="str">
        <f t="shared" si="217"/>
        <v>22bX20+000_090_07</v>
      </c>
      <c r="D182" s="197">
        <f t="shared" si="243"/>
        <v>20</v>
      </c>
      <c r="E182" s="204">
        <f t="shared" si="286"/>
        <v>2.8840000000000003</v>
      </c>
      <c r="F182" s="198">
        <f t="shared" si="245"/>
        <v>14.420000000000002</v>
      </c>
      <c r="G182" s="198">
        <f t="shared" si="262"/>
        <v>11.536000000000001</v>
      </c>
      <c r="H182" s="198">
        <f t="shared" si="263"/>
        <v>7.2100000000000009</v>
      </c>
      <c r="I182" s="198">
        <f t="shared" si="283"/>
        <v>8</v>
      </c>
      <c r="J182" s="199">
        <f t="shared" si="283"/>
        <v>0</v>
      </c>
      <c r="K182" s="194" t="str">
        <f t="shared" si="288"/>
        <v>20-7</v>
      </c>
      <c r="L182" s="198">
        <f t="shared" si="250"/>
        <v>0.2</v>
      </c>
      <c r="M182" s="49">
        <v>90</v>
      </c>
      <c r="N182" s="198">
        <f t="shared" si="281"/>
        <v>150</v>
      </c>
      <c r="O182" s="198">
        <f t="shared" si="281"/>
        <v>160</v>
      </c>
      <c r="P182" s="198">
        <f t="shared" si="281"/>
        <v>390</v>
      </c>
      <c r="Q182" s="196" t="s">
        <v>76</v>
      </c>
    </row>
    <row r="183" spans="1:17" x14ac:dyDescent="0.25">
      <c r="A183" s="229">
        <f t="shared" ref="A183:B183" si="291">A182+1</f>
        <v>2093</v>
      </c>
      <c r="B183" s="230">
        <f t="shared" si="291"/>
        <v>173</v>
      </c>
      <c r="C183" s="229" t="str">
        <f t="shared" si="217"/>
        <v>22bX20+000_000_08</v>
      </c>
      <c r="D183" s="197">
        <f t="shared" si="243"/>
        <v>20</v>
      </c>
      <c r="E183" s="204">
        <f t="shared" si="286"/>
        <v>2.8840000000000003</v>
      </c>
      <c r="F183" s="198">
        <f t="shared" si="245"/>
        <v>14.420000000000002</v>
      </c>
      <c r="G183" s="198">
        <f t="shared" si="262"/>
        <v>11.536000000000001</v>
      </c>
      <c r="H183" s="198">
        <f t="shared" si="263"/>
        <v>7.2100000000000009</v>
      </c>
      <c r="I183" s="198">
        <f t="shared" si="283"/>
        <v>8</v>
      </c>
      <c r="J183" s="199">
        <f t="shared" si="283"/>
        <v>0</v>
      </c>
      <c r="K183" s="194" t="str">
        <f>D183&amp;-8</f>
        <v>20-8</v>
      </c>
      <c r="L183" s="198">
        <f t="shared" si="250"/>
        <v>0.2</v>
      </c>
      <c r="M183" s="49">
        <v>0</v>
      </c>
      <c r="N183" s="198">
        <f t="shared" si="281"/>
        <v>150</v>
      </c>
      <c r="O183" s="198">
        <f t="shared" si="281"/>
        <v>160</v>
      </c>
      <c r="P183" s="198">
        <f t="shared" si="281"/>
        <v>390</v>
      </c>
      <c r="Q183" s="196" t="s">
        <v>76</v>
      </c>
    </row>
    <row r="184" spans="1:17" x14ac:dyDescent="0.25">
      <c r="A184" s="229">
        <f t="shared" ref="A184:B184" si="292">A183+1</f>
        <v>2094</v>
      </c>
      <c r="B184" s="230">
        <f t="shared" si="292"/>
        <v>174</v>
      </c>
      <c r="C184" s="229" t="str">
        <f t="shared" si="217"/>
        <v>22bX20+000_030_08</v>
      </c>
      <c r="D184" s="197">
        <f t="shared" si="243"/>
        <v>20</v>
      </c>
      <c r="E184" s="204">
        <f t="shared" si="286"/>
        <v>2.8840000000000003</v>
      </c>
      <c r="F184" s="198">
        <f t="shared" si="245"/>
        <v>14.420000000000002</v>
      </c>
      <c r="G184" s="198">
        <f t="shared" si="262"/>
        <v>11.536000000000001</v>
      </c>
      <c r="H184" s="198">
        <f t="shared" si="263"/>
        <v>7.2100000000000009</v>
      </c>
      <c r="I184" s="198">
        <f t="shared" si="283"/>
        <v>8</v>
      </c>
      <c r="J184" s="199">
        <f t="shared" si="283"/>
        <v>0</v>
      </c>
      <c r="K184" s="194" t="str">
        <f t="shared" ref="K184:K186" si="293">D184&amp;-8</f>
        <v>20-8</v>
      </c>
      <c r="L184" s="198">
        <f t="shared" si="250"/>
        <v>0.2</v>
      </c>
      <c r="M184" s="49">
        <v>30</v>
      </c>
      <c r="N184" s="198">
        <f t="shared" si="281"/>
        <v>150</v>
      </c>
      <c r="O184" s="198">
        <f t="shared" si="281"/>
        <v>160</v>
      </c>
      <c r="P184" s="198">
        <f t="shared" si="281"/>
        <v>390</v>
      </c>
      <c r="Q184" s="196" t="s">
        <v>76</v>
      </c>
    </row>
    <row r="185" spans="1:17" x14ac:dyDescent="0.25">
      <c r="A185" s="229">
        <f t="shared" ref="A185:B185" si="294">A184+1</f>
        <v>2095</v>
      </c>
      <c r="B185" s="230">
        <f t="shared" si="294"/>
        <v>175</v>
      </c>
      <c r="C185" s="229" t="str">
        <f t="shared" si="217"/>
        <v>22bX20+000_060_08</v>
      </c>
      <c r="D185" s="197">
        <f t="shared" si="243"/>
        <v>20</v>
      </c>
      <c r="E185" s="204">
        <f t="shared" si="286"/>
        <v>2.8840000000000003</v>
      </c>
      <c r="F185" s="198">
        <f t="shared" si="245"/>
        <v>14.420000000000002</v>
      </c>
      <c r="G185" s="198">
        <f t="shared" si="262"/>
        <v>11.536000000000001</v>
      </c>
      <c r="H185" s="198">
        <f t="shared" si="263"/>
        <v>7.2100000000000009</v>
      </c>
      <c r="I185" s="198">
        <f t="shared" si="283"/>
        <v>8</v>
      </c>
      <c r="J185" s="199">
        <f t="shared" si="283"/>
        <v>0</v>
      </c>
      <c r="K185" s="194" t="str">
        <f t="shared" si="293"/>
        <v>20-8</v>
      </c>
      <c r="L185" s="198">
        <f t="shared" si="250"/>
        <v>0.2</v>
      </c>
      <c r="M185" s="49">
        <v>60</v>
      </c>
      <c r="N185" s="198">
        <f t="shared" si="281"/>
        <v>150</v>
      </c>
      <c r="O185" s="198">
        <f t="shared" si="281"/>
        <v>160</v>
      </c>
      <c r="P185" s="198">
        <f t="shared" si="281"/>
        <v>390</v>
      </c>
      <c r="Q185" s="196" t="s">
        <v>76</v>
      </c>
    </row>
    <row r="186" spans="1:17" x14ac:dyDescent="0.25">
      <c r="A186" s="229">
        <f t="shared" ref="A186:B186" si="295">A185+1</f>
        <v>2096</v>
      </c>
      <c r="B186" s="230">
        <f t="shared" si="295"/>
        <v>176</v>
      </c>
      <c r="C186" s="229" t="str">
        <f t="shared" si="217"/>
        <v>22bX20+000_090_08</v>
      </c>
      <c r="D186" s="197">
        <f t="shared" si="243"/>
        <v>20</v>
      </c>
      <c r="E186" s="204">
        <f t="shared" si="286"/>
        <v>2.8840000000000003</v>
      </c>
      <c r="F186" s="198">
        <f t="shared" si="245"/>
        <v>14.420000000000002</v>
      </c>
      <c r="G186" s="198">
        <f t="shared" si="262"/>
        <v>11.536000000000001</v>
      </c>
      <c r="H186" s="198">
        <f t="shared" si="263"/>
        <v>7.2100000000000009</v>
      </c>
      <c r="I186" s="198">
        <f t="shared" si="283"/>
        <v>8</v>
      </c>
      <c r="J186" s="199">
        <f t="shared" si="283"/>
        <v>0</v>
      </c>
      <c r="K186" s="194" t="str">
        <f t="shared" si="293"/>
        <v>20-8</v>
      </c>
      <c r="L186" s="198">
        <f t="shared" si="250"/>
        <v>0.2</v>
      </c>
      <c r="M186" s="49">
        <v>90</v>
      </c>
      <c r="N186" s="198">
        <f t="shared" si="281"/>
        <v>150</v>
      </c>
      <c r="O186" s="198">
        <f t="shared" si="281"/>
        <v>160</v>
      </c>
      <c r="P186" s="198">
        <f t="shared" si="281"/>
        <v>390</v>
      </c>
      <c r="Q186" s="196" t="s">
        <v>76</v>
      </c>
    </row>
    <row r="187" spans="1:17" x14ac:dyDescent="0.25">
      <c r="A187" s="229">
        <f t="shared" ref="A187:B187" si="296">A186+1</f>
        <v>2097</v>
      </c>
      <c r="B187" s="230">
        <f t="shared" si="296"/>
        <v>177</v>
      </c>
      <c r="C187" s="229" t="str">
        <f t="shared" si="217"/>
        <v>22bX20+000_000_09</v>
      </c>
      <c r="D187" s="197">
        <f t="shared" si="243"/>
        <v>20</v>
      </c>
      <c r="E187" s="204">
        <f t="shared" si="286"/>
        <v>2.8840000000000003</v>
      </c>
      <c r="F187" s="198">
        <f t="shared" si="245"/>
        <v>14.420000000000002</v>
      </c>
      <c r="G187" s="198">
        <f t="shared" si="262"/>
        <v>11.536000000000001</v>
      </c>
      <c r="H187" s="198">
        <f t="shared" si="263"/>
        <v>7.2100000000000009</v>
      </c>
      <c r="I187" s="198">
        <f t="shared" si="283"/>
        <v>8</v>
      </c>
      <c r="J187" s="199">
        <f t="shared" si="283"/>
        <v>0</v>
      </c>
      <c r="K187" s="194" t="str">
        <f>D187&amp;-9</f>
        <v>20-9</v>
      </c>
      <c r="L187" s="198">
        <f t="shared" si="250"/>
        <v>0.2</v>
      </c>
      <c r="M187" s="49">
        <v>0</v>
      </c>
      <c r="N187" s="198">
        <f t="shared" si="281"/>
        <v>150</v>
      </c>
      <c r="O187" s="198">
        <f t="shared" si="281"/>
        <v>160</v>
      </c>
      <c r="P187" s="198">
        <f t="shared" si="281"/>
        <v>390</v>
      </c>
      <c r="Q187" s="196" t="s">
        <v>76</v>
      </c>
    </row>
    <row r="188" spans="1:17" x14ac:dyDescent="0.25">
      <c r="A188" s="229">
        <f t="shared" ref="A188:B188" si="297">A187+1</f>
        <v>2098</v>
      </c>
      <c r="B188" s="230">
        <f t="shared" si="297"/>
        <v>178</v>
      </c>
      <c r="C188" s="229" t="str">
        <f t="shared" si="217"/>
        <v>22bX20+000_030_09</v>
      </c>
      <c r="D188" s="197">
        <f t="shared" si="243"/>
        <v>20</v>
      </c>
      <c r="E188" s="204">
        <f t="shared" si="286"/>
        <v>2.8840000000000003</v>
      </c>
      <c r="F188" s="198">
        <f t="shared" si="245"/>
        <v>14.420000000000002</v>
      </c>
      <c r="G188" s="198">
        <f t="shared" si="262"/>
        <v>11.536000000000001</v>
      </c>
      <c r="H188" s="198">
        <f t="shared" si="263"/>
        <v>7.2100000000000009</v>
      </c>
      <c r="I188" s="198">
        <f t="shared" si="283"/>
        <v>8</v>
      </c>
      <c r="J188" s="199">
        <f>J187</f>
        <v>0</v>
      </c>
      <c r="K188" s="194" t="str">
        <f t="shared" ref="K188:K190" si="298">D188&amp;-9</f>
        <v>20-9</v>
      </c>
      <c r="L188" s="198">
        <f t="shared" si="250"/>
        <v>0.2</v>
      </c>
      <c r="M188" s="49">
        <v>30</v>
      </c>
      <c r="N188" s="198">
        <f t="shared" si="281"/>
        <v>150</v>
      </c>
      <c r="O188" s="198">
        <f t="shared" si="281"/>
        <v>160</v>
      </c>
      <c r="P188" s="198">
        <f t="shared" si="281"/>
        <v>390</v>
      </c>
      <c r="Q188" s="196" t="s">
        <v>76</v>
      </c>
    </row>
    <row r="189" spans="1:17" x14ac:dyDescent="0.25">
      <c r="A189" s="229">
        <f t="shared" ref="A189:B189" si="299">A188+1</f>
        <v>2099</v>
      </c>
      <c r="B189" s="230">
        <f t="shared" si="299"/>
        <v>179</v>
      </c>
      <c r="C189" s="229" t="str">
        <f t="shared" si="217"/>
        <v>22bX20+000_060_09</v>
      </c>
      <c r="D189" s="197">
        <f t="shared" si="243"/>
        <v>20</v>
      </c>
      <c r="E189" s="204">
        <f t="shared" si="286"/>
        <v>2.8840000000000003</v>
      </c>
      <c r="F189" s="198">
        <f t="shared" si="245"/>
        <v>14.420000000000002</v>
      </c>
      <c r="G189" s="198">
        <f t="shared" si="262"/>
        <v>11.536000000000001</v>
      </c>
      <c r="H189" s="198">
        <f t="shared" si="263"/>
        <v>7.2100000000000009</v>
      </c>
      <c r="I189" s="198">
        <f t="shared" si="283"/>
        <v>8</v>
      </c>
      <c r="J189" s="199">
        <f t="shared" si="283"/>
        <v>0</v>
      </c>
      <c r="K189" s="194" t="str">
        <f t="shared" si="298"/>
        <v>20-9</v>
      </c>
      <c r="L189" s="198">
        <f t="shared" si="250"/>
        <v>0.2</v>
      </c>
      <c r="M189" s="49">
        <v>60</v>
      </c>
      <c r="N189" s="198">
        <f t="shared" si="281"/>
        <v>150</v>
      </c>
      <c r="O189" s="198">
        <f t="shared" si="281"/>
        <v>160</v>
      </c>
      <c r="P189" s="198">
        <f t="shared" si="281"/>
        <v>390</v>
      </c>
      <c r="Q189" s="196" t="s">
        <v>76</v>
      </c>
    </row>
    <row r="190" spans="1:17" x14ac:dyDescent="0.25">
      <c r="A190" s="229">
        <f t="shared" ref="A190:B190" si="300">A189+1</f>
        <v>2100</v>
      </c>
      <c r="B190" s="230">
        <f t="shared" si="300"/>
        <v>180</v>
      </c>
      <c r="C190" s="229" t="str">
        <f t="shared" si="217"/>
        <v>22bX20+000_090_09</v>
      </c>
      <c r="D190" s="197">
        <f t="shared" si="243"/>
        <v>20</v>
      </c>
      <c r="E190" s="204">
        <f t="shared" si="286"/>
        <v>2.8840000000000003</v>
      </c>
      <c r="F190" s="198">
        <f t="shared" si="245"/>
        <v>14.420000000000002</v>
      </c>
      <c r="G190" s="198">
        <f t="shared" si="262"/>
        <v>11.536000000000001</v>
      </c>
      <c r="H190" s="198">
        <f t="shared" si="263"/>
        <v>7.2100000000000009</v>
      </c>
      <c r="I190" s="198">
        <f t="shared" si="283"/>
        <v>8</v>
      </c>
      <c r="J190" s="199">
        <f t="shared" si="283"/>
        <v>0</v>
      </c>
      <c r="K190" s="194" t="str">
        <f t="shared" si="298"/>
        <v>20-9</v>
      </c>
      <c r="L190" s="198">
        <f t="shared" si="250"/>
        <v>0.2</v>
      </c>
      <c r="M190" s="49">
        <v>90</v>
      </c>
      <c r="N190" s="198">
        <f t="shared" si="281"/>
        <v>150</v>
      </c>
      <c r="O190" s="198">
        <f t="shared" si="281"/>
        <v>160</v>
      </c>
      <c r="P190" s="198">
        <f t="shared" si="281"/>
        <v>390</v>
      </c>
      <c r="Q190" s="196" t="s">
        <v>76</v>
      </c>
    </row>
    <row r="191" spans="1:17" x14ac:dyDescent="0.25">
      <c r="A191" s="229">
        <f t="shared" ref="A191:B191" si="301">A190+1</f>
        <v>2101</v>
      </c>
      <c r="B191" s="230">
        <f t="shared" si="301"/>
        <v>181</v>
      </c>
      <c r="C191" s="229" t="str">
        <f t="shared" si="217"/>
        <v>22bX20+000_000_10</v>
      </c>
      <c r="D191" s="197">
        <f t="shared" si="243"/>
        <v>20</v>
      </c>
      <c r="E191" s="204">
        <f t="shared" si="286"/>
        <v>2.8840000000000003</v>
      </c>
      <c r="F191" s="198">
        <f t="shared" si="245"/>
        <v>14.420000000000002</v>
      </c>
      <c r="G191" s="198">
        <f t="shared" si="262"/>
        <v>11.536000000000001</v>
      </c>
      <c r="H191" s="198">
        <f t="shared" si="263"/>
        <v>7.2100000000000009</v>
      </c>
      <c r="I191" s="198">
        <f t="shared" si="283"/>
        <v>8</v>
      </c>
      <c r="J191" s="199">
        <f t="shared" si="283"/>
        <v>0</v>
      </c>
      <c r="K191" s="194" t="str">
        <f>D191&amp;-10</f>
        <v>20-10</v>
      </c>
      <c r="L191" s="198">
        <f t="shared" si="250"/>
        <v>0.2</v>
      </c>
      <c r="M191" s="49">
        <v>0</v>
      </c>
      <c r="N191" s="198">
        <f t="shared" si="281"/>
        <v>150</v>
      </c>
      <c r="O191" s="198">
        <f t="shared" si="281"/>
        <v>160</v>
      </c>
      <c r="P191" s="198">
        <f t="shared" si="281"/>
        <v>390</v>
      </c>
      <c r="Q191" s="196" t="s">
        <v>76</v>
      </c>
    </row>
    <row r="192" spans="1:17" x14ac:dyDescent="0.25">
      <c r="A192" s="229">
        <f t="shared" ref="A192:B192" si="302">A191+1</f>
        <v>2102</v>
      </c>
      <c r="B192" s="230">
        <f t="shared" si="302"/>
        <v>182</v>
      </c>
      <c r="C192" s="229" t="str">
        <f t="shared" si="217"/>
        <v>22bX20+000_030_10</v>
      </c>
      <c r="D192" s="197">
        <f t="shared" si="243"/>
        <v>20</v>
      </c>
      <c r="E192" s="204">
        <f t="shared" si="286"/>
        <v>2.8840000000000003</v>
      </c>
      <c r="F192" s="198">
        <f t="shared" si="245"/>
        <v>14.420000000000002</v>
      </c>
      <c r="G192" s="198">
        <f t="shared" si="262"/>
        <v>11.536000000000001</v>
      </c>
      <c r="H192" s="198">
        <f t="shared" si="263"/>
        <v>7.2100000000000009</v>
      </c>
      <c r="I192" s="198">
        <f t="shared" si="283"/>
        <v>8</v>
      </c>
      <c r="J192" s="199">
        <f t="shared" si="283"/>
        <v>0</v>
      </c>
      <c r="K192" s="194" t="str">
        <f t="shared" ref="K192:K194" si="303">D192&amp;-10</f>
        <v>20-10</v>
      </c>
      <c r="L192" s="198">
        <f t="shared" si="250"/>
        <v>0.2</v>
      </c>
      <c r="M192" s="49">
        <v>30</v>
      </c>
      <c r="N192" s="198">
        <f t="shared" ref="N192:P202" si="304">N191</f>
        <v>150</v>
      </c>
      <c r="O192" s="198">
        <f t="shared" si="304"/>
        <v>160</v>
      </c>
      <c r="P192" s="198">
        <f t="shared" si="304"/>
        <v>390</v>
      </c>
      <c r="Q192" s="196" t="s">
        <v>76</v>
      </c>
    </row>
    <row r="193" spans="1:17" x14ac:dyDescent="0.25">
      <c r="A193" s="229">
        <f t="shared" ref="A193:B193" si="305">A192+1</f>
        <v>2103</v>
      </c>
      <c r="B193" s="230">
        <f t="shared" si="305"/>
        <v>183</v>
      </c>
      <c r="C193" s="229" t="str">
        <f t="shared" si="217"/>
        <v>22bX20+000_060_10</v>
      </c>
      <c r="D193" s="197">
        <f t="shared" si="243"/>
        <v>20</v>
      </c>
      <c r="E193" s="204">
        <f t="shared" si="286"/>
        <v>2.8840000000000003</v>
      </c>
      <c r="F193" s="198">
        <f t="shared" si="245"/>
        <v>14.420000000000002</v>
      </c>
      <c r="G193" s="198">
        <f t="shared" si="262"/>
        <v>11.536000000000001</v>
      </c>
      <c r="H193" s="198">
        <f t="shared" si="263"/>
        <v>7.2100000000000009</v>
      </c>
      <c r="I193" s="198">
        <f t="shared" ref="I193:J202" si="306">I192</f>
        <v>8</v>
      </c>
      <c r="J193" s="199">
        <f t="shared" si="306"/>
        <v>0</v>
      </c>
      <c r="K193" s="194" t="str">
        <f t="shared" si="303"/>
        <v>20-10</v>
      </c>
      <c r="L193" s="198">
        <f t="shared" si="250"/>
        <v>0.2</v>
      </c>
      <c r="M193" s="49">
        <v>60</v>
      </c>
      <c r="N193" s="198">
        <f t="shared" si="304"/>
        <v>150</v>
      </c>
      <c r="O193" s="198">
        <f t="shared" si="304"/>
        <v>160</v>
      </c>
      <c r="P193" s="198">
        <f t="shared" si="304"/>
        <v>390</v>
      </c>
      <c r="Q193" s="196" t="s">
        <v>76</v>
      </c>
    </row>
    <row r="194" spans="1:17" x14ac:dyDescent="0.25">
      <c r="A194" s="229">
        <f t="shared" ref="A194:B194" si="307">A193+1</f>
        <v>2104</v>
      </c>
      <c r="B194" s="230">
        <f t="shared" si="307"/>
        <v>184</v>
      </c>
      <c r="C194" s="229" t="str">
        <f t="shared" si="217"/>
        <v>22bX20+000_090_10</v>
      </c>
      <c r="D194" s="197">
        <f t="shared" si="243"/>
        <v>20</v>
      </c>
      <c r="E194" s="204">
        <f t="shared" si="286"/>
        <v>2.8840000000000003</v>
      </c>
      <c r="F194" s="198">
        <f t="shared" si="245"/>
        <v>14.420000000000002</v>
      </c>
      <c r="G194" s="198">
        <f t="shared" si="262"/>
        <v>11.536000000000001</v>
      </c>
      <c r="H194" s="198">
        <f t="shared" si="263"/>
        <v>7.2100000000000009</v>
      </c>
      <c r="I194" s="198">
        <f t="shared" si="306"/>
        <v>8</v>
      </c>
      <c r="J194" s="199">
        <f t="shared" si="306"/>
        <v>0</v>
      </c>
      <c r="K194" s="194" t="str">
        <f t="shared" si="303"/>
        <v>20-10</v>
      </c>
      <c r="L194" s="198">
        <f t="shared" si="250"/>
        <v>0.2</v>
      </c>
      <c r="M194" s="49">
        <v>90</v>
      </c>
      <c r="N194" s="198">
        <f t="shared" si="304"/>
        <v>150</v>
      </c>
      <c r="O194" s="198">
        <f t="shared" si="304"/>
        <v>160</v>
      </c>
      <c r="P194" s="198">
        <f t="shared" si="304"/>
        <v>390</v>
      </c>
      <c r="Q194" s="196" t="s">
        <v>76</v>
      </c>
    </row>
    <row r="195" spans="1:17" x14ac:dyDescent="0.25">
      <c r="A195" s="229">
        <f t="shared" ref="A195:B195" si="308">A194+1</f>
        <v>2105</v>
      </c>
      <c r="B195" s="230">
        <f t="shared" si="308"/>
        <v>185</v>
      </c>
      <c r="C195" s="229" t="str">
        <f t="shared" si="217"/>
        <v>22bX20+000_000_11</v>
      </c>
      <c r="D195" s="197">
        <f t="shared" si="243"/>
        <v>20</v>
      </c>
      <c r="E195" s="204">
        <f t="shared" si="286"/>
        <v>2.8840000000000003</v>
      </c>
      <c r="F195" s="198">
        <f t="shared" si="245"/>
        <v>14.420000000000002</v>
      </c>
      <c r="G195" s="198">
        <f t="shared" si="262"/>
        <v>11.536000000000001</v>
      </c>
      <c r="H195" s="198">
        <f t="shared" si="263"/>
        <v>7.2100000000000009</v>
      </c>
      <c r="I195" s="198">
        <f t="shared" si="306"/>
        <v>8</v>
      </c>
      <c r="J195" s="199">
        <f t="shared" si="306"/>
        <v>0</v>
      </c>
      <c r="K195" s="194" t="str">
        <f>D195&amp;-11</f>
        <v>20-11</v>
      </c>
      <c r="L195" s="198">
        <f t="shared" si="250"/>
        <v>0.2</v>
      </c>
      <c r="M195" s="49">
        <v>0</v>
      </c>
      <c r="N195" s="198">
        <f t="shared" si="304"/>
        <v>150</v>
      </c>
      <c r="O195" s="198">
        <f t="shared" si="304"/>
        <v>160</v>
      </c>
      <c r="P195" s="198">
        <f t="shared" si="304"/>
        <v>390</v>
      </c>
      <c r="Q195" s="196" t="s">
        <v>76</v>
      </c>
    </row>
    <row r="196" spans="1:17" x14ac:dyDescent="0.25">
      <c r="A196" s="229">
        <f t="shared" ref="A196:B196" si="309">A195+1</f>
        <v>2106</v>
      </c>
      <c r="B196" s="230">
        <f t="shared" si="309"/>
        <v>186</v>
      </c>
      <c r="C196" s="229" t="str">
        <f t="shared" si="217"/>
        <v>22bX20+000_030_11</v>
      </c>
      <c r="D196" s="197">
        <f t="shared" si="243"/>
        <v>20</v>
      </c>
      <c r="E196" s="204">
        <f t="shared" si="286"/>
        <v>2.8840000000000003</v>
      </c>
      <c r="F196" s="198">
        <f t="shared" si="245"/>
        <v>14.420000000000002</v>
      </c>
      <c r="G196" s="198">
        <f t="shared" si="262"/>
        <v>11.536000000000001</v>
      </c>
      <c r="H196" s="198">
        <f t="shared" si="263"/>
        <v>7.2100000000000009</v>
      </c>
      <c r="I196" s="198">
        <f t="shared" si="306"/>
        <v>8</v>
      </c>
      <c r="J196" s="199">
        <f t="shared" si="306"/>
        <v>0</v>
      </c>
      <c r="K196" s="194" t="str">
        <f t="shared" ref="K196:K198" si="310">D196&amp;-11</f>
        <v>20-11</v>
      </c>
      <c r="L196" s="198">
        <f t="shared" si="250"/>
        <v>0.2</v>
      </c>
      <c r="M196" s="49">
        <v>30</v>
      </c>
      <c r="N196" s="198">
        <f t="shared" si="304"/>
        <v>150</v>
      </c>
      <c r="O196" s="198">
        <f t="shared" si="304"/>
        <v>160</v>
      </c>
      <c r="P196" s="198">
        <f t="shared" si="304"/>
        <v>390</v>
      </c>
      <c r="Q196" s="196" t="s">
        <v>76</v>
      </c>
    </row>
    <row r="197" spans="1:17" x14ac:dyDescent="0.25">
      <c r="A197" s="229">
        <f t="shared" ref="A197:B197" si="311">A196+1</f>
        <v>2107</v>
      </c>
      <c r="B197" s="230">
        <f t="shared" si="311"/>
        <v>187</v>
      </c>
      <c r="C197" s="229" t="str">
        <f t="shared" si="217"/>
        <v>22bX20+000_060_11</v>
      </c>
      <c r="D197" s="197">
        <f t="shared" si="243"/>
        <v>20</v>
      </c>
      <c r="E197" s="204">
        <f t="shared" si="286"/>
        <v>2.8840000000000003</v>
      </c>
      <c r="F197" s="198">
        <f t="shared" si="245"/>
        <v>14.420000000000002</v>
      </c>
      <c r="G197" s="198">
        <f t="shared" si="262"/>
        <v>11.536000000000001</v>
      </c>
      <c r="H197" s="198">
        <f t="shared" si="263"/>
        <v>7.2100000000000009</v>
      </c>
      <c r="I197" s="198">
        <f t="shared" si="306"/>
        <v>8</v>
      </c>
      <c r="J197" s="199">
        <f t="shared" si="306"/>
        <v>0</v>
      </c>
      <c r="K197" s="194" t="str">
        <f t="shared" si="310"/>
        <v>20-11</v>
      </c>
      <c r="L197" s="198">
        <f t="shared" si="250"/>
        <v>0.2</v>
      </c>
      <c r="M197" s="49">
        <v>60</v>
      </c>
      <c r="N197" s="198">
        <f t="shared" si="304"/>
        <v>150</v>
      </c>
      <c r="O197" s="198">
        <f t="shared" si="304"/>
        <v>160</v>
      </c>
      <c r="P197" s="198">
        <f t="shared" si="304"/>
        <v>390</v>
      </c>
      <c r="Q197" s="196" t="s">
        <v>76</v>
      </c>
    </row>
    <row r="198" spans="1:17" x14ac:dyDescent="0.25">
      <c r="A198" s="229">
        <f t="shared" ref="A198:B198" si="312">A197+1</f>
        <v>2108</v>
      </c>
      <c r="B198" s="230">
        <f t="shared" si="312"/>
        <v>188</v>
      </c>
      <c r="C198" s="229" t="str">
        <f t="shared" si="217"/>
        <v>22bX20+000_090_11</v>
      </c>
      <c r="D198" s="197">
        <f t="shared" si="243"/>
        <v>20</v>
      </c>
      <c r="E198" s="204">
        <f t="shared" si="286"/>
        <v>2.8840000000000003</v>
      </c>
      <c r="F198" s="198">
        <f t="shared" si="245"/>
        <v>14.420000000000002</v>
      </c>
      <c r="G198" s="198">
        <f t="shared" si="262"/>
        <v>11.536000000000001</v>
      </c>
      <c r="H198" s="198">
        <f t="shared" si="263"/>
        <v>7.2100000000000009</v>
      </c>
      <c r="I198" s="198">
        <f t="shared" si="306"/>
        <v>8</v>
      </c>
      <c r="J198" s="199">
        <f t="shared" si="306"/>
        <v>0</v>
      </c>
      <c r="K198" s="194" t="str">
        <f t="shared" si="310"/>
        <v>20-11</v>
      </c>
      <c r="L198" s="198">
        <f t="shared" si="250"/>
        <v>0.2</v>
      </c>
      <c r="M198" s="49">
        <v>90</v>
      </c>
      <c r="N198" s="198">
        <f t="shared" si="304"/>
        <v>150</v>
      </c>
      <c r="O198" s="198">
        <f t="shared" si="304"/>
        <v>160</v>
      </c>
      <c r="P198" s="198">
        <f t="shared" si="304"/>
        <v>390</v>
      </c>
      <c r="Q198" s="196" t="s">
        <v>76</v>
      </c>
    </row>
    <row r="199" spans="1:17" x14ac:dyDescent="0.25">
      <c r="A199" s="229">
        <f t="shared" ref="A199:B199" si="313">A198+1</f>
        <v>2109</v>
      </c>
      <c r="B199" s="230">
        <f t="shared" si="313"/>
        <v>189</v>
      </c>
      <c r="C199" s="229" t="str">
        <f t="shared" si="217"/>
        <v>22bX20+000_000_12</v>
      </c>
      <c r="D199" s="197">
        <f t="shared" si="243"/>
        <v>20</v>
      </c>
      <c r="E199" s="204">
        <f t="shared" si="286"/>
        <v>2.8840000000000003</v>
      </c>
      <c r="F199" s="198">
        <f t="shared" si="245"/>
        <v>14.420000000000002</v>
      </c>
      <c r="G199" s="198">
        <f t="shared" si="262"/>
        <v>11.536000000000001</v>
      </c>
      <c r="H199" s="198">
        <f t="shared" si="263"/>
        <v>7.2100000000000009</v>
      </c>
      <c r="I199" s="198">
        <f t="shared" si="306"/>
        <v>8</v>
      </c>
      <c r="J199" s="199">
        <f t="shared" si="306"/>
        <v>0</v>
      </c>
      <c r="K199" s="194" t="str">
        <f>D199&amp;-12</f>
        <v>20-12</v>
      </c>
      <c r="L199" s="198">
        <f t="shared" si="250"/>
        <v>0.2</v>
      </c>
      <c r="M199" s="49">
        <v>0</v>
      </c>
      <c r="N199" s="198">
        <f t="shared" si="304"/>
        <v>150</v>
      </c>
      <c r="O199" s="198">
        <f t="shared" si="304"/>
        <v>160</v>
      </c>
      <c r="P199" s="198">
        <f t="shared" si="304"/>
        <v>390</v>
      </c>
      <c r="Q199" s="196" t="s">
        <v>76</v>
      </c>
    </row>
    <row r="200" spans="1:17" x14ac:dyDescent="0.25">
      <c r="A200" s="229">
        <f t="shared" ref="A200:B200" si="314">A199+1</f>
        <v>2110</v>
      </c>
      <c r="B200" s="230">
        <f t="shared" si="314"/>
        <v>190</v>
      </c>
      <c r="C200" s="229" t="str">
        <f t="shared" si="217"/>
        <v>22bX20+000_030_12</v>
      </c>
      <c r="D200" s="197">
        <f t="shared" si="243"/>
        <v>20</v>
      </c>
      <c r="E200" s="204">
        <f t="shared" si="286"/>
        <v>2.8840000000000003</v>
      </c>
      <c r="F200" s="198">
        <f t="shared" si="245"/>
        <v>14.420000000000002</v>
      </c>
      <c r="G200" s="198">
        <f t="shared" si="262"/>
        <v>11.536000000000001</v>
      </c>
      <c r="H200" s="198">
        <f t="shared" si="263"/>
        <v>7.2100000000000009</v>
      </c>
      <c r="I200" s="198">
        <f t="shared" si="306"/>
        <v>8</v>
      </c>
      <c r="J200" s="199">
        <f t="shared" si="306"/>
        <v>0</v>
      </c>
      <c r="K200" s="194" t="str">
        <f t="shared" ref="K200:K202" si="315">D200&amp;-12</f>
        <v>20-12</v>
      </c>
      <c r="L200" s="198">
        <f t="shared" si="250"/>
        <v>0.2</v>
      </c>
      <c r="M200" s="49">
        <v>30</v>
      </c>
      <c r="N200" s="198">
        <f t="shared" si="304"/>
        <v>150</v>
      </c>
      <c r="O200" s="198">
        <f t="shared" si="304"/>
        <v>160</v>
      </c>
      <c r="P200" s="198">
        <f t="shared" si="304"/>
        <v>390</v>
      </c>
      <c r="Q200" s="196" t="s">
        <v>76</v>
      </c>
    </row>
    <row r="201" spans="1:17" x14ac:dyDescent="0.25">
      <c r="A201" s="229">
        <f t="shared" ref="A201:B201" si="316">A200+1</f>
        <v>2111</v>
      </c>
      <c r="B201" s="230">
        <f t="shared" si="316"/>
        <v>191</v>
      </c>
      <c r="C201" s="229" t="str">
        <f t="shared" si="217"/>
        <v>22bX20+000_060_12</v>
      </c>
      <c r="D201" s="197">
        <f t="shared" si="243"/>
        <v>20</v>
      </c>
      <c r="E201" s="204">
        <f t="shared" si="286"/>
        <v>2.8840000000000003</v>
      </c>
      <c r="F201" s="198">
        <f t="shared" si="245"/>
        <v>14.420000000000002</v>
      </c>
      <c r="G201" s="198">
        <f t="shared" si="262"/>
        <v>11.536000000000001</v>
      </c>
      <c r="H201" s="198">
        <f t="shared" si="263"/>
        <v>7.2100000000000009</v>
      </c>
      <c r="I201" s="198">
        <f t="shared" si="306"/>
        <v>8</v>
      </c>
      <c r="J201" s="199">
        <f t="shared" si="306"/>
        <v>0</v>
      </c>
      <c r="K201" s="194" t="str">
        <f t="shared" si="315"/>
        <v>20-12</v>
      </c>
      <c r="L201" s="198">
        <f t="shared" si="250"/>
        <v>0.2</v>
      </c>
      <c r="M201" s="49">
        <v>60</v>
      </c>
      <c r="N201" s="198">
        <f t="shared" si="304"/>
        <v>150</v>
      </c>
      <c r="O201" s="198">
        <f t="shared" si="304"/>
        <v>160</v>
      </c>
      <c r="P201" s="198">
        <f t="shared" si="304"/>
        <v>390</v>
      </c>
      <c r="Q201" s="196" t="s">
        <v>76</v>
      </c>
    </row>
    <row r="202" spans="1:17" x14ac:dyDescent="0.25">
      <c r="A202" s="229">
        <f t="shared" ref="A202:B202" si="317">A201+1</f>
        <v>2112</v>
      </c>
      <c r="B202" s="230">
        <f t="shared" si="317"/>
        <v>192</v>
      </c>
      <c r="C202" s="229" t="str">
        <f t="shared" si="217"/>
        <v>22bX20+000_090_12</v>
      </c>
      <c r="D202" s="197">
        <f t="shared" si="243"/>
        <v>20</v>
      </c>
      <c r="E202" s="204">
        <f t="shared" si="286"/>
        <v>2.8840000000000003</v>
      </c>
      <c r="F202" s="198">
        <f t="shared" si="245"/>
        <v>14.420000000000002</v>
      </c>
      <c r="G202" s="198">
        <f t="shared" si="262"/>
        <v>11.536000000000001</v>
      </c>
      <c r="H202" s="198">
        <f t="shared" si="263"/>
        <v>7.2100000000000009</v>
      </c>
      <c r="I202" s="198">
        <f t="shared" si="306"/>
        <v>8</v>
      </c>
      <c r="J202" s="199">
        <f t="shared" si="306"/>
        <v>0</v>
      </c>
      <c r="K202" s="194" t="str">
        <f t="shared" si="315"/>
        <v>20-12</v>
      </c>
      <c r="L202" s="198">
        <f t="shared" si="250"/>
        <v>0.2</v>
      </c>
      <c r="M202" s="49">
        <v>90</v>
      </c>
      <c r="N202" s="198">
        <f t="shared" si="304"/>
        <v>150</v>
      </c>
      <c r="O202" s="198">
        <f t="shared" si="304"/>
        <v>160</v>
      </c>
      <c r="P202" s="198">
        <f t="shared" si="304"/>
        <v>390</v>
      </c>
      <c r="Q202" s="196" t="s">
        <v>76</v>
      </c>
    </row>
    <row r="203" spans="1:17" s="217" customFormat="1" x14ac:dyDescent="0.25">
      <c r="A203" s="229">
        <f t="shared" ref="A203:B203" si="318">A202+1</f>
        <v>2113</v>
      </c>
      <c r="B203" s="230">
        <f t="shared" si="318"/>
        <v>193</v>
      </c>
      <c r="C203" s="229" t="str">
        <f t="shared" si="217"/>
        <v>22bX25+000_000_01</v>
      </c>
      <c r="D203" s="231">
        <f t="shared" ref="D203" si="319">v_out</f>
        <v>25</v>
      </c>
      <c r="E203" s="239">
        <f t="shared" si="286"/>
        <v>3.4090000000000007</v>
      </c>
      <c r="F203" s="232">
        <f>E203/D203*100</f>
        <v>13.636000000000003</v>
      </c>
      <c r="G203" s="232">
        <f t="shared" si="262"/>
        <v>10.908800000000003</v>
      </c>
      <c r="H203" s="232">
        <f t="shared" si="263"/>
        <v>6.8180000000000014</v>
      </c>
      <c r="I203" s="232">
        <f>inflow</f>
        <v>8</v>
      </c>
      <c r="J203" s="233">
        <f>yaw_null</f>
        <v>0</v>
      </c>
      <c r="K203" s="228" t="str">
        <f>D203&amp;-1</f>
        <v>25-1</v>
      </c>
      <c r="L203" s="232">
        <f>alpha_n</f>
        <v>0.2</v>
      </c>
      <c r="M203" s="235">
        <v>0</v>
      </c>
      <c r="N203" s="232">
        <f>t_out</f>
        <v>150</v>
      </c>
      <c r="O203" s="232">
        <f>trig_t</f>
        <v>160</v>
      </c>
      <c r="P203" s="232">
        <f>N203+4*T_s2</f>
        <v>390</v>
      </c>
      <c r="Q203" s="230" t="s">
        <v>76</v>
      </c>
    </row>
    <row r="204" spans="1:17" s="217" customFormat="1" x14ac:dyDescent="0.25">
      <c r="A204" s="229">
        <f t="shared" ref="A204:B204" si="320">A203+1</f>
        <v>2114</v>
      </c>
      <c r="B204" s="230">
        <f t="shared" si="320"/>
        <v>194</v>
      </c>
      <c r="C204" s="229" t="str">
        <f t="shared" ref="C204:C250" si="321">TEXT(RIGHT($B$2,LEN($B$2)-3),"000")&amp;"X"&amp;TEXT(D204,"00")&amp;"+"&amp;IF(J204&lt;0,TEXT(360+J204,"000"),TEXT(J204,"000"))&amp;"_"&amp;TEXT(M204,"000")&amp;"_"&amp;TEXT(RIGHT(K204,LEN(K204)-FIND("-",K204)),"00")</f>
        <v>22bX25+000_030_01</v>
      </c>
      <c r="D204" s="231">
        <f t="shared" si="243"/>
        <v>25</v>
      </c>
      <c r="E204" s="239">
        <f t="shared" si="286"/>
        <v>3.4090000000000007</v>
      </c>
      <c r="F204" s="232">
        <f t="shared" ref="F204:F250" si="322">E204/D204*100</f>
        <v>13.636000000000003</v>
      </c>
      <c r="G204" s="232">
        <f t="shared" si="262"/>
        <v>10.908800000000003</v>
      </c>
      <c r="H204" s="232">
        <f t="shared" si="263"/>
        <v>6.8180000000000014</v>
      </c>
      <c r="I204" s="232">
        <f t="shared" ref="I204" si="323">I203</f>
        <v>8</v>
      </c>
      <c r="J204" s="233">
        <f>J203</f>
        <v>0</v>
      </c>
      <c r="K204" s="228" t="str">
        <f t="shared" ref="K204:K206" si="324">D204&amp;-1</f>
        <v>25-1</v>
      </c>
      <c r="L204" s="232">
        <f t="shared" si="250"/>
        <v>0.2</v>
      </c>
      <c r="M204" s="235">
        <v>30</v>
      </c>
      <c r="N204" s="232">
        <f t="shared" ref="N204:P204" si="325">N203</f>
        <v>150</v>
      </c>
      <c r="O204" s="232">
        <f t="shared" si="325"/>
        <v>160</v>
      </c>
      <c r="P204" s="232">
        <f t="shared" si="325"/>
        <v>390</v>
      </c>
      <c r="Q204" s="230" t="s">
        <v>76</v>
      </c>
    </row>
    <row r="205" spans="1:17" s="217" customFormat="1" x14ac:dyDescent="0.25">
      <c r="A205" s="229">
        <f t="shared" ref="A205:B205" si="326">A204+1</f>
        <v>2115</v>
      </c>
      <c r="B205" s="230">
        <f t="shared" si="326"/>
        <v>195</v>
      </c>
      <c r="C205" s="229" t="str">
        <f t="shared" si="321"/>
        <v>22bX25+000_060_01</v>
      </c>
      <c r="D205" s="231">
        <f t="shared" si="243"/>
        <v>25</v>
      </c>
      <c r="E205" s="239">
        <f t="shared" si="286"/>
        <v>3.4090000000000007</v>
      </c>
      <c r="F205" s="232">
        <f t="shared" si="322"/>
        <v>13.636000000000003</v>
      </c>
      <c r="G205" s="232">
        <f t="shared" si="262"/>
        <v>10.908800000000003</v>
      </c>
      <c r="H205" s="232">
        <f t="shared" si="263"/>
        <v>6.8180000000000014</v>
      </c>
      <c r="I205" s="232">
        <f t="shared" ref="I205:J205" si="327">I204</f>
        <v>8</v>
      </c>
      <c r="J205" s="233">
        <f t="shared" si="327"/>
        <v>0</v>
      </c>
      <c r="K205" s="228" t="str">
        <f t="shared" si="324"/>
        <v>25-1</v>
      </c>
      <c r="L205" s="232">
        <f t="shared" si="250"/>
        <v>0.2</v>
      </c>
      <c r="M205" s="235">
        <v>60</v>
      </c>
      <c r="N205" s="232">
        <f t="shared" ref="N205:P205" si="328">N204</f>
        <v>150</v>
      </c>
      <c r="O205" s="232">
        <f t="shared" si="328"/>
        <v>160</v>
      </c>
      <c r="P205" s="232">
        <f t="shared" si="328"/>
        <v>390</v>
      </c>
      <c r="Q205" s="230" t="s">
        <v>76</v>
      </c>
    </row>
    <row r="206" spans="1:17" s="217" customFormat="1" x14ac:dyDescent="0.25">
      <c r="A206" s="229">
        <f t="shared" ref="A206:B206" si="329">A205+1</f>
        <v>2116</v>
      </c>
      <c r="B206" s="230">
        <f t="shared" si="329"/>
        <v>196</v>
      </c>
      <c r="C206" s="229" t="str">
        <f t="shared" si="321"/>
        <v>22bX25+000_090_01</v>
      </c>
      <c r="D206" s="231">
        <f t="shared" si="243"/>
        <v>25</v>
      </c>
      <c r="E206" s="239">
        <f t="shared" si="286"/>
        <v>3.4090000000000007</v>
      </c>
      <c r="F206" s="232">
        <f t="shared" si="322"/>
        <v>13.636000000000003</v>
      </c>
      <c r="G206" s="232">
        <f t="shared" si="262"/>
        <v>10.908800000000003</v>
      </c>
      <c r="H206" s="232">
        <f t="shared" si="263"/>
        <v>6.8180000000000014</v>
      </c>
      <c r="I206" s="232">
        <f t="shared" ref="I206:J206" si="330">I205</f>
        <v>8</v>
      </c>
      <c r="J206" s="233">
        <f t="shared" si="330"/>
        <v>0</v>
      </c>
      <c r="K206" s="228" t="str">
        <f t="shared" si="324"/>
        <v>25-1</v>
      </c>
      <c r="L206" s="232">
        <f t="shared" si="250"/>
        <v>0.2</v>
      </c>
      <c r="M206" s="235">
        <v>90</v>
      </c>
      <c r="N206" s="232">
        <f t="shared" ref="N206:P206" si="331">N205</f>
        <v>150</v>
      </c>
      <c r="O206" s="232">
        <f t="shared" si="331"/>
        <v>160</v>
      </c>
      <c r="P206" s="232">
        <f t="shared" si="331"/>
        <v>390</v>
      </c>
      <c r="Q206" s="230" t="s">
        <v>76</v>
      </c>
    </row>
    <row r="207" spans="1:17" s="217" customFormat="1" x14ac:dyDescent="0.25">
      <c r="A207" s="229">
        <f t="shared" ref="A207:B207" si="332">A206+1</f>
        <v>2117</v>
      </c>
      <c r="B207" s="230">
        <f t="shared" si="332"/>
        <v>197</v>
      </c>
      <c r="C207" s="229" t="str">
        <f t="shared" si="321"/>
        <v>22bX25+000_000_02</v>
      </c>
      <c r="D207" s="231">
        <f t="shared" si="243"/>
        <v>25</v>
      </c>
      <c r="E207" s="239">
        <f t="shared" si="286"/>
        <v>3.4090000000000007</v>
      </c>
      <c r="F207" s="232">
        <f t="shared" si="322"/>
        <v>13.636000000000003</v>
      </c>
      <c r="G207" s="232">
        <f t="shared" si="262"/>
        <v>10.908800000000003</v>
      </c>
      <c r="H207" s="232">
        <f t="shared" si="263"/>
        <v>6.8180000000000014</v>
      </c>
      <c r="I207" s="232">
        <f t="shared" ref="I207:J207" si="333">I206</f>
        <v>8</v>
      </c>
      <c r="J207" s="233">
        <f t="shared" si="333"/>
        <v>0</v>
      </c>
      <c r="K207" s="228" t="str">
        <f>D207&amp;-2</f>
        <v>25-2</v>
      </c>
      <c r="L207" s="232">
        <f t="shared" si="250"/>
        <v>0.2</v>
      </c>
      <c r="M207" s="235">
        <v>0</v>
      </c>
      <c r="N207" s="232">
        <f t="shared" ref="N207:P207" si="334">N206</f>
        <v>150</v>
      </c>
      <c r="O207" s="232">
        <f t="shared" si="334"/>
        <v>160</v>
      </c>
      <c r="P207" s="232">
        <f t="shared" si="334"/>
        <v>390</v>
      </c>
      <c r="Q207" s="230" t="s">
        <v>76</v>
      </c>
    </row>
    <row r="208" spans="1:17" s="217" customFormat="1" x14ac:dyDescent="0.25">
      <c r="A208" s="229">
        <f t="shared" ref="A208:B208" si="335">A207+1</f>
        <v>2118</v>
      </c>
      <c r="B208" s="230">
        <f t="shared" si="335"/>
        <v>198</v>
      </c>
      <c r="C208" s="229" t="str">
        <f t="shared" si="321"/>
        <v>22bX25+000_030_02</v>
      </c>
      <c r="D208" s="231">
        <f t="shared" si="243"/>
        <v>25</v>
      </c>
      <c r="E208" s="239">
        <f t="shared" si="286"/>
        <v>3.4090000000000007</v>
      </c>
      <c r="F208" s="232">
        <f t="shared" si="322"/>
        <v>13.636000000000003</v>
      </c>
      <c r="G208" s="232">
        <f t="shared" si="262"/>
        <v>10.908800000000003</v>
      </c>
      <c r="H208" s="232">
        <f t="shared" si="263"/>
        <v>6.8180000000000014</v>
      </c>
      <c r="I208" s="232">
        <f t="shared" ref="I208:J208" si="336">I207</f>
        <v>8</v>
      </c>
      <c r="J208" s="233">
        <f t="shared" si="336"/>
        <v>0</v>
      </c>
      <c r="K208" s="228" t="str">
        <f t="shared" ref="K208:K210" si="337">D208&amp;-2</f>
        <v>25-2</v>
      </c>
      <c r="L208" s="232">
        <f t="shared" si="250"/>
        <v>0.2</v>
      </c>
      <c r="M208" s="235">
        <v>30</v>
      </c>
      <c r="N208" s="232">
        <f t="shared" ref="N208:P208" si="338">N207</f>
        <v>150</v>
      </c>
      <c r="O208" s="232">
        <f t="shared" si="338"/>
        <v>160</v>
      </c>
      <c r="P208" s="232">
        <f t="shared" si="338"/>
        <v>390</v>
      </c>
      <c r="Q208" s="230" t="s">
        <v>76</v>
      </c>
    </row>
    <row r="209" spans="1:17" s="217" customFormat="1" x14ac:dyDescent="0.25">
      <c r="A209" s="229">
        <f t="shared" ref="A209:B209" si="339">A208+1</f>
        <v>2119</v>
      </c>
      <c r="B209" s="230">
        <f t="shared" si="339"/>
        <v>199</v>
      </c>
      <c r="C209" s="229" t="str">
        <f t="shared" si="321"/>
        <v>22bX25+000_060_02</v>
      </c>
      <c r="D209" s="231">
        <f t="shared" si="243"/>
        <v>25</v>
      </c>
      <c r="E209" s="239">
        <f t="shared" si="286"/>
        <v>3.4090000000000007</v>
      </c>
      <c r="F209" s="232">
        <f t="shared" si="322"/>
        <v>13.636000000000003</v>
      </c>
      <c r="G209" s="232">
        <f t="shared" si="262"/>
        <v>10.908800000000003</v>
      </c>
      <c r="H209" s="232">
        <f t="shared" si="263"/>
        <v>6.8180000000000014</v>
      </c>
      <c r="I209" s="232">
        <f t="shared" ref="I209:J209" si="340">I208</f>
        <v>8</v>
      </c>
      <c r="J209" s="233">
        <f t="shared" si="340"/>
        <v>0</v>
      </c>
      <c r="K209" s="228" t="str">
        <f t="shared" si="337"/>
        <v>25-2</v>
      </c>
      <c r="L209" s="232">
        <f t="shared" si="250"/>
        <v>0.2</v>
      </c>
      <c r="M209" s="235">
        <v>60</v>
      </c>
      <c r="N209" s="232">
        <f t="shared" ref="N209:P209" si="341">N208</f>
        <v>150</v>
      </c>
      <c r="O209" s="232">
        <f t="shared" si="341"/>
        <v>160</v>
      </c>
      <c r="P209" s="232">
        <f t="shared" si="341"/>
        <v>390</v>
      </c>
      <c r="Q209" s="230" t="s">
        <v>76</v>
      </c>
    </row>
    <row r="210" spans="1:17" s="217" customFormat="1" x14ac:dyDescent="0.25">
      <c r="A210" s="229">
        <f t="shared" ref="A210:B210" si="342">A209+1</f>
        <v>2120</v>
      </c>
      <c r="B210" s="230">
        <f t="shared" si="342"/>
        <v>200</v>
      </c>
      <c r="C210" s="229" t="str">
        <f t="shared" si="321"/>
        <v>22bX25+000_090_02</v>
      </c>
      <c r="D210" s="231">
        <f t="shared" si="243"/>
        <v>25</v>
      </c>
      <c r="E210" s="239">
        <f t="shared" si="286"/>
        <v>3.4090000000000007</v>
      </c>
      <c r="F210" s="232">
        <f t="shared" si="322"/>
        <v>13.636000000000003</v>
      </c>
      <c r="G210" s="232">
        <f t="shared" si="262"/>
        <v>10.908800000000003</v>
      </c>
      <c r="H210" s="232">
        <f t="shared" si="263"/>
        <v>6.8180000000000014</v>
      </c>
      <c r="I210" s="232">
        <f t="shared" ref="I210:J210" si="343">I209</f>
        <v>8</v>
      </c>
      <c r="J210" s="233">
        <f t="shared" si="343"/>
        <v>0</v>
      </c>
      <c r="K210" s="228" t="str">
        <f t="shared" si="337"/>
        <v>25-2</v>
      </c>
      <c r="L210" s="232">
        <f t="shared" si="250"/>
        <v>0.2</v>
      </c>
      <c r="M210" s="235">
        <v>90</v>
      </c>
      <c r="N210" s="232">
        <f t="shared" ref="N210:P210" si="344">N209</f>
        <v>150</v>
      </c>
      <c r="O210" s="232">
        <f t="shared" si="344"/>
        <v>160</v>
      </c>
      <c r="P210" s="232">
        <f t="shared" si="344"/>
        <v>390</v>
      </c>
      <c r="Q210" s="230" t="s">
        <v>76</v>
      </c>
    </row>
    <row r="211" spans="1:17" s="217" customFormat="1" x14ac:dyDescent="0.25">
      <c r="A211" s="229">
        <f t="shared" ref="A211:B211" si="345">A210+1</f>
        <v>2121</v>
      </c>
      <c r="B211" s="230">
        <f t="shared" si="345"/>
        <v>201</v>
      </c>
      <c r="C211" s="229" t="str">
        <f t="shared" si="321"/>
        <v>22bX25+000_000_03</v>
      </c>
      <c r="D211" s="231">
        <f t="shared" si="243"/>
        <v>25</v>
      </c>
      <c r="E211" s="239">
        <f t="shared" si="286"/>
        <v>3.4090000000000007</v>
      </c>
      <c r="F211" s="232">
        <f t="shared" si="322"/>
        <v>13.636000000000003</v>
      </c>
      <c r="G211" s="232">
        <f t="shared" ref="G211:G250" si="346">m_ty*F211</f>
        <v>10.908800000000003</v>
      </c>
      <c r="H211" s="232">
        <f t="shared" ref="H211:H250" si="347">m_tz*F211</f>
        <v>6.8180000000000014</v>
      </c>
      <c r="I211" s="232">
        <f t="shared" ref="I211:J211" si="348">I210</f>
        <v>8</v>
      </c>
      <c r="J211" s="233">
        <f t="shared" si="348"/>
        <v>0</v>
      </c>
      <c r="K211" s="228" t="str">
        <f>D211&amp;-3</f>
        <v>25-3</v>
      </c>
      <c r="L211" s="232">
        <f t="shared" si="250"/>
        <v>0.2</v>
      </c>
      <c r="M211" s="235">
        <v>0</v>
      </c>
      <c r="N211" s="232">
        <f t="shared" ref="N211:P211" si="349">N210</f>
        <v>150</v>
      </c>
      <c r="O211" s="232">
        <f t="shared" si="349"/>
        <v>160</v>
      </c>
      <c r="P211" s="232">
        <f t="shared" si="349"/>
        <v>390</v>
      </c>
      <c r="Q211" s="230" t="s">
        <v>76</v>
      </c>
    </row>
    <row r="212" spans="1:17" s="217" customFormat="1" x14ac:dyDescent="0.25">
      <c r="A212" s="229">
        <f t="shared" ref="A212:B212" si="350">A211+1</f>
        <v>2122</v>
      </c>
      <c r="B212" s="230">
        <f t="shared" si="350"/>
        <v>202</v>
      </c>
      <c r="C212" s="229" t="str">
        <f t="shared" si="321"/>
        <v>22bX25+000_030_03</v>
      </c>
      <c r="D212" s="231">
        <f t="shared" si="243"/>
        <v>25</v>
      </c>
      <c r="E212" s="239">
        <f t="shared" si="286"/>
        <v>3.4090000000000007</v>
      </c>
      <c r="F212" s="232">
        <f t="shared" si="322"/>
        <v>13.636000000000003</v>
      </c>
      <c r="G212" s="232">
        <f t="shared" si="346"/>
        <v>10.908800000000003</v>
      </c>
      <c r="H212" s="232">
        <f t="shared" si="347"/>
        <v>6.8180000000000014</v>
      </c>
      <c r="I212" s="232">
        <f t="shared" ref="I212:J212" si="351">I211</f>
        <v>8</v>
      </c>
      <c r="J212" s="233">
        <f t="shared" si="351"/>
        <v>0</v>
      </c>
      <c r="K212" s="228" t="str">
        <f t="shared" ref="K212:K214" si="352">D212&amp;-3</f>
        <v>25-3</v>
      </c>
      <c r="L212" s="232">
        <f t="shared" si="250"/>
        <v>0.2</v>
      </c>
      <c r="M212" s="235">
        <v>30</v>
      </c>
      <c r="N212" s="232">
        <f t="shared" ref="N212:P212" si="353">N211</f>
        <v>150</v>
      </c>
      <c r="O212" s="232">
        <f t="shared" si="353"/>
        <v>160</v>
      </c>
      <c r="P212" s="232">
        <f t="shared" si="353"/>
        <v>390</v>
      </c>
      <c r="Q212" s="230" t="s">
        <v>76</v>
      </c>
    </row>
    <row r="213" spans="1:17" s="217" customFormat="1" x14ac:dyDescent="0.25">
      <c r="A213" s="229">
        <f t="shared" ref="A213:B213" si="354">A212+1</f>
        <v>2123</v>
      </c>
      <c r="B213" s="230">
        <f t="shared" si="354"/>
        <v>203</v>
      </c>
      <c r="C213" s="229" t="str">
        <f t="shared" si="321"/>
        <v>22bX25+000_060_03</v>
      </c>
      <c r="D213" s="231">
        <f t="shared" si="243"/>
        <v>25</v>
      </c>
      <c r="E213" s="239">
        <f t="shared" si="286"/>
        <v>3.4090000000000007</v>
      </c>
      <c r="F213" s="232">
        <f t="shared" si="322"/>
        <v>13.636000000000003</v>
      </c>
      <c r="G213" s="232">
        <f t="shared" si="346"/>
        <v>10.908800000000003</v>
      </c>
      <c r="H213" s="232">
        <f t="shared" si="347"/>
        <v>6.8180000000000014</v>
      </c>
      <c r="I213" s="232">
        <f t="shared" ref="I213:J213" si="355">I212</f>
        <v>8</v>
      </c>
      <c r="J213" s="233">
        <f t="shared" si="355"/>
        <v>0</v>
      </c>
      <c r="K213" s="228" t="str">
        <f t="shared" si="352"/>
        <v>25-3</v>
      </c>
      <c r="L213" s="232">
        <f t="shared" si="250"/>
        <v>0.2</v>
      </c>
      <c r="M213" s="235">
        <v>60</v>
      </c>
      <c r="N213" s="232">
        <f t="shared" ref="N213:P213" si="356">N212</f>
        <v>150</v>
      </c>
      <c r="O213" s="232">
        <f t="shared" si="356"/>
        <v>160</v>
      </c>
      <c r="P213" s="232">
        <f t="shared" si="356"/>
        <v>390</v>
      </c>
      <c r="Q213" s="230" t="s">
        <v>76</v>
      </c>
    </row>
    <row r="214" spans="1:17" s="217" customFormat="1" x14ac:dyDescent="0.25">
      <c r="A214" s="229">
        <f t="shared" ref="A214:B214" si="357">A213+1</f>
        <v>2124</v>
      </c>
      <c r="B214" s="230">
        <f t="shared" si="357"/>
        <v>204</v>
      </c>
      <c r="C214" s="229" t="str">
        <f t="shared" si="321"/>
        <v>22bX25+000_090_03</v>
      </c>
      <c r="D214" s="231">
        <f t="shared" si="243"/>
        <v>25</v>
      </c>
      <c r="E214" s="239">
        <f t="shared" si="286"/>
        <v>3.4090000000000007</v>
      </c>
      <c r="F214" s="232">
        <f t="shared" si="322"/>
        <v>13.636000000000003</v>
      </c>
      <c r="G214" s="232">
        <f t="shared" si="346"/>
        <v>10.908800000000003</v>
      </c>
      <c r="H214" s="232">
        <f t="shared" si="347"/>
        <v>6.8180000000000014</v>
      </c>
      <c r="I214" s="232">
        <f t="shared" ref="I214:J214" si="358">I213</f>
        <v>8</v>
      </c>
      <c r="J214" s="233">
        <f t="shared" si="358"/>
        <v>0</v>
      </c>
      <c r="K214" s="228" t="str">
        <f t="shared" si="352"/>
        <v>25-3</v>
      </c>
      <c r="L214" s="232">
        <f t="shared" si="250"/>
        <v>0.2</v>
      </c>
      <c r="M214" s="235">
        <v>90</v>
      </c>
      <c r="N214" s="232">
        <f t="shared" ref="N214:P214" si="359">N213</f>
        <v>150</v>
      </c>
      <c r="O214" s="232">
        <f t="shared" si="359"/>
        <v>160</v>
      </c>
      <c r="P214" s="232">
        <f t="shared" si="359"/>
        <v>390</v>
      </c>
      <c r="Q214" s="230" t="s">
        <v>76</v>
      </c>
    </row>
    <row r="215" spans="1:17" s="217" customFormat="1" x14ac:dyDescent="0.25">
      <c r="A215" s="229">
        <f t="shared" ref="A215:B215" si="360">A214+1</f>
        <v>2125</v>
      </c>
      <c r="B215" s="230">
        <f t="shared" si="360"/>
        <v>205</v>
      </c>
      <c r="C215" s="229" t="str">
        <f t="shared" si="321"/>
        <v>22bX25+000_000_04</v>
      </c>
      <c r="D215" s="231">
        <f t="shared" si="243"/>
        <v>25</v>
      </c>
      <c r="E215" s="239">
        <f t="shared" si="286"/>
        <v>3.4090000000000007</v>
      </c>
      <c r="F215" s="232">
        <f t="shared" si="322"/>
        <v>13.636000000000003</v>
      </c>
      <c r="G215" s="232">
        <f t="shared" si="346"/>
        <v>10.908800000000003</v>
      </c>
      <c r="H215" s="232">
        <f t="shared" si="347"/>
        <v>6.8180000000000014</v>
      </c>
      <c r="I215" s="232">
        <f t="shared" ref="I215:J215" si="361">I214</f>
        <v>8</v>
      </c>
      <c r="J215" s="233">
        <f t="shared" si="361"/>
        <v>0</v>
      </c>
      <c r="K215" s="228" t="str">
        <f>D215&amp;-4</f>
        <v>25-4</v>
      </c>
      <c r="L215" s="232">
        <f t="shared" si="250"/>
        <v>0.2</v>
      </c>
      <c r="M215" s="235">
        <v>0</v>
      </c>
      <c r="N215" s="232">
        <f t="shared" ref="N215:P215" si="362">N214</f>
        <v>150</v>
      </c>
      <c r="O215" s="232">
        <f t="shared" si="362"/>
        <v>160</v>
      </c>
      <c r="P215" s="232">
        <f t="shared" si="362"/>
        <v>390</v>
      </c>
      <c r="Q215" s="230" t="s">
        <v>76</v>
      </c>
    </row>
    <row r="216" spans="1:17" s="217" customFormat="1" x14ac:dyDescent="0.25">
      <c r="A216" s="229">
        <f t="shared" ref="A216:B216" si="363">A215+1</f>
        <v>2126</v>
      </c>
      <c r="B216" s="230">
        <f t="shared" si="363"/>
        <v>206</v>
      </c>
      <c r="C216" s="229" t="str">
        <f t="shared" si="321"/>
        <v>22bX25+000_030_04</v>
      </c>
      <c r="D216" s="231">
        <f t="shared" si="243"/>
        <v>25</v>
      </c>
      <c r="E216" s="239">
        <f t="shared" si="286"/>
        <v>3.4090000000000007</v>
      </c>
      <c r="F216" s="232">
        <f t="shared" si="322"/>
        <v>13.636000000000003</v>
      </c>
      <c r="G216" s="232">
        <f t="shared" si="346"/>
        <v>10.908800000000003</v>
      </c>
      <c r="H216" s="232">
        <f t="shared" si="347"/>
        <v>6.8180000000000014</v>
      </c>
      <c r="I216" s="232">
        <f t="shared" ref="I216:J216" si="364">I215</f>
        <v>8</v>
      </c>
      <c r="J216" s="233">
        <f t="shared" si="364"/>
        <v>0</v>
      </c>
      <c r="K216" s="228" t="str">
        <f t="shared" ref="K216:K218" si="365">D216&amp;-4</f>
        <v>25-4</v>
      </c>
      <c r="L216" s="232">
        <f t="shared" si="250"/>
        <v>0.2</v>
      </c>
      <c r="M216" s="235">
        <v>30</v>
      </c>
      <c r="N216" s="232">
        <f t="shared" ref="N216:P216" si="366">N215</f>
        <v>150</v>
      </c>
      <c r="O216" s="232">
        <f t="shared" si="366"/>
        <v>160</v>
      </c>
      <c r="P216" s="232">
        <f t="shared" si="366"/>
        <v>390</v>
      </c>
      <c r="Q216" s="230" t="s">
        <v>76</v>
      </c>
    </row>
    <row r="217" spans="1:17" s="217" customFormat="1" x14ac:dyDescent="0.25">
      <c r="A217" s="229">
        <f t="shared" ref="A217:B217" si="367">A216+1</f>
        <v>2127</v>
      </c>
      <c r="B217" s="230">
        <f t="shared" si="367"/>
        <v>207</v>
      </c>
      <c r="C217" s="229" t="str">
        <f t="shared" si="321"/>
        <v>22bX25+000_060_04</v>
      </c>
      <c r="D217" s="231">
        <f t="shared" si="243"/>
        <v>25</v>
      </c>
      <c r="E217" s="239">
        <f t="shared" si="286"/>
        <v>3.4090000000000007</v>
      </c>
      <c r="F217" s="232">
        <f t="shared" si="322"/>
        <v>13.636000000000003</v>
      </c>
      <c r="G217" s="232">
        <f t="shared" si="346"/>
        <v>10.908800000000003</v>
      </c>
      <c r="H217" s="232">
        <f t="shared" si="347"/>
        <v>6.8180000000000014</v>
      </c>
      <c r="I217" s="232">
        <f t="shared" ref="I217:J217" si="368">I216</f>
        <v>8</v>
      </c>
      <c r="J217" s="233">
        <f t="shared" si="368"/>
        <v>0</v>
      </c>
      <c r="K217" s="228" t="str">
        <f t="shared" si="365"/>
        <v>25-4</v>
      </c>
      <c r="L217" s="232">
        <f t="shared" si="250"/>
        <v>0.2</v>
      </c>
      <c r="M217" s="235">
        <v>60</v>
      </c>
      <c r="N217" s="232">
        <f t="shared" ref="N217:P217" si="369">N216</f>
        <v>150</v>
      </c>
      <c r="O217" s="232">
        <f t="shared" si="369"/>
        <v>160</v>
      </c>
      <c r="P217" s="232">
        <f t="shared" si="369"/>
        <v>390</v>
      </c>
      <c r="Q217" s="230" t="s">
        <v>76</v>
      </c>
    </row>
    <row r="218" spans="1:17" s="217" customFormat="1" x14ac:dyDescent="0.25">
      <c r="A218" s="229">
        <f t="shared" ref="A218:B218" si="370">A217+1</f>
        <v>2128</v>
      </c>
      <c r="B218" s="230">
        <f t="shared" si="370"/>
        <v>208</v>
      </c>
      <c r="C218" s="229" t="str">
        <f t="shared" si="321"/>
        <v>22bX25+000_090_04</v>
      </c>
      <c r="D218" s="231">
        <f t="shared" si="243"/>
        <v>25</v>
      </c>
      <c r="E218" s="239">
        <f t="shared" si="286"/>
        <v>3.4090000000000007</v>
      </c>
      <c r="F218" s="232">
        <f t="shared" si="322"/>
        <v>13.636000000000003</v>
      </c>
      <c r="G218" s="232">
        <f t="shared" si="346"/>
        <v>10.908800000000003</v>
      </c>
      <c r="H218" s="232">
        <f t="shared" si="347"/>
        <v>6.8180000000000014</v>
      </c>
      <c r="I218" s="232">
        <f t="shared" ref="I218:J218" si="371">I217</f>
        <v>8</v>
      </c>
      <c r="J218" s="233">
        <f t="shared" si="371"/>
        <v>0</v>
      </c>
      <c r="K218" s="228" t="str">
        <f t="shared" si="365"/>
        <v>25-4</v>
      </c>
      <c r="L218" s="232">
        <f t="shared" si="250"/>
        <v>0.2</v>
      </c>
      <c r="M218" s="235">
        <v>90</v>
      </c>
      <c r="N218" s="232">
        <f t="shared" ref="N218:P218" si="372">N217</f>
        <v>150</v>
      </c>
      <c r="O218" s="232">
        <f t="shared" si="372"/>
        <v>160</v>
      </c>
      <c r="P218" s="232">
        <f t="shared" si="372"/>
        <v>390</v>
      </c>
      <c r="Q218" s="230" t="s">
        <v>76</v>
      </c>
    </row>
    <row r="219" spans="1:17" s="217" customFormat="1" x14ac:dyDescent="0.25">
      <c r="A219" s="229">
        <f t="shared" ref="A219:B219" si="373">A218+1</f>
        <v>2129</v>
      </c>
      <c r="B219" s="230">
        <f t="shared" si="373"/>
        <v>209</v>
      </c>
      <c r="C219" s="229" t="str">
        <f t="shared" si="321"/>
        <v>22bX25+000_000_05</v>
      </c>
      <c r="D219" s="231">
        <f t="shared" si="243"/>
        <v>25</v>
      </c>
      <c r="E219" s="239">
        <f t="shared" si="286"/>
        <v>3.4090000000000007</v>
      </c>
      <c r="F219" s="232">
        <f t="shared" si="322"/>
        <v>13.636000000000003</v>
      </c>
      <c r="G219" s="232">
        <f t="shared" si="346"/>
        <v>10.908800000000003</v>
      </c>
      <c r="H219" s="232">
        <f t="shared" si="347"/>
        <v>6.8180000000000014</v>
      </c>
      <c r="I219" s="232">
        <f t="shared" ref="I219" si="374">I218</f>
        <v>8</v>
      </c>
      <c r="J219" s="233">
        <f>yaw_null</f>
        <v>0</v>
      </c>
      <c r="K219" s="228" t="str">
        <f>D219&amp;-5</f>
        <v>25-5</v>
      </c>
      <c r="L219" s="232">
        <f t="shared" si="250"/>
        <v>0.2</v>
      </c>
      <c r="M219" s="235">
        <v>0</v>
      </c>
      <c r="N219" s="232">
        <f t="shared" ref="N219:P219" si="375">N218</f>
        <v>150</v>
      </c>
      <c r="O219" s="232">
        <f t="shared" si="375"/>
        <v>160</v>
      </c>
      <c r="P219" s="232">
        <f t="shared" si="375"/>
        <v>390</v>
      </c>
      <c r="Q219" s="230" t="s">
        <v>76</v>
      </c>
    </row>
    <row r="220" spans="1:17" s="217" customFormat="1" x14ac:dyDescent="0.25">
      <c r="A220" s="229">
        <f t="shared" ref="A220:B220" si="376">A219+1</f>
        <v>2130</v>
      </c>
      <c r="B220" s="230">
        <f t="shared" si="376"/>
        <v>210</v>
      </c>
      <c r="C220" s="229" t="str">
        <f t="shared" si="321"/>
        <v>22bX25+000_030_05</v>
      </c>
      <c r="D220" s="231">
        <f t="shared" ref="D220:D250" si="377">D219</f>
        <v>25</v>
      </c>
      <c r="E220" s="239">
        <f t="shared" si="286"/>
        <v>3.4090000000000007</v>
      </c>
      <c r="F220" s="232">
        <f t="shared" si="322"/>
        <v>13.636000000000003</v>
      </c>
      <c r="G220" s="232">
        <f t="shared" si="346"/>
        <v>10.908800000000003</v>
      </c>
      <c r="H220" s="232">
        <f t="shared" si="347"/>
        <v>6.8180000000000014</v>
      </c>
      <c r="I220" s="232">
        <f t="shared" ref="I220" si="378">I219</f>
        <v>8</v>
      </c>
      <c r="J220" s="233">
        <f>J219</f>
        <v>0</v>
      </c>
      <c r="K220" s="228" t="str">
        <f t="shared" ref="K220:K222" si="379">D220&amp;-5</f>
        <v>25-5</v>
      </c>
      <c r="L220" s="232">
        <f t="shared" ref="L220:L250" si="380">L219</f>
        <v>0.2</v>
      </c>
      <c r="M220" s="235">
        <v>30</v>
      </c>
      <c r="N220" s="232">
        <f t="shared" ref="N220:P220" si="381">N219</f>
        <v>150</v>
      </c>
      <c r="O220" s="232">
        <f t="shared" si="381"/>
        <v>160</v>
      </c>
      <c r="P220" s="232">
        <f t="shared" si="381"/>
        <v>390</v>
      </c>
      <c r="Q220" s="230" t="s">
        <v>76</v>
      </c>
    </row>
    <row r="221" spans="1:17" s="217" customFormat="1" x14ac:dyDescent="0.25">
      <c r="A221" s="229">
        <f t="shared" ref="A221:B221" si="382">A220+1</f>
        <v>2131</v>
      </c>
      <c r="B221" s="230">
        <f t="shared" si="382"/>
        <v>211</v>
      </c>
      <c r="C221" s="229" t="str">
        <f t="shared" si="321"/>
        <v>22bX25+000_060_05</v>
      </c>
      <c r="D221" s="231">
        <f t="shared" si="377"/>
        <v>25</v>
      </c>
      <c r="E221" s="239">
        <f t="shared" si="286"/>
        <v>3.4090000000000007</v>
      </c>
      <c r="F221" s="232">
        <f t="shared" si="322"/>
        <v>13.636000000000003</v>
      </c>
      <c r="G221" s="232">
        <f t="shared" si="346"/>
        <v>10.908800000000003</v>
      </c>
      <c r="H221" s="232">
        <f t="shared" si="347"/>
        <v>6.8180000000000014</v>
      </c>
      <c r="I221" s="232">
        <f t="shared" ref="I221:J221" si="383">I220</f>
        <v>8</v>
      </c>
      <c r="J221" s="233">
        <f t="shared" si="383"/>
        <v>0</v>
      </c>
      <c r="K221" s="228" t="str">
        <f t="shared" si="379"/>
        <v>25-5</v>
      </c>
      <c r="L221" s="232">
        <f t="shared" si="380"/>
        <v>0.2</v>
      </c>
      <c r="M221" s="235">
        <v>60</v>
      </c>
      <c r="N221" s="232">
        <f t="shared" ref="N221:P221" si="384">N220</f>
        <v>150</v>
      </c>
      <c r="O221" s="232">
        <f t="shared" si="384"/>
        <v>160</v>
      </c>
      <c r="P221" s="232">
        <f t="shared" si="384"/>
        <v>390</v>
      </c>
      <c r="Q221" s="230" t="s">
        <v>76</v>
      </c>
    </row>
    <row r="222" spans="1:17" s="217" customFormat="1" x14ac:dyDescent="0.25">
      <c r="A222" s="229">
        <f t="shared" ref="A222:B222" si="385">A221+1</f>
        <v>2132</v>
      </c>
      <c r="B222" s="230">
        <f t="shared" si="385"/>
        <v>212</v>
      </c>
      <c r="C222" s="229" t="str">
        <f t="shared" si="321"/>
        <v>22bX25+000_090_05</v>
      </c>
      <c r="D222" s="231">
        <f t="shared" si="377"/>
        <v>25</v>
      </c>
      <c r="E222" s="239">
        <f t="shared" si="286"/>
        <v>3.4090000000000007</v>
      </c>
      <c r="F222" s="232">
        <f t="shared" si="322"/>
        <v>13.636000000000003</v>
      </c>
      <c r="G222" s="232">
        <f t="shared" si="346"/>
        <v>10.908800000000003</v>
      </c>
      <c r="H222" s="232">
        <f t="shared" si="347"/>
        <v>6.8180000000000014</v>
      </c>
      <c r="I222" s="232">
        <f t="shared" ref="I222:J222" si="386">I221</f>
        <v>8</v>
      </c>
      <c r="J222" s="233">
        <f t="shared" si="386"/>
        <v>0</v>
      </c>
      <c r="K222" s="228" t="str">
        <f t="shared" si="379"/>
        <v>25-5</v>
      </c>
      <c r="L222" s="232">
        <f t="shared" si="380"/>
        <v>0.2</v>
      </c>
      <c r="M222" s="235">
        <v>90</v>
      </c>
      <c r="N222" s="232">
        <f t="shared" ref="N222:P222" si="387">N221</f>
        <v>150</v>
      </c>
      <c r="O222" s="232">
        <f t="shared" si="387"/>
        <v>160</v>
      </c>
      <c r="P222" s="232">
        <f t="shared" si="387"/>
        <v>390</v>
      </c>
      <c r="Q222" s="230" t="s">
        <v>76</v>
      </c>
    </row>
    <row r="223" spans="1:17" s="217" customFormat="1" x14ac:dyDescent="0.25">
      <c r="A223" s="229">
        <f t="shared" ref="A223:B223" si="388">A222+1</f>
        <v>2133</v>
      </c>
      <c r="B223" s="230">
        <f t="shared" si="388"/>
        <v>213</v>
      </c>
      <c r="C223" s="229" t="str">
        <f t="shared" si="321"/>
        <v>22bX25+000_000_06</v>
      </c>
      <c r="D223" s="231">
        <f t="shared" si="377"/>
        <v>25</v>
      </c>
      <c r="E223" s="239">
        <f t="shared" si="286"/>
        <v>3.4090000000000007</v>
      </c>
      <c r="F223" s="232">
        <f t="shared" si="322"/>
        <v>13.636000000000003</v>
      </c>
      <c r="G223" s="232">
        <f t="shared" si="346"/>
        <v>10.908800000000003</v>
      </c>
      <c r="H223" s="232">
        <f t="shared" si="347"/>
        <v>6.8180000000000014</v>
      </c>
      <c r="I223" s="232">
        <f t="shared" ref="I223:J223" si="389">I222</f>
        <v>8</v>
      </c>
      <c r="J223" s="233">
        <f t="shared" si="389"/>
        <v>0</v>
      </c>
      <c r="K223" s="228" t="str">
        <f>D223&amp;-6</f>
        <v>25-6</v>
      </c>
      <c r="L223" s="232">
        <f t="shared" si="380"/>
        <v>0.2</v>
      </c>
      <c r="M223" s="235">
        <v>0</v>
      </c>
      <c r="N223" s="232">
        <f t="shared" ref="N223:P223" si="390">N222</f>
        <v>150</v>
      </c>
      <c r="O223" s="232">
        <f t="shared" si="390"/>
        <v>160</v>
      </c>
      <c r="P223" s="232">
        <f t="shared" si="390"/>
        <v>390</v>
      </c>
      <c r="Q223" s="230" t="s">
        <v>76</v>
      </c>
    </row>
    <row r="224" spans="1:17" s="217" customFormat="1" x14ac:dyDescent="0.25">
      <c r="A224" s="229">
        <f t="shared" ref="A224:B224" si="391">A223+1</f>
        <v>2134</v>
      </c>
      <c r="B224" s="230">
        <f t="shared" si="391"/>
        <v>214</v>
      </c>
      <c r="C224" s="229" t="str">
        <f t="shared" si="321"/>
        <v>22bX25+000_030_06</v>
      </c>
      <c r="D224" s="231">
        <f t="shared" si="377"/>
        <v>25</v>
      </c>
      <c r="E224" s="239">
        <f t="shared" si="286"/>
        <v>3.4090000000000007</v>
      </c>
      <c r="F224" s="232">
        <f t="shared" si="322"/>
        <v>13.636000000000003</v>
      </c>
      <c r="G224" s="232">
        <f t="shared" si="346"/>
        <v>10.908800000000003</v>
      </c>
      <c r="H224" s="232">
        <f t="shared" si="347"/>
        <v>6.8180000000000014</v>
      </c>
      <c r="I224" s="232">
        <f t="shared" ref="I224:J224" si="392">I223</f>
        <v>8</v>
      </c>
      <c r="J224" s="233">
        <f t="shared" si="392"/>
        <v>0</v>
      </c>
      <c r="K224" s="228" t="str">
        <f t="shared" ref="K224:K226" si="393">D224&amp;-6</f>
        <v>25-6</v>
      </c>
      <c r="L224" s="232">
        <f t="shared" si="380"/>
        <v>0.2</v>
      </c>
      <c r="M224" s="235">
        <v>30</v>
      </c>
      <c r="N224" s="232">
        <f t="shared" ref="N224:P224" si="394">N223</f>
        <v>150</v>
      </c>
      <c r="O224" s="232">
        <f t="shared" si="394"/>
        <v>160</v>
      </c>
      <c r="P224" s="232">
        <f t="shared" si="394"/>
        <v>390</v>
      </c>
      <c r="Q224" s="230" t="s">
        <v>76</v>
      </c>
    </row>
    <row r="225" spans="1:17" s="217" customFormat="1" x14ac:dyDescent="0.25">
      <c r="A225" s="229">
        <f t="shared" ref="A225:B225" si="395">A224+1</f>
        <v>2135</v>
      </c>
      <c r="B225" s="230">
        <f t="shared" si="395"/>
        <v>215</v>
      </c>
      <c r="C225" s="229" t="str">
        <f t="shared" si="321"/>
        <v>22bX25+000_060_06</v>
      </c>
      <c r="D225" s="231">
        <f t="shared" si="377"/>
        <v>25</v>
      </c>
      <c r="E225" s="239">
        <f t="shared" si="286"/>
        <v>3.4090000000000007</v>
      </c>
      <c r="F225" s="232">
        <f t="shared" si="322"/>
        <v>13.636000000000003</v>
      </c>
      <c r="G225" s="232">
        <f t="shared" si="346"/>
        <v>10.908800000000003</v>
      </c>
      <c r="H225" s="232">
        <f t="shared" si="347"/>
        <v>6.8180000000000014</v>
      </c>
      <c r="I225" s="232">
        <f t="shared" ref="I225:J225" si="396">I224</f>
        <v>8</v>
      </c>
      <c r="J225" s="233">
        <f t="shared" si="396"/>
        <v>0</v>
      </c>
      <c r="K225" s="228" t="str">
        <f t="shared" si="393"/>
        <v>25-6</v>
      </c>
      <c r="L225" s="232">
        <f t="shared" si="380"/>
        <v>0.2</v>
      </c>
      <c r="M225" s="235">
        <v>60</v>
      </c>
      <c r="N225" s="232">
        <f t="shared" ref="N225:P225" si="397">N224</f>
        <v>150</v>
      </c>
      <c r="O225" s="232">
        <f t="shared" si="397"/>
        <v>160</v>
      </c>
      <c r="P225" s="232">
        <f t="shared" si="397"/>
        <v>390</v>
      </c>
      <c r="Q225" s="230" t="s">
        <v>76</v>
      </c>
    </row>
    <row r="226" spans="1:17" s="217" customFormat="1" x14ac:dyDescent="0.25">
      <c r="A226" s="229">
        <f t="shared" ref="A226:B226" si="398">A225+1</f>
        <v>2136</v>
      </c>
      <c r="B226" s="230">
        <f t="shared" si="398"/>
        <v>216</v>
      </c>
      <c r="C226" s="229" t="str">
        <f t="shared" si="321"/>
        <v>22bX25+000_090_06</v>
      </c>
      <c r="D226" s="231">
        <f t="shared" si="377"/>
        <v>25</v>
      </c>
      <c r="E226" s="239">
        <f t="shared" si="286"/>
        <v>3.4090000000000007</v>
      </c>
      <c r="F226" s="232">
        <f t="shared" si="322"/>
        <v>13.636000000000003</v>
      </c>
      <c r="G226" s="232">
        <f t="shared" si="346"/>
        <v>10.908800000000003</v>
      </c>
      <c r="H226" s="232">
        <f t="shared" si="347"/>
        <v>6.8180000000000014</v>
      </c>
      <c r="I226" s="232">
        <f t="shared" ref="I226:J226" si="399">I225</f>
        <v>8</v>
      </c>
      <c r="J226" s="233">
        <f t="shared" si="399"/>
        <v>0</v>
      </c>
      <c r="K226" s="228" t="str">
        <f t="shared" si="393"/>
        <v>25-6</v>
      </c>
      <c r="L226" s="232">
        <f t="shared" si="380"/>
        <v>0.2</v>
      </c>
      <c r="M226" s="235">
        <v>90</v>
      </c>
      <c r="N226" s="232">
        <f t="shared" ref="N226:P226" si="400">N225</f>
        <v>150</v>
      </c>
      <c r="O226" s="232">
        <f t="shared" si="400"/>
        <v>160</v>
      </c>
      <c r="P226" s="232">
        <f t="shared" si="400"/>
        <v>390</v>
      </c>
      <c r="Q226" s="230" t="s">
        <v>76</v>
      </c>
    </row>
    <row r="227" spans="1:17" s="217" customFormat="1" x14ac:dyDescent="0.25">
      <c r="A227" s="229">
        <f t="shared" ref="A227:B227" si="401">A226+1</f>
        <v>2137</v>
      </c>
      <c r="B227" s="230">
        <f t="shared" si="401"/>
        <v>217</v>
      </c>
      <c r="C227" s="229" t="str">
        <f t="shared" si="321"/>
        <v>22bX25+000_000_07</v>
      </c>
      <c r="D227" s="231">
        <f t="shared" si="377"/>
        <v>25</v>
      </c>
      <c r="E227" s="239">
        <f t="shared" ref="E227:E250" si="402">I_ref*(0.75*D227+5.6)</f>
        <v>3.4090000000000007</v>
      </c>
      <c r="F227" s="232">
        <f t="shared" si="322"/>
        <v>13.636000000000003</v>
      </c>
      <c r="G227" s="232">
        <f t="shared" si="346"/>
        <v>10.908800000000003</v>
      </c>
      <c r="H227" s="232">
        <f t="shared" si="347"/>
        <v>6.8180000000000014</v>
      </c>
      <c r="I227" s="232">
        <f t="shared" ref="I227:J227" si="403">I226</f>
        <v>8</v>
      </c>
      <c r="J227" s="233">
        <f t="shared" si="403"/>
        <v>0</v>
      </c>
      <c r="K227" s="228" t="str">
        <f>D227&amp;-7</f>
        <v>25-7</v>
      </c>
      <c r="L227" s="232">
        <f t="shared" si="380"/>
        <v>0.2</v>
      </c>
      <c r="M227" s="235">
        <v>0</v>
      </c>
      <c r="N227" s="232">
        <f t="shared" ref="N227:P227" si="404">N226</f>
        <v>150</v>
      </c>
      <c r="O227" s="232">
        <f t="shared" si="404"/>
        <v>160</v>
      </c>
      <c r="P227" s="232">
        <f t="shared" si="404"/>
        <v>390</v>
      </c>
      <c r="Q227" s="230" t="s">
        <v>76</v>
      </c>
    </row>
    <row r="228" spans="1:17" s="217" customFormat="1" x14ac:dyDescent="0.25">
      <c r="A228" s="229">
        <f t="shared" ref="A228:B228" si="405">A227+1</f>
        <v>2138</v>
      </c>
      <c r="B228" s="230">
        <f t="shared" si="405"/>
        <v>218</v>
      </c>
      <c r="C228" s="229" t="str">
        <f t="shared" si="321"/>
        <v>22bX25+000_030_07</v>
      </c>
      <c r="D228" s="231">
        <f t="shared" si="377"/>
        <v>25</v>
      </c>
      <c r="E228" s="239">
        <f t="shared" si="402"/>
        <v>3.4090000000000007</v>
      </c>
      <c r="F228" s="232">
        <f t="shared" si="322"/>
        <v>13.636000000000003</v>
      </c>
      <c r="G228" s="232">
        <f t="shared" si="346"/>
        <v>10.908800000000003</v>
      </c>
      <c r="H228" s="232">
        <f t="shared" si="347"/>
        <v>6.8180000000000014</v>
      </c>
      <c r="I228" s="232">
        <f t="shared" ref="I228:J228" si="406">I227</f>
        <v>8</v>
      </c>
      <c r="J228" s="233">
        <f t="shared" si="406"/>
        <v>0</v>
      </c>
      <c r="K228" s="228" t="str">
        <f t="shared" ref="K228:K230" si="407">D228&amp;-7</f>
        <v>25-7</v>
      </c>
      <c r="L228" s="232">
        <f t="shared" si="380"/>
        <v>0.2</v>
      </c>
      <c r="M228" s="235">
        <v>30</v>
      </c>
      <c r="N228" s="232">
        <f t="shared" ref="N228:P228" si="408">N227</f>
        <v>150</v>
      </c>
      <c r="O228" s="232">
        <f t="shared" si="408"/>
        <v>160</v>
      </c>
      <c r="P228" s="232">
        <f t="shared" si="408"/>
        <v>390</v>
      </c>
      <c r="Q228" s="230" t="s">
        <v>76</v>
      </c>
    </row>
    <row r="229" spans="1:17" s="217" customFormat="1" x14ac:dyDescent="0.25">
      <c r="A229" s="229">
        <f t="shared" ref="A229:B229" si="409">A228+1</f>
        <v>2139</v>
      </c>
      <c r="B229" s="230">
        <f t="shared" si="409"/>
        <v>219</v>
      </c>
      <c r="C229" s="229" t="str">
        <f t="shared" si="321"/>
        <v>22bX25+000_060_07</v>
      </c>
      <c r="D229" s="231">
        <f t="shared" si="377"/>
        <v>25</v>
      </c>
      <c r="E229" s="239">
        <f t="shared" si="402"/>
        <v>3.4090000000000007</v>
      </c>
      <c r="F229" s="232">
        <f t="shared" si="322"/>
        <v>13.636000000000003</v>
      </c>
      <c r="G229" s="232">
        <f t="shared" si="346"/>
        <v>10.908800000000003</v>
      </c>
      <c r="H229" s="232">
        <f t="shared" si="347"/>
        <v>6.8180000000000014</v>
      </c>
      <c r="I229" s="232">
        <f t="shared" ref="I229:J229" si="410">I228</f>
        <v>8</v>
      </c>
      <c r="J229" s="233">
        <f t="shared" si="410"/>
        <v>0</v>
      </c>
      <c r="K229" s="228" t="str">
        <f t="shared" si="407"/>
        <v>25-7</v>
      </c>
      <c r="L229" s="232">
        <f t="shared" si="380"/>
        <v>0.2</v>
      </c>
      <c r="M229" s="235">
        <v>60</v>
      </c>
      <c r="N229" s="232">
        <f t="shared" ref="N229:P229" si="411">N228</f>
        <v>150</v>
      </c>
      <c r="O229" s="232">
        <f t="shared" si="411"/>
        <v>160</v>
      </c>
      <c r="P229" s="232">
        <f t="shared" si="411"/>
        <v>390</v>
      </c>
      <c r="Q229" s="230" t="s">
        <v>76</v>
      </c>
    </row>
    <row r="230" spans="1:17" s="217" customFormat="1" x14ac:dyDescent="0.25">
      <c r="A230" s="229">
        <f t="shared" ref="A230:B230" si="412">A229+1</f>
        <v>2140</v>
      </c>
      <c r="B230" s="230">
        <f t="shared" si="412"/>
        <v>220</v>
      </c>
      <c r="C230" s="229" t="str">
        <f t="shared" si="321"/>
        <v>22bX25+000_090_07</v>
      </c>
      <c r="D230" s="231">
        <f t="shared" si="377"/>
        <v>25</v>
      </c>
      <c r="E230" s="239">
        <f t="shared" si="402"/>
        <v>3.4090000000000007</v>
      </c>
      <c r="F230" s="232">
        <f t="shared" si="322"/>
        <v>13.636000000000003</v>
      </c>
      <c r="G230" s="232">
        <f t="shared" si="346"/>
        <v>10.908800000000003</v>
      </c>
      <c r="H230" s="232">
        <f t="shared" si="347"/>
        <v>6.8180000000000014</v>
      </c>
      <c r="I230" s="232">
        <f t="shared" ref="I230:J230" si="413">I229</f>
        <v>8</v>
      </c>
      <c r="J230" s="233">
        <f t="shared" si="413"/>
        <v>0</v>
      </c>
      <c r="K230" s="228" t="str">
        <f t="shared" si="407"/>
        <v>25-7</v>
      </c>
      <c r="L230" s="232">
        <f t="shared" si="380"/>
        <v>0.2</v>
      </c>
      <c r="M230" s="235">
        <v>90</v>
      </c>
      <c r="N230" s="232">
        <f t="shared" ref="N230:P230" si="414">N229</f>
        <v>150</v>
      </c>
      <c r="O230" s="232">
        <f t="shared" si="414"/>
        <v>160</v>
      </c>
      <c r="P230" s="232">
        <f t="shared" si="414"/>
        <v>390</v>
      </c>
      <c r="Q230" s="230" t="s">
        <v>76</v>
      </c>
    </row>
    <row r="231" spans="1:17" s="217" customFormat="1" x14ac:dyDescent="0.25">
      <c r="A231" s="229">
        <f t="shared" ref="A231:B231" si="415">A230+1</f>
        <v>2141</v>
      </c>
      <c r="B231" s="230">
        <f t="shared" si="415"/>
        <v>221</v>
      </c>
      <c r="C231" s="229" t="str">
        <f t="shared" si="321"/>
        <v>22bX25+000_000_08</v>
      </c>
      <c r="D231" s="231">
        <f t="shared" si="377"/>
        <v>25</v>
      </c>
      <c r="E231" s="239">
        <f t="shared" si="402"/>
        <v>3.4090000000000007</v>
      </c>
      <c r="F231" s="232">
        <f t="shared" si="322"/>
        <v>13.636000000000003</v>
      </c>
      <c r="G231" s="232">
        <f t="shared" si="346"/>
        <v>10.908800000000003</v>
      </c>
      <c r="H231" s="232">
        <f t="shared" si="347"/>
        <v>6.8180000000000014</v>
      </c>
      <c r="I231" s="232">
        <f t="shared" ref="I231:J231" si="416">I230</f>
        <v>8</v>
      </c>
      <c r="J231" s="233">
        <f t="shared" si="416"/>
        <v>0</v>
      </c>
      <c r="K231" s="228" t="str">
        <f>D231&amp;-8</f>
        <v>25-8</v>
      </c>
      <c r="L231" s="232">
        <f t="shared" si="380"/>
        <v>0.2</v>
      </c>
      <c r="M231" s="235">
        <v>0</v>
      </c>
      <c r="N231" s="232">
        <f t="shared" ref="N231:P231" si="417">N230</f>
        <v>150</v>
      </c>
      <c r="O231" s="232">
        <f t="shared" si="417"/>
        <v>160</v>
      </c>
      <c r="P231" s="232">
        <f t="shared" si="417"/>
        <v>390</v>
      </c>
      <c r="Q231" s="230" t="s">
        <v>76</v>
      </c>
    </row>
    <row r="232" spans="1:17" s="217" customFormat="1" x14ac:dyDescent="0.25">
      <c r="A232" s="229">
        <f t="shared" ref="A232:B232" si="418">A231+1</f>
        <v>2142</v>
      </c>
      <c r="B232" s="230">
        <f t="shared" si="418"/>
        <v>222</v>
      </c>
      <c r="C232" s="229" t="str">
        <f t="shared" si="321"/>
        <v>22bX25+000_030_08</v>
      </c>
      <c r="D232" s="231">
        <f t="shared" si="377"/>
        <v>25</v>
      </c>
      <c r="E232" s="239">
        <f t="shared" si="402"/>
        <v>3.4090000000000007</v>
      </c>
      <c r="F232" s="232">
        <f t="shared" si="322"/>
        <v>13.636000000000003</v>
      </c>
      <c r="G232" s="232">
        <f t="shared" si="346"/>
        <v>10.908800000000003</v>
      </c>
      <c r="H232" s="232">
        <f t="shared" si="347"/>
        <v>6.8180000000000014</v>
      </c>
      <c r="I232" s="232">
        <f t="shared" ref="I232:J232" si="419">I231</f>
        <v>8</v>
      </c>
      <c r="J232" s="233">
        <f t="shared" si="419"/>
        <v>0</v>
      </c>
      <c r="K232" s="228" t="str">
        <f t="shared" ref="K232:K234" si="420">D232&amp;-8</f>
        <v>25-8</v>
      </c>
      <c r="L232" s="232">
        <f t="shared" si="380"/>
        <v>0.2</v>
      </c>
      <c r="M232" s="235">
        <v>30</v>
      </c>
      <c r="N232" s="232">
        <f t="shared" ref="N232:P232" si="421">N231</f>
        <v>150</v>
      </c>
      <c r="O232" s="232">
        <f t="shared" si="421"/>
        <v>160</v>
      </c>
      <c r="P232" s="232">
        <f t="shared" si="421"/>
        <v>390</v>
      </c>
      <c r="Q232" s="230" t="s">
        <v>76</v>
      </c>
    </row>
    <row r="233" spans="1:17" s="217" customFormat="1" x14ac:dyDescent="0.25">
      <c r="A233" s="229">
        <f t="shared" ref="A233:B233" si="422">A232+1</f>
        <v>2143</v>
      </c>
      <c r="B233" s="230">
        <f t="shared" si="422"/>
        <v>223</v>
      </c>
      <c r="C233" s="229" t="str">
        <f t="shared" si="321"/>
        <v>22bX25+000_060_08</v>
      </c>
      <c r="D233" s="231">
        <f t="shared" si="377"/>
        <v>25</v>
      </c>
      <c r="E233" s="239">
        <f t="shared" si="402"/>
        <v>3.4090000000000007</v>
      </c>
      <c r="F233" s="232">
        <f t="shared" si="322"/>
        <v>13.636000000000003</v>
      </c>
      <c r="G233" s="232">
        <f t="shared" si="346"/>
        <v>10.908800000000003</v>
      </c>
      <c r="H233" s="232">
        <f t="shared" si="347"/>
        <v>6.8180000000000014</v>
      </c>
      <c r="I233" s="232">
        <f t="shared" ref="I233:J233" si="423">I232</f>
        <v>8</v>
      </c>
      <c r="J233" s="233">
        <f t="shared" si="423"/>
        <v>0</v>
      </c>
      <c r="K233" s="228" t="str">
        <f t="shared" si="420"/>
        <v>25-8</v>
      </c>
      <c r="L233" s="232">
        <f t="shared" si="380"/>
        <v>0.2</v>
      </c>
      <c r="M233" s="235">
        <v>60</v>
      </c>
      <c r="N233" s="232">
        <f t="shared" ref="N233:P233" si="424">N232</f>
        <v>150</v>
      </c>
      <c r="O233" s="232">
        <f t="shared" si="424"/>
        <v>160</v>
      </c>
      <c r="P233" s="232">
        <f t="shared" si="424"/>
        <v>390</v>
      </c>
      <c r="Q233" s="230" t="s">
        <v>76</v>
      </c>
    </row>
    <row r="234" spans="1:17" s="217" customFormat="1" x14ac:dyDescent="0.25">
      <c r="A234" s="229">
        <f t="shared" ref="A234:B234" si="425">A233+1</f>
        <v>2144</v>
      </c>
      <c r="B234" s="230">
        <f t="shared" si="425"/>
        <v>224</v>
      </c>
      <c r="C234" s="229" t="str">
        <f t="shared" si="321"/>
        <v>22bX25+000_090_08</v>
      </c>
      <c r="D234" s="231">
        <f t="shared" si="377"/>
        <v>25</v>
      </c>
      <c r="E234" s="239">
        <f t="shared" si="402"/>
        <v>3.4090000000000007</v>
      </c>
      <c r="F234" s="232">
        <f t="shared" si="322"/>
        <v>13.636000000000003</v>
      </c>
      <c r="G234" s="232">
        <f t="shared" si="346"/>
        <v>10.908800000000003</v>
      </c>
      <c r="H234" s="232">
        <f t="shared" si="347"/>
        <v>6.8180000000000014</v>
      </c>
      <c r="I234" s="232">
        <f t="shared" ref="I234:J234" si="426">I233</f>
        <v>8</v>
      </c>
      <c r="J234" s="233">
        <f t="shared" si="426"/>
        <v>0</v>
      </c>
      <c r="K234" s="228" t="str">
        <f t="shared" si="420"/>
        <v>25-8</v>
      </c>
      <c r="L234" s="232">
        <f t="shared" si="380"/>
        <v>0.2</v>
      </c>
      <c r="M234" s="235">
        <v>90</v>
      </c>
      <c r="N234" s="232">
        <f t="shared" ref="N234:P234" si="427">N233</f>
        <v>150</v>
      </c>
      <c r="O234" s="232">
        <f t="shared" si="427"/>
        <v>160</v>
      </c>
      <c r="P234" s="232">
        <f t="shared" si="427"/>
        <v>390</v>
      </c>
      <c r="Q234" s="230" t="s">
        <v>76</v>
      </c>
    </row>
    <row r="235" spans="1:17" s="217" customFormat="1" x14ac:dyDescent="0.25">
      <c r="A235" s="229">
        <f t="shared" ref="A235:B235" si="428">A234+1</f>
        <v>2145</v>
      </c>
      <c r="B235" s="230">
        <f t="shared" si="428"/>
        <v>225</v>
      </c>
      <c r="C235" s="229" t="str">
        <f t="shared" si="321"/>
        <v>22bX25+000_000_09</v>
      </c>
      <c r="D235" s="231">
        <f t="shared" si="377"/>
        <v>25</v>
      </c>
      <c r="E235" s="239">
        <f t="shared" si="402"/>
        <v>3.4090000000000007</v>
      </c>
      <c r="F235" s="232">
        <f t="shared" si="322"/>
        <v>13.636000000000003</v>
      </c>
      <c r="G235" s="232">
        <f t="shared" si="346"/>
        <v>10.908800000000003</v>
      </c>
      <c r="H235" s="232">
        <f t="shared" si="347"/>
        <v>6.8180000000000014</v>
      </c>
      <c r="I235" s="232">
        <f t="shared" ref="I235:J235" si="429">I234</f>
        <v>8</v>
      </c>
      <c r="J235" s="233">
        <f t="shared" si="429"/>
        <v>0</v>
      </c>
      <c r="K235" s="228" t="str">
        <f>D235&amp;-9</f>
        <v>25-9</v>
      </c>
      <c r="L235" s="232">
        <f t="shared" si="380"/>
        <v>0.2</v>
      </c>
      <c r="M235" s="235">
        <v>0</v>
      </c>
      <c r="N235" s="232">
        <f t="shared" ref="N235:P235" si="430">N234</f>
        <v>150</v>
      </c>
      <c r="O235" s="232">
        <f t="shared" si="430"/>
        <v>160</v>
      </c>
      <c r="P235" s="232">
        <f t="shared" si="430"/>
        <v>390</v>
      </c>
      <c r="Q235" s="230" t="s">
        <v>76</v>
      </c>
    </row>
    <row r="236" spans="1:17" s="217" customFormat="1" x14ac:dyDescent="0.25">
      <c r="A236" s="229">
        <f t="shared" ref="A236:B236" si="431">A235+1</f>
        <v>2146</v>
      </c>
      <c r="B236" s="230">
        <f t="shared" si="431"/>
        <v>226</v>
      </c>
      <c r="C236" s="229" t="str">
        <f t="shared" si="321"/>
        <v>22bX25+000_030_09</v>
      </c>
      <c r="D236" s="231">
        <f t="shared" si="377"/>
        <v>25</v>
      </c>
      <c r="E236" s="239">
        <f t="shared" si="402"/>
        <v>3.4090000000000007</v>
      </c>
      <c r="F236" s="232">
        <f t="shared" si="322"/>
        <v>13.636000000000003</v>
      </c>
      <c r="G236" s="232">
        <f t="shared" si="346"/>
        <v>10.908800000000003</v>
      </c>
      <c r="H236" s="232">
        <f t="shared" si="347"/>
        <v>6.8180000000000014</v>
      </c>
      <c r="I236" s="232">
        <f t="shared" ref="I236" si="432">I235</f>
        <v>8</v>
      </c>
      <c r="J236" s="233">
        <f>J235</f>
        <v>0</v>
      </c>
      <c r="K236" s="228" t="str">
        <f t="shared" ref="K236:K238" si="433">D236&amp;-9</f>
        <v>25-9</v>
      </c>
      <c r="L236" s="232">
        <f t="shared" si="380"/>
        <v>0.2</v>
      </c>
      <c r="M236" s="235">
        <v>30</v>
      </c>
      <c r="N236" s="232">
        <f t="shared" ref="N236:P236" si="434">N235</f>
        <v>150</v>
      </c>
      <c r="O236" s="232">
        <f t="shared" si="434"/>
        <v>160</v>
      </c>
      <c r="P236" s="232">
        <f t="shared" si="434"/>
        <v>390</v>
      </c>
      <c r="Q236" s="230" t="s">
        <v>76</v>
      </c>
    </row>
    <row r="237" spans="1:17" s="217" customFormat="1" x14ac:dyDescent="0.25">
      <c r="A237" s="229">
        <f t="shared" ref="A237:B237" si="435">A236+1</f>
        <v>2147</v>
      </c>
      <c r="B237" s="230">
        <f t="shared" si="435"/>
        <v>227</v>
      </c>
      <c r="C237" s="229" t="str">
        <f t="shared" si="321"/>
        <v>22bX25+000_060_09</v>
      </c>
      <c r="D237" s="231">
        <f t="shared" si="377"/>
        <v>25</v>
      </c>
      <c r="E237" s="239">
        <f t="shared" si="402"/>
        <v>3.4090000000000007</v>
      </c>
      <c r="F237" s="232">
        <f t="shared" si="322"/>
        <v>13.636000000000003</v>
      </c>
      <c r="G237" s="232">
        <f t="shared" si="346"/>
        <v>10.908800000000003</v>
      </c>
      <c r="H237" s="232">
        <f t="shared" si="347"/>
        <v>6.8180000000000014</v>
      </c>
      <c r="I237" s="232">
        <f t="shared" ref="I237:J237" si="436">I236</f>
        <v>8</v>
      </c>
      <c r="J237" s="233">
        <f t="shared" si="436"/>
        <v>0</v>
      </c>
      <c r="K237" s="228" t="str">
        <f t="shared" si="433"/>
        <v>25-9</v>
      </c>
      <c r="L237" s="232">
        <f t="shared" si="380"/>
        <v>0.2</v>
      </c>
      <c r="M237" s="235">
        <v>60</v>
      </c>
      <c r="N237" s="232">
        <f t="shared" ref="N237:P237" si="437">N236</f>
        <v>150</v>
      </c>
      <c r="O237" s="232">
        <f t="shared" si="437"/>
        <v>160</v>
      </c>
      <c r="P237" s="232">
        <f t="shared" si="437"/>
        <v>390</v>
      </c>
      <c r="Q237" s="230" t="s">
        <v>76</v>
      </c>
    </row>
    <row r="238" spans="1:17" s="217" customFormat="1" x14ac:dyDescent="0.25">
      <c r="A238" s="229">
        <f t="shared" ref="A238:B238" si="438">A237+1</f>
        <v>2148</v>
      </c>
      <c r="B238" s="230">
        <f t="shared" si="438"/>
        <v>228</v>
      </c>
      <c r="C238" s="229" t="str">
        <f t="shared" si="321"/>
        <v>22bX25+000_090_09</v>
      </c>
      <c r="D238" s="231">
        <f t="shared" si="377"/>
        <v>25</v>
      </c>
      <c r="E238" s="239">
        <f t="shared" si="402"/>
        <v>3.4090000000000007</v>
      </c>
      <c r="F238" s="232">
        <f t="shared" si="322"/>
        <v>13.636000000000003</v>
      </c>
      <c r="G238" s="232">
        <f t="shared" si="346"/>
        <v>10.908800000000003</v>
      </c>
      <c r="H238" s="232">
        <f t="shared" si="347"/>
        <v>6.8180000000000014</v>
      </c>
      <c r="I238" s="232">
        <f t="shared" ref="I238:J238" si="439">I237</f>
        <v>8</v>
      </c>
      <c r="J238" s="233">
        <f t="shared" si="439"/>
        <v>0</v>
      </c>
      <c r="K238" s="228" t="str">
        <f t="shared" si="433"/>
        <v>25-9</v>
      </c>
      <c r="L238" s="232">
        <f t="shared" si="380"/>
        <v>0.2</v>
      </c>
      <c r="M238" s="235">
        <v>90</v>
      </c>
      <c r="N238" s="232">
        <f t="shared" ref="N238:P238" si="440">N237</f>
        <v>150</v>
      </c>
      <c r="O238" s="232">
        <f t="shared" si="440"/>
        <v>160</v>
      </c>
      <c r="P238" s="232">
        <f t="shared" si="440"/>
        <v>390</v>
      </c>
      <c r="Q238" s="230" t="s">
        <v>76</v>
      </c>
    </row>
    <row r="239" spans="1:17" s="217" customFormat="1" x14ac:dyDescent="0.25">
      <c r="A239" s="229">
        <f t="shared" ref="A239:B239" si="441">A238+1</f>
        <v>2149</v>
      </c>
      <c r="B239" s="230">
        <f t="shared" si="441"/>
        <v>229</v>
      </c>
      <c r="C239" s="229" t="str">
        <f t="shared" si="321"/>
        <v>22bX25+000_000_10</v>
      </c>
      <c r="D239" s="231">
        <f t="shared" si="377"/>
        <v>25</v>
      </c>
      <c r="E239" s="239">
        <f t="shared" si="402"/>
        <v>3.4090000000000007</v>
      </c>
      <c r="F239" s="232">
        <f t="shared" si="322"/>
        <v>13.636000000000003</v>
      </c>
      <c r="G239" s="232">
        <f t="shared" si="346"/>
        <v>10.908800000000003</v>
      </c>
      <c r="H239" s="232">
        <f t="shared" si="347"/>
        <v>6.8180000000000014</v>
      </c>
      <c r="I239" s="232">
        <f t="shared" ref="I239:J239" si="442">I238</f>
        <v>8</v>
      </c>
      <c r="J239" s="233">
        <f t="shared" si="442"/>
        <v>0</v>
      </c>
      <c r="K239" s="228" t="str">
        <f>D239&amp;-10</f>
        <v>25-10</v>
      </c>
      <c r="L239" s="232">
        <f t="shared" si="380"/>
        <v>0.2</v>
      </c>
      <c r="M239" s="235">
        <v>0</v>
      </c>
      <c r="N239" s="232">
        <f t="shared" ref="N239:P239" si="443">N238</f>
        <v>150</v>
      </c>
      <c r="O239" s="232">
        <f t="shared" si="443"/>
        <v>160</v>
      </c>
      <c r="P239" s="232">
        <f t="shared" si="443"/>
        <v>390</v>
      </c>
      <c r="Q239" s="230" t="s">
        <v>76</v>
      </c>
    </row>
    <row r="240" spans="1:17" s="217" customFormat="1" x14ac:dyDescent="0.25">
      <c r="A240" s="229">
        <f t="shared" ref="A240:B240" si="444">A239+1</f>
        <v>2150</v>
      </c>
      <c r="B240" s="230">
        <f t="shared" si="444"/>
        <v>230</v>
      </c>
      <c r="C240" s="229" t="str">
        <f t="shared" si="321"/>
        <v>22bX25+000_030_10</v>
      </c>
      <c r="D240" s="231">
        <f t="shared" si="377"/>
        <v>25</v>
      </c>
      <c r="E240" s="239">
        <f t="shared" si="402"/>
        <v>3.4090000000000007</v>
      </c>
      <c r="F240" s="232">
        <f t="shared" si="322"/>
        <v>13.636000000000003</v>
      </c>
      <c r="G240" s="232">
        <f t="shared" si="346"/>
        <v>10.908800000000003</v>
      </c>
      <c r="H240" s="232">
        <f t="shared" si="347"/>
        <v>6.8180000000000014</v>
      </c>
      <c r="I240" s="232">
        <f t="shared" ref="I240:J240" si="445">I239</f>
        <v>8</v>
      </c>
      <c r="J240" s="233">
        <f t="shared" si="445"/>
        <v>0</v>
      </c>
      <c r="K240" s="228" t="str">
        <f t="shared" ref="K240:K242" si="446">D240&amp;-10</f>
        <v>25-10</v>
      </c>
      <c r="L240" s="232">
        <f t="shared" si="380"/>
        <v>0.2</v>
      </c>
      <c r="M240" s="235">
        <v>30</v>
      </c>
      <c r="N240" s="232">
        <f t="shared" ref="N240:P240" si="447">N239</f>
        <v>150</v>
      </c>
      <c r="O240" s="232">
        <f t="shared" si="447"/>
        <v>160</v>
      </c>
      <c r="P240" s="232">
        <f t="shared" si="447"/>
        <v>390</v>
      </c>
      <c r="Q240" s="230" t="s">
        <v>76</v>
      </c>
    </row>
    <row r="241" spans="1:17" s="217" customFormat="1" x14ac:dyDescent="0.25">
      <c r="A241" s="229">
        <f t="shared" ref="A241:B241" si="448">A240+1</f>
        <v>2151</v>
      </c>
      <c r="B241" s="230">
        <f t="shared" si="448"/>
        <v>231</v>
      </c>
      <c r="C241" s="229" t="str">
        <f t="shared" si="321"/>
        <v>22bX25+000_060_10</v>
      </c>
      <c r="D241" s="231">
        <f t="shared" si="377"/>
        <v>25</v>
      </c>
      <c r="E241" s="239">
        <f t="shared" si="402"/>
        <v>3.4090000000000007</v>
      </c>
      <c r="F241" s="232">
        <f t="shared" si="322"/>
        <v>13.636000000000003</v>
      </c>
      <c r="G241" s="232">
        <f t="shared" si="346"/>
        <v>10.908800000000003</v>
      </c>
      <c r="H241" s="232">
        <f t="shared" si="347"/>
        <v>6.8180000000000014</v>
      </c>
      <c r="I241" s="232">
        <f t="shared" ref="I241:J241" si="449">I240</f>
        <v>8</v>
      </c>
      <c r="J241" s="233">
        <f t="shared" si="449"/>
        <v>0</v>
      </c>
      <c r="K241" s="228" t="str">
        <f t="shared" si="446"/>
        <v>25-10</v>
      </c>
      <c r="L241" s="232">
        <f t="shared" si="380"/>
        <v>0.2</v>
      </c>
      <c r="M241" s="235">
        <v>60</v>
      </c>
      <c r="N241" s="232">
        <f t="shared" ref="N241:P241" si="450">N240</f>
        <v>150</v>
      </c>
      <c r="O241" s="232">
        <f t="shared" si="450"/>
        <v>160</v>
      </c>
      <c r="P241" s="232">
        <f t="shared" si="450"/>
        <v>390</v>
      </c>
      <c r="Q241" s="230" t="s">
        <v>76</v>
      </c>
    </row>
    <row r="242" spans="1:17" s="217" customFormat="1" x14ac:dyDescent="0.25">
      <c r="A242" s="229">
        <f t="shared" ref="A242:B242" si="451">A241+1</f>
        <v>2152</v>
      </c>
      <c r="B242" s="230">
        <f t="shared" si="451"/>
        <v>232</v>
      </c>
      <c r="C242" s="229" t="str">
        <f t="shared" si="321"/>
        <v>22bX25+000_090_10</v>
      </c>
      <c r="D242" s="231">
        <f t="shared" si="377"/>
        <v>25</v>
      </c>
      <c r="E242" s="239">
        <f t="shared" si="402"/>
        <v>3.4090000000000007</v>
      </c>
      <c r="F242" s="232">
        <f t="shared" si="322"/>
        <v>13.636000000000003</v>
      </c>
      <c r="G242" s="232">
        <f t="shared" si="346"/>
        <v>10.908800000000003</v>
      </c>
      <c r="H242" s="232">
        <f t="shared" si="347"/>
        <v>6.8180000000000014</v>
      </c>
      <c r="I242" s="232">
        <f t="shared" ref="I242:J242" si="452">I241</f>
        <v>8</v>
      </c>
      <c r="J242" s="233">
        <f t="shared" si="452"/>
        <v>0</v>
      </c>
      <c r="K242" s="228" t="str">
        <f t="shared" si="446"/>
        <v>25-10</v>
      </c>
      <c r="L242" s="232">
        <f t="shared" si="380"/>
        <v>0.2</v>
      </c>
      <c r="M242" s="235">
        <v>90</v>
      </c>
      <c r="N242" s="232">
        <f t="shared" ref="N242:P242" si="453">N241</f>
        <v>150</v>
      </c>
      <c r="O242" s="232">
        <f t="shared" si="453"/>
        <v>160</v>
      </c>
      <c r="P242" s="232">
        <f t="shared" si="453"/>
        <v>390</v>
      </c>
      <c r="Q242" s="230" t="s">
        <v>76</v>
      </c>
    </row>
    <row r="243" spans="1:17" s="217" customFormat="1" x14ac:dyDescent="0.25">
      <c r="A243" s="229">
        <f t="shared" ref="A243:B243" si="454">A242+1</f>
        <v>2153</v>
      </c>
      <c r="B243" s="230">
        <f t="shared" si="454"/>
        <v>233</v>
      </c>
      <c r="C243" s="229" t="str">
        <f t="shared" si="321"/>
        <v>22bX25+000_000_11</v>
      </c>
      <c r="D243" s="231">
        <f t="shared" si="377"/>
        <v>25</v>
      </c>
      <c r="E243" s="239">
        <f t="shared" si="402"/>
        <v>3.4090000000000007</v>
      </c>
      <c r="F243" s="232">
        <f t="shared" si="322"/>
        <v>13.636000000000003</v>
      </c>
      <c r="G243" s="232">
        <f t="shared" si="346"/>
        <v>10.908800000000003</v>
      </c>
      <c r="H243" s="232">
        <f t="shared" si="347"/>
        <v>6.8180000000000014</v>
      </c>
      <c r="I243" s="232">
        <f t="shared" ref="I243:J243" si="455">I242</f>
        <v>8</v>
      </c>
      <c r="J243" s="233">
        <f t="shared" si="455"/>
        <v>0</v>
      </c>
      <c r="K243" s="228" t="str">
        <f>D243&amp;-11</f>
        <v>25-11</v>
      </c>
      <c r="L243" s="232">
        <f t="shared" si="380"/>
        <v>0.2</v>
      </c>
      <c r="M243" s="235">
        <v>0</v>
      </c>
      <c r="N243" s="232">
        <f t="shared" ref="N243:P243" si="456">N242</f>
        <v>150</v>
      </c>
      <c r="O243" s="232">
        <f t="shared" si="456"/>
        <v>160</v>
      </c>
      <c r="P243" s="232">
        <f t="shared" si="456"/>
        <v>390</v>
      </c>
      <c r="Q243" s="230" t="s">
        <v>76</v>
      </c>
    </row>
    <row r="244" spans="1:17" s="217" customFormat="1" x14ac:dyDescent="0.25">
      <c r="A244" s="229">
        <f t="shared" ref="A244:B244" si="457">A243+1</f>
        <v>2154</v>
      </c>
      <c r="B244" s="230">
        <f t="shared" si="457"/>
        <v>234</v>
      </c>
      <c r="C244" s="229" t="str">
        <f t="shared" si="321"/>
        <v>22bX25+000_030_11</v>
      </c>
      <c r="D244" s="231">
        <f t="shared" si="377"/>
        <v>25</v>
      </c>
      <c r="E244" s="239">
        <f t="shared" si="402"/>
        <v>3.4090000000000007</v>
      </c>
      <c r="F244" s="232">
        <f t="shared" si="322"/>
        <v>13.636000000000003</v>
      </c>
      <c r="G244" s="232">
        <f t="shared" si="346"/>
        <v>10.908800000000003</v>
      </c>
      <c r="H244" s="232">
        <f t="shared" si="347"/>
        <v>6.8180000000000014</v>
      </c>
      <c r="I244" s="232">
        <f t="shared" ref="I244:J244" si="458">I243</f>
        <v>8</v>
      </c>
      <c r="J244" s="233">
        <f t="shared" si="458"/>
        <v>0</v>
      </c>
      <c r="K244" s="228" t="str">
        <f t="shared" ref="K244:K246" si="459">D244&amp;-11</f>
        <v>25-11</v>
      </c>
      <c r="L244" s="232">
        <f t="shared" si="380"/>
        <v>0.2</v>
      </c>
      <c r="M244" s="235">
        <v>30</v>
      </c>
      <c r="N244" s="232">
        <f t="shared" ref="N244:P244" si="460">N243</f>
        <v>150</v>
      </c>
      <c r="O244" s="232">
        <f t="shared" si="460"/>
        <v>160</v>
      </c>
      <c r="P244" s="232">
        <f t="shared" si="460"/>
        <v>390</v>
      </c>
      <c r="Q244" s="230" t="s">
        <v>76</v>
      </c>
    </row>
    <row r="245" spans="1:17" s="217" customFormat="1" x14ac:dyDescent="0.25">
      <c r="A245" s="229">
        <f t="shared" ref="A245:B245" si="461">A244+1</f>
        <v>2155</v>
      </c>
      <c r="B245" s="230">
        <f t="shared" si="461"/>
        <v>235</v>
      </c>
      <c r="C245" s="229" t="str">
        <f t="shared" si="321"/>
        <v>22bX25+000_060_11</v>
      </c>
      <c r="D245" s="231">
        <f t="shared" si="377"/>
        <v>25</v>
      </c>
      <c r="E245" s="239">
        <f t="shared" si="402"/>
        <v>3.4090000000000007</v>
      </c>
      <c r="F245" s="232">
        <f t="shared" si="322"/>
        <v>13.636000000000003</v>
      </c>
      <c r="G245" s="232">
        <f t="shared" si="346"/>
        <v>10.908800000000003</v>
      </c>
      <c r="H245" s="232">
        <f t="shared" si="347"/>
        <v>6.8180000000000014</v>
      </c>
      <c r="I245" s="232">
        <f t="shared" ref="I245:J245" si="462">I244</f>
        <v>8</v>
      </c>
      <c r="J245" s="233">
        <f t="shared" si="462"/>
        <v>0</v>
      </c>
      <c r="K245" s="228" t="str">
        <f t="shared" si="459"/>
        <v>25-11</v>
      </c>
      <c r="L245" s="232">
        <f t="shared" si="380"/>
        <v>0.2</v>
      </c>
      <c r="M245" s="235">
        <v>60</v>
      </c>
      <c r="N245" s="232">
        <f t="shared" ref="N245:P245" si="463">N244</f>
        <v>150</v>
      </c>
      <c r="O245" s="232">
        <f t="shared" si="463"/>
        <v>160</v>
      </c>
      <c r="P245" s="232">
        <f t="shared" si="463"/>
        <v>390</v>
      </c>
      <c r="Q245" s="230" t="s">
        <v>76</v>
      </c>
    </row>
    <row r="246" spans="1:17" s="217" customFormat="1" x14ac:dyDescent="0.25">
      <c r="A246" s="229">
        <f t="shared" ref="A246:B246" si="464">A245+1</f>
        <v>2156</v>
      </c>
      <c r="B246" s="230">
        <f t="shared" si="464"/>
        <v>236</v>
      </c>
      <c r="C246" s="229" t="str">
        <f t="shared" si="321"/>
        <v>22bX25+000_090_11</v>
      </c>
      <c r="D246" s="231">
        <f t="shared" si="377"/>
        <v>25</v>
      </c>
      <c r="E246" s="239">
        <f t="shared" si="402"/>
        <v>3.4090000000000007</v>
      </c>
      <c r="F246" s="232">
        <f t="shared" si="322"/>
        <v>13.636000000000003</v>
      </c>
      <c r="G246" s="232">
        <f t="shared" si="346"/>
        <v>10.908800000000003</v>
      </c>
      <c r="H246" s="232">
        <f t="shared" si="347"/>
        <v>6.8180000000000014</v>
      </c>
      <c r="I246" s="232">
        <f t="shared" ref="I246:J246" si="465">I245</f>
        <v>8</v>
      </c>
      <c r="J246" s="233">
        <f t="shared" si="465"/>
        <v>0</v>
      </c>
      <c r="K246" s="228" t="str">
        <f t="shared" si="459"/>
        <v>25-11</v>
      </c>
      <c r="L246" s="232">
        <f t="shared" si="380"/>
        <v>0.2</v>
      </c>
      <c r="M246" s="235">
        <v>90</v>
      </c>
      <c r="N246" s="232">
        <f t="shared" ref="N246:P246" si="466">N245</f>
        <v>150</v>
      </c>
      <c r="O246" s="232">
        <f t="shared" si="466"/>
        <v>160</v>
      </c>
      <c r="P246" s="232">
        <f t="shared" si="466"/>
        <v>390</v>
      </c>
      <c r="Q246" s="230" t="s">
        <v>76</v>
      </c>
    </row>
    <row r="247" spans="1:17" s="217" customFormat="1" x14ac:dyDescent="0.25">
      <c r="A247" s="229">
        <f t="shared" ref="A247:B247" si="467">A246+1</f>
        <v>2157</v>
      </c>
      <c r="B247" s="230">
        <f t="shared" si="467"/>
        <v>237</v>
      </c>
      <c r="C247" s="229" t="str">
        <f t="shared" si="321"/>
        <v>22bX25+000_000_12</v>
      </c>
      <c r="D247" s="231">
        <f t="shared" si="377"/>
        <v>25</v>
      </c>
      <c r="E247" s="239">
        <f t="shared" si="402"/>
        <v>3.4090000000000007</v>
      </c>
      <c r="F247" s="232">
        <f t="shared" si="322"/>
        <v>13.636000000000003</v>
      </c>
      <c r="G247" s="232">
        <f t="shared" si="346"/>
        <v>10.908800000000003</v>
      </c>
      <c r="H247" s="232">
        <f t="shared" si="347"/>
        <v>6.8180000000000014</v>
      </c>
      <c r="I247" s="232">
        <f t="shared" ref="I247:J247" si="468">I246</f>
        <v>8</v>
      </c>
      <c r="J247" s="233">
        <f t="shared" si="468"/>
        <v>0</v>
      </c>
      <c r="K247" s="228" t="str">
        <f>D247&amp;-12</f>
        <v>25-12</v>
      </c>
      <c r="L247" s="232">
        <f t="shared" si="380"/>
        <v>0.2</v>
      </c>
      <c r="M247" s="235">
        <v>0</v>
      </c>
      <c r="N247" s="232">
        <f t="shared" ref="N247:P247" si="469">N246</f>
        <v>150</v>
      </c>
      <c r="O247" s="232">
        <f t="shared" si="469"/>
        <v>160</v>
      </c>
      <c r="P247" s="232">
        <f t="shared" si="469"/>
        <v>390</v>
      </c>
      <c r="Q247" s="230" t="s">
        <v>76</v>
      </c>
    </row>
    <row r="248" spans="1:17" s="217" customFormat="1" x14ac:dyDescent="0.25">
      <c r="A248" s="229">
        <f t="shared" ref="A248:B248" si="470">A247+1</f>
        <v>2158</v>
      </c>
      <c r="B248" s="230">
        <f t="shared" si="470"/>
        <v>238</v>
      </c>
      <c r="C248" s="229" t="str">
        <f t="shared" si="321"/>
        <v>22bX25+000_030_12</v>
      </c>
      <c r="D248" s="231">
        <f t="shared" si="377"/>
        <v>25</v>
      </c>
      <c r="E248" s="239">
        <f t="shared" si="402"/>
        <v>3.4090000000000007</v>
      </c>
      <c r="F248" s="232">
        <f t="shared" si="322"/>
        <v>13.636000000000003</v>
      </c>
      <c r="G248" s="232">
        <f t="shared" si="346"/>
        <v>10.908800000000003</v>
      </c>
      <c r="H248" s="232">
        <f t="shared" si="347"/>
        <v>6.8180000000000014</v>
      </c>
      <c r="I248" s="232">
        <f t="shared" ref="I248:J248" si="471">I247</f>
        <v>8</v>
      </c>
      <c r="J248" s="233">
        <f t="shared" si="471"/>
        <v>0</v>
      </c>
      <c r="K248" s="228" t="str">
        <f t="shared" ref="K248:K250" si="472">D248&amp;-12</f>
        <v>25-12</v>
      </c>
      <c r="L248" s="232">
        <f t="shared" si="380"/>
        <v>0.2</v>
      </c>
      <c r="M248" s="235">
        <v>30</v>
      </c>
      <c r="N248" s="232">
        <f t="shared" ref="N248:P248" si="473">N247</f>
        <v>150</v>
      </c>
      <c r="O248" s="232">
        <f t="shared" si="473"/>
        <v>160</v>
      </c>
      <c r="P248" s="232">
        <f t="shared" si="473"/>
        <v>390</v>
      </c>
      <c r="Q248" s="230" t="s">
        <v>76</v>
      </c>
    </row>
    <row r="249" spans="1:17" s="217" customFormat="1" x14ac:dyDescent="0.25">
      <c r="A249" s="229">
        <f t="shared" ref="A249:B249" si="474">A248+1</f>
        <v>2159</v>
      </c>
      <c r="B249" s="230">
        <f t="shared" si="474"/>
        <v>239</v>
      </c>
      <c r="C249" s="229" t="str">
        <f t="shared" si="321"/>
        <v>22bX25+000_060_12</v>
      </c>
      <c r="D249" s="231">
        <f t="shared" si="377"/>
        <v>25</v>
      </c>
      <c r="E249" s="239">
        <f t="shared" si="402"/>
        <v>3.4090000000000007</v>
      </c>
      <c r="F249" s="232">
        <f t="shared" si="322"/>
        <v>13.636000000000003</v>
      </c>
      <c r="G249" s="232">
        <f t="shared" si="346"/>
        <v>10.908800000000003</v>
      </c>
      <c r="H249" s="232">
        <f t="shared" si="347"/>
        <v>6.8180000000000014</v>
      </c>
      <c r="I249" s="232">
        <f t="shared" ref="I249:J249" si="475">I248</f>
        <v>8</v>
      </c>
      <c r="J249" s="233">
        <f t="shared" si="475"/>
        <v>0</v>
      </c>
      <c r="K249" s="228" t="str">
        <f t="shared" si="472"/>
        <v>25-12</v>
      </c>
      <c r="L249" s="232">
        <f t="shared" si="380"/>
        <v>0.2</v>
      </c>
      <c r="M249" s="235">
        <v>60</v>
      </c>
      <c r="N249" s="232">
        <f t="shared" ref="N249:P249" si="476">N248</f>
        <v>150</v>
      </c>
      <c r="O249" s="232">
        <f t="shared" si="476"/>
        <v>160</v>
      </c>
      <c r="P249" s="232">
        <f t="shared" si="476"/>
        <v>390</v>
      </c>
      <c r="Q249" s="230" t="s">
        <v>76</v>
      </c>
    </row>
    <row r="250" spans="1:17" s="217" customFormat="1" x14ac:dyDescent="0.25">
      <c r="A250" s="229">
        <f t="shared" ref="A250:B250" si="477">A249+1</f>
        <v>2160</v>
      </c>
      <c r="B250" s="230">
        <f t="shared" si="477"/>
        <v>240</v>
      </c>
      <c r="C250" s="229" t="str">
        <f t="shared" si="321"/>
        <v>22bX25+000_090_12</v>
      </c>
      <c r="D250" s="231">
        <f t="shared" si="377"/>
        <v>25</v>
      </c>
      <c r="E250" s="239">
        <f t="shared" si="402"/>
        <v>3.4090000000000007</v>
      </c>
      <c r="F250" s="232">
        <f t="shared" si="322"/>
        <v>13.636000000000003</v>
      </c>
      <c r="G250" s="232">
        <f t="shared" si="346"/>
        <v>10.908800000000003</v>
      </c>
      <c r="H250" s="232">
        <f t="shared" si="347"/>
        <v>6.8180000000000014</v>
      </c>
      <c r="I250" s="232">
        <f t="shared" ref="I250:J250" si="478">I249</f>
        <v>8</v>
      </c>
      <c r="J250" s="233">
        <f t="shared" si="478"/>
        <v>0</v>
      </c>
      <c r="K250" s="228" t="str">
        <f t="shared" si="472"/>
        <v>25-12</v>
      </c>
      <c r="L250" s="232">
        <f t="shared" si="380"/>
        <v>0.2</v>
      </c>
      <c r="M250" s="235">
        <v>90</v>
      </c>
      <c r="N250" s="232">
        <f t="shared" ref="N250:P250" si="479">N249</f>
        <v>150</v>
      </c>
      <c r="O250" s="232">
        <f t="shared" si="479"/>
        <v>160</v>
      </c>
      <c r="P250" s="232">
        <f t="shared" si="479"/>
        <v>390</v>
      </c>
      <c r="Q250" s="230" t="s">
        <v>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T250"/>
  <sheetViews>
    <sheetView topLeftCell="C1" zoomScaleNormal="100" workbookViewId="0">
      <selection activeCell="I1" sqref="I1:I7"/>
    </sheetView>
  </sheetViews>
  <sheetFormatPr defaultColWidth="9" defaultRowHeight="15" x14ac:dyDescent="0.15"/>
  <cols>
    <col min="1" max="1" width="7" style="182" customWidth="1"/>
    <col min="2" max="2" width="7.375" style="182" customWidth="1"/>
    <col min="3" max="3" width="21.875" style="182" customWidth="1"/>
    <col min="4" max="4" width="6.875" style="182" customWidth="1"/>
    <col min="5" max="5" width="7.375" style="182" customWidth="1"/>
    <col min="6" max="6" width="8.125" style="182" customWidth="1"/>
    <col min="7" max="8" width="7.375" style="182" customWidth="1"/>
    <col min="9" max="9" width="8" style="182" customWidth="1"/>
    <col min="10" max="10" width="9" style="182"/>
    <col min="11" max="11" width="8.875" style="182" customWidth="1"/>
    <col min="12" max="12" width="7.375" style="182" customWidth="1"/>
    <col min="13" max="13" width="7.125" style="182" customWidth="1"/>
    <col min="14" max="14" width="6.75" style="182" customWidth="1"/>
    <col min="15" max="15" width="8.375" style="182" customWidth="1"/>
    <col min="16" max="16" width="7" style="182" customWidth="1"/>
    <col min="17" max="17" width="12.625" style="182" bestFit="1" customWidth="1"/>
    <col min="18" max="16384" width="9" style="182"/>
  </cols>
  <sheetData>
    <row r="1" spans="1:20" x14ac:dyDescent="0.15">
      <c r="H1" s="181" t="s">
        <v>135</v>
      </c>
      <c r="I1" s="216" t="s">
        <v>3951</v>
      </c>
      <c r="J1" s="180"/>
    </row>
    <row r="2" spans="1:20" x14ac:dyDescent="0.15">
      <c r="B2" s="181" t="s">
        <v>3694</v>
      </c>
      <c r="C2" s="181"/>
      <c r="D2" s="181"/>
      <c r="E2" s="181"/>
      <c r="F2" s="181"/>
      <c r="G2" s="181"/>
      <c r="H2" s="181"/>
      <c r="I2" s="216" t="s">
        <v>3928</v>
      </c>
      <c r="J2" s="180"/>
      <c r="S2" s="120"/>
    </row>
    <row r="3" spans="1:20" x14ac:dyDescent="0.15">
      <c r="B3" s="181" t="s">
        <v>88</v>
      </c>
      <c r="C3" s="181"/>
      <c r="D3" s="181"/>
      <c r="E3" s="181" t="s">
        <v>95</v>
      </c>
      <c r="F3" s="181"/>
      <c r="G3" s="181"/>
      <c r="H3" s="181"/>
      <c r="I3" s="240" t="s">
        <v>3939</v>
      </c>
      <c r="J3" s="180"/>
      <c r="S3" s="119"/>
      <c r="T3" s="119"/>
    </row>
    <row r="4" spans="1:20" x14ac:dyDescent="0.15">
      <c r="B4" s="181" t="s">
        <v>89</v>
      </c>
      <c r="C4" s="181"/>
      <c r="D4" s="181"/>
      <c r="E4" s="181" t="s">
        <v>3693</v>
      </c>
      <c r="F4" s="181"/>
      <c r="G4" s="181"/>
      <c r="H4" s="181"/>
      <c r="I4" s="216" t="s">
        <v>3942</v>
      </c>
      <c r="J4" s="180"/>
      <c r="S4" s="119"/>
      <c r="T4" s="119"/>
    </row>
    <row r="5" spans="1:20" x14ac:dyDescent="0.15">
      <c r="B5" s="181" t="s">
        <v>91</v>
      </c>
      <c r="C5" s="181"/>
      <c r="D5" s="181"/>
      <c r="E5" s="181" t="s">
        <v>99</v>
      </c>
      <c r="F5" s="181"/>
      <c r="G5" s="181"/>
      <c r="H5" s="181"/>
      <c r="I5" s="240" t="s">
        <v>3940</v>
      </c>
      <c r="J5" s="180"/>
      <c r="S5" s="119"/>
      <c r="T5" s="119"/>
    </row>
    <row r="6" spans="1:20" x14ac:dyDescent="0.15">
      <c r="B6" s="181" t="s">
        <v>93</v>
      </c>
      <c r="C6" s="181"/>
      <c r="D6" s="181"/>
      <c r="E6" s="181" t="s">
        <v>106</v>
      </c>
      <c r="F6" s="181"/>
      <c r="G6" s="181"/>
      <c r="H6" s="181"/>
      <c r="I6" s="216" t="s">
        <v>3932</v>
      </c>
      <c r="J6" s="180"/>
      <c r="S6" s="119"/>
      <c r="T6" s="119"/>
    </row>
    <row r="7" spans="1:20" x14ac:dyDescent="0.15">
      <c r="I7" s="216" t="s">
        <v>3930</v>
      </c>
      <c r="P7" s="181"/>
      <c r="S7" s="119"/>
      <c r="T7" s="119"/>
    </row>
    <row r="8" spans="1:20" ht="15.75" thickBot="1" x14ac:dyDescent="0.2">
      <c r="A8" s="139">
        <v>1</v>
      </c>
      <c r="B8" s="139">
        <v>2</v>
      </c>
      <c r="C8" s="139">
        <v>3</v>
      </c>
      <c r="D8" s="139">
        <v>4</v>
      </c>
      <c r="E8" s="139">
        <v>5</v>
      </c>
      <c r="F8" s="139">
        <v>6</v>
      </c>
      <c r="G8" s="139">
        <v>7</v>
      </c>
      <c r="H8" s="139">
        <v>8</v>
      </c>
      <c r="I8" s="139">
        <v>9</v>
      </c>
      <c r="J8" s="139">
        <v>10</v>
      </c>
      <c r="K8" s="139">
        <v>11</v>
      </c>
      <c r="L8" s="139">
        <v>12</v>
      </c>
      <c r="M8" s="139">
        <v>13</v>
      </c>
      <c r="N8" s="139">
        <v>14</v>
      </c>
      <c r="O8" s="139">
        <v>15</v>
      </c>
      <c r="P8" s="139">
        <v>16</v>
      </c>
      <c r="Q8" s="139">
        <v>17</v>
      </c>
      <c r="R8" s="139"/>
      <c r="S8" s="119"/>
      <c r="T8" s="119"/>
    </row>
    <row r="9" spans="1:20" x14ac:dyDescent="0.25">
      <c r="A9" s="183" t="s">
        <v>97</v>
      </c>
      <c r="B9" s="184" t="s">
        <v>96</v>
      </c>
      <c r="C9" s="183" t="s">
        <v>0</v>
      </c>
      <c r="D9" s="184" t="s">
        <v>137</v>
      </c>
      <c r="E9" s="201" t="s">
        <v>142</v>
      </c>
      <c r="F9" s="184" t="s">
        <v>119</v>
      </c>
      <c r="G9" s="184" t="s">
        <v>120</v>
      </c>
      <c r="H9" s="184" t="s">
        <v>121</v>
      </c>
      <c r="I9" s="184" t="s">
        <v>144</v>
      </c>
      <c r="J9" s="184" t="s">
        <v>140</v>
      </c>
      <c r="K9" s="185" t="s">
        <v>3</v>
      </c>
      <c r="L9" s="184" t="s">
        <v>141</v>
      </c>
      <c r="M9" s="184" t="s">
        <v>13</v>
      </c>
      <c r="N9" s="186" t="s">
        <v>138</v>
      </c>
      <c r="O9" s="200" t="s">
        <v>160</v>
      </c>
      <c r="P9" s="186" t="s">
        <v>139</v>
      </c>
      <c r="Q9" s="186" t="s">
        <v>256</v>
      </c>
      <c r="S9" s="119"/>
      <c r="T9" s="119"/>
    </row>
    <row r="10" spans="1:20" ht="15.75" thickBot="1" x14ac:dyDescent="0.3">
      <c r="A10" s="187" t="s">
        <v>76</v>
      </c>
      <c r="B10" s="188" t="str">
        <f>B2</f>
        <v>DLC22c</v>
      </c>
      <c r="C10" s="187"/>
      <c r="D10" s="188" t="s">
        <v>4</v>
      </c>
      <c r="E10" s="202" t="s">
        <v>4</v>
      </c>
      <c r="F10" s="188" t="s">
        <v>5</v>
      </c>
      <c r="G10" s="188" t="s">
        <v>5</v>
      </c>
      <c r="H10" s="188" t="s">
        <v>5</v>
      </c>
      <c r="I10" s="188" t="s">
        <v>6</v>
      </c>
      <c r="J10" s="188" t="s">
        <v>6</v>
      </c>
      <c r="K10" s="189"/>
      <c r="L10" s="188"/>
      <c r="M10" s="190" t="s">
        <v>7</v>
      </c>
      <c r="N10" s="190" t="s">
        <v>7</v>
      </c>
      <c r="O10" s="190" t="s">
        <v>7</v>
      </c>
      <c r="P10" s="190" t="s">
        <v>7</v>
      </c>
      <c r="Q10" s="190" t="s">
        <v>3708</v>
      </c>
      <c r="S10" s="119"/>
      <c r="T10" s="119"/>
    </row>
    <row r="11" spans="1:20" ht="14.25" customHeight="1" x14ac:dyDescent="0.25">
      <c r="A11" s="195">
        <f>DLC22b!A250+1</f>
        <v>2161</v>
      </c>
      <c r="B11" s="196">
        <v>1</v>
      </c>
      <c r="C11" s="195" t="str">
        <f>TEXT(RIGHT($B$2,LEN($B$2)-3),"000")&amp;"X"&amp;TEXT(D11,"00")&amp;"+"&amp;IF(J11&lt;0,TEXT(360+J11,"000"),TEXT(J11,"000"))&amp;"_"&amp;TEXT(M11,"000")&amp;"_"&amp;TEXT(RIGHT(K11,LEN(K11)-FIND("-",K11)),"00")</f>
        <v>22cX08+000_000_01</v>
      </c>
      <c r="D11" s="191">
        <f t="shared" ref="D11" si="0">vr_b</f>
        <v>7.8000000000000007</v>
      </c>
      <c r="E11" s="203">
        <f t="shared" ref="E11" si="1">I_ref*(0.75*D11+5.6)</f>
        <v>1.603</v>
      </c>
      <c r="F11" s="192">
        <f>E11/D11*100</f>
        <v>20.551282051282051</v>
      </c>
      <c r="G11" s="192">
        <f t="shared" ref="G11" si="2">m_ty*F11</f>
        <v>16.441025641025643</v>
      </c>
      <c r="H11" s="192">
        <f t="shared" ref="H11" si="3">m_tz*F11</f>
        <v>10.275641025641026</v>
      </c>
      <c r="I11" s="192">
        <f>inflow</f>
        <v>8</v>
      </c>
      <c r="J11" s="193">
        <f>yaw_null</f>
        <v>0</v>
      </c>
      <c r="K11" s="194" t="str">
        <f>D11&amp;-1</f>
        <v>7.8-1</v>
      </c>
      <c r="L11" s="192">
        <f>alpha_n</f>
        <v>0.2</v>
      </c>
      <c r="M11" s="49">
        <v>0</v>
      </c>
      <c r="N11" s="198">
        <f>t_out</f>
        <v>150</v>
      </c>
      <c r="O11" s="198">
        <f>trig_t</f>
        <v>160</v>
      </c>
      <c r="P11" s="198">
        <f>N11+4*T_s2</f>
        <v>390</v>
      </c>
      <c r="Q11" s="196">
        <f>1*Pitch_runaway_fine_Hardware</f>
        <v>-4</v>
      </c>
    </row>
    <row r="12" spans="1:20" x14ac:dyDescent="0.25">
      <c r="A12" s="195">
        <f t="shared" ref="A12:B12" si="4">A11+1</f>
        <v>2162</v>
      </c>
      <c r="B12" s="196">
        <f t="shared" si="4"/>
        <v>2</v>
      </c>
      <c r="C12" s="229" t="str">
        <f t="shared" ref="C12:C75" si="5">TEXT(RIGHT($B$2,LEN($B$2)-3),"000")&amp;"X"&amp;TEXT(D12,"00")&amp;"+"&amp;IF(J12&lt;0,TEXT(360+J12,"000"),TEXT(J12,"000"))&amp;"_"&amp;TEXT(M12,"000")&amp;"_"&amp;TEXT(RIGHT(K12,LEN(K12)-FIND("-",K12)),"00")</f>
        <v>22cX08+000_030_01</v>
      </c>
      <c r="D12" s="197">
        <f t="shared" ref="D12:D16" si="6">D11</f>
        <v>7.8000000000000007</v>
      </c>
      <c r="E12" s="204">
        <f t="shared" ref="E12:E14" si="7">I_ref*(0.75*D12+5.6)</f>
        <v>1.603</v>
      </c>
      <c r="F12" s="198">
        <f t="shared" ref="F12:F16" si="8">E12/D12*100</f>
        <v>20.551282051282051</v>
      </c>
      <c r="G12" s="198">
        <f t="shared" ref="G12:G14" si="9">m_ty*F12</f>
        <v>16.441025641025643</v>
      </c>
      <c r="H12" s="198">
        <f t="shared" ref="H12:H14" si="10">m_tz*F12</f>
        <v>10.275641025641026</v>
      </c>
      <c r="I12" s="198">
        <f t="shared" ref="I12:J16" si="11">I11</f>
        <v>8</v>
      </c>
      <c r="J12" s="199">
        <f t="shared" si="11"/>
        <v>0</v>
      </c>
      <c r="K12" s="194" t="str">
        <f t="shared" ref="K12:K14" si="12">D12&amp;-1</f>
        <v>7.8-1</v>
      </c>
      <c r="L12" s="198">
        <f t="shared" ref="L12:L31" si="13">L11</f>
        <v>0.2</v>
      </c>
      <c r="M12" s="49">
        <v>30</v>
      </c>
      <c r="N12" s="198">
        <f t="shared" ref="N12:Q15" si="14">N11</f>
        <v>150</v>
      </c>
      <c r="O12" s="198">
        <f t="shared" si="14"/>
        <v>160</v>
      </c>
      <c r="P12" s="198">
        <f t="shared" si="14"/>
        <v>390</v>
      </c>
      <c r="Q12" s="196">
        <f>Q11</f>
        <v>-4</v>
      </c>
    </row>
    <row r="13" spans="1:20" x14ac:dyDescent="0.25">
      <c r="A13" s="229">
        <f t="shared" ref="A13:B13" si="15">A12+1</f>
        <v>2163</v>
      </c>
      <c r="B13" s="230">
        <f t="shared" si="15"/>
        <v>3</v>
      </c>
      <c r="C13" s="229" t="str">
        <f t="shared" si="5"/>
        <v>22cX08+000_060_01</v>
      </c>
      <c r="D13" s="197">
        <f t="shared" si="6"/>
        <v>7.8000000000000007</v>
      </c>
      <c r="E13" s="204">
        <f t="shared" si="7"/>
        <v>1.603</v>
      </c>
      <c r="F13" s="198">
        <f t="shared" si="8"/>
        <v>20.551282051282051</v>
      </c>
      <c r="G13" s="198">
        <f t="shared" si="9"/>
        <v>16.441025641025643</v>
      </c>
      <c r="H13" s="198">
        <f t="shared" si="10"/>
        <v>10.275641025641026</v>
      </c>
      <c r="I13" s="198">
        <f t="shared" si="11"/>
        <v>8</v>
      </c>
      <c r="J13" s="199">
        <f t="shared" si="11"/>
        <v>0</v>
      </c>
      <c r="K13" s="194" t="str">
        <f t="shared" si="12"/>
        <v>7.8-1</v>
      </c>
      <c r="L13" s="198">
        <f t="shared" si="13"/>
        <v>0.2</v>
      </c>
      <c r="M13" s="49">
        <v>60</v>
      </c>
      <c r="N13" s="198">
        <f t="shared" si="14"/>
        <v>150</v>
      </c>
      <c r="O13" s="198">
        <f t="shared" si="14"/>
        <v>160</v>
      </c>
      <c r="P13" s="198">
        <f t="shared" si="14"/>
        <v>390</v>
      </c>
      <c r="Q13" s="196">
        <f t="shared" si="14"/>
        <v>-4</v>
      </c>
    </row>
    <row r="14" spans="1:20" x14ac:dyDescent="0.25">
      <c r="A14" s="229">
        <f t="shared" ref="A14:B14" si="16">A13+1</f>
        <v>2164</v>
      </c>
      <c r="B14" s="230">
        <f t="shared" si="16"/>
        <v>4</v>
      </c>
      <c r="C14" s="229" t="str">
        <f t="shared" si="5"/>
        <v>22cX08+000_090_01</v>
      </c>
      <c r="D14" s="197">
        <f t="shared" si="6"/>
        <v>7.8000000000000007</v>
      </c>
      <c r="E14" s="204">
        <f t="shared" si="7"/>
        <v>1.603</v>
      </c>
      <c r="F14" s="198">
        <f t="shared" si="8"/>
        <v>20.551282051282051</v>
      </c>
      <c r="G14" s="198">
        <f t="shared" si="9"/>
        <v>16.441025641025643</v>
      </c>
      <c r="H14" s="198">
        <f t="shared" si="10"/>
        <v>10.275641025641026</v>
      </c>
      <c r="I14" s="198">
        <f t="shared" si="11"/>
        <v>8</v>
      </c>
      <c r="J14" s="199">
        <f t="shared" si="11"/>
        <v>0</v>
      </c>
      <c r="K14" s="194" t="str">
        <f t="shared" si="12"/>
        <v>7.8-1</v>
      </c>
      <c r="L14" s="198">
        <f t="shared" si="13"/>
        <v>0.2</v>
      </c>
      <c r="M14" s="49">
        <v>90</v>
      </c>
      <c r="N14" s="198">
        <f t="shared" si="14"/>
        <v>150</v>
      </c>
      <c r="O14" s="198">
        <f t="shared" si="14"/>
        <v>160</v>
      </c>
      <c r="P14" s="198">
        <f t="shared" si="14"/>
        <v>390</v>
      </c>
      <c r="Q14" s="196">
        <f t="shared" si="14"/>
        <v>-4</v>
      </c>
    </row>
    <row r="15" spans="1:20" x14ac:dyDescent="0.25">
      <c r="A15" s="229">
        <f t="shared" ref="A15:B15" si="17">A14+1</f>
        <v>2165</v>
      </c>
      <c r="B15" s="230">
        <f t="shared" si="17"/>
        <v>5</v>
      </c>
      <c r="C15" s="229" t="str">
        <f t="shared" si="5"/>
        <v>22cX08+000_000_02</v>
      </c>
      <c r="D15" s="197">
        <f t="shared" si="6"/>
        <v>7.8000000000000007</v>
      </c>
      <c r="E15" s="204">
        <f t="shared" ref="E15:E58" si="18">I_ref*(0.75*D15+5.6)</f>
        <v>1.603</v>
      </c>
      <c r="F15" s="198">
        <f t="shared" si="8"/>
        <v>20.551282051282051</v>
      </c>
      <c r="G15" s="198">
        <f t="shared" ref="G15:G58" si="19">m_ty*F15</f>
        <v>16.441025641025643</v>
      </c>
      <c r="H15" s="198">
        <f t="shared" ref="H15:H58" si="20">m_tz*F15</f>
        <v>10.275641025641026</v>
      </c>
      <c r="I15" s="198">
        <f t="shared" si="11"/>
        <v>8</v>
      </c>
      <c r="J15" s="199">
        <f t="shared" si="11"/>
        <v>0</v>
      </c>
      <c r="K15" s="194" t="str">
        <f>D15&amp;-2</f>
        <v>7.8-2</v>
      </c>
      <c r="L15" s="198">
        <f t="shared" si="13"/>
        <v>0.2</v>
      </c>
      <c r="M15" s="49">
        <v>0</v>
      </c>
      <c r="N15" s="198">
        <f t="shared" si="14"/>
        <v>150</v>
      </c>
      <c r="O15" s="198">
        <f t="shared" si="14"/>
        <v>160</v>
      </c>
      <c r="P15" s="198">
        <f t="shared" si="14"/>
        <v>390</v>
      </c>
      <c r="Q15" s="196">
        <f t="shared" si="14"/>
        <v>-4</v>
      </c>
    </row>
    <row r="16" spans="1:20" x14ac:dyDescent="0.25">
      <c r="A16" s="229">
        <f t="shared" ref="A16:B16" si="21">A15+1</f>
        <v>2166</v>
      </c>
      <c r="B16" s="230">
        <f t="shared" si="21"/>
        <v>6</v>
      </c>
      <c r="C16" s="229" t="str">
        <f t="shared" si="5"/>
        <v>22cX08+000_030_02</v>
      </c>
      <c r="D16" s="197">
        <f t="shared" si="6"/>
        <v>7.8000000000000007</v>
      </c>
      <c r="E16" s="204">
        <f t="shared" si="18"/>
        <v>1.603</v>
      </c>
      <c r="F16" s="198">
        <f t="shared" si="8"/>
        <v>20.551282051282051</v>
      </c>
      <c r="G16" s="198">
        <f t="shared" si="19"/>
        <v>16.441025641025643</v>
      </c>
      <c r="H16" s="198">
        <f t="shared" si="20"/>
        <v>10.275641025641026</v>
      </c>
      <c r="I16" s="198">
        <f t="shared" si="11"/>
        <v>8</v>
      </c>
      <c r="J16" s="199">
        <f t="shared" si="11"/>
        <v>0</v>
      </c>
      <c r="K16" s="194" t="str">
        <f t="shared" ref="K16:K18" si="22">D16&amp;-2</f>
        <v>7.8-2</v>
      </c>
      <c r="L16" s="198">
        <f t="shared" si="13"/>
        <v>0.2</v>
      </c>
      <c r="M16" s="49">
        <v>30</v>
      </c>
      <c r="N16" s="198">
        <f t="shared" ref="N16:Q31" si="23">N15</f>
        <v>150</v>
      </c>
      <c r="O16" s="198">
        <f t="shared" si="23"/>
        <v>160</v>
      </c>
      <c r="P16" s="198">
        <f t="shared" si="23"/>
        <v>390</v>
      </c>
      <c r="Q16" s="196">
        <f t="shared" si="23"/>
        <v>-4</v>
      </c>
    </row>
    <row r="17" spans="1:17" x14ac:dyDescent="0.25">
      <c r="A17" s="229">
        <f t="shared" ref="A17:B17" si="24">A16+1</f>
        <v>2167</v>
      </c>
      <c r="B17" s="230">
        <f t="shared" si="24"/>
        <v>7</v>
      </c>
      <c r="C17" s="229" t="str">
        <f t="shared" si="5"/>
        <v>22cX08+000_060_02</v>
      </c>
      <c r="D17" s="197">
        <f t="shared" ref="D17:D58" si="25">D16</f>
        <v>7.8000000000000007</v>
      </c>
      <c r="E17" s="204">
        <f t="shared" si="18"/>
        <v>1.603</v>
      </c>
      <c r="F17" s="198">
        <f t="shared" ref="F17:F58" si="26">E17/D17*100</f>
        <v>20.551282051282051</v>
      </c>
      <c r="G17" s="198">
        <f t="shared" si="19"/>
        <v>16.441025641025643</v>
      </c>
      <c r="H17" s="198">
        <f t="shared" si="20"/>
        <v>10.275641025641026</v>
      </c>
      <c r="I17" s="198">
        <f t="shared" ref="I17:J32" si="27">I16</f>
        <v>8</v>
      </c>
      <c r="J17" s="199">
        <f t="shared" si="27"/>
        <v>0</v>
      </c>
      <c r="K17" s="194" t="str">
        <f t="shared" si="22"/>
        <v>7.8-2</v>
      </c>
      <c r="L17" s="198">
        <f t="shared" si="13"/>
        <v>0.2</v>
      </c>
      <c r="M17" s="49">
        <v>60</v>
      </c>
      <c r="N17" s="198">
        <f t="shared" si="23"/>
        <v>150</v>
      </c>
      <c r="O17" s="198">
        <f t="shared" si="23"/>
        <v>160</v>
      </c>
      <c r="P17" s="198">
        <f t="shared" si="23"/>
        <v>390</v>
      </c>
      <c r="Q17" s="196">
        <f t="shared" si="23"/>
        <v>-4</v>
      </c>
    </row>
    <row r="18" spans="1:17" x14ac:dyDescent="0.25">
      <c r="A18" s="229">
        <f t="shared" ref="A18:B18" si="28">A17+1</f>
        <v>2168</v>
      </c>
      <c r="B18" s="230">
        <f t="shared" si="28"/>
        <v>8</v>
      </c>
      <c r="C18" s="229" t="str">
        <f t="shared" si="5"/>
        <v>22cX08+000_090_02</v>
      </c>
      <c r="D18" s="197">
        <f t="shared" si="25"/>
        <v>7.8000000000000007</v>
      </c>
      <c r="E18" s="204">
        <f t="shared" si="18"/>
        <v>1.603</v>
      </c>
      <c r="F18" s="198">
        <f t="shared" si="26"/>
        <v>20.551282051282051</v>
      </c>
      <c r="G18" s="198">
        <f t="shared" si="19"/>
        <v>16.441025641025643</v>
      </c>
      <c r="H18" s="198">
        <f t="shared" si="20"/>
        <v>10.275641025641026</v>
      </c>
      <c r="I18" s="198">
        <f t="shared" si="27"/>
        <v>8</v>
      </c>
      <c r="J18" s="199">
        <f t="shared" si="27"/>
        <v>0</v>
      </c>
      <c r="K18" s="194" t="str">
        <f t="shared" si="22"/>
        <v>7.8-2</v>
      </c>
      <c r="L18" s="198">
        <f t="shared" si="13"/>
        <v>0.2</v>
      </c>
      <c r="M18" s="49">
        <v>90</v>
      </c>
      <c r="N18" s="198">
        <f t="shared" si="23"/>
        <v>150</v>
      </c>
      <c r="O18" s="198">
        <f t="shared" si="23"/>
        <v>160</v>
      </c>
      <c r="P18" s="198">
        <f t="shared" si="23"/>
        <v>390</v>
      </c>
      <c r="Q18" s="196">
        <f t="shared" si="23"/>
        <v>-4</v>
      </c>
    </row>
    <row r="19" spans="1:17" x14ac:dyDescent="0.25">
      <c r="A19" s="229">
        <f t="shared" ref="A19:B19" si="29">A18+1</f>
        <v>2169</v>
      </c>
      <c r="B19" s="230">
        <f t="shared" si="29"/>
        <v>9</v>
      </c>
      <c r="C19" s="229" t="str">
        <f t="shared" si="5"/>
        <v>22cX08+000_000_03</v>
      </c>
      <c r="D19" s="197">
        <f t="shared" si="25"/>
        <v>7.8000000000000007</v>
      </c>
      <c r="E19" s="204">
        <f t="shared" si="18"/>
        <v>1.603</v>
      </c>
      <c r="F19" s="198">
        <f t="shared" si="26"/>
        <v>20.551282051282051</v>
      </c>
      <c r="G19" s="198">
        <f t="shared" si="19"/>
        <v>16.441025641025643</v>
      </c>
      <c r="H19" s="198">
        <f t="shared" si="20"/>
        <v>10.275641025641026</v>
      </c>
      <c r="I19" s="198">
        <f t="shared" si="27"/>
        <v>8</v>
      </c>
      <c r="J19" s="199">
        <f t="shared" si="27"/>
        <v>0</v>
      </c>
      <c r="K19" s="194" t="str">
        <f>D19&amp;-3</f>
        <v>7.8-3</v>
      </c>
      <c r="L19" s="198">
        <f t="shared" si="13"/>
        <v>0.2</v>
      </c>
      <c r="M19" s="49">
        <v>0</v>
      </c>
      <c r="N19" s="198">
        <f t="shared" si="23"/>
        <v>150</v>
      </c>
      <c r="O19" s="198">
        <f t="shared" si="23"/>
        <v>160</v>
      </c>
      <c r="P19" s="198">
        <f t="shared" si="23"/>
        <v>390</v>
      </c>
      <c r="Q19" s="196">
        <f t="shared" si="23"/>
        <v>-4</v>
      </c>
    </row>
    <row r="20" spans="1:17" x14ac:dyDescent="0.25">
      <c r="A20" s="229">
        <f t="shared" ref="A20:B20" si="30">A19+1</f>
        <v>2170</v>
      </c>
      <c r="B20" s="230">
        <f t="shared" si="30"/>
        <v>10</v>
      </c>
      <c r="C20" s="229" t="str">
        <f t="shared" si="5"/>
        <v>22cX08+000_030_03</v>
      </c>
      <c r="D20" s="197">
        <f t="shared" si="25"/>
        <v>7.8000000000000007</v>
      </c>
      <c r="E20" s="204">
        <f t="shared" si="18"/>
        <v>1.603</v>
      </c>
      <c r="F20" s="198">
        <f t="shared" si="26"/>
        <v>20.551282051282051</v>
      </c>
      <c r="G20" s="198">
        <f t="shared" si="19"/>
        <v>16.441025641025643</v>
      </c>
      <c r="H20" s="198">
        <f t="shared" si="20"/>
        <v>10.275641025641026</v>
      </c>
      <c r="I20" s="198">
        <f t="shared" si="27"/>
        <v>8</v>
      </c>
      <c r="J20" s="199">
        <f t="shared" si="27"/>
        <v>0</v>
      </c>
      <c r="K20" s="194" t="str">
        <f t="shared" ref="K20:K22" si="31">D20&amp;-3</f>
        <v>7.8-3</v>
      </c>
      <c r="L20" s="198">
        <f t="shared" si="13"/>
        <v>0.2</v>
      </c>
      <c r="M20" s="49">
        <v>30</v>
      </c>
      <c r="N20" s="198">
        <f t="shared" si="23"/>
        <v>150</v>
      </c>
      <c r="O20" s="198">
        <f t="shared" si="23"/>
        <v>160</v>
      </c>
      <c r="P20" s="198">
        <f t="shared" si="23"/>
        <v>390</v>
      </c>
      <c r="Q20" s="196">
        <f t="shared" si="23"/>
        <v>-4</v>
      </c>
    </row>
    <row r="21" spans="1:17" x14ac:dyDescent="0.25">
      <c r="A21" s="229">
        <f t="shared" ref="A21:B21" si="32">A20+1</f>
        <v>2171</v>
      </c>
      <c r="B21" s="230">
        <f t="shared" si="32"/>
        <v>11</v>
      </c>
      <c r="C21" s="229" t="str">
        <f t="shared" si="5"/>
        <v>22cX08+000_060_03</v>
      </c>
      <c r="D21" s="197">
        <f t="shared" si="25"/>
        <v>7.8000000000000007</v>
      </c>
      <c r="E21" s="204">
        <f t="shared" si="18"/>
        <v>1.603</v>
      </c>
      <c r="F21" s="198">
        <f t="shared" si="26"/>
        <v>20.551282051282051</v>
      </c>
      <c r="G21" s="198">
        <f t="shared" si="19"/>
        <v>16.441025641025643</v>
      </c>
      <c r="H21" s="198">
        <f t="shared" si="20"/>
        <v>10.275641025641026</v>
      </c>
      <c r="I21" s="198">
        <f t="shared" si="27"/>
        <v>8</v>
      </c>
      <c r="J21" s="199">
        <f t="shared" si="27"/>
        <v>0</v>
      </c>
      <c r="K21" s="194" t="str">
        <f t="shared" si="31"/>
        <v>7.8-3</v>
      </c>
      <c r="L21" s="198">
        <f t="shared" si="13"/>
        <v>0.2</v>
      </c>
      <c r="M21" s="49">
        <v>60</v>
      </c>
      <c r="N21" s="198">
        <f t="shared" si="23"/>
        <v>150</v>
      </c>
      <c r="O21" s="198">
        <f t="shared" si="23"/>
        <v>160</v>
      </c>
      <c r="P21" s="198">
        <f t="shared" si="23"/>
        <v>390</v>
      </c>
      <c r="Q21" s="196">
        <f t="shared" si="23"/>
        <v>-4</v>
      </c>
    </row>
    <row r="22" spans="1:17" x14ac:dyDescent="0.25">
      <c r="A22" s="229">
        <f t="shared" ref="A22:B22" si="33">A21+1</f>
        <v>2172</v>
      </c>
      <c r="B22" s="230">
        <f t="shared" si="33"/>
        <v>12</v>
      </c>
      <c r="C22" s="229" t="str">
        <f t="shared" si="5"/>
        <v>22cX08+000_090_03</v>
      </c>
      <c r="D22" s="197">
        <f t="shared" si="25"/>
        <v>7.8000000000000007</v>
      </c>
      <c r="E22" s="204">
        <f t="shared" si="18"/>
        <v>1.603</v>
      </c>
      <c r="F22" s="198">
        <f t="shared" si="26"/>
        <v>20.551282051282051</v>
      </c>
      <c r="G22" s="198">
        <f t="shared" si="19"/>
        <v>16.441025641025643</v>
      </c>
      <c r="H22" s="198">
        <f t="shared" si="20"/>
        <v>10.275641025641026</v>
      </c>
      <c r="I22" s="198">
        <f t="shared" si="27"/>
        <v>8</v>
      </c>
      <c r="J22" s="199">
        <f t="shared" si="27"/>
        <v>0</v>
      </c>
      <c r="K22" s="194" t="str">
        <f t="shared" si="31"/>
        <v>7.8-3</v>
      </c>
      <c r="L22" s="198">
        <f t="shared" si="13"/>
        <v>0.2</v>
      </c>
      <c r="M22" s="49">
        <v>90</v>
      </c>
      <c r="N22" s="198">
        <f t="shared" si="23"/>
        <v>150</v>
      </c>
      <c r="O22" s="198">
        <f t="shared" si="23"/>
        <v>160</v>
      </c>
      <c r="P22" s="198">
        <f t="shared" si="23"/>
        <v>390</v>
      </c>
      <c r="Q22" s="196">
        <f t="shared" si="23"/>
        <v>-4</v>
      </c>
    </row>
    <row r="23" spans="1:17" ht="14.25" customHeight="1" x14ac:dyDescent="0.25">
      <c r="A23" s="229">
        <f t="shared" ref="A23:B23" si="34">A22+1</f>
        <v>2173</v>
      </c>
      <c r="B23" s="230">
        <f t="shared" si="34"/>
        <v>13</v>
      </c>
      <c r="C23" s="229" t="str">
        <f t="shared" si="5"/>
        <v>22cX08+000_000_04</v>
      </c>
      <c r="D23" s="197">
        <f t="shared" si="25"/>
        <v>7.8000000000000007</v>
      </c>
      <c r="E23" s="204">
        <f t="shared" si="18"/>
        <v>1.603</v>
      </c>
      <c r="F23" s="198">
        <f t="shared" si="26"/>
        <v>20.551282051282051</v>
      </c>
      <c r="G23" s="198">
        <f t="shared" si="19"/>
        <v>16.441025641025643</v>
      </c>
      <c r="H23" s="198">
        <f t="shared" si="20"/>
        <v>10.275641025641026</v>
      </c>
      <c r="I23" s="198">
        <f t="shared" si="27"/>
        <v>8</v>
      </c>
      <c r="J23" s="199">
        <f t="shared" si="27"/>
        <v>0</v>
      </c>
      <c r="K23" s="194" t="str">
        <f>D23&amp;-4</f>
        <v>7.8-4</v>
      </c>
      <c r="L23" s="198">
        <f t="shared" si="13"/>
        <v>0.2</v>
      </c>
      <c r="M23" s="49">
        <v>0</v>
      </c>
      <c r="N23" s="198">
        <f t="shared" si="23"/>
        <v>150</v>
      </c>
      <c r="O23" s="198">
        <f t="shared" si="23"/>
        <v>160</v>
      </c>
      <c r="P23" s="198">
        <f t="shared" si="23"/>
        <v>390</v>
      </c>
      <c r="Q23" s="196">
        <f t="shared" si="23"/>
        <v>-4</v>
      </c>
    </row>
    <row r="24" spans="1:17" x14ac:dyDescent="0.25">
      <c r="A24" s="229">
        <f t="shared" ref="A24:B24" si="35">A23+1</f>
        <v>2174</v>
      </c>
      <c r="B24" s="230">
        <f t="shared" si="35"/>
        <v>14</v>
      </c>
      <c r="C24" s="229" t="str">
        <f t="shared" si="5"/>
        <v>22cX08+000_030_04</v>
      </c>
      <c r="D24" s="197">
        <f t="shared" si="25"/>
        <v>7.8000000000000007</v>
      </c>
      <c r="E24" s="204">
        <f t="shared" si="18"/>
        <v>1.603</v>
      </c>
      <c r="F24" s="198">
        <f t="shared" si="26"/>
        <v>20.551282051282051</v>
      </c>
      <c r="G24" s="198">
        <f t="shared" si="19"/>
        <v>16.441025641025643</v>
      </c>
      <c r="H24" s="198">
        <f t="shared" si="20"/>
        <v>10.275641025641026</v>
      </c>
      <c r="I24" s="198">
        <f t="shared" si="27"/>
        <v>8</v>
      </c>
      <c r="J24" s="199">
        <f t="shared" si="27"/>
        <v>0</v>
      </c>
      <c r="K24" s="194" t="str">
        <f t="shared" ref="K24:K26" si="36">D24&amp;-4</f>
        <v>7.8-4</v>
      </c>
      <c r="L24" s="198">
        <f t="shared" si="13"/>
        <v>0.2</v>
      </c>
      <c r="M24" s="49">
        <v>30</v>
      </c>
      <c r="N24" s="198">
        <f t="shared" si="23"/>
        <v>150</v>
      </c>
      <c r="O24" s="198">
        <f t="shared" si="23"/>
        <v>160</v>
      </c>
      <c r="P24" s="198">
        <f t="shared" si="23"/>
        <v>390</v>
      </c>
      <c r="Q24" s="196">
        <f t="shared" si="23"/>
        <v>-4</v>
      </c>
    </row>
    <row r="25" spans="1:17" x14ac:dyDescent="0.25">
      <c r="A25" s="229">
        <f t="shared" ref="A25:B25" si="37">A24+1</f>
        <v>2175</v>
      </c>
      <c r="B25" s="230">
        <f t="shared" si="37"/>
        <v>15</v>
      </c>
      <c r="C25" s="229" t="str">
        <f t="shared" si="5"/>
        <v>22cX08+000_060_04</v>
      </c>
      <c r="D25" s="197">
        <f t="shared" si="25"/>
        <v>7.8000000000000007</v>
      </c>
      <c r="E25" s="204">
        <f t="shared" si="18"/>
        <v>1.603</v>
      </c>
      <c r="F25" s="198">
        <f t="shared" si="26"/>
        <v>20.551282051282051</v>
      </c>
      <c r="G25" s="198">
        <f t="shared" si="19"/>
        <v>16.441025641025643</v>
      </c>
      <c r="H25" s="198">
        <f t="shared" si="20"/>
        <v>10.275641025641026</v>
      </c>
      <c r="I25" s="198">
        <f t="shared" si="27"/>
        <v>8</v>
      </c>
      <c r="J25" s="199">
        <f t="shared" si="27"/>
        <v>0</v>
      </c>
      <c r="K25" s="194" t="str">
        <f t="shared" si="36"/>
        <v>7.8-4</v>
      </c>
      <c r="L25" s="198">
        <f t="shared" si="13"/>
        <v>0.2</v>
      </c>
      <c r="M25" s="49">
        <v>60</v>
      </c>
      <c r="N25" s="198">
        <f t="shared" si="23"/>
        <v>150</v>
      </c>
      <c r="O25" s="198">
        <f t="shared" si="23"/>
        <v>160</v>
      </c>
      <c r="P25" s="198">
        <f t="shared" si="23"/>
        <v>390</v>
      </c>
      <c r="Q25" s="196">
        <f t="shared" si="23"/>
        <v>-4</v>
      </c>
    </row>
    <row r="26" spans="1:17" x14ac:dyDescent="0.25">
      <c r="A26" s="229">
        <f t="shared" ref="A26:B26" si="38">A25+1</f>
        <v>2176</v>
      </c>
      <c r="B26" s="230">
        <f t="shared" si="38"/>
        <v>16</v>
      </c>
      <c r="C26" s="229" t="str">
        <f t="shared" si="5"/>
        <v>22cX08+000_090_04</v>
      </c>
      <c r="D26" s="197">
        <f t="shared" si="25"/>
        <v>7.8000000000000007</v>
      </c>
      <c r="E26" s="204">
        <f t="shared" si="18"/>
        <v>1.603</v>
      </c>
      <c r="F26" s="198">
        <f t="shared" si="26"/>
        <v>20.551282051282051</v>
      </c>
      <c r="G26" s="198">
        <f t="shared" si="19"/>
        <v>16.441025641025643</v>
      </c>
      <c r="H26" s="198">
        <f t="shared" si="20"/>
        <v>10.275641025641026</v>
      </c>
      <c r="I26" s="198">
        <f t="shared" si="27"/>
        <v>8</v>
      </c>
      <c r="J26" s="199">
        <f t="shared" si="27"/>
        <v>0</v>
      </c>
      <c r="K26" s="194" t="str">
        <f t="shared" si="36"/>
        <v>7.8-4</v>
      </c>
      <c r="L26" s="198">
        <f t="shared" si="13"/>
        <v>0.2</v>
      </c>
      <c r="M26" s="49">
        <v>90</v>
      </c>
      <c r="N26" s="198">
        <f t="shared" si="23"/>
        <v>150</v>
      </c>
      <c r="O26" s="198">
        <f t="shared" si="23"/>
        <v>160</v>
      </c>
      <c r="P26" s="198">
        <f t="shared" si="23"/>
        <v>390</v>
      </c>
      <c r="Q26" s="196">
        <f t="shared" si="23"/>
        <v>-4</v>
      </c>
    </row>
    <row r="27" spans="1:17" x14ac:dyDescent="0.25">
      <c r="A27" s="229">
        <f t="shared" ref="A27:B27" si="39">A26+1</f>
        <v>2177</v>
      </c>
      <c r="B27" s="230">
        <f t="shared" si="39"/>
        <v>17</v>
      </c>
      <c r="C27" s="229" t="str">
        <f t="shared" si="5"/>
        <v>22cX08+000_000_05</v>
      </c>
      <c r="D27" s="197">
        <f t="shared" si="25"/>
        <v>7.8000000000000007</v>
      </c>
      <c r="E27" s="204">
        <f t="shared" si="18"/>
        <v>1.603</v>
      </c>
      <c r="F27" s="198">
        <f t="shared" si="26"/>
        <v>20.551282051282051</v>
      </c>
      <c r="G27" s="198">
        <f t="shared" si="19"/>
        <v>16.441025641025643</v>
      </c>
      <c r="H27" s="198">
        <f t="shared" si="20"/>
        <v>10.275641025641026</v>
      </c>
      <c r="I27" s="198">
        <f t="shared" si="27"/>
        <v>8</v>
      </c>
      <c r="J27" s="199">
        <f t="shared" si="27"/>
        <v>0</v>
      </c>
      <c r="K27" s="194" t="str">
        <f>D27&amp;-5</f>
        <v>7.8-5</v>
      </c>
      <c r="L27" s="198">
        <f t="shared" si="13"/>
        <v>0.2</v>
      </c>
      <c r="M27" s="49">
        <v>0</v>
      </c>
      <c r="N27" s="198">
        <f t="shared" si="23"/>
        <v>150</v>
      </c>
      <c r="O27" s="198">
        <f t="shared" si="23"/>
        <v>160</v>
      </c>
      <c r="P27" s="198">
        <f t="shared" si="23"/>
        <v>390</v>
      </c>
      <c r="Q27" s="196">
        <f t="shared" si="23"/>
        <v>-4</v>
      </c>
    </row>
    <row r="28" spans="1:17" x14ac:dyDescent="0.25">
      <c r="A28" s="229">
        <f t="shared" ref="A28:B28" si="40">A27+1</f>
        <v>2178</v>
      </c>
      <c r="B28" s="230">
        <f t="shared" si="40"/>
        <v>18</v>
      </c>
      <c r="C28" s="229" t="str">
        <f t="shared" si="5"/>
        <v>22cX08+000_030_05</v>
      </c>
      <c r="D28" s="197">
        <f t="shared" si="25"/>
        <v>7.8000000000000007</v>
      </c>
      <c r="E28" s="204">
        <f t="shared" si="18"/>
        <v>1.603</v>
      </c>
      <c r="F28" s="198">
        <f t="shared" si="26"/>
        <v>20.551282051282051</v>
      </c>
      <c r="G28" s="198">
        <f t="shared" si="19"/>
        <v>16.441025641025643</v>
      </c>
      <c r="H28" s="198">
        <f t="shared" si="20"/>
        <v>10.275641025641026</v>
      </c>
      <c r="I28" s="198">
        <f t="shared" si="27"/>
        <v>8</v>
      </c>
      <c r="J28" s="199">
        <f t="shared" si="27"/>
        <v>0</v>
      </c>
      <c r="K28" s="194" t="str">
        <f t="shared" ref="K28:K30" si="41">D28&amp;-5</f>
        <v>7.8-5</v>
      </c>
      <c r="L28" s="198">
        <f t="shared" si="13"/>
        <v>0.2</v>
      </c>
      <c r="M28" s="49">
        <v>30</v>
      </c>
      <c r="N28" s="198">
        <f t="shared" si="23"/>
        <v>150</v>
      </c>
      <c r="O28" s="198">
        <f t="shared" si="23"/>
        <v>160</v>
      </c>
      <c r="P28" s="198">
        <f t="shared" si="23"/>
        <v>390</v>
      </c>
      <c r="Q28" s="196">
        <f t="shared" si="23"/>
        <v>-4</v>
      </c>
    </row>
    <row r="29" spans="1:17" x14ac:dyDescent="0.25">
      <c r="A29" s="229">
        <f t="shared" ref="A29:B29" si="42">A28+1</f>
        <v>2179</v>
      </c>
      <c r="B29" s="230">
        <f t="shared" si="42"/>
        <v>19</v>
      </c>
      <c r="C29" s="229" t="str">
        <f t="shared" si="5"/>
        <v>22cX08+000_060_05</v>
      </c>
      <c r="D29" s="197">
        <f t="shared" si="25"/>
        <v>7.8000000000000007</v>
      </c>
      <c r="E29" s="204">
        <f t="shared" si="18"/>
        <v>1.603</v>
      </c>
      <c r="F29" s="198">
        <f t="shared" si="26"/>
        <v>20.551282051282051</v>
      </c>
      <c r="G29" s="198">
        <f t="shared" si="19"/>
        <v>16.441025641025643</v>
      </c>
      <c r="H29" s="198">
        <f t="shared" si="20"/>
        <v>10.275641025641026</v>
      </c>
      <c r="I29" s="198">
        <f t="shared" si="27"/>
        <v>8</v>
      </c>
      <c r="J29" s="199">
        <f t="shared" si="27"/>
        <v>0</v>
      </c>
      <c r="K29" s="194" t="str">
        <f t="shared" si="41"/>
        <v>7.8-5</v>
      </c>
      <c r="L29" s="198">
        <f t="shared" si="13"/>
        <v>0.2</v>
      </c>
      <c r="M29" s="49">
        <v>60</v>
      </c>
      <c r="N29" s="198">
        <f t="shared" si="23"/>
        <v>150</v>
      </c>
      <c r="O29" s="198">
        <f t="shared" si="23"/>
        <v>160</v>
      </c>
      <c r="P29" s="198">
        <f t="shared" si="23"/>
        <v>390</v>
      </c>
      <c r="Q29" s="196">
        <f t="shared" si="23"/>
        <v>-4</v>
      </c>
    </row>
    <row r="30" spans="1:17" x14ac:dyDescent="0.25">
      <c r="A30" s="229">
        <f t="shared" ref="A30:B30" si="43">A29+1</f>
        <v>2180</v>
      </c>
      <c r="B30" s="230">
        <f t="shared" si="43"/>
        <v>20</v>
      </c>
      <c r="C30" s="229" t="str">
        <f t="shared" si="5"/>
        <v>22cX08+000_090_05</v>
      </c>
      <c r="D30" s="197">
        <f t="shared" si="25"/>
        <v>7.8000000000000007</v>
      </c>
      <c r="E30" s="204">
        <f t="shared" si="18"/>
        <v>1.603</v>
      </c>
      <c r="F30" s="198">
        <f t="shared" si="26"/>
        <v>20.551282051282051</v>
      </c>
      <c r="G30" s="198">
        <f t="shared" si="19"/>
        <v>16.441025641025643</v>
      </c>
      <c r="H30" s="198">
        <f t="shared" si="20"/>
        <v>10.275641025641026</v>
      </c>
      <c r="I30" s="198">
        <f t="shared" si="27"/>
        <v>8</v>
      </c>
      <c r="J30" s="199">
        <f t="shared" si="27"/>
        <v>0</v>
      </c>
      <c r="K30" s="194" t="str">
        <f t="shared" si="41"/>
        <v>7.8-5</v>
      </c>
      <c r="L30" s="198">
        <f t="shared" si="13"/>
        <v>0.2</v>
      </c>
      <c r="M30" s="49">
        <v>90</v>
      </c>
      <c r="N30" s="198">
        <f t="shared" si="23"/>
        <v>150</v>
      </c>
      <c r="O30" s="198">
        <f t="shared" si="23"/>
        <v>160</v>
      </c>
      <c r="P30" s="198">
        <f t="shared" si="23"/>
        <v>390</v>
      </c>
      <c r="Q30" s="196">
        <f t="shared" si="23"/>
        <v>-4</v>
      </c>
    </row>
    <row r="31" spans="1:17" x14ac:dyDescent="0.25">
      <c r="A31" s="229">
        <f t="shared" ref="A31:B31" si="44">A30+1</f>
        <v>2181</v>
      </c>
      <c r="B31" s="230">
        <f t="shared" si="44"/>
        <v>21</v>
      </c>
      <c r="C31" s="229" t="str">
        <f t="shared" si="5"/>
        <v>22cX08+000_000_06</v>
      </c>
      <c r="D31" s="197">
        <f t="shared" si="25"/>
        <v>7.8000000000000007</v>
      </c>
      <c r="E31" s="204">
        <f t="shared" si="18"/>
        <v>1.603</v>
      </c>
      <c r="F31" s="198">
        <f t="shared" si="26"/>
        <v>20.551282051282051</v>
      </c>
      <c r="G31" s="198">
        <f t="shared" si="19"/>
        <v>16.441025641025643</v>
      </c>
      <c r="H31" s="198">
        <f t="shared" si="20"/>
        <v>10.275641025641026</v>
      </c>
      <c r="I31" s="198">
        <f t="shared" si="27"/>
        <v>8</v>
      </c>
      <c r="J31" s="199">
        <f t="shared" si="27"/>
        <v>0</v>
      </c>
      <c r="K31" s="194" t="str">
        <f>D31&amp;-6</f>
        <v>7.8-6</v>
      </c>
      <c r="L31" s="198">
        <f t="shared" si="13"/>
        <v>0.2</v>
      </c>
      <c r="M31" s="49">
        <v>0</v>
      </c>
      <c r="N31" s="198">
        <f t="shared" si="23"/>
        <v>150</v>
      </c>
      <c r="O31" s="198">
        <f t="shared" si="23"/>
        <v>160</v>
      </c>
      <c r="P31" s="198">
        <f t="shared" si="23"/>
        <v>390</v>
      </c>
      <c r="Q31" s="196">
        <f t="shared" si="23"/>
        <v>-4</v>
      </c>
    </row>
    <row r="32" spans="1:17" x14ac:dyDescent="0.25">
      <c r="A32" s="229">
        <f t="shared" ref="A32:B32" si="45">A31+1</f>
        <v>2182</v>
      </c>
      <c r="B32" s="230">
        <f t="shared" si="45"/>
        <v>22</v>
      </c>
      <c r="C32" s="229" t="str">
        <f t="shared" si="5"/>
        <v>22cX08+000_030_06</v>
      </c>
      <c r="D32" s="197">
        <f t="shared" si="25"/>
        <v>7.8000000000000007</v>
      </c>
      <c r="E32" s="204">
        <f t="shared" si="18"/>
        <v>1.603</v>
      </c>
      <c r="F32" s="198">
        <f t="shared" si="26"/>
        <v>20.551282051282051</v>
      </c>
      <c r="G32" s="198">
        <f t="shared" si="19"/>
        <v>16.441025641025643</v>
      </c>
      <c r="H32" s="198">
        <f t="shared" si="20"/>
        <v>10.275641025641026</v>
      </c>
      <c r="I32" s="198">
        <f t="shared" si="27"/>
        <v>8</v>
      </c>
      <c r="J32" s="199">
        <f t="shared" si="27"/>
        <v>0</v>
      </c>
      <c r="K32" s="194" t="str">
        <f t="shared" ref="K32:K34" si="46">D32&amp;-6</f>
        <v>7.8-6</v>
      </c>
      <c r="L32" s="198">
        <f t="shared" ref="L32:L58" si="47">L31</f>
        <v>0.2</v>
      </c>
      <c r="M32" s="49">
        <v>30</v>
      </c>
      <c r="N32" s="198">
        <f t="shared" ref="N32:Q47" si="48">N31</f>
        <v>150</v>
      </c>
      <c r="O32" s="198">
        <f t="shared" si="48"/>
        <v>160</v>
      </c>
      <c r="P32" s="198">
        <f t="shared" si="48"/>
        <v>390</v>
      </c>
      <c r="Q32" s="196">
        <f t="shared" si="48"/>
        <v>-4</v>
      </c>
    </row>
    <row r="33" spans="1:17" x14ac:dyDescent="0.25">
      <c r="A33" s="229">
        <f t="shared" ref="A33:B33" si="49">A32+1</f>
        <v>2183</v>
      </c>
      <c r="B33" s="230">
        <f t="shared" si="49"/>
        <v>23</v>
      </c>
      <c r="C33" s="229" t="str">
        <f t="shared" si="5"/>
        <v>22cX08+000_060_06</v>
      </c>
      <c r="D33" s="197">
        <f t="shared" si="25"/>
        <v>7.8000000000000007</v>
      </c>
      <c r="E33" s="204">
        <f t="shared" si="18"/>
        <v>1.603</v>
      </c>
      <c r="F33" s="198">
        <f t="shared" si="26"/>
        <v>20.551282051282051</v>
      </c>
      <c r="G33" s="198">
        <f t="shared" si="19"/>
        <v>16.441025641025643</v>
      </c>
      <c r="H33" s="198">
        <f t="shared" si="20"/>
        <v>10.275641025641026</v>
      </c>
      <c r="I33" s="198">
        <f t="shared" ref="I33:J48" si="50">I32</f>
        <v>8</v>
      </c>
      <c r="J33" s="199">
        <f t="shared" si="50"/>
        <v>0</v>
      </c>
      <c r="K33" s="194" t="str">
        <f t="shared" si="46"/>
        <v>7.8-6</v>
      </c>
      <c r="L33" s="198">
        <f t="shared" si="47"/>
        <v>0.2</v>
      </c>
      <c r="M33" s="49">
        <v>60</v>
      </c>
      <c r="N33" s="198">
        <f t="shared" si="48"/>
        <v>150</v>
      </c>
      <c r="O33" s="198">
        <f t="shared" si="48"/>
        <v>160</v>
      </c>
      <c r="P33" s="198">
        <f t="shared" si="48"/>
        <v>390</v>
      </c>
      <c r="Q33" s="196">
        <f t="shared" si="48"/>
        <v>-4</v>
      </c>
    </row>
    <row r="34" spans="1:17" x14ac:dyDescent="0.25">
      <c r="A34" s="229">
        <f t="shared" ref="A34:B34" si="51">A33+1</f>
        <v>2184</v>
      </c>
      <c r="B34" s="230">
        <f t="shared" si="51"/>
        <v>24</v>
      </c>
      <c r="C34" s="229" t="str">
        <f t="shared" si="5"/>
        <v>22cX08+000_090_06</v>
      </c>
      <c r="D34" s="197">
        <f t="shared" si="25"/>
        <v>7.8000000000000007</v>
      </c>
      <c r="E34" s="204">
        <f t="shared" si="18"/>
        <v>1.603</v>
      </c>
      <c r="F34" s="198">
        <f t="shared" si="26"/>
        <v>20.551282051282051</v>
      </c>
      <c r="G34" s="198">
        <f t="shared" si="19"/>
        <v>16.441025641025643</v>
      </c>
      <c r="H34" s="198">
        <f t="shared" si="20"/>
        <v>10.275641025641026</v>
      </c>
      <c r="I34" s="198">
        <f t="shared" si="50"/>
        <v>8</v>
      </c>
      <c r="J34" s="199">
        <f t="shared" si="50"/>
        <v>0</v>
      </c>
      <c r="K34" s="194" t="str">
        <f t="shared" si="46"/>
        <v>7.8-6</v>
      </c>
      <c r="L34" s="198">
        <f t="shared" si="47"/>
        <v>0.2</v>
      </c>
      <c r="M34" s="49">
        <v>90</v>
      </c>
      <c r="N34" s="198">
        <f t="shared" si="48"/>
        <v>150</v>
      </c>
      <c r="O34" s="198">
        <f t="shared" si="48"/>
        <v>160</v>
      </c>
      <c r="P34" s="198">
        <f t="shared" si="48"/>
        <v>390</v>
      </c>
      <c r="Q34" s="196">
        <f t="shared" si="48"/>
        <v>-4</v>
      </c>
    </row>
    <row r="35" spans="1:17" ht="14.25" customHeight="1" x14ac:dyDescent="0.25">
      <c r="A35" s="229">
        <f t="shared" ref="A35:B35" si="52">A34+1</f>
        <v>2185</v>
      </c>
      <c r="B35" s="230">
        <f t="shared" si="52"/>
        <v>25</v>
      </c>
      <c r="C35" s="229" t="str">
        <f t="shared" si="5"/>
        <v>22cX08+000_000_07</v>
      </c>
      <c r="D35" s="197">
        <f t="shared" si="25"/>
        <v>7.8000000000000007</v>
      </c>
      <c r="E35" s="204">
        <f t="shared" si="18"/>
        <v>1.603</v>
      </c>
      <c r="F35" s="198">
        <f t="shared" si="26"/>
        <v>20.551282051282051</v>
      </c>
      <c r="G35" s="198">
        <f t="shared" si="19"/>
        <v>16.441025641025643</v>
      </c>
      <c r="H35" s="198">
        <f t="shared" si="20"/>
        <v>10.275641025641026</v>
      </c>
      <c r="I35" s="198">
        <f t="shared" si="50"/>
        <v>8</v>
      </c>
      <c r="J35" s="199">
        <f t="shared" si="50"/>
        <v>0</v>
      </c>
      <c r="K35" s="194" t="str">
        <f>D35&amp;-7</f>
        <v>7.8-7</v>
      </c>
      <c r="L35" s="198">
        <f t="shared" si="47"/>
        <v>0.2</v>
      </c>
      <c r="M35" s="49">
        <v>0</v>
      </c>
      <c r="N35" s="198">
        <f t="shared" si="48"/>
        <v>150</v>
      </c>
      <c r="O35" s="198">
        <f t="shared" si="48"/>
        <v>160</v>
      </c>
      <c r="P35" s="198">
        <f t="shared" si="48"/>
        <v>390</v>
      </c>
      <c r="Q35" s="196">
        <f t="shared" si="48"/>
        <v>-4</v>
      </c>
    </row>
    <row r="36" spans="1:17" x14ac:dyDescent="0.25">
      <c r="A36" s="229">
        <f t="shared" ref="A36:B36" si="53">A35+1</f>
        <v>2186</v>
      </c>
      <c r="B36" s="230">
        <f t="shared" si="53"/>
        <v>26</v>
      </c>
      <c r="C36" s="229" t="str">
        <f t="shared" si="5"/>
        <v>22cX08+000_030_07</v>
      </c>
      <c r="D36" s="197">
        <f t="shared" si="25"/>
        <v>7.8000000000000007</v>
      </c>
      <c r="E36" s="204">
        <f t="shared" si="18"/>
        <v>1.603</v>
      </c>
      <c r="F36" s="198">
        <f t="shared" si="26"/>
        <v>20.551282051282051</v>
      </c>
      <c r="G36" s="198">
        <f t="shared" si="19"/>
        <v>16.441025641025643</v>
      </c>
      <c r="H36" s="198">
        <f t="shared" si="20"/>
        <v>10.275641025641026</v>
      </c>
      <c r="I36" s="198">
        <f t="shared" si="50"/>
        <v>8</v>
      </c>
      <c r="J36" s="199">
        <f t="shared" si="50"/>
        <v>0</v>
      </c>
      <c r="K36" s="194" t="str">
        <f t="shared" ref="K36:K38" si="54">D36&amp;-7</f>
        <v>7.8-7</v>
      </c>
      <c r="L36" s="198">
        <f t="shared" si="47"/>
        <v>0.2</v>
      </c>
      <c r="M36" s="49">
        <v>30</v>
      </c>
      <c r="N36" s="198">
        <f t="shared" si="48"/>
        <v>150</v>
      </c>
      <c r="O36" s="198">
        <f t="shared" si="48"/>
        <v>160</v>
      </c>
      <c r="P36" s="198">
        <f t="shared" si="48"/>
        <v>390</v>
      </c>
      <c r="Q36" s="196">
        <f t="shared" si="48"/>
        <v>-4</v>
      </c>
    </row>
    <row r="37" spans="1:17" x14ac:dyDescent="0.25">
      <c r="A37" s="229">
        <f t="shared" ref="A37:B37" si="55">A36+1</f>
        <v>2187</v>
      </c>
      <c r="B37" s="230">
        <f t="shared" si="55"/>
        <v>27</v>
      </c>
      <c r="C37" s="229" t="str">
        <f t="shared" si="5"/>
        <v>22cX08+000_060_07</v>
      </c>
      <c r="D37" s="197">
        <f t="shared" si="25"/>
        <v>7.8000000000000007</v>
      </c>
      <c r="E37" s="204">
        <f t="shared" si="18"/>
        <v>1.603</v>
      </c>
      <c r="F37" s="198">
        <f t="shared" si="26"/>
        <v>20.551282051282051</v>
      </c>
      <c r="G37" s="198">
        <f t="shared" si="19"/>
        <v>16.441025641025643</v>
      </c>
      <c r="H37" s="198">
        <f t="shared" si="20"/>
        <v>10.275641025641026</v>
      </c>
      <c r="I37" s="198">
        <f t="shared" si="50"/>
        <v>8</v>
      </c>
      <c r="J37" s="199">
        <f t="shared" si="50"/>
        <v>0</v>
      </c>
      <c r="K37" s="194" t="str">
        <f t="shared" si="54"/>
        <v>7.8-7</v>
      </c>
      <c r="L37" s="198">
        <f t="shared" si="47"/>
        <v>0.2</v>
      </c>
      <c r="M37" s="49">
        <v>60</v>
      </c>
      <c r="N37" s="198">
        <f t="shared" si="48"/>
        <v>150</v>
      </c>
      <c r="O37" s="198">
        <f t="shared" si="48"/>
        <v>160</v>
      </c>
      <c r="P37" s="198">
        <f t="shared" si="48"/>
        <v>390</v>
      </c>
      <c r="Q37" s="196">
        <f t="shared" si="48"/>
        <v>-4</v>
      </c>
    </row>
    <row r="38" spans="1:17" x14ac:dyDescent="0.25">
      <c r="A38" s="229">
        <f t="shared" ref="A38:B38" si="56">A37+1</f>
        <v>2188</v>
      </c>
      <c r="B38" s="230">
        <f t="shared" si="56"/>
        <v>28</v>
      </c>
      <c r="C38" s="229" t="str">
        <f t="shared" si="5"/>
        <v>22cX08+000_090_07</v>
      </c>
      <c r="D38" s="197">
        <f t="shared" si="25"/>
        <v>7.8000000000000007</v>
      </c>
      <c r="E38" s="204">
        <f t="shared" si="18"/>
        <v>1.603</v>
      </c>
      <c r="F38" s="198">
        <f t="shared" si="26"/>
        <v>20.551282051282051</v>
      </c>
      <c r="G38" s="198">
        <f t="shared" si="19"/>
        <v>16.441025641025643</v>
      </c>
      <c r="H38" s="198">
        <f t="shared" si="20"/>
        <v>10.275641025641026</v>
      </c>
      <c r="I38" s="198">
        <f t="shared" si="50"/>
        <v>8</v>
      </c>
      <c r="J38" s="199">
        <f t="shared" si="50"/>
        <v>0</v>
      </c>
      <c r="K38" s="194" t="str">
        <f t="shared" si="54"/>
        <v>7.8-7</v>
      </c>
      <c r="L38" s="198">
        <f t="shared" si="47"/>
        <v>0.2</v>
      </c>
      <c r="M38" s="49">
        <v>90</v>
      </c>
      <c r="N38" s="198">
        <f t="shared" si="48"/>
        <v>150</v>
      </c>
      <c r="O38" s="198">
        <f t="shared" si="48"/>
        <v>160</v>
      </c>
      <c r="P38" s="198">
        <f t="shared" si="48"/>
        <v>390</v>
      </c>
      <c r="Q38" s="196">
        <f t="shared" si="48"/>
        <v>-4</v>
      </c>
    </row>
    <row r="39" spans="1:17" x14ac:dyDescent="0.25">
      <c r="A39" s="229">
        <f t="shared" ref="A39:B39" si="57">A38+1</f>
        <v>2189</v>
      </c>
      <c r="B39" s="230">
        <f t="shared" si="57"/>
        <v>29</v>
      </c>
      <c r="C39" s="229" t="str">
        <f t="shared" si="5"/>
        <v>22cX08+000_000_08</v>
      </c>
      <c r="D39" s="197">
        <f t="shared" si="25"/>
        <v>7.8000000000000007</v>
      </c>
      <c r="E39" s="204">
        <f t="shared" si="18"/>
        <v>1.603</v>
      </c>
      <c r="F39" s="198">
        <f t="shared" si="26"/>
        <v>20.551282051282051</v>
      </c>
      <c r="G39" s="198">
        <f t="shared" si="19"/>
        <v>16.441025641025643</v>
      </c>
      <c r="H39" s="198">
        <f t="shared" si="20"/>
        <v>10.275641025641026</v>
      </c>
      <c r="I39" s="198">
        <f t="shared" si="50"/>
        <v>8</v>
      </c>
      <c r="J39" s="199">
        <f t="shared" si="50"/>
        <v>0</v>
      </c>
      <c r="K39" s="194" t="str">
        <f>D39&amp;-8</f>
        <v>7.8-8</v>
      </c>
      <c r="L39" s="198">
        <f t="shared" si="47"/>
        <v>0.2</v>
      </c>
      <c r="M39" s="49">
        <v>0</v>
      </c>
      <c r="N39" s="198">
        <f t="shared" si="48"/>
        <v>150</v>
      </c>
      <c r="O39" s="198">
        <f t="shared" si="48"/>
        <v>160</v>
      </c>
      <c r="P39" s="198">
        <f t="shared" si="48"/>
        <v>390</v>
      </c>
      <c r="Q39" s="196">
        <f t="shared" si="48"/>
        <v>-4</v>
      </c>
    </row>
    <row r="40" spans="1:17" x14ac:dyDescent="0.25">
      <c r="A40" s="229">
        <f t="shared" ref="A40:B40" si="58">A39+1</f>
        <v>2190</v>
      </c>
      <c r="B40" s="230">
        <f t="shared" si="58"/>
        <v>30</v>
      </c>
      <c r="C40" s="229" t="str">
        <f t="shared" si="5"/>
        <v>22cX08+000_030_08</v>
      </c>
      <c r="D40" s="197">
        <f t="shared" si="25"/>
        <v>7.8000000000000007</v>
      </c>
      <c r="E40" s="204">
        <f t="shared" si="18"/>
        <v>1.603</v>
      </c>
      <c r="F40" s="198">
        <f t="shared" si="26"/>
        <v>20.551282051282051</v>
      </c>
      <c r="G40" s="198">
        <f t="shared" si="19"/>
        <v>16.441025641025643</v>
      </c>
      <c r="H40" s="198">
        <f t="shared" si="20"/>
        <v>10.275641025641026</v>
      </c>
      <c r="I40" s="198">
        <f t="shared" si="50"/>
        <v>8</v>
      </c>
      <c r="J40" s="199">
        <f t="shared" si="50"/>
        <v>0</v>
      </c>
      <c r="K40" s="194" t="str">
        <f t="shared" ref="K40:K42" si="59">D40&amp;-8</f>
        <v>7.8-8</v>
      </c>
      <c r="L40" s="198">
        <f t="shared" si="47"/>
        <v>0.2</v>
      </c>
      <c r="M40" s="49">
        <v>30</v>
      </c>
      <c r="N40" s="198">
        <f t="shared" si="48"/>
        <v>150</v>
      </c>
      <c r="O40" s="198">
        <f t="shared" si="48"/>
        <v>160</v>
      </c>
      <c r="P40" s="198">
        <f t="shared" si="48"/>
        <v>390</v>
      </c>
      <c r="Q40" s="196">
        <f t="shared" si="48"/>
        <v>-4</v>
      </c>
    </row>
    <row r="41" spans="1:17" x14ac:dyDescent="0.25">
      <c r="A41" s="229">
        <f t="shared" ref="A41:B41" si="60">A40+1</f>
        <v>2191</v>
      </c>
      <c r="B41" s="230">
        <f t="shared" si="60"/>
        <v>31</v>
      </c>
      <c r="C41" s="229" t="str">
        <f t="shared" si="5"/>
        <v>22cX08+000_060_08</v>
      </c>
      <c r="D41" s="197">
        <f t="shared" si="25"/>
        <v>7.8000000000000007</v>
      </c>
      <c r="E41" s="204">
        <f t="shared" si="18"/>
        <v>1.603</v>
      </c>
      <c r="F41" s="198">
        <f t="shared" si="26"/>
        <v>20.551282051282051</v>
      </c>
      <c r="G41" s="198">
        <f t="shared" si="19"/>
        <v>16.441025641025643</v>
      </c>
      <c r="H41" s="198">
        <f t="shared" si="20"/>
        <v>10.275641025641026</v>
      </c>
      <c r="I41" s="198">
        <f t="shared" si="50"/>
        <v>8</v>
      </c>
      <c r="J41" s="199">
        <f t="shared" si="50"/>
        <v>0</v>
      </c>
      <c r="K41" s="194" t="str">
        <f t="shared" si="59"/>
        <v>7.8-8</v>
      </c>
      <c r="L41" s="198">
        <f t="shared" si="47"/>
        <v>0.2</v>
      </c>
      <c r="M41" s="49">
        <v>60</v>
      </c>
      <c r="N41" s="198">
        <f t="shared" si="48"/>
        <v>150</v>
      </c>
      <c r="O41" s="198">
        <f t="shared" si="48"/>
        <v>160</v>
      </c>
      <c r="P41" s="198">
        <f t="shared" si="48"/>
        <v>390</v>
      </c>
      <c r="Q41" s="196">
        <f t="shared" si="48"/>
        <v>-4</v>
      </c>
    </row>
    <row r="42" spans="1:17" x14ac:dyDescent="0.25">
      <c r="A42" s="229">
        <f t="shared" ref="A42:B42" si="61">A41+1</f>
        <v>2192</v>
      </c>
      <c r="B42" s="230">
        <f t="shared" si="61"/>
        <v>32</v>
      </c>
      <c r="C42" s="229" t="str">
        <f t="shared" si="5"/>
        <v>22cX08+000_090_08</v>
      </c>
      <c r="D42" s="197">
        <f t="shared" si="25"/>
        <v>7.8000000000000007</v>
      </c>
      <c r="E42" s="204">
        <f t="shared" si="18"/>
        <v>1.603</v>
      </c>
      <c r="F42" s="198">
        <f t="shared" si="26"/>
        <v>20.551282051282051</v>
      </c>
      <c r="G42" s="198">
        <f t="shared" si="19"/>
        <v>16.441025641025643</v>
      </c>
      <c r="H42" s="198">
        <f t="shared" si="20"/>
        <v>10.275641025641026</v>
      </c>
      <c r="I42" s="198">
        <f t="shared" si="50"/>
        <v>8</v>
      </c>
      <c r="J42" s="199">
        <f t="shared" si="50"/>
        <v>0</v>
      </c>
      <c r="K42" s="194" t="str">
        <f t="shared" si="59"/>
        <v>7.8-8</v>
      </c>
      <c r="L42" s="198">
        <f t="shared" si="47"/>
        <v>0.2</v>
      </c>
      <c r="M42" s="49">
        <v>90</v>
      </c>
      <c r="N42" s="198">
        <f t="shared" si="48"/>
        <v>150</v>
      </c>
      <c r="O42" s="198">
        <f t="shared" si="48"/>
        <v>160</v>
      </c>
      <c r="P42" s="198">
        <f t="shared" si="48"/>
        <v>390</v>
      </c>
      <c r="Q42" s="196">
        <f t="shared" si="48"/>
        <v>-4</v>
      </c>
    </row>
    <row r="43" spans="1:17" x14ac:dyDescent="0.25">
      <c r="A43" s="229">
        <f t="shared" ref="A43:B43" si="62">A42+1</f>
        <v>2193</v>
      </c>
      <c r="B43" s="230">
        <f t="shared" si="62"/>
        <v>33</v>
      </c>
      <c r="C43" s="229" t="str">
        <f t="shared" si="5"/>
        <v>22cX08+000_000_09</v>
      </c>
      <c r="D43" s="197">
        <f t="shared" si="25"/>
        <v>7.8000000000000007</v>
      </c>
      <c r="E43" s="204">
        <f t="shared" si="18"/>
        <v>1.603</v>
      </c>
      <c r="F43" s="198">
        <f t="shared" si="26"/>
        <v>20.551282051282051</v>
      </c>
      <c r="G43" s="198">
        <f t="shared" si="19"/>
        <v>16.441025641025643</v>
      </c>
      <c r="H43" s="198">
        <f t="shared" si="20"/>
        <v>10.275641025641026</v>
      </c>
      <c r="I43" s="198">
        <f t="shared" si="50"/>
        <v>8</v>
      </c>
      <c r="J43" s="199">
        <f t="shared" si="50"/>
        <v>0</v>
      </c>
      <c r="K43" s="194" t="str">
        <f>D43&amp;-9</f>
        <v>7.8-9</v>
      </c>
      <c r="L43" s="198">
        <f t="shared" si="47"/>
        <v>0.2</v>
      </c>
      <c r="M43" s="49">
        <v>0</v>
      </c>
      <c r="N43" s="198">
        <f t="shared" si="48"/>
        <v>150</v>
      </c>
      <c r="O43" s="198">
        <f t="shared" si="48"/>
        <v>160</v>
      </c>
      <c r="P43" s="198">
        <f t="shared" si="48"/>
        <v>390</v>
      </c>
      <c r="Q43" s="196">
        <f t="shared" si="48"/>
        <v>-4</v>
      </c>
    </row>
    <row r="44" spans="1:17" x14ac:dyDescent="0.25">
      <c r="A44" s="229">
        <f t="shared" ref="A44:B44" si="63">A43+1</f>
        <v>2194</v>
      </c>
      <c r="B44" s="230">
        <f t="shared" si="63"/>
        <v>34</v>
      </c>
      <c r="C44" s="229" t="str">
        <f t="shared" si="5"/>
        <v>22cX08+000_030_09</v>
      </c>
      <c r="D44" s="197">
        <f t="shared" si="25"/>
        <v>7.8000000000000007</v>
      </c>
      <c r="E44" s="204">
        <f t="shared" si="18"/>
        <v>1.603</v>
      </c>
      <c r="F44" s="198">
        <f t="shared" si="26"/>
        <v>20.551282051282051</v>
      </c>
      <c r="G44" s="198">
        <f t="shared" si="19"/>
        <v>16.441025641025643</v>
      </c>
      <c r="H44" s="198">
        <f t="shared" si="20"/>
        <v>10.275641025641026</v>
      </c>
      <c r="I44" s="198">
        <f t="shared" si="50"/>
        <v>8</v>
      </c>
      <c r="J44" s="199">
        <f t="shared" si="50"/>
        <v>0</v>
      </c>
      <c r="K44" s="194" t="str">
        <f t="shared" ref="K44:K46" si="64">D44&amp;-9</f>
        <v>7.8-9</v>
      </c>
      <c r="L44" s="198">
        <f t="shared" si="47"/>
        <v>0.2</v>
      </c>
      <c r="M44" s="49">
        <v>30</v>
      </c>
      <c r="N44" s="198">
        <f t="shared" si="48"/>
        <v>150</v>
      </c>
      <c r="O44" s="198">
        <f t="shared" si="48"/>
        <v>160</v>
      </c>
      <c r="P44" s="198">
        <f t="shared" si="48"/>
        <v>390</v>
      </c>
      <c r="Q44" s="196">
        <f t="shared" si="48"/>
        <v>-4</v>
      </c>
    </row>
    <row r="45" spans="1:17" x14ac:dyDescent="0.25">
      <c r="A45" s="229">
        <f t="shared" ref="A45:B45" si="65">A44+1</f>
        <v>2195</v>
      </c>
      <c r="B45" s="230">
        <f t="shared" si="65"/>
        <v>35</v>
      </c>
      <c r="C45" s="229" t="str">
        <f t="shared" si="5"/>
        <v>22cX08+000_060_09</v>
      </c>
      <c r="D45" s="197">
        <f t="shared" si="25"/>
        <v>7.8000000000000007</v>
      </c>
      <c r="E45" s="204">
        <f t="shared" si="18"/>
        <v>1.603</v>
      </c>
      <c r="F45" s="198">
        <f t="shared" si="26"/>
        <v>20.551282051282051</v>
      </c>
      <c r="G45" s="198">
        <f t="shared" si="19"/>
        <v>16.441025641025643</v>
      </c>
      <c r="H45" s="198">
        <f t="shared" si="20"/>
        <v>10.275641025641026</v>
      </c>
      <c r="I45" s="198">
        <f t="shared" si="50"/>
        <v>8</v>
      </c>
      <c r="J45" s="199">
        <f t="shared" si="50"/>
        <v>0</v>
      </c>
      <c r="K45" s="194" t="str">
        <f t="shared" si="64"/>
        <v>7.8-9</v>
      </c>
      <c r="L45" s="198">
        <f t="shared" si="47"/>
        <v>0.2</v>
      </c>
      <c r="M45" s="49">
        <v>60</v>
      </c>
      <c r="N45" s="198">
        <f t="shared" si="48"/>
        <v>150</v>
      </c>
      <c r="O45" s="198">
        <f t="shared" si="48"/>
        <v>160</v>
      </c>
      <c r="P45" s="198">
        <f t="shared" si="48"/>
        <v>390</v>
      </c>
      <c r="Q45" s="196">
        <f t="shared" si="48"/>
        <v>-4</v>
      </c>
    </row>
    <row r="46" spans="1:17" x14ac:dyDescent="0.25">
      <c r="A46" s="229">
        <f t="shared" ref="A46:B46" si="66">A45+1</f>
        <v>2196</v>
      </c>
      <c r="B46" s="230">
        <f t="shared" si="66"/>
        <v>36</v>
      </c>
      <c r="C46" s="229" t="str">
        <f t="shared" si="5"/>
        <v>22cX08+000_090_09</v>
      </c>
      <c r="D46" s="197">
        <f t="shared" si="25"/>
        <v>7.8000000000000007</v>
      </c>
      <c r="E46" s="204">
        <f t="shared" si="18"/>
        <v>1.603</v>
      </c>
      <c r="F46" s="198">
        <f t="shared" si="26"/>
        <v>20.551282051282051</v>
      </c>
      <c r="G46" s="198">
        <f t="shared" si="19"/>
        <v>16.441025641025643</v>
      </c>
      <c r="H46" s="198">
        <f t="shared" si="20"/>
        <v>10.275641025641026</v>
      </c>
      <c r="I46" s="198">
        <f t="shared" si="50"/>
        <v>8</v>
      </c>
      <c r="J46" s="199">
        <f t="shared" si="50"/>
        <v>0</v>
      </c>
      <c r="K46" s="194" t="str">
        <f t="shared" si="64"/>
        <v>7.8-9</v>
      </c>
      <c r="L46" s="198">
        <f t="shared" si="47"/>
        <v>0.2</v>
      </c>
      <c r="M46" s="49">
        <v>90</v>
      </c>
      <c r="N46" s="198">
        <f t="shared" si="48"/>
        <v>150</v>
      </c>
      <c r="O46" s="198">
        <f t="shared" si="48"/>
        <v>160</v>
      </c>
      <c r="P46" s="198">
        <f t="shared" si="48"/>
        <v>390</v>
      </c>
      <c r="Q46" s="196">
        <f t="shared" si="48"/>
        <v>-4</v>
      </c>
    </row>
    <row r="47" spans="1:17" ht="14.25" customHeight="1" x14ac:dyDescent="0.25">
      <c r="A47" s="229">
        <f t="shared" ref="A47:B47" si="67">A46+1</f>
        <v>2197</v>
      </c>
      <c r="B47" s="230">
        <f t="shared" si="67"/>
        <v>37</v>
      </c>
      <c r="C47" s="229" t="str">
        <f t="shared" si="5"/>
        <v>22cX08+000_000_10</v>
      </c>
      <c r="D47" s="197">
        <f t="shared" si="25"/>
        <v>7.8000000000000007</v>
      </c>
      <c r="E47" s="204">
        <f t="shared" si="18"/>
        <v>1.603</v>
      </c>
      <c r="F47" s="198">
        <f t="shared" si="26"/>
        <v>20.551282051282051</v>
      </c>
      <c r="G47" s="198">
        <f t="shared" si="19"/>
        <v>16.441025641025643</v>
      </c>
      <c r="H47" s="198">
        <f t="shared" si="20"/>
        <v>10.275641025641026</v>
      </c>
      <c r="I47" s="198">
        <f t="shared" si="50"/>
        <v>8</v>
      </c>
      <c r="J47" s="199">
        <f t="shared" si="50"/>
        <v>0</v>
      </c>
      <c r="K47" s="194" t="str">
        <f>D47&amp;-10</f>
        <v>7.8-10</v>
      </c>
      <c r="L47" s="198">
        <f t="shared" si="47"/>
        <v>0.2</v>
      </c>
      <c r="M47" s="49">
        <v>0</v>
      </c>
      <c r="N47" s="198">
        <f t="shared" si="48"/>
        <v>150</v>
      </c>
      <c r="O47" s="198">
        <f t="shared" si="48"/>
        <v>160</v>
      </c>
      <c r="P47" s="198">
        <f t="shared" si="48"/>
        <v>390</v>
      </c>
      <c r="Q47" s="196">
        <f t="shared" si="48"/>
        <v>-4</v>
      </c>
    </row>
    <row r="48" spans="1:17" x14ac:dyDescent="0.25">
      <c r="A48" s="229">
        <f t="shared" ref="A48:B48" si="68">A47+1</f>
        <v>2198</v>
      </c>
      <c r="B48" s="230">
        <f t="shared" si="68"/>
        <v>38</v>
      </c>
      <c r="C48" s="229" t="str">
        <f t="shared" si="5"/>
        <v>22cX08+000_030_10</v>
      </c>
      <c r="D48" s="197">
        <f t="shared" si="25"/>
        <v>7.8000000000000007</v>
      </c>
      <c r="E48" s="204">
        <f t="shared" si="18"/>
        <v>1.603</v>
      </c>
      <c r="F48" s="198">
        <f t="shared" si="26"/>
        <v>20.551282051282051</v>
      </c>
      <c r="G48" s="198">
        <f t="shared" si="19"/>
        <v>16.441025641025643</v>
      </c>
      <c r="H48" s="198">
        <f t="shared" si="20"/>
        <v>10.275641025641026</v>
      </c>
      <c r="I48" s="198">
        <f t="shared" si="50"/>
        <v>8</v>
      </c>
      <c r="J48" s="199">
        <f t="shared" si="50"/>
        <v>0</v>
      </c>
      <c r="K48" s="194" t="str">
        <f t="shared" ref="K48:K50" si="69">D48&amp;-10</f>
        <v>7.8-10</v>
      </c>
      <c r="L48" s="198">
        <f t="shared" si="47"/>
        <v>0.2</v>
      </c>
      <c r="M48" s="49">
        <v>30</v>
      </c>
      <c r="N48" s="198">
        <f t="shared" ref="N48:Q58" si="70">N47</f>
        <v>150</v>
      </c>
      <c r="O48" s="198">
        <f t="shared" si="70"/>
        <v>160</v>
      </c>
      <c r="P48" s="198">
        <f t="shared" si="70"/>
        <v>390</v>
      </c>
      <c r="Q48" s="196">
        <f t="shared" si="70"/>
        <v>-4</v>
      </c>
    </row>
    <row r="49" spans="1:17" x14ac:dyDescent="0.25">
      <c r="A49" s="229">
        <f t="shared" ref="A49:B49" si="71">A48+1</f>
        <v>2199</v>
      </c>
      <c r="B49" s="230">
        <f t="shared" si="71"/>
        <v>39</v>
      </c>
      <c r="C49" s="229" t="str">
        <f t="shared" si="5"/>
        <v>22cX08+000_060_10</v>
      </c>
      <c r="D49" s="197">
        <f t="shared" si="25"/>
        <v>7.8000000000000007</v>
      </c>
      <c r="E49" s="204">
        <f t="shared" si="18"/>
        <v>1.603</v>
      </c>
      <c r="F49" s="198">
        <f t="shared" si="26"/>
        <v>20.551282051282051</v>
      </c>
      <c r="G49" s="198">
        <f t="shared" si="19"/>
        <v>16.441025641025643</v>
      </c>
      <c r="H49" s="198">
        <f t="shared" si="20"/>
        <v>10.275641025641026</v>
      </c>
      <c r="I49" s="198">
        <f t="shared" ref="I49:J58" si="72">I48</f>
        <v>8</v>
      </c>
      <c r="J49" s="199">
        <f t="shared" si="72"/>
        <v>0</v>
      </c>
      <c r="K49" s="194" t="str">
        <f t="shared" si="69"/>
        <v>7.8-10</v>
      </c>
      <c r="L49" s="198">
        <f t="shared" si="47"/>
        <v>0.2</v>
      </c>
      <c r="M49" s="49">
        <v>60</v>
      </c>
      <c r="N49" s="198">
        <f t="shared" si="70"/>
        <v>150</v>
      </c>
      <c r="O49" s="198">
        <f t="shared" si="70"/>
        <v>160</v>
      </c>
      <c r="P49" s="198">
        <f t="shared" si="70"/>
        <v>390</v>
      </c>
      <c r="Q49" s="196">
        <f t="shared" si="70"/>
        <v>-4</v>
      </c>
    </row>
    <row r="50" spans="1:17" x14ac:dyDescent="0.25">
      <c r="A50" s="229">
        <f t="shared" ref="A50:B50" si="73">A49+1</f>
        <v>2200</v>
      </c>
      <c r="B50" s="230">
        <f t="shared" si="73"/>
        <v>40</v>
      </c>
      <c r="C50" s="229" t="str">
        <f t="shared" si="5"/>
        <v>22cX08+000_090_10</v>
      </c>
      <c r="D50" s="197">
        <f t="shared" si="25"/>
        <v>7.8000000000000007</v>
      </c>
      <c r="E50" s="204">
        <f t="shared" si="18"/>
        <v>1.603</v>
      </c>
      <c r="F50" s="198">
        <f t="shared" si="26"/>
        <v>20.551282051282051</v>
      </c>
      <c r="G50" s="198">
        <f t="shared" si="19"/>
        <v>16.441025641025643</v>
      </c>
      <c r="H50" s="198">
        <f t="shared" si="20"/>
        <v>10.275641025641026</v>
      </c>
      <c r="I50" s="198">
        <f t="shared" si="72"/>
        <v>8</v>
      </c>
      <c r="J50" s="199">
        <f t="shared" si="72"/>
        <v>0</v>
      </c>
      <c r="K50" s="194" t="str">
        <f t="shared" si="69"/>
        <v>7.8-10</v>
      </c>
      <c r="L50" s="198">
        <f t="shared" si="47"/>
        <v>0.2</v>
      </c>
      <c r="M50" s="49">
        <v>90</v>
      </c>
      <c r="N50" s="198">
        <f t="shared" si="70"/>
        <v>150</v>
      </c>
      <c r="O50" s="198">
        <f t="shared" si="70"/>
        <v>160</v>
      </c>
      <c r="P50" s="198">
        <f t="shared" si="70"/>
        <v>390</v>
      </c>
      <c r="Q50" s="196">
        <f t="shared" si="70"/>
        <v>-4</v>
      </c>
    </row>
    <row r="51" spans="1:17" x14ac:dyDescent="0.25">
      <c r="A51" s="229">
        <f t="shared" ref="A51:B51" si="74">A50+1</f>
        <v>2201</v>
      </c>
      <c r="B51" s="230">
        <f t="shared" si="74"/>
        <v>41</v>
      </c>
      <c r="C51" s="229" t="str">
        <f t="shared" si="5"/>
        <v>22cX08+000_000_11</v>
      </c>
      <c r="D51" s="197">
        <f t="shared" si="25"/>
        <v>7.8000000000000007</v>
      </c>
      <c r="E51" s="204">
        <f t="shared" si="18"/>
        <v>1.603</v>
      </c>
      <c r="F51" s="198">
        <f t="shared" si="26"/>
        <v>20.551282051282051</v>
      </c>
      <c r="G51" s="198">
        <f t="shared" si="19"/>
        <v>16.441025641025643</v>
      </c>
      <c r="H51" s="198">
        <f t="shared" si="20"/>
        <v>10.275641025641026</v>
      </c>
      <c r="I51" s="198">
        <f t="shared" si="72"/>
        <v>8</v>
      </c>
      <c r="J51" s="199">
        <f t="shared" si="72"/>
        <v>0</v>
      </c>
      <c r="K51" s="194" t="str">
        <f>D51&amp;-11</f>
        <v>7.8-11</v>
      </c>
      <c r="L51" s="198">
        <f t="shared" si="47"/>
        <v>0.2</v>
      </c>
      <c r="M51" s="49">
        <v>0</v>
      </c>
      <c r="N51" s="198">
        <f t="shared" si="70"/>
        <v>150</v>
      </c>
      <c r="O51" s="198">
        <f t="shared" si="70"/>
        <v>160</v>
      </c>
      <c r="P51" s="198">
        <f t="shared" si="70"/>
        <v>390</v>
      </c>
      <c r="Q51" s="196">
        <f t="shared" si="70"/>
        <v>-4</v>
      </c>
    </row>
    <row r="52" spans="1:17" x14ac:dyDescent="0.25">
      <c r="A52" s="229">
        <f t="shared" ref="A52:B52" si="75">A51+1</f>
        <v>2202</v>
      </c>
      <c r="B52" s="230">
        <f t="shared" si="75"/>
        <v>42</v>
      </c>
      <c r="C52" s="229" t="str">
        <f t="shared" si="5"/>
        <v>22cX08+000_030_11</v>
      </c>
      <c r="D52" s="197">
        <f t="shared" si="25"/>
        <v>7.8000000000000007</v>
      </c>
      <c r="E52" s="204">
        <f t="shared" si="18"/>
        <v>1.603</v>
      </c>
      <c r="F52" s="198">
        <f t="shared" si="26"/>
        <v>20.551282051282051</v>
      </c>
      <c r="G52" s="198">
        <f t="shared" si="19"/>
        <v>16.441025641025643</v>
      </c>
      <c r="H52" s="198">
        <f t="shared" si="20"/>
        <v>10.275641025641026</v>
      </c>
      <c r="I52" s="198">
        <f t="shared" si="72"/>
        <v>8</v>
      </c>
      <c r="J52" s="199">
        <f t="shared" si="72"/>
        <v>0</v>
      </c>
      <c r="K52" s="194" t="str">
        <f t="shared" ref="K52:K54" si="76">D52&amp;-11</f>
        <v>7.8-11</v>
      </c>
      <c r="L52" s="198">
        <f t="shared" si="47"/>
        <v>0.2</v>
      </c>
      <c r="M52" s="49">
        <v>30</v>
      </c>
      <c r="N52" s="198">
        <f t="shared" si="70"/>
        <v>150</v>
      </c>
      <c r="O52" s="198">
        <f t="shared" si="70"/>
        <v>160</v>
      </c>
      <c r="P52" s="198">
        <f t="shared" si="70"/>
        <v>390</v>
      </c>
      <c r="Q52" s="196">
        <f t="shared" si="70"/>
        <v>-4</v>
      </c>
    </row>
    <row r="53" spans="1:17" x14ac:dyDescent="0.25">
      <c r="A53" s="229">
        <f t="shared" ref="A53:B53" si="77">A52+1</f>
        <v>2203</v>
      </c>
      <c r="B53" s="230">
        <f t="shared" si="77"/>
        <v>43</v>
      </c>
      <c r="C53" s="229" t="str">
        <f t="shared" si="5"/>
        <v>22cX08+000_060_11</v>
      </c>
      <c r="D53" s="197">
        <f t="shared" si="25"/>
        <v>7.8000000000000007</v>
      </c>
      <c r="E53" s="204">
        <f t="shared" si="18"/>
        <v>1.603</v>
      </c>
      <c r="F53" s="198">
        <f t="shared" si="26"/>
        <v>20.551282051282051</v>
      </c>
      <c r="G53" s="198">
        <f t="shared" si="19"/>
        <v>16.441025641025643</v>
      </c>
      <c r="H53" s="198">
        <f t="shared" si="20"/>
        <v>10.275641025641026</v>
      </c>
      <c r="I53" s="198">
        <f t="shared" si="72"/>
        <v>8</v>
      </c>
      <c r="J53" s="199">
        <f t="shared" si="72"/>
        <v>0</v>
      </c>
      <c r="K53" s="194" t="str">
        <f t="shared" si="76"/>
        <v>7.8-11</v>
      </c>
      <c r="L53" s="198">
        <f t="shared" si="47"/>
        <v>0.2</v>
      </c>
      <c r="M53" s="49">
        <v>60</v>
      </c>
      <c r="N53" s="198">
        <f t="shared" si="70"/>
        <v>150</v>
      </c>
      <c r="O53" s="198">
        <f t="shared" si="70"/>
        <v>160</v>
      </c>
      <c r="P53" s="198">
        <f t="shared" si="70"/>
        <v>390</v>
      </c>
      <c r="Q53" s="196">
        <f t="shared" si="70"/>
        <v>-4</v>
      </c>
    </row>
    <row r="54" spans="1:17" x14ac:dyDescent="0.25">
      <c r="A54" s="229">
        <f t="shared" ref="A54:B54" si="78">A53+1</f>
        <v>2204</v>
      </c>
      <c r="B54" s="230">
        <f t="shared" si="78"/>
        <v>44</v>
      </c>
      <c r="C54" s="229" t="str">
        <f t="shared" si="5"/>
        <v>22cX08+000_090_11</v>
      </c>
      <c r="D54" s="197">
        <f t="shared" si="25"/>
        <v>7.8000000000000007</v>
      </c>
      <c r="E54" s="204">
        <f t="shared" si="18"/>
        <v>1.603</v>
      </c>
      <c r="F54" s="198">
        <f t="shared" si="26"/>
        <v>20.551282051282051</v>
      </c>
      <c r="G54" s="198">
        <f t="shared" si="19"/>
        <v>16.441025641025643</v>
      </c>
      <c r="H54" s="198">
        <f t="shared" si="20"/>
        <v>10.275641025641026</v>
      </c>
      <c r="I54" s="198">
        <f t="shared" si="72"/>
        <v>8</v>
      </c>
      <c r="J54" s="199">
        <f t="shared" si="72"/>
        <v>0</v>
      </c>
      <c r="K54" s="194" t="str">
        <f t="shared" si="76"/>
        <v>7.8-11</v>
      </c>
      <c r="L54" s="198">
        <f t="shared" si="47"/>
        <v>0.2</v>
      </c>
      <c r="M54" s="49">
        <v>90</v>
      </c>
      <c r="N54" s="198">
        <f t="shared" si="70"/>
        <v>150</v>
      </c>
      <c r="O54" s="198">
        <f t="shared" si="70"/>
        <v>160</v>
      </c>
      <c r="P54" s="198">
        <f t="shared" si="70"/>
        <v>390</v>
      </c>
      <c r="Q54" s="196">
        <f t="shared" si="70"/>
        <v>-4</v>
      </c>
    </row>
    <row r="55" spans="1:17" x14ac:dyDescent="0.25">
      <c r="A55" s="229">
        <f t="shared" ref="A55:B55" si="79">A54+1</f>
        <v>2205</v>
      </c>
      <c r="B55" s="230">
        <f t="shared" si="79"/>
        <v>45</v>
      </c>
      <c r="C55" s="229" t="str">
        <f t="shared" si="5"/>
        <v>22cX08+000_000_12</v>
      </c>
      <c r="D55" s="197">
        <f t="shared" si="25"/>
        <v>7.8000000000000007</v>
      </c>
      <c r="E55" s="204">
        <f t="shared" si="18"/>
        <v>1.603</v>
      </c>
      <c r="F55" s="198">
        <f t="shared" si="26"/>
        <v>20.551282051282051</v>
      </c>
      <c r="G55" s="198">
        <f t="shared" si="19"/>
        <v>16.441025641025643</v>
      </c>
      <c r="H55" s="198">
        <f t="shared" si="20"/>
        <v>10.275641025641026</v>
      </c>
      <c r="I55" s="198">
        <f t="shared" si="72"/>
        <v>8</v>
      </c>
      <c r="J55" s="199">
        <f t="shared" si="72"/>
        <v>0</v>
      </c>
      <c r="K55" s="194" t="str">
        <f>D55&amp;-12</f>
        <v>7.8-12</v>
      </c>
      <c r="L55" s="198">
        <f t="shared" si="47"/>
        <v>0.2</v>
      </c>
      <c r="M55" s="49">
        <v>0</v>
      </c>
      <c r="N55" s="198">
        <f t="shared" si="70"/>
        <v>150</v>
      </c>
      <c r="O55" s="198">
        <f t="shared" si="70"/>
        <v>160</v>
      </c>
      <c r="P55" s="198">
        <f t="shared" si="70"/>
        <v>390</v>
      </c>
      <c r="Q55" s="196">
        <f t="shared" si="70"/>
        <v>-4</v>
      </c>
    </row>
    <row r="56" spans="1:17" x14ac:dyDescent="0.25">
      <c r="A56" s="229">
        <f t="shared" ref="A56:B56" si="80">A55+1</f>
        <v>2206</v>
      </c>
      <c r="B56" s="230">
        <f t="shared" si="80"/>
        <v>46</v>
      </c>
      <c r="C56" s="229" t="str">
        <f t="shared" si="5"/>
        <v>22cX08+000_030_12</v>
      </c>
      <c r="D56" s="197">
        <f t="shared" si="25"/>
        <v>7.8000000000000007</v>
      </c>
      <c r="E56" s="204">
        <f t="shared" si="18"/>
        <v>1.603</v>
      </c>
      <c r="F56" s="198">
        <f t="shared" si="26"/>
        <v>20.551282051282051</v>
      </c>
      <c r="G56" s="198">
        <f t="shared" si="19"/>
        <v>16.441025641025643</v>
      </c>
      <c r="H56" s="198">
        <f t="shared" si="20"/>
        <v>10.275641025641026</v>
      </c>
      <c r="I56" s="198">
        <f t="shared" si="72"/>
        <v>8</v>
      </c>
      <c r="J56" s="199">
        <f t="shared" si="72"/>
        <v>0</v>
      </c>
      <c r="K56" s="194" t="str">
        <f t="shared" ref="K56:K58" si="81">D56&amp;-12</f>
        <v>7.8-12</v>
      </c>
      <c r="L56" s="198">
        <f t="shared" si="47"/>
        <v>0.2</v>
      </c>
      <c r="M56" s="49">
        <v>30</v>
      </c>
      <c r="N56" s="198">
        <f t="shared" si="70"/>
        <v>150</v>
      </c>
      <c r="O56" s="198">
        <f t="shared" si="70"/>
        <v>160</v>
      </c>
      <c r="P56" s="198">
        <f t="shared" si="70"/>
        <v>390</v>
      </c>
      <c r="Q56" s="196">
        <f t="shared" si="70"/>
        <v>-4</v>
      </c>
    </row>
    <row r="57" spans="1:17" x14ac:dyDescent="0.25">
      <c r="A57" s="229">
        <f t="shared" ref="A57:B57" si="82">A56+1</f>
        <v>2207</v>
      </c>
      <c r="B57" s="230">
        <f t="shared" si="82"/>
        <v>47</v>
      </c>
      <c r="C57" s="229" t="str">
        <f t="shared" si="5"/>
        <v>22cX08+000_060_12</v>
      </c>
      <c r="D57" s="197">
        <f t="shared" si="25"/>
        <v>7.8000000000000007</v>
      </c>
      <c r="E57" s="204">
        <f t="shared" si="18"/>
        <v>1.603</v>
      </c>
      <c r="F57" s="198">
        <f t="shared" si="26"/>
        <v>20.551282051282051</v>
      </c>
      <c r="G57" s="198">
        <f t="shared" si="19"/>
        <v>16.441025641025643</v>
      </c>
      <c r="H57" s="198">
        <f t="shared" si="20"/>
        <v>10.275641025641026</v>
      </c>
      <c r="I57" s="198">
        <f t="shared" si="72"/>
        <v>8</v>
      </c>
      <c r="J57" s="199">
        <f t="shared" si="72"/>
        <v>0</v>
      </c>
      <c r="K57" s="194" t="str">
        <f t="shared" si="81"/>
        <v>7.8-12</v>
      </c>
      <c r="L57" s="198">
        <f t="shared" si="47"/>
        <v>0.2</v>
      </c>
      <c r="M57" s="49">
        <v>60</v>
      </c>
      <c r="N57" s="198">
        <f t="shared" si="70"/>
        <v>150</v>
      </c>
      <c r="O57" s="198">
        <f t="shared" si="70"/>
        <v>160</v>
      </c>
      <c r="P57" s="198">
        <f t="shared" si="70"/>
        <v>390</v>
      </c>
      <c r="Q57" s="196">
        <f t="shared" si="70"/>
        <v>-4</v>
      </c>
    </row>
    <row r="58" spans="1:17" x14ac:dyDescent="0.25">
      <c r="A58" s="229">
        <f t="shared" ref="A58:B58" si="83">A57+1</f>
        <v>2208</v>
      </c>
      <c r="B58" s="230">
        <f t="shared" si="83"/>
        <v>48</v>
      </c>
      <c r="C58" s="229" t="str">
        <f t="shared" si="5"/>
        <v>22cX08+000_090_12</v>
      </c>
      <c r="D58" s="197">
        <f t="shared" si="25"/>
        <v>7.8000000000000007</v>
      </c>
      <c r="E58" s="204">
        <f t="shared" si="18"/>
        <v>1.603</v>
      </c>
      <c r="F58" s="198">
        <f t="shared" si="26"/>
        <v>20.551282051282051</v>
      </c>
      <c r="G58" s="198">
        <f t="shared" si="19"/>
        <v>16.441025641025643</v>
      </c>
      <c r="H58" s="198">
        <f t="shared" si="20"/>
        <v>10.275641025641026</v>
      </c>
      <c r="I58" s="198">
        <f t="shared" si="72"/>
        <v>8</v>
      </c>
      <c r="J58" s="199">
        <f t="shared" si="72"/>
        <v>0</v>
      </c>
      <c r="K58" s="194" t="str">
        <f t="shared" si="81"/>
        <v>7.8-12</v>
      </c>
      <c r="L58" s="198">
        <f t="shared" si="47"/>
        <v>0.2</v>
      </c>
      <c r="M58" s="49">
        <v>90</v>
      </c>
      <c r="N58" s="198">
        <f t="shared" si="70"/>
        <v>150</v>
      </c>
      <c r="O58" s="198">
        <f t="shared" si="70"/>
        <v>160</v>
      </c>
      <c r="P58" s="198">
        <f t="shared" si="70"/>
        <v>390</v>
      </c>
      <c r="Q58" s="196">
        <f t="shared" si="70"/>
        <v>-4</v>
      </c>
    </row>
    <row r="59" spans="1:17" ht="14.25" customHeight="1" x14ac:dyDescent="0.25">
      <c r="A59" s="229">
        <f t="shared" ref="A59:B59" si="84">A58+1</f>
        <v>2209</v>
      </c>
      <c r="B59" s="230">
        <f t="shared" si="84"/>
        <v>49</v>
      </c>
      <c r="C59" s="229" t="str">
        <f t="shared" si="5"/>
        <v>22cX10+000_000_01</v>
      </c>
      <c r="D59" s="197">
        <f t="shared" ref="D59" si="85">v_r</f>
        <v>9.8000000000000007</v>
      </c>
      <c r="E59" s="204">
        <f t="shared" ref="E59:E106" si="86">I_ref*(0.75*D59+5.6)</f>
        <v>1.8130000000000002</v>
      </c>
      <c r="F59" s="198">
        <f>E59/D59*100</f>
        <v>18.5</v>
      </c>
      <c r="G59" s="198">
        <f t="shared" ref="G59:G106" si="87">m_ty*F59</f>
        <v>14.8</v>
      </c>
      <c r="H59" s="198">
        <f t="shared" ref="H59:H106" si="88">m_tz*F59</f>
        <v>9.25</v>
      </c>
      <c r="I59" s="198">
        <f>inflow</f>
        <v>8</v>
      </c>
      <c r="J59" s="199">
        <f>yaw_null</f>
        <v>0</v>
      </c>
      <c r="K59" s="194" t="str">
        <f>D59&amp;-1</f>
        <v>9.8-1</v>
      </c>
      <c r="L59" s="198">
        <f>alpha_n</f>
        <v>0.2</v>
      </c>
      <c r="M59" s="49">
        <v>0</v>
      </c>
      <c r="N59" s="198">
        <f>t_out</f>
        <v>150</v>
      </c>
      <c r="O59" s="198">
        <f>trig_t</f>
        <v>160</v>
      </c>
      <c r="P59" s="198">
        <f>N59+4*T_s2</f>
        <v>390</v>
      </c>
      <c r="Q59" s="196">
        <f>1*Pitch_runaway_fine_Hardware</f>
        <v>-4</v>
      </c>
    </row>
    <row r="60" spans="1:17" x14ac:dyDescent="0.25">
      <c r="A60" s="229">
        <f t="shared" ref="A60:B60" si="89">A59+1</f>
        <v>2210</v>
      </c>
      <c r="B60" s="230">
        <f t="shared" si="89"/>
        <v>50</v>
      </c>
      <c r="C60" s="229" t="str">
        <f t="shared" si="5"/>
        <v>22cX10+000_030_01</v>
      </c>
      <c r="D60" s="197">
        <f t="shared" ref="D60:D64" si="90">D59</f>
        <v>9.8000000000000007</v>
      </c>
      <c r="E60" s="204">
        <f t="shared" si="86"/>
        <v>1.8130000000000002</v>
      </c>
      <c r="F60" s="198">
        <f t="shared" ref="F60:F64" si="91">E60/D60*100</f>
        <v>18.5</v>
      </c>
      <c r="G60" s="198">
        <f t="shared" si="87"/>
        <v>14.8</v>
      </c>
      <c r="H60" s="198">
        <f t="shared" si="88"/>
        <v>9.25</v>
      </c>
      <c r="I60" s="198">
        <f t="shared" ref="I60:J64" si="92">I59</f>
        <v>8</v>
      </c>
      <c r="J60" s="199">
        <f t="shared" si="92"/>
        <v>0</v>
      </c>
      <c r="K60" s="194" t="str">
        <f t="shared" ref="K60:K62" si="93">D60&amp;-1</f>
        <v>9.8-1</v>
      </c>
      <c r="L60" s="198">
        <f t="shared" ref="L60:L63" si="94">L59</f>
        <v>0.2</v>
      </c>
      <c r="M60" s="49">
        <v>30</v>
      </c>
      <c r="N60" s="198">
        <f t="shared" ref="N60:Q63" si="95">N59</f>
        <v>150</v>
      </c>
      <c r="O60" s="198">
        <f t="shared" si="95"/>
        <v>160</v>
      </c>
      <c r="P60" s="198">
        <f t="shared" si="95"/>
        <v>390</v>
      </c>
      <c r="Q60" s="196">
        <f>Q59</f>
        <v>-4</v>
      </c>
    </row>
    <row r="61" spans="1:17" x14ac:dyDescent="0.25">
      <c r="A61" s="229">
        <f t="shared" ref="A61:B61" si="96">A60+1</f>
        <v>2211</v>
      </c>
      <c r="B61" s="230">
        <f t="shared" si="96"/>
        <v>51</v>
      </c>
      <c r="C61" s="229" t="str">
        <f t="shared" si="5"/>
        <v>22cX10+000_060_01</v>
      </c>
      <c r="D61" s="197">
        <f t="shared" si="90"/>
        <v>9.8000000000000007</v>
      </c>
      <c r="E61" s="204">
        <f t="shared" si="86"/>
        <v>1.8130000000000002</v>
      </c>
      <c r="F61" s="198">
        <f t="shared" si="91"/>
        <v>18.5</v>
      </c>
      <c r="G61" s="198">
        <f t="shared" si="87"/>
        <v>14.8</v>
      </c>
      <c r="H61" s="198">
        <f t="shared" si="88"/>
        <v>9.25</v>
      </c>
      <c r="I61" s="198">
        <f t="shared" si="92"/>
        <v>8</v>
      </c>
      <c r="J61" s="199">
        <f t="shared" si="92"/>
        <v>0</v>
      </c>
      <c r="K61" s="194" t="str">
        <f t="shared" si="93"/>
        <v>9.8-1</v>
      </c>
      <c r="L61" s="198">
        <f t="shared" si="94"/>
        <v>0.2</v>
      </c>
      <c r="M61" s="49">
        <v>60</v>
      </c>
      <c r="N61" s="198">
        <f t="shared" si="95"/>
        <v>150</v>
      </c>
      <c r="O61" s="198">
        <f t="shared" si="95"/>
        <v>160</v>
      </c>
      <c r="P61" s="198">
        <f t="shared" si="95"/>
        <v>390</v>
      </c>
      <c r="Q61" s="196">
        <f t="shared" si="95"/>
        <v>-4</v>
      </c>
    </row>
    <row r="62" spans="1:17" x14ac:dyDescent="0.25">
      <c r="A62" s="229">
        <f t="shared" ref="A62:B62" si="97">A61+1</f>
        <v>2212</v>
      </c>
      <c r="B62" s="230">
        <f t="shared" si="97"/>
        <v>52</v>
      </c>
      <c r="C62" s="229" t="str">
        <f t="shared" si="5"/>
        <v>22cX10+000_090_01</v>
      </c>
      <c r="D62" s="197">
        <f t="shared" si="90"/>
        <v>9.8000000000000007</v>
      </c>
      <c r="E62" s="204">
        <f t="shared" si="86"/>
        <v>1.8130000000000002</v>
      </c>
      <c r="F62" s="198">
        <f t="shared" si="91"/>
        <v>18.5</v>
      </c>
      <c r="G62" s="198">
        <f t="shared" si="87"/>
        <v>14.8</v>
      </c>
      <c r="H62" s="198">
        <f t="shared" si="88"/>
        <v>9.25</v>
      </c>
      <c r="I62" s="198">
        <f t="shared" si="92"/>
        <v>8</v>
      </c>
      <c r="J62" s="199">
        <f t="shared" si="92"/>
        <v>0</v>
      </c>
      <c r="K62" s="194" t="str">
        <f t="shared" si="93"/>
        <v>9.8-1</v>
      </c>
      <c r="L62" s="198">
        <f t="shared" si="94"/>
        <v>0.2</v>
      </c>
      <c r="M62" s="49">
        <v>90</v>
      </c>
      <c r="N62" s="198">
        <f t="shared" si="95"/>
        <v>150</v>
      </c>
      <c r="O62" s="198">
        <f t="shared" si="95"/>
        <v>160</v>
      </c>
      <c r="P62" s="198">
        <f t="shared" si="95"/>
        <v>390</v>
      </c>
      <c r="Q62" s="196">
        <f t="shared" si="95"/>
        <v>-4</v>
      </c>
    </row>
    <row r="63" spans="1:17" x14ac:dyDescent="0.25">
      <c r="A63" s="229">
        <f t="shared" ref="A63:B63" si="98">A62+1</f>
        <v>2213</v>
      </c>
      <c r="B63" s="230">
        <f t="shared" si="98"/>
        <v>53</v>
      </c>
      <c r="C63" s="229" t="str">
        <f t="shared" si="5"/>
        <v>22cX10+000_000_02</v>
      </c>
      <c r="D63" s="197">
        <f t="shared" si="90"/>
        <v>9.8000000000000007</v>
      </c>
      <c r="E63" s="204">
        <f t="shared" si="86"/>
        <v>1.8130000000000002</v>
      </c>
      <c r="F63" s="198">
        <f t="shared" si="91"/>
        <v>18.5</v>
      </c>
      <c r="G63" s="198">
        <f t="shared" si="87"/>
        <v>14.8</v>
      </c>
      <c r="H63" s="198">
        <f t="shared" si="88"/>
        <v>9.25</v>
      </c>
      <c r="I63" s="198">
        <f t="shared" si="92"/>
        <v>8</v>
      </c>
      <c r="J63" s="199">
        <f t="shared" si="92"/>
        <v>0</v>
      </c>
      <c r="K63" s="194" t="str">
        <f>D63&amp;-2</f>
        <v>9.8-2</v>
      </c>
      <c r="L63" s="198">
        <f t="shared" si="94"/>
        <v>0.2</v>
      </c>
      <c r="M63" s="49">
        <v>0</v>
      </c>
      <c r="N63" s="198">
        <f t="shared" si="95"/>
        <v>150</v>
      </c>
      <c r="O63" s="198">
        <f t="shared" si="95"/>
        <v>160</v>
      </c>
      <c r="P63" s="198">
        <f t="shared" si="95"/>
        <v>390</v>
      </c>
      <c r="Q63" s="196">
        <f t="shared" si="95"/>
        <v>-4</v>
      </c>
    </row>
    <row r="64" spans="1:17" x14ac:dyDescent="0.25">
      <c r="A64" s="229">
        <f t="shared" ref="A64:B64" si="99">A63+1</f>
        <v>2214</v>
      </c>
      <c r="B64" s="230">
        <f t="shared" si="99"/>
        <v>54</v>
      </c>
      <c r="C64" s="229" t="str">
        <f t="shared" si="5"/>
        <v>22cX10+000_030_02</v>
      </c>
      <c r="D64" s="197">
        <f t="shared" si="90"/>
        <v>9.8000000000000007</v>
      </c>
      <c r="E64" s="204">
        <f t="shared" si="86"/>
        <v>1.8130000000000002</v>
      </c>
      <c r="F64" s="198">
        <f t="shared" si="91"/>
        <v>18.5</v>
      </c>
      <c r="G64" s="198">
        <f t="shared" si="87"/>
        <v>14.8</v>
      </c>
      <c r="H64" s="198">
        <f t="shared" si="88"/>
        <v>9.25</v>
      </c>
      <c r="I64" s="198">
        <f t="shared" si="92"/>
        <v>8</v>
      </c>
      <c r="J64" s="199">
        <f t="shared" si="92"/>
        <v>0</v>
      </c>
      <c r="K64" s="194" t="str">
        <f t="shared" ref="K64:K66" si="100">D64&amp;-2</f>
        <v>9.8-2</v>
      </c>
      <c r="L64" s="198">
        <f t="shared" ref="L64:L106" si="101">L63</f>
        <v>0.2</v>
      </c>
      <c r="M64" s="49">
        <v>30</v>
      </c>
      <c r="N64" s="198">
        <f t="shared" ref="N64:Q79" si="102">N63</f>
        <v>150</v>
      </c>
      <c r="O64" s="198">
        <f t="shared" si="102"/>
        <v>160</v>
      </c>
      <c r="P64" s="198">
        <f t="shared" si="102"/>
        <v>390</v>
      </c>
      <c r="Q64" s="196">
        <f t="shared" si="102"/>
        <v>-4</v>
      </c>
    </row>
    <row r="65" spans="1:17" x14ac:dyDescent="0.25">
      <c r="A65" s="229">
        <f t="shared" ref="A65:B65" si="103">A64+1</f>
        <v>2215</v>
      </c>
      <c r="B65" s="230">
        <f t="shared" si="103"/>
        <v>55</v>
      </c>
      <c r="C65" s="229" t="str">
        <f t="shared" si="5"/>
        <v>22cX10+000_060_02</v>
      </c>
      <c r="D65" s="197">
        <f t="shared" ref="D65:D106" si="104">D64</f>
        <v>9.8000000000000007</v>
      </c>
      <c r="E65" s="204">
        <f t="shared" si="86"/>
        <v>1.8130000000000002</v>
      </c>
      <c r="F65" s="198">
        <f t="shared" ref="F65:F106" si="105">E65/D65*100</f>
        <v>18.5</v>
      </c>
      <c r="G65" s="198">
        <f t="shared" si="87"/>
        <v>14.8</v>
      </c>
      <c r="H65" s="198">
        <f t="shared" si="88"/>
        <v>9.25</v>
      </c>
      <c r="I65" s="198">
        <f t="shared" ref="I65:J80" si="106">I64</f>
        <v>8</v>
      </c>
      <c r="J65" s="199">
        <f t="shared" si="106"/>
        <v>0</v>
      </c>
      <c r="K65" s="194" t="str">
        <f t="shared" si="100"/>
        <v>9.8-2</v>
      </c>
      <c r="L65" s="198">
        <f t="shared" si="101"/>
        <v>0.2</v>
      </c>
      <c r="M65" s="49">
        <v>60</v>
      </c>
      <c r="N65" s="198">
        <f t="shared" si="102"/>
        <v>150</v>
      </c>
      <c r="O65" s="198">
        <f t="shared" si="102"/>
        <v>160</v>
      </c>
      <c r="P65" s="198">
        <f t="shared" si="102"/>
        <v>390</v>
      </c>
      <c r="Q65" s="196">
        <f t="shared" si="102"/>
        <v>-4</v>
      </c>
    </row>
    <row r="66" spans="1:17" x14ac:dyDescent="0.25">
      <c r="A66" s="229">
        <f t="shared" ref="A66:B66" si="107">A65+1</f>
        <v>2216</v>
      </c>
      <c r="B66" s="230">
        <f t="shared" si="107"/>
        <v>56</v>
      </c>
      <c r="C66" s="229" t="str">
        <f t="shared" si="5"/>
        <v>22cX10+000_090_02</v>
      </c>
      <c r="D66" s="197">
        <f t="shared" si="104"/>
        <v>9.8000000000000007</v>
      </c>
      <c r="E66" s="204">
        <f t="shared" si="86"/>
        <v>1.8130000000000002</v>
      </c>
      <c r="F66" s="198">
        <f t="shared" si="105"/>
        <v>18.5</v>
      </c>
      <c r="G66" s="198">
        <f t="shared" si="87"/>
        <v>14.8</v>
      </c>
      <c r="H66" s="198">
        <f t="shared" si="88"/>
        <v>9.25</v>
      </c>
      <c r="I66" s="198">
        <f t="shared" si="106"/>
        <v>8</v>
      </c>
      <c r="J66" s="199">
        <f t="shared" si="106"/>
        <v>0</v>
      </c>
      <c r="K66" s="194" t="str">
        <f t="shared" si="100"/>
        <v>9.8-2</v>
      </c>
      <c r="L66" s="198">
        <f t="shared" si="101"/>
        <v>0.2</v>
      </c>
      <c r="M66" s="49">
        <v>90</v>
      </c>
      <c r="N66" s="198">
        <f t="shared" si="102"/>
        <v>150</v>
      </c>
      <c r="O66" s="198">
        <f t="shared" si="102"/>
        <v>160</v>
      </c>
      <c r="P66" s="198">
        <f t="shared" si="102"/>
        <v>390</v>
      </c>
      <c r="Q66" s="196">
        <f t="shared" si="102"/>
        <v>-4</v>
      </c>
    </row>
    <row r="67" spans="1:17" x14ac:dyDescent="0.25">
      <c r="A67" s="229">
        <f t="shared" ref="A67:B67" si="108">A66+1</f>
        <v>2217</v>
      </c>
      <c r="B67" s="230">
        <f t="shared" si="108"/>
        <v>57</v>
      </c>
      <c r="C67" s="229" t="str">
        <f t="shared" si="5"/>
        <v>22cX10+000_000_03</v>
      </c>
      <c r="D67" s="197">
        <f t="shared" si="104"/>
        <v>9.8000000000000007</v>
      </c>
      <c r="E67" s="204">
        <f t="shared" si="86"/>
        <v>1.8130000000000002</v>
      </c>
      <c r="F67" s="198">
        <f t="shared" si="105"/>
        <v>18.5</v>
      </c>
      <c r="G67" s="198">
        <f t="shared" si="87"/>
        <v>14.8</v>
      </c>
      <c r="H67" s="198">
        <f t="shared" si="88"/>
        <v>9.25</v>
      </c>
      <c r="I67" s="198">
        <f t="shared" si="106"/>
        <v>8</v>
      </c>
      <c r="J67" s="199">
        <f t="shared" si="106"/>
        <v>0</v>
      </c>
      <c r="K67" s="194" t="str">
        <f>D67&amp;-3</f>
        <v>9.8-3</v>
      </c>
      <c r="L67" s="198">
        <f t="shared" si="101"/>
        <v>0.2</v>
      </c>
      <c r="M67" s="49">
        <v>0</v>
      </c>
      <c r="N67" s="198">
        <f t="shared" si="102"/>
        <v>150</v>
      </c>
      <c r="O67" s="198">
        <f t="shared" si="102"/>
        <v>160</v>
      </c>
      <c r="P67" s="198">
        <f t="shared" si="102"/>
        <v>390</v>
      </c>
      <c r="Q67" s="196">
        <f t="shared" si="102"/>
        <v>-4</v>
      </c>
    </row>
    <row r="68" spans="1:17" x14ac:dyDescent="0.25">
      <c r="A68" s="229">
        <f t="shared" ref="A68:B68" si="109">A67+1</f>
        <v>2218</v>
      </c>
      <c r="B68" s="230">
        <f t="shared" si="109"/>
        <v>58</v>
      </c>
      <c r="C68" s="229" t="str">
        <f t="shared" si="5"/>
        <v>22cX10+000_030_03</v>
      </c>
      <c r="D68" s="197">
        <f t="shared" si="104"/>
        <v>9.8000000000000007</v>
      </c>
      <c r="E68" s="204">
        <f t="shared" si="86"/>
        <v>1.8130000000000002</v>
      </c>
      <c r="F68" s="198">
        <f t="shared" si="105"/>
        <v>18.5</v>
      </c>
      <c r="G68" s="198">
        <f t="shared" si="87"/>
        <v>14.8</v>
      </c>
      <c r="H68" s="198">
        <f t="shared" si="88"/>
        <v>9.25</v>
      </c>
      <c r="I68" s="198">
        <f t="shared" si="106"/>
        <v>8</v>
      </c>
      <c r="J68" s="199">
        <f t="shared" si="106"/>
        <v>0</v>
      </c>
      <c r="K68" s="194" t="str">
        <f t="shared" ref="K68:K70" si="110">D68&amp;-3</f>
        <v>9.8-3</v>
      </c>
      <c r="L68" s="198">
        <f t="shared" si="101"/>
        <v>0.2</v>
      </c>
      <c r="M68" s="49">
        <v>30</v>
      </c>
      <c r="N68" s="198">
        <f t="shared" si="102"/>
        <v>150</v>
      </c>
      <c r="O68" s="198">
        <f t="shared" si="102"/>
        <v>160</v>
      </c>
      <c r="P68" s="198">
        <f t="shared" si="102"/>
        <v>390</v>
      </c>
      <c r="Q68" s="196">
        <f t="shared" si="102"/>
        <v>-4</v>
      </c>
    </row>
    <row r="69" spans="1:17" x14ac:dyDescent="0.25">
      <c r="A69" s="229">
        <f t="shared" ref="A69:B69" si="111">A68+1</f>
        <v>2219</v>
      </c>
      <c r="B69" s="230">
        <f t="shared" si="111"/>
        <v>59</v>
      </c>
      <c r="C69" s="229" t="str">
        <f t="shared" si="5"/>
        <v>22cX10+000_060_03</v>
      </c>
      <c r="D69" s="197">
        <f t="shared" si="104"/>
        <v>9.8000000000000007</v>
      </c>
      <c r="E69" s="204">
        <f t="shared" si="86"/>
        <v>1.8130000000000002</v>
      </c>
      <c r="F69" s="198">
        <f t="shared" si="105"/>
        <v>18.5</v>
      </c>
      <c r="G69" s="198">
        <f t="shared" si="87"/>
        <v>14.8</v>
      </c>
      <c r="H69" s="198">
        <f t="shared" si="88"/>
        <v>9.25</v>
      </c>
      <c r="I69" s="198">
        <f t="shared" si="106"/>
        <v>8</v>
      </c>
      <c r="J69" s="199">
        <f t="shared" si="106"/>
        <v>0</v>
      </c>
      <c r="K69" s="194" t="str">
        <f t="shared" si="110"/>
        <v>9.8-3</v>
      </c>
      <c r="L69" s="198">
        <f t="shared" si="101"/>
        <v>0.2</v>
      </c>
      <c r="M69" s="49">
        <v>60</v>
      </c>
      <c r="N69" s="198">
        <f t="shared" si="102"/>
        <v>150</v>
      </c>
      <c r="O69" s="198">
        <f t="shared" si="102"/>
        <v>160</v>
      </c>
      <c r="P69" s="198">
        <f t="shared" si="102"/>
        <v>390</v>
      </c>
      <c r="Q69" s="196">
        <f t="shared" si="102"/>
        <v>-4</v>
      </c>
    </row>
    <row r="70" spans="1:17" x14ac:dyDescent="0.25">
      <c r="A70" s="229">
        <f t="shared" ref="A70:B70" si="112">A69+1</f>
        <v>2220</v>
      </c>
      <c r="B70" s="230">
        <f t="shared" si="112"/>
        <v>60</v>
      </c>
      <c r="C70" s="229" t="str">
        <f t="shared" si="5"/>
        <v>22cX10+000_090_03</v>
      </c>
      <c r="D70" s="197">
        <f t="shared" si="104"/>
        <v>9.8000000000000007</v>
      </c>
      <c r="E70" s="204">
        <f t="shared" si="86"/>
        <v>1.8130000000000002</v>
      </c>
      <c r="F70" s="198">
        <f t="shared" si="105"/>
        <v>18.5</v>
      </c>
      <c r="G70" s="198">
        <f t="shared" si="87"/>
        <v>14.8</v>
      </c>
      <c r="H70" s="198">
        <f t="shared" si="88"/>
        <v>9.25</v>
      </c>
      <c r="I70" s="198">
        <f t="shared" si="106"/>
        <v>8</v>
      </c>
      <c r="J70" s="199">
        <f t="shared" si="106"/>
        <v>0</v>
      </c>
      <c r="K70" s="194" t="str">
        <f t="shared" si="110"/>
        <v>9.8-3</v>
      </c>
      <c r="L70" s="198">
        <f t="shared" si="101"/>
        <v>0.2</v>
      </c>
      <c r="M70" s="49">
        <v>90</v>
      </c>
      <c r="N70" s="198">
        <f t="shared" si="102"/>
        <v>150</v>
      </c>
      <c r="O70" s="198">
        <f t="shared" si="102"/>
        <v>160</v>
      </c>
      <c r="P70" s="198">
        <f t="shared" si="102"/>
        <v>390</v>
      </c>
      <c r="Q70" s="196">
        <f t="shared" si="102"/>
        <v>-4</v>
      </c>
    </row>
    <row r="71" spans="1:17" ht="14.25" customHeight="1" x14ac:dyDescent="0.25">
      <c r="A71" s="229">
        <f t="shared" ref="A71:B71" si="113">A70+1</f>
        <v>2221</v>
      </c>
      <c r="B71" s="230">
        <f t="shared" si="113"/>
        <v>61</v>
      </c>
      <c r="C71" s="229" t="str">
        <f t="shared" si="5"/>
        <v>22cX10+000_000_04</v>
      </c>
      <c r="D71" s="197">
        <f t="shared" si="104"/>
        <v>9.8000000000000007</v>
      </c>
      <c r="E71" s="204">
        <f t="shared" si="86"/>
        <v>1.8130000000000002</v>
      </c>
      <c r="F71" s="198">
        <f t="shared" si="105"/>
        <v>18.5</v>
      </c>
      <c r="G71" s="198">
        <f t="shared" si="87"/>
        <v>14.8</v>
      </c>
      <c r="H71" s="198">
        <f t="shared" si="88"/>
        <v>9.25</v>
      </c>
      <c r="I71" s="198">
        <f t="shared" si="106"/>
        <v>8</v>
      </c>
      <c r="J71" s="199">
        <f t="shared" si="106"/>
        <v>0</v>
      </c>
      <c r="K71" s="194" t="str">
        <f>D71&amp;-4</f>
        <v>9.8-4</v>
      </c>
      <c r="L71" s="198">
        <f t="shared" si="101"/>
        <v>0.2</v>
      </c>
      <c r="M71" s="49">
        <v>0</v>
      </c>
      <c r="N71" s="198">
        <f t="shared" si="102"/>
        <v>150</v>
      </c>
      <c r="O71" s="198">
        <f t="shared" si="102"/>
        <v>160</v>
      </c>
      <c r="P71" s="198">
        <f t="shared" si="102"/>
        <v>390</v>
      </c>
      <c r="Q71" s="196">
        <f t="shared" si="102"/>
        <v>-4</v>
      </c>
    </row>
    <row r="72" spans="1:17" x14ac:dyDescent="0.25">
      <c r="A72" s="229">
        <f t="shared" ref="A72:B72" si="114">A71+1</f>
        <v>2222</v>
      </c>
      <c r="B72" s="230">
        <f t="shared" si="114"/>
        <v>62</v>
      </c>
      <c r="C72" s="229" t="str">
        <f t="shared" si="5"/>
        <v>22cX10+000_030_04</v>
      </c>
      <c r="D72" s="197">
        <f t="shared" si="104"/>
        <v>9.8000000000000007</v>
      </c>
      <c r="E72" s="204">
        <f t="shared" si="86"/>
        <v>1.8130000000000002</v>
      </c>
      <c r="F72" s="198">
        <f t="shared" si="105"/>
        <v>18.5</v>
      </c>
      <c r="G72" s="198">
        <f t="shared" si="87"/>
        <v>14.8</v>
      </c>
      <c r="H72" s="198">
        <f t="shared" si="88"/>
        <v>9.25</v>
      </c>
      <c r="I72" s="198">
        <f t="shared" si="106"/>
        <v>8</v>
      </c>
      <c r="J72" s="199">
        <f t="shared" si="106"/>
        <v>0</v>
      </c>
      <c r="K72" s="194" t="str">
        <f t="shared" ref="K72:K74" si="115">D72&amp;-4</f>
        <v>9.8-4</v>
      </c>
      <c r="L72" s="198">
        <f t="shared" si="101"/>
        <v>0.2</v>
      </c>
      <c r="M72" s="49">
        <v>30</v>
      </c>
      <c r="N72" s="198">
        <f t="shared" si="102"/>
        <v>150</v>
      </c>
      <c r="O72" s="198">
        <f t="shared" si="102"/>
        <v>160</v>
      </c>
      <c r="P72" s="198">
        <f t="shared" si="102"/>
        <v>390</v>
      </c>
      <c r="Q72" s="196">
        <f t="shared" si="102"/>
        <v>-4</v>
      </c>
    </row>
    <row r="73" spans="1:17" x14ac:dyDescent="0.25">
      <c r="A73" s="229">
        <f t="shared" ref="A73:B73" si="116">A72+1</f>
        <v>2223</v>
      </c>
      <c r="B73" s="230">
        <f t="shared" si="116"/>
        <v>63</v>
      </c>
      <c r="C73" s="229" t="str">
        <f t="shared" si="5"/>
        <v>22cX10+000_060_04</v>
      </c>
      <c r="D73" s="197">
        <f t="shared" si="104"/>
        <v>9.8000000000000007</v>
      </c>
      <c r="E73" s="204">
        <f t="shared" si="86"/>
        <v>1.8130000000000002</v>
      </c>
      <c r="F73" s="198">
        <f t="shared" si="105"/>
        <v>18.5</v>
      </c>
      <c r="G73" s="198">
        <f t="shared" si="87"/>
        <v>14.8</v>
      </c>
      <c r="H73" s="198">
        <f t="shared" si="88"/>
        <v>9.25</v>
      </c>
      <c r="I73" s="198">
        <f t="shared" si="106"/>
        <v>8</v>
      </c>
      <c r="J73" s="199">
        <f t="shared" si="106"/>
        <v>0</v>
      </c>
      <c r="K73" s="194" t="str">
        <f t="shared" si="115"/>
        <v>9.8-4</v>
      </c>
      <c r="L73" s="198">
        <f t="shared" si="101"/>
        <v>0.2</v>
      </c>
      <c r="M73" s="49">
        <v>60</v>
      </c>
      <c r="N73" s="198">
        <f t="shared" si="102"/>
        <v>150</v>
      </c>
      <c r="O73" s="198">
        <f t="shared" si="102"/>
        <v>160</v>
      </c>
      <c r="P73" s="198">
        <f t="shared" si="102"/>
        <v>390</v>
      </c>
      <c r="Q73" s="196">
        <f t="shared" si="102"/>
        <v>-4</v>
      </c>
    </row>
    <row r="74" spans="1:17" x14ac:dyDescent="0.25">
      <c r="A74" s="229">
        <f t="shared" ref="A74:B74" si="117">A73+1</f>
        <v>2224</v>
      </c>
      <c r="B74" s="230">
        <f t="shared" si="117"/>
        <v>64</v>
      </c>
      <c r="C74" s="229" t="str">
        <f t="shared" si="5"/>
        <v>22cX10+000_090_04</v>
      </c>
      <c r="D74" s="197">
        <f t="shared" si="104"/>
        <v>9.8000000000000007</v>
      </c>
      <c r="E74" s="204">
        <f t="shared" si="86"/>
        <v>1.8130000000000002</v>
      </c>
      <c r="F74" s="198">
        <f t="shared" si="105"/>
        <v>18.5</v>
      </c>
      <c r="G74" s="198">
        <f t="shared" si="87"/>
        <v>14.8</v>
      </c>
      <c r="H74" s="198">
        <f t="shared" si="88"/>
        <v>9.25</v>
      </c>
      <c r="I74" s="198">
        <f t="shared" si="106"/>
        <v>8</v>
      </c>
      <c r="J74" s="199">
        <f t="shared" si="106"/>
        <v>0</v>
      </c>
      <c r="K74" s="194" t="str">
        <f t="shared" si="115"/>
        <v>9.8-4</v>
      </c>
      <c r="L74" s="198">
        <f t="shared" si="101"/>
        <v>0.2</v>
      </c>
      <c r="M74" s="49">
        <v>90</v>
      </c>
      <c r="N74" s="198">
        <f t="shared" si="102"/>
        <v>150</v>
      </c>
      <c r="O74" s="198">
        <f t="shared" si="102"/>
        <v>160</v>
      </c>
      <c r="P74" s="198">
        <f t="shared" si="102"/>
        <v>390</v>
      </c>
      <c r="Q74" s="196">
        <f t="shared" si="102"/>
        <v>-4</v>
      </c>
    </row>
    <row r="75" spans="1:17" x14ac:dyDescent="0.25">
      <c r="A75" s="229">
        <f t="shared" ref="A75:B75" si="118">A74+1</f>
        <v>2225</v>
      </c>
      <c r="B75" s="230">
        <f t="shared" si="118"/>
        <v>65</v>
      </c>
      <c r="C75" s="229" t="str">
        <f t="shared" si="5"/>
        <v>22cX10+000_000_05</v>
      </c>
      <c r="D75" s="197">
        <f t="shared" si="104"/>
        <v>9.8000000000000007</v>
      </c>
      <c r="E75" s="204">
        <f t="shared" si="86"/>
        <v>1.8130000000000002</v>
      </c>
      <c r="F75" s="198">
        <f t="shared" si="105"/>
        <v>18.5</v>
      </c>
      <c r="G75" s="198">
        <f t="shared" si="87"/>
        <v>14.8</v>
      </c>
      <c r="H75" s="198">
        <f t="shared" si="88"/>
        <v>9.25</v>
      </c>
      <c r="I75" s="198">
        <f t="shared" si="106"/>
        <v>8</v>
      </c>
      <c r="J75" s="199">
        <f t="shared" si="106"/>
        <v>0</v>
      </c>
      <c r="K75" s="194" t="str">
        <f>D75&amp;-5</f>
        <v>9.8-5</v>
      </c>
      <c r="L75" s="198">
        <f t="shared" si="101"/>
        <v>0.2</v>
      </c>
      <c r="M75" s="49">
        <v>0</v>
      </c>
      <c r="N75" s="198">
        <f t="shared" si="102"/>
        <v>150</v>
      </c>
      <c r="O75" s="198">
        <f t="shared" si="102"/>
        <v>160</v>
      </c>
      <c r="P75" s="198">
        <f t="shared" si="102"/>
        <v>390</v>
      </c>
      <c r="Q75" s="196">
        <f t="shared" si="102"/>
        <v>-4</v>
      </c>
    </row>
    <row r="76" spans="1:17" x14ac:dyDescent="0.25">
      <c r="A76" s="229">
        <f t="shared" ref="A76:B76" si="119">A75+1</f>
        <v>2226</v>
      </c>
      <c r="B76" s="230">
        <f t="shared" si="119"/>
        <v>66</v>
      </c>
      <c r="C76" s="229" t="str">
        <f t="shared" ref="C76:C139" si="120">TEXT(RIGHT($B$2,LEN($B$2)-3),"000")&amp;"X"&amp;TEXT(D76,"00")&amp;"+"&amp;IF(J76&lt;0,TEXT(360+J76,"000"),TEXT(J76,"000"))&amp;"_"&amp;TEXT(M76,"000")&amp;"_"&amp;TEXT(RIGHT(K76,LEN(K76)-FIND("-",K76)),"00")</f>
        <v>22cX10+000_030_05</v>
      </c>
      <c r="D76" s="197">
        <f t="shared" si="104"/>
        <v>9.8000000000000007</v>
      </c>
      <c r="E76" s="204">
        <f t="shared" si="86"/>
        <v>1.8130000000000002</v>
      </c>
      <c r="F76" s="198">
        <f t="shared" si="105"/>
        <v>18.5</v>
      </c>
      <c r="G76" s="198">
        <f t="shared" si="87"/>
        <v>14.8</v>
      </c>
      <c r="H76" s="198">
        <f t="shared" si="88"/>
        <v>9.25</v>
      </c>
      <c r="I76" s="198">
        <f t="shared" si="106"/>
        <v>8</v>
      </c>
      <c r="J76" s="199">
        <f t="shared" si="106"/>
        <v>0</v>
      </c>
      <c r="K76" s="194" t="str">
        <f t="shared" ref="K76:K78" si="121">D76&amp;-5</f>
        <v>9.8-5</v>
      </c>
      <c r="L76" s="198">
        <f t="shared" si="101"/>
        <v>0.2</v>
      </c>
      <c r="M76" s="49">
        <v>30</v>
      </c>
      <c r="N76" s="198">
        <f t="shared" si="102"/>
        <v>150</v>
      </c>
      <c r="O76" s="198">
        <f t="shared" si="102"/>
        <v>160</v>
      </c>
      <c r="P76" s="198">
        <f t="shared" si="102"/>
        <v>390</v>
      </c>
      <c r="Q76" s="196">
        <f t="shared" si="102"/>
        <v>-4</v>
      </c>
    </row>
    <row r="77" spans="1:17" x14ac:dyDescent="0.25">
      <c r="A77" s="229">
        <f t="shared" ref="A77:B77" si="122">A76+1</f>
        <v>2227</v>
      </c>
      <c r="B77" s="230">
        <f t="shared" si="122"/>
        <v>67</v>
      </c>
      <c r="C77" s="229" t="str">
        <f t="shared" si="120"/>
        <v>22cX10+000_060_05</v>
      </c>
      <c r="D77" s="197">
        <f t="shared" si="104"/>
        <v>9.8000000000000007</v>
      </c>
      <c r="E77" s="204">
        <f t="shared" si="86"/>
        <v>1.8130000000000002</v>
      </c>
      <c r="F77" s="198">
        <f t="shared" si="105"/>
        <v>18.5</v>
      </c>
      <c r="G77" s="198">
        <f t="shared" si="87"/>
        <v>14.8</v>
      </c>
      <c r="H77" s="198">
        <f t="shared" si="88"/>
        <v>9.25</v>
      </c>
      <c r="I77" s="198">
        <f t="shared" si="106"/>
        <v>8</v>
      </c>
      <c r="J77" s="199">
        <f t="shared" si="106"/>
        <v>0</v>
      </c>
      <c r="K77" s="194" t="str">
        <f t="shared" si="121"/>
        <v>9.8-5</v>
      </c>
      <c r="L77" s="198">
        <f t="shared" si="101"/>
        <v>0.2</v>
      </c>
      <c r="M77" s="49">
        <v>60</v>
      </c>
      <c r="N77" s="198">
        <f t="shared" si="102"/>
        <v>150</v>
      </c>
      <c r="O77" s="198">
        <f t="shared" si="102"/>
        <v>160</v>
      </c>
      <c r="P77" s="198">
        <f t="shared" si="102"/>
        <v>390</v>
      </c>
      <c r="Q77" s="196">
        <f t="shared" si="102"/>
        <v>-4</v>
      </c>
    </row>
    <row r="78" spans="1:17" x14ac:dyDescent="0.25">
      <c r="A78" s="229">
        <f t="shared" ref="A78:B78" si="123">A77+1</f>
        <v>2228</v>
      </c>
      <c r="B78" s="230">
        <f t="shared" si="123"/>
        <v>68</v>
      </c>
      <c r="C78" s="229" t="str">
        <f t="shared" si="120"/>
        <v>22cX10+000_090_05</v>
      </c>
      <c r="D78" s="197">
        <f t="shared" si="104"/>
        <v>9.8000000000000007</v>
      </c>
      <c r="E78" s="204">
        <f t="shared" si="86"/>
        <v>1.8130000000000002</v>
      </c>
      <c r="F78" s="198">
        <f t="shared" si="105"/>
        <v>18.5</v>
      </c>
      <c r="G78" s="198">
        <f t="shared" si="87"/>
        <v>14.8</v>
      </c>
      <c r="H78" s="198">
        <f t="shared" si="88"/>
        <v>9.25</v>
      </c>
      <c r="I78" s="198">
        <f t="shared" si="106"/>
        <v>8</v>
      </c>
      <c r="J78" s="199">
        <f t="shared" si="106"/>
        <v>0</v>
      </c>
      <c r="K78" s="194" t="str">
        <f t="shared" si="121"/>
        <v>9.8-5</v>
      </c>
      <c r="L78" s="198">
        <f t="shared" si="101"/>
        <v>0.2</v>
      </c>
      <c r="M78" s="49">
        <v>90</v>
      </c>
      <c r="N78" s="198">
        <f t="shared" si="102"/>
        <v>150</v>
      </c>
      <c r="O78" s="198">
        <f t="shared" si="102"/>
        <v>160</v>
      </c>
      <c r="P78" s="198">
        <f t="shared" si="102"/>
        <v>390</v>
      </c>
      <c r="Q78" s="196">
        <f t="shared" si="102"/>
        <v>-4</v>
      </c>
    </row>
    <row r="79" spans="1:17" x14ac:dyDescent="0.25">
      <c r="A79" s="229">
        <f t="shared" ref="A79:B79" si="124">A78+1</f>
        <v>2229</v>
      </c>
      <c r="B79" s="230">
        <f t="shared" si="124"/>
        <v>69</v>
      </c>
      <c r="C79" s="229" t="str">
        <f t="shared" si="120"/>
        <v>22cX10+000_000_06</v>
      </c>
      <c r="D79" s="197">
        <f t="shared" si="104"/>
        <v>9.8000000000000007</v>
      </c>
      <c r="E79" s="204">
        <f t="shared" si="86"/>
        <v>1.8130000000000002</v>
      </c>
      <c r="F79" s="198">
        <f t="shared" si="105"/>
        <v>18.5</v>
      </c>
      <c r="G79" s="198">
        <f t="shared" si="87"/>
        <v>14.8</v>
      </c>
      <c r="H79" s="198">
        <f t="shared" si="88"/>
        <v>9.25</v>
      </c>
      <c r="I79" s="198">
        <f t="shared" si="106"/>
        <v>8</v>
      </c>
      <c r="J79" s="199">
        <f t="shared" si="106"/>
        <v>0</v>
      </c>
      <c r="K79" s="194" t="str">
        <f>D79&amp;-6</f>
        <v>9.8-6</v>
      </c>
      <c r="L79" s="198">
        <f t="shared" si="101"/>
        <v>0.2</v>
      </c>
      <c r="M79" s="49">
        <v>0</v>
      </c>
      <c r="N79" s="198">
        <f t="shared" si="102"/>
        <v>150</v>
      </c>
      <c r="O79" s="198">
        <f t="shared" si="102"/>
        <v>160</v>
      </c>
      <c r="P79" s="198">
        <f t="shared" si="102"/>
        <v>390</v>
      </c>
      <c r="Q79" s="196">
        <f t="shared" si="102"/>
        <v>-4</v>
      </c>
    </row>
    <row r="80" spans="1:17" x14ac:dyDescent="0.25">
      <c r="A80" s="229">
        <f t="shared" ref="A80:B80" si="125">A79+1</f>
        <v>2230</v>
      </c>
      <c r="B80" s="230">
        <f t="shared" si="125"/>
        <v>70</v>
      </c>
      <c r="C80" s="229" t="str">
        <f t="shared" si="120"/>
        <v>22cX10+000_030_06</v>
      </c>
      <c r="D80" s="197">
        <f t="shared" si="104"/>
        <v>9.8000000000000007</v>
      </c>
      <c r="E80" s="204">
        <f t="shared" si="86"/>
        <v>1.8130000000000002</v>
      </c>
      <c r="F80" s="198">
        <f t="shared" si="105"/>
        <v>18.5</v>
      </c>
      <c r="G80" s="198">
        <f t="shared" si="87"/>
        <v>14.8</v>
      </c>
      <c r="H80" s="198">
        <f t="shared" si="88"/>
        <v>9.25</v>
      </c>
      <c r="I80" s="198">
        <f t="shared" si="106"/>
        <v>8</v>
      </c>
      <c r="J80" s="199">
        <f t="shared" si="106"/>
        <v>0</v>
      </c>
      <c r="K80" s="194" t="str">
        <f t="shared" ref="K80:K82" si="126">D80&amp;-6</f>
        <v>9.8-6</v>
      </c>
      <c r="L80" s="198">
        <f t="shared" si="101"/>
        <v>0.2</v>
      </c>
      <c r="M80" s="49">
        <v>30</v>
      </c>
      <c r="N80" s="198">
        <f t="shared" ref="N80:Q95" si="127">N79</f>
        <v>150</v>
      </c>
      <c r="O80" s="198">
        <f t="shared" si="127"/>
        <v>160</v>
      </c>
      <c r="P80" s="198">
        <f t="shared" si="127"/>
        <v>390</v>
      </c>
      <c r="Q80" s="196">
        <f t="shared" si="127"/>
        <v>-4</v>
      </c>
    </row>
    <row r="81" spans="1:17" x14ac:dyDescent="0.25">
      <c r="A81" s="229">
        <f t="shared" ref="A81:B81" si="128">A80+1</f>
        <v>2231</v>
      </c>
      <c r="B81" s="230">
        <f t="shared" si="128"/>
        <v>71</v>
      </c>
      <c r="C81" s="229" t="str">
        <f t="shared" si="120"/>
        <v>22cX10+000_060_06</v>
      </c>
      <c r="D81" s="197">
        <f t="shared" si="104"/>
        <v>9.8000000000000007</v>
      </c>
      <c r="E81" s="204">
        <f t="shared" si="86"/>
        <v>1.8130000000000002</v>
      </c>
      <c r="F81" s="198">
        <f t="shared" si="105"/>
        <v>18.5</v>
      </c>
      <c r="G81" s="198">
        <f t="shared" si="87"/>
        <v>14.8</v>
      </c>
      <c r="H81" s="198">
        <f t="shared" si="88"/>
        <v>9.25</v>
      </c>
      <c r="I81" s="198">
        <f t="shared" ref="I81:J96" si="129">I80</f>
        <v>8</v>
      </c>
      <c r="J81" s="199">
        <f t="shared" si="129"/>
        <v>0</v>
      </c>
      <c r="K81" s="194" t="str">
        <f t="shared" si="126"/>
        <v>9.8-6</v>
      </c>
      <c r="L81" s="198">
        <f t="shared" si="101"/>
        <v>0.2</v>
      </c>
      <c r="M81" s="49">
        <v>60</v>
      </c>
      <c r="N81" s="198">
        <f t="shared" si="127"/>
        <v>150</v>
      </c>
      <c r="O81" s="198">
        <f t="shared" si="127"/>
        <v>160</v>
      </c>
      <c r="P81" s="198">
        <f t="shared" si="127"/>
        <v>390</v>
      </c>
      <c r="Q81" s="196">
        <f t="shared" si="127"/>
        <v>-4</v>
      </c>
    </row>
    <row r="82" spans="1:17" x14ac:dyDescent="0.25">
      <c r="A82" s="229">
        <f t="shared" ref="A82:B82" si="130">A81+1</f>
        <v>2232</v>
      </c>
      <c r="B82" s="230">
        <f t="shared" si="130"/>
        <v>72</v>
      </c>
      <c r="C82" s="229" t="str">
        <f t="shared" si="120"/>
        <v>22cX10+000_090_06</v>
      </c>
      <c r="D82" s="197">
        <f t="shared" si="104"/>
        <v>9.8000000000000007</v>
      </c>
      <c r="E82" s="204">
        <f t="shared" si="86"/>
        <v>1.8130000000000002</v>
      </c>
      <c r="F82" s="198">
        <f t="shared" si="105"/>
        <v>18.5</v>
      </c>
      <c r="G82" s="198">
        <f t="shared" si="87"/>
        <v>14.8</v>
      </c>
      <c r="H82" s="198">
        <f t="shared" si="88"/>
        <v>9.25</v>
      </c>
      <c r="I82" s="198">
        <f t="shared" si="129"/>
        <v>8</v>
      </c>
      <c r="J82" s="199">
        <f t="shared" si="129"/>
        <v>0</v>
      </c>
      <c r="K82" s="194" t="str">
        <f t="shared" si="126"/>
        <v>9.8-6</v>
      </c>
      <c r="L82" s="198">
        <f t="shared" si="101"/>
        <v>0.2</v>
      </c>
      <c r="M82" s="49">
        <v>90</v>
      </c>
      <c r="N82" s="198">
        <f t="shared" si="127"/>
        <v>150</v>
      </c>
      <c r="O82" s="198">
        <f t="shared" si="127"/>
        <v>160</v>
      </c>
      <c r="P82" s="198">
        <f t="shared" si="127"/>
        <v>390</v>
      </c>
      <c r="Q82" s="196">
        <f t="shared" si="127"/>
        <v>-4</v>
      </c>
    </row>
    <row r="83" spans="1:17" ht="14.25" customHeight="1" x14ac:dyDescent="0.25">
      <c r="A83" s="229">
        <f t="shared" ref="A83:B83" si="131">A82+1</f>
        <v>2233</v>
      </c>
      <c r="B83" s="230">
        <f t="shared" si="131"/>
        <v>73</v>
      </c>
      <c r="C83" s="229" t="str">
        <f t="shared" si="120"/>
        <v>22cX10+000_000_07</v>
      </c>
      <c r="D83" s="197">
        <f t="shared" si="104"/>
        <v>9.8000000000000007</v>
      </c>
      <c r="E83" s="204">
        <f t="shared" si="86"/>
        <v>1.8130000000000002</v>
      </c>
      <c r="F83" s="198">
        <f t="shared" si="105"/>
        <v>18.5</v>
      </c>
      <c r="G83" s="198">
        <f t="shared" si="87"/>
        <v>14.8</v>
      </c>
      <c r="H83" s="198">
        <f t="shared" si="88"/>
        <v>9.25</v>
      </c>
      <c r="I83" s="198">
        <f t="shared" si="129"/>
        <v>8</v>
      </c>
      <c r="J83" s="199">
        <f t="shared" si="129"/>
        <v>0</v>
      </c>
      <c r="K83" s="194" t="str">
        <f>D83&amp;-7</f>
        <v>9.8-7</v>
      </c>
      <c r="L83" s="198">
        <f t="shared" si="101"/>
        <v>0.2</v>
      </c>
      <c r="M83" s="49">
        <v>0</v>
      </c>
      <c r="N83" s="198">
        <f t="shared" si="127"/>
        <v>150</v>
      </c>
      <c r="O83" s="198">
        <f t="shared" si="127"/>
        <v>160</v>
      </c>
      <c r="P83" s="198">
        <f t="shared" si="127"/>
        <v>390</v>
      </c>
      <c r="Q83" s="196">
        <f t="shared" si="127"/>
        <v>-4</v>
      </c>
    </row>
    <row r="84" spans="1:17" x14ac:dyDescent="0.25">
      <c r="A84" s="229">
        <f t="shared" ref="A84:B84" si="132">A83+1</f>
        <v>2234</v>
      </c>
      <c r="B84" s="230">
        <f t="shared" si="132"/>
        <v>74</v>
      </c>
      <c r="C84" s="229" t="str">
        <f t="shared" si="120"/>
        <v>22cX10+000_030_07</v>
      </c>
      <c r="D84" s="197">
        <f t="shared" si="104"/>
        <v>9.8000000000000007</v>
      </c>
      <c r="E84" s="204">
        <f t="shared" si="86"/>
        <v>1.8130000000000002</v>
      </c>
      <c r="F84" s="198">
        <f t="shared" si="105"/>
        <v>18.5</v>
      </c>
      <c r="G84" s="198">
        <f t="shared" si="87"/>
        <v>14.8</v>
      </c>
      <c r="H84" s="198">
        <f t="shared" si="88"/>
        <v>9.25</v>
      </c>
      <c r="I84" s="198">
        <f t="shared" si="129"/>
        <v>8</v>
      </c>
      <c r="J84" s="199">
        <f t="shared" si="129"/>
        <v>0</v>
      </c>
      <c r="K84" s="194" t="str">
        <f t="shared" ref="K84:K86" si="133">D84&amp;-7</f>
        <v>9.8-7</v>
      </c>
      <c r="L84" s="198">
        <f t="shared" si="101"/>
        <v>0.2</v>
      </c>
      <c r="M84" s="49">
        <v>30</v>
      </c>
      <c r="N84" s="198">
        <f t="shared" si="127"/>
        <v>150</v>
      </c>
      <c r="O84" s="198">
        <f t="shared" si="127"/>
        <v>160</v>
      </c>
      <c r="P84" s="198">
        <f t="shared" si="127"/>
        <v>390</v>
      </c>
      <c r="Q84" s="196">
        <f t="shared" si="127"/>
        <v>-4</v>
      </c>
    </row>
    <row r="85" spans="1:17" x14ac:dyDescent="0.25">
      <c r="A85" s="229">
        <f t="shared" ref="A85:B85" si="134">A84+1</f>
        <v>2235</v>
      </c>
      <c r="B85" s="230">
        <f t="shared" si="134"/>
        <v>75</v>
      </c>
      <c r="C85" s="229" t="str">
        <f t="shared" si="120"/>
        <v>22cX10+000_060_07</v>
      </c>
      <c r="D85" s="197">
        <f t="shared" si="104"/>
        <v>9.8000000000000007</v>
      </c>
      <c r="E85" s="204">
        <f t="shared" si="86"/>
        <v>1.8130000000000002</v>
      </c>
      <c r="F85" s="198">
        <f t="shared" si="105"/>
        <v>18.5</v>
      </c>
      <c r="G85" s="198">
        <f t="shared" si="87"/>
        <v>14.8</v>
      </c>
      <c r="H85" s="198">
        <f t="shared" si="88"/>
        <v>9.25</v>
      </c>
      <c r="I85" s="198">
        <f t="shared" si="129"/>
        <v>8</v>
      </c>
      <c r="J85" s="199">
        <f t="shared" si="129"/>
        <v>0</v>
      </c>
      <c r="K85" s="194" t="str">
        <f t="shared" si="133"/>
        <v>9.8-7</v>
      </c>
      <c r="L85" s="198">
        <f t="shared" si="101"/>
        <v>0.2</v>
      </c>
      <c r="M85" s="49">
        <v>60</v>
      </c>
      <c r="N85" s="198">
        <f t="shared" si="127"/>
        <v>150</v>
      </c>
      <c r="O85" s="198">
        <f t="shared" si="127"/>
        <v>160</v>
      </c>
      <c r="P85" s="198">
        <f t="shared" si="127"/>
        <v>390</v>
      </c>
      <c r="Q85" s="196">
        <f t="shared" si="127"/>
        <v>-4</v>
      </c>
    </row>
    <row r="86" spans="1:17" x14ac:dyDescent="0.25">
      <c r="A86" s="229">
        <f t="shared" ref="A86:B86" si="135">A85+1</f>
        <v>2236</v>
      </c>
      <c r="B86" s="230">
        <f t="shared" si="135"/>
        <v>76</v>
      </c>
      <c r="C86" s="229" t="str">
        <f t="shared" si="120"/>
        <v>22cX10+000_090_07</v>
      </c>
      <c r="D86" s="197">
        <f t="shared" si="104"/>
        <v>9.8000000000000007</v>
      </c>
      <c r="E86" s="204">
        <f t="shared" si="86"/>
        <v>1.8130000000000002</v>
      </c>
      <c r="F86" s="198">
        <f t="shared" si="105"/>
        <v>18.5</v>
      </c>
      <c r="G86" s="198">
        <f t="shared" si="87"/>
        <v>14.8</v>
      </c>
      <c r="H86" s="198">
        <f t="shared" si="88"/>
        <v>9.25</v>
      </c>
      <c r="I86" s="198">
        <f t="shared" si="129"/>
        <v>8</v>
      </c>
      <c r="J86" s="199">
        <f t="shared" si="129"/>
        <v>0</v>
      </c>
      <c r="K86" s="194" t="str">
        <f t="shared" si="133"/>
        <v>9.8-7</v>
      </c>
      <c r="L86" s="198">
        <f t="shared" si="101"/>
        <v>0.2</v>
      </c>
      <c r="M86" s="49">
        <v>90</v>
      </c>
      <c r="N86" s="198">
        <f t="shared" si="127"/>
        <v>150</v>
      </c>
      <c r="O86" s="198">
        <f t="shared" si="127"/>
        <v>160</v>
      </c>
      <c r="P86" s="198">
        <f t="shared" si="127"/>
        <v>390</v>
      </c>
      <c r="Q86" s="196">
        <f t="shared" si="127"/>
        <v>-4</v>
      </c>
    </row>
    <row r="87" spans="1:17" x14ac:dyDescent="0.25">
      <c r="A87" s="229">
        <f t="shared" ref="A87:B87" si="136">A86+1</f>
        <v>2237</v>
      </c>
      <c r="B87" s="230">
        <f t="shared" si="136"/>
        <v>77</v>
      </c>
      <c r="C87" s="229" t="str">
        <f t="shared" si="120"/>
        <v>22cX10+000_000_08</v>
      </c>
      <c r="D87" s="197">
        <f t="shared" si="104"/>
        <v>9.8000000000000007</v>
      </c>
      <c r="E87" s="204">
        <f t="shared" si="86"/>
        <v>1.8130000000000002</v>
      </c>
      <c r="F87" s="198">
        <f t="shared" si="105"/>
        <v>18.5</v>
      </c>
      <c r="G87" s="198">
        <f t="shared" si="87"/>
        <v>14.8</v>
      </c>
      <c r="H87" s="198">
        <f t="shared" si="88"/>
        <v>9.25</v>
      </c>
      <c r="I87" s="198">
        <f t="shared" si="129"/>
        <v>8</v>
      </c>
      <c r="J87" s="199">
        <f t="shared" si="129"/>
        <v>0</v>
      </c>
      <c r="K87" s="194" t="str">
        <f>D87&amp;-8</f>
        <v>9.8-8</v>
      </c>
      <c r="L87" s="198">
        <f t="shared" si="101"/>
        <v>0.2</v>
      </c>
      <c r="M87" s="49">
        <v>0</v>
      </c>
      <c r="N87" s="198">
        <f t="shared" si="127"/>
        <v>150</v>
      </c>
      <c r="O87" s="198">
        <f t="shared" si="127"/>
        <v>160</v>
      </c>
      <c r="P87" s="198">
        <f t="shared" si="127"/>
        <v>390</v>
      </c>
      <c r="Q87" s="196">
        <f t="shared" si="127"/>
        <v>-4</v>
      </c>
    </row>
    <row r="88" spans="1:17" x14ac:dyDescent="0.25">
      <c r="A88" s="229">
        <f t="shared" ref="A88:B88" si="137">A87+1</f>
        <v>2238</v>
      </c>
      <c r="B88" s="230">
        <f t="shared" si="137"/>
        <v>78</v>
      </c>
      <c r="C88" s="229" t="str">
        <f t="shared" si="120"/>
        <v>22cX10+000_030_08</v>
      </c>
      <c r="D88" s="197">
        <f t="shared" si="104"/>
        <v>9.8000000000000007</v>
      </c>
      <c r="E88" s="204">
        <f t="shared" si="86"/>
        <v>1.8130000000000002</v>
      </c>
      <c r="F88" s="198">
        <f t="shared" si="105"/>
        <v>18.5</v>
      </c>
      <c r="G88" s="198">
        <f t="shared" si="87"/>
        <v>14.8</v>
      </c>
      <c r="H88" s="198">
        <f t="shared" si="88"/>
        <v>9.25</v>
      </c>
      <c r="I88" s="198">
        <f t="shared" si="129"/>
        <v>8</v>
      </c>
      <c r="J88" s="199">
        <f t="shared" si="129"/>
        <v>0</v>
      </c>
      <c r="K88" s="194" t="str">
        <f t="shared" ref="K88:K90" si="138">D88&amp;-8</f>
        <v>9.8-8</v>
      </c>
      <c r="L88" s="198">
        <f t="shared" si="101"/>
        <v>0.2</v>
      </c>
      <c r="M88" s="49">
        <v>30</v>
      </c>
      <c r="N88" s="198">
        <f t="shared" si="127"/>
        <v>150</v>
      </c>
      <c r="O88" s="198">
        <f t="shared" si="127"/>
        <v>160</v>
      </c>
      <c r="P88" s="198">
        <f t="shared" si="127"/>
        <v>390</v>
      </c>
      <c r="Q88" s="196">
        <f t="shared" si="127"/>
        <v>-4</v>
      </c>
    </row>
    <row r="89" spans="1:17" x14ac:dyDescent="0.25">
      <c r="A89" s="229">
        <f t="shared" ref="A89:B89" si="139">A88+1</f>
        <v>2239</v>
      </c>
      <c r="B89" s="230">
        <f t="shared" si="139"/>
        <v>79</v>
      </c>
      <c r="C89" s="229" t="str">
        <f t="shared" si="120"/>
        <v>22cX10+000_060_08</v>
      </c>
      <c r="D89" s="197">
        <f t="shared" si="104"/>
        <v>9.8000000000000007</v>
      </c>
      <c r="E89" s="204">
        <f t="shared" si="86"/>
        <v>1.8130000000000002</v>
      </c>
      <c r="F89" s="198">
        <f t="shared" si="105"/>
        <v>18.5</v>
      </c>
      <c r="G89" s="198">
        <f t="shared" si="87"/>
        <v>14.8</v>
      </c>
      <c r="H89" s="198">
        <f t="shared" si="88"/>
        <v>9.25</v>
      </c>
      <c r="I89" s="198">
        <f t="shared" si="129"/>
        <v>8</v>
      </c>
      <c r="J89" s="199">
        <f t="shared" si="129"/>
        <v>0</v>
      </c>
      <c r="K89" s="194" t="str">
        <f t="shared" si="138"/>
        <v>9.8-8</v>
      </c>
      <c r="L89" s="198">
        <f t="shared" si="101"/>
        <v>0.2</v>
      </c>
      <c r="M89" s="49">
        <v>60</v>
      </c>
      <c r="N89" s="198">
        <f t="shared" si="127"/>
        <v>150</v>
      </c>
      <c r="O89" s="198">
        <f t="shared" si="127"/>
        <v>160</v>
      </c>
      <c r="P89" s="198">
        <f t="shared" si="127"/>
        <v>390</v>
      </c>
      <c r="Q89" s="196">
        <f t="shared" si="127"/>
        <v>-4</v>
      </c>
    </row>
    <row r="90" spans="1:17" x14ac:dyDescent="0.25">
      <c r="A90" s="229">
        <f t="shared" ref="A90:B90" si="140">A89+1</f>
        <v>2240</v>
      </c>
      <c r="B90" s="230">
        <f t="shared" si="140"/>
        <v>80</v>
      </c>
      <c r="C90" s="229" t="str">
        <f t="shared" si="120"/>
        <v>22cX10+000_090_08</v>
      </c>
      <c r="D90" s="197">
        <f t="shared" si="104"/>
        <v>9.8000000000000007</v>
      </c>
      <c r="E90" s="204">
        <f t="shared" si="86"/>
        <v>1.8130000000000002</v>
      </c>
      <c r="F90" s="198">
        <f t="shared" si="105"/>
        <v>18.5</v>
      </c>
      <c r="G90" s="198">
        <f t="shared" si="87"/>
        <v>14.8</v>
      </c>
      <c r="H90" s="198">
        <f t="shared" si="88"/>
        <v>9.25</v>
      </c>
      <c r="I90" s="198">
        <f t="shared" si="129"/>
        <v>8</v>
      </c>
      <c r="J90" s="199">
        <f t="shared" si="129"/>
        <v>0</v>
      </c>
      <c r="K90" s="194" t="str">
        <f t="shared" si="138"/>
        <v>9.8-8</v>
      </c>
      <c r="L90" s="198">
        <f t="shared" si="101"/>
        <v>0.2</v>
      </c>
      <c r="M90" s="49">
        <v>90</v>
      </c>
      <c r="N90" s="198">
        <f t="shared" si="127"/>
        <v>150</v>
      </c>
      <c r="O90" s="198">
        <f t="shared" si="127"/>
        <v>160</v>
      </c>
      <c r="P90" s="198">
        <f t="shared" si="127"/>
        <v>390</v>
      </c>
      <c r="Q90" s="196">
        <f t="shared" si="127"/>
        <v>-4</v>
      </c>
    </row>
    <row r="91" spans="1:17" x14ac:dyDescent="0.25">
      <c r="A91" s="229">
        <f t="shared" ref="A91:B91" si="141">A90+1</f>
        <v>2241</v>
      </c>
      <c r="B91" s="230">
        <f t="shared" si="141"/>
        <v>81</v>
      </c>
      <c r="C91" s="229" t="str">
        <f t="shared" si="120"/>
        <v>22cX10+000_000_09</v>
      </c>
      <c r="D91" s="197">
        <f t="shared" si="104"/>
        <v>9.8000000000000007</v>
      </c>
      <c r="E91" s="204">
        <f t="shared" si="86"/>
        <v>1.8130000000000002</v>
      </c>
      <c r="F91" s="198">
        <f t="shared" si="105"/>
        <v>18.5</v>
      </c>
      <c r="G91" s="198">
        <f t="shared" si="87"/>
        <v>14.8</v>
      </c>
      <c r="H91" s="198">
        <f t="shared" si="88"/>
        <v>9.25</v>
      </c>
      <c r="I91" s="198">
        <f t="shared" si="129"/>
        <v>8</v>
      </c>
      <c r="J91" s="199">
        <f t="shared" si="129"/>
        <v>0</v>
      </c>
      <c r="K91" s="194" t="str">
        <f>D91&amp;-9</f>
        <v>9.8-9</v>
      </c>
      <c r="L91" s="198">
        <f t="shared" si="101"/>
        <v>0.2</v>
      </c>
      <c r="M91" s="49">
        <v>0</v>
      </c>
      <c r="N91" s="198">
        <f t="shared" si="127"/>
        <v>150</v>
      </c>
      <c r="O91" s="198">
        <f t="shared" si="127"/>
        <v>160</v>
      </c>
      <c r="P91" s="198">
        <f t="shared" si="127"/>
        <v>390</v>
      </c>
      <c r="Q91" s="196">
        <f t="shared" si="127"/>
        <v>-4</v>
      </c>
    </row>
    <row r="92" spans="1:17" x14ac:dyDescent="0.25">
      <c r="A92" s="229">
        <f t="shared" ref="A92:B92" si="142">A91+1</f>
        <v>2242</v>
      </c>
      <c r="B92" s="230">
        <f t="shared" si="142"/>
        <v>82</v>
      </c>
      <c r="C92" s="229" t="str">
        <f t="shared" si="120"/>
        <v>22cX10+000_030_09</v>
      </c>
      <c r="D92" s="197">
        <f t="shared" si="104"/>
        <v>9.8000000000000007</v>
      </c>
      <c r="E92" s="204">
        <f t="shared" si="86"/>
        <v>1.8130000000000002</v>
      </c>
      <c r="F92" s="198">
        <f t="shared" si="105"/>
        <v>18.5</v>
      </c>
      <c r="G92" s="198">
        <f t="shared" si="87"/>
        <v>14.8</v>
      </c>
      <c r="H92" s="198">
        <f t="shared" si="88"/>
        <v>9.25</v>
      </c>
      <c r="I92" s="198">
        <f t="shared" si="129"/>
        <v>8</v>
      </c>
      <c r="J92" s="199">
        <f t="shared" si="129"/>
        <v>0</v>
      </c>
      <c r="K92" s="194" t="str">
        <f t="shared" ref="K92:K94" si="143">D92&amp;-9</f>
        <v>9.8-9</v>
      </c>
      <c r="L92" s="198">
        <f t="shared" si="101"/>
        <v>0.2</v>
      </c>
      <c r="M92" s="49">
        <v>30</v>
      </c>
      <c r="N92" s="198">
        <f t="shared" si="127"/>
        <v>150</v>
      </c>
      <c r="O92" s="198">
        <f t="shared" si="127"/>
        <v>160</v>
      </c>
      <c r="P92" s="198">
        <f t="shared" si="127"/>
        <v>390</v>
      </c>
      <c r="Q92" s="196">
        <f t="shared" si="127"/>
        <v>-4</v>
      </c>
    </row>
    <row r="93" spans="1:17" x14ac:dyDescent="0.25">
      <c r="A93" s="229">
        <f t="shared" ref="A93:B93" si="144">A92+1</f>
        <v>2243</v>
      </c>
      <c r="B93" s="230">
        <f t="shared" si="144"/>
        <v>83</v>
      </c>
      <c r="C93" s="229" t="str">
        <f t="shared" si="120"/>
        <v>22cX10+000_060_09</v>
      </c>
      <c r="D93" s="197">
        <f t="shared" si="104"/>
        <v>9.8000000000000007</v>
      </c>
      <c r="E93" s="204">
        <f t="shared" si="86"/>
        <v>1.8130000000000002</v>
      </c>
      <c r="F93" s="198">
        <f t="shared" si="105"/>
        <v>18.5</v>
      </c>
      <c r="G93" s="198">
        <f t="shared" si="87"/>
        <v>14.8</v>
      </c>
      <c r="H93" s="198">
        <f t="shared" si="88"/>
        <v>9.25</v>
      </c>
      <c r="I93" s="198">
        <f t="shared" si="129"/>
        <v>8</v>
      </c>
      <c r="J93" s="199">
        <f t="shared" si="129"/>
        <v>0</v>
      </c>
      <c r="K93" s="194" t="str">
        <f t="shared" si="143"/>
        <v>9.8-9</v>
      </c>
      <c r="L93" s="198">
        <f t="shared" si="101"/>
        <v>0.2</v>
      </c>
      <c r="M93" s="49">
        <v>60</v>
      </c>
      <c r="N93" s="198">
        <f t="shared" si="127"/>
        <v>150</v>
      </c>
      <c r="O93" s="198">
        <f t="shared" si="127"/>
        <v>160</v>
      </c>
      <c r="P93" s="198">
        <f t="shared" si="127"/>
        <v>390</v>
      </c>
      <c r="Q93" s="196">
        <f t="shared" si="127"/>
        <v>-4</v>
      </c>
    </row>
    <row r="94" spans="1:17" x14ac:dyDescent="0.25">
      <c r="A94" s="229">
        <f t="shared" ref="A94:B94" si="145">A93+1</f>
        <v>2244</v>
      </c>
      <c r="B94" s="230">
        <f t="shared" si="145"/>
        <v>84</v>
      </c>
      <c r="C94" s="229" t="str">
        <f t="shared" si="120"/>
        <v>22cX10+000_090_09</v>
      </c>
      <c r="D94" s="197">
        <f t="shared" si="104"/>
        <v>9.8000000000000007</v>
      </c>
      <c r="E94" s="204">
        <f t="shared" si="86"/>
        <v>1.8130000000000002</v>
      </c>
      <c r="F94" s="198">
        <f t="shared" si="105"/>
        <v>18.5</v>
      </c>
      <c r="G94" s="198">
        <f t="shared" si="87"/>
        <v>14.8</v>
      </c>
      <c r="H94" s="198">
        <f t="shared" si="88"/>
        <v>9.25</v>
      </c>
      <c r="I94" s="198">
        <f t="shared" si="129"/>
        <v>8</v>
      </c>
      <c r="J94" s="199">
        <f t="shared" si="129"/>
        <v>0</v>
      </c>
      <c r="K94" s="194" t="str">
        <f t="shared" si="143"/>
        <v>9.8-9</v>
      </c>
      <c r="L94" s="198">
        <f t="shared" si="101"/>
        <v>0.2</v>
      </c>
      <c r="M94" s="49">
        <v>90</v>
      </c>
      <c r="N94" s="198">
        <f t="shared" si="127"/>
        <v>150</v>
      </c>
      <c r="O94" s="198">
        <f t="shared" si="127"/>
        <v>160</v>
      </c>
      <c r="P94" s="198">
        <f t="shared" si="127"/>
        <v>390</v>
      </c>
      <c r="Q94" s="196">
        <f t="shared" si="127"/>
        <v>-4</v>
      </c>
    </row>
    <row r="95" spans="1:17" ht="14.25" customHeight="1" x14ac:dyDescent="0.25">
      <c r="A95" s="229">
        <f t="shared" ref="A95:B95" si="146">A94+1</f>
        <v>2245</v>
      </c>
      <c r="B95" s="230">
        <f t="shared" si="146"/>
        <v>85</v>
      </c>
      <c r="C95" s="229" t="str">
        <f t="shared" si="120"/>
        <v>22cX10+000_000_10</v>
      </c>
      <c r="D95" s="197">
        <f t="shared" si="104"/>
        <v>9.8000000000000007</v>
      </c>
      <c r="E95" s="204">
        <f t="shared" si="86"/>
        <v>1.8130000000000002</v>
      </c>
      <c r="F95" s="198">
        <f t="shared" si="105"/>
        <v>18.5</v>
      </c>
      <c r="G95" s="198">
        <f t="shared" si="87"/>
        <v>14.8</v>
      </c>
      <c r="H95" s="198">
        <f t="shared" si="88"/>
        <v>9.25</v>
      </c>
      <c r="I95" s="198">
        <f t="shared" si="129"/>
        <v>8</v>
      </c>
      <c r="J95" s="199">
        <f t="shared" si="129"/>
        <v>0</v>
      </c>
      <c r="K95" s="194" t="str">
        <f>D95&amp;-10</f>
        <v>9.8-10</v>
      </c>
      <c r="L95" s="198">
        <f t="shared" si="101"/>
        <v>0.2</v>
      </c>
      <c r="M95" s="49">
        <v>0</v>
      </c>
      <c r="N95" s="198">
        <f t="shared" si="127"/>
        <v>150</v>
      </c>
      <c r="O95" s="198">
        <f t="shared" si="127"/>
        <v>160</v>
      </c>
      <c r="P95" s="198">
        <f t="shared" si="127"/>
        <v>390</v>
      </c>
      <c r="Q95" s="196">
        <f t="shared" si="127"/>
        <v>-4</v>
      </c>
    </row>
    <row r="96" spans="1:17" x14ac:dyDescent="0.25">
      <c r="A96" s="229">
        <f t="shared" ref="A96:B96" si="147">A95+1</f>
        <v>2246</v>
      </c>
      <c r="B96" s="230">
        <f t="shared" si="147"/>
        <v>86</v>
      </c>
      <c r="C96" s="229" t="str">
        <f t="shared" si="120"/>
        <v>22cX10+000_030_10</v>
      </c>
      <c r="D96" s="197">
        <f t="shared" si="104"/>
        <v>9.8000000000000007</v>
      </c>
      <c r="E96" s="204">
        <f t="shared" si="86"/>
        <v>1.8130000000000002</v>
      </c>
      <c r="F96" s="198">
        <f t="shared" si="105"/>
        <v>18.5</v>
      </c>
      <c r="G96" s="198">
        <f t="shared" si="87"/>
        <v>14.8</v>
      </c>
      <c r="H96" s="198">
        <f t="shared" si="88"/>
        <v>9.25</v>
      </c>
      <c r="I96" s="198">
        <f t="shared" si="129"/>
        <v>8</v>
      </c>
      <c r="J96" s="199">
        <f t="shared" si="129"/>
        <v>0</v>
      </c>
      <c r="K96" s="194" t="str">
        <f t="shared" ref="K96:K98" si="148">D96&amp;-10</f>
        <v>9.8-10</v>
      </c>
      <c r="L96" s="198">
        <f t="shared" si="101"/>
        <v>0.2</v>
      </c>
      <c r="M96" s="49">
        <v>30</v>
      </c>
      <c r="N96" s="198">
        <f t="shared" ref="N96:Q106" si="149">N95</f>
        <v>150</v>
      </c>
      <c r="O96" s="198">
        <f t="shared" si="149"/>
        <v>160</v>
      </c>
      <c r="P96" s="198">
        <f t="shared" si="149"/>
        <v>390</v>
      </c>
      <c r="Q96" s="196">
        <f t="shared" si="149"/>
        <v>-4</v>
      </c>
    </row>
    <row r="97" spans="1:17" x14ac:dyDescent="0.25">
      <c r="A97" s="229">
        <f t="shared" ref="A97:B97" si="150">A96+1</f>
        <v>2247</v>
      </c>
      <c r="B97" s="230">
        <f t="shared" si="150"/>
        <v>87</v>
      </c>
      <c r="C97" s="229" t="str">
        <f t="shared" si="120"/>
        <v>22cX10+000_060_10</v>
      </c>
      <c r="D97" s="197">
        <f t="shared" si="104"/>
        <v>9.8000000000000007</v>
      </c>
      <c r="E97" s="204">
        <f t="shared" si="86"/>
        <v>1.8130000000000002</v>
      </c>
      <c r="F97" s="198">
        <f t="shared" si="105"/>
        <v>18.5</v>
      </c>
      <c r="G97" s="198">
        <f t="shared" si="87"/>
        <v>14.8</v>
      </c>
      <c r="H97" s="198">
        <f t="shared" si="88"/>
        <v>9.25</v>
      </c>
      <c r="I97" s="198">
        <f t="shared" ref="I97:J106" si="151">I96</f>
        <v>8</v>
      </c>
      <c r="J97" s="199">
        <f t="shared" si="151"/>
        <v>0</v>
      </c>
      <c r="K97" s="194" t="str">
        <f t="shared" si="148"/>
        <v>9.8-10</v>
      </c>
      <c r="L97" s="198">
        <f t="shared" si="101"/>
        <v>0.2</v>
      </c>
      <c r="M97" s="49">
        <v>60</v>
      </c>
      <c r="N97" s="198">
        <f t="shared" si="149"/>
        <v>150</v>
      </c>
      <c r="O97" s="198">
        <f t="shared" si="149"/>
        <v>160</v>
      </c>
      <c r="P97" s="198">
        <f t="shared" si="149"/>
        <v>390</v>
      </c>
      <c r="Q97" s="196">
        <f t="shared" si="149"/>
        <v>-4</v>
      </c>
    </row>
    <row r="98" spans="1:17" x14ac:dyDescent="0.25">
      <c r="A98" s="229">
        <f t="shared" ref="A98:B98" si="152">A97+1</f>
        <v>2248</v>
      </c>
      <c r="B98" s="230">
        <f t="shared" si="152"/>
        <v>88</v>
      </c>
      <c r="C98" s="229" t="str">
        <f t="shared" si="120"/>
        <v>22cX10+000_090_10</v>
      </c>
      <c r="D98" s="197">
        <f t="shared" si="104"/>
        <v>9.8000000000000007</v>
      </c>
      <c r="E98" s="204">
        <f t="shared" si="86"/>
        <v>1.8130000000000002</v>
      </c>
      <c r="F98" s="198">
        <f t="shared" si="105"/>
        <v>18.5</v>
      </c>
      <c r="G98" s="198">
        <f t="shared" si="87"/>
        <v>14.8</v>
      </c>
      <c r="H98" s="198">
        <f t="shared" si="88"/>
        <v>9.25</v>
      </c>
      <c r="I98" s="198">
        <f t="shared" si="151"/>
        <v>8</v>
      </c>
      <c r="J98" s="199">
        <f t="shared" si="151"/>
        <v>0</v>
      </c>
      <c r="K98" s="194" t="str">
        <f t="shared" si="148"/>
        <v>9.8-10</v>
      </c>
      <c r="L98" s="198">
        <f t="shared" si="101"/>
        <v>0.2</v>
      </c>
      <c r="M98" s="49">
        <v>90</v>
      </c>
      <c r="N98" s="198">
        <f t="shared" si="149"/>
        <v>150</v>
      </c>
      <c r="O98" s="198">
        <f t="shared" si="149"/>
        <v>160</v>
      </c>
      <c r="P98" s="198">
        <f t="shared" si="149"/>
        <v>390</v>
      </c>
      <c r="Q98" s="196">
        <f t="shared" si="149"/>
        <v>-4</v>
      </c>
    </row>
    <row r="99" spans="1:17" x14ac:dyDescent="0.25">
      <c r="A99" s="229">
        <f t="shared" ref="A99:B99" si="153">A98+1</f>
        <v>2249</v>
      </c>
      <c r="B99" s="230">
        <f t="shared" si="153"/>
        <v>89</v>
      </c>
      <c r="C99" s="229" t="str">
        <f t="shared" si="120"/>
        <v>22cX10+000_000_11</v>
      </c>
      <c r="D99" s="197">
        <f t="shared" si="104"/>
        <v>9.8000000000000007</v>
      </c>
      <c r="E99" s="204">
        <f t="shared" si="86"/>
        <v>1.8130000000000002</v>
      </c>
      <c r="F99" s="198">
        <f t="shared" si="105"/>
        <v>18.5</v>
      </c>
      <c r="G99" s="198">
        <f t="shared" si="87"/>
        <v>14.8</v>
      </c>
      <c r="H99" s="198">
        <f t="shared" si="88"/>
        <v>9.25</v>
      </c>
      <c r="I99" s="198">
        <f t="shared" si="151"/>
        <v>8</v>
      </c>
      <c r="J99" s="199">
        <f t="shared" si="151"/>
        <v>0</v>
      </c>
      <c r="K99" s="194" t="str">
        <f>D99&amp;-11</f>
        <v>9.8-11</v>
      </c>
      <c r="L99" s="198">
        <f t="shared" si="101"/>
        <v>0.2</v>
      </c>
      <c r="M99" s="49">
        <v>0</v>
      </c>
      <c r="N99" s="198">
        <f t="shared" si="149"/>
        <v>150</v>
      </c>
      <c r="O99" s="198">
        <f t="shared" si="149"/>
        <v>160</v>
      </c>
      <c r="P99" s="198">
        <f t="shared" si="149"/>
        <v>390</v>
      </c>
      <c r="Q99" s="196">
        <f t="shared" si="149"/>
        <v>-4</v>
      </c>
    </row>
    <row r="100" spans="1:17" x14ac:dyDescent="0.25">
      <c r="A100" s="229">
        <f t="shared" ref="A100:B100" si="154">A99+1</f>
        <v>2250</v>
      </c>
      <c r="B100" s="230">
        <f t="shared" si="154"/>
        <v>90</v>
      </c>
      <c r="C100" s="229" t="str">
        <f t="shared" si="120"/>
        <v>22cX10+000_030_11</v>
      </c>
      <c r="D100" s="197">
        <f t="shared" si="104"/>
        <v>9.8000000000000007</v>
      </c>
      <c r="E100" s="204">
        <f t="shared" si="86"/>
        <v>1.8130000000000002</v>
      </c>
      <c r="F100" s="198">
        <f t="shared" si="105"/>
        <v>18.5</v>
      </c>
      <c r="G100" s="198">
        <f t="shared" si="87"/>
        <v>14.8</v>
      </c>
      <c r="H100" s="198">
        <f t="shared" si="88"/>
        <v>9.25</v>
      </c>
      <c r="I100" s="198">
        <f t="shared" si="151"/>
        <v>8</v>
      </c>
      <c r="J100" s="199">
        <f t="shared" si="151"/>
        <v>0</v>
      </c>
      <c r="K100" s="194" t="str">
        <f t="shared" ref="K100:K102" si="155">D100&amp;-11</f>
        <v>9.8-11</v>
      </c>
      <c r="L100" s="198">
        <f t="shared" si="101"/>
        <v>0.2</v>
      </c>
      <c r="M100" s="49">
        <v>30</v>
      </c>
      <c r="N100" s="198">
        <f t="shared" si="149"/>
        <v>150</v>
      </c>
      <c r="O100" s="198">
        <f t="shared" si="149"/>
        <v>160</v>
      </c>
      <c r="P100" s="198">
        <f t="shared" si="149"/>
        <v>390</v>
      </c>
      <c r="Q100" s="196">
        <f t="shared" si="149"/>
        <v>-4</v>
      </c>
    </row>
    <row r="101" spans="1:17" x14ac:dyDescent="0.25">
      <c r="A101" s="229">
        <f t="shared" ref="A101:B101" si="156">A100+1</f>
        <v>2251</v>
      </c>
      <c r="B101" s="230">
        <f t="shared" si="156"/>
        <v>91</v>
      </c>
      <c r="C101" s="229" t="str">
        <f t="shared" si="120"/>
        <v>22cX10+000_060_11</v>
      </c>
      <c r="D101" s="197">
        <f t="shared" si="104"/>
        <v>9.8000000000000007</v>
      </c>
      <c r="E101" s="204">
        <f t="shared" si="86"/>
        <v>1.8130000000000002</v>
      </c>
      <c r="F101" s="198">
        <f t="shared" si="105"/>
        <v>18.5</v>
      </c>
      <c r="G101" s="198">
        <f t="shared" si="87"/>
        <v>14.8</v>
      </c>
      <c r="H101" s="198">
        <f t="shared" si="88"/>
        <v>9.25</v>
      </c>
      <c r="I101" s="198">
        <f t="shared" si="151"/>
        <v>8</v>
      </c>
      <c r="J101" s="199">
        <f t="shared" si="151"/>
        <v>0</v>
      </c>
      <c r="K101" s="194" t="str">
        <f t="shared" si="155"/>
        <v>9.8-11</v>
      </c>
      <c r="L101" s="198">
        <f t="shared" si="101"/>
        <v>0.2</v>
      </c>
      <c r="M101" s="49">
        <v>60</v>
      </c>
      <c r="N101" s="198">
        <f t="shared" si="149"/>
        <v>150</v>
      </c>
      <c r="O101" s="198">
        <f t="shared" si="149"/>
        <v>160</v>
      </c>
      <c r="P101" s="198">
        <f t="shared" si="149"/>
        <v>390</v>
      </c>
      <c r="Q101" s="196">
        <f t="shared" si="149"/>
        <v>-4</v>
      </c>
    </row>
    <row r="102" spans="1:17" x14ac:dyDescent="0.25">
      <c r="A102" s="229">
        <f t="shared" ref="A102:B102" si="157">A101+1</f>
        <v>2252</v>
      </c>
      <c r="B102" s="230">
        <f t="shared" si="157"/>
        <v>92</v>
      </c>
      <c r="C102" s="229" t="str">
        <f t="shared" si="120"/>
        <v>22cX10+000_090_11</v>
      </c>
      <c r="D102" s="197">
        <f t="shared" si="104"/>
        <v>9.8000000000000007</v>
      </c>
      <c r="E102" s="204">
        <f t="shared" si="86"/>
        <v>1.8130000000000002</v>
      </c>
      <c r="F102" s="198">
        <f t="shared" si="105"/>
        <v>18.5</v>
      </c>
      <c r="G102" s="198">
        <f t="shared" si="87"/>
        <v>14.8</v>
      </c>
      <c r="H102" s="198">
        <f t="shared" si="88"/>
        <v>9.25</v>
      </c>
      <c r="I102" s="198">
        <f t="shared" si="151"/>
        <v>8</v>
      </c>
      <c r="J102" s="199">
        <f t="shared" si="151"/>
        <v>0</v>
      </c>
      <c r="K102" s="194" t="str">
        <f t="shared" si="155"/>
        <v>9.8-11</v>
      </c>
      <c r="L102" s="198">
        <f t="shared" si="101"/>
        <v>0.2</v>
      </c>
      <c r="M102" s="49">
        <v>90</v>
      </c>
      <c r="N102" s="198">
        <f t="shared" si="149"/>
        <v>150</v>
      </c>
      <c r="O102" s="198">
        <f t="shared" si="149"/>
        <v>160</v>
      </c>
      <c r="P102" s="198">
        <f t="shared" si="149"/>
        <v>390</v>
      </c>
      <c r="Q102" s="196">
        <f t="shared" si="149"/>
        <v>-4</v>
      </c>
    </row>
    <row r="103" spans="1:17" x14ac:dyDescent="0.25">
      <c r="A103" s="229">
        <f t="shared" ref="A103:B103" si="158">A102+1</f>
        <v>2253</v>
      </c>
      <c r="B103" s="230">
        <f t="shared" si="158"/>
        <v>93</v>
      </c>
      <c r="C103" s="229" t="str">
        <f t="shared" si="120"/>
        <v>22cX10+000_000_12</v>
      </c>
      <c r="D103" s="197">
        <f t="shared" si="104"/>
        <v>9.8000000000000007</v>
      </c>
      <c r="E103" s="204">
        <f t="shared" si="86"/>
        <v>1.8130000000000002</v>
      </c>
      <c r="F103" s="198">
        <f t="shared" si="105"/>
        <v>18.5</v>
      </c>
      <c r="G103" s="198">
        <f t="shared" si="87"/>
        <v>14.8</v>
      </c>
      <c r="H103" s="198">
        <f t="shared" si="88"/>
        <v>9.25</v>
      </c>
      <c r="I103" s="198">
        <f t="shared" si="151"/>
        <v>8</v>
      </c>
      <c r="J103" s="199">
        <f t="shared" si="151"/>
        <v>0</v>
      </c>
      <c r="K103" s="194" t="str">
        <f>D103&amp;-12</f>
        <v>9.8-12</v>
      </c>
      <c r="L103" s="198">
        <f t="shared" si="101"/>
        <v>0.2</v>
      </c>
      <c r="M103" s="49">
        <v>0</v>
      </c>
      <c r="N103" s="198">
        <f t="shared" si="149"/>
        <v>150</v>
      </c>
      <c r="O103" s="198">
        <f t="shared" si="149"/>
        <v>160</v>
      </c>
      <c r="P103" s="198">
        <f t="shared" si="149"/>
        <v>390</v>
      </c>
      <c r="Q103" s="196">
        <f t="shared" si="149"/>
        <v>-4</v>
      </c>
    </row>
    <row r="104" spans="1:17" x14ac:dyDescent="0.25">
      <c r="A104" s="229">
        <f t="shared" ref="A104:B104" si="159">A103+1</f>
        <v>2254</v>
      </c>
      <c r="B104" s="230">
        <f t="shared" si="159"/>
        <v>94</v>
      </c>
      <c r="C104" s="229" t="str">
        <f t="shared" si="120"/>
        <v>22cX10+000_030_12</v>
      </c>
      <c r="D104" s="197">
        <f t="shared" si="104"/>
        <v>9.8000000000000007</v>
      </c>
      <c r="E104" s="204">
        <f t="shared" si="86"/>
        <v>1.8130000000000002</v>
      </c>
      <c r="F104" s="198">
        <f t="shared" si="105"/>
        <v>18.5</v>
      </c>
      <c r="G104" s="198">
        <f t="shared" si="87"/>
        <v>14.8</v>
      </c>
      <c r="H104" s="198">
        <f t="shared" si="88"/>
        <v>9.25</v>
      </c>
      <c r="I104" s="198">
        <f t="shared" si="151"/>
        <v>8</v>
      </c>
      <c r="J104" s="199">
        <f t="shared" si="151"/>
        <v>0</v>
      </c>
      <c r="K104" s="194" t="str">
        <f t="shared" ref="K104:K106" si="160">D104&amp;-12</f>
        <v>9.8-12</v>
      </c>
      <c r="L104" s="198">
        <f t="shared" si="101"/>
        <v>0.2</v>
      </c>
      <c r="M104" s="49">
        <v>30</v>
      </c>
      <c r="N104" s="198">
        <f t="shared" si="149"/>
        <v>150</v>
      </c>
      <c r="O104" s="198">
        <f t="shared" si="149"/>
        <v>160</v>
      </c>
      <c r="P104" s="198">
        <f t="shared" si="149"/>
        <v>390</v>
      </c>
      <c r="Q104" s="196">
        <f t="shared" si="149"/>
        <v>-4</v>
      </c>
    </row>
    <row r="105" spans="1:17" x14ac:dyDescent="0.25">
      <c r="A105" s="229">
        <f t="shared" ref="A105:B105" si="161">A104+1</f>
        <v>2255</v>
      </c>
      <c r="B105" s="230">
        <f t="shared" si="161"/>
        <v>95</v>
      </c>
      <c r="C105" s="229" t="str">
        <f t="shared" si="120"/>
        <v>22cX10+000_060_12</v>
      </c>
      <c r="D105" s="197">
        <f t="shared" si="104"/>
        <v>9.8000000000000007</v>
      </c>
      <c r="E105" s="204">
        <f t="shared" si="86"/>
        <v>1.8130000000000002</v>
      </c>
      <c r="F105" s="198">
        <f t="shared" si="105"/>
        <v>18.5</v>
      </c>
      <c r="G105" s="198">
        <f t="shared" si="87"/>
        <v>14.8</v>
      </c>
      <c r="H105" s="198">
        <f t="shared" si="88"/>
        <v>9.25</v>
      </c>
      <c r="I105" s="198">
        <f t="shared" si="151"/>
        <v>8</v>
      </c>
      <c r="J105" s="199">
        <f t="shared" si="151"/>
        <v>0</v>
      </c>
      <c r="K105" s="194" t="str">
        <f t="shared" si="160"/>
        <v>9.8-12</v>
      </c>
      <c r="L105" s="198">
        <f t="shared" si="101"/>
        <v>0.2</v>
      </c>
      <c r="M105" s="49">
        <v>60</v>
      </c>
      <c r="N105" s="198">
        <f t="shared" si="149"/>
        <v>150</v>
      </c>
      <c r="O105" s="198">
        <f t="shared" si="149"/>
        <v>160</v>
      </c>
      <c r="P105" s="198">
        <f t="shared" si="149"/>
        <v>390</v>
      </c>
      <c r="Q105" s="196">
        <f t="shared" si="149"/>
        <v>-4</v>
      </c>
    </row>
    <row r="106" spans="1:17" x14ac:dyDescent="0.25">
      <c r="A106" s="229">
        <f t="shared" ref="A106:B106" si="162">A105+1</f>
        <v>2256</v>
      </c>
      <c r="B106" s="230">
        <f t="shared" si="162"/>
        <v>96</v>
      </c>
      <c r="C106" s="229" t="str">
        <f t="shared" si="120"/>
        <v>22cX10+000_090_12</v>
      </c>
      <c r="D106" s="197">
        <f t="shared" si="104"/>
        <v>9.8000000000000007</v>
      </c>
      <c r="E106" s="204">
        <f t="shared" si="86"/>
        <v>1.8130000000000002</v>
      </c>
      <c r="F106" s="198">
        <f t="shared" si="105"/>
        <v>18.5</v>
      </c>
      <c r="G106" s="198">
        <f t="shared" si="87"/>
        <v>14.8</v>
      </c>
      <c r="H106" s="198">
        <f t="shared" si="88"/>
        <v>9.25</v>
      </c>
      <c r="I106" s="198">
        <f t="shared" si="151"/>
        <v>8</v>
      </c>
      <c r="J106" s="199">
        <f t="shared" si="151"/>
        <v>0</v>
      </c>
      <c r="K106" s="194" t="str">
        <f t="shared" si="160"/>
        <v>9.8-12</v>
      </c>
      <c r="L106" s="198">
        <f t="shared" si="101"/>
        <v>0.2</v>
      </c>
      <c r="M106" s="49">
        <v>90</v>
      </c>
      <c r="N106" s="198">
        <f t="shared" si="149"/>
        <v>150</v>
      </c>
      <c r="O106" s="198">
        <f t="shared" si="149"/>
        <v>160</v>
      </c>
      <c r="P106" s="198">
        <f t="shared" si="149"/>
        <v>390</v>
      </c>
      <c r="Q106" s="196">
        <f t="shared" si="149"/>
        <v>-4</v>
      </c>
    </row>
    <row r="107" spans="1:17" ht="14.25" customHeight="1" x14ac:dyDescent="0.25">
      <c r="A107" s="229">
        <f t="shared" ref="A107:B107" si="163">A106+1</f>
        <v>2257</v>
      </c>
      <c r="B107" s="230">
        <f t="shared" si="163"/>
        <v>97</v>
      </c>
      <c r="C107" s="229" t="str">
        <f t="shared" si="120"/>
        <v>22cX12+000_000_01</v>
      </c>
      <c r="D107" s="197">
        <f>vr_a</f>
        <v>11.8</v>
      </c>
      <c r="E107" s="204">
        <f t="shared" ref="E107" si="164">I_ref*(0.75*D107+5.6)</f>
        <v>2.0230000000000001</v>
      </c>
      <c r="F107" s="198">
        <f>E107/D107*100</f>
        <v>17.14406779661017</v>
      </c>
      <c r="G107" s="198">
        <f t="shared" ref="G107" si="165">m_ty*F107</f>
        <v>13.715254237288136</v>
      </c>
      <c r="H107" s="198">
        <f t="shared" ref="H107" si="166">m_tz*F107</f>
        <v>8.5720338983050848</v>
      </c>
      <c r="I107" s="198">
        <f>inflow</f>
        <v>8</v>
      </c>
      <c r="J107" s="199">
        <f>yaw_null</f>
        <v>0</v>
      </c>
      <c r="K107" s="194" t="str">
        <f>D107&amp;-1</f>
        <v>11.8-1</v>
      </c>
      <c r="L107" s="198">
        <f>alpha_n</f>
        <v>0.2</v>
      </c>
      <c r="M107" s="49">
        <v>0</v>
      </c>
      <c r="N107" s="198">
        <f>t_out</f>
        <v>150</v>
      </c>
      <c r="O107" s="198">
        <f>trig_t</f>
        <v>160</v>
      </c>
      <c r="P107" s="198">
        <f>N107+4*T_s2</f>
        <v>390</v>
      </c>
      <c r="Q107" s="196">
        <f>1*Pitch_runaway_fine_Hardware</f>
        <v>-4</v>
      </c>
    </row>
    <row r="108" spans="1:17" x14ac:dyDescent="0.25">
      <c r="A108" s="229">
        <f t="shared" ref="A108:B108" si="167">A107+1</f>
        <v>2258</v>
      </c>
      <c r="B108" s="230">
        <f t="shared" si="167"/>
        <v>98</v>
      </c>
      <c r="C108" s="229" t="str">
        <f t="shared" si="120"/>
        <v>22cX12+000_030_01</v>
      </c>
      <c r="D108" s="197">
        <f t="shared" ref="D108:D112" si="168">D107</f>
        <v>11.8</v>
      </c>
      <c r="E108" s="204">
        <f t="shared" ref="E108:E110" si="169">I_ref*(0.75*D108+5.6)</f>
        <v>2.0230000000000001</v>
      </c>
      <c r="F108" s="198">
        <f t="shared" ref="F108:F112" si="170">E108/D108*100</f>
        <v>17.14406779661017</v>
      </c>
      <c r="G108" s="198">
        <f t="shared" ref="G108:G110" si="171">m_ty*F108</f>
        <v>13.715254237288136</v>
      </c>
      <c r="H108" s="198">
        <f t="shared" ref="H108:H110" si="172">m_tz*F108</f>
        <v>8.5720338983050848</v>
      </c>
      <c r="I108" s="198">
        <f t="shared" ref="I108:J112" si="173">I107</f>
        <v>8</v>
      </c>
      <c r="J108" s="199">
        <f t="shared" si="173"/>
        <v>0</v>
      </c>
      <c r="K108" s="194" t="str">
        <f t="shared" ref="K108:K110" si="174">D108&amp;-1</f>
        <v>11.8-1</v>
      </c>
      <c r="L108" s="198">
        <f t="shared" ref="L108:L111" si="175">L107</f>
        <v>0.2</v>
      </c>
      <c r="M108" s="49">
        <v>30</v>
      </c>
      <c r="N108" s="198">
        <f t="shared" ref="N108:Q111" si="176">N107</f>
        <v>150</v>
      </c>
      <c r="O108" s="198">
        <f t="shared" si="176"/>
        <v>160</v>
      </c>
      <c r="P108" s="198">
        <f t="shared" si="176"/>
        <v>390</v>
      </c>
      <c r="Q108" s="196">
        <f>Q107</f>
        <v>-4</v>
      </c>
    </row>
    <row r="109" spans="1:17" x14ac:dyDescent="0.25">
      <c r="A109" s="229">
        <f t="shared" ref="A109:B109" si="177">A108+1</f>
        <v>2259</v>
      </c>
      <c r="B109" s="230">
        <f t="shared" si="177"/>
        <v>99</v>
      </c>
      <c r="C109" s="229" t="str">
        <f t="shared" si="120"/>
        <v>22cX12+000_060_01</v>
      </c>
      <c r="D109" s="197">
        <f t="shared" si="168"/>
        <v>11.8</v>
      </c>
      <c r="E109" s="204">
        <f t="shared" si="169"/>
        <v>2.0230000000000001</v>
      </c>
      <c r="F109" s="198">
        <f t="shared" si="170"/>
        <v>17.14406779661017</v>
      </c>
      <c r="G109" s="198">
        <f t="shared" si="171"/>
        <v>13.715254237288136</v>
      </c>
      <c r="H109" s="198">
        <f t="shared" si="172"/>
        <v>8.5720338983050848</v>
      </c>
      <c r="I109" s="198">
        <f t="shared" si="173"/>
        <v>8</v>
      </c>
      <c r="J109" s="199">
        <f t="shared" si="173"/>
        <v>0</v>
      </c>
      <c r="K109" s="194" t="str">
        <f t="shared" si="174"/>
        <v>11.8-1</v>
      </c>
      <c r="L109" s="198">
        <f t="shared" si="175"/>
        <v>0.2</v>
      </c>
      <c r="M109" s="49">
        <v>60</v>
      </c>
      <c r="N109" s="198">
        <f t="shared" si="176"/>
        <v>150</v>
      </c>
      <c r="O109" s="198">
        <f t="shared" si="176"/>
        <v>160</v>
      </c>
      <c r="P109" s="198">
        <f t="shared" si="176"/>
        <v>390</v>
      </c>
      <c r="Q109" s="196">
        <f t="shared" si="176"/>
        <v>-4</v>
      </c>
    </row>
    <row r="110" spans="1:17" x14ac:dyDescent="0.25">
      <c r="A110" s="229">
        <f t="shared" ref="A110:B110" si="178">A109+1</f>
        <v>2260</v>
      </c>
      <c r="B110" s="230">
        <f t="shared" si="178"/>
        <v>100</v>
      </c>
      <c r="C110" s="229" t="str">
        <f t="shared" si="120"/>
        <v>22cX12+000_090_01</v>
      </c>
      <c r="D110" s="197">
        <f t="shared" si="168"/>
        <v>11.8</v>
      </c>
      <c r="E110" s="204">
        <f t="shared" si="169"/>
        <v>2.0230000000000001</v>
      </c>
      <c r="F110" s="198">
        <f t="shared" si="170"/>
        <v>17.14406779661017</v>
      </c>
      <c r="G110" s="198">
        <f t="shared" si="171"/>
        <v>13.715254237288136</v>
      </c>
      <c r="H110" s="198">
        <f t="shared" si="172"/>
        <v>8.5720338983050848</v>
      </c>
      <c r="I110" s="198">
        <f t="shared" si="173"/>
        <v>8</v>
      </c>
      <c r="J110" s="199">
        <f t="shared" si="173"/>
        <v>0</v>
      </c>
      <c r="K110" s="194" t="str">
        <f t="shared" si="174"/>
        <v>11.8-1</v>
      </c>
      <c r="L110" s="198">
        <f t="shared" si="175"/>
        <v>0.2</v>
      </c>
      <c r="M110" s="49">
        <v>90</v>
      </c>
      <c r="N110" s="198">
        <f t="shared" si="176"/>
        <v>150</v>
      </c>
      <c r="O110" s="198">
        <f t="shared" si="176"/>
        <v>160</v>
      </c>
      <c r="P110" s="198">
        <f t="shared" si="176"/>
        <v>390</v>
      </c>
      <c r="Q110" s="196">
        <f t="shared" si="176"/>
        <v>-4</v>
      </c>
    </row>
    <row r="111" spans="1:17" x14ac:dyDescent="0.25">
      <c r="A111" s="229">
        <f t="shared" ref="A111:B111" si="179">A110+1</f>
        <v>2261</v>
      </c>
      <c r="B111" s="230">
        <f t="shared" si="179"/>
        <v>101</v>
      </c>
      <c r="C111" s="229" t="str">
        <f t="shared" si="120"/>
        <v>22cX12+000_000_02</v>
      </c>
      <c r="D111" s="197">
        <f t="shared" si="168"/>
        <v>11.8</v>
      </c>
      <c r="E111" s="204">
        <f t="shared" ref="E111:E154" si="180">I_ref*(0.75*D111+5.6)</f>
        <v>2.0230000000000001</v>
      </c>
      <c r="F111" s="198">
        <f t="shared" si="170"/>
        <v>17.14406779661017</v>
      </c>
      <c r="G111" s="198">
        <f t="shared" ref="G111:G154" si="181">m_ty*F111</f>
        <v>13.715254237288136</v>
      </c>
      <c r="H111" s="198">
        <f t="shared" ref="H111:H154" si="182">m_tz*F111</f>
        <v>8.5720338983050848</v>
      </c>
      <c r="I111" s="198">
        <f t="shared" si="173"/>
        <v>8</v>
      </c>
      <c r="J111" s="199">
        <f t="shared" si="173"/>
        <v>0</v>
      </c>
      <c r="K111" s="194" t="str">
        <f>D111&amp;-2</f>
        <v>11.8-2</v>
      </c>
      <c r="L111" s="198">
        <f t="shared" si="175"/>
        <v>0.2</v>
      </c>
      <c r="M111" s="49">
        <v>0</v>
      </c>
      <c r="N111" s="198">
        <f t="shared" si="176"/>
        <v>150</v>
      </c>
      <c r="O111" s="198">
        <f t="shared" si="176"/>
        <v>160</v>
      </c>
      <c r="P111" s="198">
        <f t="shared" si="176"/>
        <v>390</v>
      </c>
      <c r="Q111" s="196">
        <f t="shared" si="176"/>
        <v>-4</v>
      </c>
    </row>
    <row r="112" spans="1:17" x14ac:dyDescent="0.25">
      <c r="A112" s="229">
        <f t="shared" ref="A112:B112" si="183">A111+1</f>
        <v>2262</v>
      </c>
      <c r="B112" s="230">
        <f t="shared" si="183"/>
        <v>102</v>
      </c>
      <c r="C112" s="229" t="str">
        <f t="shared" si="120"/>
        <v>22cX12+000_030_02</v>
      </c>
      <c r="D112" s="197">
        <f t="shared" si="168"/>
        <v>11.8</v>
      </c>
      <c r="E112" s="204">
        <f t="shared" si="180"/>
        <v>2.0230000000000001</v>
      </c>
      <c r="F112" s="198">
        <f t="shared" si="170"/>
        <v>17.14406779661017</v>
      </c>
      <c r="G112" s="198">
        <f t="shared" si="181"/>
        <v>13.715254237288136</v>
      </c>
      <c r="H112" s="198">
        <f t="shared" si="182"/>
        <v>8.5720338983050848</v>
      </c>
      <c r="I112" s="198">
        <f t="shared" si="173"/>
        <v>8</v>
      </c>
      <c r="J112" s="199">
        <f t="shared" si="173"/>
        <v>0</v>
      </c>
      <c r="K112" s="194" t="str">
        <f t="shared" ref="K112:K114" si="184">D112&amp;-2</f>
        <v>11.8-2</v>
      </c>
      <c r="L112" s="198">
        <f t="shared" ref="L112:L154" si="185">L111</f>
        <v>0.2</v>
      </c>
      <c r="M112" s="49">
        <v>30</v>
      </c>
      <c r="N112" s="198">
        <f t="shared" ref="N112:Q127" si="186">N111</f>
        <v>150</v>
      </c>
      <c r="O112" s="198">
        <f t="shared" si="186"/>
        <v>160</v>
      </c>
      <c r="P112" s="198">
        <f t="shared" si="186"/>
        <v>390</v>
      </c>
      <c r="Q112" s="196">
        <f t="shared" si="186"/>
        <v>-4</v>
      </c>
    </row>
    <row r="113" spans="1:17" x14ac:dyDescent="0.25">
      <c r="A113" s="229">
        <f t="shared" ref="A113:B113" si="187">A112+1</f>
        <v>2263</v>
      </c>
      <c r="B113" s="230">
        <f t="shared" si="187"/>
        <v>103</v>
      </c>
      <c r="C113" s="229" t="str">
        <f t="shared" si="120"/>
        <v>22cX12+000_060_02</v>
      </c>
      <c r="D113" s="197">
        <f t="shared" ref="D113:D154" si="188">D112</f>
        <v>11.8</v>
      </c>
      <c r="E113" s="204">
        <f t="shared" si="180"/>
        <v>2.0230000000000001</v>
      </c>
      <c r="F113" s="198">
        <f t="shared" ref="F113:F154" si="189">E113/D113*100</f>
        <v>17.14406779661017</v>
      </c>
      <c r="G113" s="198">
        <f t="shared" si="181"/>
        <v>13.715254237288136</v>
      </c>
      <c r="H113" s="198">
        <f t="shared" si="182"/>
        <v>8.5720338983050848</v>
      </c>
      <c r="I113" s="198">
        <f t="shared" ref="I113:J128" si="190">I112</f>
        <v>8</v>
      </c>
      <c r="J113" s="199">
        <f t="shared" si="190"/>
        <v>0</v>
      </c>
      <c r="K113" s="194" t="str">
        <f t="shared" si="184"/>
        <v>11.8-2</v>
      </c>
      <c r="L113" s="198">
        <f t="shared" si="185"/>
        <v>0.2</v>
      </c>
      <c r="M113" s="49">
        <v>60</v>
      </c>
      <c r="N113" s="198">
        <f t="shared" si="186"/>
        <v>150</v>
      </c>
      <c r="O113" s="198">
        <f t="shared" si="186"/>
        <v>160</v>
      </c>
      <c r="P113" s="198">
        <f t="shared" si="186"/>
        <v>390</v>
      </c>
      <c r="Q113" s="196">
        <f t="shared" si="186"/>
        <v>-4</v>
      </c>
    </row>
    <row r="114" spans="1:17" x14ac:dyDescent="0.25">
      <c r="A114" s="229">
        <f t="shared" ref="A114:B114" si="191">A113+1</f>
        <v>2264</v>
      </c>
      <c r="B114" s="230">
        <f t="shared" si="191"/>
        <v>104</v>
      </c>
      <c r="C114" s="229" t="str">
        <f t="shared" si="120"/>
        <v>22cX12+000_090_02</v>
      </c>
      <c r="D114" s="197">
        <f t="shared" si="188"/>
        <v>11.8</v>
      </c>
      <c r="E114" s="204">
        <f t="shared" si="180"/>
        <v>2.0230000000000001</v>
      </c>
      <c r="F114" s="198">
        <f t="shared" si="189"/>
        <v>17.14406779661017</v>
      </c>
      <c r="G114" s="198">
        <f t="shared" si="181"/>
        <v>13.715254237288136</v>
      </c>
      <c r="H114" s="198">
        <f t="shared" si="182"/>
        <v>8.5720338983050848</v>
      </c>
      <c r="I114" s="198">
        <f t="shared" si="190"/>
        <v>8</v>
      </c>
      <c r="J114" s="199">
        <f t="shared" si="190"/>
        <v>0</v>
      </c>
      <c r="K114" s="194" t="str">
        <f t="shared" si="184"/>
        <v>11.8-2</v>
      </c>
      <c r="L114" s="198">
        <f t="shared" si="185"/>
        <v>0.2</v>
      </c>
      <c r="M114" s="49">
        <v>90</v>
      </c>
      <c r="N114" s="198">
        <f t="shared" si="186"/>
        <v>150</v>
      </c>
      <c r="O114" s="198">
        <f t="shared" si="186"/>
        <v>160</v>
      </c>
      <c r="P114" s="198">
        <f t="shared" si="186"/>
        <v>390</v>
      </c>
      <c r="Q114" s="196">
        <f t="shared" si="186"/>
        <v>-4</v>
      </c>
    </row>
    <row r="115" spans="1:17" x14ac:dyDescent="0.25">
      <c r="A115" s="229">
        <f t="shared" ref="A115:B115" si="192">A114+1</f>
        <v>2265</v>
      </c>
      <c r="B115" s="230">
        <f t="shared" si="192"/>
        <v>105</v>
      </c>
      <c r="C115" s="229" t="str">
        <f t="shared" si="120"/>
        <v>22cX12+000_000_03</v>
      </c>
      <c r="D115" s="197">
        <f t="shared" si="188"/>
        <v>11.8</v>
      </c>
      <c r="E115" s="204">
        <f t="shared" si="180"/>
        <v>2.0230000000000001</v>
      </c>
      <c r="F115" s="198">
        <f t="shared" si="189"/>
        <v>17.14406779661017</v>
      </c>
      <c r="G115" s="198">
        <f t="shared" si="181"/>
        <v>13.715254237288136</v>
      </c>
      <c r="H115" s="198">
        <f t="shared" si="182"/>
        <v>8.5720338983050848</v>
      </c>
      <c r="I115" s="198">
        <f t="shared" si="190"/>
        <v>8</v>
      </c>
      <c r="J115" s="199">
        <f t="shared" si="190"/>
        <v>0</v>
      </c>
      <c r="K115" s="194" t="str">
        <f>D115&amp;-3</f>
        <v>11.8-3</v>
      </c>
      <c r="L115" s="198">
        <f t="shared" si="185"/>
        <v>0.2</v>
      </c>
      <c r="M115" s="49">
        <v>0</v>
      </c>
      <c r="N115" s="198">
        <f t="shared" si="186"/>
        <v>150</v>
      </c>
      <c r="O115" s="198">
        <f t="shared" si="186"/>
        <v>160</v>
      </c>
      <c r="P115" s="198">
        <f t="shared" si="186"/>
        <v>390</v>
      </c>
      <c r="Q115" s="196">
        <f t="shared" si="186"/>
        <v>-4</v>
      </c>
    </row>
    <row r="116" spans="1:17" x14ac:dyDescent="0.25">
      <c r="A116" s="229">
        <f t="shared" ref="A116:B116" si="193">A115+1</f>
        <v>2266</v>
      </c>
      <c r="B116" s="230">
        <f t="shared" si="193"/>
        <v>106</v>
      </c>
      <c r="C116" s="229" t="str">
        <f t="shared" si="120"/>
        <v>22cX12+000_030_03</v>
      </c>
      <c r="D116" s="197">
        <f t="shared" si="188"/>
        <v>11.8</v>
      </c>
      <c r="E116" s="204">
        <f t="shared" si="180"/>
        <v>2.0230000000000001</v>
      </c>
      <c r="F116" s="198">
        <f t="shared" si="189"/>
        <v>17.14406779661017</v>
      </c>
      <c r="G116" s="198">
        <f t="shared" si="181"/>
        <v>13.715254237288136</v>
      </c>
      <c r="H116" s="198">
        <f t="shared" si="182"/>
        <v>8.5720338983050848</v>
      </c>
      <c r="I116" s="198">
        <f t="shared" si="190"/>
        <v>8</v>
      </c>
      <c r="J116" s="199">
        <f t="shared" si="190"/>
        <v>0</v>
      </c>
      <c r="K116" s="194" t="str">
        <f t="shared" ref="K116:K118" si="194">D116&amp;-3</f>
        <v>11.8-3</v>
      </c>
      <c r="L116" s="198">
        <f t="shared" si="185"/>
        <v>0.2</v>
      </c>
      <c r="M116" s="49">
        <v>30</v>
      </c>
      <c r="N116" s="198">
        <f t="shared" si="186"/>
        <v>150</v>
      </c>
      <c r="O116" s="198">
        <f t="shared" si="186"/>
        <v>160</v>
      </c>
      <c r="P116" s="198">
        <f t="shared" si="186"/>
        <v>390</v>
      </c>
      <c r="Q116" s="196">
        <f t="shared" si="186"/>
        <v>-4</v>
      </c>
    </row>
    <row r="117" spans="1:17" x14ac:dyDescent="0.25">
      <c r="A117" s="229">
        <f t="shared" ref="A117:B117" si="195">A116+1</f>
        <v>2267</v>
      </c>
      <c r="B117" s="230">
        <f t="shared" si="195"/>
        <v>107</v>
      </c>
      <c r="C117" s="229" t="str">
        <f t="shared" si="120"/>
        <v>22cX12+000_060_03</v>
      </c>
      <c r="D117" s="197">
        <f t="shared" si="188"/>
        <v>11.8</v>
      </c>
      <c r="E117" s="204">
        <f t="shared" si="180"/>
        <v>2.0230000000000001</v>
      </c>
      <c r="F117" s="198">
        <f t="shared" si="189"/>
        <v>17.14406779661017</v>
      </c>
      <c r="G117" s="198">
        <f t="shared" si="181"/>
        <v>13.715254237288136</v>
      </c>
      <c r="H117" s="198">
        <f t="shared" si="182"/>
        <v>8.5720338983050848</v>
      </c>
      <c r="I117" s="198">
        <f t="shared" si="190"/>
        <v>8</v>
      </c>
      <c r="J117" s="199">
        <f t="shared" si="190"/>
        <v>0</v>
      </c>
      <c r="K117" s="194" t="str">
        <f t="shared" si="194"/>
        <v>11.8-3</v>
      </c>
      <c r="L117" s="198">
        <f t="shared" si="185"/>
        <v>0.2</v>
      </c>
      <c r="M117" s="49">
        <v>60</v>
      </c>
      <c r="N117" s="198">
        <f t="shared" si="186"/>
        <v>150</v>
      </c>
      <c r="O117" s="198">
        <f t="shared" si="186"/>
        <v>160</v>
      </c>
      <c r="P117" s="198">
        <f t="shared" si="186"/>
        <v>390</v>
      </c>
      <c r="Q117" s="196">
        <f t="shared" si="186"/>
        <v>-4</v>
      </c>
    </row>
    <row r="118" spans="1:17" x14ac:dyDescent="0.25">
      <c r="A118" s="229">
        <f t="shared" ref="A118:B118" si="196">A117+1</f>
        <v>2268</v>
      </c>
      <c r="B118" s="230">
        <f t="shared" si="196"/>
        <v>108</v>
      </c>
      <c r="C118" s="229" t="str">
        <f t="shared" si="120"/>
        <v>22cX12+000_090_03</v>
      </c>
      <c r="D118" s="197">
        <f t="shared" si="188"/>
        <v>11.8</v>
      </c>
      <c r="E118" s="204">
        <f t="shared" si="180"/>
        <v>2.0230000000000001</v>
      </c>
      <c r="F118" s="198">
        <f t="shared" si="189"/>
        <v>17.14406779661017</v>
      </c>
      <c r="G118" s="198">
        <f t="shared" si="181"/>
        <v>13.715254237288136</v>
      </c>
      <c r="H118" s="198">
        <f t="shared" si="182"/>
        <v>8.5720338983050848</v>
      </c>
      <c r="I118" s="198">
        <f t="shared" si="190"/>
        <v>8</v>
      </c>
      <c r="J118" s="199">
        <f t="shared" si="190"/>
        <v>0</v>
      </c>
      <c r="K118" s="194" t="str">
        <f t="shared" si="194"/>
        <v>11.8-3</v>
      </c>
      <c r="L118" s="198">
        <f t="shared" si="185"/>
        <v>0.2</v>
      </c>
      <c r="M118" s="49">
        <v>90</v>
      </c>
      <c r="N118" s="198">
        <f t="shared" si="186"/>
        <v>150</v>
      </c>
      <c r="O118" s="198">
        <f t="shared" si="186"/>
        <v>160</v>
      </c>
      <c r="P118" s="198">
        <f t="shared" si="186"/>
        <v>390</v>
      </c>
      <c r="Q118" s="196">
        <f t="shared" si="186"/>
        <v>-4</v>
      </c>
    </row>
    <row r="119" spans="1:17" ht="14.25" customHeight="1" x14ac:dyDescent="0.25">
      <c r="A119" s="229">
        <f t="shared" ref="A119:B119" si="197">A118+1</f>
        <v>2269</v>
      </c>
      <c r="B119" s="230">
        <f t="shared" si="197"/>
        <v>109</v>
      </c>
      <c r="C119" s="229" t="str">
        <f t="shared" si="120"/>
        <v>22cX12+000_000_04</v>
      </c>
      <c r="D119" s="197">
        <f t="shared" si="188"/>
        <v>11.8</v>
      </c>
      <c r="E119" s="204">
        <f t="shared" si="180"/>
        <v>2.0230000000000001</v>
      </c>
      <c r="F119" s="198">
        <f t="shared" si="189"/>
        <v>17.14406779661017</v>
      </c>
      <c r="G119" s="198">
        <f t="shared" si="181"/>
        <v>13.715254237288136</v>
      </c>
      <c r="H119" s="198">
        <f t="shared" si="182"/>
        <v>8.5720338983050848</v>
      </c>
      <c r="I119" s="198">
        <f t="shared" si="190"/>
        <v>8</v>
      </c>
      <c r="J119" s="199">
        <f t="shared" si="190"/>
        <v>0</v>
      </c>
      <c r="K119" s="194" t="str">
        <f>D119&amp;-4</f>
        <v>11.8-4</v>
      </c>
      <c r="L119" s="198">
        <f t="shared" si="185"/>
        <v>0.2</v>
      </c>
      <c r="M119" s="49">
        <v>0</v>
      </c>
      <c r="N119" s="198">
        <f t="shared" si="186"/>
        <v>150</v>
      </c>
      <c r="O119" s="198">
        <f t="shared" si="186"/>
        <v>160</v>
      </c>
      <c r="P119" s="198">
        <f t="shared" si="186"/>
        <v>390</v>
      </c>
      <c r="Q119" s="196">
        <f t="shared" si="186"/>
        <v>-4</v>
      </c>
    </row>
    <row r="120" spans="1:17" x14ac:dyDescent="0.25">
      <c r="A120" s="229">
        <f t="shared" ref="A120:B120" si="198">A119+1</f>
        <v>2270</v>
      </c>
      <c r="B120" s="230">
        <f t="shared" si="198"/>
        <v>110</v>
      </c>
      <c r="C120" s="229" t="str">
        <f t="shared" si="120"/>
        <v>22cX12+000_030_04</v>
      </c>
      <c r="D120" s="197">
        <f t="shared" si="188"/>
        <v>11.8</v>
      </c>
      <c r="E120" s="204">
        <f t="shared" si="180"/>
        <v>2.0230000000000001</v>
      </c>
      <c r="F120" s="198">
        <f t="shared" si="189"/>
        <v>17.14406779661017</v>
      </c>
      <c r="G120" s="198">
        <f t="shared" si="181"/>
        <v>13.715254237288136</v>
      </c>
      <c r="H120" s="198">
        <f t="shared" si="182"/>
        <v>8.5720338983050848</v>
      </c>
      <c r="I120" s="198">
        <f t="shared" si="190"/>
        <v>8</v>
      </c>
      <c r="J120" s="199">
        <f t="shared" si="190"/>
        <v>0</v>
      </c>
      <c r="K120" s="194" t="str">
        <f t="shared" ref="K120:K122" si="199">D120&amp;-4</f>
        <v>11.8-4</v>
      </c>
      <c r="L120" s="198">
        <f t="shared" si="185"/>
        <v>0.2</v>
      </c>
      <c r="M120" s="49">
        <v>30</v>
      </c>
      <c r="N120" s="198">
        <f t="shared" si="186"/>
        <v>150</v>
      </c>
      <c r="O120" s="198">
        <f t="shared" si="186"/>
        <v>160</v>
      </c>
      <c r="P120" s="198">
        <f t="shared" si="186"/>
        <v>390</v>
      </c>
      <c r="Q120" s="196">
        <f t="shared" si="186"/>
        <v>-4</v>
      </c>
    </row>
    <row r="121" spans="1:17" x14ac:dyDescent="0.25">
      <c r="A121" s="229">
        <f t="shared" ref="A121:B121" si="200">A120+1</f>
        <v>2271</v>
      </c>
      <c r="B121" s="230">
        <f t="shared" si="200"/>
        <v>111</v>
      </c>
      <c r="C121" s="229" t="str">
        <f t="shared" si="120"/>
        <v>22cX12+000_060_04</v>
      </c>
      <c r="D121" s="197">
        <f t="shared" si="188"/>
        <v>11.8</v>
      </c>
      <c r="E121" s="204">
        <f t="shared" si="180"/>
        <v>2.0230000000000001</v>
      </c>
      <c r="F121" s="198">
        <f t="shared" si="189"/>
        <v>17.14406779661017</v>
      </c>
      <c r="G121" s="198">
        <f t="shared" si="181"/>
        <v>13.715254237288136</v>
      </c>
      <c r="H121" s="198">
        <f t="shared" si="182"/>
        <v>8.5720338983050848</v>
      </c>
      <c r="I121" s="198">
        <f t="shared" si="190"/>
        <v>8</v>
      </c>
      <c r="J121" s="199">
        <f t="shared" si="190"/>
        <v>0</v>
      </c>
      <c r="K121" s="194" t="str">
        <f t="shared" si="199"/>
        <v>11.8-4</v>
      </c>
      <c r="L121" s="198">
        <f t="shared" si="185"/>
        <v>0.2</v>
      </c>
      <c r="M121" s="49">
        <v>60</v>
      </c>
      <c r="N121" s="198">
        <f t="shared" si="186"/>
        <v>150</v>
      </c>
      <c r="O121" s="198">
        <f t="shared" si="186"/>
        <v>160</v>
      </c>
      <c r="P121" s="198">
        <f t="shared" si="186"/>
        <v>390</v>
      </c>
      <c r="Q121" s="196">
        <f t="shared" si="186"/>
        <v>-4</v>
      </c>
    </row>
    <row r="122" spans="1:17" x14ac:dyDescent="0.25">
      <c r="A122" s="229">
        <f t="shared" ref="A122:B122" si="201">A121+1</f>
        <v>2272</v>
      </c>
      <c r="B122" s="230">
        <f t="shared" si="201"/>
        <v>112</v>
      </c>
      <c r="C122" s="229" t="str">
        <f t="shared" si="120"/>
        <v>22cX12+000_090_04</v>
      </c>
      <c r="D122" s="197">
        <f t="shared" si="188"/>
        <v>11.8</v>
      </c>
      <c r="E122" s="204">
        <f t="shared" si="180"/>
        <v>2.0230000000000001</v>
      </c>
      <c r="F122" s="198">
        <f t="shared" si="189"/>
        <v>17.14406779661017</v>
      </c>
      <c r="G122" s="198">
        <f t="shared" si="181"/>
        <v>13.715254237288136</v>
      </c>
      <c r="H122" s="198">
        <f t="shared" si="182"/>
        <v>8.5720338983050848</v>
      </c>
      <c r="I122" s="198">
        <f t="shared" si="190"/>
        <v>8</v>
      </c>
      <c r="J122" s="199">
        <f t="shared" si="190"/>
        <v>0</v>
      </c>
      <c r="K122" s="194" t="str">
        <f t="shared" si="199"/>
        <v>11.8-4</v>
      </c>
      <c r="L122" s="198">
        <f t="shared" si="185"/>
        <v>0.2</v>
      </c>
      <c r="M122" s="49">
        <v>90</v>
      </c>
      <c r="N122" s="198">
        <f t="shared" si="186"/>
        <v>150</v>
      </c>
      <c r="O122" s="198">
        <f t="shared" si="186"/>
        <v>160</v>
      </c>
      <c r="P122" s="198">
        <f t="shared" si="186"/>
        <v>390</v>
      </c>
      <c r="Q122" s="196">
        <f t="shared" si="186"/>
        <v>-4</v>
      </c>
    </row>
    <row r="123" spans="1:17" x14ac:dyDescent="0.25">
      <c r="A123" s="229">
        <f t="shared" ref="A123:B123" si="202">A122+1</f>
        <v>2273</v>
      </c>
      <c r="B123" s="230">
        <f t="shared" si="202"/>
        <v>113</v>
      </c>
      <c r="C123" s="229" t="str">
        <f t="shared" si="120"/>
        <v>22cX12+000_000_05</v>
      </c>
      <c r="D123" s="197">
        <f t="shared" si="188"/>
        <v>11.8</v>
      </c>
      <c r="E123" s="204">
        <f t="shared" si="180"/>
        <v>2.0230000000000001</v>
      </c>
      <c r="F123" s="198">
        <f t="shared" si="189"/>
        <v>17.14406779661017</v>
      </c>
      <c r="G123" s="198">
        <f t="shared" si="181"/>
        <v>13.715254237288136</v>
      </c>
      <c r="H123" s="198">
        <f t="shared" si="182"/>
        <v>8.5720338983050848</v>
      </c>
      <c r="I123" s="198">
        <f t="shared" si="190"/>
        <v>8</v>
      </c>
      <c r="J123" s="199">
        <f t="shared" si="190"/>
        <v>0</v>
      </c>
      <c r="K123" s="194" t="str">
        <f>D123&amp;-5</f>
        <v>11.8-5</v>
      </c>
      <c r="L123" s="198">
        <f t="shared" si="185"/>
        <v>0.2</v>
      </c>
      <c r="M123" s="49">
        <v>0</v>
      </c>
      <c r="N123" s="198">
        <f t="shared" si="186"/>
        <v>150</v>
      </c>
      <c r="O123" s="198">
        <f t="shared" si="186"/>
        <v>160</v>
      </c>
      <c r="P123" s="198">
        <f t="shared" si="186"/>
        <v>390</v>
      </c>
      <c r="Q123" s="196">
        <f t="shared" si="186"/>
        <v>-4</v>
      </c>
    </row>
    <row r="124" spans="1:17" x14ac:dyDescent="0.25">
      <c r="A124" s="229">
        <f t="shared" ref="A124:B124" si="203">A123+1</f>
        <v>2274</v>
      </c>
      <c r="B124" s="230">
        <f t="shared" si="203"/>
        <v>114</v>
      </c>
      <c r="C124" s="229" t="str">
        <f t="shared" si="120"/>
        <v>22cX12+000_030_05</v>
      </c>
      <c r="D124" s="197">
        <f t="shared" si="188"/>
        <v>11.8</v>
      </c>
      <c r="E124" s="204">
        <f t="shared" si="180"/>
        <v>2.0230000000000001</v>
      </c>
      <c r="F124" s="198">
        <f t="shared" si="189"/>
        <v>17.14406779661017</v>
      </c>
      <c r="G124" s="198">
        <f t="shared" si="181"/>
        <v>13.715254237288136</v>
      </c>
      <c r="H124" s="198">
        <f t="shared" si="182"/>
        <v>8.5720338983050848</v>
      </c>
      <c r="I124" s="198">
        <f t="shared" si="190"/>
        <v>8</v>
      </c>
      <c r="J124" s="199">
        <f t="shared" si="190"/>
        <v>0</v>
      </c>
      <c r="K124" s="194" t="str">
        <f t="shared" ref="K124:K126" si="204">D124&amp;-5</f>
        <v>11.8-5</v>
      </c>
      <c r="L124" s="198">
        <f t="shared" si="185"/>
        <v>0.2</v>
      </c>
      <c r="M124" s="49">
        <v>30</v>
      </c>
      <c r="N124" s="198">
        <f t="shared" si="186"/>
        <v>150</v>
      </c>
      <c r="O124" s="198">
        <f t="shared" si="186"/>
        <v>160</v>
      </c>
      <c r="P124" s="198">
        <f t="shared" si="186"/>
        <v>390</v>
      </c>
      <c r="Q124" s="196">
        <f t="shared" si="186"/>
        <v>-4</v>
      </c>
    </row>
    <row r="125" spans="1:17" x14ac:dyDescent="0.25">
      <c r="A125" s="229">
        <f t="shared" ref="A125:B125" si="205">A124+1</f>
        <v>2275</v>
      </c>
      <c r="B125" s="230">
        <f t="shared" si="205"/>
        <v>115</v>
      </c>
      <c r="C125" s="229" t="str">
        <f t="shared" si="120"/>
        <v>22cX12+000_060_05</v>
      </c>
      <c r="D125" s="197">
        <f t="shared" si="188"/>
        <v>11.8</v>
      </c>
      <c r="E125" s="204">
        <f t="shared" si="180"/>
        <v>2.0230000000000001</v>
      </c>
      <c r="F125" s="198">
        <f t="shared" si="189"/>
        <v>17.14406779661017</v>
      </c>
      <c r="G125" s="198">
        <f t="shared" si="181"/>
        <v>13.715254237288136</v>
      </c>
      <c r="H125" s="198">
        <f t="shared" si="182"/>
        <v>8.5720338983050848</v>
      </c>
      <c r="I125" s="198">
        <f t="shared" si="190"/>
        <v>8</v>
      </c>
      <c r="J125" s="199">
        <f t="shared" si="190"/>
        <v>0</v>
      </c>
      <c r="K125" s="194" t="str">
        <f t="shared" si="204"/>
        <v>11.8-5</v>
      </c>
      <c r="L125" s="198">
        <f t="shared" si="185"/>
        <v>0.2</v>
      </c>
      <c r="M125" s="49">
        <v>60</v>
      </c>
      <c r="N125" s="198">
        <f t="shared" si="186"/>
        <v>150</v>
      </c>
      <c r="O125" s="198">
        <f t="shared" si="186"/>
        <v>160</v>
      </c>
      <c r="P125" s="198">
        <f t="shared" si="186"/>
        <v>390</v>
      </c>
      <c r="Q125" s="196">
        <f t="shared" si="186"/>
        <v>-4</v>
      </c>
    </row>
    <row r="126" spans="1:17" x14ac:dyDescent="0.25">
      <c r="A126" s="229">
        <f t="shared" ref="A126:B126" si="206">A125+1</f>
        <v>2276</v>
      </c>
      <c r="B126" s="230">
        <f t="shared" si="206"/>
        <v>116</v>
      </c>
      <c r="C126" s="229" t="str">
        <f t="shared" si="120"/>
        <v>22cX12+000_090_05</v>
      </c>
      <c r="D126" s="197">
        <f t="shared" si="188"/>
        <v>11.8</v>
      </c>
      <c r="E126" s="204">
        <f t="shared" si="180"/>
        <v>2.0230000000000001</v>
      </c>
      <c r="F126" s="198">
        <f t="shared" si="189"/>
        <v>17.14406779661017</v>
      </c>
      <c r="G126" s="198">
        <f t="shared" si="181"/>
        <v>13.715254237288136</v>
      </c>
      <c r="H126" s="198">
        <f t="shared" si="182"/>
        <v>8.5720338983050848</v>
      </c>
      <c r="I126" s="198">
        <f t="shared" si="190"/>
        <v>8</v>
      </c>
      <c r="J126" s="199">
        <f t="shared" si="190"/>
        <v>0</v>
      </c>
      <c r="K126" s="194" t="str">
        <f t="shared" si="204"/>
        <v>11.8-5</v>
      </c>
      <c r="L126" s="198">
        <f t="shared" si="185"/>
        <v>0.2</v>
      </c>
      <c r="M126" s="49">
        <v>90</v>
      </c>
      <c r="N126" s="198">
        <f t="shared" si="186"/>
        <v>150</v>
      </c>
      <c r="O126" s="198">
        <f t="shared" si="186"/>
        <v>160</v>
      </c>
      <c r="P126" s="198">
        <f t="shared" si="186"/>
        <v>390</v>
      </c>
      <c r="Q126" s="196">
        <f t="shared" si="186"/>
        <v>-4</v>
      </c>
    </row>
    <row r="127" spans="1:17" x14ac:dyDescent="0.25">
      <c r="A127" s="229">
        <f t="shared" ref="A127:B127" si="207">A126+1</f>
        <v>2277</v>
      </c>
      <c r="B127" s="230">
        <f t="shared" si="207"/>
        <v>117</v>
      </c>
      <c r="C127" s="229" t="str">
        <f t="shared" si="120"/>
        <v>22cX12+000_000_06</v>
      </c>
      <c r="D127" s="197">
        <f t="shared" si="188"/>
        <v>11.8</v>
      </c>
      <c r="E127" s="204">
        <f t="shared" si="180"/>
        <v>2.0230000000000001</v>
      </c>
      <c r="F127" s="198">
        <f t="shared" si="189"/>
        <v>17.14406779661017</v>
      </c>
      <c r="G127" s="198">
        <f t="shared" si="181"/>
        <v>13.715254237288136</v>
      </c>
      <c r="H127" s="198">
        <f t="shared" si="182"/>
        <v>8.5720338983050848</v>
      </c>
      <c r="I127" s="198">
        <f t="shared" si="190"/>
        <v>8</v>
      </c>
      <c r="J127" s="199">
        <f t="shared" si="190"/>
        <v>0</v>
      </c>
      <c r="K127" s="194" t="str">
        <f>D127&amp;-6</f>
        <v>11.8-6</v>
      </c>
      <c r="L127" s="198">
        <f t="shared" si="185"/>
        <v>0.2</v>
      </c>
      <c r="M127" s="49">
        <v>0</v>
      </c>
      <c r="N127" s="198">
        <f t="shared" si="186"/>
        <v>150</v>
      </c>
      <c r="O127" s="198">
        <f t="shared" si="186"/>
        <v>160</v>
      </c>
      <c r="P127" s="198">
        <f t="shared" si="186"/>
        <v>390</v>
      </c>
      <c r="Q127" s="196">
        <f t="shared" si="186"/>
        <v>-4</v>
      </c>
    </row>
    <row r="128" spans="1:17" x14ac:dyDescent="0.25">
      <c r="A128" s="229">
        <f t="shared" ref="A128:B128" si="208">A127+1</f>
        <v>2278</v>
      </c>
      <c r="B128" s="230">
        <f t="shared" si="208"/>
        <v>118</v>
      </c>
      <c r="C128" s="229" t="str">
        <f t="shared" si="120"/>
        <v>22cX12+000_030_06</v>
      </c>
      <c r="D128" s="197">
        <f t="shared" si="188"/>
        <v>11.8</v>
      </c>
      <c r="E128" s="204">
        <f t="shared" si="180"/>
        <v>2.0230000000000001</v>
      </c>
      <c r="F128" s="198">
        <f t="shared" si="189"/>
        <v>17.14406779661017</v>
      </c>
      <c r="G128" s="198">
        <f t="shared" si="181"/>
        <v>13.715254237288136</v>
      </c>
      <c r="H128" s="198">
        <f t="shared" si="182"/>
        <v>8.5720338983050848</v>
      </c>
      <c r="I128" s="198">
        <f t="shared" si="190"/>
        <v>8</v>
      </c>
      <c r="J128" s="199">
        <f t="shared" si="190"/>
        <v>0</v>
      </c>
      <c r="K128" s="194" t="str">
        <f t="shared" ref="K128:K130" si="209">D128&amp;-6</f>
        <v>11.8-6</v>
      </c>
      <c r="L128" s="198">
        <f t="shared" si="185"/>
        <v>0.2</v>
      </c>
      <c r="M128" s="49">
        <v>30</v>
      </c>
      <c r="N128" s="198">
        <f t="shared" ref="N128:Q143" si="210">N127</f>
        <v>150</v>
      </c>
      <c r="O128" s="198">
        <f t="shared" si="210"/>
        <v>160</v>
      </c>
      <c r="P128" s="198">
        <f t="shared" si="210"/>
        <v>390</v>
      </c>
      <c r="Q128" s="196">
        <f t="shared" si="210"/>
        <v>-4</v>
      </c>
    </row>
    <row r="129" spans="1:17" x14ac:dyDescent="0.25">
      <c r="A129" s="229">
        <f t="shared" ref="A129:B129" si="211">A128+1</f>
        <v>2279</v>
      </c>
      <c r="B129" s="230">
        <f t="shared" si="211"/>
        <v>119</v>
      </c>
      <c r="C129" s="229" t="str">
        <f t="shared" si="120"/>
        <v>22cX12+000_060_06</v>
      </c>
      <c r="D129" s="197">
        <f t="shared" si="188"/>
        <v>11.8</v>
      </c>
      <c r="E129" s="204">
        <f t="shared" si="180"/>
        <v>2.0230000000000001</v>
      </c>
      <c r="F129" s="198">
        <f t="shared" si="189"/>
        <v>17.14406779661017</v>
      </c>
      <c r="G129" s="198">
        <f t="shared" si="181"/>
        <v>13.715254237288136</v>
      </c>
      <c r="H129" s="198">
        <f t="shared" si="182"/>
        <v>8.5720338983050848</v>
      </c>
      <c r="I129" s="198">
        <f t="shared" ref="I129:J144" si="212">I128</f>
        <v>8</v>
      </c>
      <c r="J129" s="199">
        <f t="shared" si="212"/>
        <v>0</v>
      </c>
      <c r="K129" s="194" t="str">
        <f t="shared" si="209"/>
        <v>11.8-6</v>
      </c>
      <c r="L129" s="198">
        <f t="shared" si="185"/>
        <v>0.2</v>
      </c>
      <c r="M129" s="49">
        <v>60</v>
      </c>
      <c r="N129" s="198">
        <f t="shared" si="210"/>
        <v>150</v>
      </c>
      <c r="O129" s="198">
        <f t="shared" si="210"/>
        <v>160</v>
      </c>
      <c r="P129" s="198">
        <f t="shared" si="210"/>
        <v>390</v>
      </c>
      <c r="Q129" s="196">
        <f t="shared" si="210"/>
        <v>-4</v>
      </c>
    </row>
    <row r="130" spans="1:17" x14ac:dyDescent="0.25">
      <c r="A130" s="229">
        <f t="shared" ref="A130:B130" si="213">A129+1</f>
        <v>2280</v>
      </c>
      <c r="B130" s="230">
        <f t="shared" si="213"/>
        <v>120</v>
      </c>
      <c r="C130" s="229" t="str">
        <f t="shared" si="120"/>
        <v>22cX12+000_090_06</v>
      </c>
      <c r="D130" s="197">
        <f t="shared" si="188"/>
        <v>11.8</v>
      </c>
      <c r="E130" s="204">
        <f t="shared" si="180"/>
        <v>2.0230000000000001</v>
      </c>
      <c r="F130" s="198">
        <f t="shared" si="189"/>
        <v>17.14406779661017</v>
      </c>
      <c r="G130" s="198">
        <f t="shared" si="181"/>
        <v>13.715254237288136</v>
      </c>
      <c r="H130" s="198">
        <f t="shared" si="182"/>
        <v>8.5720338983050848</v>
      </c>
      <c r="I130" s="198">
        <f t="shared" si="212"/>
        <v>8</v>
      </c>
      <c r="J130" s="199">
        <f t="shared" si="212"/>
        <v>0</v>
      </c>
      <c r="K130" s="194" t="str">
        <f t="shared" si="209"/>
        <v>11.8-6</v>
      </c>
      <c r="L130" s="198">
        <f t="shared" si="185"/>
        <v>0.2</v>
      </c>
      <c r="M130" s="49">
        <v>90</v>
      </c>
      <c r="N130" s="198">
        <f t="shared" si="210"/>
        <v>150</v>
      </c>
      <c r="O130" s="198">
        <f t="shared" si="210"/>
        <v>160</v>
      </c>
      <c r="P130" s="198">
        <f t="shared" si="210"/>
        <v>390</v>
      </c>
      <c r="Q130" s="196">
        <f t="shared" si="210"/>
        <v>-4</v>
      </c>
    </row>
    <row r="131" spans="1:17" ht="14.25" customHeight="1" x14ac:dyDescent="0.25">
      <c r="A131" s="229">
        <f t="shared" ref="A131:B131" si="214">A130+1</f>
        <v>2281</v>
      </c>
      <c r="B131" s="230">
        <f t="shared" si="214"/>
        <v>121</v>
      </c>
      <c r="C131" s="229" t="str">
        <f t="shared" si="120"/>
        <v>22cX12+000_000_07</v>
      </c>
      <c r="D131" s="197">
        <f t="shared" si="188"/>
        <v>11.8</v>
      </c>
      <c r="E131" s="204">
        <f t="shared" si="180"/>
        <v>2.0230000000000001</v>
      </c>
      <c r="F131" s="198">
        <f t="shared" si="189"/>
        <v>17.14406779661017</v>
      </c>
      <c r="G131" s="198">
        <f t="shared" si="181"/>
        <v>13.715254237288136</v>
      </c>
      <c r="H131" s="198">
        <f t="shared" si="182"/>
        <v>8.5720338983050848</v>
      </c>
      <c r="I131" s="198">
        <f t="shared" si="212"/>
        <v>8</v>
      </c>
      <c r="J131" s="199">
        <f t="shared" si="212"/>
        <v>0</v>
      </c>
      <c r="K131" s="194" t="str">
        <f>D131&amp;-7</f>
        <v>11.8-7</v>
      </c>
      <c r="L131" s="198">
        <f t="shared" si="185"/>
        <v>0.2</v>
      </c>
      <c r="M131" s="49">
        <v>0</v>
      </c>
      <c r="N131" s="198">
        <f t="shared" si="210"/>
        <v>150</v>
      </c>
      <c r="O131" s="198">
        <f t="shared" si="210"/>
        <v>160</v>
      </c>
      <c r="P131" s="198">
        <f t="shared" si="210"/>
        <v>390</v>
      </c>
      <c r="Q131" s="196">
        <f t="shared" si="210"/>
        <v>-4</v>
      </c>
    </row>
    <row r="132" spans="1:17" x14ac:dyDescent="0.25">
      <c r="A132" s="229">
        <f t="shared" ref="A132:B132" si="215">A131+1</f>
        <v>2282</v>
      </c>
      <c r="B132" s="230">
        <f t="shared" si="215"/>
        <v>122</v>
      </c>
      <c r="C132" s="229" t="str">
        <f t="shared" si="120"/>
        <v>22cX12+000_030_07</v>
      </c>
      <c r="D132" s="197">
        <f t="shared" si="188"/>
        <v>11.8</v>
      </c>
      <c r="E132" s="204">
        <f t="shared" si="180"/>
        <v>2.0230000000000001</v>
      </c>
      <c r="F132" s="198">
        <f t="shared" si="189"/>
        <v>17.14406779661017</v>
      </c>
      <c r="G132" s="198">
        <f t="shared" si="181"/>
        <v>13.715254237288136</v>
      </c>
      <c r="H132" s="198">
        <f t="shared" si="182"/>
        <v>8.5720338983050848</v>
      </c>
      <c r="I132" s="198">
        <f t="shared" si="212"/>
        <v>8</v>
      </c>
      <c r="J132" s="199">
        <f t="shared" si="212"/>
        <v>0</v>
      </c>
      <c r="K132" s="194" t="str">
        <f t="shared" ref="K132:K134" si="216">D132&amp;-7</f>
        <v>11.8-7</v>
      </c>
      <c r="L132" s="198">
        <f t="shared" si="185"/>
        <v>0.2</v>
      </c>
      <c r="M132" s="49">
        <v>30</v>
      </c>
      <c r="N132" s="198">
        <f t="shared" si="210"/>
        <v>150</v>
      </c>
      <c r="O132" s="198">
        <f t="shared" si="210"/>
        <v>160</v>
      </c>
      <c r="P132" s="198">
        <f t="shared" si="210"/>
        <v>390</v>
      </c>
      <c r="Q132" s="196">
        <f t="shared" si="210"/>
        <v>-4</v>
      </c>
    </row>
    <row r="133" spans="1:17" x14ac:dyDescent="0.25">
      <c r="A133" s="229">
        <f t="shared" ref="A133:B133" si="217">A132+1</f>
        <v>2283</v>
      </c>
      <c r="B133" s="230">
        <f t="shared" si="217"/>
        <v>123</v>
      </c>
      <c r="C133" s="229" t="str">
        <f t="shared" si="120"/>
        <v>22cX12+000_060_07</v>
      </c>
      <c r="D133" s="197">
        <f t="shared" si="188"/>
        <v>11.8</v>
      </c>
      <c r="E133" s="204">
        <f t="shared" si="180"/>
        <v>2.0230000000000001</v>
      </c>
      <c r="F133" s="198">
        <f t="shared" si="189"/>
        <v>17.14406779661017</v>
      </c>
      <c r="G133" s="198">
        <f t="shared" si="181"/>
        <v>13.715254237288136</v>
      </c>
      <c r="H133" s="198">
        <f t="shared" si="182"/>
        <v>8.5720338983050848</v>
      </c>
      <c r="I133" s="198">
        <f t="shared" si="212"/>
        <v>8</v>
      </c>
      <c r="J133" s="199">
        <f t="shared" si="212"/>
        <v>0</v>
      </c>
      <c r="K133" s="194" t="str">
        <f t="shared" si="216"/>
        <v>11.8-7</v>
      </c>
      <c r="L133" s="198">
        <f t="shared" si="185"/>
        <v>0.2</v>
      </c>
      <c r="M133" s="49">
        <v>60</v>
      </c>
      <c r="N133" s="198">
        <f t="shared" si="210"/>
        <v>150</v>
      </c>
      <c r="O133" s="198">
        <f t="shared" si="210"/>
        <v>160</v>
      </c>
      <c r="P133" s="198">
        <f t="shared" si="210"/>
        <v>390</v>
      </c>
      <c r="Q133" s="196">
        <f t="shared" si="210"/>
        <v>-4</v>
      </c>
    </row>
    <row r="134" spans="1:17" x14ac:dyDescent="0.25">
      <c r="A134" s="229">
        <f t="shared" ref="A134:B134" si="218">A133+1</f>
        <v>2284</v>
      </c>
      <c r="B134" s="230">
        <f t="shared" si="218"/>
        <v>124</v>
      </c>
      <c r="C134" s="229" t="str">
        <f t="shared" si="120"/>
        <v>22cX12+000_090_07</v>
      </c>
      <c r="D134" s="197">
        <f t="shared" si="188"/>
        <v>11.8</v>
      </c>
      <c r="E134" s="204">
        <f t="shared" si="180"/>
        <v>2.0230000000000001</v>
      </c>
      <c r="F134" s="198">
        <f t="shared" si="189"/>
        <v>17.14406779661017</v>
      </c>
      <c r="G134" s="198">
        <f t="shared" si="181"/>
        <v>13.715254237288136</v>
      </c>
      <c r="H134" s="198">
        <f t="shared" si="182"/>
        <v>8.5720338983050848</v>
      </c>
      <c r="I134" s="198">
        <f t="shared" si="212"/>
        <v>8</v>
      </c>
      <c r="J134" s="199">
        <f t="shared" si="212"/>
        <v>0</v>
      </c>
      <c r="K134" s="194" t="str">
        <f t="shared" si="216"/>
        <v>11.8-7</v>
      </c>
      <c r="L134" s="198">
        <f t="shared" si="185"/>
        <v>0.2</v>
      </c>
      <c r="M134" s="49">
        <v>90</v>
      </c>
      <c r="N134" s="198">
        <f t="shared" si="210"/>
        <v>150</v>
      </c>
      <c r="O134" s="198">
        <f t="shared" si="210"/>
        <v>160</v>
      </c>
      <c r="P134" s="198">
        <f t="shared" si="210"/>
        <v>390</v>
      </c>
      <c r="Q134" s="196">
        <f t="shared" si="210"/>
        <v>-4</v>
      </c>
    </row>
    <row r="135" spans="1:17" x14ac:dyDescent="0.25">
      <c r="A135" s="229">
        <f t="shared" ref="A135:B135" si="219">A134+1</f>
        <v>2285</v>
      </c>
      <c r="B135" s="230">
        <f t="shared" si="219"/>
        <v>125</v>
      </c>
      <c r="C135" s="229" t="str">
        <f t="shared" si="120"/>
        <v>22cX12+000_000_08</v>
      </c>
      <c r="D135" s="197">
        <f t="shared" si="188"/>
        <v>11.8</v>
      </c>
      <c r="E135" s="204">
        <f t="shared" si="180"/>
        <v>2.0230000000000001</v>
      </c>
      <c r="F135" s="198">
        <f t="shared" si="189"/>
        <v>17.14406779661017</v>
      </c>
      <c r="G135" s="198">
        <f t="shared" si="181"/>
        <v>13.715254237288136</v>
      </c>
      <c r="H135" s="198">
        <f t="shared" si="182"/>
        <v>8.5720338983050848</v>
      </c>
      <c r="I135" s="198">
        <f t="shared" si="212"/>
        <v>8</v>
      </c>
      <c r="J135" s="199">
        <f t="shared" si="212"/>
        <v>0</v>
      </c>
      <c r="K135" s="194" t="str">
        <f>D135&amp;-8</f>
        <v>11.8-8</v>
      </c>
      <c r="L135" s="198">
        <f t="shared" si="185"/>
        <v>0.2</v>
      </c>
      <c r="M135" s="49">
        <v>0</v>
      </c>
      <c r="N135" s="198">
        <f t="shared" si="210"/>
        <v>150</v>
      </c>
      <c r="O135" s="198">
        <f t="shared" si="210"/>
        <v>160</v>
      </c>
      <c r="P135" s="198">
        <f t="shared" si="210"/>
        <v>390</v>
      </c>
      <c r="Q135" s="196">
        <f t="shared" si="210"/>
        <v>-4</v>
      </c>
    </row>
    <row r="136" spans="1:17" x14ac:dyDescent="0.25">
      <c r="A136" s="229">
        <f t="shared" ref="A136:B136" si="220">A135+1</f>
        <v>2286</v>
      </c>
      <c r="B136" s="230">
        <f t="shared" si="220"/>
        <v>126</v>
      </c>
      <c r="C136" s="229" t="str">
        <f t="shared" si="120"/>
        <v>22cX12+000_030_08</v>
      </c>
      <c r="D136" s="197">
        <f t="shared" si="188"/>
        <v>11.8</v>
      </c>
      <c r="E136" s="204">
        <f t="shared" si="180"/>
        <v>2.0230000000000001</v>
      </c>
      <c r="F136" s="198">
        <f t="shared" si="189"/>
        <v>17.14406779661017</v>
      </c>
      <c r="G136" s="198">
        <f t="shared" si="181"/>
        <v>13.715254237288136</v>
      </c>
      <c r="H136" s="198">
        <f t="shared" si="182"/>
        <v>8.5720338983050848</v>
      </c>
      <c r="I136" s="198">
        <f t="shared" si="212"/>
        <v>8</v>
      </c>
      <c r="J136" s="199">
        <f t="shared" si="212"/>
        <v>0</v>
      </c>
      <c r="K136" s="194" t="str">
        <f t="shared" ref="K136:K138" si="221">D136&amp;-8</f>
        <v>11.8-8</v>
      </c>
      <c r="L136" s="198">
        <f t="shared" si="185"/>
        <v>0.2</v>
      </c>
      <c r="M136" s="49">
        <v>30</v>
      </c>
      <c r="N136" s="198">
        <f t="shared" si="210"/>
        <v>150</v>
      </c>
      <c r="O136" s="198">
        <f t="shared" si="210"/>
        <v>160</v>
      </c>
      <c r="P136" s="198">
        <f t="shared" si="210"/>
        <v>390</v>
      </c>
      <c r="Q136" s="196">
        <f t="shared" si="210"/>
        <v>-4</v>
      </c>
    </row>
    <row r="137" spans="1:17" x14ac:dyDescent="0.25">
      <c r="A137" s="229">
        <f t="shared" ref="A137:B137" si="222">A136+1</f>
        <v>2287</v>
      </c>
      <c r="B137" s="230">
        <f t="shared" si="222"/>
        <v>127</v>
      </c>
      <c r="C137" s="229" t="str">
        <f t="shared" si="120"/>
        <v>22cX12+000_060_08</v>
      </c>
      <c r="D137" s="197">
        <f t="shared" si="188"/>
        <v>11.8</v>
      </c>
      <c r="E137" s="204">
        <f t="shared" si="180"/>
        <v>2.0230000000000001</v>
      </c>
      <c r="F137" s="198">
        <f t="shared" si="189"/>
        <v>17.14406779661017</v>
      </c>
      <c r="G137" s="198">
        <f t="shared" si="181"/>
        <v>13.715254237288136</v>
      </c>
      <c r="H137" s="198">
        <f t="shared" si="182"/>
        <v>8.5720338983050848</v>
      </c>
      <c r="I137" s="198">
        <f t="shared" si="212"/>
        <v>8</v>
      </c>
      <c r="J137" s="199">
        <f t="shared" si="212"/>
        <v>0</v>
      </c>
      <c r="K137" s="194" t="str">
        <f t="shared" si="221"/>
        <v>11.8-8</v>
      </c>
      <c r="L137" s="198">
        <f t="shared" si="185"/>
        <v>0.2</v>
      </c>
      <c r="M137" s="49">
        <v>60</v>
      </c>
      <c r="N137" s="198">
        <f t="shared" si="210"/>
        <v>150</v>
      </c>
      <c r="O137" s="198">
        <f t="shared" si="210"/>
        <v>160</v>
      </c>
      <c r="P137" s="198">
        <f t="shared" si="210"/>
        <v>390</v>
      </c>
      <c r="Q137" s="196">
        <f t="shared" si="210"/>
        <v>-4</v>
      </c>
    </row>
    <row r="138" spans="1:17" x14ac:dyDescent="0.25">
      <c r="A138" s="229">
        <f t="shared" ref="A138:B138" si="223">A137+1</f>
        <v>2288</v>
      </c>
      <c r="B138" s="230">
        <f t="shared" si="223"/>
        <v>128</v>
      </c>
      <c r="C138" s="229" t="str">
        <f t="shared" si="120"/>
        <v>22cX12+000_090_08</v>
      </c>
      <c r="D138" s="197">
        <f t="shared" si="188"/>
        <v>11.8</v>
      </c>
      <c r="E138" s="204">
        <f t="shared" si="180"/>
        <v>2.0230000000000001</v>
      </c>
      <c r="F138" s="198">
        <f t="shared" si="189"/>
        <v>17.14406779661017</v>
      </c>
      <c r="G138" s="198">
        <f t="shared" si="181"/>
        <v>13.715254237288136</v>
      </c>
      <c r="H138" s="198">
        <f t="shared" si="182"/>
        <v>8.5720338983050848</v>
      </c>
      <c r="I138" s="198">
        <f t="shared" si="212"/>
        <v>8</v>
      </c>
      <c r="J138" s="199">
        <f t="shared" si="212"/>
        <v>0</v>
      </c>
      <c r="K138" s="194" t="str">
        <f t="shared" si="221"/>
        <v>11.8-8</v>
      </c>
      <c r="L138" s="198">
        <f t="shared" si="185"/>
        <v>0.2</v>
      </c>
      <c r="M138" s="49">
        <v>90</v>
      </c>
      <c r="N138" s="198">
        <f t="shared" si="210"/>
        <v>150</v>
      </c>
      <c r="O138" s="198">
        <f t="shared" si="210"/>
        <v>160</v>
      </c>
      <c r="P138" s="198">
        <f t="shared" si="210"/>
        <v>390</v>
      </c>
      <c r="Q138" s="196">
        <f t="shared" si="210"/>
        <v>-4</v>
      </c>
    </row>
    <row r="139" spans="1:17" x14ac:dyDescent="0.25">
      <c r="A139" s="229">
        <f t="shared" ref="A139:B139" si="224">A138+1</f>
        <v>2289</v>
      </c>
      <c r="B139" s="230">
        <f t="shared" si="224"/>
        <v>129</v>
      </c>
      <c r="C139" s="229" t="str">
        <f t="shared" si="120"/>
        <v>22cX12+000_000_09</v>
      </c>
      <c r="D139" s="197">
        <f t="shared" si="188"/>
        <v>11.8</v>
      </c>
      <c r="E139" s="204">
        <f t="shared" si="180"/>
        <v>2.0230000000000001</v>
      </c>
      <c r="F139" s="198">
        <f t="shared" si="189"/>
        <v>17.14406779661017</v>
      </c>
      <c r="G139" s="198">
        <f t="shared" si="181"/>
        <v>13.715254237288136</v>
      </c>
      <c r="H139" s="198">
        <f t="shared" si="182"/>
        <v>8.5720338983050848</v>
      </c>
      <c r="I139" s="198">
        <f t="shared" si="212"/>
        <v>8</v>
      </c>
      <c r="J139" s="199">
        <f t="shared" si="212"/>
        <v>0</v>
      </c>
      <c r="K139" s="194" t="str">
        <f>D139&amp;-9</f>
        <v>11.8-9</v>
      </c>
      <c r="L139" s="198">
        <f t="shared" si="185"/>
        <v>0.2</v>
      </c>
      <c r="M139" s="49">
        <v>0</v>
      </c>
      <c r="N139" s="198">
        <f t="shared" si="210"/>
        <v>150</v>
      </c>
      <c r="O139" s="198">
        <f t="shared" si="210"/>
        <v>160</v>
      </c>
      <c r="P139" s="198">
        <f t="shared" si="210"/>
        <v>390</v>
      </c>
      <c r="Q139" s="196">
        <f t="shared" si="210"/>
        <v>-4</v>
      </c>
    </row>
    <row r="140" spans="1:17" x14ac:dyDescent="0.25">
      <c r="A140" s="229">
        <f t="shared" ref="A140:B140" si="225">A139+1</f>
        <v>2290</v>
      </c>
      <c r="B140" s="230">
        <f t="shared" si="225"/>
        <v>130</v>
      </c>
      <c r="C140" s="229" t="str">
        <f t="shared" ref="C140:C203" si="226">TEXT(RIGHT($B$2,LEN($B$2)-3),"000")&amp;"X"&amp;TEXT(D140,"00")&amp;"+"&amp;IF(J140&lt;0,TEXT(360+J140,"000"),TEXT(J140,"000"))&amp;"_"&amp;TEXT(M140,"000")&amp;"_"&amp;TEXT(RIGHT(K140,LEN(K140)-FIND("-",K140)),"00")</f>
        <v>22cX12+000_030_09</v>
      </c>
      <c r="D140" s="197">
        <f t="shared" si="188"/>
        <v>11.8</v>
      </c>
      <c r="E140" s="204">
        <f t="shared" si="180"/>
        <v>2.0230000000000001</v>
      </c>
      <c r="F140" s="198">
        <f t="shared" si="189"/>
        <v>17.14406779661017</v>
      </c>
      <c r="G140" s="198">
        <f t="shared" si="181"/>
        <v>13.715254237288136</v>
      </c>
      <c r="H140" s="198">
        <f t="shared" si="182"/>
        <v>8.5720338983050848</v>
      </c>
      <c r="I140" s="198">
        <f t="shared" si="212"/>
        <v>8</v>
      </c>
      <c r="J140" s="199">
        <f t="shared" si="212"/>
        <v>0</v>
      </c>
      <c r="K140" s="194" t="str">
        <f t="shared" ref="K140:K142" si="227">D140&amp;-9</f>
        <v>11.8-9</v>
      </c>
      <c r="L140" s="198">
        <f t="shared" si="185"/>
        <v>0.2</v>
      </c>
      <c r="M140" s="49">
        <v>30</v>
      </c>
      <c r="N140" s="198">
        <f t="shared" si="210"/>
        <v>150</v>
      </c>
      <c r="O140" s="198">
        <f t="shared" si="210"/>
        <v>160</v>
      </c>
      <c r="P140" s="198">
        <f t="shared" si="210"/>
        <v>390</v>
      </c>
      <c r="Q140" s="196">
        <f t="shared" si="210"/>
        <v>-4</v>
      </c>
    </row>
    <row r="141" spans="1:17" x14ac:dyDescent="0.25">
      <c r="A141" s="229">
        <f t="shared" ref="A141:B141" si="228">A140+1</f>
        <v>2291</v>
      </c>
      <c r="B141" s="230">
        <f t="shared" si="228"/>
        <v>131</v>
      </c>
      <c r="C141" s="229" t="str">
        <f t="shared" si="226"/>
        <v>22cX12+000_060_09</v>
      </c>
      <c r="D141" s="197">
        <f t="shared" si="188"/>
        <v>11.8</v>
      </c>
      <c r="E141" s="204">
        <f t="shared" si="180"/>
        <v>2.0230000000000001</v>
      </c>
      <c r="F141" s="198">
        <f t="shared" si="189"/>
        <v>17.14406779661017</v>
      </c>
      <c r="G141" s="198">
        <f t="shared" si="181"/>
        <v>13.715254237288136</v>
      </c>
      <c r="H141" s="198">
        <f t="shared" si="182"/>
        <v>8.5720338983050848</v>
      </c>
      <c r="I141" s="198">
        <f t="shared" si="212"/>
        <v>8</v>
      </c>
      <c r="J141" s="199">
        <f t="shared" si="212"/>
        <v>0</v>
      </c>
      <c r="K141" s="194" t="str">
        <f t="shared" si="227"/>
        <v>11.8-9</v>
      </c>
      <c r="L141" s="198">
        <f t="shared" si="185"/>
        <v>0.2</v>
      </c>
      <c r="M141" s="49">
        <v>60</v>
      </c>
      <c r="N141" s="198">
        <f t="shared" si="210"/>
        <v>150</v>
      </c>
      <c r="O141" s="198">
        <f t="shared" si="210"/>
        <v>160</v>
      </c>
      <c r="P141" s="198">
        <f t="shared" si="210"/>
        <v>390</v>
      </c>
      <c r="Q141" s="196">
        <f t="shared" si="210"/>
        <v>-4</v>
      </c>
    </row>
    <row r="142" spans="1:17" x14ac:dyDescent="0.25">
      <c r="A142" s="229">
        <f t="shared" ref="A142:B142" si="229">A141+1</f>
        <v>2292</v>
      </c>
      <c r="B142" s="230">
        <f t="shared" si="229"/>
        <v>132</v>
      </c>
      <c r="C142" s="229" t="str">
        <f t="shared" si="226"/>
        <v>22cX12+000_090_09</v>
      </c>
      <c r="D142" s="197">
        <f t="shared" si="188"/>
        <v>11.8</v>
      </c>
      <c r="E142" s="204">
        <f t="shared" si="180"/>
        <v>2.0230000000000001</v>
      </c>
      <c r="F142" s="198">
        <f t="shared" si="189"/>
        <v>17.14406779661017</v>
      </c>
      <c r="G142" s="198">
        <f t="shared" si="181"/>
        <v>13.715254237288136</v>
      </c>
      <c r="H142" s="198">
        <f t="shared" si="182"/>
        <v>8.5720338983050848</v>
      </c>
      <c r="I142" s="198">
        <f t="shared" si="212"/>
        <v>8</v>
      </c>
      <c r="J142" s="199">
        <f t="shared" si="212"/>
        <v>0</v>
      </c>
      <c r="K142" s="194" t="str">
        <f t="shared" si="227"/>
        <v>11.8-9</v>
      </c>
      <c r="L142" s="198">
        <f t="shared" si="185"/>
        <v>0.2</v>
      </c>
      <c r="M142" s="49">
        <v>90</v>
      </c>
      <c r="N142" s="198">
        <f t="shared" si="210"/>
        <v>150</v>
      </c>
      <c r="O142" s="198">
        <f t="shared" si="210"/>
        <v>160</v>
      </c>
      <c r="P142" s="198">
        <f t="shared" si="210"/>
        <v>390</v>
      </c>
      <c r="Q142" s="196">
        <f t="shared" si="210"/>
        <v>-4</v>
      </c>
    </row>
    <row r="143" spans="1:17" ht="14.25" customHeight="1" x14ac:dyDescent="0.25">
      <c r="A143" s="229">
        <f t="shared" ref="A143:B143" si="230">A142+1</f>
        <v>2293</v>
      </c>
      <c r="B143" s="230">
        <f t="shared" si="230"/>
        <v>133</v>
      </c>
      <c r="C143" s="229" t="str">
        <f t="shared" si="226"/>
        <v>22cX12+000_000_10</v>
      </c>
      <c r="D143" s="197">
        <f t="shared" si="188"/>
        <v>11.8</v>
      </c>
      <c r="E143" s="204">
        <f t="shared" si="180"/>
        <v>2.0230000000000001</v>
      </c>
      <c r="F143" s="198">
        <f t="shared" si="189"/>
        <v>17.14406779661017</v>
      </c>
      <c r="G143" s="198">
        <f t="shared" si="181"/>
        <v>13.715254237288136</v>
      </c>
      <c r="H143" s="198">
        <f t="shared" si="182"/>
        <v>8.5720338983050848</v>
      </c>
      <c r="I143" s="198">
        <f t="shared" si="212"/>
        <v>8</v>
      </c>
      <c r="J143" s="199">
        <f t="shared" si="212"/>
        <v>0</v>
      </c>
      <c r="K143" s="194" t="str">
        <f>D143&amp;-10</f>
        <v>11.8-10</v>
      </c>
      <c r="L143" s="198">
        <f t="shared" si="185"/>
        <v>0.2</v>
      </c>
      <c r="M143" s="49">
        <v>0</v>
      </c>
      <c r="N143" s="198">
        <f t="shared" si="210"/>
        <v>150</v>
      </c>
      <c r="O143" s="198">
        <f t="shared" si="210"/>
        <v>160</v>
      </c>
      <c r="P143" s="198">
        <f t="shared" si="210"/>
        <v>390</v>
      </c>
      <c r="Q143" s="196">
        <f t="shared" si="210"/>
        <v>-4</v>
      </c>
    </row>
    <row r="144" spans="1:17" x14ac:dyDescent="0.25">
      <c r="A144" s="229">
        <f t="shared" ref="A144:B144" si="231">A143+1</f>
        <v>2294</v>
      </c>
      <c r="B144" s="230">
        <f t="shared" si="231"/>
        <v>134</v>
      </c>
      <c r="C144" s="229" t="str">
        <f t="shared" si="226"/>
        <v>22cX12+000_030_10</v>
      </c>
      <c r="D144" s="197">
        <f t="shared" si="188"/>
        <v>11.8</v>
      </c>
      <c r="E144" s="204">
        <f t="shared" si="180"/>
        <v>2.0230000000000001</v>
      </c>
      <c r="F144" s="198">
        <f t="shared" si="189"/>
        <v>17.14406779661017</v>
      </c>
      <c r="G144" s="198">
        <f t="shared" si="181"/>
        <v>13.715254237288136</v>
      </c>
      <c r="H144" s="198">
        <f t="shared" si="182"/>
        <v>8.5720338983050848</v>
      </c>
      <c r="I144" s="198">
        <f t="shared" si="212"/>
        <v>8</v>
      </c>
      <c r="J144" s="199">
        <f t="shared" si="212"/>
        <v>0</v>
      </c>
      <c r="K144" s="194" t="str">
        <f t="shared" ref="K144:K146" si="232">D144&amp;-10</f>
        <v>11.8-10</v>
      </c>
      <c r="L144" s="198">
        <f t="shared" si="185"/>
        <v>0.2</v>
      </c>
      <c r="M144" s="49">
        <v>30</v>
      </c>
      <c r="N144" s="198">
        <f t="shared" ref="N144:Q154" si="233">N143</f>
        <v>150</v>
      </c>
      <c r="O144" s="198">
        <f t="shared" si="233"/>
        <v>160</v>
      </c>
      <c r="P144" s="198">
        <f t="shared" si="233"/>
        <v>390</v>
      </c>
      <c r="Q144" s="196">
        <f t="shared" si="233"/>
        <v>-4</v>
      </c>
    </row>
    <row r="145" spans="1:17" x14ac:dyDescent="0.25">
      <c r="A145" s="229">
        <f t="shared" ref="A145:B145" si="234">A144+1</f>
        <v>2295</v>
      </c>
      <c r="B145" s="230">
        <f t="shared" si="234"/>
        <v>135</v>
      </c>
      <c r="C145" s="229" t="str">
        <f t="shared" si="226"/>
        <v>22cX12+000_060_10</v>
      </c>
      <c r="D145" s="197">
        <f t="shared" si="188"/>
        <v>11.8</v>
      </c>
      <c r="E145" s="204">
        <f t="shared" si="180"/>
        <v>2.0230000000000001</v>
      </c>
      <c r="F145" s="198">
        <f t="shared" si="189"/>
        <v>17.14406779661017</v>
      </c>
      <c r="G145" s="198">
        <f t="shared" si="181"/>
        <v>13.715254237288136</v>
      </c>
      <c r="H145" s="198">
        <f t="shared" si="182"/>
        <v>8.5720338983050848</v>
      </c>
      <c r="I145" s="198">
        <f t="shared" ref="I145:J154" si="235">I144</f>
        <v>8</v>
      </c>
      <c r="J145" s="199">
        <f t="shared" si="235"/>
        <v>0</v>
      </c>
      <c r="K145" s="194" t="str">
        <f t="shared" si="232"/>
        <v>11.8-10</v>
      </c>
      <c r="L145" s="198">
        <f t="shared" si="185"/>
        <v>0.2</v>
      </c>
      <c r="M145" s="49">
        <v>60</v>
      </c>
      <c r="N145" s="198">
        <f t="shared" si="233"/>
        <v>150</v>
      </c>
      <c r="O145" s="198">
        <f t="shared" si="233"/>
        <v>160</v>
      </c>
      <c r="P145" s="198">
        <f t="shared" si="233"/>
        <v>390</v>
      </c>
      <c r="Q145" s="196">
        <f t="shared" si="233"/>
        <v>-4</v>
      </c>
    </row>
    <row r="146" spans="1:17" x14ac:dyDescent="0.25">
      <c r="A146" s="229">
        <f t="shared" ref="A146:B146" si="236">A145+1</f>
        <v>2296</v>
      </c>
      <c r="B146" s="230">
        <f t="shared" si="236"/>
        <v>136</v>
      </c>
      <c r="C146" s="229" t="str">
        <f t="shared" si="226"/>
        <v>22cX12+000_090_10</v>
      </c>
      <c r="D146" s="197">
        <f t="shared" si="188"/>
        <v>11.8</v>
      </c>
      <c r="E146" s="204">
        <f t="shared" si="180"/>
        <v>2.0230000000000001</v>
      </c>
      <c r="F146" s="198">
        <f t="shared" si="189"/>
        <v>17.14406779661017</v>
      </c>
      <c r="G146" s="198">
        <f t="shared" si="181"/>
        <v>13.715254237288136</v>
      </c>
      <c r="H146" s="198">
        <f t="shared" si="182"/>
        <v>8.5720338983050848</v>
      </c>
      <c r="I146" s="198">
        <f t="shared" si="235"/>
        <v>8</v>
      </c>
      <c r="J146" s="199">
        <f t="shared" si="235"/>
        <v>0</v>
      </c>
      <c r="K146" s="194" t="str">
        <f t="shared" si="232"/>
        <v>11.8-10</v>
      </c>
      <c r="L146" s="198">
        <f t="shared" si="185"/>
        <v>0.2</v>
      </c>
      <c r="M146" s="49">
        <v>90</v>
      </c>
      <c r="N146" s="198">
        <f t="shared" si="233"/>
        <v>150</v>
      </c>
      <c r="O146" s="198">
        <f t="shared" si="233"/>
        <v>160</v>
      </c>
      <c r="P146" s="198">
        <f t="shared" si="233"/>
        <v>390</v>
      </c>
      <c r="Q146" s="196">
        <f t="shared" si="233"/>
        <v>-4</v>
      </c>
    </row>
    <row r="147" spans="1:17" x14ac:dyDescent="0.25">
      <c r="A147" s="229">
        <f t="shared" ref="A147:B147" si="237">A146+1</f>
        <v>2297</v>
      </c>
      <c r="B147" s="230">
        <f t="shared" si="237"/>
        <v>137</v>
      </c>
      <c r="C147" s="229" t="str">
        <f t="shared" si="226"/>
        <v>22cX12+000_000_11</v>
      </c>
      <c r="D147" s="197">
        <f t="shared" si="188"/>
        <v>11.8</v>
      </c>
      <c r="E147" s="204">
        <f t="shared" si="180"/>
        <v>2.0230000000000001</v>
      </c>
      <c r="F147" s="198">
        <f t="shared" si="189"/>
        <v>17.14406779661017</v>
      </c>
      <c r="G147" s="198">
        <f t="shared" si="181"/>
        <v>13.715254237288136</v>
      </c>
      <c r="H147" s="198">
        <f t="shared" si="182"/>
        <v>8.5720338983050848</v>
      </c>
      <c r="I147" s="198">
        <f t="shared" si="235"/>
        <v>8</v>
      </c>
      <c r="J147" s="199">
        <f t="shared" si="235"/>
        <v>0</v>
      </c>
      <c r="K147" s="194" t="str">
        <f>D147&amp;-11</f>
        <v>11.8-11</v>
      </c>
      <c r="L147" s="198">
        <f t="shared" si="185"/>
        <v>0.2</v>
      </c>
      <c r="M147" s="49">
        <v>0</v>
      </c>
      <c r="N147" s="198">
        <f t="shared" si="233"/>
        <v>150</v>
      </c>
      <c r="O147" s="198">
        <f t="shared" si="233"/>
        <v>160</v>
      </c>
      <c r="P147" s="198">
        <f t="shared" si="233"/>
        <v>390</v>
      </c>
      <c r="Q147" s="196">
        <f t="shared" si="233"/>
        <v>-4</v>
      </c>
    </row>
    <row r="148" spans="1:17" x14ac:dyDescent="0.25">
      <c r="A148" s="229">
        <f t="shared" ref="A148:B148" si="238">A147+1</f>
        <v>2298</v>
      </c>
      <c r="B148" s="230">
        <f t="shared" si="238"/>
        <v>138</v>
      </c>
      <c r="C148" s="229" t="str">
        <f t="shared" si="226"/>
        <v>22cX12+000_030_11</v>
      </c>
      <c r="D148" s="197">
        <f t="shared" si="188"/>
        <v>11.8</v>
      </c>
      <c r="E148" s="204">
        <f t="shared" si="180"/>
        <v>2.0230000000000001</v>
      </c>
      <c r="F148" s="198">
        <f t="shared" si="189"/>
        <v>17.14406779661017</v>
      </c>
      <c r="G148" s="198">
        <f t="shared" si="181"/>
        <v>13.715254237288136</v>
      </c>
      <c r="H148" s="198">
        <f t="shared" si="182"/>
        <v>8.5720338983050848</v>
      </c>
      <c r="I148" s="198">
        <f t="shared" si="235"/>
        <v>8</v>
      </c>
      <c r="J148" s="199">
        <f t="shared" si="235"/>
        <v>0</v>
      </c>
      <c r="K148" s="194" t="str">
        <f t="shared" ref="K148:K150" si="239">D148&amp;-11</f>
        <v>11.8-11</v>
      </c>
      <c r="L148" s="198">
        <f t="shared" si="185"/>
        <v>0.2</v>
      </c>
      <c r="M148" s="49">
        <v>30</v>
      </c>
      <c r="N148" s="198">
        <f t="shared" si="233"/>
        <v>150</v>
      </c>
      <c r="O148" s="198">
        <f t="shared" si="233"/>
        <v>160</v>
      </c>
      <c r="P148" s="198">
        <f t="shared" si="233"/>
        <v>390</v>
      </c>
      <c r="Q148" s="196">
        <f t="shared" si="233"/>
        <v>-4</v>
      </c>
    </row>
    <row r="149" spans="1:17" x14ac:dyDescent="0.25">
      <c r="A149" s="229">
        <f t="shared" ref="A149:B149" si="240">A148+1</f>
        <v>2299</v>
      </c>
      <c r="B149" s="230">
        <f t="shared" si="240"/>
        <v>139</v>
      </c>
      <c r="C149" s="229" t="str">
        <f t="shared" si="226"/>
        <v>22cX12+000_060_11</v>
      </c>
      <c r="D149" s="197">
        <f t="shared" si="188"/>
        <v>11.8</v>
      </c>
      <c r="E149" s="204">
        <f t="shared" si="180"/>
        <v>2.0230000000000001</v>
      </c>
      <c r="F149" s="198">
        <f t="shared" si="189"/>
        <v>17.14406779661017</v>
      </c>
      <c r="G149" s="198">
        <f t="shared" si="181"/>
        <v>13.715254237288136</v>
      </c>
      <c r="H149" s="198">
        <f t="shared" si="182"/>
        <v>8.5720338983050848</v>
      </c>
      <c r="I149" s="198">
        <f t="shared" si="235"/>
        <v>8</v>
      </c>
      <c r="J149" s="199">
        <f t="shared" si="235"/>
        <v>0</v>
      </c>
      <c r="K149" s="194" t="str">
        <f t="shared" si="239"/>
        <v>11.8-11</v>
      </c>
      <c r="L149" s="198">
        <f t="shared" si="185"/>
        <v>0.2</v>
      </c>
      <c r="M149" s="49">
        <v>60</v>
      </c>
      <c r="N149" s="198">
        <f t="shared" si="233"/>
        <v>150</v>
      </c>
      <c r="O149" s="198">
        <f t="shared" si="233"/>
        <v>160</v>
      </c>
      <c r="P149" s="198">
        <f t="shared" si="233"/>
        <v>390</v>
      </c>
      <c r="Q149" s="196">
        <f t="shared" si="233"/>
        <v>-4</v>
      </c>
    </row>
    <row r="150" spans="1:17" x14ac:dyDescent="0.25">
      <c r="A150" s="229">
        <f t="shared" ref="A150:B150" si="241">A149+1</f>
        <v>2300</v>
      </c>
      <c r="B150" s="230">
        <f t="shared" si="241"/>
        <v>140</v>
      </c>
      <c r="C150" s="229" t="str">
        <f t="shared" si="226"/>
        <v>22cX12+000_090_11</v>
      </c>
      <c r="D150" s="197">
        <f t="shared" si="188"/>
        <v>11.8</v>
      </c>
      <c r="E150" s="204">
        <f t="shared" si="180"/>
        <v>2.0230000000000001</v>
      </c>
      <c r="F150" s="198">
        <f t="shared" si="189"/>
        <v>17.14406779661017</v>
      </c>
      <c r="G150" s="198">
        <f t="shared" si="181"/>
        <v>13.715254237288136</v>
      </c>
      <c r="H150" s="198">
        <f t="shared" si="182"/>
        <v>8.5720338983050848</v>
      </c>
      <c r="I150" s="198">
        <f t="shared" si="235"/>
        <v>8</v>
      </c>
      <c r="J150" s="199">
        <f t="shared" si="235"/>
        <v>0</v>
      </c>
      <c r="K150" s="194" t="str">
        <f t="shared" si="239"/>
        <v>11.8-11</v>
      </c>
      <c r="L150" s="198">
        <f t="shared" si="185"/>
        <v>0.2</v>
      </c>
      <c r="M150" s="49">
        <v>90</v>
      </c>
      <c r="N150" s="198">
        <f t="shared" si="233"/>
        <v>150</v>
      </c>
      <c r="O150" s="198">
        <f t="shared" si="233"/>
        <v>160</v>
      </c>
      <c r="P150" s="198">
        <f t="shared" si="233"/>
        <v>390</v>
      </c>
      <c r="Q150" s="196">
        <f t="shared" si="233"/>
        <v>-4</v>
      </c>
    </row>
    <row r="151" spans="1:17" x14ac:dyDescent="0.25">
      <c r="A151" s="229">
        <f t="shared" ref="A151:B151" si="242">A150+1</f>
        <v>2301</v>
      </c>
      <c r="B151" s="230">
        <f t="shared" si="242"/>
        <v>141</v>
      </c>
      <c r="C151" s="229" t="str">
        <f t="shared" si="226"/>
        <v>22cX12+000_000_12</v>
      </c>
      <c r="D151" s="197">
        <f t="shared" si="188"/>
        <v>11.8</v>
      </c>
      <c r="E151" s="204">
        <f t="shared" si="180"/>
        <v>2.0230000000000001</v>
      </c>
      <c r="F151" s="198">
        <f t="shared" si="189"/>
        <v>17.14406779661017</v>
      </c>
      <c r="G151" s="198">
        <f t="shared" si="181"/>
        <v>13.715254237288136</v>
      </c>
      <c r="H151" s="198">
        <f t="shared" si="182"/>
        <v>8.5720338983050848</v>
      </c>
      <c r="I151" s="198">
        <f t="shared" si="235"/>
        <v>8</v>
      </c>
      <c r="J151" s="199">
        <f t="shared" si="235"/>
        <v>0</v>
      </c>
      <c r="K151" s="194" t="str">
        <f>D151&amp;-12</f>
        <v>11.8-12</v>
      </c>
      <c r="L151" s="198">
        <f t="shared" si="185"/>
        <v>0.2</v>
      </c>
      <c r="M151" s="49">
        <v>0</v>
      </c>
      <c r="N151" s="198">
        <f t="shared" si="233"/>
        <v>150</v>
      </c>
      <c r="O151" s="198">
        <f t="shared" si="233"/>
        <v>160</v>
      </c>
      <c r="P151" s="198">
        <f t="shared" si="233"/>
        <v>390</v>
      </c>
      <c r="Q151" s="196">
        <f t="shared" si="233"/>
        <v>-4</v>
      </c>
    </row>
    <row r="152" spans="1:17" x14ac:dyDescent="0.25">
      <c r="A152" s="229">
        <f t="shared" ref="A152:B152" si="243">A151+1</f>
        <v>2302</v>
      </c>
      <c r="B152" s="230">
        <f t="shared" si="243"/>
        <v>142</v>
      </c>
      <c r="C152" s="229" t="str">
        <f t="shared" si="226"/>
        <v>22cX12+000_030_12</v>
      </c>
      <c r="D152" s="197">
        <f t="shared" si="188"/>
        <v>11.8</v>
      </c>
      <c r="E152" s="204">
        <f t="shared" si="180"/>
        <v>2.0230000000000001</v>
      </c>
      <c r="F152" s="198">
        <f t="shared" si="189"/>
        <v>17.14406779661017</v>
      </c>
      <c r="G152" s="198">
        <f t="shared" si="181"/>
        <v>13.715254237288136</v>
      </c>
      <c r="H152" s="198">
        <f t="shared" si="182"/>
        <v>8.5720338983050848</v>
      </c>
      <c r="I152" s="198">
        <f t="shared" si="235"/>
        <v>8</v>
      </c>
      <c r="J152" s="199">
        <f t="shared" si="235"/>
        <v>0</v>
      </c>
      <c r="K152" s="194" t="str">
        <f t="shared" ref="K152:K154" si="244">D152&amp;-12</f>
        <v>11.8-12</v>
      </c>
      <c r="L152" s="198">
        <f t="shared" si="185"/>
        <v>0.2</v>
      </c>
      <c r="M152" s="49">
        <v>30</v>
      </c>
      <c r="N152" s="198">
        <f t="shared" si="233"/>
        <v>150</v>
      </c>
      <c r="O152" s="198">
        <f t="shared" si="233"/>
        <v>160</v>
      </c>
      <c r="P152" s="198">
        <f t="shared" si="233"/>
        <v>390</v>
      </c>
      <c r="Q152" s="196">
        <f t="shared" si="233"/>
        <v>-4</v>
      </c>
    </row>
    <row r="153" spans="1:17" x14ac:dyDescent="0.25">
      <c r="A153" s="229">
        <f t="shared" ref="A153:B153" si="245">A152+1</f>
        <v>2303</v>
      </c>
      <c r="B153" s="230">
        <f t="shared" si="245"/>
        <v>143</v>
      </c>
      <c r="C153" s="229" t="str">
        <f t="shared" si="226"/>
        <v>22cX12+000_060_12</v>
      </c>
      <c r="D153" s="197">
        <f t="shared" si="188"/>
        <v>11.8</v>
      </c>
      <c r="E153" s="204">
        <f t="shared" si="180"/>
        <v>2.0230000000000001</v>
      </c>
      <c r="F153" s="198">
        <f t="shared" si="189"/>
        <v>17.14406779661017</v>
      </c>
      <c r="G153" s="198">
        <f t="shared" si="181"/>
        <v>13.715254237288136</v>
      </c>
      <c r="H153" s="198">
        <f t="shared" si="182"/>
        <v>8.5720338983050848</v>
      </c>
      <c r="I153" s="198">
        <f t="shared" si="235"/>
        <v>8</v>
      </c>
      <c r="J153" s="199">
        <f t="shared" si="235"/>
        <v>0</v>
      </c>
      <c r="K153" s="194" t="str">
        <f t="shared" si="244"/>
        <v>11.8-12</v>
      </c>
      <c r="L153" s="198">
        <f t="shared" si="185"/>
        <v>0.2</v>
      </c>
      <c r="M153" s="49">
        <v>60</v>
      </c>
      <c r="N153" s="198">
        <f t="shared" si="233"/>
        <v>150</v>
      </c>
      <c r="O153" s="198">
        <f t="shared" si="233"/>
        <v>160</v>
      </c>
      <c r="P153" s="198">
        <f t="shared" si="233"/>
        <v>390</v>
      </c>
      <c r="Q153" s="196">
        <f t="shared" si="233"/>
        <v>-4</v>
      </c>
    </row>
    <row r="154" spans="1:17" x14ac:dyDescent="0.25">
      <c r="A154" s="229">
        <f t="shared" ref="A154:B154" si="246">A153+1</f>
        <v>2304</v>
      </c>
      <c r="B154" s="230">
        <f t="shared" si="246"/>
        <v>144</v>
      </c>
      <c r="C154" s="229" t="str">
        <f t="shared" si="226"/>
        <v>22cX12+000_090_12</v>
      </c>
      <c r="D154" s="197">
        <f t="shared" si="188"/>
        <v>11.8</v>
      </c>
      <c r="E154" s="204">
        <f t="shared" si="180"/>
        <v>2.0230000000000001</v>
      </c>
      <c r="F154" s="198">
        <f t="shared" si="189"/>
        <v>17.14406779661017</v>
      </c>
      <c r="G154" s="198">
        <f t="shared" si="181"/>
        <v>13.715254237288136</v>
      </c>
      <c r="H154" s="198">
        <f t="shared" si="182"/>
        <v>8.5720338983050848</v>
      </c>
      <c r="I154" s="198">
        <f t="shared" si="235"/>
        <v>8</v>
      </c>
      <c r="J154" s="199">
        <f t="shared" si="235"/>
        <v>0</v>
      </c>
      <c r="K154" s="194" t="str">
        <f t="shared" si="244"/>
        <v>11.8-12</v>
      </c>
      <c r="L154" s="198">
        <f t="shared" si="185"/>
        <v>0.2</v>
      </c>
      <c r="M154" s="49">
        <v>90</v>
      </c>
      <c r="N154" s="198">
        <f t="shared" si="233"/>
        <v>150</v>
      </c>
      <c r="O154" s="198">
        <f t="shared" si="233"/>
        <v>160</v>
      </c>
      <c r="P154" s="198">
        <f t="shared" si="233"/>
        <v>390</v>
      </c>
      <c r="Q154" s="196">
        <f t="shared" si="233"/>
        <v>-4</v>
      </c>
    </row>
    <row r="155" spans="1:17" ht="14.25" customHeight="1" x14ac:dyDescent="0.25">
      <c r="A155" s="229">
        <f t="shared" ref="A155:B155" si="247">A154+1</f>
        <v>2305</v>
      </c>
      <c r="B155" s="230">
        <f t="shared" si="247"/>
        <v>145</v>
      </c>
      <c r="C155" s="229" t="str">
        <f t="shared" si="226"/>
        <v>22cX20+000_000_01</v>
      </c>
      <c r="D155" s="197">
        <f>v_c</f>
        <v>20</v>
      </c>
      <c r="E155" s="204">
        <f t="shared" ref="E155:E202" si="248">I_ref*(0.75*D155+5.6)</f>
        <v>2.8840000000000003</v>
      </c>
      <c r="F155" s="198">
        <f>E155/D155*100</f>
        <v>14.420000000000002</v>
      </c>
      <c r="G155" s="198">
        <f t="shared" ref="G155:G178" si="249">m_ty*F155</f>
        <v>11.536000000000001</v>
      </c>
      <c r="H155" s="198">
        <f t="shared" ref="H155:H178" si="250">m_tz*F155</f>
        <v>7.2100000000000009</v>
      </c>
      <c r="I155" s="198">
        <f>inflow</f>
        <v>8</v>
      </c>
      <c r="J155" s="199">
        <f>yaw_null</f>
        <v>0</v>
      </c>
      <c r="K155" s="194" t="str">
        <f>D155&amp;-1</f>
        <v>20-1</v>
      </c>
      <c r="L155" s="198">
        <f>alpha_n</f>
        <v>0.2</v>
      </c>
      <c r="M155" s="49">
        <v>0</v>
      </c>
      <c r="N155" s="198">
        <f>t_out</f>
        <v>150</v>
      </c>
      <c r="O155" s="198">
        <f>trig_t</f>
        <v>160</v>
      </c>
      <c r="P155" s="198">
        <f>N155+4*T_s2</f>
        <v>390</v>
      </c>
      <c r="Q155" s="196">
        <f>1*Pitch_runaway_fine_Hardware</f>
        <v>-4</v>
      </c>
    </row>
    <row r="156" spans="1:17" x14ac:dyDescent="0.25">
      <c r="A156" s="229">
        <f t="shared" ref="A156:B156" si="251">A155+1</f>
        <v>2306</v>
      </c>
      <c r="B156" s="230">
        <f t="shared" si="251"/>
        <v>146</v>
      </c>
      <c r="C156" s="229" t="str">
        <f t="shared" si="226"/>
        <v>22cX20+000_030_01</v>
      </c>
      <c r="D156" s="197">
        <f t="shared" ref="D156:D160" si="252">D155</f>
        <v>20</v>
      </c>
      <c r="E156" s="204">
        <f t="shared" si="248"/>
        <v>2.8840000000000003</v>
      </c>
      <c r="F156" s="198">
        <f t="shared" ref="F156:F160" si="253">E156/D156*100</f>
        <v>14.420000000000002</v>
      </c>
      <c r="G156" s="198">
        <f t="shared" si="249"/>
        <v>11.536000000000001</v>
      </c>
      <c r="H156" s="198">
        <f t="shared" si="250"/>
        <v>7.2100000000000009</v>
      </c>
      <c r="I156" s="198">
        <f t="shared" ref="I156:J160" si="254">I155</f>
        <v>8</v>
      </c>
      <c r="J156" s="199">
        <f t="shared" si="254"/>
        <v>0</v>
      </c>
      <c r="K156" s="194" t="str">
        <f t="shared" ref="K156:K158" si="255">D156&amp;-1</f>
        <v>20-1</v>
      </c>
      <c r="L156" s="198">
        <f t="shared" ref="L156:L159" si="256">L155</f>
        <v>0.2</v>
      </c>
      <c r="M156" s="49">
        <v>30</v>
      </c>
      <c r="N156" s="198">
        <f t="shared" ref="N156:Q159" si="257">N155</f>
        <v>150</v>
      </c>
      <c r="O156" s="198">
        <f t="shared" si="257"/>
        <v>160</v>
      </c>
      <c r="P156" s="198">
        <f t="shared" si="257"/>
        <v>390</v>
      </c>
      <c r="Q156" s="196">
        <f>Q155</f>
        <v>-4</v>
      </c>
    </row>
    <row r="157" spans="1:17" x14ac:dyDescent="0.25">
      <c r="A157" s="229">
        <f t="shared" ref="A157:B157" si="258">A156+1</f>
        <v>2307</v>
      </c>
      <c r="B157" s="230">
        <f t="shared" si="258"/>
        <v>147</v>
      </c>
      <c r="C157" s="229" t="str">
        <f t="shared" si="226"/>
        <v>22cX20+000_060_01</v>
      </c>
      <c r="D157" s="197">
        <f t="shared" si="252"/>
        <v>20</v>
      </c>
      <c r="E157" s="204">
        <f t="shared" si="248"/>
        <v>2.8840000000000003</v>
      </c>
      <c r="F157" s="198">
        <f t="shared" si="253"/>
        <v>14.420000000000002</v>
      </c>
      <c r="G157" s="198">
        <f t="shared" si="249"/>
        <v>11.536000000000001</v>
      </c>
      <c r="H157" s="198">
        <f t="shared" si="250"/>
        <v>7.2100000000000009</v>
      </c>
      <c r="I157" s="198">
        <f t="shared" si="254"/>
        <v>8</v>
      </c>
      <c r="J157" s="199">
        <f t="shared" si="254"/>
        <v>0</v>
      </c>
      <c r="K157" s="194" t="str">
        <f t="shared" si="255"/>
        <v>20-1</v>
      </c>
      <c r="L157" s="198">
        <f t="shared" si="256"/>
        <v>0.2</v>
      </c>
      <c r="M157" s="49">
        <v>60</v>
      </c>
      <c r="N157" s="198">
        <f t="shared" si="257"/>
        <v>150</v>
      </c>
      <c r="O157" s="198">
        <f t="shared" si="257"/>
        <v>160</v>
      </c>
      <c r="P157" s="198">
        <f t="shared" si="257"/>
        <v>390</v>
      </c>
      <c r="Q157" s="196">
        <f t="shared" si="257"/>
        <v>-4</v>
      </c>
    </row>
    <row r="158" spans="1:17" x14ac:dyDescent="0.25">
      <c r="A158" s="229">
        <f t="shared" ref="A158:B158" si="259">A157+1</f>
        <v>2308</v>
      </c>
      <c r="B158" s="230">
        <f t="shared" si="259"/>
        <v>148</v>
      </c>
      <c r="C158" s="229" t="str">
        <f t="shared" si="226"/>
        <v>22cX20+000_090_01</v>
      </c>
      <c r="D158" s="197">
        <f t="shared" si="252"/>
        <v>20</v>
      </c>
      <c r="E158" s="204">
        <f t="shared" si="248"/>
        <v>2.8840000000000003</v>
      </c>
      <c r="F158" s="198">
        <f t="shared" si="253"/>
        <v>14.420000000000002</v>
      </c>
      <c r="G158" s="198">
        <f t="shared" si="249"/>
        <v>11.536000000000001</v>
      </c>
      <c r="H158" s="198">
        <f t="shared" si="250"/>
        <v>7.2100000000000009</v>
      </c>
      <c r="I158" s="198">
        <f t="shared" si="254"/>
        <v>8</v>
      </c>
      <c r="J158" s="199">
        <f t="shared" si="254"/>
        <v>0</v>
      </c>
      <c r="K158" s="194" t="str">
        <f t="shared" si="255"/>
        <v>20-1</v>
      </c>
      <c r="L158" s="198">
        <f t="shared" si="256"/>
        <v>0.2</v>
      </c>
      <c r="M158" s="49">
        <v>90</v>
      </c>
      <c r="N158" s="198">
        <f t="shared" si="257"/>
        <v>150</v>
      </c>
      <c r="O158" s="198">
        <f t="shared" si="257"/>
        <v>160</v>
      </c>
      <c r="P158" s="198">
        <f t="shared" si="257"/>
        <v>390</v>
      </c>
      <c r="Q158" s="196">
        <f t="shared" si="257"/>
        <v>-4</v>
      </c>
    </row>
    <row r="159" spans="1:17" x14ac:dyDescent="0.25">
      <c r="A159" s="229">
        <f t="shared" ref="A159:B159" si="260">A158+1</f>
        <v>2309</v>
      </c>
      <c r="B159" s="230">
        <f t="shared" si="260"/>
        <v>149</v>
      </c>
      <c r="C159" s="229" t="str">
        <f t="shared" si="226"/>
        <v>22cX20+000_000_02</v>
      </c>
      <c r="D159" s="197">
        <f t="shared" si="252"/>
        <v>20</v>
      </c>
      <c r="E159" s="204">
        <f t="shared" si="248"/>
        <v>2.8840000000000003</v>
      </c>
      <c r="F159" s="198">
        <f t="shared" si="253"/>
        <v>14.420000000000002</v>
      </c>
      <c r="G159" s="198">
        <f t="shared" si="249"/>
        <v>11.536000000000001</v>
      </c>
      <c r="H159" s="198">
        <f t="shared" si="250"/>
        <v>7.2100000000000009</v>
      </c>
      <c r="I159" s="198">
        <f t="shared" si="254"/>
        <v>8</v>
      </c>
      <c r="J159" s="199">
        <f t="shared" si="254"/>
        <v>0</v>
      </c>
      <c r="K159" s="194" t="str">
        <f>D159&amp;-2</f>
        <v>20-2</v>
      </c>
      <c r="L159" s="198">
        <f t="shared" si="256"/>
        <v>0.2</v>
      </c>
      <c r="M159" s="49">
        <v>0</v>
      </c>
      <c r="N159" s="198">
        <f t="shared" si="257"/>
        <v>150</v>
      </c>
      <c r="O159" s="198">
        <f t="shared" si="257"/>
        <v>160</v>
      </c>
      <c r="P159" s="198">
        <f t="shared" si="257"/>
        <v>390</v>
      </c>
      <c r="Q159" s="196">
        <f t="shared" si="257"/>
        <v>-4</v>
      </c>
    </row>
    <row r="160" spans="1:17" x14ac:dyDescent="0.25">
      <c r="A160" s="229">
        <f t="shared" ref="A160:B160" si="261">A159+1</f>
        <v>2310</v>
      </c>
      <c r="B160" s="230">
        <f t="shared" si="261"/>
        <v>150</v>
      </c>
      <c r="C160" s="229" t="str">
        <f t="shared" si="226"/>
        <v>22cX20+000_030_02</v>
      </c>
      <c r="D160" s="197">
        <f t="shared" si="252"/>
        <v>20</v>
      </c>
      <c r="E160" s="204">
        <f t="shared" si="248"/>
        <v>2.8840000000000003</v>
      </c>
      <c r="F160" s="198">
        <f t="shared" si="253"/>
        <v>14.420000000000002</v>
      </c>
      <c r="G160" s="198">
        <f t="shared" si="249"/>
        <v>11.536000000000001</v>
      </c>
      <c r="H160" s="198">
        <f t="shared" si="250"/>
        <v>7.2100000000000009</v>
      </c>
      <c r="I160" s="198">
        <f t="shared" si="254"/>
        <v>8</v>
      </c>
      <c r="J160" s="199">
        <f t="shared" si="254"/>
        <v>0</v>
      </c>
      <c r="K160" s="194" t="str">
        <f t="shared" ref="K160:K162" si="262">D160&amp;-2</f>
        <v>20-2</v>
      </c>
      <c r="L160" s="198">
        <f t="shared" ref="L160:L202" si="263">L159</f>
        <v>0.2</v>
      </c>
      <c r="M160" s="49">
        <v>30</v>
      </c>
      <c r="N160" s="198">
        <f t="shared" ref="N160:Q175" si="264">N159</f>
        <v>150</v>
      </c>
      <c r="O160" s="198">
        <f t="shared" si="264"/>
        <v>160</v>
      </c>
      <c r="P160" s="198">
        <f t="shared" si="264"/>
        <v>390</v>
      </c>
      <c r="Q160" s="196">
        <f t="shared" si="264"/>
        <v>-4</v>
      </c>
    </row>
    <row r="161" spans="1:17" x14ac:dyDescent="0.25">
      <c r="A161" s="229">
        <f t="shared" ref="A161:B161" si="265">A160+1</f>
        <v>2311</v>
      </c>
      <c r="B161" s="230">
        <f t="shared" si="265"/>
        <v>151</v>
      </c>
      <c r="C161" s="229" t="str">
        <f t="shared" si="226"/>
        <v>22cX20+000_060_02</v>
      </c>
      <c r="D161" s="197">
        <f t="shared" ref="D161:D202" si="266">D160</f>
        <v>20</v>
      </c>
      <c r="E161" s="204">
        <f t="shared" si="248"/>
        <v>2.8840000000000003</v>
      </c>
      <c r="F161" s="198">
        <f t="shared" ref="F161:F202" si="267">E161/D161*100</f>
        <v>14.420000000000002</v>
      </c>
      <c r="G161" s="198">
        <f t="shared" si="249"/>
        <v>11.536000000000001</v>
      </c>
      <c r="H161" s="198">
        <f t="shared" si="250"/>
        <v>7.2100000000000009</v>
      </c>
      <c r="I161" s="198">
        <f t="shared" ref="I161:J176" si="268">I160</f>
        <v>8</v>
      </c>
      <c r="J161" s="199">
        <f t="shared" si="268"/>
        <v>0</v>
      </c>
      <c r="K161" s="194" t="str">
        <f t="shared" si="262"/>
        <v>20-2</v>
      </c>
      <c r="L161" s="198">
        <f t="shared" si="263"/>
        <v>0.2</v>
      </c>
      <c r="M161" s="49">
        <v>60</v>
      </c>
      <c r="N161" s="198">
        <f t="shared" si="264"/>
        <v>150</v>
      </c>
      <c r="O161" s="198">
        <f t="shared" si="264"/>
        <v>160</v>
      </c>
      <c r="P161" s="198">
        <f t="shared" si="264"/>
        <v>390</v>
      </c>
      <c r="Q161" s="196">
        <f t="shared" si="264"/>
        <v>-4</v>
      </c>
    </row>
    <row r="162" spans="1:17" x14ac:dyDescent="0.25">
      <c r="A162" s="229">
        <f t="shared" ref="A162:B162" si="269">A161+1</f>
        <v>2312</v>
      </c>
      <c r="B162" s="230">
        <f t="shared" si="269"/>
        <v>152</v>
      </c>
      <c r="C162" s="229" t="str">
        <f t="shared" si="226"/>
        <v>22cX20+000_090_02</v>
      </c>
      <c r="D162" s="197">
        <f t="shared" si="266"/>
        <v>20</v>
      </c>
      <c r="E162" s="204">
        <f t="shared" si="248"/>
        <v>2.8840000000000003</v>
      </c>
      <c r="F162" s="198">
        <f t="shared" si="267"/>
        <v>14.420000000000002</v>
      </c>
      <c r="G162" s="198">
        <f t="shared" si="249"/>
        <v>11.536000000000001</v>
      </c>
      <c r="H162" s="198">
        <f t="shared" si="250"/>
        <v>7.2100000000000009</v>
      </c>
      <c r="I162" s="198">
        <f t="shared" si="268"/>
        <v>8</v>
      </c>
      <c r="J162" s="199">
        <f t="shared" si="268"/>
        <v>0</v>
      </c>
      <c r="K162" s="194" t="str">
        <f t="shared" si="262"/>
        <v>20-2</v>
      </c>
      <c r="L162" s="198">
        <f t="shared" si="263"/>
        <v>0.2</v>
      </c>
      <c r="M162" s="49">
        <v>90</v>
      </c>
      <c r="N162" s="198">
        <f t="shared" si="264"/>
        <v>150</v>
      </c>
      <c r="O162" s="198">
        <f t="shared" si="264"/>
        <v>160</v>
      </c>
      <c r="P162" s="198">
        <f t="shared" si="264"/>
        <v>390</v>
      </c>
      <c r="Q162" s="196">
        <f t="shared" si="264"/>
        <v>-4</v>
      </c>
    </row>
    <row r="163" spans="1:17" x14ac:dyDescent="0.25">
      <c r="A163" s="229">
        <f t="shared" ref="A163:B163" si="270">A162+1</f>
        <v>2313</v>
      </c>
      <c r="B163" s="230">
        <f t="shared" si="270"/>
        <v>153</v>
      </c>
      <c r="C163" s="229" t="str">
        <f t="shared" si="226"/>
        <v>22cX20+000_000_03</v>
      </c>
      <c r="D163" s="197">
        <f t="shared" si="266"/>
        <v>20</v>
      </c>
      <c r="E163" s="204">
        <f t="shared" si="248"/>
        <v>2.8840000000000003</v>
      </c>
      <c r="F163" s="198">
        <f t="shared" si="267"/>
        <v>14.420000000000002</v>
      </c>
      <c r="G163" s="198">
        <f t="shared" si="249"/>
        <v>11.536000000000001</v>
      </c>
      <c r="H163" s="198">
        <f t="shared" si="250"/>
        <v>7.2100000000000009</v>
      </c>
      <c r="I163" s="198">
        <f t="shared" si="268"/>
        <v>8</v>
      </c>
      <c r="J163" s="199">
        <f t="shared" si="268"/>
        <v>0</v>
      </c>
      <c r="K163" s="194" t="str">
        <f>D163&amp;-3</f>
        <v>20-3</v>
      </c>
      <c r="L163" s="198">
        <f t="shared" si="263"/>
        <v>0.2</v>
      </c>
      <c r="M163" s="49">
        <v>0</v>
      </c>
      <c r="N163" s="198">
        <f t="shared" si="264"/>
        <v>150</v>
      </c>
      <c r="O163" s="198">
        <f t="shared" si="264"/>
        <v>160</v>
      </c>
      <c r="P163" s="198">
        <f t="shared" si="264"/>
        <v>390</v>
      </c>
      <c r="Q163" s="196">
        <f t="shared" si="264"/>
        <v>-4</v>
      </c>
    </row>
    <row r="164" spans="1:17" x14ac:dyDescent="0.25">
      <c r="A164" s="229">
        <f t="shared" ref="A164:B164" si="271">A163+1</f>
        <v>2314</v>
      </c>
      <c r="B164" s="230">
        <f t="shared" si="271"/>
        <v>154</v>
      </c>
      <c r="C164" s="229" t="str">
        <f t="shared" si="226"/>
        <v>22cX20+000_030_03</v>
      </c>
      <c r="D164" s="197">
        <f t="shared" si="266"/>
        <v>20</v>
      </c>
      <c r="E164" s="204">
        <f t="shared" si="248"/>
        <v>2.8840000000000003</v>
      </c>
      <c r="F164" s="198">
        <f t="shared" si="267"/>
        <v>14.420000000000002</v>
      </c>
      <c r="G164" s="198">
        <f t="shared" si="249"/>
        <v>11.536000000000001</v>
      </c>
      <c r="H164" s="198">
        <f t="shared" si="250"/>
        <v>7.2100000000000009</v>
      </c>
      <c r="I164" s="198">
        <f t="shared" si="268"/>
        <v>8</v>
      </c>
      <c r="J164" s="199">
        <f t="shared" si="268"/>
        <v>0</v>
      </c>
      <c r="K164" s="194" t="str">
        <f t="shared" ref="K164:K166" si="272">D164&amp;-3</f>
        <v>20-3</v>
      </c>
      <c r="L164" s="198">
        <f t="shared" si="263"/>
        <v>0.2</v>
      </c>
      <c r="M164" s="49">
        <v>30</v>
      </c>
      <c r="N164" s="198">
        <f t="shared" si="264"/>
        <v>150</v>
      </c>
      <c r="O164" s="198">
        <f t="shared" si="264"/>
        <v>160</v>
      </c>
      <c r="P164" s="198">
        <f t="shared" si="264"/>
        <v>390</v>
      </c>
      <c r="Q164" s="196">
        <f t="shared" si="264"/>
        <v>-4</v>
      </c>
    </row>
    <row r="165" spans="1:17" x14ac:dyDescent="0.25">
      <c r="A165" s="229">
        <f t="shared" ref="A165:B165" si="273">A164+1</f>
        <v>2315</v>
      </c>
      <c r="B165" s="230">
        <f t="shared" si="273"/>
        <v>155</v>
      </c>
      <c r="C165" s="229" t="str">
        <f t="shared" si="226"/>
        <v>22cX20+000_060_03</v>
      </c>
      <c r="D165" s="197">
        <f t="shared" si="266"/>
        <v>20</v>
      </c>
      <c r="E165" s="204">
        <f t="shared" si="248"/>
        <v>2.8840000000000003</v>
      </c>
      <c r="F165" s="198">
        <f t="shared" si="267"/>
        <v>14.420000000000002</v>
      </c>
      <c r="G165" s="198">
        <f t="shared" si="249"/>
        <v>11.536000000000001</v>
      </c>
      <c r="H165" s="198">
        <f t="shared" si="250"/>
        <v>7.2100000000000009</v>
      </c>
      <c r="I165" s="198">
        <f t="shared" si="268"/>
        <v>8</v>
      </c>
      <c r="J165" s="199">
        <f t="shared" si="268"/>
        <v>0</v>
      </c>
      <c r="K165" s="194" t="str">
        <f t="shared" si="272"/>
        <v>20-3</v>
      </c>
      <c r="L165" s="198">
        <f t="shared" si="263"/>
        <v>0.2</v>
      </c>
      <c r="M165" s="49">
        <v>60</v>
      </c>
      <c r="N165" s="198">
        <f t="shared" si="264"/>
        <v>150</v>
      </c>
      <c r="O165" s="198">
        <f t="shared" si="264"/>
        <v>160</v>
      </c>
      <c r="P165" s="198">
        <f t="shared" si="264"/>
        <v>390</v>
      </c>
      <c r="Q165" s="196">
        <f t="shared" si="264"/>
        <v>-4</v>
      </c>
    </row>
    <row r="166" spans="1:17" x14ac:dyDescent="0.25">
      <c r="A166" s="229">
        <f t="shared" ref="A166:B166" si="274">A165+1</f>
        <v>2316</v>
      </c>
      <c r="B166" s="230">
        <f t="shared" si="274"/>
        <v>156</v>
      </c>
      <c r="C166" s="229" t="str">
        <f t="shared" si="226"/>
        <v>22cX20+000_090_03</v>
      </c>
      <c r="D166" s="197">
        <f t="shared" si="266"/>
        <v>20</v>
      </c>
      <c r="E166" s="204">
        <f t="shared" si="248"/>
        <v>2.8840000000000003</v>
      </c>
      <c r="F166" s="198">
        <f t="shared" si="267"/>
        <v>14.420000000000002</v>
      </c>
      <c r="G166" s="198">
        <f t="shared" si="249"/>
        <v>11.536000000000001</v>
      </c>
      <c r="H166" s="198">
        <f t="shared" si="250"/>
        <v>7.2100000000000009</v>
      </c>
      <c r="I166" s="198">
        <f t="shared" si="268"/>
        <v>8</v>
      </c>
      <c r="J166" s="199">
        <f t="shared" si="268"/>
        <v>0</v>
      </c>
      <c r="K166" s="194" t="str">
        <f t="shared" si="272"/>
        <v>20-3</v>
      </c>
      <c r="L166" s="198">
        <f t="shared" si="263"/>
        <v>0.2</v>
      </c>
      <c r="M166" s="49">
        <v>90</v>
      </c>
      <c r="N166" s="198">
        <f t="shared" si="264"/>
        <v>150</v>
      </c>
      <c r="O166" s="198">
        <f t="shared" si="264"/>
        <v>160</v>
      </c>
      <c r="P166" s="198">
        <f t="shared" si="264"/>
        <v>390</v>
      </c>
      <c r="Q166" s="196">
        <f t="shared" si="264"/>
        <v>-4</v>
      </c>
    </row>
    <row r="167" spans="1:17" ht="14.25" customHeight="1" x14ac:dyDescent="0.25">
      <c r="A167" s="229">
        <f t="shared" ref="A167:B167" si="275">A166+1</f>
        <v>2317</v>
      </c>
      <c r="B167" s="230">
        <f t="shared" si="275"/>
        <v>157</v>
      </c>
      <c r="C167" s="229" t="str">
        <f t="shared" si="226"/>
        <v>22cX20+000_000_04</v>
      </c>
      <c r="D167" s="197">
        <f t="shared" si="266"/>
        <v>20</v>
      </c>
      <c r="E167" s="204">
        <f t="shared" si="248"/>
        <v>2.8840000000000003</v>
      </c>
      <c r="F167" s="198">
        <f t="shared" si="267"/>
        <v>14.420000000000002</v>
      </c>
      <c r="G167" s="198">
        <f t="shared" si="249"/>
        <v>11.536000000000001</v>
      </c>
      <c r="H167" s="198">
        <f t="shared" si="250"/>
        <v>7.2100000000000009</v>
      </c>
      <c r="I167" s="198">
        <f t="shared" si="268"/>
        <v>8</v>
      </c>
      <c r="J167" s="199">
        <f t="shared" si="268"/>
        <v>0</v>
      </c>
      <c r="K167" s="194" t="str">
        <f>D167&amp;-4</f>
        <v>20-4</v>
      </c>
      <c r="L167" s="198">
        <f t="shared" si="263"/>
        <v>0.2</v>
      </c>
      <c r="M167" s="49">
        <v>0</v>
      </c>
      <c r="N167" s="198">
        <f t="shared" si="264"/>
        <v>150</v>
      </c>
      <c r="O167" s="198">
        <f t="shared" si="264"/>
        <v>160</v>
      </c>
      <c r="P167" s="198">
        <f t="shared" si="264"/>
        <v>390</v>
      </c>
      <c r="Q167" s="196">
        <f t="shared" si="264"/>
        <v>-4</v>
      </c>
    </row>
    <row r="168" spans="1:17" x14ac:dyDescent="0.25">
      <c r="A168" s="229">
        <f t="shared" ref="A168:B168" si="276">A167+1</f>
        <v>2318</v>
      </c>
      <c r="B168" s="230">
        <f t="shared" si="276"/>
        <v>158</v>
      </c>
      <c r="C168" s="229" t="str">
        <f t="shared" si="226"/>
        <v>22cX20+000_030_04</v>
      </c>
      <c r="D168" s="197">
        <f t="shared" si="266"/>
        <v>20</v>
      </c>
      <c r="E168" s="204">
        <f t="shared" si="248"/>
        <v>2.8840000000000003</v>
      </c>
      <c r="F168" s="198">
        <f t="shared" si="267"/>
        <v>14.420000000000002</v>
      </c>
      <c r="G168" s="198">
        <f t="shared" si="249"/>
        <v>11.536000000000001</v>
      </c>
      <c r="H168" s="198">
        <f t="shared" si="250"/>
        <v>7.2100000000000009</v>
      </c>
      <c r="I168" s="198">
        <f t="shared" si="268"/>
        <v>8</v>
      </c>
      <c r="J168" s="199">
        <f t="shared" si="268"/>
        <v>0</v>
      </c>
      <c r="K168" s="194" t="str">
        <f t="shared" ref="K168:K170" si="277">D168&amp;-4</f>
        <v>20-4</v>
      </c>
      <c r="L168" s="198">
        <f t="shared" si="263"/>
        <v>0.2</v>
      </c>
      <c r="M168" s="49">
        <v>30</v>
      </c>
      <c r="N168" s="198">
        <f t="shared" si="264"/>
        <v>150</v>
      </c>
      <c r="O168" s="198">
        <f t="shared" si="264"/>
        <v>160</v>
      </c>
      <c r="P168" s="198">
        <f t="shared" si="264"/>
        <v>390</v>
      </c>
      <c r="Q168" s="196">
        <f t="shared" si="264"/>
        <v>-4</v>
      </c>
    </row>
    <row r="169" spans="1:17" x14ac:dyDescent="0.25">
      <c r="A169" s="229">
        <f t="shared" ref="A169:B169" si="278">A168+1</f>
        <v>2319</v>
      </c>
      <c r="B169" s="230">
        <f t="shared" si="278"/>
        <v>159</v>
      </c>
      <c r="C169" s="229" t="str">
        <f t="shared" si="226"/>
        <v>22cX20+000_060_04</v>
      </c>
      <c r="D169" s="197">
        <f t="shared" si="266"/>
        <v>20</v>
      </c>
      <c r="E169" s="204">
        <f t="shared" si="248"/>
        <v>2.8840000000000003</v>
      </c>
      <c r="F169" s="198">
        <f t="shared" si="267"/>
        <v>14.420000000000002</v>
      </c>
      <c r="G169" s="198">
        <f t="shared" si="249"/>
        <v>11.536000000000001</v>
      </c>
      <c r="H169" s="198">
        <f t="shared" si="250"/>
        <v>7.2100000000000009</v>
      </c>
      <c r="I169" s="198">
        <f t="shared" si="268"/>
        <v>8</v>
      </c>
      <c r="J169" s="199">
        <f t="shared" si="268"/>
        <v>0</v>
      </c>
      <c r="K169" s="194" t="str">
        <f t="shared" si="277"/>
        <v>20-4</v>
      </c>
      <c r="L169" s="198">
        <f t="shared" si="263"/>
        <v>0.2</v>
      </c>
      <c r="M169" s="49">
        <v>60</v>
      </c>
      <c r="N169" s="198">
        <f t="shared" si="264"/>
        <v>150</v>
      </c>
      <c r="O169" s="198">
        <f t="shared" si="264"/>
        <v>160</v>
      </c>
      <c r="P169" s="198">
        <f t="shared" si="264"/>
        <v>390</v>
      </c>
      <c r="Q169" s="196">
        <f t="shared" si="264"/>
        <v>-4</v>
      </c>
    </row>
    <row r="170" spans="1:17" x14ac:dyDescent="0.25">
      <c r="A170" s="229">
        <f t="shared" ref="A170:B170" si="279">A169+1</f>
        <v>2320</v>
      </c>
      <c r="B170" s="230">
        <f t="shared" si="279"/>
        <v>160</v>
      </c>
      <c r="C170" s="229" t="str">
        <f t="shared" si="226"/>
        <v>22cX20+000_090_04</v>
      </c>
      <c r="D170" s="197">
        <f t="shared" si="266"/>
        <v>20</v>
      </c>
      <c r="E170" s="204">
        <f t="shared" si="248"/>
        <v>2.8840000000000003</v>
      </c>
      <c r="F170" s="198">
        <f t="shared" si="267"/>
        <v>14.420000000000002</v>
      </c>
      <c r="G170" s="198">
        <f t="shared" si="249"/>
        <v>11.536000000000001</v>
      </c>
      <c r="H170" s="198">
        <f t="shared" si="250"/>
        <v>7.2100000000000009</v>
      </c>
      <c r="I170" s="198">
        <f t="shared" si="268"/>
        <v>8</v>
      </c>
      <c r="J170" s="199">
        <f t="shared" si="268"/>
        <v>0</v>
      </c>
      <c r="K170" s="194" t="str">
        <f t="shared" si="277"/>
        <v>20-4</v>
      </c>
      <c r="L170" s="198">
        <f t="shared" si="263"/>
        <v>0.2</v>
      </c>
      <c r="M170" s="49">
        <v>90</v>
      </c>
      <c r="N170" s="198">
        <f t="shared" si="264"/>
        <v>150</v>
      </c>
      <c r="O170" s="198">
        <f t="shared" si="264"/>
        <v>160</v>
      </c>
      <c r="P170" s="198">
        <f t="shared" si="264"/>
        <v>390</v>
      </c>
      <c r="Q170" s="196">
        <f t="shared" si="264"/>
        <v>-4</v>
      </c>
    </row>
    <row r="171" spans="1:17" x14ac:dyDescent="0.25">
      <c r="A171" s="229">
        <f t="shared" ref="A171:B171" si="280">A170+1</f>
        <v>2321</v>
      </c>
      <c r="B171" s="230">
        <f t="shared" si="280"/>
        <v>161</v>
      </c>
      <c r="C171" s="229" t="str">
        <f t="shared" si="226"/>
        <v>22cX20+000_000_05</v>
      </c>
      <c r="D171" s="197">
        <f t="shared" si="266"/>
        <v>20</v>
      </c>
      <c r="E171" s="204">
        <f t="shared" si="248"/>
        <v>2.8840000000000003</v>
      </c>
      <c r="F171" s="198">
        <f t="shared" si="267"/>
        <v>14.420000000000002</v>
      </c>
      <c r="G171" s="198">
        <f t="shared" si="249"/>
        <v>11.536000000000001</v>
      </c>
      <c r="H171" s="198">
        <f t="shared" si="250"/>
        <v>7.2100000000000009</v>
      </c>
      <c r="I171" s="198">
        <f t="shared" si="268"/>
        <v>8</v>
      </c>
      <c r="J171" s="199">
        <f t="shared" si="268"/>
        <v>0</v>
      </c>
      <c r="K171" s="194" t="str">
        <f>D171&amp;-5</f>
        <v>20-5</v>
      </c>
      <c r="L171" s="198">
        <f t="shared" si="263"/>
        <v>0.2</v>
      </c>
      <c r="M171" s="49">
        <v>0</v>
      </c>
      <c r="N171" s="198">
        <f t="shared" si="264"/>
        <v>150</v>
      </c>
      <c r="O171" s="198">
        <f t="shared" si="264"/>
        <v>160</v>
      </c>
      <c r="P171" s="198">
        <f t="shared" si="264"/>
        <v>390</v>
      </c>
      <c r="Q171" s="196">
        <f t="shared" si="264"/>
        <v>-4</v>
      </c>
    </row>
    <row r="172" spans="1:17" x14ac:dyDescent="0.25">
      <c r="A172" s="229">
        <f t="shared" ref="A172:B172" si="281">A171+1</f>
        <v>2322</v>
      </c>
      <c r="B172" s="230">
        <f t="shared" si="281"/>
        <v>162</v>
      </c>
      <c r="C172" s="229" t="str">
        <f t="shared" si="226"/>
        <v>22cX20+000_030_05</v>
      </c>
      <c r="D172" s="197">
        <f t="shared" si="266"/>
        <v>20</v>
      </c>
      <c r="E172" s="204">
        <f t="shared" si="248"/>
        <v>2.8840000000000003</v>
      </c>
      <c r="F172" s="198">
        <f t="shared" si="267"/>
        <v>14.420000000000002</v>
      </c>
      <c r="G172" s="198">
        <f t="shared" si="249"/>
        <v>11.536000000000001</v>
      </c>
      <c r="H172" s="198">
        <f t="shared" si="250"/>
        <v>7.2100000000000009</v>
      </c>
      <c r="I172" s="198">
        <f t="shared" si="268"/>
        <v>8</v>
      </c>
      <c r="J172" s="199">
        <f t="shared" si="268"/>
        <v>0</v>
      </c>
      <c r="K172" s="194" t="str">
        <f t="shared" ref="K172:K174" si="282">D172&amp;-5</f>
        <v>20-5</v>
      </c>
      <c r="L172" s="198">
        <f t="shared" si="263"/>
        <v>0.2</v>
      </c>
      <c r="M172" s="49">
        <v>30</v>
      </c>
      <c r="N172" s="198">
        <f t="shared" si="264"/>
        <v>150</v>
      </c>
      <c r="O172" s="198">
        <f t="shared" si="264"/>
        <v>160</v>
      </c>
      <c r="P172" s="198">
        <f t="shared" si="264"/>
        <v>390</v>
      </c>
      <c r="Q172" s="196">
        <f t="shared" si="264"/>
        <v>-4</v>
      </c>
    </row>
    <row r="173" spans="1:17" x14ac:dyDescent="0.25">
      <c r="A173" s="229">
        <f t="shared" ref="A173:B173" si="283">A172+1</f>
        <v>2323</v>
      </c>
      <c r="B173" s="230">
        <f t="shared" si="283"/>
        <v>163</v>
      </c>
      <c r="C173" s="229" t="str">
        <f t="shared" si="226"/>
        <v>22cX20+000_060_05</v>
      </c>
      <c r="D173" s="197">
        <f t="shared" si="266"/>
        <v>20</v>
      </c>
      <c r="E173" s="204">
        <f t="shared" si="248"/>
        <v>2.8840000000000003</v>
      </c>
      <c r="F173" s="198">
        <f t="shared" si="267"/>
        <v>14.420000000000002</v>
      </c>
      <c r="G173" s="198">
        <f t="shared" si="249"/>
        <v>11.536000000000001</v>
      </c>
      <c r="H173" s="198">
        <f t="shared" si="250"/>
        <v>7.2100000000000009</v>
      </c>
      <c r="I173" s="198">
        <f t="shared" si="268"/>
        <v>8</v>
      </c>
      <c r="J173" s="199">
        <f t="shared" si="268"/>
        <v>0</v>
      </c>
      <c r="K173" s="194" t="str">
        <f t="shared" si="282"/>
        <v>20-5</v>
      </c>
      <c r="L173" s="198">
        <f t="shared" si="263"/>
        <v>0.2</v>
      </c>
      <c r="M173" s="49">
        <v>60</v>
      </c>
      <c r="N173" s="198">
        <f t="shared" si="264"/>
        <v>150</v>
      </c>
      <c r="O173" s="198">
        <f t="shared" si="264"/>
        <v>160</v>
      </c>
      <c r="P173" s="198">
        <f t="shared" si="264"/>
        <v>390</v>
      </c>
      <c r="Q173" s="196">
        <f t="shared" si="264"/>
        <v>-4</v>
      </c>
    </row>
    <row r="174" spans="1:17" x14ac:dyDescent="0.25">
      <c r="A174" s="229">
        <f t="shared" ref="A174:B174" si="284">A173+1</f>
        <v>2324</v>
      </c>
      <c r="B174" s="230">
        <f t="shared" si="284"/>
        <v>164</v>
      </c>
      <c r="C174" s="229" t="str">
        <f t="shared" si="226"/>
        <v>22cX20+000_090_05</v>
      </c>
      <c r="D174" s="197">
        <f t="shared" si="266"/>
        <v>20</v>
      </c>
      <c r="E174" s="204">
        <f t="shared" si="248"/>
        <v>2.8840000000000003</v>
      </c>
      <c r="F174" s="198">
        <f t="shared" si="267"/>
        <v>14.420000000000002</v>
      </c>
      <c r="G174" s="198">
        <f t="shared" si="249"/>
        <v>11.536000000000001</v>
      </c>
      <c r="H174" s="198">
        <f t="shared" si="250"/>
        <v>7.2100000000000009</v>
      </c>
      <c r="I174" s="198">
        <f t="shared" si="268"/>
        <v>8</v>
      </c>
      <c r="J174" s="199">
        <f t="shared" si="268"/>
        <v>0</v>
      </c>
      <c r="K174" s="194" t="str">
        <f t="shared" si="282"/>
        <v>20-5</v>
      </c>
      <c r="L174" s="198">
        <f t="shared" si="263"/>
        <v>0.2</v>
      </c>
      <c r="M174" s="49">
        <v>90</v>
      </c>
      <c r="N174" s="198">
        <f t="shared" si="264"/>
        <v>150</v>
      </c>
      <c r="O174" s="198">
        <f t="shared" si="264"/>
        <v>160</v>
      </c>
      <c r="P174" s="198">
        <f t="shared" si="264"/>
        <v>390</v>
      </c>
      <c r="Q174" s="196">
        <f t="shared" si="264"/>
        <v>-4</v>
      </c>
    </row>
    <row r="175" spans="1:17" x14ac:dyDescent="0.25">
      <c r="A175" s="229">
        <f t="shared" ref="A175:B175" si="285">A174+1</f>
        <v>2325</v>
      </c>
      <c r="B175" s="230">
        <f t="shared" si="285"/>
        <v>165</v>
      </c>
      <c r="C175" s="229" t="str">
        <f t="shared" si="226"/>
        <v>22cX20+000_000_06</v>
      </c>
      <c r="D175" s="197">
        <f t="shared" si="266"/>
        <v>20</v>
      </c>
      <c r="E175" s="204">
        <f t="shared" si="248"/>
        <v>2.8840000000000003</v>
      </c>
      <c r="F175" s="198">
        <f t="shared" si="267"/>
        <v>14.420000000000002</v>
      </c>
      <c r="G175" s="198">
        <f t="shared" si="249"/>
        <v>11.536000000000001</v>
      </c>
      <c r="H175" s="198">
        <f t="shared" si="250"/>
        <v>7.2100000000000009</v>
      </c>
      <c r="I175" s="198">
        <f t="shared" si="268"/>
        <v>8</v>
      </c>
      <c r="J175" s="199">
        <f t="shared" si="268"/>
        <v>0</v>
      </c>
      <c r="K175" s="194" t="str">
        <f>D175&amp;-6</f>
        <v>20-6</v>
      </c>
      <c r="L175" s="198">
        <f t="shared" si="263"/>
        <v>0.2</v>
      </c>
      <c r="M175" s="49">
        <v>0</v>
      </c>
      <c r="N175" s="198">
        <f t="shared" si="264"/>
        <v>150</v>
      </c>
      <c r="O175" s="198">
        <f t="shared" si="264"/>
        <v>160</v>
      </c>
      <c r="P175" s="198">
        <f t="shared" si="264"/>
        <v>390</v>
      </c>
      <c r="Q175" s="196">
        <f t="shared" si="264"/>
        <v>-4</v>
      </c>
    </row>
    <row r="176" spans="1:17" x14ac:dyDescent="0.25">
      <c r="A176" s="229">
        <f t="shared" ref="A176:B176" si="286">A175+1</f>
        <v>2326</v>
      </c>
      <c r="B176" s="230">
        <f t="shared" si="286"/>
        <v>166</v>
      </c>
      <c r="C176" s="229" t="str">
        <f t="shared" si="226"/>
        <v>22cX20+000_030_06</v>
      </c>
      <c r="D176" s="197">
        <f t="shared" si="266"/>
        <v>20</v>
      </c>
      <c r="E176" s="204">
        <f t="shared" si="248"/>
        <v>2.8840000000000003</v>
      </c>
      <c r="F176" s="198">
        <f t="shared" si="267"/>
        <v>14.420000000000002</v>
      </c>
      <c r="G176" s="198">
        <f t="shared" si="249"/>
        <v>11.536000000000001</v>
      </c>
      <c r="H176" s="198">
        <f t="shared" si="250"/>
        <v>7.2100000000000009</v>
      </c>
      <c r="I176" s="198">
        <f t="shared" si="268"/>
        <v>8</v>
      </c>
      <c r="J176" s="199">
        <f t="shared" si="268"/>
        <v>0</v>
      </c>
      <c r="K176" s="194" t="str">
        <f t="shared" ref="K176:K178" si="287">D176&amp;-6</f>
        <v>20-6</v>
      </c>
      <c r="L176" s="198">
        <f t="shared" si="263"/>
        <v>0.2</v>
      </c>
      <c r="M176" s="49">
        <v>30</v>
      </c>
      <c r="N176" s="198">
        <f t="shared" ref="N176:Q191" si="288">N175</f>
        <v>150</v>
      </c>
      <c r="O176" s="198">
        <f t="shared" si="288"/>
        <v>160</v>
      </c>
      <c r="P176" s="198">
        <f t="shared" si="288"/>
        <v>390</v>
      </c>
      <c r="Q176" s="196">
        <f t="shared" si="288"/>
        <v>-4</v>
      </c>
    </row>
    <row r="177" spans="1:17" x14ac:dyDescent="0.25">
      <c r="A177" s="229">
        <f t="shared" ref="A177:B177" si="289">A176+1</f>
        <v>2327</v>
      </c>
      <c r="B177" s="230">
        <f t="shared" si="289"/>
        <v>167</v>
      </c>
      <c r="C177" s="229" t="str">
        <f t="shared" si="226"/>
        <v>22cX20+000_060_06</v>
      </c>
      <c r="D177" s="197">
        <f t="shared" si="266"/>
        <v>20</v>
      </c>
      <c r="E177" s="204">
        <f t="shared" si="248"/>
        <v>2.8840000000000003</v>
      </c>
      <c r="F177" s="198">
        <f t="shared" si="267"/>
        <v>14.420000000000002</v>
      </c>
      <c r="G177" s="198">
        <f t="shared" si="249"/>
        <v>11.536000000000001</v>
      </c>
      <c r="H177" s="198">
        <f t="shared" si="250"/>
        <v>7.2100000000000009</v>
      </c>
      <c r="I177" s="198">
        <f t="shared" ref="I177:J192" si="290">I176</f>
        <v>8</v>
      </c>
      <c r="J177" s="199">
        <f t="shared" si="290"/>
        <v>0</v>
      </c>
      <c r="K177" s="194" t="str">
        <f t="shared" si="287"/>
        <v>20-6</v>
      </c>
      <c r="L177" s="198">
        <f t="shared" si="263"/>
        <v>0.2</v>
      </c>
      <c r="M177" s="49">
        <v>60</v>
      </c>
      <c r="N177" s="198">
        <f t="shared" si="288"/>
        <v>150</v>
      </c>
      <c r="O177" s="198">
        <f t="shared" si="288"/>
        <v>160</v>
      </c>
      <c r="P177" s="198">
        <f t="shared" si="288"/>
        <v>390</v>
      </c>
      <c r="Q177" s="196">
        <f t="shared" si="288"/>
        <v>-4</v>
      </c>
    </row>
    <row r="178" spans="1:17" x14ac:dyDescent="0.25">
      <c r="A178" s="229">
        <f t="shared" ref="A178:B178" si="291">A177+1</f>
        <v>2328</v>
      </c>
      <c r="B178" s="230">
        <f t="shared" si="291"/>
        <v>168</v>
      </c>
      <c r="C178" s="229" t="str">
        <f t="shared" si="226"/>
        <v>22cX20+000_090_06</v>
      </c>
      <c r="D178" s="197">
        <f t="shared" si="266"/>
        <v>20</v>
      </c>
      <c r="E178" s="204">
        <f t="shared" si="248"/>
        <v>2.8840000000000003</v>
      </c>
      <c r="F178" s="198">
        <f t="shared" si="267"/>
        <v>14.420000000000002</v>
      </c>
      <c r="G178" s="198">
        <f t="shared" si="249"/>
        <v>11.536000000000001</v>
      </c>
      <c r="H178" s="198">
        <f t="shared" si="250"/>
        <v>7.2100000000000009</v>
      </c>
      <c r="I178" s="198">
        <f t="shared" si="290"/>
        <v>8</v>
      </c>
      <c r="J178" s="199">
        <f t="shared" si="290"/>
        <v>0</v>
      </c>
      <c r="K178" s="194" t="str">
        <f t="shared" si="287"/>
        <v>20-6</v>
      </c>
      <c r="L178" s="198">
        <f t="shared" si="263"/>
        <v>0.2</v>
      </c>
      <c r="M178" s="49">
        <v>90</v>
      </c>
      <c r="N178" s="198">
        <f t="shared" si="288"/>
        <v>150</v>
      </c>
      <c r="O178" s="198">
        <f t="shared" si="288"/>
        <v>160</v>
      </c>
      <c r="P178" s="198">
        <f t="shared" si="288"/>
        <v>390</v>
      </c>
      <c r="Q178" s="196">
        <f t="shared" si="288"/>
        <v>-4</v>
      </c>
    </row>
    <row r="179" spans="1:17" ht="14.25" customHeight="1" x14ac:dyDescent="0.25">
      <c r="A179" s="229">
        <f t="shared" ref="A179:B179" si="292">A178+1</f>
        <v>2329</v>
      </c>
      <c r="B179" s="230">
        <f t="shared" si="292"/>
        <v>169</v>
      </c>
      <c r="C179" s="229" t="str">
        <f t="shared" si="226"/>
        <v>22cX20+000_000_07</v>
      </c>
      <c r="D179" s="197">
        <f t="shared" si="266"/>
        <v>20</v>
      </c>
      <c r="E179" s="204">
        <f t="shared" si="248"/>
        <v>2.8840000000000003</v>
      </c>
      <c r="F179" s="198">
        <f t="shared" si="267"/>
        <v>14.420000000000002</v>
      </c>
      <c r="G179" s="198">
        <f t="shared" ref="G179:G226" si="293">m_ty*F179</f>
        <v>11.536000000000001</v>
      </c>
      <c r="H179" s="198">
        <f t="shared" ref="H179:H226" si="294">m_tz*F179</f>
        <v>7.2100000000000009</v>
      </c>
      <c r="I179" s="198">
        <f t="shared" si="290"/>
        <v>8</v>
      </c>
      <c r="J179" s="199">
        <f t="shared" si="290"/>
        <v>0</v>
      </c>
      <c r="K179" s="194" t="str">
        <f>D179&amp;-7</f>
        <v>20-7</v>
      </c>
      <c r="L179" s="198">
        <f t="shared" si="263"/>
        <v>0.2</v>
      </c>
      <c r="M179" s="49">
        <v>0</v>
      </c>
      <c r="N179" s="198">
        <f t="shared" si="288"/>
        <v>150</v>
      </c>
      <c r="O179" s="198">
        <f t="shared" si="288"/>
        <v>160</v>
      </c>
      <c r="P179" s="198">
        <f t="shared" si="288"/>
        <v>390</v>
      </c>
      <c r="Q179" s="196">
        <f t="shared" si="288"/>
        <v>-4</v>
      </c>
    </row>
    <row r="180" spans="1:17" x14ac:dyDescent="0.25">
      <c r="A180" s="229">
        <f t="shared" ref="A180:B180" si="295">A179+1</f>
        <v>2330</v>
      </c>
      <c r="B180" s="230">
        <f t="shared" si="295"/>
        <v>170</v>
      </c>
      <c r="C180" s="229" t="str">
        <f t="shared" si="226"/>
        <v>22cX20+000_030_07</v>
      </c>
      <c r="D180" s="197">
        <f t="shared" si="266"/>
        <v>20</v>
      </c>
      <c r="E180" s="204">
        <f t="shared" si="248"/>
        <v>2.8840000000000003</v>
      </c>
      <c r="F180" s="198">
        <f t="shared" si="267"/>
        <v>14.420000000000002</v>
      </c>
      <c r="G180" s="198">
        <f t="shared" si="293"/>
        <v>11.536000000000001</v>
      </c>
      <c r="H180" s="198">
        <f t="shared" si="294"/>
        <v>7.2100000000000009</v>
      </c>
      <c r="I180" s="198">
        <f t="shared" si="290"/>
        <v>8</v>
      </c>
      <c r="J180" s="199">
        <f t="shared" si="290"/>
        <v>0</v>
      </c>
      <c r="K180" s="194" t="str">
        <f t="shared" ref="K180:K182" si="296">D180&amp;-7</f>
        <v>20-7</v>
      </c>
      <c r="L180" s="198">
        <f t="shared" si="263"/>
        <v>0.2</v>
      </c>
      <c r="M180" s="49">
        <v>30</v>
      </c>
      <c r="N180" s="198">
        <f t="shared" si="288"/>
        <v>150</v>
      </c>
      <c r="O180" s="198">
        <f t="shared" si="288"/>
        <v>160</v>
      </c>
      <c r="P180" s="198">
        <f t="shared" si="288"/>
        <v>390</v>
      </c>
      <c r="Q180" s="196">
        <f t="shared" si="288"/>
        <v>-4</v>
      </c>
    </row>
    <row r="181" spans="1:17" x14ac:dyDescent="0.25">
      <c r="A181" s="229">
        <f t="shared" ref="A181:B181" si="297">A180+1</f>
        <v>2331</v>
      </c>
      <c r="B181" s="230">
        <f t="shared" si="297"/>
        <v>171</v>
      </c>
      <c r="C181" s="229" t="str">
        <f t="shared" si="226"/>
        <v>22cX20+000_060_07</v>
      </c>
      <c r="D181" s="197">
        <f t="shared" si="266"/>
        <v>20</v>
      </c>
      <c r="E181" s="204">
        <f t="shared" si="248"/>
        <v>2.8840000000000003</v>
      </c>
      <c r="F181" s="198">
        <f t="shared" si="267"/>
        <v>14.420000000000002</v>
      </c>
      <c r="G181" s="198">
        <f t="shared" si="293"/>
        <v>11.536000000000001</v>
      </c>
      <c r="H181" s="198">
        <f t="shared" si="294"/>
        <v>7.2100000000000009</v>
      </c>
      <c r="I181" s="198">
        <f t="shared" si="290"/>
        <v>8</v>
      </c>
      <c r="J181" s="199">
        <f t="shared" si="290"/>
        <v>0</v>
      </c>
      <c r="K181" s="194" t="str">
        <f t="shared" si="296"/>
        <v>20-7</v>
      </c>
      <c r="L181" s="198">
        <f t="shared" si="263"/>
        <v>0.2</v>
      </c>
      <c r="M181" s="49">
        <v>60</v>
      </c>
      <c r="N181" s="198">
        <f t="shared" si="288"/>
        <v>150</v>
      </c>
      <c r="O181" s="198">
        <f t="shared" si="288"/>
        <v>160</v>
      </c>
      <c r="P181" s="198">
        <f t="shared" si="288"/>
        <v>390</v>
      </c>
      <c r="Q181" s="196">
        <f t="shared" si="288"/>
        <v>-4</v>
      </c>
    </row>
    <row r="182" spans="1:17" x14ac:dyDescent="0.25">
      <c r="A182" s="229">
        <f t="shared" ref="A182:B182" si="298">A181+1</f>
        <v>2332</v>
      </c>
      <c r="B182" s="230">
        <f t="shared" si="298"/>
        <v>172</v>
      </c>
      <c r="C182" s="229" t="str">
        <f t="shared" si="226"/>
        <v>22cX20+000_090_07</v>
      </c>
      <c r="D182" s="197">
        <f t="shared" si="266"/>
        <v>20</v>
      </c>
      <c r="E182" s="204">
        <f t="shared" si="248"/>
        <v>2.8840000000000003</v>
      </c>
      <c r="F182" s="198">
        <f t="shared" si="267"/>
        <v>14.420000000000002</v>
      </c>
      <c r="G182" s="198">
        <f t="shared" si="293"/>
        <v>11.536000000000001</v>
      </c>
      <c r="H182" s="198">
        <f t="shared" si="294"/>
        <v>7.2100000000000009</v>
      </c>
      <c r="I182" s="198">
        <f t="shared" si="290"/>
        <v>8</v>
      </c>
      <c r="J182" s="199">
        <f t="shared" si="290"/>
        <v>0</v>
      </c>
      <c r="K182" s="194" t="str">
        <f t="shared" si="296"/>
        <v>20-7</v>
      </c>
      <c r="L182" s="198">
        <f t="shared" si="263"/>
        <v>0.2</v>
      </c>
      <c r="M182" s="49">
        <v>90</v>
      </c>
      <c r="N182" s="198">
        <f t="shared" si="288"/>
        <v>150</v>
      </c>
      <c r="O182" s="198">
        <f t="shared" si="288"/>
        <v>160</v>
      </c>
      <c r="P182" s="198">
        <f t="shared" si="288"/>
        <v>390</v>
      </c>
      <c r="Q182" s="196">
        <f t="shared" si="288"/>
        <v>-4</v>
      </c>
    </row>
    <row r="183" spans="1:17" x14ac:dyDescent="0.25">
      <c r="A183" s="229">
        <f t="shared" ref="A183:B183" si="299">A182+1</f>
        <v>2333</v>
      </c>
      <c r="B183" s="230">
        <f t="shared" si="299"/>
        <v>173</v>
      </c>
      <c r="C183" s="229" t="str">
        <f t="shared" si="226"/>
        <v>22cX20+000_000_08</v>
      </c>
      <c r="D183" s="197">
        <f t="shared" si="266"/>
        <v>20</v>
      </c>
      <c r="E183" s="204">
        <f t="shared" si="248"/>
        <v>2.8840000000000003</v>
      </c>
      <c r="F183" s="198">
        <f t="shared" si="267"/>
        <v>14.420000000000002</v>
      </c>
      <c r="G183" s="198">
        <f t="shared" si="293"/>
        <v>11.536000000000001</v>
      </c>
      <c r="H183" s="198">
        <f t="shared" si="294"/>
        <v>7.2100000000000009</v>
      </c>
      <c r="I183" s="198">
        <f t="shared" si="290"/>
        <v>8</v>
      </c>
      <c r="J183" s="199">
        <f t="shared" si="290"/>
        <v>0</v>
      </c>
      <c r="K183" s="194" t="str">
        <f>D183&amp;-8</f>
        <v>20-8</v>
      </c>
      <c r="L183" s="198">
        <f t="shared" si="263"/>
        <v>0.2</v>
      </c>
      <c r="M183" s="49">
        <v>0</v>
      </c>
      <c r="N183" s="198">
        <f t="shared" si="288"/>
        <v>150</v>
      </c>
      <c r="O183" s="198">
        <f t="shared" si="288"/>
        <v>160</v>
      </c>
      <c r="P183" s="198">
        <f t="shared" si="288"/>
        <v>390</v>
      </c>
      <c r="Q183" s="196">
        <f t="shared" si="288"/>
        <v>-4</v>
      </c>
    </row>
    <row r="184" spans="1:17" x14ac:dyDescent="0.25">
      <c r="A184" s="229">
        <f t="shared" ref="A184:B184" si="300">A183+1</f>
        <v>2334</v>
      </c>
      <c r="B184" s="230">
        <f t="shared" si="300"/>
        <v>174</v>
      </c>
      <c r="C184" s="229" t="str">
        <f t="shared" si="226"/>
        <v>22cX20+000_030_08</v>
      </c>
      <c r="D184" s="197">
        <f t="shared" si="266"/>
        <v>20</v>
      </c>
      <c r="E184" s="204">
        <f t="shared" si="248"/>
        <v>2.8840000000000003</v>
      </c>
      <c r="F184" s="198">
        <f t="shared" si="267"/>
        <v>14.420000000000002</v>
      </c>
      <c r="G184" s="198">
        <f t="shared" si="293"/>
        <v>11.536000000000001</v>
      </c>
      <c r="H184" s="198">
        <f t="shared" si="294"/>
        <v>7.2100000000000009</v>
      </c>
      <c r="I184" s="198">
        <f t="shared" si="290"/>
        <v>8</v>
      </c>
      <c r="J184" s="199">
        <f t="shared" si="290"/>
        <v>0</v>
      </c>
      <c r="K184" s="194" t="str">
        <f t="shared" ref="K184:K186" si="301">D184&amp;-8</f>
        <v>20-8</v>
      </c>
      <c r="L184" s="198">
        <f t="shared" si="263"/>
        <v>0.2</v>
      </c>
      <c r="M184" s="49">
        <v>30</v>
      </c>
      <c r="N184" s="198">
        <f t="shared" si="288"/>
        <v>150</v>
      </c>
      <c r="O184" s="198">
        <f t="shared" si="288"/>
        <v>160</v>
      </c>
      <c r="P184" s="198">
        <f t="shared" si="288"/>
        <v>390</v>
      </c>
      <c r="Q184" s="196">
        <f t="shared" si="288"/>
        <v>-4</v>
      </c>
    </row>
    <row r="185" spans="1:17" x14ac:dyDescent="0.25">
      <c r="A185" s="229">
        <f t="shared" ref="A185:B185" si="302">A184+1</f>
        <v>2335</v>
      </c>
      <c r="B185" s="230">
        <f t="shared" si="302"/>
        <v>175</v>
      </c>
      <c r="C185" s="229" t="str">
        <f t="shared" si="226"/>
        <v>22cX20+000_060_08</v>
      </c>
      <c r="D185" s="197">
        <f t="shared" si="266"/>
        <v>20</v>
      </c>
      <c r="E185" s="204">
        <f t="shared" si="248"/>
        <v>2.8840000000000003</v>
      </c>
      <c r="F185" s="198">
        <f t="shared" si="267"/>
        <v>14.420000000000002</v>
      </c>
      <c r="G185" s="198">
        <f t="shared" si="293"/>
        <v>11.536000000000001</v>
      </c>
      <c r="H185" s="198">
        <f t="shared" si="294"/>
        <v>7.2100000000000009</v>
      </c>
      <c r="I185" s="198">
        <f t="shared" si="290"/>
        <v>8</v>
      </c>
      <c r="J185" s="199">
        <f t="shared" si="290"/>
        <v>0</v>
      </c>
      <c r="K185" s="194" t="str">
        <f t="shared" si="301"/>
        <v>20-8</v>
      </c>
      <c r="L185" s="198">
        <f t="shared" si="263"/>
        <v>0.2</v>
      </c>
      <c r="M185" s="49">
        <v>60</v>
      </c>
      <c r="N185" s="198">
        <f t="shared" si="288"/>
        <v>150</v>
      </c>
      <c r="O185" s="198">
        <f t="shared" si="288"/>
        <v>160</v>
      </c>
      <c r="P185" s="198">
        <f t="shared" si="288"/>
        <v>390</v>
      </c>
      <c r="Q185" s="196">
        <f t="shared" si="288"/>
        <v>-4</v>
      </c>
    </row>
    <row r="186" spans="1:17" x14ac:dyDescent="0.25">
      <c r="A186" s="229">
        <f t="shared" ref="A186:B186" si="303">A185+1</f>
        <v>2336</v>
      </c>
      <c r="B186" s="230">
        <f t="shared" si="303"/>
        <v>176</v>
      </c>
      <c r="C186" s="229" t="str">
        <f t="shared" si="226"/>
        <v>22cX20+000_090_08</v>
      </c>
      <c r="D186" s="197">
        <f t="shared" si="266"/>
        <v>20</v>
      </c>
      <c r="E186" s="204">
        <f t="shared" si="248"/>
        <v>2.8840000000000003</v>
      </c>
      <c r="F186" s="198">
        <f t="shared" si="267"/>
        <v>14.420000000000002</v>
      </c>
      <c r="G186" s="198">
        <f t="shared" si="293"/>
        <v>11.536000000000001</v>
      </c>
      <c r="H186" s="198">
        <f t="shared" si="294"/>
        <v>7.2100000000000009</v>
      </c>
      <c r="I186" s="198">
        <f t="shared" si="290"/>
        <v>8</v>
      </c>
      <c r="J186" s="199">
        <f t="shared" si="290"/>
        <v>0</v>
      </c>
      <c r="K186" s="194" t="str">
        <f t="shared" si="301"/>
        <v>20-8</v>
      </c>
      <c r="L186" s="198">
        <f t="shared" si="263"/>
        <v>0.2</v>
      </c>
      <c r="M186" s="49">
        <v>90</v>
      </c>
      <c r="N186" s="198">
        <f t="shared" si="288"/>
        <v>150</v>
      </c>
      <c r="O186" s="198">
        <f t="shared" si="288"/>
        <v>160</v>
      </c>
      <c r="P186" s="198">
        <f t="shared" si="288"/>
        <v>390</v>
      </c>
      <c r="Q186" s="196">
        <f t="shared" si="288"/>
        <v>-4</v>
      </c>
    </row>
    <row r="187" spans="1:17" x14ac:dyDescent="0.25">
      <c r="A187" s="229">
        <f t="shared" ref="A187:B187" si="304">A186+1</f>
        <v>2337</v>
      </c>
      <c r="B187" s="230">
        <f t="shared" si="304"/>
        <v>177</v>
      </c>
      <c r="C187" s="229" t="str">
        <f t="shared" si="226"/>
        <v>22cX20+000_000_09</v>
      </c>
      <c r="D187" s="197">
        <f t="shared" si="266"/>
        <v>20</v>
      </c>
      <c r="E187" s="204">
        <f t="shared" si="248"/>
        <v>2.8840000000000003</v>
      </c>
      <c r="F187" s="198">
        <f t="shared" si="267"/>
        <v>14.420000000000002</v>
      </c>
      <c r="G187" s="198">
        <f t="shared" si="293"/>
        <v>11.536000000000001</v>
      </c>
      <c r="H187" s="198">
        <f t="shared" si="294"/>
        <v>7.2100000000000009</v>
      </c>
      <c r="I187" s="198">
        <f t="shared" si="290"/>
        <v>8</v>
      </c>
      <c r="J187" s="199">
        <f t="shared" si="290"/>
        <v>0</v>
      </c>
      <c r="K187" s="194" t="str">
        <f>D187&amp;-9</f>
        <v>20-9</v>
      </c>
      <c r="L187" s="198">
        <f t="shared" si="263"/>
        <v>0.2</v>
      </c>
      <c r="M187" s="49">
        <v>0</v>
      </c>
      <c r="N187" s="198">
        <f t="shared" si="288"/>
        <v>150</v>
      </c>
      <c r="O187" s="198">
        <f t="shared" si="288"/>
        <v>160</v>
      </c>
      <c r="P187" s="198">
        <f t="shared" si="288"/>
        <v>390</v>
      </c>
      <c r="Q187" s="196">
        <f t="shared" si="288"/>
        <v>-4</v>
      </c>
    </row>
    <row r="188" spans="1:17" x14ac:dyDescent="0.25">
      <c r="A188" s="229">
        <f t="shared" ref="A188:B188" si="305">A187+1</f>
        <v>2338</v>
      </c>
      <c r="B188" s="230">
        <f t="shared" si="305"/>
        <v>178</v>
      </c>
      <c r="C188" s="229" t="str">
        <f t="shared" si="226"/>
        <v>22cX20+000_030_09</v>
      </c>
      <c r="D188" s="197">
        <f t="shared" si="266"/>
        <v>20</v>
      </c>
      <c r="E188" s="204">
        <f t="shared" si="248"/>
        <v>2.8840000000000003</v>
      </c>
      <c r="F188" s="198">
        <f t="shared" si="267"/>
        <v>14.420000000000002</v>
      </c>
      <c r="G188" s="198">
        <f t="shared" si="293"/>
        <v>11.536000000000001</v>
      </c>
      <c r="H188" s="198">
        <f t="shared" si="294"/>
        <v>7.2100000000000009</v>
      </c>
      <c r="I188" s="198">
        <f t="shared" si="290"/>
        <v>8</v>
      </c>
      <c r="J188" s="199">
        <f t="shared" si="290"/>
        <v>0</v>
      </c>
      <c r="K188" s="194" t="str">
        <f t="shared" ref="K188:K190" si="306">D188&amp;-9</f>
        <v>20-9</v>
      </c>
      <c r="L188" s="198">
        <f t="shared" si="263"/>
        <v>0.2</v>
      </c>
      <c r="M188" s="49">
        <v>30</v>
      </c>
      <c r="N188" s="198">
        <f t="shared" si="288"/>
        <v>150</v>
      </c>
      <c r="O188" s="198">
        <f t="shared" si="288"/>
        <v>160</v>
      </c>
      <c r="P188" s="198">
        <f t="shared" si="288"/>
        <v>390</v>
      </c>
      <c r="Q188" s="196">
        <f t="shared" si="288"/>
        <v>-4</v>
      </c>
    </row>
    <row r="189" spans="1:17" x14ac:dyDescent="0.25">
      <c r="A189" s="229">
        <f t="shared" ref="A189:B189" si="307">A188+1</f>
        <v>2339</v>
      </c>
      <c r="B189" s="230">
        <f t="shared" si="307"/>
        <v>179</v>
      </c>
      <c r="C189" s="229" t="str">
        <f t="shared" si="226"/>
        <v>22cX20+000_060_09</v>
      </c>
      <c r="D189" s="197">
        <f t="shared" si="266"/>
        <v>20</v>
      </c>
      <c r="E189" s="204">
        <f t="shared" si="248"/>
        <v>2.8840000000000003</v>
      </c>
      <c r="F189" s="198">
        <f t="shared" si="267"/>
        <v>14.420000000000002</v>
      </c>
      <c r="G189" s="198">
        <f t="shared" si="293"/>
        <v>11.536000000000001</v>
      </c>
      <c r="H189" s="198">
        <f t="shared" si="294"/>
        <v>7.2100000000000009</v>
      </c>
      <c r="I189" s="198">
        <f t="shared" si="290"/>
        <v>8</v>
      </c>
      <c r="J189" s="199">
        <f t="shared" si="290"/>
        <v>0</v>
      </c>
      <c r="K189" s="194" t="str">
        <f t="shared" si="306"/>
        <v>20-9</v>
      </c>
      <c r="L189" s="198">
        <f t="shared" si="263"/>
        <v>0.2</v>
      </c>
      <c r="M189" s="49">
        <v>60</v>
      </c>
      <c r="N189" s="198">
        <f t="shared" si="288"/>
        <v>150</v>
      </c>
      <c r="O189" s="198">
        <f t="shared" si="288"/>
        <v>160</v>
      </c>
      <c r="P189" s="198">
        <f t="shared" si="288"/>
        <v>390</v>
      </c>
      <c r="Q189" s="196">
        <f t="shared" si="288"/>
        <v>-4</v>
      </c>
    </row>
    <row r="190" spans="1:17" x14ac:dyDescent="0.25">
      <c r="A190" s="229">
        <f t="shared" ref="A190:B190" si="308">A189+1</f>
        <v>2340</v>
      </c>
      <c r="B190" s="230">
        <f t="shared" si="308"/>
        <v>180</v>
      </c>
      <c r="C190" s="229" t="str">
        <f t="shared" si="226"/>
        <v>22cX20+000_090_09</v>
      </c>
      <c r="D190" s="197">
        <f t="shared" si="266"/>
        <v>20</v>
      </c>
      <c r="E190" s="204">
        <f t="shared" si="248"/>
        <v>2.8840000000000003</v>
      </c>
      <c r="F190" s="198">
        <f t="shared" si="267"/>
        <v>14.420000000000002</v>
      </c>
      <c r="G190" s="198">
        <f t="shared" si="293"/>
        <v>11.536000000000001</v>
      </c>
      <c r="H190" s="198">
        <f t="shared" si="294"/>
        <v>7.2100000000000009</v>
      </c>
      <c r="I190" s="198">
        <f t="shared" si="290"/>
        <v>8</v>
      </c>
      <c r="J190" s="199">
        <f t="shared" si="290"/>
        <v>0</v>
      </c>
      <c r="K190" s="194" t="str">
        <f t="shared" si="306"/>
        <v>20-9</v>
      </c>
      <c r="L190" s="198">
        <f t="shared" si="263"/>
        <v>0.2</v>
      </c>
      <c r="M190" s="49">
        <v>90</v>
      </c>
      <c r="N190" s="198">
        <f t="shared" si="288"/>
        <v>150</v>
      </c>
      <c r="O190" s="198">
        <f t="shared" si="288"/>
        <v>160</v>
      </c>
      <c r="P190" s="198">
        <f t="shared" si="288"/>
        <v>390</v>
      </c>
      <c r="Q190" s="196">
        <f t="shared" si="288"/>
        <v>-4</v>
      </c>
    </row>
    <row r="191" spans="1:17" ht="14.25" customHeight="1" x14ac:dyDescent="0.25">
      <c r="A191" s="229">
        <f t="shared" ref="A191:B191" si="309">A190+1</f>
        <v>2341</v>
      </c>
      <c r="B191" s="230">
        <f t="shared" si="309"/>
        <v>181</v>
      </c>
      <c r="C191" s="229" t="str">
        <f t="shared" si="226"/>
        <v>22cX20+000_000_10</v>
      </c>
      <c r="D191" s="197">
        <f t="shared" si="266"/>
        <v>20</v>
      </c>
      <c r="E191" s="204">
        <f t="shared" si="248"/>
        <v>2.8840000000000003</v>
      </c>
      <c r="F191" s="198">
        <f t="shared" si="267"/>
        <v>14.420000000000002</v>
      </c>
      <c r="G191" s="198">
        <f t="shared" si="293"/>
        <v>11.536000000000001</v>
      </c>
      <c r="H191" s="198">
        <f t="shared" si="294"/>
        <v>7.2100000000000009</v>
      </c>
      <c r="I191" s="198">
        <f t="shared" si="290"/>
        <v>8</v>
      </c>
      <c r="J191" s="199">
        <f t="shared" si="290"/>
        <v>0</v>
      </c>
      <c r="K191" s="194" t="str">
        <f>D191&amp;-10</f>
        <v>20-10</v>
      </c>
      <c r="L191" s="198">
        <f t="shared" si="263"/>
        <v>0.2</v>
      </c>
      <c r="M191" s="49">
        <v>0</v>
      </c>
      <c r="N191" s="198">
        <f t="shared" si="288"/>
        <v>150</v>
      </c>
      <c r="O191" s="198">
        <f t="shared" si="288"/>
        <v>160</v>
      </c>
      <c r="P191" s="198">
        <f t="shared" si="288"/>
        <v>390</v>
      </c>
      <c r="Q191" s="196">
        <f t="shared" si="288"/>
        <v>-4</v>
      </c>
    </row>
    <row r="192" spans="1:17" x14ac:dyDescent="0.25">
      <c r="A192" s="229">
        <f t="shared" ref="A192:B192" si="310">A191+1</f>
        <v>2342</v>
      </c>
      <c r="B192" s="230">
        <f t="shared" si="310"/>
        <v>182</v>
      </c>
      <c r="C192" s="229" t="str">
        <f t="shared" si="226"/>
        <v>22cX20+000_030_10</v>
      </c>
      <c r="D192" s="197">
        <f t="shared" si="266"/>
        <v>20</v>
      </c>
      <c r="E192" s="204">
        <f t="shared" si="248"/>
        <v>2.8840000000000003</v>
      </c>
      <c r="F192" s="198">
        <f t="shared" si="267"/>
        <v>14.420000000000002</v>
      </c>
      <c r="G192" s="198">
        <f t="shared" si="293"/>
        <v>11.536000000000001</v>
      </c>
      <c r="H192" s="198">
        <f t="shared" si="294"/>
        <v>7.2100000000000009</v>
      </c>
      <c r="I192" s="198">
        <f t="shared" si="290"/>
        <v>8</v>
      </c>
      <c r="J192" s="199">
        <f t="shared" si="290"/>
        <v>0</v>
      </c>
      <c r="K192" s="194" t="str">
        <f t="shared" ref="K192:K194" si="311">D192&amp;-10</f>
        <v>20-10</v>
      </c>
      <c r="L192" s="198">
        <f t="shared" si="263"/>
        <v>0.2</v>
      </c>
      <c r="M192" s="49">
        <v>30</v>
      </c>
      <c r="N192" s="198">
        <f t="shared" ref="N192:Q202" si="312">N191</f>
        <v>150</v>
      </c>
      <c r="O192" s="198">
        <f t="shared" si="312"/>
        <v>160</v>
      </c>
      <c r="P192" s="198">
        <f t="shared" si="312"/>
        <v>390</v>
      </c>
      <c r="Q192" s="196">
        <f t="shared" si="312"/>
        <v>-4</v>
      </c>
    </row>
    <row r="193" spans="1:17" x14ac:dyDescent="0.25">
      <c r="A193" s="229">
        <f t="shared" ref="A193:B193" si="313">A192+1</f>
        <v>2343</v>
      </c>
      <c r="B193" s="230">
        <f t="shared" si="313"/>
        <v>183</v>
      </c>
      <c r="C193" s="229" t="str">
        <f t="shared" si="226"/>
        <v>22cX20+000_060_10</v>
      </c>
      <c r="D193" s="197">
        <f t="shared" si="266"/>
        <v>20</v>
      </c>
      <c r="E193" s="204">
        <f t="shared" si="248"/>
        <v>2.8840000000000003</v>
      </c>
      <c r="F193" s="198">
        <f t="shared" si="267"/>
        <v>14.420000000000002</v>
      </c>
      <c r="G193" s="198">
        <f t="shared" si="293"/>
        <v>11.536000000000001</v>
      </c>
      <c r="H193" s="198">
        <f t="shared" si="294"/>
        <v>7.2100000000000009</v>
      </c>
      <c r="I193" s="198">
        <f t="shared" ref="I193:J202" si="314">I192</f>
        <v>8</v>
      </c>
      <c r="J193" s="199">
        <f t="shared" si="314"/>
        <v>0</v>
      </c>
      <c r="K193" s="194" t="str">
        <f t="shared" si="311"/>
        <v>20-10</v>
      </c>
      <c r="L193" s="198">
        <f t="shared" si="263"/>
        <v>0.2</v>
      </c>
      <c r="M193" s="49">
        <v>60</v>
      </c>
      <c r="N193" s="198">
        <f t="shared" si="312"/>
        <v>150</v>
      </c>
      <c r="O193" s="198">
        <f t="shared" si="312"/>
        <v>160</v>
      </c>
      <c r="P193" s="198">
        <f t="shared" si="312"/>
        <v>390</v>
      </c>
      <c r="Q193" s="196">
        <f t="shared" si="312"/>
        <v>-4</v>
      </c>
    </row>
    <row r="194" spans="1:17" x14ac:dyDescent="0.25">
      <c r="A194" s="229">
        <f t="shared" ref="A194:B194" si="315">A193+1</f>
        <v>2344</v>
      </c>
      <c r="B194" s="230">
        <f t="shared" si="315"/>
        <v>184</v>
      </c>
      <c r="C194" s="229" t="str">
        <f t="shared" si="226"/>
        <v>22cX20+000_090_10</v>
      </c>
      <c r="D194" s="197">
        <f t="shared" si="266"/>
        <v>20</v>
      </c>
      <c r="E194" s="204">
        <f t="shared" si="248"/>
        <v>2.8840000000000003</v>
      </c>
      <c r="F194" s="198">
        <f t="shared" si="267"/>
        <v>14.420000000000002</v>
      </c>
      <c r="G194" s="198">
        <f t="shared" si="293"/>
        <v>11.536000000000001</v>
      </c>
      <c r="H194" s="198">
        <f t="shared" si="294"/>
        <v>7.2100000000000009</v>
      </c>
      <c r="I194" s="198">
        <f t="shared" si="314"/>
        <v>8</v>
      </c>
      <c r="J194" s="199">
        <f t="shared" si="314"/>
        <v>0</v>
      </c>
      <c r="K194" s="194" t="str">
        <f t="shared" si="311"/>
        <v>20-10</v>
      </c>
      <c r="L194" s="198">
        <f t="shared" si="263"/>
        <v>0.2</v>
      </c>
      <c r="M194" s="49">
        <v>90</v>
      </c>
      <c r="N194" s="198">
        <f t="shared" si="312"/>
        <v>150</v>
      </c>
      <c r="O194" s="198">
        <f t="shared" si="312"/>
        <v>160</v>
      </c>
      <c r="P194" s="198">
        <f t="shared" si="312"/>
        <v>390</v>
      </c>
      <c r="Q194" s="196">
        <f t="shared" si="312"/>
        <v>-4</v>
      </c>
    </row>
    <row r="195" spans="1:17" x14ac:dyDescent="0.25">
      <c r="A195" s="229">
        <f t="shared" ref="A195:B195" si="316">A194+1</f>
        <v>2345</v>
      </c>
      <c r="B195" s="230">
        <f t="shared" si="316"/>
        <v>185</v>
      </c>
      <c r="C195" s="229" t="str">
        <f t="shared" si="226"/>
        <v>22cX20+000_000_11</v>
      </c>
      <c r="D195" s="197">
        <f t="shared" si="266"/>
        <v>20</v>
      </c>
      <c r="E195" s="204">
        <f t="shared" si="248"/>
        <v>2.8840000000000003</v>
      </c>
      <c r="F195" s="198">
        <f t="shared" si="267"/>
        <v>14.420000000000002</v>
      </c>
      <c r="G195" s="198">
        <f t="shared" si="293"/>
        <v>11.536000000000001</v>
      </c>
      <c r="H195" s="198">
        <f t="shared" si="294"/>
        <v>7.2100000000000009</v>
      </c>
      <c r="I195" s="198">
        <f t="shared" si="314"/>
        <v>8</v>
      </c>
      <c r="J195" s="199">
        <f t="shared" si="314"/>
        <v>0</v>
      </c>
      <c r="K195" s="194" t="str">
        <f>D195&amp;-11</f>
        <v>20-11</v>
      </c>
      <c r="L195" s="198">
        <f t="shared" si="263"/>
        <v>0.2</v>
      </c>
      <c r="M195" s="49">
        <v>0</v>
      </c>
      <c r="N195" s="198">
        <f t="shared" si="312"/>
        <v>150</v>
      </c>
      <c r="O195" s="198">
        <f t="shared" si="312"/>
        <v>160</v>
      </c>
      <c r="P195" s="198">
        <f t="shared" si="312"/>
        <v>390</v>
      </c>
      <c r="Q195" s="196">
        <f t="shared" si="312"/>
        <v>-4</v>
      </c>
    </row>
    <row r="196" spans="1:17" x14ac:dyDescent="0.25">
      <c r="A196" s="229">
        <f t="shared" ref="A196:B196" si="317">A195+1</f>
        <v>2346</v>
      </c>
      <c r="B196" s="230">
        <f t="shared" si="317"/>
        <v>186</v>
      </c>
      <c r="C196" s="229" t="str">
        <f t="shared" si="226"/>
        <v>22cX20+000_030_11</v>
      </c>
      <c r="D196" s="197">
        <f t="shared" si="266"/>
        <v>20</v>
      </c>
      <c r="E196" s="204">
        <f t="shared" si="248"/>
        <v>2.8840000000000003</v>
      </c>
      <c r="F196" s="198">
        <f t="shared" si="267"/>
        <v>14.420000000000002</v>
      </c>
      <c r="G196" s="198">
        <f t="shared" si="293"/>
        <v>11.536000000000001</v>
      </c>
      <c r="H196" s="198">
        <f t="shared" si="294"/>
        <v>7.2100000000000009</v>
      </c>
      <c r="I196" s="198">
        <f t="shared" si="314"/>
        <v>8</v>
      </c>
      <c r="J196" s="199">
        <f t="shared" si="314"/>
        <v>0</v>
      </c>
      <c r="K196" s="194" t="str">
        <f t="shared" ref="K196:K198" si="318">D196&amp;-11</f>
        <v>20-11</v>
      </c>
      <c r="L196" s="198">
        <f t="shared" si="263"/>
        <v>0.2</v>
      </c>
      <c r="M196" s="49">
        <v>30</v>
      </c>
      <c r="N196" s="198">
        <f t="shared" si="312"/>
        <v>150</v>
      </c>
      <c r="O196" s="198">
        <f t="shared" si="312"/>
        <v>160</v>
      </c>
      <c r="P196" s="198">
        <f t="shared" si="312"/>
        <v>390</v>
      </c>
      <c r="Q196" s="196">
        <f t="shared" si="312"/>
        <v>-4</v>
      </c>
    </row>
    <row r="197" spans="1:17" x14ac:dyDescent="0.25">
      <c r="A197" s="229">
        <f t="shared" ref="A197:B197" si="319">A196+1</f>
        <v>2347</v>
      </c>
      <c r="B197" s="230">
        <f t="shared" si="319"/>
        <v>187</v>
      </c>
      <c r="C197" s="229" t="str">
        <f t="shared" si="226"/>
        <v>22cX20+000_060_11</v>
      </c>
      <c r="D197" s="197">
        <f t="shared" si="266"/>
        <v>20</v>
      </c>
      <c r="E197" s="204">
        <f t="shared" si="248"/>
        <v>2.8840000000000003</v>
      </c>
      <c r="F197" s="198">
        <f t="shared" si="267"/>
        <v>14.420000000000002</v>
      </c>
      <c r="G197" s="198">
        <f t="shared" si="293"/>
        <v>11.536000000000001</v>
      </c>
      <c r="H197" s="198">
        <f t="shared" si="294"/>
        <v>7.2100000000000009</v>
      </c>
      <c r="I197" s="198">
        <f t="shared" si="314"/>
        <v>8</v>
      </c>
      <c r="J197" s="199">
        <f t="shared" si="314"/>
        <v>0</v>
      </c>
      <c r="K197" s="194" t="str">
        <f t="shared" si="318"/>
        <v>20-11</v>
      </c>
      <c r="L197" s="198">
        <f t="shared" si="263"/>
        <v>0.2</v>
      </c>
      <c r="M197" s="49">
        <v>60</v>
      </c>
      <c r="N197" s="198">
        <f t="shared" si="312"/>
        <v>150</v>
      </c>
      <c r="O197" s="198">
        <f t="shared" si="312"/>
        <v>160</v>
      </c>
      <c r="P197" s="198">
        <f t="shared" si="312"/>
        <v>390</v>
      </c>
      <c r="Q197" s="196">
        <f t="shared" si="312"/>
        <v>-4</v>
      </c>
    </row>
    <row r="198" spans="1:17" x14ac:dyDescent="0.25">
      <c r="A198" s="229">
        <f t="shared" ref="A198:B198" si="320">A197+1</f>
        <v>2348</v>
      </c>
      <c r="B198" s="230">
        <f t="shared" si="320"/>
        <v>188</v>
      </c>
      <c r="C198" s="229" t="str">
        <f t="shared" si="226"/>
        <v>22cX20+000_090_11</v>
      </c>
      <c r="D198" s="197">
        <f t="shared" si="266"/>
        <v>20</v>
      </c>
      <c r="E198" s="204">
        <f t="shared" si="248"/>
        <v>2.8840000000000003</v>
      </c>
      <c r="F198" s="198">
        <f t="shared" si="267"/>
        <v>14.420000000000002</v>
      </c>
      <c r="G198" s="198">
        <f t="shared" si="293"/>
        <v>11.536000000000001</v>
      </c>
      <c r="H198" s="198">
        <f t="shared" si="294"/>
        <v>7.2100000000000009</v>
      </c>
      <c r="I198" s="198">
        <f t="shared" si="314"/>
        <v>8</v>
      </c>
      <c r="J198" s="199">
        <f t="shared" si="314"/>
        <v>0</v>
      </c>
      <c r="K198" s="194" t="str">
        <f t="shared" si="318"/>
        <v>20-11</v>
      </c>
      <c r="L198" s="198">
        <f t="shared" si="263"/>
        <v>0.2</v>
      </c>
      <c r="M198" s="49">
        <v>90</v>
      </c>
      <c r="N198" s="198">
        <f t="shared" si="312"/>
        <v>150</v>
      </c>
      <c r="O198" s="198">
        <f t="shared" si="312"/>
        <v>160</v>
      </c>
      <c r="P198" s="198">
        <f t="shared" si="312"/>
        <v>390</v>
      </c>
      <c r="Q198" s="196">
        <f t="shared" si="312"/>
        <v>-4</v>
      </c>
    </row>
    <row r="199" spans="1:17" x14ac:dyDescent="0.25">
      <c r="A199" s="229">
        <f t="shared" ref="A199:B199" si="321">A198+1</f>
        <v>2349</v>
      </c>
      <c r="B199" s="230">
        <f t="shared" si="321"/>
        <v>189</v>
      </c>
      <c r="C199" s="229" t="str">
        <f t="shared" si="226"/>
        <v>22cX20+000_000_12</v>
      </c>
      <c r="D199" s="197">
        <f t="shared" si="266"/>
        <v>20</v>
      </c>
      <c r="E199" s="204">
        <f t="shared" si="248"/>
        <v>2.8840000000000003</v>
      </c>
      <c r="F199" s="198">
        <f t="shared" si="267"/>
        <v>14.420000000000002</v>
      </c>
      <c r="G199" s="198">
        <f t="shared" si="293"/>
        <v>11.536000000000001</v>
      </c>
      <c r="H199" s="198">
        <f t="shared" si="294"/>
        <v>7.2100000000000009</v>
      </c>
      <c r="I199" s="198">
        <f t="shared" si="314"/>
        <v>8</v>
      </c>
      <c r="J199" s="199">
        <f t="shared" si="314"/>
        <v>0</v>
      </c>
      <c r="K199" s="194" t="str">
        <f>D199&amp;-12</f>
        <v>20-12</v>
      </c>
      <c r="L199" s="198">
        <f t="shared" si="263"/>
        <v>0.2</v>
      </c>
      <c r="M199" s="49">
        <v>0</v>
      </c>
      <c r="N199" s="198">
        <f t="shared" si="312"/>
        <v>150</v>
      </c>
      <c r="O199" s="198">
        <f t="shared" si="312"/>
        <v>160</v>
      </c>
      <c r="P199" s="198">
        <f t="shared" si="312"/>
        <v>390</v>
      </c>
      <c r="Q199" s="196">
        <f t="shared" si="312"/>
        <v>-4</v>
      </c>
    </row>
    <row r="200" spans="1:17" x14ac:dyDescent="0.25">
      <c r="A200" s="229">
        <f t="shared" ref="A200:B200" si="322">A199+1</f>
        <v>2350</v>
      </c>
      <c r="B200" s="230">
        <f t="shared" si="322"/>
        <v>190</v>
      </c>
      <c r="C200" s="229" t="str">
        <f t="shared" si="226"/>
        <v>22cX20+000_030_12</v>
      </c>
      <c r="D200" s="197">
        <f t="shared" si="266"/>
        <v>20</v>
      </c>
      <c r="E200" s="204">
        <f t="shared" si="248"/>
        <v>2.8840000000000003</v>
      </c>
      <c r="F200" s="198">
        <f t="shared" si="267"/>
        <v>14.420000000000002</v>
      </c>
      <c r="G200" s="198">
        <f t="shared" si="293"/>
        <v>11.536000000000001</v>
      </c>
      <c r="H200" s="198">
        <f t="shared" si="294"/>
        <v>7.2100000000000009</v>
      </c>
      <c r="I200" s="198">
        <f t="shared" si="314"/>
        <v>8</v>
      </c>
      <c r="J200" s="199">
        <f t="shared" si="314"/>
        <v>0</v>
      </c>
      <c r="K200" s="194" t="str">
        <f t="shared" ref="K200:K202" si="323">D200&amp;-12</f>
        <v>20-12</v>
      </c>
      <c r="L200" s="198">
        <f t="shared" si="263"/>
        <v>0.2</v>
      </c>
      <c r="M200" s="49">
        <v>30</v>
      </c>
      <c r="N200" s="198">
        <f t="shared" si="312"/>
        <v>150</v>
      </c>
      <c r="O200" s="198">
        <f t="shared" si="312"/>
        <v>160</v>
      </c>
      <c r="P200" s="198">
        <f t="shared" si="312"/>
        <v>390</v>
      </c>
      <c r="Q200" s="196">
        <f t="shared" si="312"/>
        <v>-4</v>
      </c>
    </row>
    <row r="201" spans="1:17" x14ac:dyDescent="0.25">
      <c r="A201" s="229">
        <f t="shared" ref="A201:B201" si="324">A200+1</f>
        <v>2351</v>
      </c>
      <c r="B201" s="230">
        <f t="shared" si="324"/>
        <v>191</v>
      </c>
      <c r="C201" s="229" t="str">
        <f t="shared" si="226"/>
        <v>22cX20+000_060_12</v>
      </c>
      <c r="D201" s="197">
        <f t="shared" si="266"/>
        <v>20</v>
      </c>
      <c r="E201" s="204">
        <f t="shared" si="248"/>
        <v>2.8840000000000003</v>
      </c>
      <c r="F201" s="198">
        <f t="shared" si="267"/>
        <v>14.420000000000002</v>
      </c>
      <c r="G201" s="198">
        <f t="shared" si="293"/>
        <v>11.536000000000001</v>
      </c>
      <c r="H201" s="198">
        <f t="shared" si="294"/>
        <v>7.2100000000000009</v>
      </c>
      <c r="I201" s="198">
        <f t="shared" si="314"/>
        <v>8</v>
      </c>
      <c r="J201" s="199">
        <f t="shared" si="314"/>
        <v>0</v>
      </c>
      <c r="K201" s="194" t="str">
        <f t="shared" si="323"/>
        <v>20-12</v>
      </c>
      <c r="L201" s="198">
        <f t="shared" si="263"/>
        <v>0.2</v>
      </c>
      <c r="M201" s="49">
        <v>60</v>
      </c>
      <c r="N201" s="198">
        <f t="shared" si="312"/>
        <v>150</v>
      </c>
      <c r="O201" s="198">
        <f t="shared" si="312"/>
        <v>160</v>
      </c>
      <c r="P201" s="198">
        <f t="shared" si="312"/>
        <v>390</v>
      </c>
      <c r="Q201" s="196">
        <f t="shared" si="312"/>
        <v>-4</v>
      </c>
    </row>
    <row r="202" spans="1:17" x14ac:dyDescent="0.25">
      <c r="A202" s="229">
        <f t="shared" ref="A202:B202" si="325">A201+1</f>
        <v>2352</v>
      </c>
      <c r="B202" s="230">
        <f t="shared" si="325"/>
        <v>192</v>
      </c>
      <c r="C202" s="229" t="str">
        <f t="shared" si="226"/>
        <v>22cX20+000_090_12</v>
      </c>
      <c r="D202" s="197">
        <f t="shared" si="266"/>
        <v>20</v>
      </c>
      <c r="E202" s="204">
        <f t="shared" si="248"/>
        <v>2.8840000000000003</v>
      </c>
      <c r="F202" s="198">
        <f t="shared" si="267"/>
        <v>14.420000000000002</v>
      </c>
      <c r="G202" s="198">
        <f t="shared" si="293"/>
        <v>11.536000000000001</v>
      </c>
      <c r="H202" s="198">
        <f t="shared" si="294"/>
        <v>7.2100000000000009</v>
      </c>
      <c r="I202" s="198">
        <f t="shared" si="314"/>
        <v>8</v>
      </c>
      <c r="J202" s="199">
        <f t="shared" si="314"/>
        <v>0</v>
      </c>
      <c r="K202" s="194" t="str">
        <f t="shared" si="323"/>
        <v>20-12</v>
      </c>
      <c r="L202" s="198">
        <f t="shared" si="263"/>
        <v>0.2</v>
      </c>
      <c r="M202" s="49">
        <v>90</v>
      </c>
      <c r="N202" s="198">
        <f t="shared" si="312"/>
        <v>150</v>
      </c>
      <c r="O202" s="198">
        <f t="shared" si="312"/>
        <v>160</v>
      </c>
      <c r="P202" s="198">
        <f t="shared" si="312"/>
        <v>390</v>
      </c>
      <c r="Q202" s="196">
        <f t="shared" si="312"/>
        <v>-4</v>
      </c>
    </row>
    <row r="203" spans="1:17" s="217" customFormat="1" ht="14.25" customHeight="1" x14ac:dyDescent="0.25">
      <c r="A203" s="229">
        <f t="shared" ref="A203:B203" si="326">A202+1</f>
        <v>2353</v>
      </c>
      <c r="B203" s="230">
        <f t="shared" si="326"/>
        <v>193</v>
      </c>
      <c r="C203" s="229" t="str">
        <f t="shared" si="226"/>
        <v>22cX25+000_000_01</v>
      </c>
      <c r="D203" s="231">
        <f t="shared" ref="D203" si="327">v_out</f>
        <v>25</v>
      </c>
      <c r="E203" s="239">
        <f t="shared" ref="E203:E250" si="328">I_ref*(0.75*D203+5.6)</f>
        <v>3.4090000000000007</v>
      </c>
      <c r="F203" s="232">
        <f>E203/D203*100</f>
        <v>13.636000000000003</v>
      </c>
      <c r="G203" s="232">
        <f t="shared" si="293"/>
        <v>10.908800000000003</v>
      </c>
      <c r="H203" s="232">
        <f t="shared" si="294"/>
        <v>6.8180000000000014</v>
      </c>
      <c r="I203" s="232">
        <f>inflow</f>
        <v>8</v>
      </c>
      <c r="J203" s="233">
        <f>yaw_null</f>
        <v>0</v>
      </c>
      <c r="K203" s="228" t="str">
        <f>D203&amp;-1</f>
        <v>25-1</v>
      </c>
      <c r="L203" s="232">
        <f>alpha_n</f>
        <v>0.2</v>
      </c>
      <c r="M203" s="235">
        <v>0</v>
      </c>
      <c r="N203" s="232">
        <f>t_out</f>
        <v>150</v>
      </c>
      <c r="O203" s="232">
        <f>trig_t</f>
        <v>160</v>
      </c>
      <c r="P203" s="232">
        <f>N203+4*T_s2</f>
        <v>390</v>
      </c>
      <c r="Q203" s="230">
        <f>1*Pitch_runaway_fine_Hardware</f>
        <v>-4</v>
      </c>
    </row>
    <row r="204" spans="1:17" s="217" customFormat="1" x14ac:dyDescent="0.25">
      <c r="A204" s="229">
        <f t="shared" ref="A204:B204" si="329">A203+1</f>
        <v>2354</v>
      </c>
      <c r="B204" s="230">
        <f t="shared" si="329"/>
        <v>194</v>
      </c>
      <c r="C204" s="229" t="str">
        <f t="shared" ref="C204:C250" si="330">TEXT(RIGHT($B$2,LEN($B$2)-3),"000")&amp;"X"&amp;TEXT(D204,"00")&amp;"+"&amp;IF(J204&lt;0,TEXT(360+J204,"000"),TEXT(J204,"000"))&amp;"_"&amp;TEXT(M204,"000")&amp;"_"&amp;TEXT(RIGHT(K204,LEN(K204)-FIND("-",K204)),"00")</f>
        <v>22cX25+000_030_01</v>
      </c>
      <c r="D204" s="231">
        <f t="shared" ref="D204:D250" si="331">D203</f>
        <v>25</v>
      </c>
      <c r="E204" s="239">
        <f t="shared" si="328"/>
        <v>3.4090000000000007</v>
      </c>
      <c r="F204" s="232">
        <f t="shared" ref="F204:F250" si="332">E204/D204*100</f>
        <v>13.636000000000003</v>
      </c>
      <c r="G204" s="232">
        <f t="shared" si="293"/>
        <v>10.908800000000003</v>
      </c>
      <c r="H204" s="232">
        <f t="shared" si="294"/>
        <v>6.8180000000000014</v>
      </c>
      <c r="I204" s="232">
        <f t="shared" ref="I204:J204" si="333">I203</f>
        <v>8</v>
      </c>
      <c r="J204" s="233">
        <f t="shared" si="333"/>
        <v>0</v>
      </c>
      <c r="K204" s="228" t="str">
        <f t="shared" ref="K204:K206" si="334">D204&amp;-1</f>
        <v>25-1</v>
      </c>
      <c r="L204" s="232">
        <f t="shared" ref="L204:L250" si="335">L203</f>
        <v>0.2</v>
      </c>
      <c r="M204" s="235">
        <v>30</v>
      </c>
      <c r="N204" s="232">
        <f t="shared" ref="N204:P204" si="336">N203</f>
        <v>150</v>
      </c>
      <c r="O204" s="232">
        <f t="shared" si="336"/>
        <v>160</v>
      </c>
      <c r="P204" s="232">
        <f t="shared" si="336"/>
        <v>390</v>
      </c>
      <c r="Q204" s="230">
        <f>Q203</f>
        <v>-4</v>
      </c>
    </row>
    <row r="205" spans="1:17" s="217" customFormat="1" x14ac:dyDescent="0.25">
      <c r="A205" s="229">
        <f t="shared" ref="A205:B205" si="337">A204+1</f>
        <v>2355</v>
      </c>
      <c r="B205" s="230">
        <f t="shared" si="337"/>
        <v>195</v>
      </c>
      <c r="C205" s="229" t="str">
        <f t="shared" si="330"/>
        <v>22cX25+000_060_01</v>
      </c>
      <c r="D205" s="231">
        <f t="shared" si="331"/>
        <v>25</v>
      </c>
      <c r="E205" s="239">
        <f t="shared" si="328"/>
        <v>3.4090000000000007</v>
      </c>
      <c r="F205" s="232">
        <f t="shared" si="332"/>
        <v>13.636000000000003</v>
      </c>
      <c r="G205" s="232">
        <f t="shared" si="293"/>
        <v>10.908800000000003</v>
      </c>
      <c r="H205" s="232">
        <f t="shared" si="294"/>
        <v>6.8180000000000014</v>
      </c>
      <c r="I205" s="232">
        <f t="shared" ref="I205:J205" si="338">I204</f>
        <v>8</v>
      </c>
      <c r="J205" s="233">
        <f t="shared" si="338"/>
        <v>0</v>
      </c>
      <c r="K205" s="228" t="str">
        <f t="shared" si="334"/>
        <v>25-1</v>
      </c>
      <c r="L205" s="232">
        <f t="shared" si="335"/>
        <v>0.2</v>
      </c>
      <c r="M205" s="235">
        <v>60</v>
      </c>
      <c r="N205" s="232">
        <f t="shared" ref="N205:Q205" si="339">N204</f>
        <v>150</v>
      </c>
      <c r="O205" s="232">
        <f t="shared" si="339"/>
        <v>160</v>
      </c>
      <c r="P205" s="232">
        <f t="shared" si="339"/>
        <v>390</v>
      </c>
      <c r="Q205" s="230">
        <f t="shared" si="339"/>
        <v>-4</v>
      </c>
    </row>
    <row r="206" spans="1:17" s="217" customFormat="1" x14ac:dyDescent="0.25">
      <c r="A206" s="229">
        <f t="shared" ref="A206:B206" si="340">A205+1</f>
        <v>2356</v>
      </c>
      <c r="B206" s="230">
        <f t="shared" si="340"/>
        <v>196</v>
      </c>
      <c r="C206" s="229" t="str">
        <f t="shared" si="330"/>
        <v>22cX25+000_090_01</v>
      </c>
      <c r="D206" s="231">
        <f t="shared" si="331"/>
        <v>25</v>
      </c>
      <c r="E206" s="239">
        <f t="shared" si="328"/>
        <v>3.4090000000000007</v>
      </c>
      <c r="F206" s="232">
        <f t="shared" si="332"/>
        <v>13.636000000000003</v>
      </c>
      <c r="G206" s="232">
        <f t="shared" si="293"/>
        <v>10.908800000000003</v>
      </c>
      <c r="H206" s="232">
        <f t="shared" si="294"/>
        <v>6.8180000000000014</v>
      </c>
      <c r="I206" s="232">
        <f t="shared" ref="I206:J206" si="341">I205</f>
        <v>8</v>
      </c>
      <c r="J206" s="233">
        <f t="shared" si="341"/>
        <v>0</v>
      </c>
      <c r="K206" s="228" t="str">
        <f t="shared" si="334"/>
        <v>25-1</v>
      </c>
      <c r="L206" s="232">
        <f t="shared" si="335"/>
        <v>0.2</v>
      </c>
      <c r="M206" s="235">
        <v>90</v>
      </c>
      <c r="N206" s="232">
        <f t="shared" ref="N206:Q206" si="342">N205</f>
        <v>150</v>
      </c>
      <c r="O206" s="232">
        <f t="shared" si="342"/>
        <v>160</v>
      </c>
      <c r="P206" s="232">
        <f t="shared" si="342"/>
        <v>390</v>
      </c>
      <c r="Q206" s="230">
        <f t="shared" si="342"/>
        <v>-4</v>
      </c>
    </row>
    <row r="207" spans="1:17" s="217" customFormat="1" x14ac:dyDescent="0.25">
      <c r="A207" s="229">
        <f t="shared" ref="A207:B207" si="343">A206+1</f>
        <v>2357</v>
      </c>
      <c r="B207" s="230">
        <f t="shared" si="343"/>
        <v>197</v>
      </c>
      <c r="C207" s="229" t="str">
        <f t="shared" si="330"/>
        <v>22cX25+000_000_02</v>
      </c>
      <c r="D207" s="231">
        <f t="shared" si="331"/>
        <v>25</v>
      </c>
      <c r="E207" s="239">
        <f t="shared" si="328"/>
        <v>3.4090000000000007</v>
      </c>
      <c r="F207" s="232">
        <f t="shared" si="332"/>
        <v>13.636000000000003</v>
      </c>
      <c r="G207" s="232">
        <f t="shared" si="293"/>
        <v>10.908800000000003</v>
      </c>
      <c r="H207" s="232">
        <f t="shared" si="294"/>
        <v>6.8180000000000014</v>
      </c>
      <c r="I207" s="232">
        <f t="shared" ref="I207:J207" si="344">I206</f>
        <v>8</v>
      </c>
      <c r="J207" s="233">
        <f t="shared" si="344"/>
        <v>0</v>
      </c>
      <c r="K207" s="228" t="str">
        <f>D207&amp;-2</f>
        <v>25-2</v>
      </c>
      <c r="L207" s="232">
        <f t="shared" si="335"/>
        <v>0.2</v>
      </c>
      <c r="M207" s="235">
        <v>0</v>
      </c>
      <c r="N207" s="232">
        <f t="shared" ref="N207:Q207" si="345">N206</f>
        <v>150</v>
      </c>
      <c r="O207" s="232">
        <f t="shared" si="345"/>
        <v>160</v>
      </c>
      <c r="P207" s="232">
        <f t="shared" si="345"/>
        <v>390</v>
      </c>
      <c r="Q207" s="230">
        <f t="shared" si="345"/>
        <v>-4</v>
      </c>
    </row>
    <row r="208" spans="1:17" s="217" customFormat="1" x14ac:dyDescent="0.25">
      <c r="A208" s="229">
        <f t="shared" ref="A208:B208" si="346">A207+1</f>
        <v>2358</v>
      </c>
      <c r="B208" s="230">
        <f t="shared" si="346"/>
        <v>198</v>
      </c>
      <c r="C208" s="229" t="str">
        <f t="shared" si="330"/>
        <v>22cX25+000_030_02</v>
      </c>
      <c r="D208" s="231">
        <f t="shared" si="331"/>
        <v>25</v>
      </c>
      <c r="E208" s="239">
        <f t="shared" si="328"/>
        <v>3.4090000000000007</v>
      </c>
      <c r="F208" s="232">
        <f t="shared" si="332"/>
        <v>13.636000000000003</v>
      </c>
      <c r="G208" s="232">
        <f t="shared" si="293"/>
        <v>10.908800000000003</v>
      </c>
      <c r="H208" s="232">
        <f t="shared" si="294"/>
        <v>6.8180000000000014</v>
      </c>
      <c r="I208" s="232">
        <f t="shared" ref="I208:J208" si="347">I207</f>
        <v>8</v>
      </c>
      <c r="J208" s="233">
        <f t="shared" si="347"/>
        <v>0</v>
      </c>
      <c r="K208" s="228" t="str">
        <f t="shared" ref="K208:K210" si="348">D208&amp;-2</f>
        <v>25-2</v>
      </c>
      <c r="L208" s="232">
        <f t="shared" si="335"/>
        <v>0.2</v>
      </c>
      <c r="M208" s="235">
        <v>30</v>
      </c>
      <c r="N208" s="232">
        <f t="shared" ref="N208:Q208" si="349">N207</f>
        <v>150</v>
      </c>
      <c r="O208" s="232">
        <f t="shared" si="349"/>
        <v>160</v>
      </c>
      <c r="P208" s="232">
        <f t="shared" si="349"/>
        <v>390</v>
      </c>
      <c r="Q208" s="230">
        <f t="shared" si="349"/>
        <v>-4</v>
      </c>
    </row>
    <row r="209" spans="1:17" s="217" customFormat="1" x14ac:dyDescent="0.25">
      <c r="A209" s="229">
        <f t="shared" ref="A209:B209" si="350">A208+1</f>
        <v>2359</v>
      </c>
      <c r="B209" s="230">
        <f t="shared" si="350"/>
        <v>199</v>
      </c>
      <c r="C209" s="229" t="str">
        <f t="shared" si="330"/>
        <v>22cX25+000_060_02</v>
      </c>
      <c r="D209" s="231">
        <f t="shared" si="331"/>
        <v>25</v>
      </c>
      <c r="E209" s="239">
        <f t="shared" si="328"/>
        <v>3.4090000000000007</v>
      </c>
      <c r="F209" s="232">
        <f t="shared" si="332"/>
        <v>13.636000000000003</v>
      </c>
      <c r="G209" s="232">
        <f t="shared" si="293"/>
        <v>10.908800000000003</v>
      </c>
      <c r="H209" s="232">
        <f t="shared" si="294"/>
        <v>6.8180000000000014</v>
      </c>
      <c r="I209" s="232">
        <f t="shared" ref="I209:J209" si="351">I208</f>
        <v>8</v>
      </c>
      <c r="J209" s="233">
        <f t="shared" si="351"/>
        <v>0</v>
      </c>
      <c r="K209" s="228" t="str">
        <f t="shared" si="348"/>
        <v>25-2</v>
      </c>
      <c r="L209" s="232">
        <f t="shared" si="335"/>
        <v>0.2</v>
      </c>
      <c r="M209" s="235">
        <v>60</v>
      </c>
      <c r="N209" s="232">
        <f t="shared" ref="N209:Q209" si="352">N208</f>
        <v>150</v>
      </c>
      <c r="O209" s="232">
        <f t="shared" si="352"/>
        <v>160</v>
      </c>
      <c r="P209" s="232">
        <f t="shared" si="352"/>
        <v>390</v>
      </c>
      <c r="Q209" s="230">
        <f t="shared" si="352"/>
        <v>-4</v>
      </c>
    </row>
    <row r="210" spans="1:17" s="217" customFormat="1" x14ac:dyDescent="0.25">
      <c r="A210" s="229">
        <f t="shared" ref="A210:B210" si="353">A209+1</f>
        <v>2360</v>
      </c>
      <c r="B210" s="230">
        <f t="shared" si="353"/>
        <v>200</v>
      </c>
      <c r="C210" s="229" t="str">
        <f t="shared" si="330"/>
        <v>22cX25+000_090_02</v>
      </c>
      <c r="D210" s="231">
        <f t="shared" si="331"/>
        <v>25</v>
      </c>
      <c r="E210" s="239">
        <f t="shared" si="328"/>
        <v>3.4090000000000007</v>
      </c>
      <c r="F210" s="232">
        <f t="shared" si="332"/>
        <v>13.636000000000003</v>
      </c>
      <c r="G210" s="232">
        <f t="shared" si="293"/>
        <v>10.908800000000003</v>
      </c>
      <c r="H210" s="232">
        <f t="shared" si="294"/>
        <v>6.8180000000000014</v>
      </c>
      <c r="I210" s="232">
        <f t="shared" ref="I210:J210" si="354">I209</f>
        <v>8</v>
      </c>
      <c r="J210" s="233">
        <f t="shared" si="354"/>
        <v>0</v>
      </c>
      <c r="K210" s="228" t="str">
        <f t="shared" si="348"/>
        <v>25-2</v>
      </c>
      <c r="L210" s="232">
        <f t="shared" si="335"/>
        <v>0.2</v>
      </c>
      <c r="M210" s="235">
        <v>90</v>
      </c>
      <c r="N210" s="232">
        <f t="shared" ref="N210:Q210" si="355">N209</f>
        <v>150</v>
      </c>
      <c r="O210" s="232">
        <f t="shared" si="355"/>
        <v>160</v>
      </c>
      <c r="P210" s="232">
        <f t="shared" si="355"/>
        <v>390</v>
      </c>
      <c r="Q210" s="230">
        <f t="shared" si="355"/>
        <v>-4</v>
      </c>
    </row>
    <row r="211" spans="1:17" s="217" customFormat="1" x14ac:dyDescent="0.25">
      <c r="A211" s="229">
        <f t="shared" ref="A211:B211" si="356">A210+1</f>
        <v>2361</v>
      </c>
      <c r="B211" s="230">
        <f t="shared" si="356"/>
        <v>201</v>
      </c>
      <c r="C211" s="229" t="str">
        <f t="shared" si="330"/>
        <v>22cX25+000_000_03</v>
      </c>
      <c r="D211" s="231">
        <f t="shared" si="331"/>
        <v>25</v>
      </c>
      <c r="E211" s="239">
        <f t="shared" si="328"/>
        <v>3.4090000000000007</v>
      </c>
      <c r="F211" s="232">
        <f t="shared" si="332"/>
        <v>13.636000000000003</v>
      </c>
      <c r="G211" s="232">
        <f t="shared" si="293"/>
        <v>10.908800000000003</v>
      </c>
      <c r="H211" s="232">
        <f t="shared" si="294"/>
        <v>6.8180000000000014</v>
      </c>
      <c r="I211" s="232">
        <f t="shared" ref="I211:J211" si="357">I210</f>
        <v>8</v>
      </c>
      <c r="J211" s="233">
        <f t="shared" si="357"/>
        <v>0</v>
      </c>
      <c r="K211" s="228" t="str">
        <f>D211&amp;-3</f>
        <v>25-3</v>
      </c>
      <c r="L211" s="232">
        <f t="shared" si="335"/>
        <v>0.2</v>
      </c>
      <c r="M211" s="235">
        <v>0</v>
      </c>
      <c r="N211" s="232">
        <f t="shared" ref="N211:Q211" si="358">N210</f>
        <v>150</v>
      </c>
      <c r="O211" s="232">
        <f t="shared" si="358"/>
        <v>160</v>
      </c>
      <c r="P211" s="232">
        <f t="shared" si="358"/>
        <v>390</v>
      </c>
      <c r="Q211" s="230">
        <f t="shared" si="358"/>
        <v>-4</v>
      </c>
    </row>
    <row r="212" spans="1:17" s="217" customFormat="1" x14ac:dyDescent="0.25">
      <c r="A212" s="229">
        <f t="shared" ref="A212:B212" si="359">A211+1</f>
        <v>2362</v>
      </c>
      <c r="B212" s="230">
        <f t="shared" si="359"/>
        <v>202</v>
      </c>
      <c r="C212" s="229" t="str">
        <f t="shared" si="330"/>
        <v>22cX25+000_030_03</v>
      </c>
      <c r="D212" s="231">
        <f t="shared" si="331"/>
        <v>25</v>
      </c>
      <c r="E212" s="239">
        <f t="shared" si="328"/>
        <v>3.4090000000000007</v>
      </c>
      <c r="F212" s="232">
        <f t="shared" si="332"/>
        <v>13.636000000000003</v>
      </c>
      <c r="G212" s="232">
        <f t="shared" si="293"/>
        <v>10.908800000000003</v>
      </c>
      <c r="H212" s="232">
        <f t="shared" si="294"/>
        <v>6.8180000000000014</v>
      </c>
      <c r="I212" s="232">
        <f t="shared" ref="I212:J212" si="360">I211</f>
        <v>8</v>
      </c>
      <c r="J212" s="233">
        <f t="shared" si="360"/>
        <v>0</v>
      </c>
      <c r="K212" s="228" t="str">
        <f t="shared" ref="K212:K214" si="361">D212&amp;-3</f>
        <v>25-3</v>
      </c>
      <c r="L212" s="232">
        <f t="shared" si="335"/>
        <v>0.2</v>
      </c>
      <c r="M212" s="235">
        <v>30</v>
      </c>
      <c r="N212" s="232">
        <f t="shared" ref="N212:Q212" si="362">N211</f>
        <v>150</v>
      </c>
      <c r="O212" s="232">
        <f t="shared" si="362"/>
        <v>160</v>
      </c>
      <c r="P212" s="232">
        <f t="shared" si="362"/>
        <v>390</v>
      </c>
      <c r="Q212" s="230">
        <f t="shared" si="362"/>
        <v>-4</v>
      </c>
    </row>
    <row r="213" spans="1:17" s="217" customFormat="1" x14ac:dyDescent="0.25">
      <c r="A213" s="229">
        <f t="shared" ref="A213:B213" si="363">A212+1</f>
        <v>2363</v>
      </c>
      <c r="B213" s="230">
        <f t="shared" si="363"/>
        <v>203</v>
      </c>
      <c r="C213" s="229" t="str">
        <f t="shared" si="330"/>
        <v>22cX25+000_060_03</v>
      </c>
      <c r="D213" s="231">
        <f t="shared" si="331"/>
        <v>25</v>
      </c>
      <c r="E213" s="239">
        <f t="shared" si="328"/>
        <v>3.4090000000000007</v>
      </c>
      <c r="F213" s="232">
        <f t="shared" si="332"/>
        <v>13.636000000000003</v>
      </c>
      <c r="G213" s="232">
        <f t="shared" si="293"/>
        <v>10.908800000000003</v>
      </c>
      <c r="H213" s="232">
        <f t="shared" si="294"/>
        <v>6.8180000000000014</v>
      </c>
      <c r="I213" s="232">
        <f t="shared" ref="I213:J213" si="364">I212</f>
        <v>8</v>
      </c>
      <c r="J213" s="233">
        <f t="shared" si="364"/>
        <v>0</v>
      </c>
      <c r="K213" s="228" t="str">
        <f t="shared" si="361"/>
        <v>25-3</v>
      </c>
      <c r="L213" s="232">
        <f t="shared" si="335"/>
        <v>0.2</v>
      </c>
      <c r="M213" s="235">
        <v>60</v>
      </c>
      <c r="N213" s="232">
        <f t="shared" ref="N213:Q213" si="365">N212</f>
        <v>150</v>
      </c>
      <c r="O213" s="232">
        <f t="shared" si="365"/>
        <v>160</v>
      </c>
      <c r="P213" s="232">
        <f t="shared" si="365"/>
        <v>390</v>
      </c>
      <c r="Q213" s="230">
        <f t="shared" si="365"/>
        <v>-4</v>
      </c>
    </row>
    <row r="214" spans="1:17" s="217" customFormat="1" x14ac:dyDescent="0.25">
      <c r="A214" s="229">
        <f t="shared" ref="A214:B214" si="366">A213+1</f>
        <v>2364</v>
      </c>
      <c r="B214" s="230">
        <f t="shared" si="366"/>
        <v>204</v>
      </c>
      <c r="C214" s="229" t="str">
        <f t="shared" si="330"/>
        <v>22cX25+000_090_03</v>
      </c>
      <c r="D214" s="231">
        <f t="shared" si="331"/>
        <v>25</v>
      </c>
      <c r="E214" s="239">
        <f t="shared" si="328"/>
        <v>3.4090000000000007</v>
      </c>
      <c r="F214" s="232">
        <f t="shared" si="332"/>
        <v>13.636000000000003</v>
      </c>
      <c r="G214" s="232">
        <f t="shared" si="293"/>
        <v>10.908800000000003</v>
      </c>
      <c r="H214" s="232">
        <f t="shared" si="294"/>
        <v>6.8180000000000014</v>
      </c>
      <c r="I214" s="232">
        <f t="shared" ref="I214:J214" si="367">I213</f>
        <v>8</v>
      </c>
      <c r="J214" s="233">
        <f t="shared" si="367"/>
        <v>0</v>
      </c>
      <c r="K214" s="228" t="str">
        <f t="shared" si="361"/>
        <v>25-3</v>
      </c>
      <c r="L214" s="232">
        <f t="shared" si="335"/>
        <v>0.2</v>
      </c>
      <c r="M214" s="235">
        <v>90</v>
      </c>
      <c r="N214" s="232">
        <f t="shared" ref="N214:Q214" si="368">N213</f>
        <v>150</v>
      </c>
      <c r="O214" s="232">
        <f t="shared" si="368"/>
        <v>160</v>
      </c>
      <c r="P214" s="232">
        <f t="shared" si="368"/>
        <v>390</v>
      </c>
      <c r="Q214" s="230">
        <f t="shared" si="368"/>
        <v>-4</v>
      </c>
    </row>
    <row r="215" spans="1:17" s="217" customFormat="1" ht="14.25" customHeight="1" x14ac:dyDescent="0.25">
      <c r="A215" s="229">
        <f t="shared" ref="A215:B215" si="369">A214+1</f>
        <v>2365</v>
      </c>
      <c r="B215" s="230">
        <f t="shared" si="369"/>
        <v>205</v>
      </c>
      <c r="C215" s="229" t="str">
        <f t="shared" si="330"/>
        <v>22cX25+000_000_04</v>
      </c>
      <c r="D215" s="231">
        <f t="shared" si="331"/>
        <v>25</v>
      </c>
      <c r="E215" s="239">
        <f t="shared" si="328"/>
        <v>3.4090000000000007</v>
      </c>
      <c r="F215" s="232">
        <f t="shared" si="332"/>
        <v>13.636000000000003</v>
      </c>
      <c r="G215" s="232">
        <f t="shared" si="293"/>
        <v>10.908800000000003</v>
      </c>
      <c r="H215" s="232">
        <f t="shared" si="294"/>
        <v>6.8180000000000014</v>
      </c>
      <c r="I215" s="232">
        <f t="shared" ref="I215:J215" si="370">I214</f>
        <v>8</v>
      </c>
      <c r="J215" s="233">
        <f t="shared" si="370"/>
        <v>0</v>
      </c>
      <c r="K215" s="228" t="str">
        <f>D215&amp;-4</f>
        <v>25-4</v>
      </c>
      <c r="L215" s="232">
        <f t="shared" si="335"/>
        <v>0.2</v>
      </c>
      <c r="M215" s="235">
        <v>0</v>
      </c>
      <c r="N215" s="232">
        <f t="shared" ref="N215:Q215" si="371">N214</f>
        <v>150</v>
      </c>
      <c r="O215" s="232">
        <f t="shared" si="371"/>
        <v>160</v>
      </c>
      <c r="P215" s="232">
        <f t="shared" si="371"/>
        <v>390</v>
      </c>
      <c r="Q215" s="230">
        <f t="shared" si="371"/>
        <v>-4</v>
      </c>
    </row>
    <row r="216" spans="1:17" s="217" customFormat="1" x14ac:dyDescent="0.25">
      <c r="A216" s="229">
        <f t="shared" ref="A216:B216" si="372">A215+1</f>
        <v>2366</v>
      </c>
      <c r="B216" s="230">
        <f t="shared" si="372"/>
        <v>206</v>
      </c>
      <c r="C216" s="229" t="str">
        <f t="shared" si="330"/>
        <v>22cX25+000_030_04</v>
      </c>
      <c r="D216" s="231">
        <f t="shared" si="331"/>
        <v>25</v>
      </c>
      <c r="E216" s="239">
        <f t="shared" si="328"/>
        <v>3.4090000000000007</v>
      </c>
      <c r="F216" s="232">
        <f t="shared" si="332"/>
        <v>13.636000000000003</v>
      </c>
      <c r="G216" s="232">
        <f t="shared" si="293"/>
        <v>10.908800000000003</v>
      </c>
      <c r="H216" s="232">
        <f t="shared" si="294"/>
        <v>6.8180000000000014</v>
      </c>
      <c r="I216" s="232">
        <f t="shared" ref="I216:J216" si="373">I215</f>
        <v>8</v>
      </c>
      <c r="J216" s="233">
        <f t="shared" si="373"/>
        <v>0</v>
      </c>
      <c r="K216" s="228" t="str">
        <f t="shared" ref="K216:K218" si="374">D216&amp;-4</f>
        <v>25-4</v>
      </c>
      <c r="L216" s="232">
        <f t="shared" si="335"/>
        <v>0.2</v>
      </c>
      <c r="M216" s="235">
        <v>30</v>
      </c>
      <c r="N216" s="232">
        <f t="shared" ref="N216:Q216" si="375">N215</f>
        <v>150</v>
      </c>
      <c r="O216" s="232">
        <f t="shared" si="375"/>
        <v>160</v>
      </c>
      <c r="P216" s="232">
        <f t="shared" si="375"/>
        <v>390</v>
      </c>
      <c r="Q216" s="230">
        <f t="shared" si="375"/>
        <v>-4</v>
      </c>
    </row>
    <row r="217" spans="1:17" s="217" customFormat="1" x14ac:dyDescent="0.25">
      <c r="A217" s="229">
        <f t="shared" ref="A217:B217" si="376">A216+1</f>
        <v>2367</v>
      </c>
      <c r="B217" s="230">
        <f t="shared" si="376"/>
        <v>207</v>
      </c>
      <c r="C217" s="229" t="str">
        <f t="shared" si="330"/>
        <v>22cX25+000_060_04</v>
      </c>
      <c r="D217" s="231">
        <f t="shared" si="331"/>
        <v>25</v>
      </c>
      <c r="E217" s="239">
        <f t="shared" si="328"/>
        <v>3.4090000000000007</v>
      </c>
      <c r="F217" s="232">
        <f t="shared" si="332"/>
        <v>13.636000000000003</v>
      </c>
      <c r="G217" s="232">
        <f t="shared" si="293"/>
        <v>10.908800000000003</v>
      </c>
      <c r="H217" s="232">
        <f t="shared" si="294"/>
        <v>6.8180000000000014</v>
      </c>
      <c r="I217" s="232">
        <f t="shared" ref="I217:J217" si="377">I216</f>
        <v>8</v>
      </c>
      <c r="J217" s="233">
        <f t="shared" si="377"/>
        <v>0</v>
      </c>
      <c r="K217" s="228" t="str">
        <f t="shared" si="374"/>
        <v>25-4</v>
      </c>
      <c r="L217" s="232">
        <f t="shared" si="335"/>
        <v>0.2</v>
      </c>
      <c r="M217" s="235">
        <v>60</v>
      </c>
      <c r="N217" s="232">
        <f t="shared" ref="N217:Q217" si="378">N216</f>
        <v>150</v>
      </c>
      <c r="O217" s="232">
        <f t="shared" si="378"/>
        <v>160</v>
      </c>
      <c r="P217" s="232">
        <f t="shared" si="378"/>
        <v>390</v>
      </c>
      <c r="Q217" s="230">
        <f t="shared" si="378"/>
        <v>-4</v>
      </c>
    </row>
    <row r="218" spans="1:17" s="217" customFormat="1" x14ac:dyDescent="0.25">
      <c r="A218" s="229">
        <f t="shared" ref="A218:B218" si="379">A217+1</f>
        <v>2368</v>
      </c>
      <c r="B218" s="230">
        <f t="shared" si="379"/>
        <v>208</v>
      </c>
      <c r="C218" s="229" t="str">
        <f t="shared" si="330"/>
        <v>22cX25+000_090_04</v>
      </c>
      <c r="D218" s="231">
        <f t="shared" si="331"/>
        <v>25</v>
      </c>
      <c r="E218" s="239">
        <f t="shared" si="328"/>
        <v>3.4090000000000007</v>
      </c>
      <c r="F218" s="232">
        <f t="shared" si="332"/>
        <v>13.636000000000003</v>
      </c>
      <c r="G218" s="232">
        <f t="shared" si="293"/>
        <v>10.908800000000003</v>
      </c>
      <c r="H218" s="232">
        <f t="shared" si="294"/>
        <v>6.8180000000000014</v>
      </c>
      <c r="I218" s="232">
        <f t="shared" ref="I218:J218" si="380">I217</f>
        <v>8</v>
      </c>
      <c r="J218" s="233">
        <f t="shared" si="380"/>
        <v>0</v>
      </c>
      <c r="K218" s="228" t="str">
        <f t="shared" si="374"/>
        <v>25-4</v>
      </c>
      <c r="L218" s="232">
        <f t="shared" si="335"/>
        <v>0.2</v>
      </c>
      <c r="M218" s="235">
        <v>90</v>
      </c>
      <c r="N218" s="232">
        <f t="shared" ref="N218:Q218" si="381">N217</f>
        <v>150</v>
      </c>
      <c r="O218" s="232">
        <f t="shared" si="381"/>
        <v>160</v>
      </c>
      <c r="P218" s="232">
        <f t="shared" si="381"/>
        <v>390</v>
      </c>
      <c r="Q218" s="230">
        <f t="shared" si="381"/>
        <v>-4</v>
      </c>
    </row>
    <row r="219" spans="1:17" s="217" customFormat="1" x14ac:dyDescent="0.25">
      <c r="A219" s="229">
        <f t="shared" ref="A219:B219" si="382">A218+1</f>
        <v>2369</v>
      </c>
      <c r="B219" s="230">
        <f t="shared" si="382"/>
        <v>209</v>
      </c>
      <c r="C219" s="229" t="str">
        <f t="shared" si="330"/>
        <v>22cX25+000_000_05</v>
      </c>
      <c r="D219" s="231">
        <f t="shared" si="331"/>
        <v>25</v>
      </c>
      <c r="E219" s="239">
        <f t="shared" si="328"/>
        <v>3.4090000000000007</v>
      </c>
      <c r="F219" s="232">
        <f t="shared" si="332"/>
        <v>13.636000000000003</v>
      </c>
      <c r="G219" s="232">
        <f t="shared" si="293"/>
        <v>10.908800000000003</v>
      </c>
      <c r="H219" s="232">
        <f t="shared" si="294"/>
        <v>6.8180000000000014</v>
      </c>
      <c r="I219" s="232">
        <f t="shared" ref="I219:J219" si="383">I218</f>
        <v>8</v>
      </c>
      <c r="J219" s="233">
        <f t="shared" si="383"/>
        <v>0</v>
      </c>
      <c r="K219" s="228" t="str">
        <f>D219&amp;-5</f>
        <v>25-5</v>
      </c>
      <c r="L219" s="232">
        <f t="shared" si="335"/>
        <v>0.2</v>
      </c>
      <c r="M219" s="235">
        <v>0</v>
      </c>
      <c r="N219" s="232">
        <f t="shared" ref="N219:Q219" si="384">N218</f>
        <v>150</v>
      </c>
      <c r="O219" s="232">
        <f t="shared" si="384"/>
        <v>160</v>
      </c>
      <c r="P219" s="232">
        <f t="shared" si="384"/>
        <v>390</v>
      </c>
      <c r="Q219" s="230">
        <f t="shared" si="384"/>
        <v>-4</v>
      </c>
    </row>
    <row r="220" spans="1:17" s="217" customFormat="1" x14ac:dyDescent="0.25">
      <c r="A220" s="229">
        <f t="shared" ref="A220:B220" si="385">A219+1</f>
        <v>2370</v>
      </c>
      <c r="B220" s="230">
        <f t="shared" si="385"/>
        <v>210</v>
      </c>
      <c r="C220" s="229" t="str">
        <f t="shared" si="330"/>
        <v>22cX25+000_030_05</v>
      </c>
      <c r="D220" s="231">
        <f t="shared" si="331"/>
        <v>25</v>
      </c>
      <c r="E220" s="239">
        <f t="shared" si="328"/>
        <v>3.4090000000000007</v>
      </c>
      <c r="F220" s="232">
        <f t="shared" si="332"/>
        <v>13.636000000000003</v>
      </c>
      <c r="G220" s="232">
        <f t="shared" si="293"/>
        <v>10.908800000000003</v>
      </c>
      <c r="H220" s="232">
        <f t="shared" si="294"/>
        <v>6.8180000000000014</v>
      </c>
      <c r="I220" s="232">
        <f t="shared" ref="I220:J220" si="386">I219</f>
        <v>8</v>
      </c>
      <c r="J220" s="233">
        <f t="shared" si="386"/>
        <v>0</v>
      </c>
      <c r="K220" s="228" t="str">
        <f t="shared" ref="K220:K222" si="387">D220&amp;-5</f>
        <v>25-5</v>
      </c>
      <c r="L220" s="232">
        <f t="shared" si="335"/>
        <v>0.2</v>
      </c>
      <c r="M220" s="235">
        <v>30</v>
      </c>
      <c r="N220" s="232">
        <f t="shared" ref="N220:Q220" si="388">N219</f>
        <v>150</v>
      </c>
      <c r="O220" s="232">
        <f t="shared" si="388"/>
        <v>160</v>
      </c>
      <c r="P220" s="232">
        <f t="shared" si="388"/>
        <v>390</v>
      </c>
      <c r="Q220" s="230">
        <f t="shared" si="388"/>
        <v>-4</v>
      </c>
    </row>
    <row r="221" spans="1:17" s="217" customFormat="1" x14ac:dyDescent="0.25">
      <c r="A221" s="229">
        <f t="shared" ref="A221:B221" si="389">A220+1</f>
        <v>2371</v>
      </c>
      <c r="B221" s="230">
        <f t="shared" si="389"/>
        <v>211</v>
      </c>
      <c r="C221" s="229" t="str">
        <f t="shared" si="330"/>
        <v>22cX25+000_060_05</v>
      </c>
      <c r="D221" s="231">
        <f t="shared" si="331"/>
        <v>25</v>
      </c>
      <c r="E221" s="239">
        <f t="shared" si="328"/>
        <v>3.4090000000000007</v>
      </c>
      <c r="F221" s="232">
        <f t="shared" si="332"/>
        <v>13.636000000000003</v>
      </c>
      <c r="G221" s="232">
        <f t="shared" si="293"/>
        <v>10.908800000000003</v>
      </c>
      <c r="H221" s="232">
        <f t="shared" si="294"/>
        <v>6.8180000000000014</v>
      </c>
      <c r="I221" s="232">
        <f t="shared" ref="I221:J221" si="390">I220</f>
        <v>8</v>
      </c>
      <c r="J221" s="233">
        <f t="shared" si="390"/>
        <v>0</v>
      </c>
      <c r="K221" s="228" t="str">
        <f t="shared" si="387"/>
        <v>25-5</v>
      </c>
      <c r="L221" s="232">
        <f t="shared" si="335"/>
        <v>0.2</v>
      </c>
      <c r="M221" s="235">
        <v>60</v>
      </c>
      <c r="N221" s="232">
        <f t="shared" ref="N221:Q221" si="391">N220</f>
        <v>150</v>
      </c>
      <c r="O221" s="232">
        <f t="shared" si="391"/>
        <v>160</v>
      </c>
      <c r="P221" s="232">
        <f t="shared" si="391"/>
        <v>390</v>
      </c>
      <c r="Q221" s="230">
        <f t="shared" si="391"/>
        <v>-4</v>
      </c>
    </row>
    <row r="222" spans="1:17" s="217" customFormat="1" x14ac:dyDescent="0.25">
      <c r="A222" s="229">
        <f t="shared" ref="A222:B222" si="392">A221+1</f>
        <v>2372</v>
      </c>
      <c r="B222" s="230">
        <f t="shared" si="392"/>
        <v>212</v>
      </c>
      <c r="C222" s="229" t="str">
        <f t="shared" si="330"/>
        <v>22cX25+000_090_05</v>
      </c>
      <c r="D222" s="231">
        <f t="shared" si="331"/>
        <v>25</v>
      </c>
      <c r="E222" s="239">
        <f t="shared" si="328"/>
        <v>3.4090000000000007</v>
      </c>
      <c r="F222" s="232">
        <f t="shared" si="332"/>
        <v>13.636000000000003</v>
      </c>
      <c r="G222" s="232">
        <f t="shared" si="293"/>
        <v>10.908800000000003</v>
      </c>
      <c r="H222" s="232">
        <f t="shared" si="294"/>
        <v>6.8180000000000014</v>
      </c>
      <c r="I222" s="232">
        <f t="shared" ref="I222:J222" si="393">I221</f>
        <v>8</v>
      </c>
      <c r="J222" s="233">
        <f t="shared" si="393"/>
        <v>0</v>
      </c>
      <c r="K222" s="228" t="str">
        <f t="shared" si="387"/>
        <v>25-5</v>
      </c>
      <c r="L222" s="232">
        <f t="shared" si="335"/>
        <v>0.2</v>
      </c>
      <c r="M222" s="235">
        <v>90</v>
      </c>
      <c r="N222" s="232">
        <f t="shared" ref="N222:Q222" si="394">N221</f>
        <v>150</v>
      </c>
      <c r="O222" s="232">
        <f t="shared" si="394"/>
        <v>160</v>
      </c>
      <c r="P222" s="232">
        <f t="shared" si="394"/>
        <v>390</v>
      </c>
      <c r="Q222" s="230">
        <f t="shared" si="394"/>
        <v>-4</v>
      </c>
    </row>
    <row r="223" spans="1:17" s="217" customFormat="1" x14ac:dyDescent="0.25">
      <c r="A223" s="229">
        <f t="shared" ref="A223:B223" si="395">A222+1</f>
        <v>2373</v>
      </c>
      <c r="B223" s="230">
        <f t="shared" si="395"/>
        <v>213</v>
      </c>
      <c r="C223" s="229" t="str">
        <f t="shared" si="330"/>
        <v>22cX25+000_000_06</v>
      </c>
      <c r="D223" s="231">
        <f t="shared" si="331"/>
        <v>25</v>
      </c>
      <c r="E223" s="239">
        <f t="shared" si="328"/>
        <v>3.4090000000000007</v>
      </c>
      <c r="F223" s="232">
        <f t="shared" si="332"/>
        <v>13.636000000000003</v>
      </c>
      <c r="G223" s="232">
        <f t="shared" si="293"/>
        <v>10.908800000000003</v>
      </c>
      <c r="H223" s="232">
        <f t="shared" si="294"/>
        <v>6.8180000000000014</v>
      </c>
      <c r="I223" s="232">
        <f t="shared" ref="I223:J223" si="396">I222</f>
        <v>8</v>
      </c>
      <c r="J223" s="233">
        <f t="shared" si="396"/>
        <v>0</v>
      </c>
      <c r="K223" s="228" t="str">
        <f>D223&amp;-6</f>
        <v>25-6</v>
      </c>
      <c r="L223" s="232">
        <f t="shared" si="335"/>
        <v>0.2</v>
      </c>
      <c r="M223" s="235">
        <v>0</v>
      </c>
      <c r="N223" s="232">
        <f t="shared" ref="N223:Q223" si="397">N222</f>
        <v>150</v>
      </c>
      <c r="O223" s="232">
        <f t="shared" si="397"/>
        <v>160</v>
      </c>
      <c r="P223" s="232">
        <f t="shared" si="397"/>
        <v>390</v>
      </c>
      <c r="Q223" s="230">
        <f t="shared" si="397"/>
        <v>-4</v>
      </c>
    </row>
    <row r="224" spans="1:17" s="217" customFormat="1" x14ac:dyDescent="0.25">
      <c r="A224" s="229">
        <f t="shared" ref="A224:B224" si="398">A223+1</f>
        <v>2374</v>
      </c>
      <c r="B224" s="230">
        <f t="shared" si="398"/>
        <v>214</v>
      </c>
      <c r="C224" s="229" t="str">
        <f t="shared" si="330"/>
        <v>22cX25+000_030_06</v>
      </c>
      <c r="D224" s="231">
        <f t="shared" si="331"/>
        <v>25</v>
      </c>
      <c r="E224" s="239">
        <f t="shared" si="328"/>
        <v>3.4090000000000007</v>
      </c>
      <c r="F224" s="232">
        <f t="shared" si="332"/>
        <v>13.636000000000003</v>
      </c>
      <c r="G224" s="232">
        <f t="shared" si="293"/>
        <v>10.908800000000003</v>
      </c>
      <c r="H224" s="232">
        <f t="shared" si="294"/>
        <v>6.8180000000000014</v>
      </c>
      <c r="I224" s="232">
        <f t="shared" ref="I224:J224" si="399">I223</f>
        <v>8</v>
      </c>
      <c r="J224" s="233">
        <f t="shared" si="399"/>
        <v>0</v>
      </c>
      <c r="K224" s="228" t="str">
        <f t="shared" ref="K224:K226" si="400">D224&amp;-6</f>
        <v>25-6</v>
      </c>
      <c r="L224" s="232">
        <f t="shared" si="335"/>
        <v>0.2</v>
      </c>
      <c r="M224" s="235">
        <v>30</v>
      </c>
      <c r="N224" s="232">
        <f t="shared" ref="N224:Q224" si="401">N223</f>
        <v>150</v>
      </c>
      <c r="O224" s="232">
        <f t="shared" si="401"/>
        <v>160</v>
      </c>
      <c r="P224" s="232">
        <f t="shared" si="401"/>
        <v>390</v>
      </c>
      <c r="Q224" s="230">
        <f t="shared" si="401"/>
        <v>-4</v>
      </c>
    </row>
    <row r="225" spans="1:17" s="217" customFormat="1" x14ac:dyDescent="0.25">
      <c r="A225" s="229">
        <f t="shared" ref="A225:B225" si="402">A224+1</f>
        <v>2375</v>
      </c>
      <c r="B225" s="230">
        <f t="shared" si="402"/>
        <v>215</v>
      </c>
      <c r="C225" s="229" t="str">
        <f t="shared" si="330"/>
        <v>22cX25+000_060_06</v>
      </c>
      <c r="D225" s="231">
        <f t="shared" si="331"/>
        <v>25</v>
      </c>
      <c r="E225" s="239">
        <f t="shared" si="328"/>
        <v>3.4090000000000007</v>
      </c>
      <c r="F225" s="232">
        <f t="shared" si="332"/>
        <v>13.636000000000003</v>
      </c>
      <c r="G225" s="232">
        <f t="shared" si="293"/>
        <v>10.908800000000003</v>
      </c>
      <c r="H225" s="232">
        <f t="shared" si="294"/>
        <v>6.8180000000000014</v>
      </c>
      <c r="I225" s="232">
        <f t="shared" ref="I225:J225" si="403">I224</f>
        <v>8</v>
      </c>
      <c r="J225" s="233">
        <f t="shared" si="403"/>
        <v>0</v>
      </c>
      <c r="K225" s="228" t="str">
        <f t="shared" si="400"/>
        <v>25-6</v>
      </c>
      <c r="L225" s="232">
        <f t="shared" si="335"/>
        <v>0.2</v>
      </c>
      <c r="M225" s="235">
        <v>60</v>
      </c>
      <c r="N225" s="232">
        <f t="shared" ref="N225:Q225" si="404">N224</f>
        <v>150</v>
      </c>
      <c r="O225" s="232">
        <f t="shared" si="404"/>
        <v>160</v>
      </c>
      <c r="P225" s="232">
        <f t="shared" si="404"/>
        <v>390</v>
      </c>
      <c r="Q225" s="230">
        <f t="shared" si="404"/>
        <v>-4</v>
      </c>
    </row>
    <row r="226" spans="1:17" s="217" customFormat="1" x14ac:dyDescent="0.25">
      <c r="A226" s="229">
        <f t="shared" ref="A226:B226" si="405">A225+1</f>
        <v>2376</v>
      </c>
      <c r="B226" s="230">
        <f t="shared" si="405"/>
        <v>216</v>
      </c>
      <c r="C226" s="229" t="str">
        <f t="shared" si="330"/>
        <v>22cX25+000_090_06</v>
      </c>
      <c r="D226" s="231">
        <f t="shared" si="331"/>
        <v>25</v>
      </c>
      <c r="E226" s="239">
        <f t="shared" si="328"/>
        <v>3.4090000000000007</v>
      </c>
      <c r="F226" s="232">
        <f t="shared" si="332"/>
        <v>13.636000000000003</v>
      </c>
      <c r="G226" s="232">
        <f t="shared" si="293"/>
        <v>10.908800000000003</v>
      </c>
      <c r="H226" s="232">
        <f t="shared" si="294"/>
        <v>6.8180000000000014</v>
      </c>
      <c r="I226" s="232">
        <f t="shared" ref="I226:J226" si="406">I225</f>
        <v>8</v>
      </c>
      <c r="J226" s="233">
        <f t="shared" si="406"/>
        <v>0</v>
      </c>
      <c r="K226" s="228" t="str">
        <f t="shared" si="400"/>
        <v>25-6</v>
      </c>
      <c r="L226" s="232">
        <f t="shared" si="335"/>
        <v>0.2</v>
      </c>
      <c r="M226" s="235">
        <v>90</v>
      </c>
      <c r="N226" s="232">
        <f t="shared" ref="N226:Q226" si="407">N225</f>
        <v>150</v>
      </c>
      <c r="O226" s="232">
        <f t="shared" si="407"/>
        <v>160</v>
      </c>
      <c r="P226" s="232">
        <f t="shared" si="407"/>
        <v>390</v>
      </c>
      <c r="Q226" s="230">
        <f t="shared" si="407"/>
        <v>-4</v>
      </c>
    </row>
    <row r="227" spans="1:17" s="217" customFormat="1" ht="14.25" customHeight="1" x14ac:dyDescent="0.25">
      <c r="A227" s="229">
        <f t="shared" ref="A227:B227" si="408">A226+1</f>
        <v>2377</v>
      </c>
      <c r="B227" s="230">
        <f t="shared" si="408"/>
        <v>217</v>
      </c>
      <c r="C227" s="229" t="str">
        <f t="shared" si="330"/>
        <v>22cX25+000_000_07</v>
      </c>
      <c r="D227" s="231">
        <f t="shared" si="331"/>
        <v>25</v>
      </c>
      <c r="E227" s="239">
        <f t="shared" si="328"/>
        <v>3.4090000000000007</v>
      </c>
      <c r="F227" s="232">
        <f t="shared" si="332"/>
        <v>13.636000000000003</v>
      </c>
      <c r="G227" s="232">
        <f t="shared" ref="G227:G250" si="409">m_ty*F227</f>
        <v>10.908800000000003</v>
      </c>
      <c r="H227" s="232">
        <f t="shared" ref="H227:H250" si="410">m_tz*F227</f>
        <v>6.8180000000000014</v>
      </c>
      <c r="I227" s="232">
        <f t="shared" ref="I227:J227" si="411">I226</f>
        <v>8</v>
      </c>
      <c r="J227" s="233">
        <f t="shared" si="411"/>
        <v>0</v>
      </c>
      <c r="K227" s="228" t="str">
        <f>D227&amp;-7</f>
        <v>25-7</v>
      </c>
      <c r="L227" s="232">
        <f t="shared" si="335"/>
        <v>0.2</v>
      </c>
      <c r="M227" s="235">
        <v>0</v>
      </c>
      <c r="N227" s="232">
        <f t="shared" ref="N227:Q227" si="412">N226</f>
        <v>150</v>
      </c>
      <c r="O227" s="232">
        <f t="shared" si="412"/>
        <v>160</v>
      </c>
      <c r="P227" s="232">
        <f t="shared" si="412"/>
        <v>390</v>
      </c>
      <c r="Q227" s="230">
        <f t="shared" si="412"/>
        <v>-4</v>
      </c>
    </row>
    <row r="228" spans="1:17" s="217" customFormat="1" x14ac:dyDescent="0.25">
      <c r="A228" s="229">
        <f t="shared" ref="A228:B228" si="413">A227+1</f>
        <v>2378</v>
      </c>
      <c r="B228" s="230">
        <f t="shared" si="413"/>
        <v>218</v>
      </c>
      <c r="C228" s="229" t="str">
        <f t="shared" si="330"/>
        <v>22cX25+000_030_07</v>
      </c>
      <c r="D228" s="231">
        <f t="shared" si="331"/>
        <v>25</v>
      </c>
      <c r="E228" s="239">
        <f t="shared" si="328"/>
        <v>3.4090000000000007</v>
      </c>
      <c r="F228" s="232">
        <f t="shared" si="332"/>
        <v>13.636000000000003</v>
      </c>
      <c r="G228" s="232">
        <f t="shared" si="409"/>
        <v>10.908800000000003</v>
      </c>
      <c r="H228" s="232">
        <f t="shared" si="410"/>
        <v>6.8180000000000014</v>
      </c>
      <c r="I228" s="232">
        <f t="shared" ref="I228:J228" si="414">I227</f>
        <v>8</v>
      </c>
      <c r="J228" s="233">
        <f t="shared" si="414"/>
        <v>0</v>
      </c>
      <c r="K228" s="228" t="str">
        <f t="shared" ref="K228:K230" si="415">D228&amp;-7</f>
        <v>25-7</v>
      </c>
      <c r="L228" s="232">
        <f t="shared" si="335"/>
        <v>0.2</v>
      </c>
      <c r="M228" s="235">
        <v>30</v>
      </c>
      <c r="N228" s="232">
        <f t="shared" ref="N228:Q228" si="416">N227</f>
        <v>150</v>
      </c>
      <c r="O228" s="232">
        <f t="shared" si="416"/>
        <v>160</v>
      </c>
      <c r="P228" s="232">
        <f t="shared" si="416"/>
        <v>390</v>
      </c>
      <c r="Q228" s="230">
        <f t="shared" si="416"/>
        <v>-4</v>
      </c>
    </row>
    <row r="229" spans="1:17" s="217" customFormat="1" x14ac:dyDescent="0.25">
      <c r="A229" s="229">
        <f t="shared" ref="A229:B229" si="417">A228+1</f>
        <v>2379</v>
      </c>
      <c r="B229" s="230">
        <f t="shared" si="417"/>
        <v>219</v>
      </c>
      <c r="C229" s="229" t="str">
        <f t="shared" si="330"/>
        <v>22cX25+000_060_07</v>
      </c>
      <c r="D229" s="231">
        <f t="shared" si="331"/>
        <v>25</v>
      </c>
      <c r="E229" s="239">
        <f t="shared" si="328"/>
        <v>3.4090000000000007</v>
      </c>
      <c r="F229" s="232">
        <f t="shared" si="332"/>
        <v>13.636000000000003</v>
      </c>
      <c r="G229" s="232">
        <f t="shared" si="409"/>
        <v>10.908800000000003</v>
      </c>
      <c r="H229" s="232">
        <f t="shared" si="410"/>
        <v>6.8180000000000014</v>
      </c>
      <c r="I229" s="232">
        <f t="shared" ref="I229:J229" si="418">I228</f>
        <v>8</v>
      </c>
      <c r="J229" s="233">
        <f t="shared" si="418"/>
        <v>0</v>
      </c>
      <c r="K229" s="228" t="str">
        <f t="shared" si="415"/>
        <v>25-7</v>
      </c>
      <c r="L229" s="232">
        <f t="shared" si="335"/>
        <v>0.2</v>
      </c>
      <c r="M229" s="235">
        <v>60</v>
      </c>
      <c r="N229" s="232">
        <f t="shared" ref="N229:Q229" si="419">N228</f>
        <v>150</v>
      </c>
      <c r="O229" s="232">
        <f t="shared" si="419"/>
        <v>160</v>
      </c>
      <c r="P229" s="232">
        <f t="shared" si="419"/>
        <v>390</v>
      </c>
      <c r="Q229" s="230">
        <f t="shared" si="419"/>
        <v>-4</v>
      </c>
    </row>
    <row r="230" spans="1:17" s="217" customFormat="1" x14ac:dyDescent="0.25">
      <c r="A230" s="229">
        <f t="shared" ref="A230:B230" si="420">A229+1</f>
        <v>2380</v>
      </c>
      <c r="B230" s="230">
        <f t="shared" si="420"/>
        <v>220</v>
      </c>
      <c r="C230" s="229" t="str">
        <f t="shared" si="330"/>
        <v>22cX25+000_090_07</v>
      </c>
      <c r="D230" s="231">
        <f t="shared" si="331"/>
        <v>25</v>
      </c>
      <c r="E230" s="239">
        <f t="shared" si="328"/>
        <v>3.4090000000000007</v>
      </c>
      <c r="F230" s="232">
        <f t="shared" si="332"/>
        <v>13.636000000000003</v>
      </c>
      <c r="G230" s="232">
        <f t="shared" si="409"/>
        <v>10.908800000000003</v>
      </c>
      <c r="H230" s="232">
        <f t="shared" si="410"/>
        <v>6.8180000000000014</v>
      </c>
      <c r="I230" s="232">
        <f t="shared" ref="I230:J230" si="421">I229</f>
        <v>8</v>
      </c>
      <c r="J230" s="233">
        <f t="shared" si="421"/>
        <v>0</v>
      </c>
      <c r="K230" s="228" t="str">
        <f t="shared" si="415"/>
        <v>25-7</v>
      </c>
      <c r="L230" s="232">
        <f t="shared" si="335"/>
        <v>0.2</v>
      </c>
      <c r="M230" s="235">
        <v>90</v>
      </c>
      <c r="N230" s="232">
        <f t="shared" ref="N230:Q230" si="422">N229</f>
        <v>150</v>
      </c>
      <c r="O230" s="232">
        <f t="shared" si="422"/>
        <v>160</v>
      </c>
      <c r="P230" s="232">
        <f t="shared" si="422"/>
        <v>390</v>
      </c>
      <c r="Q230" s="230">
        <f t="shared" si="422"/>
        <v>-4</v>
      </c>
    </row>
    <row r="231" spans="1:17" s="217" customFormat="1" x14ac:dyDescent="0.25">
      <c r="A231" s="229">
        <f t="shared" ref="A231:B231" si="423">A230+1</f>
        <v>2381</v>
      </c>
      <c r="B231" s="230">
        <f t="shared" si="423"/>
        <v>221</v>
      </c>
      <c r="C231" s="229" t="str">
        <f t="shared" si="330"/>
        <v>22cX25+000_000_08</v>
      </c>
      <c r="D231" s="231">
        <f t="shared" si="331"/>
        <v>25</v>
      </c>
      <c r="E231" s="239">
        <f t="shared" si="328"/>
        <v>3.4090000000000007</v>
      </c>
      <c r="F231" s="232">
        <f t="shared" si="332"/>
        <v>13.636000000000003</v>
      </c>
      <c r="G231" s="232">
        <f t="shared" si="409"/>
        <v>10.908800000000003</v>
      </c>
      <c r="H231" s="232">
        <f t="shared" si="410"/>
        <v>6.8180000000000014</v>
      </c>
      <c r="I231" s="232">
        <f t="shared" ref="I231:J231" si="424">I230</f>
        <v>8</v>
      </c>
      <c r="J231" s="233">
        <f t="shared" si="424"/>
        <v>0</v>
      </c>
      <c r="K231" s="228" t="str">
        <f>D231&amp;-8</f>
        <v>25-8</v>
      </c>
      <c r="L231" s="232">
        <f t="shared" si="335"/>
        <v>0.2</v>
      </c>
      <c r="M231" s="235">
        <v>0</v>
      </c>
      <c r="N231" s="232">
        <f t="shared" ref="N231:Q231" si="425">N230</f>
        <v>150</v>
      </c>
      <c r="O231" s="232">
        <f t="shared" si="425"/>
        <v>160</v>
      </c>
      <c r="P231" s="232">
        <f t="shared" si="425"/>
        <v>390</v>
      </c>
      <c r="Q231" s="230">
        <f t="shared" si="425"/>
        <v>-4</v>
      </c>
    </row>
    <row r="232" spans="1:17" s="217" customFormat="1" x14ac:dyDescent="0.25">
      <c r="A232" s="229">
        <f t="shared" ref="A232:B232" si="426">A231+1</f>
        <v>2382</v>
      </c>
      <c r="B232" s="230">
        <f t="shared" si="426"/>
        <v>222</v>
      </c>
      <c r="C232" s="229" t="str">
        <f t="shared" si="330"/>
        <v>22cX25+000_030_08</v>
      </c>
      <c r="D232" s="231">
        <f t="shared" si="331"/>
        <v>25</v>
      </c>
      <c r="E232" s="239">
        <f t="shared" si="328"/>
        <v>3.4090000000000007</v>
      </c>
      <c r="F232" s="232">
        <f t="shared" si="332"/>
        <v>13.636000000000003</v>
      </c>
      <c r="G232" s="232">
        <f t="shared" si="409"/>
        <v>10.908800000000003</v>
      </c>
      <c r="H232" s="232">
        <f t="shared" si="410"/>
        <v>6.8180000000000014</v>
      </c>
      <c r="I232" s="232">
        <f t="shared" ref="I232:J232" si="427">I231</f>
        <v>8</v>
      </c>
      <c r="J232" s="233">
        <f t="shared" si="427"/>
        <v>0</v>
      </c>
      <c r="K232" s="228" t="str">
        <f t="shared" ref="K232:K234" si="428">D232&amp;-8</f>
        <v>25-8</v>
      </c>
      <c r="L232" s="232">
        <f t="shared" si="335"/>
        <v>0.2</v>
      </c>
      <c r="M232" s="235">
        <v>30</v>
      </c>
      <c r="N232" s="232">
        <f t="shared" ref="N232:Q232" si="429">N231</f>
        <v>150</v>
      </c>
      <c r="O232" s="232">
        <f t="shared" si="429"/>
        <v>160</v>
      </c>
      <c r="P232" s="232">
        <f t="shared" si="429"/>
        <v>390</v>
      </c>
      <c r="Q232" s="230">
        <f t="shared" si="429"/>
        <v>-4</v>
      </c>
    </row>
    <row r="233" spans="1:17" s="217" customFormat="1" x14ac:dyDescent="0.25">
      <c r="A233" s="229">
        <f t="shared" ref="A233:B233" si="430">A232+1</f>
        <v>2383</v>
      </c>
      <c r="B233" s="230">
        <f t="shared" si="430"/>
        <v>223</v>
      </c>
      <c r="C233" s="229" t="str">
        <f t="shared" si="330"/>
        <v>22cX25+000_060_08</v>
      </c>
      <c r="D233" s="231">
        <f t="shared" si="331"/>
        <v>25</v>
      </c>
      <c r="E233" s="239">
        <f t="shared" si="328"/>
        <v>3.4090000000000007</v>
      </c>
      <c r="F233" s="232">
        <f t="shared" si="332"/>
        <v>13.636000000000003</v>
      </c>
      <c r="G233" s="232">
        <f t="shared" si="409"/>
        <v>10.908800000000003</v>
      </c>
      <c r="H233" s="232">
        <f t="shared" si="410"/>
        <v>6.8180000000000014</v>
      </c>
      <c r="I233" s="232">
        <f t="shared" ref="I233:J233" si="431">I232</f>
        <v>8</v>
      </c>
      <c r="J233" s="233">
        <f t="shared" si="431"/>
        <v>0</v>
      </c>
      <c r="K233" s="228" t="str">
        <f t="shared" si="428"/>
        <v>25-8</v>
      </c>
      <c r="L233" s="232">
        <f t="shared" si="335"/>
        <v>0.2</v>
      </c>
      <c r="M233" s="235">
        <v>60</v>
      </c>
      <c r="N233" s="232">
        <f t="shared" ref="N233:Q233" si="432">N232</f>
        <v>150</v>
      </c>
      <c r="O233" s="232">
        <f t="shared" si="432"/>
        <v>160</v>
      </c>
      <c r="P233" s="232">
        <f t="shared" si="432"/>
        <v>390</v>
      </c>
      <c r="Q233" s="230">
        <f t="shared" si="432"/>
        <v>-4</v>
      </c>
    </row>
    <row r="234" spans="1:17" s="217" customFormat="1" x14ac:dyDescent="0.25">
      <c r="A234" s="229">
        <f t="shared" ref="A234:B234" si="433">A233+1</f>
        <v>2384</v>
      </c>
      <c r="B234" s="230">
        <f t="shared" si="433"/>
        <v>224</v>
      </c>
      <c r="C234" s="229" t="str">
        <f t="shared" si="330"/>
        <v>22cX25+000_090_08</v>
      </c>
      <c r="D234" s="231">
        <f t="shared" si="331"/>
        <v>25</v>
      </c>
      <c r="E234" s="239">
        <f t="shared" si="328"/>
        <v>3.4090000000000007</v>
      </c>
      <c r="F234" s="232">
        <f t="shared" si="332"/>
        <v>13.636000000000003</v>
      </c>
      <c r="G234" s="232">
        <f t="shared" si="409"/>
        <v>10.908800000000003</v>
      </c>
      <c r="H234" s="232">
        <f t="shared" si="410"/>
        <v>6.8180000000000014</v>
      </c>
      <c r="I234" s="232">
        <f t="shared" ref="I234:J234" si="434">I233</f>
        <v>8</v>
      </c>
      <c r="J234" s="233">
        <f t="shared" si="434"/>
        <v>0</v>
      </c>
      <c r="K234" s="228" t="str">
        <f t="shared" si="428"/>
        <v>25-8</v>
      </c>
      <c r="L234" s="232">
        <f t="shared" si="335"/>
        <v>0.2</v>
      </c>
      <c r="M234" s="235">
        <v>90</v>
      </c>
      <c r="N234" s="232">
        <f t="shared" ref="N234:Q234" si="435">N233</f>
        <v>150</v>
      </c>
      <c r="O234" s="232">
        <f t="shared" si="435"/>
        <v>160</v>
      </c>
      <c r="P234" s="232">
        <f t="shared" si="435"/>
        <v>390</v>
      </c>
      <c r="Q234" s="230">
        <f t="shared" si="435"/>
        <v>-4</v>
      </c>
    </row>
    <row r="235" spans="1:17" s="217" customFormat="1" x14ac:dyDescent="0.25">
      <c r="A235" s="229">
        <f t="shared" ref="A235:B235" si="436">A234+1</f>
        <v>2385</v>
      </c>
      <c r="B235" s="230">
        <f t="shared" si="436"/>
        <v>225</v>
      </c>
      <c r="C235" s="229" t="str">
        <f t="shared" si="330"/>
        <v>22cX25+000_000_09</v>
      </c>
      <c r="D235" s="231">
        <f t="shared" si="331"/>
        <v>25</v>
      </c>
      <c r="E235" s="239">
        <f t="shared" si="328"/>
        <v>3.4090000000000007</v>
      </c>
      <c r="F235" s="232">
        <f t="shared" si="332"/>
        <v>13.636000000000003</v>
      </c>
      <c r="G235" s="232">
        <f t="shared" si="409"/>
        <v>10.908800000000003</v>
      </c>
      <c r="H235" s="232">
        <f t="shared" si="410"/>
        <v>6.8180000000000014</v>
      </c>
      <c r="I235" s="232">
        <f t="shared" ref="I235:J235" si="437">I234</f>
        <v>8</v>
      </c>
      <c r="J235" s="233">
        <f t="shared" si="437"/>
        <v>0</v>
      </c>
      <c r="K235" s="228" t="str">
        <f>D235&amp;-9</f>
        <v>25-9</v>
      </c>
      <c r="L235" s="232">
        <f t="shared" si="335"/>
        <v>0.2</v>
      </c>
      <c r="M235" s="235">
        <v>0</v>
      </c>
      <c r="N235" s="232">
        <f t="shared" ref="N235:Q235" si="438">N234</f>
        <v>150</v>
      </c>
      <c r="O235" s="232">
        <f t="shared" si="438"/>
        <v>160</v>
      </c>
      <c r="P235" s="232">
        <f t="shared" si="438"/>
        <v>390</v>
      </c>
      <c r="Q235" s="230">
        <f t="shared" si="438"/>
        <v>-4</v>
      </c>
    </row>
    <row r="236" spans="1:17" s="217" customFormat="1" x14ac:dyDescent="0.25">
      <c r="A236" s="229">
        <f t="shared" ref="A236:B236" si="439">A235+1</f>
        <v>2386</v>
      </c>
      <c r="B236" s="230">
        <f t="shared" si="439"/>
        <v>226</v>
      </c>
      <c r="C236" s="229" t="str">
        <f t="shared" si="330"/>
        <v>22cX25+000_030_09</v>
      </c>
      <c r="D236" s="231">
        <f t="shared" si="331"/>
        <v>25</v>
      </c>
      <c r="E236" s="239">
        <f t="shared" si="328"/>
        <v>3.4090000000000007</v>
      </c>
      <c r="F236" s="232">
        <f t="shared" si="332"/>
        <v>13.636000000000003</v>
      </c>
      <c r="G236" s="232">
        <f t="shared" si="409"/>
        <v>10.908800000000003</v>
      </c>
      <c r="H236" s="232">
        <f t="shared" si="410"/>
        <v>6.8180000000000014</v>
      </c>
      <c r="I236" s="232">
        <f t="shared" ref="I236:J236" si="440">I235</f>
        <v>8</v>
      </c>
      <c r="J236" s="233">
        <f t="shared" si="440"/>
        <v>0</v>
      </c>
      <c r="K236" s="228" t="str">
        <f t="shared" ref="K236:K238" si="441">D236&amp;-9</f>
        <v>25-9</v>
      </c>
      <c r="L236" s="232">
        <f t="shared" si="335"/>
        <v>0.2</v>
      </c>
      <c r="M236" s="235">
        <v>30</v>
      </c>
      <c r="N236" s="232">
        <f t="shared" ref="N236:Q236" si="442">N235</f>
        <v>150</v>
      </c>
      <c r="O236" s="232">
        <f t="shared" si="442"/>
        <v>160</v>
      </c>
      <c r="P236" s="232">
        <f t="shared" si="442"/>
        <v>390</v>
      </c>
      <c r="Q236" s="230">
        <f t="shared" si="442"/>
        <v>-4</v>
      </c>
    </row>
    <row r="237" spans="1:17" s="217" customFormat="1" x14ac:dyDescent="0.25">
      <c r="A237" s="229">
        <f t="shared" ref="A237:B237" si="443">A236+1</f>
        <v>2387</v>
      </c>
      <c r="B237" s="230">
        <f t="shared" si="443"/>
        <v>227</v>
      </c>
      <c r="C237" s="229" t="str">
        <f t="shared" si="330"/>
        <v>22cX25+000_060_09</v>
      </c>
      <c r="D237" s="231">
        <f t="shared" si="331"/>
        <v>25</v>
      </c>
      <c r="E237" s="239">
        <f t="shared" si="328"/>
        <v>3.4090000000000007</v>
      </c>
      <c r="F237" s="232">
        <f t="shared" si="332"/>
        <v>13.636000000000003</v>
      </c>
      <c r="G237" s="232">
        <f t="shared" si="409"/>
        <v>10.908800000000003</v>
      </c>
      <c r="H237" s="232">
        <f t="shared" si="410"/>
        <v>6.8180000000000014</v>
      </c>
      <c r="I237" s="232">
        <f t="shared" ref="I237:J237" si="444">I236</f>
        <v>8</v>
      </c>
      <c r="J237" s="233">
        <f t="shared" si="444"/>
        <v>0</v>
      </c>
      <c r="K237" s="228" t="str">
        <f t="shared" si="441"/>
        <v>25-9</v>
      </c>
      <c r="L237" s="232">
        <f t="shared" si="335"/>
        <v>0.2</v>
      </c>
      <c r="M237" s="235">
        <v>60</v>
      </c>
      <c r="N237" s="232">
        <f t="shared" ref="N237:Q237" si="445">N236</f>
        <v>150</v>
      </c>
      <c r="O237" s="232">
        <f t="shared" si="445"/>
        <v>160</v>
      </c>
      <c r="P237" s="232">
        <f t="shared" si="445"/>
        <v>390</v>
      </c>
      <c r="Q237" s="230">
        <f t="shared" si="445"/>
        <v>-4</v>
      </c>
    </row>
    <row r="238" spans="1:17" s="217" customFormat="1" x14ac:dyDescent="0.25">
      <c r="A238" s="229">
        <f t="shared" ref="A238:B238" si="446">A237+1</f>
        <v>2388</v>
      </c>
      <c r="B238" s="230">
        <f t="shared" si="446"/>
        <v>228</v>
      </c>
      <c r="C238" s="229" t="str">
        <f t="shared" si="330"/>
        <v>22cX25+000_090_09</v>
      </c>
      <c r="D238" s="231">
        <f t="shared" si="331"/>
        <v>25</v>
      </c>
      <c r="E238" s="239">
        <f t="shared" si="328"/>
        <v>3.4090000000000007</v>
      </c>
      <c r="F238" s="232">
        <f t="shared" si="332"/>
        <v>13.636000000000003</v>
      </c>
      <c r="G238" s="232">
        <f t="shared" si="409"/>
        <v>10.908800000000003</v>
      </c>
      <c r="H238" s="232">
        <f t="shared" si="410"/>
        <v>6.8180000000000014</v>
      </c>
      <c r="I238" s="232">
        <f t="shared" ref="I238:J238" si="447">I237</f>
        <v>8</v>
      </c>
      <c r="J238" s="233">
        <f t="shared" si="447"/>
        <v>0</v>
      </c>
      <c r="K238" s="228" t="str">
        <f t="shared" si="441"/>
        <v>25-9</v>
      </c>
      <c r="L238" s="232">
        <f t="shared" si="335"/>
        <v>0.2</v>
      </c>
      <c r="M238" s="235">
        <v>90</v>
      </c>
      <c r="N238" s="232">
        <f t="shared" ref="N238:Q238" si="448">N237</f>
        <v>150</v>
      </c>
      <c r="O238" s="232">
        <f t="shared" si="448"/>
        <v>160</v>
      </c>
      <c r="P238" s="232">
        <f t="shared" si="448"/>
        <v>390</v>
      </c>
      <c r="Q238" s="230">
        <f t="shared" si="448"/>
        <v>-4</v>
      </c>
    </row>
    <row r="239" spans="1:17" s="217" customFormat="1" ht="14.25" customHeight="1" x14ac:dyDescent="0.25">
      <c r="A239" s="229">
        <f t="shared" ref="A239:B239" si="449">A238+1</f>
        <v>2389</v>
      </c>
      <c r="B239" s="230">
        <f t="shared" si="449"/>
        <v>229</v>
      </c>
      <c r="C239" s="229" t="str">
        <f t="shared" si="330"/>
        <v>22cX25+000_000_10</v>
      </c>
      <c r="D239" s="231">
        <f t="shared" si="331"/>
        <v>25</v>
      </c>
      <c r="E239" s="239">
        <f t="shared" si="328"/>
        <v>3.4090000000000007</v>
      </c>
      <c r="F239" s="232">
        <f t="shared" si="332"/>
        <v>13.636000000000003</v>
      </c>
      <c r="G239" s="232">
        <f t="shared" si="409"/>
        <v>10.908800000000003</v>
      </c>
      <c r="H239" s="232">
        <f t="shared" si="410"/>
        <v>6.8180000000000014</v>
      </c>
      <c r="I239" s="232">
        <f t="shared" ref="I239:J239" si="450">I238</f>
        <v>8</v>
      </c>
      <c r="J239" s="233">
        <f t="shared" si="450"/>
        <v>0</v>
      </c>
      <c r="K239" s="228" t="str">
        <f>D239&amp;-10</f>
        <v>25-10</v>
      </c>
      <c r="L239" s="232">
        <f t="shared" si="335"/>
        <v>0.2</v>
      </c>
      <c r="M239" s="235">
        <v>0</v>
      </c>
      <c r="N239" s="232">
        <f t="shared" ref="N239:Q239" si="451">N238</f>
        <v>150</v>
      </c>
      <c r="O239" s="232">
        <f t="shared" si="451"/>
        <v>160</v>
      </c>
      <c r="P239" s="232">
        <f t="shared" si="451"/>
        <v>390</v>
      </c>
      <c r="Q239" s="230">
        <f t="shared" si="451"/>
        <v>-4</v>
      </c>
    </row>
    <row r="240" spans="1:17" s="217" customFormat="1" x14ac:dyDescent="0.25">
      <c r="A240" s="229">
        <f t="shared" ref="A240:B240" si="452">A239+1</f>
        <v>2390</v>
      </c>
      <c r="B240" s="230">
        <f t="shared" si="452"/>
        <v>230</v>
      </c>
      <c r="C240" s="229" t="str">
        <f t="shared" si="330"/>
        <v>22cX25+000_030_10</v>
      </c>
      <c r="D240" s="231">
        <f t="shared" si="331"/>
        <v>25</v>
      </c>
      <c r="E240" s="239">
        <f t="shared" si="328"/>
        <v>3.4090000000000007</v>
      </c>
      <c r="F240" s="232">
        <f t="shared" si="332"/>
        <v>13.636000000000003</v>
      </c>
      <c r="G240" s="232">
        <f t="shared" si="409"/>
        <v>10.908800000000003</v>
      </c>
      <c r="H240" s="232">
        <f t="shared" si="410"/>
        <v>6.8180000000000014</v>
      </c>
      <c r="I240" s="232">
        <f t="shared" ref="I240:J240" si="453">I239</f>
        <v>8</v>
      </c>
      <c r="J240" s="233">
        <f t="shared" si="453"/>
        <v>0</v>
      </c>
      <c r="K240" s="228" t="str">
        <f t="shared" ref="K240:K242" si="454">D240&amp;-10</f>
        <v>25-10</v>
      </c>
      <c r="L240" s="232">
        <f t="shared" si="335"/>
        <v>0.2</v>
      </c>
      <c r="M240" s="235">
        <v>30</v>
      </c>
      <c r="N240" s="232">
        <f t="shared" ref="N240:Q240" si="455">N239</f>
        <v>150</v>
      </c>
      <c r="O240" s="232">
        <f t="shared" si="455"/>
        <v>160</v>
      </c>
      <c r="P240" s="232">
        <f t="shared" si="455"/>
        <v>390</v>
      </c>
      <c r="Q240" s="230">
        <f t="shared" si="455"/>
        <v>-4</v>
      </c>
    </row>
    <row r="241" spans="1:17" s="217" customFormat="1" x14ac:dyDescent="0.25">
      <c r="A241" s="229">
        <f t="shared" ref="A241:B241" si="456">A240+1</f>
        <v>2391</v>
      </c>
      <c r="B241" s="230">
        <f t="shared" si="456"/>
        <v>231</v>
      </c>
      <c r="C241" s="229" t="str">
        <f t="shared" si="330"/>
        <v>22cX25+000_060_10</v>
      </c>
      <c r="D241" s="231">
        <f t="shared" si="331"/>
        <v>25</v>
      </c>
      <c r="E241" s="239">
        <f t="shared" si="328"/>
        <v>3.4090000000000007</v>
      </c>
      <c r="F241" s="232">
        <f t="shared" si="332"/>
        <v>13.636000000000003</v>
      </c>
      <c r="G241" s="232">
        <f t="shared" si="409"/>
        <v>10.908800000000003</v>
      </c>
      <c r="H241" s="232">
        <f t="shared" si="410"/>
        <v>6.8180000000000014</v>
      </c>
      <c r="I241" s="232">
        <f t="shared" ref="I241:J241" si="457">I240</f>
        <v>8</v>
      </c>
      <c r="J241" s="233">
        <f t="shared" si="457"/>
        <v>0</v>
      </c>
      <c r="K241" s="228" t="str">
        <f t="shared" si="454"/>
        <v>25-10</v>
      </c>
      <c r="L241" s="232">
        <f t="shared" si="335"/>
        <v>0.2</v>
      </c>
      <c r="M241" s="235">
        <v>60</v>
      </c>
      <c r="N241" s="232">
        <f t="shared" ref="N241:Q241" si="458">N240</f>
        <v>150</v>
      </c>
      <c r="O241" s="232">
        <f t="shared" si="458"/>
        <v>160</v>
      </c>
      <c r="P241" s="232">
        <f t="shared" si="458"/>
        <v>390</v>
      </c>
      <c r="Q241" s="230">
        <f t="shared" si="458"/>
        <v>-4</v>
      </c>
    </row>
    <row r="242" spans="1:17" s="217" customFormat="1" x14ac:dyDescent="0.25">
      <c r="A242" s="229">
        <f t="shared" ref="A242:B242" si="459">A241+1</f>
        <v>2392</v>
      </c>
      <c r="B242" s="230">
        <f t="shared" si="459"/>
        <v>232</v>
      </c>
      <c r="C242" s="229" t="str">
        <f t="shared" si="330"/>
        <v>22cX25+000_090_10</v>
      </c>
      <c r="D242" s="231">
        <f t="shared" si="331"/>
        <v>25</v>
      </c>
      <c r="E242" s="239">
        <f t="shared" si="328"/>
        <v>3.4090000000000007</v>
      </c>
      <c r="F242" s="232">
        <f t="shared" si="332"/>
        <v>13.636000000000003</v>
      </c>
      <c r="G242" s="232">
        <f t="shared" si="409"/>
        <v>10.908800000000003</v>
      </c>
      <c r="H242" s="232">
        <f t="shared" si="410"/>
        <v>6.8180000000000014</v>
      </c>
      <c r="I242" s="232">
        <f t="shared" ref="I242:J242" si="460">I241</f>
        <v>8</v>
      </c>
      <c r="J242" s="233">
        <f t="shared" si="460"/>
        <v>0</v>
      </c>
      <c r="K242" s="228" t="str">
        <f t="shared" si="454"/>
        <v>25-10</v>
      </c>
      <c r="L242" s="232">
        <f t="shared" si="335"/>
        <v>0.2</v>
      </c>
      <c r="M242" s="235">
        <v>90</v>
      </c>
      <c r="N242" s="232">
        <f t="shared" ref="N242:Q242" si="461">N241</f>
        <v>150</v>
      </c>
      <c r="O242" s="232">
        <f t="shared" si="461"/>
        <v>160</v>
      </c>
      <c r="P242" s="232">
        <f t="shared" si="461"/>
        <v>390</v>
      </c>
      <c r="Q242" s="230">
        <f t="shared" si="461"/>
        <v>-4</v>
      </c>
    </row>
    <row r="243" spans="1:17" s="217" customFormat="1" x14ac:dyDescent="0.25">
      <c r="A243" s="229">
        <f t="shared" ref="A243:B243" si="462">A242+1</f>
        <v>2393</v>
      </c>
      <c r="B243" s="230">
        <f t="shared" si="462"/>
        <v>233</v>
      </c>
      <c r="C243" s="229" t="str">
        <f t="shared" si="330"/>
        <v>22cX25+000_000_11</v>
      </c>
      <c r="D243" s="231">
        <f t="shared" si="331"/>
        <v>25</v>
      </c>
      <c r="E243" s="239">
        <f t="shared" si="328"/>
        <v>3.4090000000000007</v>
      </c>
      <c r="F243" s="232">
        <f t="shared" si="332"/>
        <v>13.636000000000003</v>
      </c>
      <c r="G243" s="232">
        <f t="shared" si="409"/>
        <v>10.908800000000003</v>
      </c>
      <c r="H243" s="232">
        <f t="shared" si="410"/>
        <v>6.8180000000000014</v>
      </c>
      <c r="I243" s="232">
        <f t="shared" ref="I243:J243" si="463">I242</f>
        <v>8</v>
      </c>
      <c r="J243" s="233">
        <f t="shared" si="463"/>
        <v>0</v>
      </c>
      <c r="K243" s="228" t="str">
        <f>D243&amp;-11</f>
        <v>25-11</v>
      </c>
      <c r="L243" s="232">
        <f t="shared" si="335"/>
        <v>0.2</v>
      </c>
      <c r="M243" s="235">
        <v>0</v>
      </c>
      <c r="N243" s="232">
        <f t="shared" ref="N243:Q243" si="464">N242</f>
        <v>150</v>
      </c>
      <c r="O243" s="232">
        <f t="shared" si="464"/>
        <v>160</v>
      </c>
      <c r="P243" s="232">
        <f t="shared" si="464"/>
        <v>390</v>
      </c>
      <c r="Q243" s="230">
        <f t="shared" si="464"/>
        <v>-4</v>
      </c>
    </row>
    <row r="244" spans="1:17" s="217" customFormat="1" x14ac:dyDescent="0.25">
      <c r="A244" s="229">
        <f t="shared" ref="A244:B244" si="465">A243+1</f>
        <v>2394</v>
      </c>
      <c r="B244" s="230">
        <f t="shared" si="465"/>
        <v>234</v>
      </c>
      <c r="C244" s="229" t="str">
        <f t="shared" si="330"/>
        <v>22cX25+000_030_11</v>
      </c>
      <c r="D244" s="231">
        <f t="shared" si="331"/>
        <v>25</v>
      </c>
      <c r="E244" s="239">
        <f t="shared" si="328"/>
        <v>3.4090000000000007</v>
      </c>
      <c r="F244" s="232">
        <f t="shared" si="332"/>
        <v>13.636000000000003</v>
      </c>
      <c r="G244" s="232">
        <f t="shared" si="409"/>
        <v>10.908800000000003</v>
      </c>
      <c r="H244" s="232">
        <f t="shared" si="410"/>
        <v>6.8180000000000014</v>
      </c>
      <c r="I244" s="232">
        <f t="shared" ref="I244:J244" si="466">I243</f>
        <v>8</v>
      </c>
      <c r="J244" s="233">
        <f t="shared" si="466"/>
        <v>0</v>
      </c>
      <c r="K244" s="228" t="str">
        <f t="shared" ref="K244:K246" si="467">D244&amp;-11</f>
        <v>25-11</v>
      </c>
      <c r="L244" s="232">
        <f t="shared" si="335"/>
        <v>0.2</v>
      </c>
      <c r="M244" s="235">
        <v>30</v>
      </c>
      <c r="N244" s="232">
        <f t="shared" ref="N244:Q244" si="468">N243</f>
        <v>150</v>
      </c>
      <c r="O244" s="232">
        <f t="shared" si="468"/>
        <v>160</v>
      </c>
      <c r="P244" s="232">
        <f t="shared" si="468"/>
        <v>390</v>
      </c>
      <c r="Q244" s="230">
        <f t="shared" si="468"/>
        <v>-4</v>
      </c>
    </row>
    <row r="245" spans="1:17" s="217" customFormat="1" x14ac:dyDescent="0.25">
      <c r="A245" s="229">
        <f t="shared" ref="A245:B245" si="469">A244+1</f>
        <v>2395</v>
      </c>
      <c r="B245" s="230">
        <f t="shared" si="469"/>
        <v>235</v>
      </c>
      <c r="C245" s="229" t="str">
        <f t="shared" si="330"/>
        <v>22cX25+000_060_11</v>
      </c>
      <c r="D245" s="231">
        <f t="shared" si="331"/>
        <v>25</v>
      </c>
      <c r="E245" s="239">
        <f t="shared" si="328"/>
        <v>3.4090000000000007</v>
      </c>
      <c r="F245" s="232">
        <f t="shared" si="332"/>
        <v>13.636000000000003</v>
      </c>
      <c r="G245" s="232">
        <f t="shared" si="409"/>
        <v>10.908800000000003</v>
      </c>
      <c r="H245" s="232">
        <f t="shared" si="410"/>
        <v>6.8180000000000014</v>
      </c>
      <c r="I245" s="232">
        <f t="shared" ref="I245:J245" si="470">I244</f>
        <v>8</v>
      </c>
      <c r="J245" s="233">
        <f t="shared" si="470"/>
        <v>0</v>
      </c>
      <c r="K245" s="228" t="str">
        <f t="shared" si="467"/>
        <v>25-11</v>
      </c>
      <c r="L245" s="232">
        <f t="shared" si="335"/>
        <v>0.2</v>
      </c>
      <c r="M245" s="235">
        <v>60</v>
      </c>
      <c r="N245" s="232">
        <f t="shared" ref="N245:Q245" si="471">N244</f>
        <v>150</v>
      </c>
      <c r="O245" s="232">
        <f t="shared" si="471"/>
        <v>160</v>
      </c>
      <c r="P245" s="232">
        <f t="shared" si="471"/>
        <v>390</v>
      </c>
      <c r="Q245" s="230">
        <f t="shared" si="471"/>
        <v>-4</v>
      </c>
    </row>
    <row r="246" spans="1:17" s="217" customFormat="1" x14ac:dyDescent="0.25">
      <c r="A246" s="229">
        <f t="shared" ref="A246:B246" si="472">A245+1</f>
        <v>2396</v>
      </c>
      <c r="B246" s="230">
        <f t="shared" si="472"/>
        <v>236</v>
      </c>
      <c r="C246" s="229" t="str">
        <f t="shared" si="330"/>
        <v>22cX25+000_090_11</v>
      </c>
      <c r="D246" s="231">
        <f t="shared" si="331"/>
        <v>25</v>
      </c>
      <c r="E246" s="239">
        <f t="shared" si="328"/>
        <v>3.4090000000000007</v>
      </c>
      <c r="F246" s="232">
        <f t="shared" si="332"/>
        <v>13.636000000000003</v>
      </c>
      <c r="G246" s="232">
        <f t="shared" si="409"/>
        <v>10.908800000000003</v>
      </c>
      <c r="H246" s="232">
        <f t="shared" si="410"/>
        <v>6.8180000000000014</v>
      </c>
      <c r="I246" s="232">
        <f t="shared" ref="I246:J246" si="473">I245</f>
        <v>8</v>
      </c>
      <c r="J246" s="233">
        <f t="shared" si="473"/>
        <v>0</v>
      </c>
      <c r="K246" s="228" t="str">
        <f t="shared" si="467"/>
        <v>25-11</v>
      </c>
      <c r="L246" s="232">
        <f t="shared" si="335"/>
        <v>0.2</v>
      </c>
      <c r="M246" s="235">
        <v>90</v>
      </c>
      <c r="N246" s="232">
        <f t="shared" ref="N246:Q246" si="474">N245</f>
        <v>150</v>
      </c>
      <c r="O246" s="232">
        <f t="shared" si="474"/>
        <v>160</v>
      </c>
      <c r="P246" s="232">
        <f t="shared" si="474"/>
        <v>390</v>
      </c>
      <c r="Q246" s="230">
        <f t="shared" si="474"/>
        <v>-4</v>
      </c>
    </row>
    <row r="247" spans="1:17" s="217" customFormat="1" x14ac:dyDescent="0.25">
      <c r="A247" s="229">
        <f t="shared" ref="A247:B247" si="475">A246+1</f>
        <v>2397</v>
      </c>
      <c r="B247" s="230">
        <f t="shared" si="475"/>
        <v>237</v>
      </c>
      <c r="C247" s="229" t="str">
        <f t="shared" si="330"/>
        <v>22cX25+000_000_12</v>
      </c>
      <c r="D247" s="231">
        <f t="shared" si="331"/>
        <v>25</v>
      </c>
      <c r="E247" s="239">
        <f t="shared" si="328"/>
        <v>3.4090000000000007</v>
      </c>
      <c r="F247" s="232">
        <f t="shared" si="332"/>
        <v>13.636000000000003</v>
      </c>
      <c r="G247" s="232">
        <f t="shared" si="409"/>
        <v>10.908800000000003</v>
      </c>
      <c r="H247" s="232">
        <f t="shared" si="410"/>
        <v>6.8180000000000014</v>
      </c>
      <c r="I247" s="232">
        <f t="shared" ref="I247:J247" si="476">I246</f>
        <v>8</v>
      </c>
      <c r="J247" s="233">
        <f t="shared" si="476"/>
        <v>0</v>
      </c>
      <c r="K247" s="228" t="str">
        <f>D247&amp;-12</f>
        <v>25-12</v>
      </c>
      <c r="L247" s="232">
        <f t="shared" si="335"/>
        <v>0.2</v>
      </c>
      <c r="M247" s="235">
        <v>0</v>
      </c>
      <c r="N247" s="232">
        <f t="shared" ref="N247:Q247" si="477">N246</f>
        <v>150</v>
      </c>
      <c r="O247" s="232">
        <f t="shared" si="477"/>
        <v>160</v>
      </c>
      <c r="P247" s="232">
        <f t="shared" si="477"/>
        <v>390</v>
      </c>
      <c r="Q247" s="230">
        <f t="shared" si="477"/>
        <v>-4</v>
      </c>
    </row>
    <row r="248" spans="1:17" s="217" customFormat="1" x14ac:dyDescent="0.25">
      <c r="A248" s="229">
        <f t="shared" ref="A248:B248" si="478">A247+1</f>
        <v>2398</v>
      </c>
      <c r="B248" s="230">
        <f t="shared" si="478"/>
        <v>238</v>
      </c>
      <c r="C248" s="229" t="str">
        <f t="shared" si="330"/>
        <v>22cX25+000_030_12</v>
      </c>
      <c r="D248" s="231">
        <f t="shared" si="331"/>
        <v>25</v>
      </c>
      <c r="E248" s="239">
        <f t="shared" si="328"/>
        <v>3.4090000000000007</v>
      </c>
      <c r="F248" s="232">
        <f t="shared" si="332"/>
        <v>13.636000000000003</v>
      </c>
      <c r="G248" s="232">
        <f t="shared" si="409"/>
        <v>10.908800000000003</v>
      </c>
      <c r="H248" s="232">
        <f t="shared" si="410"/>
        <v>6.8180000000000014</v>
      </c>
      <c r="I248" s="232">
        <f t="shared" ref="I248:J248" si="479">I247</f>
        <v>8</v>
      </c>
      <c r="J248" s="233">
        <f t="shared" si="479"/>
        <v>0</v>
      </c>
      <c r="K248" s="228" t="str">
        <f t="shared" ref="K248:K250" si="480">D248&amp;-12</f>
        <v>25-12</v>
      </c>
      <c r="L248" s="232">
        <f t="shared" si="335"/>
        <v>0.2</v>
      </c>
      <c r="M248" s="235">
        <v>30</v>
      </c>
      <c r="N248" s="232">
        <f t="shared" ref="N248:Q248" si="481">N247</f>
        <v>150</v>
      </c>
      <c r="O248" s="232">
        <f t="shared" si="481"/>
        <v>160</v>
      </c>
      <c r="P248" s="232">
        <f t="shared" si="481"/>
        <v>390</v>
      </c>
      <c r="Q248" s="230">
        <f t="shared" si="481"/>
        <v>-4</v>
      </c>
    </row>
    <row r="249" spans="1:17" s="217" customFormat="1" x14ac:dyDescent="0.25">
      <c r="A249" s="229">
        <f t="shared" ref="A249:B249" si="482">A248+1</f>
        <v>2399</v>
      </c>
      <c r="B249" s="230">
        <f t="shared" si="482"/>
        <v>239</v>
      </c>
      <c r="C249" s="229" t="str">
        <f t="shared" si="330"/>
        <v>22cX25+000_060_12</v>
      </c>
      <c r="D249" s="231">
        <f t="shared" si="331"/>
        <v>25</v>
      </c>
      <c r="E249" s="239">
        <f t="shared" si="328"/>
        <v>3.4090000000000007</v>
      </c>
      <c r="F249" s="232">
        <f t="shared" si="332"/>
        <v>13.636000000000003</v>
      </c>
      <c r="G249" s="232">
        <f t="shared" si="409"/>
        <v>10.908800000000003</v>
      </c>
      <c r="H249" s="232">
        <f t="shared" si="410"/>
        <v>6.8180000000000014</v>
      </c>
      <c r="I249" s="232">
        <f t="shared" ref="I249:J249" si="483">I248</f>
        <v>8</v>
      </c>
      <c r="J249" s="233">
        <f t="shared" si="483"/>
        <v>0</v>
      </c>
      <c r="K249" s="228" t="str">
        <f t="shared" si="480"/>
        <v>25-12</v>
      </c>
      <c r="L249" s="232">
        <f t="shared" si="335"/>
        <v>0.2</v>
      </c>
      <c r="M249" s="235">
        <v>60</v>
      </c>
      <c r="N249" s="232">
        <f t="shared" ref="N249:Q249" si="484">N248</f>
        <v>150</v>
      </c>
      <c r="O249" s="232">
        <f t="shared" si="484"/>
        <v>160</v>
      </c>
      <c r="P249" s="232">
        <f t="shared" si="484"/>
        <v>390</v>
      </c>
      <c r="Q249" s="230">
        <f t="shared" si="484"/>
        <v>-4</v>
      </c>
    </row>
    <row r="250" spans="1:17" s="217" customFormat="1" x14ac:dyDescent="0.25">
      <c r="A250" s="229">
        <f t="shared" ref="A250:B250" si="485">A249+1</f>
        <v>2400</v>
      </c>
      <c r="B250" s="230">
        <f t="shared" si="485"/>
        <v>240</v>
      </c>
      <c r="C250" s="229" t="str">
        <f t="shared" si="330"/>
        <v>22cX25+000_090_12</v>
      </c>
      <c r="D250" s="231">
        <f t="shared" si="331"/>
        <v>25</v>
      </c>
      <c r="E250" s="239">
        <f t="shared" si="328"/>
        <v>3.4090000000000007</v>
      </c>
      <c r="F250" s="232">
        <f t="shared" si="332"/>
        <v>13.636000000000003</v>
      </c>
      <c r="G250" s="232">
        <f t="shared" si="409"/>
        <v>10.908800000000003</v>
      </c>
      <c r="H250" s="232">
        <f t="shared" si="410"/>
        <v>6.8180000000000014</v>
      </c>
      <c r="I250" s="232">
        <f t="shared" ref="I250:J250" si="486">I249</f>
        <v>8</v>
      </c>
      <c r="J250" s="233">
        <f t="shared" si="486"/>
        <v>0</v>
      </c>
      <c r="K250" s="228" t="str">
        <f t="shared" si="480"/>
        <v>25-12</v>
      </c>
      <c r="L250" s="232">
        <f t="shared" si="335"/>
        <v>0.2</v>
      </c>
      <c r="M250" s="235">
        <v>90</v>
      </c>
      <c r="N250" s="232">
        <f t="shared" ref="N250:Q250" si="487">N249</f>
        <v>150</v>
      </c>
      <c r="O250" s="232">
        <f t="shared" si="487"/>
        <v>160</v>
      </c>
      <c r="P250" s="232">
        <f t="shared" si="487"/>
        <v>390</v>
      </c>
      <c r="Q250" s="230">
        <f t="shared" si="487"/>
        <v>-4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T130"/>
  <sheetViews>
    <sheetView topLeftCell="B1" zoomScaleNormal="100" workbookViewId="0">
      <selection activeCell="M5" sqref="M5"/>
    </sheetView>
  </sheetViews>
  <sheetFormatPr defaultColWidth="9" defaultRowHeight="15" x14ac:dyDescent="0.15"/>
  <cols>
    <col min="1" max="1" width="7" style="182" customWidth="1"/>
    <col min="2" max="2" width="7.375" style="182" customWidth="1"/>
    <col min="3" max="3" width="19" style="182" customWidth="1"/>
    <col min="4" max="4" width="6.875" style="182" customWidth="1"/>
    <col min="5" max="5" width="7.375" style="182" customWidth="1"/>
    <col min="6" max="6" width="8.125" style="182" customWidth="1"/>
    <col min="7" max="8" width="7.375" style="182" customWidth="1"/>
    <col min="9" max="9" width="8" style="182" customWidth="1"/>
    <col min="10" max="10" width="9" style="182"/>
    <col min="11" max="12" width="8.875" style="182" customWidth="1"/>
    <col min="13" max="13" width="8.75" style="182" customWidth="1"/>
    <col min="14" max="14" width="8.5" style="182" customWidth="1"/>
    <col min="15" max="15" width="9.125" style="182" customWidth="1"/>
    <col min="16" max="16" width="11.5" style="182" customWidth="1"/>
    <col min="17" max="17" width="12.125" style="182" customWidth="1"/>
    <col min="18" max="16384" width="9" style="182"/>
  </cols>
  <sheetData>
    <row r="1" spans="1:20" x14ac:dyDescent="0.15">
      <c r="H1" s="181" t="s">
        <v>135</v>
      </c>
      <c r="I1" s="216" t="s">
        <v>3952</v>
      </c>
      <c r="J1" s="180"/>
      <c r="S1" s="120" t="s">
        <v>971</v>
      </c>
    </row>
    <row r="2" spans="1:20" x14ac:dyDescent="0.15">
      <c r="B2" s="181" t="s">
        <v>3696</v>
      </c>
      <c r="C2" s="181"/>
      <c r="D2" s="181"/>
      <c r="E2" s="181"/>
      <c r="F2" s="181"/>
      <c r="G2" s="181"/>
      <c r="H2" s="181"/>
      <c r="I2" s="216" t="s">
        <v>3954</v>
      </c>
      <c r="J2" s="180"/>
      <c r="S2" s="119" t="s">
        <v>962</v>
      </c>
      <c r="T2" s="119">
        <f>clutch_sf</f>
        <v>0</v>
      </c>
    </row>
    <row r="3" spans="1:20" x14ac:dyDescent="0.15">
      <c r="B3" s="181" t="s">
        <v>88</v>
      </c>
      <c r="C3" s="181"/>
      <c r="D3" s="181"/>
      <c r="E3" s="181" t="s">
        <v>95</v>
      </c>
      <c r="F3" s="181"/>
      <c r="G3" s="181"/>
      <c r="H3" s="181"/>
      <c r="I3" s="240" t="s">
        <v>3939</v>
      </c>
      <c r="J3" s="180"/>
      <c r="S3" s="119" t="s">
        <v>963</v>
      </c>
      <c r="T3" s="119">
        <f>clutch_as</f>
        <v>0</v>
      </c>
    </row>
    <row r="4" spans="1:20" x14ac:dyDescent="0.15">
      <c r="B4" s="181" t="s">
        <v>89</v>
      </c>
      <c r="C4" s="181"/>
      <c r="D4" s="181"/>
      <c r="E4" s="181" t="s">
        <v>3695</v>
      </c>
      <c r="F4" s="181"/>
      <c r="G4" s="181"/>
      <c r="H4" s="181"/>
      <c r="I4" s="216" t="s">
        <v>3942</v>
      </c>
      <c r="J4" s="180"/>
      <c r="S4" s="119" t="s">
        <v>964</v>
      </c>
      <c r="T4" s="119">
        <f>ts_sc</f>
        <v>5.0000000000000001E-4</v>
      </c>
    </row>
    <row r="5" spans="1:20" x14ac:dyDescent="0.15">
      <c r="B5" s="181" t="s">
        <v>91</v>
      </c>
      <c r="C5" s="181"/>
      <c r="D5" s="181"/>
      <c r="E5" s="181" t="s">
        <v>99</v>
      </c>
      <c r="F5" s="181"/>
      <c r="G5" s="181"/>
      <c r="H5" s="181"/>
      <c r="I5" s="240" t="s">
        <v>3940</v>
      </c>
      <c r="J5" s="180"/>
      <c r="S5" s="119" t="s">
        <v>965</v>
      </c>
      <c r="T5" s="119">
        <f>buffer_sc</f>
        <v>5</v>
      </c>
    </row>
    <row r="6" spans="1:20" x14ac:dyDescent="0.15">
      <c r="B6" s="181" t="s">
        <v>93</v>
      </c>
      <c r="C6" s="181"/>
      <c r="D6" s="181"/>
      <c r="E6" s="181" t="s">
        <v>106</v>
      </c>
      <c r="F6" s="181"/>
      <c r="G6" s="181"/>
      <c r="H6" s="181"/>
      <c r="I6" s="216" t="s">
        <v>3932</v>
      </c>
      <c r="J6" s="180"/>
      <c r="S6" s="119" t="s">
        <v>966</v>
      </c>
      <c r="T6" s="119">
        <f>t_min_sc</f>
        <v>9.9999999999999995E-7</v>
      </c>
    </row>
    <row r="7" spans="1:20" x14ac:dyDescent="0.15">
      <c r="I7" s="216" t="s">
        <v>3930</v>
      </c>
      <c r="P7" s="181"/>
      <c r="S7" s="119" t="s">
        <v>967</v>
      </c>
      <c r="T7" s="119">
        <f>t_max_sc</f>
        <v>5.0000000000000001E-4</v>
      </c>
    </row>
    <row r="8" spans="1:20" ht="15.75" thickBot="1" x14ac:dyDescent="0.2">
      <c r="A8" s="139">
        <v>1</v>
      </c>
      <c r="B8" s="139">
        <v>2</v>
      </c>
      <c r="C8" s="139">
        <v>3</v>
      </c>
      <c r="D8" s="139">
        <v>4</v>
      </c>
      <c r="E8" s="139">
        <v>5</v>
      </c>
      <c r="F8" s="139">
        <v>6</v>
      </c>
      <c r="G8" s="139">
        <v>7</v>
      </c>
      <c r="H8" s="139">
        <v>8</v>
      </c>
      <c r="I8" s="139">
        <v>9</v>
      </c>
      <c r="J8" s="139">
        <v>10</v>
      </c>
      <c r="K8" s="139">
        <v>11</v>
      </c>
      <c r="L8" s="139">
        <v>12</v>
      </c>
      <c r="M8" s="139">
        <v>13</v>
      </c>
      <c r="N8" s="139">
        <v>14</v>
      </c>
      <c r="O8" s="139">
        <v>15</v>
      </c>
      <c r="P8" s="139">
        <v>16</v>
      </c>
      <c r="Q8" s="139">
        <v>17</v>
      </c>
      <c r="R8" s="139"/>
      <c r="S8" s="119" t="s">
        <v>968</v>
      </c>
      <c r="T8" s="119">
        <f>t_out_sc</f>
        <v>150</v>
      </c>
    </row>
    <row r="9" spans="1:20" x14ac:dyDescent="0.25">
      <c r="A9" s="183" t="s">
        <v>97</v>
      </c>
      <c r="B9" s="184" t="s">
        <v>96</v>
      </c>
      <c r="C9" s="183" t="s">
        <v>0</v>
      </c>
      <c r="D9" s="184" t="s">
        <v>137</v>
      </c>
      <c r="E9" s="201" t="s">
        <v>142</v>
      </c>
      <c r="F9" s="184" t="s">
        <v>119</v>
      </c>
      <c r="G9" s="184" t="s">
        <v>120</v>
      </c>
      <c r="H9" s="184" t="s">
        <v>121</v>
      </c>
      <c r="I9" s="184" t="s">
        <v>144</v>
      </c>
      <c r="J9" s="184" t="s">
        <v>140</v>
      </c>
      <c r="K9" s="185" t="s">
        <v>3</v>
      </c>
      <c r="L9" s="184" t="s">
        <v>141</v>
      </c>
      <c r="M9" s="184" t="s">
        <v>13</v>
      </c>
      <c r="N9" s="186" t="s">
        <v>138</v>
      </c>
      <c r="O9" s="200" t="s">
        <v>160</v>
      </c>
      <c r="P9" s="186" t="s">
        <v>139</v>
      </c>
      <c r="Q9" s="186" t="s">
        <v>933</v>
      </c>
      <c r="S9" s="119" t="s">
        <v>969</v>
      </c>
      <c r="T9" s="119">
        <f>t_sim_sc</f>
        <v>165</v>
      </c>
    </row>
    <row r="10" spans="1:20" ht="15.75" thickBot="1" x14ac:dyDescent="0.3">
      <c r="A10" s="187" t="s">
        <v>76</v>
      </c>
      <c r="B10" s="188" t="str">
        <f>B2</f>
        <v>DLC22d</v>
      </c>
      <c r="C10" s="187"/>
      <c r="D10" s="188" t="s">
        <v>4</v>
      </c>
      <c r="E10" s="202" t="s">
        <v>4</v>
      </c>
      <c r="F10" s="188" t="s">
        <v>5</v>
      </c>
      <c r="G10" s="188" t="s">
        <v>5</v>
      </c>
      <c r="H10" s="188" t="s">
        <v>5</v>
      </c>
      <c r="I10" s="188" t="s">
        <v>6</v>
      </c>
      <c r="J10" s="188" t="s">
        <v>6</v>
      </c>
      <c r="K10" s="189"/>
      <c r="L10" s="188"/>
      <c r="M10" s="190" t="s">
        <v>7</v>
      </c>
      <c r="N10" s="190" t="s">
        <v>7</v>
      </c>
      <c r="O10" s="190" t="s">
        <v>7</v>
      </c>
      <c r="P10" s="190" t="s">
        <v>7</v>
      </c>
      <c r="Q10" s="190"/>
      <c r="S10" s="119" t="s">
        <v>970</v>
      </c>
      <c r="T10" s="119">
        <f>t_sc</f>
        <v>155</v>
      </c>
    </row>
    <row r="11" spans="1:20" x14ac:dyDescent="0.25">
      <c r="A11" s="195">
        <f>DLC22c!A250+1</f>
        <v>2401</v>
      </c>
      <c r="B11" s="196">
        <v>1</v>
      </c>
      <c r="C11" s="195" t="str">
        <f t="shared" ref="C11:C42" si="0">TEXT(RIGHT($B$2,LEN($B$2)-3),"000")&amp;IF(Q11=path_sc2,"A","B")&amp;TEXT(D11,"00")&amp;"+"&amp;IF(J11&lt;0,TEXT(360+J11,"000"),TEXT(J11,"000"))&amp;"_"&amp;TEXT(M11,"000")&amp;"_"&amp;TEXT(RIGHT(K11,LEN(K11)-FIND("-",K11)),"00")</f>
        <v>22dA08+000_000_01</v>
      </c>
      <c r="D11" s="197">
        <f t="shared" ref="D11:D34" si="1">vr_b</f>
        <v>7.8000000000000007</v>
      </c>
      <c r="E11" s="204">
        <f t="shared" ref="E11:E18" si="2">I_ref*(0.75*D11+5.6)</f>
        <v>1.603</v>
      </c>
      <c r="F11" s="198">
        <f>E11/D11*100</f>
        <v>20.551282051282051</v>
      </c>
      <c r="G11" s="198">
        <f t="shared" ref="G11:G50" si="3">m_ty*F11</f>
        <v>16.441025641025643</v>
      </c>
      <c r="H11" s="198">
        <f t="shared" ref="H11:H50" si="4">m_tz*F11</f>
        <v>10.275641025641026</v>
      </c>
      <c r="I11" s="198">
        <f>inflow</f>
        <v>8</v>
      </c>
      <c r="J11" s="199">
        <f>yaw_null</f>
        <v>0</v>
      </c>
      <c r="K11" s="194" t="str">
        <f>D11&amp;-1</f>
        <v>7.8-1</v>
      </c>
      <c r="L11" s="198">
        <f>alpha_n</f>
        <v>0.2</v>
      </c>
      <c r="M11" s="49">
        <v>0</v>
      </c>
      <c r="N11" s="198">
        <f>t_out_sc</f>
        <v>150</v>
      </c>
      <c r="O11" s="198">
        <f>t_sc</f>
        <v>155</v>
      </c>
      <c r="P11" s="198">
        <f>t_sim_sc</f>
        <v>165</v>
      </c>
      <c r="Q11" s="196" t="str">
        <f>path_sc2</f>
        <v>\\172.20.0.4\fs04\XW\V4\loop1\inputs\ex_controller\2_phase_n.txt</v>
      </c>
    </row>
    <row r="12" spans="1:20" x14ac:dyDescent="0.25">
      <c r="A12" s="195">
        <f t="shared" ref="A12:B16" si="5">A11+1</f>
        <v>2402</v>
      </c>
      <c r="B12" s="196">
        <f t="shared" si="5"/>
        <v>2</v>
      </c>
      <c r="C12" s="229" t="str">
        <f t="shared" si="0"/>
        <v>22dA08+000_030_02</v>
      </c>
      <c r="D12" s="197">
        <f t="shared" si="1"/>
        <v>7.8000000000000007</v>
      </c>
      <c r="E12" s="204">
        <f t="shared" si="2"/>
        <v>1.603</v>
      </c>
      <c r="F12" s="198">
        <f>E12/D12*100</f>
        <v>20.551282051282051</v>
      </c>
      <c r="G12" s="198">
        <f t="shared" si="3"/>
        <v>16.441025641025643</v>
      </c>
      <c r="H12" s="198">
        <f t="shared" si="4"/>
        <v>10.275641025641026</v>
      </c>
      <c r="I12" s="198">
        <f>I11</f>
        <v>8</v>
      </c>
      <c r="J12" s="199">
        <f>J11</f>
        <v>0</v>
      </c>
      <c r="K12" s="194" t="str">
        <f>D12&amp;-2</f>
        <v>7.8-2</v>
      </c>
      <c r="L12" s="198">
        <f t="shared" ref="L12:L31" si="6">L11</f>
        <v>0.2</v>
      </c>
      <c r="M12" s="49">
        <v>30</v>
      </c>
      <c r="N12" s="198">
        <f t="shared" ref="N12:P27" si="7">N11</f>
        <v>150</v>
      </c>
      <c r="O12" s="198">
        <f t="shared" si="7"/>
        <v>155</v>
      </c>
      <c r="P12" s="198">
        <f t="shared" si="7"/>
        <v>165</v>
      </c>
      <c r="Q12" s="196" t="str">
        <f>Q11</f>
        <v>\\172.20.0.4\fs04\XW\V4\loop1\inputs\ex_controller\2_phase_n.txt</v>
      </c>
    </row>
    <row r="13" spans="1:20" x14ac:dyDescent="0.25">
      <c r="A13" s="195">
        <f t="shared" si="5"/>
        <v>2403</v>
      </c>
      <c r="B13" s="196">
        <f t="shared" si="5"/>
        <v>3</v>
      </c>
      <c r="C13" s="229" t="str">
        <f t="shared" si="0"/>
        <v>22dA08+000_060_03</v>
      </c>
      <c r="D13" s="197">
        <f t="shared" si="1"/>
        <v>7.8000000000000007</v>
      </c>
      <c r="E13" s="204">
        <f t="shared" si="2"/>
        <v>1.603</v>
      </c>
      <c r="F13" s="198">
        <f t="shared" ref="F13:F76" si="8">E13/D13*100</f>
        <v>20.551282051282051</v>
      </c>
      <c r="G13" s="198">
        <f t="shared" si="3"/>
        <v>16.441025641025643</v>
      </c>
      <c r="H13" s="198">
        <f t="shared" si="4"/>
        <v>10.275641025641026</v>
      </c>
      <c r="I13" s="198">
        <f t="shared" ref="I13:J28" si="9">I12</f>
        <v>8</v>
      </c>
      <c r="J13" s="199">
        <f t="shared" si="9"/>
        <v>0</v>
      </c>
      <c r="K13" s="194" t="str">
        <f>D13&amp;-3</f>
        <v>7.8-3</v>
      </c>
      <c r="L13" s="198">
        <f t="shared" si="6"/>
        <v>0.2</v>
      </c>
      <c r="M13" s="49">
        <v>60</v>
      </c>
      <c r="N13" s="198">
        <f t="shared" si="7"/>
        <v>150</v>
      </c>
      <c r="O13" s="198">
        <f t="shared" si="7"/>
        <v>155</v>
      </c>
      <c r="P13" s="198">
        <f t="shared" si="7"/>
        <v>165</v>
      </c>
      <c r="Q13" s="196" t="str">
        <f t="shared" ref="Q13:Q22" si="10">Q12</f>
        <v>\\172.20.0.4\fs04\XW\V4\loop1\inputs\ex_controller\2_phase_n.txt</v>
      </c>
    </row>
    <row r="14" spans="1:20" x14ac:dyDescent="0.25">
      <c r="A14" s="195">
        <f t="shared" si="5"/>
        <v>2404</v>
      </c>
      <c r="B14" s="196">
        <f t="shared" si="5"/>
        <v>4</v>
      </c>
      <c r="C14" s="229" t="str">
        <f t="shared" si="0"/>
        <v>22dA08+000_090_04</v>
      </c>
      <c r="D14" s="197">
        <f t="shared" si="1"/>
        <v>7.8000000000000007</v>
      </c>
      <c r="E14" s="204">
        <f t="shared" si="2"/>
        <v>1.603</v>
      </c>
      <c r="F14" s="198">
        <f t="shared" si="8"/>
        <v>20.551282051282051</v>
      </c>
      <c r="G14" s="198">
        <f t="shared" si="3"/>
        <v>16.441025641025643</v>
      </c>
      <c r="H14" s="198">
        <f t="shared" si="4"/>
        <v>10.275641025641026</v>
      </c>
      <c r="I14" s="198">
        <f t="shared" si="9"/>
        <v>8</v>
      </c>
      <c r="J14" s="199">
        <f t="shared" si="9"/>
        <v>0</v>
      </c>
      <c r="K14" s="194" t="str">
        <f>D14&amp;-4</f>
        <v>7.8-4</v>
      </c>
      <c r="L14" s="198">
        <f t="shared" si="6"/>
        <v>0.2</v>
      </c>
      <c r="M14" s="49">
        <v>90</v>
      </c>
      <c r="N14" s="198">
        <f t="shared" si="7"/>
        <v>150</v>
      </c>
      <c r="O14" s="198">
        <f t="shared" si="7"/>
        <v>155</v>
      </c>
      <c r="P14" s="198">
        <f t="shared" si="7"/>
        <v>165</v>
      </c>
      <c r="Q14" s="196" t="str">
        <f t="shared" si="10"/>
        <v>\\172.20.0.4\fs04\XW\V4\loop1\inputs\ex_controller\2_phase_n.txt</v>
      </c>
    </row>
    <row r="15" spans="1:20" x14ac:dyDescent="0.25">
      <c r="A15" s="195">
        <f t="shared" si="5"/>
        <v>2405</v>
      </c>
      <c r="B15" s="196">
        <f t="shared" si="5"/>
        <v>5</v>
      </c>
      <c r="C15" s="229" t="str">
        <f t="shared" si="0"/>
        <v>22dA08+000_000_05</v>
      </c>
      <c r="D15" s="197">
        <f t="shared" si="1"/>
        <v>7.8000000000000007</v>
      </c>
      <c r="E15" s="204">
        <f t="shared" si="2"/>
        <v>1.603</v>
      </c>
      <c r="F15" s="198">
        <f t="shared" si="8"/>
        <v>20.551282051282051</v>
      </c>
      <c r="G15" s="198">
        <f t="shared" si="3"/>
        <v>16.441025641025643</v>
      </c>
      <c r="H15" s="198">
        <f t="shared" si="4"/>
        <v>10.275641025641026</v>
      </c>
      <c r="I15" s="198">
        <f t="shared" si="9"/>
        <v>8</v>
      </c>
      <c r="J15" s="199">
        <f t="shared" si="9"/>
        <v>0</v>
      </c>
      <c r="K15" s="194" t="str">
        <f>D15&amp;-5</f>
        <v>7.8-5</v>
      </c>
      <c r="L15" s="198">
        <f t="shared" si="6"/>
        <v>0.2</v>
      </c>
      <c r="M15" s="49">
        <v>0</v>
      </c>
      <c r="N15" s="198">
        <f t="shared" si="7"/>
        <v>150</v>
      </c>
      <c r="O15" s="198">
        <f t="shared" si="7"/>
        <v>155</v>
      </c>
      <c r="P15" s="198">
        <f t="shared" si="7"/>
        <v>165</v>
      </c>
      <c r="Q15" s="196" t="str">
        <f t="shared" si="10"/>
        <v>\\172.20.0.4\fs04\XW\V4\loop1\inputs\ex_controller\2_phase_n.txt</v>
      </c>
    </row>
    <row r="16" spans="1:20" x14ac:dyDescent="0.25">
      <c r="A16" s="195">
        <f t="shared" si="5"/>
        <v>2406</v>
      </c>
      <c r="B16" s="196">
        <f t="shared" si="5"/>
        <v>6</v>
      </c>
      <c r="C16" s="229" t="str">
        <f t="shared" si="0"/>
        <v>22dA08+000_030_06</v>
      </c>
      <c r="D16" s="197">
        <f t="shared" si="1"/>
        <v>7.8000000000000007</v>
      </c>
      <c r="E16" s="204">
        <f t="shared" si="2"/>
        <v>1.603</v>
      </c>
      <c r="F16" s="198">
        <f t="shared" si="8"/>
        <v>20.551282051282051</v>
      </c>
      <c r="G16" s="198">
        <f t="shared" si="3"/>
        <v>16.441025641025643</v>
      </c>
      <c r="H16" s="198">
        <f t="shared" si="4"/>
        <v>10.275641025641026</v>
      </c>
      <c r="I16" s="198">
        <f t="shared" si="9"/>
        <v>8</v>
      </c>
      <c r="J16" s="199">
        <f t="shared" si="9"/>
        <v>0</v>
      </c>
      <c r="K16" s="194" t="str">
        <f>D16&amp;-6</f>
        <v>7.8-6</v>
      </c>
      <c r="L16" s="198">
        <f t="shared" si="6"/>
        <v>0.2</v>
      </c>
      <c r="M16" s="49">
        <v>30</v>
      </c>
      <c r="N16" s="198">
        <f t="shared" si="7"/>
        <v>150</v>
      </c>
      <c r="O16" s="198">
        <f t="shared" si="7"/>
        <v>155</v>
      </c>
      <c r="P16" s="198">
        <f t="shared" si="7"/>
        <v>165</v>
      </c>
      <c r="Q16" s="196" t="str">
        <f t="shared" si="10"/>
        <v>\\172.20.0.4\fs04\XW\V4\loop1\inputs\ex_controller\2_phase_n.txt</v>
      </c>
    </row>
    <row r="17" spans="1:17" x14ac:dyDescent="0.25">
      <c r="A17" s="195">
        <f t="shared" ref="A17:B32" si="11">A16+1</f>
        <v>2407</v>
      </c>
      <c r="B17" s="196">
        <f t="shared" si="11"/>
        <v>7</v>
      </c>
      <c r="C17" s="229" t="str">
        <f t="shared" si="0"/>
        <v>22dA08+000_060_07</v>
      </c>
      <c r="D17" s="197">
        <f t="shared" si="1"/>
        <v>7.8000000000000007</v>
      </c>
      <c r="E17" s="204">
        <f t="shared" si="2"/>
        <v>1.603</v>
      </c>
      <c r="F17" s="198">
        <f t="shared" si="8"/>
        <v>20.551282051282051</v>
      </c>
      <c r="G17" s="198">
        <f t="shared" si="3"/>
        <v>16.441025641025643</v>
      </c>
      <c r="H17" s="198">
        <f t="shared" si="4"/>
        <v>10.275641025641026</v>
      </c>
      <c r="I17" s="198">
        <f t="shared" si="9"/>
        <v>8</v>
      </c>
      <c r="J17" s="199">
        <f t="shared" si="9"/>
        <v>0</v>
      </c>
      <c r="K17" s="194" t="str">
        <f>D17&amp;-7</f>
        <v>7.8-7</v>
      </c>
      <c r="L17" s="198">
        <f t="shared" si="6"/>
        <v>0.2</v>
      </c>
      <c r="M17" s="49">
        <v>60</v>
      </c>
      <c r="N17" s="198">
        <f t="shared" si="7"/>
        <v>150</v>
      </c>
      <c r="O17" s="198">
        <f t="shared" si="7"/>
        <v>155</v>
      </c>
      <c r="P17" s="198">
        <f t="shared" si="7"/>
        <v>165</v>
      </c>
      <c r="Q17" s="196" t="str">
        <f t="shared" si="10"/>
        <v>\\172.20.0.4\fs04\XW\V4\loop1\inputs\ex_controller\2_phase_n.txt</v>
      </c>
    </row>
    <row r="18" spans="1:17" x14ac:dyDescent="0.25">
      <c r="A18" s="195">
        <f t="shared" si="11"/>
        <v>2408</v>
      </c>
      <c r="B18" s="196">
        <f t="shared" si="11"/>
        <v>8</v>
      </c>
      <c r="C18" s="229" t="str">
        <f t="shared" si="0"/>
        <v>22dA08+000_090_08</v>
      </c>
      <c r="D18" s="197">
        <f t="shared" si="1"/>
        <v>7.8000000000000007</v>
      </c>
      <c r="E18" s="204">
        <f t="shared" si="2"/>
        <v>1.603</v>
      </c>
      <c r="F18" s="198">
        <f t="shared" si="8"/>
        <v>20.551282051282051</v>
      </c>
      <c r="G18" s="198">
        <f t="shared" si="3"/>
        <v>16.441025641025643</v>
      </c>
      <c r="H18" s="198">
        <f t="shared" si="4"/>
        <v>10.275641025641026</v>
      </c>
      <c r="I18" s="198">
        <f t="shared" si="9"/>
        <v>8</v>
      </c>
      <c r="J18" s="199">
        <f t="shared" si="9"/>
        <v>0</v>
      </c>
      <c r="K18" s="194" t="str">
        <f>D18&amp;-8</f>
        <v>7.8-8</v>
      </c>
      <c r="L18" s="198">
        <f t="shared" si="6"/>
        <v>0.2</v>
      </c>
      <c r="M18" s="49">
        <v>90</v>
      </c>
      <c r="N18" s="198">
        <f t="shared" si="7"/>
        <v>150</v>
      </c>
      <c r="O18" s="198">
        <f t="shared" si="7"/>
        <v>155</v>
      </c>
      <c r="P18" s="198">
        <f t="shared" si="7"/>
        <v>165</v>
      </c>
      <c r="Q18" s="196" t="str">
        <f t="shared" si="10"/>
        <v>\\172.20.0.4\fs04\XW\V4\loop1\inputs\ex_controller\2_phase_n.txt</v>
      </c>
    </row>
    <row r="19" spans="1:17" x14ac:dyDescent="0.25">
      <c r="A19" s="195">
        <f t="shared" si="11"/>
        <v>2409</v>
      </c>
      <c r="B19" s="196">
        <f t="shared" si="11"/>
        <v>9</v>
      </c>
      <c r="C19" s="229" t="str">
        <f t="shared" si="0"/>
        <v>22dA08+000_000_09</v>
      </c>
      <c r="D19" s="197">
        <f t="shared" si="1"/>
        <v>7.8000000000000007</v>
      </c>
      <c r="E19" s="204">
        <f t="shared" ref="E19:E82" si="12">I_ref*(0.75*D19+5.6)</f>
        <v>1.603</v>
      </c>
      <c r="F19" s="198">
        <f t="shared" si="8"/>
        <v>20.551282051282051</v>
      </c>
      <c r="G19" s="198">
        <f t="shared" si="3"/>
        <v>16.441025641025643</v>
      </c>
      <c r="H19" s="198">
        <f t="shared" si="4"/>
        <v>10.275641025641026</v>
      </c>
      <c r="I19" s="198">
        <f t="shared" si="9"/>
        <v>8</v>
      </c>
      <c r="J19" s="199">
        <f t="shared" si="9"/>
        <v>0</v>
      </c>
      <c r="K19" s="194" t="str">
        <f>D19&amp;-9</f>
        <v>7.8-9</v>
      </c>
      <c r="L19" s="198">
        <f t="shared" si="6"/>
        <v>0.2</v>
      </c>
      <c r="M19" s="49">
        <v>0</v>
      </c>
      <c r="N19" s="198">
        <f t="shared" si="7"/>
        <v>150</v>
      </c>
      <c r="O19" s="198">
        <f t="shared" si="7"/>
        <v>155</v>
      </c>
      <c r="P19" s="198">
        <f t="shared" si="7"/>
        <v>165</v>
      </c>
      <c r="Q19" s="196" t="str">
        <f t="shared" si="10"/>
        <v>\\172.20.0.4\fs04\XW\V4\loop1\inputs\ex_controller\2_phase_n.txt</v>
      </c>
    </row>
    <row r="20" spans="1:17" x14ac:dyDescent="0.25">
      <c r="A20" s="195">
        <f t="shared" si="11"/>
        <v>2410</v>
      </c>
      <c r="B20" s="196">
        <f t="shared" si="11"/>
        <v>10</v>
      </c>
      <c r="C20" s="229" t="str">
        <f t="shared" si="0"/>
        <v>22dA08+000_030_10</v>
      </c>
      <c r="D20" s="197">
        <f t="shared" si="1"/>
        <v>7.8000000000000007</v>
      </c>
      <c r="E20" s="204">
        <f t="shared" si="12"/>
        <v>1.603</v>
      </c>
      <c r="F20" s="198">
        <f t="shared" si="8"/>
        <v>20.551282051282051</v>
      </c>
      <c r="G20" s="198">
        <f t="shared" si="3"/>
        <v>16.441025641025643</v>
      </c>
      <c r="H20" s="198">
        <f t="shared" si="4"/>
        <v>10.275641025641026</v>
      </c>
      <c r="I20" s="198">
        <f t="shared" si="9"/>
        <v>8</v>
      </c>
      <c r="J20" s="199">
        <f t="shared" si="9"/>
        <v>0</v>
      </c>
      <c r="K20" s="194" t="str">
        <f>D20&amp;-10</f>
        <v>7.8-10</v>
      </c>
      <c r="L20" s="198">
        <f t="shared" si="6"/>
        <v>0.2</v>
      </c>
      <c r="M20" s="49">
        <v>30</v>
      </c>
      <c r="N20" s="198">
        <f t="shared" si="7"/>
        <v>150</v>
      </c>
      <c r="O20" s="198">
        <f t="shared" si="7"/>
        <v>155</v>
      </c>
      <c r="P20" s="198">
        <f t="shared" si="7"/>
        <v>165</v>
      </c>
      <c r="Q20" s="196" t="str">
        <f t="shared" si="10"/>
        <v>\\172.20.0.4\fs04\XW\V4\loop1\inputs\ex_controller\2_phase_n.txt</v>
      </c>
    </row>
    <row r="21" spans="1:17" x14ac:dyDescent="0.25">
      <c r="A21" s="195">
        <f t="shared" si="11"/>
        <v>2411</v>
      </c>
      <c r="B21" s="196">
        <f t="shared" si="11"/>
        <v>11</v>
      </c>
      <c r="C21" s="229" t="str">
        <f t="shared" si="0"/>
        <v>22dA08+000_060_11</v>
      </c>
      <c r="D21" s="197">
        <f t="shared" si="1"/>
        <v>7.8000000000000007</v>
      </c>
      <c r="E21" s="204">
        <f t="shared" si="12"/>
        <v>1.603</v>
      </c>
      <c r="F21" s="198">
        <f t="shared" si="8"/>
        <v>20.551282051282051</v>
      </c>
      <c r="G21" s="198">
        <f t="shared" si="3"/>
        <v>16.441025641025643</v>
      </c>
      <c r="H21" s="198">
        <f t="shared" si="4"/>
        <v>10.275641025641026</v>
      </c>
      <c r="I21" s="198">
        <f t="shared" si="9"/>
        <v>8</v>
      </c>
      <c r="J21" s="199">
        <f t="shared" si="9"/>
        <v>0</v>
      </c>
      <c r="K21" s="194" t="str">
        <f>D21&amp;-11</f>
        <v>7.8-11</v>
      </c>
      <c r="L21" s="198">
        <f t="shared" si="6"/>
        <v>0.2</v>
      </c>
      <c r="M21" s="49">
        <v>60</v>
      </c>
      <c r="N21" s="198">
        <f t="shared" si="7"/>
        <v>150</v>
      </c>
      <c r="O21" s="198">
        <f t="shared" si="7"/>
        <v>155</v>
      </c>
      <c r="P21" s="198">
        <f t="shared" si="7"/>
        <v>165</v>
      </c>
      <c r="Q21" s="196" t="str">
        <f t="shared" si="10"/>
        <v>\\172.20.0.4\fs04\XW\V4\loop1\inputs\ex_controller\2_phase_n.txt</v>
      </c>
    </row>
    <row r="22" spans="1:17" x14ac:dyDescent="0.25">
      <c r="A22" s="195">
        <f t="shared" si="11"/>
        <v>2412</v>
      </c>
      <c r="B22" s="196">
        <f t="shared" si="11"/>
        <v>12</v>
      </c>
      <c r="C22" s="229" t="str">
        <f t="shared" si="0"/>
        <v>22dA08+000_090_12</v>
      </c>
      <c r="D22" s="197">
        <f t="shared" si="1"/>
        <v>7.8000000000000007</v>
      </c>
      <c r="E22" s="204">
        <f t="shared" si="12"/>
        <v>1.603</v>
      </c>
      <c r="F22" s="198">
        <f t="shared" si="8"/>
        <v>20.551282051282051</v>
      </c>
      <c r="G22" s="198">
        <f t="shared" si="3"/>
        <v>16.441025641025643</v>
      </c>
      <c r="H22" s="198">
        <f t="shared" si="4"/>
        <v>10.275641025641026</v>
      </c>
      <c r="I22" s="198">
        <f t="shared" si="9"/>
        <v>8</v>
      </c>
      <c r="J22" s="199">
        <f t="shared" si="9"/>
        <v>0</v>
      </c>
      <c r="K22" s="194" t="str">
        <f>D22&amp;-12</f>
        <v>7.8-12</v>
      </c>
      <c r="L22" s="198">
        <f t="shared" si="6"/>
        <v>0.2</v>
      </c>
      <c r="M22" s="49">
        <v>90</v>
      </c>
      <c r="N22" s="198">
        <f t="shared" si="7"/>
        <v>150</v>
      </c>
      <c r="O22" s="198">
        <f t="shared" si="7"/>
        <v>155</v>
      </c>
      <c r="P22" s="198">
        <f t="shared" si="7"/>
        <v>165</v>
      </c>
      <c r="Q22" s="196" t="str">
        <f t="shared" si="10"/>
        <v>\\172.20.0.4\fs04\XW\V4\loop1\inputs\ex_controller\2_phase_n.txt</v>
      </c>
    </row>
    <row r="23" spans="1:17" x14ac:dyDescent="0.25">
      <c r="A23" s="195">
        <f t="shared" si="11"/>
        <v>2413</v>
      </c>
      <c r="B23" s="196">
        <f t="shared" si="11"/>
        <v>13</v>
      </c>
      <c r="C23" s="229" t="str">
        <f t="shared" si="0"/>
        <v>22dB08+000_000_01</v>
      </c>
      <c r="D23" s="197">
        <f t="shared" si="1"/>
        <v>7.8000000000000007</v>
      </c>
      <c r="E23" s="204">
        <f t="shared" si="12"/>
        <v>1.603</v>
      </c>
      <c r="F23" s="198">
        <f>E23/D23*100</f>
        <v>20.551282051282051</v>
      </c>
      <c r="G23" s="198">
        <f t="shared" si="3"/>
        <v>16.441025641025643</v>
      </c>
      <c r="H23" s="198">
        <f t="shared" si="4"/>
        <v>10.275641025641026</v>
      </c>
      <c r="I23" s="198">
        <f t="shared" si="9"/>
        <v>8</v>
      </c>
      <c r="J23" s="199">
        <f t="shared" si="9"/>
        <v>0</v>
      </c>
      <c r="K23" s="194" t="str">
        <f>D23&amp;-1</f>
        <v>7.8-1</v>
      </c>
      <c r="L23" s="198">
        <f t="shared" si="6"/>
        <v>0.2</v>
      </c>
      <c r="M23" s="49">
        <v>0</v>
      </c>
      <c r="N23" s="198">
        <f t="shared" si="7"/>
        <v>150</v>
      </c>
      <c r="O23" s="198">
        <f t="shared" si="7"/>
        <v>155</v>
      </c>
      <c r="P23" s="198">
        <f t="shared" si="7"/>
        <v>165</v>
      </c>
      <c r="Q23" s="196" t="str">
        <f>path_sc3</f>
        <v>\\172.20.0.4\fs04\XW\V4\loop1\inputs\ex_controller\3_phase_n.txt</v>
      </c>
    </row>
    <row r="24" spans="1:17" x14ac:dyDescent="0.25">
      <c r="A24" s="195">
        <f t="shared" si="11"/>
        <v>2414</v>
      </c>
      <c r="B24" s="196">
        <f t="shared" si="11"/>
        <v>14</v>
      </c>
      <c r="C24" s="229" t="str">
        <f t="shared" si="0"/>
        <v>22dB08+000_030_02</v>
      </c>
      <c r="D24" s="197">
        <f t="shared" si="1"/>
        <v>7.8000000000000007</v>
      </c>
      <c r="E24" s="204">
        <f t="shared" si="12"/>
        <v>1.603</v>
      </c>
      <c r="F24" s="198">
        <f>E24/D24*100</f>
        <v>20.551282051282051</v>
      </c>
      <c r="G24" s="198">
        <f t="shared" si="3"/>
        <v>16.441025641025643</v>
      </c>
      <c r="H24" s="198">
        <f t="shared" si="4"/>
        <v>10.275641025641026</v>
      </c>
      <c r="I24" s="198">
        <f t="shared" si="9"/>
        <v>8</v>
      </c>
      <c r="J24" s="199">
        <f t="shared" si="9"/>
        <v>0</v>
      </c>
      <c r="K24" s="194" t="str">
        <f>D24&amp;-2</f>
        <v>7.8-2</v>
      </c>
      <c r="L24" s="198">
        <f t="shared" si="6"/>
        <v>0.2</v>
      </c>
      <c r="M24" s="49">
        <v>30</v>
      </c>
      <c r="N24" s="198">
        <f t="shared" si="7"/>
        <v>150</v>
      </c>
      <c r="O24" s="198">
        <f t="shared" si="7"/>
        <v>155</v>
      </c>
      <c r="P24" s="198">
        <f t="shared" si="7"/>
        <v>165</v>
      </c>
      <c r="Q24" s="196" t="str">
        <f>Q23</f>
        <v>\\172.20.0.4\fs04\XW\V4\loop1\inputs\ex_controller\3_phase_n.txt</v>
      </c>
    </row>
    <row r="25" spans="1:17" x14ac:dyDescent="0.25">
      <c r="A25" s="195">
        <f t="shared" si="11"/>
        <v>2415</v>
      </c>
      <c r="B25" s="196">
        <f t="shared" si="11"/>
        <v>15</v>
      </c>
      <c r="C25" s="229" t="str">
        <f t="shared" si="0"/>
        <v>22dB08+000_060_03</v>
      </c>
      <c r="D25" s="197">
        <f t="shared" si="1"/>
        <v>7.8000000000000007</v>
      </c>
      <c r="E25" s="204">
        <f t="shared" si="12"/>
        <v>1.603</v>
      </c>
      <c r="F25" s="198">
        <f t="shared" ref="F25:F34" si="13">E25/D25*100</f>
        <v>20.551282051282051</v>
      </c>
      <c r="G25" s="198">
        <f t="shared" si="3"/>
        <v>16.441025641025643</v>
      </c>
      <c r="H25" s="198">
        <f t="shared" si="4"/>
        <v>10.275641025641026</v>
      </c>
      <c r="I25" s="198">
        <f t="shared" si="9"/>
        <v>8</v>
      </c>
      <c r="J25" s="199">
        <f t="shared" si="9"/>
        <v>0</v>
      </c>
      <c r="K25" s="194" t="str">
        <f>D25&amp;-3</f>
        <v>7.8-3</v>
      </c>
      <c r="L25" s="198">
        <f t="shared" si="6"/>
        <v>0.2</v>
      </c>
      <c r="M25" s="49">
        <v>60</v>
      </c>
      <c r="N25" s="198">
        <f t="shared" si="7"/>
        <v>150</v>
      </c>
      <c r="O25" s="198">
        <f t="shared" si="7"/>
        <v>155</v>
      </c>
      <c r="P25" s="198">
        <f t="shared" si="7"/>
        <v>165</v>
      </c>
      <c r="Q25" s="196" t="str">
        <f t="shared" ref="Q25:Q34" si="14">Q24</f>
        <v>\\172.20.0.4\fs04\XW\V4\loop1\inputs\ex_controller\3_phase_n.txt</v>
      </c>
    </row>
    <row r="26" spans="1:17" x14ac:dyDescent="0.25">
      <c r="A26" s="195">
        <f t="shared" si="11"/>
        <v>2416</v>
      </c>
      <c r="B26" s="196">
        <f t="shared" si="11"/>
        <v>16</v>
      </c>
      <c r="C26" s="229" t="str">
        <f t="shared" si="0"/>
        <v>22dB08+000_090_04</v>
      </c>
      <c r="D26" s="197">
        <f t="shared" si="1"/>
        <v>7.8000000000000007</v>
      </c>
      <c r="E26" s="204">
        <f t="shared" si="12"/>
        <v>1.603</v>
      </c>
      <c r="F26" s="198">
        <f t="shared" si="13"/>
        <v>20.551282051282051</v>
      </c>
      <c r="G26" s="198">
        <f t="shared" si="3"/>
        <v>16.441025641025643</v>
      </c>
      <c r="H26" s="198">
        <f t="shared" si="4"/>
        <v>10.275641025641026</v>
      </c>
      <c r="I26" s="198">
        <f t="shared" si="9"/>
        <v>8</v>
      </c>
      <c r="J26" s="199">
        <f t="shared" si="9"/>
        <v>0</v>
      </c>
      <c r="K26" s="194" t="str">
        <f>D26&amp;-4</f>
        <v>7.8-4</v>
      </c>
      <c r="L26" s="198">
        <f t="shared" si="6"/>
        <v>0.2</v>
      </c>
      <c r="M26" s="49">
        <v>90</v>
      </c>
      <c r="N26" s="198">
        <f t="shared" si="7"/>
        <v>150</v>
      </c>
      <c r="O26" s="198">
        <f t="shared" si="7"/>
        <v>155</v>
      </c>
      <c r="P26" s="198">
        <f t="shared" si="7"/>
        <v>165</v>
      </c>
      <c r="Q26" s="196" t="str">
        <f t="shared" si="14"/>
        <v>\\172.20.0.4\fs04\XW\V4\loop1\inputs\ex_controller\3_phase_n.txt</v>
      </c>
    </row>
    <row r="27" spans="1:17" x14ac:dyDescent="0.25">
      <c r="A27" s="195">
        <f t="shared" si="11"/>
        <v>2417</v>
      </c>
      <c r="B27" s="196">
        <f t="shared" si="11"/>
        <v>17</v>
      </c>
      <c r="C27" s="229" t="str">
        <f t="shared" si="0"/>
        <v>22dB08+000_000_05</v>
      </c>
      <c r="D27" s="197">
        <f t="shared" si="1"/>
        <v>7.8000000000000007</v>
      </c>
      <c r="E27" s="204">
        <f t="shared" si="12"/>
        <v>1.603</v>
      </c>
      <c r="F27" s="198">
        <f t="shared" si="13"/>
        <v>20.551282051282051</v>
      </c>
      <c r="G27" s="198">
        <f t="shared" si="3"/>
        <v>16.441025641025643</v>
      </c>
      <c r="H27" s="198">
        <f t="shared" si="4"/>
        <v>10.275641025641026</v>
      </c>
      <c r="I27" s="198">
        <f t="shared" si="9"/>
        <v>8</v>
      </c>
      <c r="J27" s="199">
        <f t="shared" si="9"/>
        <v>0</v>
      </c>
      <c r="K27" s="194" t="str">
        <f>D27&amp;-5</f>
        <v>7.8-5</v>
      </c>
      <c r="L27" s="198">
        <f t="shared" si="6"/>
        <v>0.2</v>
      </c>
      <c r="M27" s="49">
        <v>0</v>
      </c>
      <c r="N27" s="198">
        <f t="shared" si="7"/>
        <v>150</v>
      </c>
      <c r="O27" s="198">
        <f t="shared" si="7"/>
        <v>155</v>
      </c>
      <c r="P27" s="198">
        <f t="shared" si="7"/>
        <v>165</v>
      </c>
      <c r="Q27" s="196" t="str">
        <f t="shared" si="14"/>
        <v>\\172.20.0.4\fs04\XW\V4\loop1\inputs\ex_controller\3_phase_n.txt</v>
      </c>
    </row>
    <row r="28" spans="1:17" x14ac:dyDescent="0.25">
      <c r="A28" s="195">
        <f t="shared" si="11"/>
        <v>2418</v>
      </c>
      <c r="B28" s="196">
        <f t="shared" si="11"/>
        <v>18</v>
      </c>
      <c r="C28" s="229" t="str">
        <f t="shared" si="0"/>
        <v>22dB08+000_030_06</v>
      </c>
      <c r="D28" s="197">
        <f t="shared" si="1"/>
        <v>7.8000000000000007</v>
      </c>
      <c r="E28" s="204">
        <f t="shared" si="12"/>
        <v>1.603</v>
      </c>
      <c r="F28" s="198">
        <f t="shared" si="13"/>
        <v>20.551282051282051</v>
      </c>
      <c r="G28" s="198">
        <f t="shared" si="3"/>
        <v>16.441025641025643</v>
      </c>
      <c r="H28" s="198">
        <f t="shared" si="4"/>
        <v>10.275641025641026</v>
      </c>
      <c r="I28" s="198">
        <f t="shared" si="9"/>
        <v>8</v>
      </c>
      <c r="J28" s="199">
        <f>J27</f>
        <v>0</v>
      </c>
      <c r="K28" s="194" t="str">
        <f>D28&amp;-6</f>
        <v>7.8-6</v>
      </c>
      <c r="L28" s="198">
        <f t="shared" si="6"/>
        <v>0.2</v>
      </c>
      <c r="M28" s="49">
        <v>30</v>
      </c>
      <c r="N28" s="198">
        <f t="shared" ref="N28:P34" si="15">N27</f>
        <v>150</v>
      </c>
      <c r="O28" s="198">
        <f t="shared" si="15"/>
        <v>155</v>
      </c>
      <c r="P28" s="198">
        <f t="shared" si="15"/>
        <v>165</v>
      </c>
      <c r="Q28" s="196" t="str">
        <f t="shared" si="14"/>
        <v>\\172.20.0.4\fs04\XW\V4\loop1\inputs\ex_controller\3_phase_n.txt</v>
      </c>
    </row>
    <row r="29" spans="1:17" x14ac:dyDescent="0.25">
      <c r="A29" s="195">
        <f t="shared" si="11"/>
        <v>2419</v>
      </c>
      <c r="B29" s="196">
        <f t="shared" si="11"/>
        <v>19</v>
      </c>
      <c r="C29" s="229" t="str">
        <f t="shared" si="0"/>
        <v>22dB08+000_060_07</v>
      </c>
      <c r="D29" s="197">
        <f t="shared" si="1"/>
        <v>7.8000000000000007</v>
      </c>
      <c r="E29" s="204">
        <f t="shared" si="12"/>
        <v>1.603</v>
      </c>
      <c r="F29" s="198">
        <f t="shared" si="13"/>
        <v>20.551282051282051</v>
      </c>
      <c r="G29" s="198">
        <f t="shared" si="3"/>
        <v>16.441025641025643</v>
      </c>
      <c r="H29" s="198">
        <f t="shared" si="4"/>
        <v>10.275641025641026</v>
      </c>
      <c r="I29" s="198">
        <f t="shared" ref="I29:J44" si="16">I28</f>
        <v>8</v>
      </c>
      <c r="J29" s="199">
        <f t="shared" si="16"/>
        <v>0</v>
      </c>
      <c r="K29" s="194" t="str">
        <f>D29&amp;-7</f>
        <v>7.8-7</v>
      </c>
      <c r="L29" s="198">
        <f t="shared" si="6"/>
        <v>0.2</v>
      </c>
      <c r="M29" s="49">
        <v>60</v>
      </c>
      <c r="N29" s="198">
        <f t="shared" si="15"/>
        <v>150</v>
      </c>
      <c r="O29" s="198">
        <f t="shared" si="15"/>
        <v>155</v>
      </c>
      <c r="P29" s="198">
        <f t="shared" si="15"/>
        <v>165</v>
      </c>
      <c r="Q29" s="196" t="str">
        <f t="shared" si="14"/>
        <v>\\172.20.0.4\fs04\XW\V4\loop1\inputs\ex_controller\3_phase_n.txt</v>
      </c>
    </row>
    <row r="30" spans="1:17" x14ac:dyDescent="0.25">
      <c r="A30" s="195">
        <f t="shared" si="11"/>
        <v>2420</v>
      </c>
      <c r="B30" s="196">
        <f t="shared" si="11"/>
        <v>20</v>
      </c>
      <c r="C30" s="229" t="str">
        <f t="shared" si="0"/>
        <v>22dB08+000_090_08</v>
      </c>
      <c r="D30" s="197">
        <f t="shared" si="1"/>
        <v>7.8000000000000007</v>
      </c>
      <c r="E30" s="204">
        <f t="shared" si="12"/>
        <v>1.603</v>
      </c>
      <c r="F30" s="198">
        <f t="shared" si="13"/>
        <v>20.551282051282051</v>
      </c>
      <c r="G30" s="198">
        <f t="shared" si="3"/>
        <v>16.441025641025643</v>
      </c>
      <c r="H30" s="198">
        <f t="shared" si="4"/>
        <v>10.275641025641026</v>
      </c>
      <c r="I30" s="198">
        <f t="shared" si="16"/>
        <v>8</v>
      </c>
      <c r="J30" s="199">
        <f t="shared" si="16"/>
        <v>0</v>
      </c>
      <c r="K30" s="194" t="str">
        <f>D30&amp;-8</f>
        <v>7.8-8</v>
      </c>
      <c r="L30" s="198">
        <f t="shared" si="6"/>
        <v>0.2</v>
      </c>
      <c r="M30" s="49">
        <v>90</v>
      </c>
      <c r="N30" s="198">
        <f t="shared" si="15"/>
        <v>150</v>
      </c>
      <c r="O30" s="198">
        <f t="shared" si="15"/>
        <v>155</v>
      </c>
      <c r="P30" s="198">
        <f t="shared" si="15"/>
        <v>165</v>
      </c>
      <c r="Q30" s="196" t="str">
        <f t="shared" si="14"/>
        <v>\\172.20.0.4\fs04\XW\V4\loop1\inputs\ex_controller\3_phase_n.txt</v>
      </c>
    </row>
    <row r="31" spans="1:17" x14ac:dyDescent="0.25">
      <c r="A31" s="195">
        <f t="shared" si="11"/>
        <v>2421</v>
      </c>
      <c r="B31" s="196">
        <f t="shared" si="11"/>
        <v>21</v>
      </c>
      <c r="C31" s="229" t="str">
        <f t="shared" si="0"/>
        <v>22dB08+000_000_09</v>
      </c>
      <c r="D31" s="197">
        <f t="shared" si="1"/>
        <v>7.8000000000000007</v>
      </c>
      <c r="E31" s="204">
        <f t="shared" si="12"/>
        <v>1.603</v>
      </c>
      <c r="F31" s="198">
        <f t="shared" si="13"/>
        <v>20.551282051282051</v>
      </c>
      <c r="G31" s="198">
        <f t="shared" si="3"/>
        <v>16.441025641025643</v>
      </c>
      <c r="H31" s="198">
        <f t="shared" si="4"/>
        <v>10.275641025641026</v>
      </c>
      <c r="I31" s="198">
        <f t="shared" si="16"/>
        <v>8</v>
      </c>
      <c r="J31" s="199">
        <f t="shared" si="16"/>
        <v>0</v>
      </c>
      <c r="K31" s="194" t="str">
        <f>D31&amp;-9</f>
        <v>7.8-9</v>
      </c>
      <c r="L31" s="198">
        <f t="shared" si="6"/>
        <v>0.2</v>
      </c>
      <c r="M31" s="49">
        <v>0</v>
      </c>
      <c r="N31" s="198">
        <f t="shared" si="15"/>
        <v>150</v>
      </c>
      <c r="O31" s="198">
        <f t="shared" si="15"/>
        <v>155</v>
      </c>
      <c r="P31" s="198">
        <f t="shared" si="15"/>
        <v>165</v>
      </c>
      <c r="Q31" s="196" t="str">
        <f t="shared" si="14"/>
        <v>\\172.20.0.4\fs04\XW\V4\loop1\inputs\ex_controller\3_phase_n.txt</v>
      </c>
    </row>
    <row r="32" spans="1:17" x14ac:dyDescent="0.25">
      <c r="A32" s="195">
        <f t="shared" si="11"/>
        <v>2422</v>
      </c>
      <c r="B32" s="196">
        <f t="shared" si="11"/>
        <v>22</v>
      </c>
      <c r="C32" s="229" t="str">
        <f t="shared" si="0"/>
        <v>22dB08+000_030_10</v>
      </c>
      <c r="D32" s="197">
        <f t="shared" si="1"/>
        <v>7.8000000000000007</v>
      </c>
      <c r="E32" s="204">
        <f t="shared" si="12"/>
        <v>1.603</v>
      </c>
      <c r="F32" s="198">
        <f t="shared" si="13"/>
        <v>20.551282051282051</v>
      </c>
      <c r="G32" s="198">
        <f t="shared" si="3"/>
        <v>16.441025641025643</v>
      </c>
      <c r="H32" s="198">
        <f t="shared" si="4"/>
        <v>10.275641025641026</v>
      </c>
      <c r="I32" s="198">
        <f t="shared" si="16"/>
        <v>8</v>
      </c>
      <c r="J32" s="199">
        <f t="shared" si="16"/>
        <v>0</v>
      </c>
      <c r="K32" s="194" t="str">
        <f>D32&amp;-10</f>
        <v>7.8-10</v>
      </c>
      <c r="L32" s="198">
        <f t="shared" ref="L32:L47" si="17">L31</f>
        <v>0.2</v>
      </c>
      <c r="M32" s="49">
        <v>30</v>
      </c>
      <c r="N32" s="198">
        <f t="shared" si="15"/>
        <v>150</v>
      </c>
      <c r="O32" s="198">
        <f t="shared" si="15"/>
        <v>155</v>
      </c>
      <c r="P32" s="198">
        <f t="shared" si="15"/>
        <v>165</v>
      </c>
      <c r="Q32" s="196" t="str">
        <f t="shared" si="14"/>
        <v>\\172.20.0.4\fs04\XW\V4\loop1\inputs\ex_controller\3_phase_n.txt</v>
      </c>
    </row>
    <row r="33" spans="1:17" x14ac:dyDescent="0.25">
      <c r="A33" s="195">
        <f t="shared" ref="A33:B48" si="18">A32+1</f>
        <v>2423</v>
      </c>
      <c r="B33" s="196">
        <f t="shared" si="18"/>
        <v>23</v>
      </c>
      <c r="C33" s="229" t="str">
        <f t="shared" si="0"/>
        <v>22dB08+000_060_11</v>
      </c>
      <c r="D33" s="197">
        <f t="shared" si="1"/>
        <v>7.8000000000000007</v>
      </c>
      <c r="E33" s="204">
        <f t="shared" si="12"/>
        <v>1.603</v>
      </c>
      <c r="F33" s="198">
        <f t="shared" si="13"/>
        <v>20.551282051282051</v>
      </c>
      <c r="G33" s="198">
        <f t="shared" si="3"/>
        <v>16.441025641025643</v>
      </c>
      <c r="H33" s="198">
        <f t="shared" si="4"/>
        <v>10.275641025641026</v>
      </c>
      <c r="I33" s="198">
        <f t="shared" si="16"/>
        <v>8</v>
      </c>
      <c r="J33" s="199">
        <f t="shared" si="16"/>
        <v>0</v>
      </c>
      <c r="K33" s="194" t="str">
        <f>D33&amp;-11</f>
        <v>7.8-11</v>
      </c>
      <c r="L33" s="198">
        <f t="shared" si="17"/>
        <v>0.2</v>
      </c>
      <c r="M33" s="49">
        <v>60</v>
      </c>
      <c r="N33" s="198">
        <f t="shared" si="15"/>
        <v>150</v>
      </c>
      <c r="O33" s="198">
        <f t="shared" si="15"/>
        <v>155</v>
      </c>
      <c r="P33" s="198">
        <f t="shared" si="15"/>
        <v>165</v>
      </c>
      <c r="Q33" s="196" t="str">
        <f t="shared" si="14"/>
        <v>\\172.20.0.4\fs04\XW\V4\loop1\inputs\ex_controller\3_phase_n.txt</v>
      </c>
    </row>
    <row r="34" spans="1:17" x14ac:dyDescent="0.25">
      <c r="A34" s="195">
        <f t="shared" si="18"/>
        <v>2424</v>
      </c>
      <c r="B34" s="196">
        <f t="shared" si="18"/>
        <v>24</v>
      </c>
      <c r="C34" s="229" t="str">
        <f t="shared" si="0"/>
        <v>22dB08+000_090_12</v>
      </c>
      <c r="D34" s="197">
        <f t="shared" si="1"/>
        <v>7.8000000000000007</v>
      </c>
      <c r="E34" s="204">
        <f t="shared" si="12"/>
        <v>1.603</v>
      </c>
      <c r="F34" s="198">
        <f t="shared" si="13"/>
        <v>20.551282051282051</v>
      </c>
      <c r="G34" s="198">
        <f t="shared" si="3"/>
        <v>16.441025641025643</v>
      </c>
      <c r="H34" s="198">
        <f t="shared" si="4"/>
        <v>10.275641025641026</v>
      </c>
      <c r="I34" s="198">
        <f t="shared" si="16"/>
        <v>8</v>
      </c>
      <c r="J34" s="199">
        <f t="shared" si="16"/>
        <v>0</v>
      </c>
      <c r="K34" s="194" t="str">
        <f>D34&amp;-12</f>
        <v>7.8-12</v>
      </c>
      <c r="L34" s="198">
        <f t="shared" si="17"/>
        <v>0.2</v>
      </c>
      <c r="M34" s="49">
        <v>90</v>
      </c>
      <c r="N34" s="198">
        <f t="shared" si="15"/>
        <v>150</v>
      </c>
      <c r="O34" s="198">
        <f t="shared" si="15"/>
        <v>155</v>
      </c>
      <c r="P34" s="198">
        <f t="shared" si="15"/>
        <v>165</v>
      </c>
      <c r="Q34" s="196" t="str">
        <f t="shared" si="14"/>
        <v>\\172.20.0.4\fs04\XW\V4\loop1\inputs\ex_controller\3_phase_n.txt</v>
      </c>
    </row>
    <row r="35" spans="1:17" x14ac:dyDescent="0.25">
      <c r="A35" s="195">
        <f t="shared" si="18"/>
        <v>2425</v>
      </c>
      <c r="B35" s="196">
        <f t="shared" si="18"/>
        <v>25</v>
      </c>
      <c r="C35" s="229" t="str">
        <f t="shared" si="0"/>
        <v>22dA10+000_000_01</v>
      </c>
      <c r="D35" s="197">
        <f t="shared" ref="D35:D58" si="19">v_r</f>
        <v>9.8000000000000007</v>
      </c>
      <c r="E35" s="204">
        <f t="shared" si="12"/>
        <v>1.8130000000000002</v>
      </c>
      <c r="F35" s="198">
        <f t="shared" si="8"/>
        <v>18.5</v>
      </c>
      <c r="G35" s="198">
        <f t="shared" si="3"/>
        <v>14.8</v>
      </c>
      <c r="H35" s="198">
        <f t="shared" si="4"/>
        <v>9.25</v>
      </c>
      <c r="I35" s="198">
        <f t="shared" si="16"/>
        <v>8</v>
      </c>
      <c r="J35" s="199">
        <f t="shared" si="16"/>
        <v>0</v>
      </c>
      <c r="K35" s="194" t="str">
        <f>D35&amp;-1</f>
        <v>9.8-1</v>
      </c>
      <c r="L35" s="198">
        <f t="shared" si="17"/>
        <v>0.2</v>
      </c>
      <c r="M35" s="49">
        <v>0</v>
      </c>
      <c r="N35" s="198">
        <f>t_out_sc</f>
        <v>150</v>
      </c>
      <c r="O35" s="198">
        <f>t_sc</f>
        <v>155</v>
      </c>
      <c r="P35" s="198">
        <f>t_sim_sc</f>
        <v>165</v>
      </c>
      <c r="Q35" s="196" t="str">
        <f t="shared" ref="Q35" si="20">path_sc2</f>
        <v>\\172.20.0.4\fs04\XW\V4\loop1\inputs\ex_controller\2_phase_n.txt</v>
      </c>
    </row>
    <row r="36" spans="1:17" x14ac:dyDescent="0.25">
      <c r="A36" s="195">
        <f t="shared" si="18"/>
        <v>2426</v>
      </c>
      <c r="B36" s="196">
        <f t="shared" si="18"/>
        <v>26</v>
      </c>
      <c r="C36" s="229" t="str">
        <f t="shared" si="0"/>
        <v>22dA10+000_030_02</v>
      </c>
      <c r="D36" s="197">
        <f t="shared" si="19"/>
        <v>9.8000000000000007</v>
      </c>
      <c r="E36" s="204">
        <f t="shared" si="12"/>
        <v>1.8130000000000002</v>
      </c>
      <c r="F36" s="198">
        <f t="shared" si="8"/>
        <v>18.5</v>
      </c>
      <c r="G36" s="198">
        <f t="shared" si="3"/>
        <v>14.8</v>
      </c>
      <c r="H36" s="198">
        <f t="shared" si="4"/>
        <v>9.25</v>
      </c>
      <c r="I36" s="198">
        <f t="shared" si="16"/>
        <v>8</v>
      </c>
      <c r="J36" s="199">
        <f t="shared" si="16"/>
        <v>0</v>
      </c>
      <c r="K36" s="194" t="str">
        <f>D36&amp;-2</f>
        <v>9.8-2</v>
      </c>
      <c r="L36" s="198">
        <f t="shared" si="17"/>
        <v>0.2</v>
      </c>
      <c r="M36" s="49">
        <v>30</v>
      </c>
      <c r="N36" s="198">
        <f t="shared" ref="N36:P51" si="21">N35</f>
        <v>150</v>
      </c>
      <c r="O36" s="198">
        <f t="shared" si="21"/>
        <v>155</v>
      </c>
      <c r="P36" s="198">
        <f t="shared" si="21"/>
        <v>165</v>
      </c>
      <c r="Q36" s="196" t="str">
        <f>Q35</f>
        <v>\\172.20.0.4\fs04\XW\V4\loop1\inputs\ex_controller\2_phase_n.txt</v>
      </c>
    </row>
    <row r="37" spans="1:17" x14ac:dyDescent="0.25">
      <c r="A37" s="195">
        <f t="shared" si="18"/>
        <v>2427</v>
      </c>
      <c r="B37" s="196">
        <f t="shared" si="18"/>
        <v>27</v>
      </c>
      <c r="C37" s="229" t="str">
        <f t="shared" si="0"/>
        <v>22dA10+000_060_03</v>
      </c>
      <c r="D37" s="197">
        <f t="shared" si="19"/>
        <v>9.8000000000000007</v>
      </c>
      <c r="E37" s="204">
        <f t="shared" si="12"/>
        <v>1.8130000000000002</v>
      </c>
      <c r="F37" s="198">
        <f t="shared" si="8"/>
        <v>18.5</v>
      </c>
      <c r="G37" s="198">
        <f t="shared" si="3"/>
        <v>14.8</v>
      </c>
      <c r="H37" s="198">
        <f t="shared" si="4"/>
        <v>9.25</v>
      </c>
      <c r="I37" s="198">
        <f t="shared" si="16"/>
        <v>8</v>
      </c>
      <c r="J37" s="199">
        <f t="shared" si="16"/>
        <v>0</v>
      </c>
      <c r="K37" s="194" t="str">
        <f>D37&amp;-3</f>
        <v>9.8-3</v>
      </c>
      <c r="L37" s="198">
        <f t="shared" si="17"/>
        <v>0.2</v>
      </c>
      <c r="M37" s="49">
        <v>60</v>
      </c>
      <c r="N37" s="198">
        <f t="shared" si="21"/>
        <v>150</v>
      </c>
      <c r="O37" s="198">
        <f t="shared" si="21"/>
        <v>155</v>
      </c>
      <c r="P37" s="198">
        <f t="shared" si="21"/>
        <v>165</v>
      </c>
      <c r="Q37" s="196" t="str">
        <f t="shared" ref="Q37:Q46" si="22">Q36</f>
        <v>\\172.20.0.4\fs04\XW\V4\loop1\inputs\ex_controller\2_phase_n.txt</v>
      </c>
    </row>
    <row r="38" spans="1:17" x14ac:dyDescent="0.25">
      <c r="A38" s="195">
        <f t="shared" si="18"/>
        <v>2428</v>
      </c>
      <c r="B38" s="196">
        <f t="shared" si="18"/>
        <v>28</v>
      </c>
      <c r="C38" s="229" t="str">
        <f t="shared" si="0"/>
        <v>22dA10+000_090_04</v>
      </c>
      <c r="D38" s="197">
        <f t="shared" si="19"/>
        <v>9.8000000000000007</v>
      </c>
      <c r="E38" s="204">
        <f t="shared" si="12"/>
        <v>1.8130000000000002</v>
      </c>
      <c r="F38" s="198">
        <f t="shared" si="8"/>
        <v>18.5</v>
      </c>
      <c r="G38" s="198">
        <f t="shared" si="3"/>
        <v>14.8</v>
      </c>
      <c r="H38" s="198">
        <f t="shared" si="4"/>
        <v>9.25</v>
      </c>
      <c r="I38" s="198">
        <f t="shared" si="16"/>
        <v>8</v>
      </c>
      <c r="J38" s="199">
        <f t="shared" si="16"/>
        <v>0</v>
      </c>
      <c r="K38" s="194" t="str">
        <f>D38&amp;-4</f>
        <v>9.8-4</v>
      </c>
      <c r="L38" s="198">
        <f t="shared" si="17"/>
        <v>0.2</v>
      </c>
      <c r="M38" s="49">
        <v>90</v>
      </c>
      <c r="N38" s="198">
        <f t="shared" si="21"/>
        <v>150</v>
      </c>
      <c r="O38" s="198">
        <f t="shared" si="21"/>
        <v>155</v>
      </c>
      <c r="P38" s="198">
        <f t="shared" si="21"/>
        <v>165</v>
      </c>
      <c r="Q38" s="196" t="str">
        <f t="shared" si="22"/>
        <v>\\172.20.0.4\fs04\XW\V4\loop1\inputs\ex_controller\2_phase_n.txt</v>
      </c>
    </row>
    <row r="39" spans="1:17" x14ac:dyDescent="0.25">
      <c r="A39" s="195">
        <f t="shared" si="18"/>
        <v>2429</v>
      </c>
      <c r="B39" s="196">
        <f t="shared" si="18"/>
        <v>29</v>
      </c>
      <c r="C39" s="229" t="str">
        <f t="shared" si="0"/>
        <v>22dA10+000_000_05</v>
      </c>
      <c r="D39" s="197">
        <f t="shared" si="19"/>
        <v>9.8000000000000007</v>
      </c>
      <c r="E39" s="204">
        <f t="shared" si="12"/>
        <v>1.8130000000000002</v>
      </c>
      <c r="F39" s="198">
        <f t="shared" si="8"/>
        <v>18.5</v>
      </c>
      <c r="G39" s="198">
        <f t="shared" si="3"/>
        <v>14.8</v>
      </c>
      <c r="H39" s="198">
        <f t="shared" si="4"/>
        <v>9.25</v>
      </c>
      <c r="I39" s="198">
        <f t="shared" si="16"/>
        <v>8</v>
      </c>
      <c r="J39" s="199">
        <f t="shared" si="16"/>
        <v>0</v>
      </c>
      <c r="K39" s="194" t="str">
        <f>D39&amp;-5</f>
        <v>9.8-5</v>
      </c>
      <c r="L39" s="198">
        <f t="shared" si="17"/>
        <v>0.2</v>
      </c>
      <c r="M39" s="49">
        <v>0</v>
      </c>
      <c r="N39" s="198">
        <f t="shared" si="21"/>
        <v>150</v>
      </c>
      <c r="O39" s="198">
        <f t="shared" si="21"/>
        <v>155</v>
      </c>
      <c r="P39" s="198">
        <f t="shared" si="21"/>
        <v>165</v>
      </c>
      <c r="Q39" s="196" t="str">
        <f t="shared" si="22"/>
        <v>\\172.20.0.4\fs04\XW\V4\loop1\inputs\ex_controller\2_phase_n.txt</v>
      </c>
    </row>
    <row r="40" spans="1:17" x14ac:dyDescent="0.25">
      <c r="A40" s="195">
        <f t="shared" si="18"/>
        <v>2430</v>
      </c>
      <c r="B40" s="196">
        <f t="shared" si="18"/>
        <v>30</v>
      </c>
      <c r="C40" s="229" t="str">
        <f t="shared" si="0"/>
        <v>22dA10+000_030_06</v>
      </c>
      <c r="D40" s="197">
        <f t="shared" si="19"/>
        <v>9.8000000000000007</v>
      </c>
      <c r="E40" s="204">
        <f t="shared" si="12"/>
        <v>1.8130000000000002</v>
      </c>
      <c r="F40" s="198">
        <f t="shared" si="8"/>
        <v>18.5</v>
      </c>
      <c r="G40" s="198">
        <f t="shared" si="3"/>
        <v>14.8</v>
      </c>
      <c r="H40" s="198">
        <f t="shared" si="4"/>
        <v>9.25</v>
      </c>
      <c r="I40" s="198">
        <f t="shared" si="16"/>
        <v>8</v>
      </c>
      <c r="J40" s="199">
        <f t="shared" si="16"/>
        <v>0</v>
      </c>
      <c r="K40" s="194" t="str">
        <f>D40&amp;-6</f>
        <v>9.8-6</v>
      </c>
      <c r="L40" s="198">
        <f t="shared" si="17"/>
        <v>0.2</v>
      </c>
      <c r="M40" s="49">
        <v>30</v>
      </c>
      <c r="N40" s="198">
        <f t="shared" si="21"/>
        <v>150</v>
      </c>
      <c r="O40" s="198">
        <f t="shared" si="21"/>
        <v>155</v>
      </c>
      <c r="P40" s="198">
        <f t="shared" si="21"/>
        <v>165</v>
      </c>
      <c r="Q40" s="196" t="str">
        <f t="shared" si="22"/>
        <v>\\172.20.0.4\fs04\XW\V4\loop1\inputs\ex_controller\2_phase_n.txt</v>
      </c>
    </row>
    <row r="41" spans="1:17" x14ac:dyDescent="0.25">
      <c r="A41" s="195">
        <f t="shared" si="18"/>
        <v>2431</v>
      </c>
      <c r="B41" s="196">
        <f t="shared" si="18"/>
        <v>31</v>
      </c>
      <c r="C41" s="229" t="str">
        <f t="shared" si="0"/>
        <v>22dA10+000_060_07</v>
      </c>
      <c r="D41" s="197">
        <f t="shared" si="19"/>
        <v>9.8000000000000007</v>
      </c>
      <c r="E41" s="204">
        <f t="shared" si="12"/>
        <v>1.8130000000000002</v>
      </c>
      <c r="F41" s="198">
        <f t="shared" si="8"/>
        <v>18.5</v>
      </c>
      <c r="G41" s="198">
        <f t="shared" si="3"/>
        <v>14.8</v>
      </c>
      <c r="H41" s="198">
        <f t="shared" si="4"/>
        <v>9.25</v>
      </c>
      <c r="I41" s="198">
        <f t="shared" si="16"/>
        <v>8</v>
      </c>
      <c r="J41" s="199">
        <f t="shared" si="16"/>
        <v>0</v>
      </c>
      <c r="K41" s="194" t="str">
        <f>D41&amp;-7</f>
        <v>9.8-7</v>
      </c>
      <c r="L41" s="198">
        <f t="shared" si="17"/>
        <v>0.2</v>
      </c>
      <c r="M41" s="49">
        <v>60</v>
      </c>
      <c r="N41" s="198">
        <f t="shared" si="21"/>
        <v>150</v>
      </c>
      <c r="O41" s="198">
        <f t="shared" si="21"/>
        <v>155</v>
      </c>
      <c r="P41" s="198">
        <f t="shared" si="21"/>
        <v>165</v>
      </c>
      <c r="Q41" s="196" t="str">
        <f t="shared" si="22"/>
        <v>\\172.20.0.4\fs04\XW\V4\loop1\inputs\ex_controller\2_phase_n.txt</v>
      </c>
    </row>
    <row r="42" spans="1:17" x14ac:dyDescent="0.25">
      <c r="A42" s="195">
        <f t="shared" si="18"/>
        <v>2432</v>
      </c>
      <c r="B42" s="196">
        <f t="shared" si="18"/>
        <v>32</v>
      </c>
      <c r="C42" s="229" t="str">
        <f t="shared" si="0"/>
        <v>22dA10+000_090_08</v>
      </c>
      <c r="D42" s="197">
        <f t="shared" si="19"/>
        <v>9.8000000000000007</v>
      </c>
      <c r="E42" s="204">
        <f t="shared" si="12"/>
        <v>1.8130000000000002</v>
      </c>
      <c r="F42" s="198">
        <f t="shared" si="8"/>
        <v>18.5</v>
      </c>
      <c r="G42" s="198">
        <f t="shared" si="3"/>
        <v>14.8</v>
      </c>
      <c r="H42" s="198">
        <f t="shared" si="4"/>
        <v>9.25</v>
      </c>
      <c r="I42" s="198">
        <f t="shared" si="16"/>
        <v>8</v>
      </c>
      <c r="J42" s="199">
        <f t="shared" si="16"/>
        <v>0</v>
      </c>
      <c r="K42" s="194" t="str">
        <f>D42&amp;-8</f>
        <v>9.8-8</v>
      </c>
      <c r="L42" s="198">
        <f t="shared" si="17"/>
        <v>0.2</v>
      </c>
      <c r="M42" s="49">
        <v>90</v>
      </c>
      <c r="N42" s="198">
        <f t="shared" si="21"/>
        <v>150</v>
      </c>
      <c r="O42" s="198">
        <f t="shared" si="21"/>
        <v>155</v>
      </c>
      <c r="P42" s="198">
        <f t="shared" si="21"/>
        <v>165</v>
      </c>
      <c r="Q42" s="196" t="str">
        <f t="shared" si="22"/>
        <v>\\172.20.0.4\fs04\XW\V4\loop1\inputs\ex_controller\2_phase_n.txt</v>
      </c>
    </row>
    <row r="43" spans="1:17" x14ac:dyDescent="0.25">
      <c r="A43" s="195">
        <f t="shared" si="18"/>
        <v>2433</v>
      </c>
      <c r="B43" s="196">
        <f t="shared" si="18"/>
        <v>33</v>
      </c>
      <c r="C43" s="229" t="str">
        <f t="shared" ref="C43:C74" si="23">TEXT(RIGHT($B$2,LEN($B$2)-3),"000")&amp;IF(Q43=path_sc2,"A","B")&amp;TEXT(D43,"00")&amp;"+"&amp;IF(J43&lt;0,TEXT(360+J43,"000"),TEXT(J43,"000"))&amp;"_"&amp;TEXT(M43,"000")&amp;"_"&amp;TEXT(RIGHT(K43,LEN(K43)-FIND("-",K43)),"00")</f>
        <v>22dA10+000_000_09</v>
      </c>
      <c r="D43" s="197">
        <f t="shared" si="19"/>
        <v>9.8000000000000007</v>
      </c>
      <c r="E43" s="204">
        <f t="shared" si="12"/>
        <v>1.8130000000000002</v>
      </c>
      <c r="F43" s="198">
        <f t="shared" si="8"/>
        <v>18.5</v>
      </c>
      <c r="G43" s="198">
        <f t="shared" si="3"/>
        <v>14.8</v>
      </c>
      <c r="H43" s="198">
        <f t="shared" si="4"/>
        <v>9.25</v>
      </c>
      <c r="I43" s="198">
        <f t="shared" si="16"/>
        <v>8</v>
      </c>
      <c r="J43" s="199">
        <f t="shared" si="16"/>
        <v>0</v>
      </c>
      <c r="K43" s="194" t="str">
        <f>D43&amp;-9</f>
        <v>9.8-9</v>
      </c>
      <c r="L43" s="198">
        <f t="shared" si="17"/>
        <v>0.2</v>
      </c>
      <c r="M43" s="49">
        <v>0</v>
      </c>
      <c r="N43" s="198">
        <f t="shared" si="21"/>
        <v>150</v>
      </c>
      <c r="O43" s="198">
        <f t="shared" si="21"/>
        <v>155</v>
      </c>
      <c r="P43" s="198">
        <f t="shared" si="21"/>
        <v>165</v>
      </c>
      <c r="Q43" s="196" t="str">
        <f t="shared" si="22"/>
        <v>\\172.20.0.4\fs04\XW\V4\loop1\inputs\ex_controller\2_phase_n.txt</v>
      </c>
    </row>
    <row r="44" spans="1:17" x14ac:dyDescent="0.25">
      <c r="A44" s="195">
        <f t="shared" si="18"/>
        <v>2434</v>
      </c>
      <c r="B44" s="196">
        <f t="shared" si="18"/>
        <v>34</v>
      </c>
      <c r="C44" s="229" t="str">
        <f t="shared" si="23"/>
        <v>22dA10+000_030_10</v>
      </c>
      <c r="D44" s="197">
        <f t="shared" si="19"/>
        <v>9.8000000000000007</v>
      </c>
      <c r="E44" s="204">
        <f t="shared" si="12"/>
        <v>1.8130000000000002</v>
      </c>
      <c r="F44" s="198">
        <f t="shared" si="8"/>
        <v>18.5</v>
      </c>
      <c r="G44" s="198">
        <f t="shared" si="3"/>
        <v>14.8</v>
      </c>
      <c r="H44" s="198">
        <f t="shared" si="4"/>
        <v>9.25</v>
      </c>
      <c r="I44" s="198">
        <f t="shared" si="16"/>
        <v>8</v>
      </c>
      <c r="J44" s="199">
        <f t="shared" si="16"/>
        <v>0</v>
      </c>
      <c r="K44" s="194" t="str">
        <f>D44&amp;-10</f>
        <v>9.8-10</v>
      </c>
      <c r="L44" s="198">
        <f t="shared" si="17"/>
        <v>0.2</v>
      </c>
      <c r="M44" s="49">
        <v>30</v>
      </c>
      <c r="N44" s="198">
        <f t="shared" si="21"/>
        <v>150</v>
      </c>
      <c r="O44" s="198">
        <f t="shared" si="21"/>
        <v>155</v>
      </c>
      <c r="P44" s="198">
        <f t="shared" si="21"/>
        <v>165</v>
      </c>
      <c r="Q44" s="196" t="str">
        <f t="shared" si="22"/>
        <v>\\172.20.0.4\fs04\XW\V4\loop1\inputs\ex_controller\2_phase_n.txt</v>
      </c>
    </row>
    <row r="45" spans="1:17" x14ac:dyDescent="0.25">
      <c r="A45" s="195">
        <f t="shared" si="18"/>
        <v>2435</v>
      </c>
      <c r="B45" s="196">
        <f t="shared" si="18"/>
        <v>35</v>
      </c>
      <c r="C45" s="229" t="str">
        <f t="shared" si="23"/>
        <v>22dA10+000_060_11</v>
      </c>
      <c r="D45" s="197">
        <f t="shared" si="19"/>
        <v>9.8000000000000007</v>
      </c>
      <c r="E45" s="204">
        <f t="shared" si="12"/>
        <v>1.8130000000000002</v>
      </c>
      <c r="F45" s="198">
        <f t="shared" si="8"/>
        <v>18.5</v>
      </c>
      <c r="G45" s="198">
        <f t="shared" si="3"/>
        <v>14.8</v>
      </c>
      <c r="H45" s="198">
        <f t="shared" si="4"/>
        <v>9.25</v>
      </c>
      <c r="I45" s="198">
        <f t="shared" ref="I45:J60" si="24">I44</f>
        <v>8</v>
      </c>
      <c r="J45" s="199">
        <f t="shared" si="24"/>
        <v>0</v>
      </c>
      <c r="K45" s="194" t="str">
        <f>D45&amp;-11</f>
        <v>9.8-11</v>
      </c>
      <c r="L45" s="198">
        <f t="shared" si="17"/>
        <v>0.2</v>
      </c>
      <c r="M45" s="49">
        <v>60</v>
      </c>
      <c r="N45" s="198">
        <f t="shared" si="21"/>
        <v>150</v>
      </c>
      <c r="O45" s="198">
        <f t="shared" si="21"/>
        <v>155</v>
      </c>
      <c r="P45" s="198">
        <f t="shared" si="21"/>
        <v>165</v>
      </c>
      <c r="Q45" s="196" t="str">
        <f t="shared" si="22"/>
        <v>\\172.20.0.4\fs04\XW\V4\loop1\inputs\ex_controller\2_phase_n.txt</v>
      </c>
    </row>
    <row r="46" spans="1:17" x14ac:dyDescent="0.25">
      <c r="A46" s="195">
        <f t="shared" si="18"/>
        <v>2436</v>
      </c>
      <c r="B46" s="196">
        <f t="shared" si="18"/>
        <v>36</v>
      </c>
      <c r="C46" s="229" t="str">
        <f t="shared" si="23"/>
        <v>22dA10+000_090_12</v>
      </c>
      <c r="D46" s="197">
        <f t="shared" si="19"/>
        <v>9.8000000000000007</v>
      </c>
      <c r="E46" s="204">
        <f t="shared" si="12"/>
        <v>1.8130000000000002</v>
      </c>
      <c r="F46" s="198">
        <f t="shared" si="8"/>
        <v>18.5</v>
      </c>
      <c r="G46" s="198">
        <f t="shared" si="3"/>
        <v>14.8</v>
      </c>
      <c r="H46" s="198">
        <f t="shared" si="4"/>
        <v>9.25</v>
      </c>
      <c r="I46" s="198">
        <f t="shared" si="24"/>
        <v>8</v>
      </c>
      <c r="J46" s="199">
        <f t="shared" si="24"/>
        <v>0</v>
      </c>
      <c r="K46" s="194" t="str">
        <f>D46&amp;-12</f>
        <v>9.8-12</v>
      </c>
      <c r="L46" s="198">
        <f t="shared" si="17"/>
        <v>0.2</v>
      </c>
      <c r="M46" s="49">
        <v>90</v>
      </c>
      <c r="N46" s="198">
        <f t="shared" si="21"/>
        <v>150</v>
      </c>
      <c r="O46" s="198">
        <f t="shared" si="21"/>
        <v>155</v>
      </c>
      <c r="P46" s="198">
        <f t="shared" si="21"/>
        <v>165</v>
      </c>
      <c r="Q46" s="196" t="str">
        <f t="shared" si="22"/>
        <v>\\172.20.0.4\fs04\XW\V4\loop1\inputs\ex_controller\2_phase_n.txt</v>
      </c>
    </row>
    <row r="47" spans="1:17" x14ac:dyDescent="0.25">
      <c r="A47" s="195">
        <f t="shared" si="18"/>
        <v>2437</v>
      </c>
      <c r="B47" s="196">
        <f t="shared" si="18"/>
        <v>37</v>
      </c>
      <c r="C47" s="229" t="str">
        <f t="shared" si="23"/>
        <v>22dB10+000_000_01</v>
      </c>
      <c r="D47" s="197">
        <f t="shared" si="19"/>
        <v>9.8000000000000007</v>
      </c>
      <c r="E47" s="204">
        <f t="shared" si="12"/>
        <v>1.8130000000000002</v>
      </c>
      <c r="F47" s="198">
        <f t="shared" si="8"/>
        <v>18.5</v>
      </c>
      <c r="G47" s="198">
        <f t="shared" si="3"/>
        <v>14.8</v>
      </c>
      <c r="H47" s="198">
        <f t="shared" si="4"/>
        <v>9.25</v>
      </c>
      <c r="I47" s="198">
        <f t="shared" si="24"/>
        <v>8</v>
      </c>
      <c r="J47" s="199">
        <f t="shared" si="24"/>
        <v>0</v>
      </c>
      <c r="K47" s="194" t="str">
        <f>D47&amp;-1</f>
        <v>9.8-1</v>
      </c>
      <c r="L47" s="198">
        <f t="shared" si="17"/>
        <v>0.2</v>
      </c>
      <c r="M47" s="49">
        <v>0</v>
      </c>
      <c r="N47" s="198">
        <f t="shared" si="21"/>
        <v>150</v>
      </c>
      <c r="O47" s="198">
        <f t="shared" si="21"/>
        <v>155</v>
      </c>
      <c r="P47" s="198">
        <f t="shared" si="21"/>
        <v>165</v>
      </c>
      <c r="Q47" s="196" t="str">
        <f>path_sc3</f>
        <v>\\172.20.0.4\fs04\XW\V4\loop1\inputs\ex_controller\3_phase_n.txt</v>
      </c>
    </row>
    <row r="48" spans="1:17" x14ac:dyDescent="0.25">
      <c r="A48" s="195">
        <f t="shared" si="18"/>
        <v>2438</v>
      </c>
      <c r="B48" s="196">
        <f t="shared" si="18"/>
        <v>38</v>
      </c>
      <c r="C48" s="229" t="str">
        <f t="shared" si="23"/>
        <v>22dB10+000_030_02</v>
      </c>
      <c r="D48" s="197">
        <f t="shared" si="19"/>
        <v>9.8000000000000007</v>
      </c>
      <c r="E48" s="204">
        <f t="shared" si="12"/>
        <v>1.8130000000000002</v>
      </c>
      <c r="F48" s="198">
        <f t="shared" si="8"/>
        <v>18.5</v>
      </c>
      <c r="G48" s="198">
        <f t="shared" si="3"/>
        <v>14.8</v>
      </c>
      <c r="H48" s="198">
        <f t="shared" si="4"/>
        <v>9.25</v>
      </c>
      <c r="I48" s="198">
        <f t="shared" si="24"/>
        <v>8</v>
      </c>
      <c r="J48" s="199">
        <f t="shared" si="24"/>
        <v>0</v>
      </c>
      <c r="K48" s="194" t="str">
        <f>D48&amp;-2</f>
        <v>9.8-2</v>
      </c>
      <c r="L48" s="198">
        <f t="shared" ref="L48:L63" si="25">L47</f>
        <v>0.2</v>
      </c>
      <c r="M48" s="49">
        <v>30</v>
      </c>
      <c r="N48" s="198">
        <f t="shared" si="21"/>
        <v>150</v>
      </c>
      <c r="O48" s="198">
        <f t="shared" si="21"/>
        <v>155</v>
      </c>
      <c r="P48" s="198">
        <f t="shared" si="21"/>
        <v>165</v>
      </c>
      <c r="Q48" s="196" t="str">
        <f>Q47</f>
        <v>\\172.20.0.4\fs04\XW\V4\loop1\inputs\ex_controller\3_phase_n.txt</v>
      </c>
    </row>
    <row r="49" spans="1:17" x14ac:dyDescent="0.25">
      <c r="A49" s="195">
        <f t="shared" ref="A49:B64" si="26">A48+1</f>
        <v>2439</v>
      </c>
      <c r="B49" s="196">
        <f t="shared" si="26"/>
        <v>39</v>
      </c>
      <c r="C49" s="229" t="str">
        <f t="shared" si="23"/>
        <v>22dB10+000_060_03</v>
      </c>
      <c r="D49" s="197">
        <f t="shared" si="19"/>
        <v>9.8000000000000007</v>
      </c>
      <c r="E49" s="204">
        <f t="shared" si="12"/>
        <v>1.8130000000000002</v>
      </c>
      <c r="F49" s="198">
        <f t="shared" si="8"/>
        <v>18.5</v>
      </c>
      <c r="G49" s="198">
        <f t="shared" si="3"/>
        <v>14.8</v>
      </c>
      <c r="H49" s="198">
        <f t="shared" si="4"/>
        <v>9.25</v>
      </c>
      <c r="I49" s="198">
        <f t="shared" si="24"/>
        <v>8</v>
      </c>
      <c r="J49" s="199">
        <f t="shared" si="24"/>
        <v>0</v>
      </c>
      <c r="K49" s="194" t="str">
        <f>D49&amp;-3</f>
        <v>9.8-3</v>
      </c>
      <c r="L49" s="198">
        <f t="shared" si="25"/>
        <v>0.2</v>
      </c>
      <c r="M49" s="49">
        <v>60</v>
      </c>
      <c r="N49" s="198">
        <f t="shared" si="21"/>
        <v>150</v>
      </c>
      <c r="O49" s="198">
        <f t="shared" si="21"/>
        <v>155</v>
      </c>
      <c r="P49" s="198">
        <f t="shared" si="21"/>
        <v>165</v>
      </c>
      <c r="Q49" s="196" t="str">
        <f t="shared" ref="Q49:Q58" si="27">Q48</f>
        <v>\\172.20.0.4\fs04\XW\V4\loop1\inputs\ex_controller\3_phase_n.txt</v>
      </c>
    </row>
    <row r="50" spans="1:17" x14ac:dyDescent="0.25">
      <c r="A50" s="195">
        <f t="shared" si="26"/>
        <v>2440</v>
      </c>
      <c r="B50" s="196">
        <f t="shared" si="26"/>
        <v>40</v>
      </c>
      <c r="C50" s="229" t="str">
        <f t="shared" si="23"/>
        <v>22dB10+000_090_04</v>
      </c>
      <c r="D50" s="197">
        <f t="shared" si="19"/>
        <v>9.8000000000000007</v>
      </c>
      <c r="E50" s="204">
        <f t="shared" si="12"/>
        <v>1.8130000000000002</v>
      </c>
      <c r="F50" s="198">
        <f t="shared" si="8"/>
        <v>18.5</v>
      </c>
      <c r="G50" s="198">
        <f t="shared" si="3"/>
        <v>14.8</v>
      </c>
      <c r="H50" s="198">
        <f t="shared" si="4"/>
        <v>9.25</v>
      </c>
      <c r="I50" s="198">
        <f t="shared" si="24"/>
        <v>8</v>
      </c>
      <c r="J50" s="199">
        <f t="shared" si="24"/>
        <v>0</v>
      </c>
      <c r="K50" s="194" t="str">
        <f>D50&amp;-4</f>
        <v>9.8-4</v>
      </c>
      <c r="L50" s="198">
        <f t="shared" si="25"/>
        <v>0.2</v>
      </c>
      <c r="M50" s="49">
        <v>90</v>
      </c>
      <c r="N50" s="198">
        <f t="shared" si="21"/>
        <v>150</v>
      </c>
      <c r="O50" s="198">
        <f t="shared" si="21"/>
        <v>155</v>
      </c>
      <c r="P50" s="198">
        <f t="shared" si="21"/>
        <v>165</v>
      </c>
      <c r="Q50" s="196" t="str">
        <f t="shared" si="27"/>
        <v>\\172.20.0.4\fs04\XW\V4\loop1\inputs\ex_controller\3_phase_n.txt</v>
      </c>
    </row>
    <row r="51" spans="1:17" x14ac:dyDescent="0.25">
      <c r="A51" s="195">
        <f t="shared" si="26"/>
        <v>2441</v>
      </c>
      <c r="B51" s="196">
        <f t="shared" si="26"/>
        <v>41</v>
      </c>
      <c r="C51" s="229" t="str">
        <f t="shared" si="23"/>
        <v>22dB10+000_000_05</v>
      </c>
      <c r="D51" s="197">
        <f t="shared" si="19"/>
        <v>9.8000000000000007</v>
      </c>
      <c r="E51" s="204">
        <f t="shared" si="12"/>
        <v>1.8130000000000002</v>
      </c>
      <c r="F51" s="198">
        <f t="shared" si="8"/>
        <v>18.5</v>
      </c>
      <c r="G51" s="198">
        <f t="shared" ref="G51:G106" si="28">m_ty*F51</f>
        <v>14.8</v>
      </c>
      <c r="H51" s="198">
        <f t="shared" ref="H51:H106" si="29">m_tz*F51</f>
        <v>9.25</v>
      </c>
      <c r="I51" s="198">
        <f t="shared" si="24"/>
        <v>8</v>
      </c>
      <c r="J51" s="199">
        <f t="shared" si="24"/>
        <v>0</v>
      </c>
      <c r="K51" s="194" t="str">
        <f>D51&amp;-5</f>
        <v>9.8-5</v>
      </c>
      <c r="L51" s="198">
        <f t="shared" si="25"/>
        <v>0.2</v>
      </c>
      <c r="M51" s="49">
        <v>0</v>
      </c>
      <c r="N51" s="198">
        <f t="shared" si="21"/>
        <v>150</v>
      </c>
      <c r="O51" s="198">
        <f t="shared" si="21"/>
        <v>155</v>
      </c>
      <c r="P51" s="198">
        <f t="shared" si="21"/>
        <v>165</v>
      </c>
      <c r="Q51" s="196" t="str">
        <f t="shared" si="27"/>
        <v>\\172.20.0.4\fs04\XW\V4\loop1\inputs\ex_controller\3_phase_n.txt</v>
      </c>
    </row>
    <row r="52" spans="1:17" x14ac:dyDescent="0.25">
      <c r="A52" s="195">
        <f t="shared" si="26"/>
        <v>2442</v>
      </c>
      <c r="B52" s="196">
        <f t="shared" si="26"/>
        <v>42</v>
      </c>
      <c r="C52" s="229" t="str">
        <f t="shared" si="23"/>
        <v>22dB10+000_030_06</v>
      </c>
      <c r="D52" s="197">
        <f t="shared" si="19"/>
        <v>9.8000000000000007</v>
      </c>
      <c r="E52" s="204">
        <f t="shared" si="12"/>
        <v>1.8130000000000002</v>
      </c>
      <c r="F52" s="198">
        <f t="shared" si="8"/>
        <v>18.5</v>
      </c>
      <c r="G52" s="198">
        <f t="shared" si="28"/>
        <v>14.8</v>
      </c>
      <c r="H52" s="198">
        <f t="shared" si="29"/>
        <v>9.25</v>
      </c>
      <c r="I52" s="198">
        <f t="shared" si="24"/>
        <v>8</v>
      </c>
      <c r="J52" s="199">
        <f t="shared" si="24"/>
        <v>0</v>
      </c>
      <c r="K52" s="194" t="str">
        <f>D52&amp;-6</f>
        <v>9.8-6</v>
      </c>
      <c r="L52" s="198">
        <f t="shared" si="25"/>
        <v>0.2</v>
      </c>
      <c r="M52" s="49">
        <v>30</v>
      </c>
      <c r="N52" s="198">
        <f t="shared" ref="N52:P58" si="30">N51</f>
        <v>150</v>
      </c>
      <c r="O52" s="198">
        <f t="shared" si="30"/>
        <v>155</v>
      </c>
      <c r="P52" s="198">
        <f t="shared" si="30"/>
        <v>165</v>
      </c>
      <c r="Q52" s="196" t="str">
        <f t="shared" si="27"/>
        <v>\\172.20.0.4\fs04\XW\V4\loop1\inputs\ex_controller\3_phase_n.txt</v>
      </c>
    </row>
    <row r="53" spans="1:17" x14ac:dyDescent="0.25">
      <c r="A53" s="195">
        <f t="shared" si="26"/>
        <v>2443</v>
      </c>
      <c r="B53" s="196">
        <f t="shared" si="26"/>
        <v>43</v>
      </c>
      <c r="C53" s="229" t="str">
        <f t="shared" si="23"/>
        <v>22dB10+000_060_07</v>
      </c>
      <c r="D53" s="197">
        <f t="shared" si="19"/>
        <v>9.8000000000000007</v>
      </c>
      <c r="E53" s="204">
        <f t="shared" si="12"/>
        <v>1.8130000000000002</v>
      </c>
      <c r="F53" s="198">
        <f t="shared" si="8"/>
        <v>18.5</v>
      </c>
      <c r="G53" s="198">
        <f t="shared" si="28"/>
        <v>14.8</v>
      </c>
      <c r="H53" s="198">
        <f t="shared" si="29"/>
        <v>9.25</v>
      </c>
      <c r="I53" s="198">
        <f t="shared" si="24"/>
        <v>8</v>
      </c>
      <c r="J53" s="199">
        <f t="shared" si="24"/>
        <v>0</v>
      </c>
      <c r="K53" s="194" t="str">
        <f>D53&amp;-7</f>
        <v>9.8-7</v>
      </c>
      <c r="L53" s="198">
        <f t="shared" si="25"/>
        <v>0.2</v>
      </c>
      <c r="M53" s="49">
        <v>60</v>
      </c>
      <c r="N53" s="198">
        <f t="shared" si="30"/>
        <v>150</v>
      </c>
      <c r="O53" s="198">
        <f t="shared" si="30"/>
        <v>155</v>
      </c>
      <c r="P53" s="198">
        <f t="shared" si="30"/>
        <v>165</v>
      </c>
      <c r="Q53" s="196" t="str">
        <f t="shared" si="27"/>
        <v>\\172.20.0.4\fs04\XW\V4\loop1\inputs\ex_controller\3_phase_n.txt</v>
      </c>
    </row>
    <row r="54" spans="1:17" x14ac:dyDescent="0.25">
      <c r="A54" s="195">
        <f t="shared" si="26"/>
        <v>2444</v>
      </c>
      <c r="B54" s="196">
        <f t="shared" si="26"/>
        <v>44</v>
      </c>
      <c r="C54" s="229" t="str">
        <f t="shared" si="23"/>
        <v>22dB10+000_090_08</v>
      </c>
      <c r="D54" s="197">
        <f t="shared" si="19"/>
        <v>9.8000000000000007</v>
      </c>
      <c r="E54" s="204">
        <f t="shared" si="12"/>
        <v>1.8130000000000002</v>
      </c>
      <c r="F54" s="198">
        <f t="shared" si="8"/>
        <v>18.5</v>
      </c>
      <c r="G54" s="198">
        <f t="shared" si="28"/>
        <v>14.8</v>
      </c>
      <c r="H54" s="198">
        <f t="shared" si="29"/>
        <v>9.25</v>
      </c>
      <c r="I54" s="198">
        <f t="shared" si="24"/>
        <v>8</v>
      </c>
      <c r="J54" s="199">
        <f t="shared" si="24"/>
        <v>0</v>
      </c>
      <c r="K54" s="194" t="str">
        <f>D54&amp;-8</f>
        <v>9.8-8</v>
      </c>
      <c r="L54" s="198">
        <f t="shared" si="25"/>
        <v>0.2</v>
      </c>
      <c r="M54" s="49">
        <v>90</v>
      </c>
      <c r="N54" s="198">
        <f t="shared" si="30"/>
        <v>150</v>
      </c>
      <c r="O54" s="198">
        <f t="shared" si="30"/>
        <v>155</v>
      </c>
      <c r="P54" s="198">
        <f t="shared" si="30"/>
        <v>165</v>
      </c>
      <c r="Q54" s="196" t="str">
        <f t="shared" si="27"/>
        <v>\\172.20.0.4\fs04\XW\V4\loop1\inputs\ex_controller\3_phase_n.txt</v>
      </c>
    </row>
    <row r="55" spans="1:17" x14ac:dyDescent="0.25">
      <c r="A55" s="195">
        <f t="shared" si="26"/>
        <v>2445</v>
      </c>
      <c r="B55" s="196">
        <f t="shared" si="26"/>
        <v>45</v>
      </c>
      <c r="C55" s="229" t="str">
        <f t="shared" si="23"/>
        <v>22dB10+000_000_09</v>
      </c>
      <c r="D55" s="197">
        <f t="shared" si="19"/>
        <v>9.8000000000000007</v>
      </c>
      <c r="E55" s="204">
        <f t="shared" si="12"/>
        <v>1.8130000000000002</v>
      </c>
      <c r="F55" s="198">
        <f t="shared" si="8"/>
        <v>18.5</v>
      </c>
      <c r="G55" s="198">
        <f t="shared" si="28"/>
        <v>14.8</v>
      </c>
      <c r="H55" s="198">
        <f t="shared" si="29"/>
        <v>9.25</v>
      </c>
      <c r="I55" s="198">
        <f t="shared" si="24"/>
        <v>8</v>
      </c>
      <c r="J55" s="199">
        <f t="shared" si="24"/>
        <v>0</v>
      </c>
      <c r="K55" s="194" t="str">
        <f>D55&amp;-9</f>
        <v>9.8-9</v>
      </c>
      <c r="L55" s="198">
        <f t="shared" si="25"/>
        <v>0.2</v>
      </c>
      <c r="M55" s="49">
        <v>0</v>
      </c>
      <c r="N55" s="198">
        <f t="shared" si="30"/>
        <v>150</v>
      </c>
      <c r="O55" s="198">
        <f t="shared" si="30"/>
        <v>155</v>
      </c>
      <c r="P55" s="198">
        <f t="shared" si="30"/>
        <v>165</v>
      </c>
      <c r="Q55" s="196" t="str">
        <f t="shared" si="27"/>
        <v>\\172.20.0.4\fs04\XW\V4\loop1\inputs\ex_controller\3_phase_n.txt</v>
      </c>
    </row>
    <row r="56" spans="1:17" x14ac:dyDescent="0.25">
      <c r="A56" s="195">
        <f t="shared" si="26"/>
        <v>2446</v>
      </c>
      <c r="B56" s="196">
        <f t="shared" si="26"/>
        <v>46</v>
      </c>
      <c r="C56" s="229" t="str">
        <f t="shared" si="23"/>
        <v>22dB10+000_030_10</v>
      </c>
      <c r="D56" s="197">
        <f t="shared" si="19"/>
        <v>9.8000000000000007</v>
      </c>
      <c r="E56" s="204">
        <f t="shared" si="12"/>
        <v>1.8130000000000002</v>
      </c>
      <c r="F56" s="198">
        <f t="shared" si="8"/>
        <v>18.5</v>
      </c>
      <c r="G56" s="198">
        <f t="shared" si="28"/>
        <v>14.8</v>
      </c>
      <c r="H56" s="198">
        <f t="shared" si="29"/>
        <v>9.25</v>
      </c>
      <c r="I56" s="198">
        <f t="shared" si="24"/>
        <v>8</v>
      </c>
      <c r="J56" s="199">
        <f t="shared" si="24"/>
        <v>0</v>
      </c>
      <c r="K56" s="194" t="str">
        <f>D56&amp;-10</f>
        <v>9.8-10</v>
      </c>
      <c r="L56" s="198">
        <f t="shared" si="25"/>
        <v>0.2</v>
      </c>
      <c r="M56" s="49">
        <v>30</v>
      </c>
      <c r="N56" s="198">
        <f t="shared" si="30"/>
        <v>150</v>
      </c>
      <c r="O56" s="198">
        <f t="shared" si="30"/>
        <v>155</v>
      </c>
      <c r="P56" s="198">
        <f t="shared" si="30"/>
        <v>165</v>
      </c>
      <c r="Q56" s="196" t="str">
        <f t="shared" si="27"/>
        <v>\\172.20.0.4\fs04\XW\V4\loop1\inputs\ex_controller\3_phase_n.txt</v>
      </c>
    </row>
    <row r="57" spans="1:17" x14ac:dyDescent="0.25">
      <c r="A57" s="195">
        <f t="shared" si="26"/>
        <v>2447</v>
      </c>
      <c r="B57" s="196">
        <f t="shared" si="26"/>
        <v>47</v>
      </c>
      <c r="C57" s="229" t="str">
        <f t="shared" si="23"/>
        <v>22dB10+000_060_11</v>
      </c>
      <c r="D57" s="197">
        <f t="shared" si="19"/>
        <v>9.8000000000000007</v>
      </c>
      <c r="E57" s="204">
        <f t="shared" si="12"/>
        <v>1.8130000000000002</v>
      </c>
      <c r="F57" s="198">
        <f t="shared" si="8"/>
        <v>18.5</v>
      </c>
      <c r="G57" s="198">
        <f t="shared" si="28"/>
        <v>14.8</v>
      </c>
      <c r="H57" s="198">
        <f t="shared" si="29"/>
        <v>9.25</v>
      </c>
      <c r="I57" s="198">
        <f t="shared" si="24"/>
        <v>8</v>
      </c>
      <c r="J57" s="199">
        <f t="shared" si="24"/>
        <v>0</v>
      </c>
      <c r="K57" s="194" t="str">
        <f>D57&amp;-11</f>
        <v>9.8-11</v>
      </c>
      <c r="L57" s="198">
        <f t="shared" si="25"/>
        <v>0.2</v>
      </c>
      <c r="M57" s="49">
        <v>60</v>
      </c>
      <c r="N57" s="198">
        <f t="shared" si="30"/>
        <v>150</v>
      </c>
      <c r="O57" s="198">
        <f t="shared" si="30"/>
        <v>155</v>
      </c>
      <c r="P57" s="198">
        <f t="shared" si="30"/>
        <v>165</v>
      </c>
      <c r="Q57" s="196" t="str">
        <f t="shared" si="27"/>
        <v>\\172.20.0.4\fs04\XW\V4\loop1\inputs\ex_controller\3_phase_n.txt</v>
      </c>
    </row>
    <row r="58" spans="1:17" x14ac:dyDescent="0.25">
      <c r="A58" s="195">
        <f t="shared" si="26"/>
        <v>2448</v>
      </c>
      <c r="B58" s="196">
        <f t="shared" si="26"/>
        <v>48</v>
      </c>
      <c r="C58" s="229" t="str">
        <f t="shared" si="23"/>
        <v>22dB10+000_090_12</v>
      </c>
      <c r="D58" s="197">
        <f t="shared" si="19"/>
        <v>9.8000000000000007</v>
      </c>
      <c r="E58" s="204">
        <f t="shared" si="12"/>
        <v>1.8130000000000002</v>
      </c>
      <c r="F58" s="198">
        <f t="shared" si="8"/>
        <v>18.5</v>
      </c>
      <c r="G58" s="198">
        <f t="shared" si="28"/>
        <v>14.8</v>
      </c>
      <c r="H58" s="198">
        <f t="shared" si="29"/>
        <v>9.25</v>
      </c>
      <c r="I58" s="198">
        <f t="shared" si="24"/>
        <v>8</v>
      </c>
      <c r="J58" s="199">
        <f t="shared" si="24"/>
        <v>0</v>
      </c>
      <c r="K58" s="194" t="str">
        <f>D58&amp;-12</f>
        <v>9.8-12</v>
      </c>
      <c r="L58" s="198">
        <f t="shared" si="25"/>
        <v>0.2</v>
      </c>
      <c r="M58" s="49">
        <v>90</v>
      </c>
      <c r="N58" s="198">
        <f t="shared" si="30"/>
        <v>150</v>
      </c>
      <c r="O58" s="198">
        <f t="shared" si="30"/>
        <v>155</v>
      </c>
      <c r="P58" s="198">
        <f t="shared" si="30"/>
        <v>165</v>
      </c>
      <c r="Q58" s="196" t="str">
        <f t="shared" si="27"/>
        <v>\\172.20.0.4\fs04\XW\V4\loop1\inputs\ex_controller\3_phase_n.txt</v>
      </c>
    </row>
    <row r="59" spans="1:17" x14ac:dyDescent="0.25">
      <c r="A59" s="195">
        <f t="shared" si="26"/>
        <v>2449</v>
      </c>
      <c r="B59" s="196">
        <f t="shared" si="26"/>
        <v>49</v>
      </c>
      <c r="C59" s="229" t="str">
        <f t="shared" si="23"/>
        <v>22dA12+000_000_01</v>
      </c>
      <c r="D59" s="197">
        <f t="shared" ref="D59:D82" si="31">vr_a</f>
        <v>11.8</v>
      </c>
      <c r="E59" s="204">
        <f t="shared" si="12"/>
        <v>2.0230000000000001</v>
      </c>
      <c r="F59" s="198">
        <f t="shared" si="8"/>
        <v>17.14406779661017</v>
      </c>
      <c r="G59" s="198">
        <f t="shared" si="28"/>
        <v>13.715254237288136</v>
      </c>
      <c r="H59" s="198">
        <f t="shared" si="29"/>
        <v>8.5720338983050848</v>
      </c>
      <c r="I59" s="198">
        <f t="shared" si="24"/>
        <v>8</v>
      </c>
      <c r="J59" s="199">
        <f t="shared" si="24"/>
        <v>0</v>
      </c>
      <c r="K59" s="194" t="str">
        <f>D59&amp;-1</f>
        <v>11.8-1</v>
      </c>
      <c r="L59" s="198">
        <f t="shared" si="25"/>
        <v>0.2</v>
      </c>
      <c r="M59" s="49">
        <v>0</v>
      </c>
      <c r="N59" s="198">
        <f>t_out_sc</f>
        <v>150</v>
      </c>
      <c r="O59" s="198">
        <f>t_sc</f>
        <v>155</v>
      </c>
      <c r="P59" s="198">
        <f>t_sim_sc</f>
        <v>165</v>
      </c>
      <c r="Q59" s="196" t="str">
        <f t="shared" ref="Q59" si="32">path_sc2</f>
        <v>\\172.20.0.4\fs04\XW\V4\loop1\inputs\ex_controller\2_phase_n.txt</v>
      </c>
    </row>
    <row r="60" spans="1:17" x14ac:dyDescent="0.25">
      <c r="A60" s="195">
        <f t="shared" si="26"/>
        <v>2450</v>
      </c>
      <c r="B60" s="196">
        <f t="shared" si="26"/>
        <v>50</v>
      </c>
      <c r="C60" s="229" t="str">
        <f t="shared" si="23"/>
        <v>22dA12+000_030_02</v>
      </c>
      <c r="D60" s="197">
        <f t="shared" si="31"/>
        <v>11.8</v>
      </c>
      <c r="E60" s="204">
        <f t="shared" si="12"/>
        <v>2.0230000000000001</v>
      </c>
      <c r="F60" s="198">
        <f t="shared" si="8"/>
        <v>17.14406779661017</v>
      </c>
      <c r="G60" s="198">
        <f t="shared" si="28"/>
        <v>13.715254237288136</v>
      </c>
      <c r="H60" s="198">
        <f t="shared" si="29"/>
        <v>8.5720338983050848</v>
      </c>
      <c r="I60" s="198">
        <f t="shared" si="24"/>
        <v>8</v>
      </c>
      <c r="J60" s="199">
        <f t="shared" si="24"/>
        <v>0</v>
      </c>
      <c r="K60" s="194" t="str">
        <f>D60&amp;-2</f>
        <v>11.8-2</v>
      </c>
      <c r="L60" s="198">
        <f t="shared" si="25"/>
        <v>0.2</v>
      </c>
      <c r="M60" s="49">
        <v>30</v>
      </c>
      <c r="N60" s="198">
        <f t="shared" ref="N60:P75" si="33">N59</f>
        <v>150</v>
      </c>
      <c r="O60" s="198">
        <f t="shared" si="33"/>
        <v>155</v>
      </c>
      <c r="P60" s="198">
        <f t="shared" si="33"/>
        <v>165</v>
      </c>
      <c r="Q60" s="196" t="str">
        <f>Q59</f>
        <v>\\172.20.0.4\fs04\XW\V4\loop1\inputs\ex_controller\2_phase_n.txt</v>
      </c>
    </row>
    <row r="61" spans="1:17" x14ac:dyDescent="0.25">
      <c r="A61" s="195">
        <f t="shared" si="26"/>
        <v>2451</v>
      </c>
      <c r="B61" s="196">
        <f t="shared" si="26"/>
        <v>51</v>
      </c>
      <c r="C61" s="229" t="str">
        <f t="shared" si="23"/>
        <v>22dA12+000_060_03</v>
      </c>
      <c r="D61" s="197">
        <f t="shared" si="31"/>
        <v>11.8</v>
      </c>
      <c r="E61" s="204">
        <f t="shared" si="12"/>
        <v>2.0230000000000001</v>
      </c>
      <c r="F61" s="198">
        <f t="shared" si="8"/>
        <v>17.14406779661017</v>
      </c>
      <c r="G61" s="198">
        <f t="shared" si="28"/>
        <v>13.715254237288136</v>
      </c>
      <c r="H61" s="198">
        <f t="shared" si="29"/>
        <v>8.5720338983050848</v>
      </c>
      <c r="I61" s="198">
        <f t="shared" ref="I61:J76" si="34">I60</f>
        <v>8</v>
      </c>
      <c r="J61" s="199">
        <f t="shared" si="34"/>
        <v>0</v>
      </c>
      <c r="K61" s="194" t="str">
        <f>D61&amp;-3</f>
        <v>11.8-3</v>
      </c>
      <c r="L61" s="198">
        <f t="shared" si="25"/>
        <v>0.2</v>
      </c>
      <c r="M61" s="49">
        <v>60</v>
      </c>
      <c r="N61" s="198">
        <f t="shared" si="33"/>
        <v>150</v>
      </c>
      <c r="O61" s="198">
        <f t="shared" si="33"/>
        <v>155</v>
      </c>
      <c r="P61" s="198">
        <f t="shared" si="33"/>
        <v>165</v>
      </c>
      <c r="Q61" s="196" t="str">
        <f t="shared" ref="Q61:Q70" si="35">Q60</f>
        <v>\\172.20.0.4\fs04\XW\V4\loop1\inputs\ex_controller\2_phase_n.txt</v>
      </c>
    </row>
    <row r="62" spans="1:17" x14ac:dyDescent="0.25">
      <c r="A62" s="195">
        <f t="shared" si="26"/>
        <v>2452</v>
      </c>
      <c r="B62" s="196">
        <f t="shared" si="26"/>
        <v>52</v>
      </c>
      <c r="C62" s="229" t="str">
        <f t="shared" si="23"/>
        <v>22dA12+000_090_04</v>
      </c>
      <c r="D62" s="197">
        <f t="shared" si="31"/>
        <v>11.8</v>
      </c>
      <c r="E62" s="204">
        <f t="shared" si="12"/>
        <v>2.0230000000000001</v>
      </c>
      <c r="F62" s="198">
        <f t="shared" si="8"/>
        <v>17.14406779661017</v>
      </c>
      <c r="G62" s="198">
        <f t="shared" si="28"/>
        <v>13.715254237288136</v>
      </c>
      <c r="H62" s="198">
        <f t="shared" si="29"/>
        <v>8.5720338983050848</v>
      </c>
      <c r="I62" s="198">
        <f t="shared" si="34"/>
        <v>8</v>
      </c>
      <c r="J62" s="199">
        <f t="shared" si="34"/>
        <v>0</v>
      </c>
      <c r="K62" s="194" t="str">
        <f>D62&amp;-4</f>
        <v>11.8-4</v>
      </c>
      <c r="L62" s="198">
        <f t="shared" si="25"/>
        <v>0.2</v>
      </c>
      <c r="M62" s="49">
        <v>90</v>
      </c>
      <c r="N62" s="198">
        <f t="shared" si="33"/>
        <v>150</v>
      </c>
      <c r="O62" s="198">
        <f t="shared" si="33"/>
        <v>155</v>
      </c>
      <c r="P62" s="198">
        <f t="shared" si="33"/>
        <v>165</v>
      </c>
      <c r="Q62" s="196" t="str">
        <f t="shared" si="35"/>
        <v>\\172.20.0.4\fs04\XW\V4\loop1\inputs\ex_controller\2_phase_n.txt</v>
      </c>
    </row>
    <row r="63" spans="1:17" x14ac:dyDescent="0.25">
      <c r="A63" s="195">
        <f t="shared" si="26"/>
        <v>2453</v>
      </c>
      <c r="B63" s="196">
        <f t="shared" si="26"/>
        <v>53</v>
      </c>
      <c r="C63" s="229" t="str">
        <f t="shared" si="23"/>
        <v>22dA12+000_000_05</v>
      </c>
      <c r="D63" s="197">
        <f t="shared" si="31"/>
        <v>11.8</v>
      </c>
      <c r="E63" s="204">
        <f t="shared" si="12"/>
        <v>2.0230000000000001</v>
      </c>
      <c r="F63" s="198">
        <f t="shared" si="8"/>
        <v>17.14406779661017</v>
      </c>
      <c r="G63" s="198">
        <f t="shared" si="28"/>
        <v>13.715254237288136</v>
      </c>
      <c r="H63" s="198">
        <f t="shared" si="29"/>
        <v>8.5720338983050848</v>
      </c>
      <c r="I63" s="198">
        <f t="shared" si="34"/>
        <v>8</v>
      </c>
      <c r="J63" s="199">
        <f t="shared" si="34"/>
        <v>0</v>
      </c>
      <c r="K63" s="194" t="str">
        <f>D63&amp;-5</f>
        <v>11.8-5</v>
      </c>
      <c r="L63" s="198">
        <f t="shared" si="25"/>
        <v>0.2</v>
      </c>
      <c r="M63" s="49">
        <v>0</v>
      </c>
      <c r="N63" s="198">
        <f t="shared" si="33"/>
        <v>150</v>
      </c>
      <c r="O63" s="198">
        <f t="shared" si="33"/>
        <v>155</v>
      </c>
      <c r="P63" s="198">
        <f t="shared" si="33"/>
        <v>165</v>
      </c>
      <c r="Q63" s="196" t="str">
        <f t="shared" si="35"/>
        <v>\\172.20.0.4\fs04\XW\V4\loop1\inputs\ex_controller\2_phase_n.txt</v>
      </c>
    </row>
    <row r="64" spans="1:17" x14ac:dyDescent="0.25">
      <c r="A64" s="195">
        <f t="shared" si="26"/>
        <v>2454</v>
      </c>
      <c r="B64" s="196">
        <f t="shared" si="26"/>
        <v>54</v>
      </c>
      <c r="C64" s="229" t="str">
        <f t="shared" si="23"/>
        <v>22dA12+000_030_06</v>
      </c>
      <c r="D64" s="197">
        <f t="shared" si="31"/>
        <v>11.8</v>
      </c>
      <c r="E64" s="204">
        <f t="shared" si="12"/>
        <v>2.0230000000000001</v>
      </c>
      <c r="F64" s="198">
        <f t="shared" si="8"/>
        <v>17.14406779661017</v>
      </c>
      <c r="G64" s="198">
        <f t="shared" si="28"/>
        <v>13.715254237288136</v>
      </c>
      <c r="H64" s="198">
        <f t="shared" si="29"/>
        <v>8.5720338983050848</v>
      </c>
      <c r="I64" s="198">
        <f t="shared" si="34"/>
        <v>8</v>
      </c>
      <c r="J64" s="199">
        <f t="shared" si="34"/>
        <v>0</v>
      </c>
      <c r="K64" s="194" t="str">
        <f>D64&amp;-6</f>
        <v>11.8-6</v>
      </c>
      <c r="L64" s="198">
        <f t="shared" ref="L64:L79" si="36">L63</f>
        <v>0.2</v>
      </c>
      <c r="M64" s="49">
        <v>30</v>
      </c>
      <c r="N64" s="198">
        <f t="shared" si="33"/>
        <v>150</v>
      </c>
      <c r="O64" s="198">
        <f t="shared" si="33"/>
        <v>155</v>
      </c>
      <c r="P64" s="198">
        <f t="shared" si="33"/>
        <v>165</v>
      </c>
      <c r="Q64" s="196" t="str">
        <f t="shared" si="35"/>
        <v>\\172.20.0.4\fs04\XW\V4\loop1\inputs\ex_controller\2_phase_n.txt</v>
      </c>
    </row>
    <row r="65" spans="1:17" x14ac:dyDescent="0.25">
      <c r="A65" s="195">
        <f t="shared" ref="A65:B80" si="37">A64+1</f>
        <v>2455</v>
      </c>
      <c r="B65" s="196">
        <f t="shared" si="37"/>
        <v>55</v>
      </c>
      <c r="C65" s="229" t="str">
        <f t="shared" si="23"/>
        <v>22dA12+000_060_07</v>
      </c>
      <c r="D65" s="197">
        <f t="shared" si="31"/>
        <v>11.8</v>
      </c>
      <c r="E65" s="204">
        <f t="shared" si="12"/>
        <v>2.0230000000000001</v>
      </c>
      <c r="F65" s="198">
        <f t="shared" si="8"/>
        <v>17.14406779661017</v>
      </c>
      <c r="G65" s="198">
        <f t="shared" si="28"/>
        <v>13.715254237288136</v>
      </c>
      <c r="H65" s="198">
        <f t="shared" si="29"/>
        <v>8.5720338983050848</v>
      </c>
      <c r="I65" s="198">
        <f t="shared" si="34"/>
        <v>8</v>
      </c>
      <c r="J65" s="199">
        <f t="shared" si="34"/>
        <v>0</v>
      </c>
      <c r="K65" s="194" t="str">
        <f>D65&amp;-7</f>
        <v>11.8-7</v>
      </c>
      <c r="L65" s="198">
        <f t="shared" si="36"/>
        <v>0.2</v>
      </c>
      <c r="M65" s="49">
        <v>60</v>
      </c>
      <c r="N65" s="198">
        <f t="shared" si="33"/>
        <v>150</v>
      </c>
      <c r="O65" s="198">
        <f t="shared" si="33"/>
        <v>155</v>
      </c>
      <c r="P65" s="198">
        <f t="shared" si="33"/>
        <v>165</v>
      </c>
      <c r="Q65" s="196" t="str">
        <f t="shared" si="35"/>
        <v>\\172.20.0.4\fs04\XW\V4\loop1\inputs\ex_controller\2_phase_n.txt</v>
      </c>
    </row>
    <row r="66" spans="1:17" x14ac:dyDescent="0.25">
      <c r="A66" s="195">
        <f t="shared" si="37"/>
        <v>2456</v>
      </c>
      <c r="B66" s="196">
        <f t="shared" si="37"/>
        <v>56</v>
      </c>
      <c r="C66" s="229" t="str">
        <f t="shared" si="23"/>
        <v>22dA12+000_090_08</v>
      </c>
      <c r="D66" s="197">
        <f t="shared" si="31"/>
        <v>11.8</v>
      </c>
      <c r="E66" s="204">
        <f t="shared" si="12"/>
        <v>2.0230000000000001</v>
      </c>
      <c r="F66" s="198">
        <f t="shared" si="8"/>
        <v>17.14406779661017</v>
      </c>
      <c r="G66" s="198">
        <f t="shared" si="28"/>
        <v>13.715254237288136</v>
      </c>
      <c r="H66" s="198">
        <f t="shared" si="29"/>
        <v>8.5720338983050848</v>
      </c>
      <c r="I66" s="198">
        <f t="shared" si="34"/>
        <v>8</v>
      </c>
      <c r="J66" s="199">
        <f t="shared" si="34"/>
        <v>0</v>
      </c>
      <c r="K66" s="194" t="str">
        <f>D66&amp;-8</f>
        <v>11.8-8</v>
      </c>
      <c r="L66" s="198">
        <f t="shared" si="36"/>
        <v>0.2</v>
      </c>
      <c r="M66" s="49">
        <v>90</v>
      </c>
      <c r="N66" s="198">
        <f t="shared" si="33"/>
        <v>150</v>
      </c>
      <c r="O66" s="198">
        <f t="shared" si="33"/>
        <v>155</v>
      </c>
      <c r="P66" s="198">
        <f t="shared" si="33"/>
        <v>165</v>
      </c>
      <c r="Q66" s="196" t="str">
        <f t="shared" si="35"/>
        <v>\\172.20.0.4\fs04\XW\V4\loop1\inputs\ex_controller\2_phase_n.txt</v>
      </c>
    </row>
    <row r="67" spans="1:17" x14ac:dyDescent="0.25">
      <c r="A67" s="195">
        <f t="shared" si="37"/>
        <v>2457</v>
      </c>
      <c r="B67" s="196">
        <f t="shared" si="37"/>
        <v>57</v>
      </c>
      <c r="C67" s="229" t="str">
        <f t="shared" si="23"/>
        <v>22dA12+000_000_09</v>
      </c>
      <c r="D67" s="197">
        <f t="shared" si="31"/>
        <v>11.8</v>
      </c>
      <c r="E67" s="204">
        <f t="shared" si="12"/>
        <v>2.0230000000000001</v>
      </c>
      <c r="F67" s="198">
        <f t="shared" si="8"/>
        <v>17.14406779661017</v>
      </c>
      <c r="G67" s="198">
        <f t="shared" si="28"/>
        <v>13.715254237288136</v>
      </c>
      <c r="H67" s="198">
        <f t="shared" si="29"/>
        <v>8.5720338983050848</v>
      </c>
      <c r="I67" s="198">
        <f t="shared" si="34"/>
        <v>8</v>
      </c>
      <c r="J67" s="199">
        <f t="shared" si="34"/>
        <v>0</v>
      </c>
      <c r="K67" s="194" t="str">
        <f>D67&amp;-9</f>
        <v>11.8-9</v>
      </c>
      <c r="L67" s="198">
        <f t="shared" si="36"/>
        <v>0.2</v>
      </c>
      <c r="M67" s="49">
        <v>0</v>
      </c>
      <c r="N67" s="198">
        <f t="shared" si="33"/>
        <v>150</v>
      </c>
      <c r="O67" s="198">
        <f t="shared" si="33"/>
        <v>155</v>
      </c>
      <c r="P67" s="198">
        <f t="shared" si="33"/>
        <v>165</v>
      </c>
      <c r="Q67" s="196" t="str">
        <f t="shared" si="35"/>
        <v>\\172.20.0.4\fs04\XW\V4\loop1\inputs\ex_controller\2_phase_n.txt</v>
      </c>
    </row>
    <row r="68" spans="1:17" x14ac:dyDescent="0.25">
      <c r="A68" s="195">
        <f t="shared" si="37"/>
        <v>2458</v>
      </c>
      <c r="B68" s="196">
        <f t="shared" si="37"/>
        <v>58</v>
      </c>
      <c r="C68" s="229" t="str">
        <f t="shared" si="23"/>
        <v>22dA12+000_030_10</v>
      </c>
      <c r="D68" s="197">
        <f t="shared" si="31"/>
        <v>11.8</v>
      </c>
      <c r="E68" s="204">
        <f t="shared" si="12"/>
        <v>2.0230000000000001</v>
      </c>
      <c r="F68" s="198">
        <f t="shared" si="8"/>
        <v>17.14406779661017</v>
      </c>
      <c r="G68" s="198">
        <f t="shared" si="28"/>
        <v>13.715254237288136</v>
      </c>
      <c r="H68" s="198">
        <f t="shared" si="29"/>
        <v>8.5720338983050848</v>
      </c>
      <c r="I68" s="198">
        <f t="shared" si="34"/>
        <v>8</v>
      </c>
      <c r="J68" s="199">
        <f t="shared" si="34"/>
        <v>0</v>
      </c>
      <c r="K68" s="194" t="str">
        <f>D68&amp;-10</f>
        <v>11.8-10</v>
      </c>
      <c r="L68" s="198">
        <f t="shared" si="36"/>
        <v>0.2</v>
      </c>
      <c r="M68" s="49">
        <v>30</v>
      </c>
      <c r="N68" s="198">
        <f t="shared" si="33"/>
        <v>150</v>
      </c>
      <c r="O68" s="198">
        <f t="shared" si="33"/>
        <v>155</v>
      </c>
      <c r="P68" s="198">
        <f t="shared" si="33"/>
        <v>165</v>
      </c>
      <c r="Q68" s="196" t="str">
        <f t="shared" si="35"/>
        <v>\\172.20.0.4\fs04\XW\V4\loop1\inputs\ex_controller\2_phase_n.txt</v>
      </c>
    </row>
    <row r="69" spans="1:17" x14ac:dyDescent="0.25">
      <c r="A69" s="195">
        <f t="shared" si="37"/>
        <v>2459</v>
      </c>
      <c r="B69" s="196">
        <f t="shared" si="37"/>
        <v>59</v>
      </c>
      <c r="C69" s="229" t="str">
        <f t="shared" si="23"/>
        <v>22dA12+000_060_11</v>
      </c>
      <c r="D69" s="197">
        <f t="shared" si="31"/>
        <v>11.8</v>
      </c>
      <c r="E69" s="204">
        <f t="shared" si="12"/>
        <v>2.0230000000000001</v>
      </c>
      <c r="F69" s="198">
        <f t="shared" si="8"/>
        <v>17.14406779661017</v>
      </c>
      <c r="G69" s="198">
        <f t="shared" si="28"/>
        <v>13.715254237288136</v>
      </c>
      <c r="H69" s="198">
        <f t="shared" si="29"/>
        <v>8.5720338983050848</v>
      </c>
      <c r="I69" s="198">
        <f t="shared" si="34"/>
        <v>8</v>
      </c>
      <c r="J69" s="199">
        <f t="shared" si="34"/>
        <v>0</v>
      </c>
      <c r="K69" s="194" t="str">
        <f>D69&amp;-11</f>
        <v>11.8-11</v>
      </c>
      <c r="L69" s="198">
        <f t="shared" si="36"/>
        <v>0.2</v>
      </c>
      <c r="M69" s="49">
        <v>60</v>
      </c>
      <c r="N69" s="198">
        <f t="shared" si="33"/>
        <v>150</v>
      </c>
      <c r="O69" s="198">
        <f t="shared" si="33"/>
        <v>155</v>
      </c>
      <c r="P69" s="198">
        <f t="shared" si="33"/>
        <v>165</v>
      </c>
      <c r="Q69" s="196" t="str">
        <f t="shared" si="35"/>
        <v>\\172.20.0.4\fs04\XW\V4\loop1\inputs\ex_controller\2_phase_n.txt</v>
      </c>
    </row>
    <row r="70" spans="1:17" x14ac:dyDescent="0.25">
      <c r="A70" s="195">
        <f t="shared" si="37"/>
        <v>2460</v>
      </c>
      <c r="B70" s="196">
        <f t="shared" si="37"/>
        <v>60</v>
      </c>
      <c r="C70" s="229" t="str">
        <f t="shared" si="23"/>
        <v>22dA12+000_090_12</v>
      </c>
      <c r="D70" s="197">
        <f t="shared" si="31"/>
        <v>11.8</v>
      </c>
      <c r="E70" s="204">
        <f t="shared" si="12"/>
        <v>2.0230000000000001</v>
      </c>
      <c r="F70" s="198">
        <f t="shared" si="8"/>
        <v>17.14406779661017</v>
      </c>
      <c r="G70" s="198">
        <f t="shared" si="28"/>
        <v>13.715254237288136</v>
      </c>
      <c r="H70" s="198">
        <f t="shared" si="29"/>
        <v>8.5720338983050848</v>
      </c>
      <c r="I70" s="198">
        <f t="shared" si="34"/>
        <v>8</v>
      </c>
      <c r="J70" s="199">
        <f t="shared" si="34"/>
        <v>0</v>
      </c>
      <c r="K70" s="194" t="str">
        <f>D70&amp;-12</f>
        <v>11.8-12</v>
      </c>
      <c r="L70" s="198">
        <f t="shared" si="36"/>
        <v>0.2</v>
      </c>
      <c r="M70" s="49">
        <v>90</v>
      </c>
      <c r="N70" s="198">
        <f t="shared" si="33"/>
        <v>150</v>
      </c>
      <c r="O70" s="198">
        <f t="shared" si="33"/>
        <v>155</v>
      </c>
      <c r="P70" s="198">
        <f t="shared" si="33"/>
        <v>165</v>
      </c>
      <c r="Q70" s="196" t="str">
        <f t="shared" si="35"/>
        <v>\\172.20.0.4\fs04\XW\V4\loop1\inputs\ex_controller\2_phase_n.txt</v>
      </c>
    </row>
    <row r="71" spans="1:17" x14ac:dyDescent="0.25">
      <c r="A71" s="195">
        <f t="shared" si="37"/>
        <v>2461</v>
      </c>
      <c r="B71" s="196">
        <f t="shared" si="37"/>
        <v>61</v>
      </c>
      <c r="C71" s="229" t="str">
        <f t="shared" si="23"/>
        <v>22dB12+000_000_01</v>
      </c>
      <c r="D71" s="197">
        <f t="shared" si="31"/>
        <v>11.8</v>
      </c>
      <c r="E71" s="204">
        <f t="shared" si="12"/>
        <v>2.0230000000000001</v>
      </c>
      <c r="F71" s="198">
        <f t="shared" si="8"/>
        <v>17.14406779661017</v>
      </c>
      <c r="G71" s="198">
        <f t="shared" si="28"/>
        <v>13.715254237288136</v>
      </c>
      <c r="H71" s="198">
        <f t="shared" si="29"/>
        <v>8.5720338983050848</v>
      </c>
      <c r="I71" s="198">
        <f t="shared" si="34"/>
        <v>8</v>
      </c>
      <c r="J71" s="199">
        <f t="shared" si="34"/>
        <v>0</v>
      </c>
      <c r="K71" s="194" t="str">
        <f>D71&amp;-1</f>
        <v>11.8-1</v>
      </c>
      <c r="L71" s="198">
        <f t="shared" si="36"/>
        <v>0.2</v>
      </c>
      <c r="M71" s="49">
        <v>0</v>
      </c>
      <c r="N71" s="198">
        <f t="shared" si="33"/>
        <v>150</v>
      </c>
      <c r="O71" s="198">
        <f t="shared" si="33"/>
        <v>155</v>
      </c>
      <c r="P71" s="198">
        <f t="shared" si="33"/>
        <v>165</v>
      </c>
      <c r="Q71" s="196" t="str">
        <f>path_sc3</f>
        <v>\\172.20.0.4\fs04\XW\V4\loop1\inputs\ex_controller\3_phase_n.txt</v>
      </c>
    </row>
    <row r="72" spans="1:17" x14ac:dyDescent="0.25">
      <c r="A72" s="195">
        <f t="shared" si="37"/>
        <v>2462</v>
      </c>
      <c r="B72" s="196">
        <f t="shared" si="37"/>
        <v>62</v>
      </c>
      <c r="C72" s="229" t="str">
        <f t="shared" si="23"/>
        <v>22dB12+000_030_02</v>
      </c>
      <c r="D72" s="197">
        <f t="shared" si="31"/>
        <v>11.8</v>
      </c>
      <c r="E72" s="204">
        <f t="shared" si="12"/>
        <v>2.0230000000000001</v>
      </c>
      <c r="F72" s="198">
        <f t="shared" si="8"/>
        <v>17.14406779661017</v>
      </c>
      <c r="G72" s="198">
        <f t="shared" si="28"/>
        <v>13.715254237288136</v>
      </c>
      <c r="H72" s="198">
        <f t="shared" si="29"/>
        <v>8.5720338983050848</v>
      </c>
      <c r="I72" s="198">
        <f t="shared" si="34"/>
        <v>8</v>
      </c>
      <c r="J72" s="199">
        <f t="shared" si="34"/>
        <v>0</v>
      </c>
      <c r="K72" s="194" t="str">
        <f>D72&amp;-2</f>
        <v>11.8-2</v>
      </c>
      <c r="L72" s="198">
        <f t="shared" si="36"/>
        <v>0.2</v>
      </c>
      <c r="M72" s="49">
        <v>30</v>
      </c>
      <c r="N72" s="198">
        <f t="shared" si="33"/>
        <v>150</v>
      </c>
      <c r="O72" s="198">
        <f t="shared" si="33"/>
        <v>155</v>
      </c>
      <c r="P72" s="198">
        <f t="shared" si="33"/>
        <v>165</v>
      </c>
      <c r="Q72" s="196" t="str">
        <f>Q71</f>
        <v>\\172.20.0.4\fs04\XW\V4\loop1\inputs\ex_controller\3_phase_n.txt</v>
      </c>
    </row>
    <row r="73" spans="1:17" x14ac:dyDescent="0.25">
      <c r="A73" s="195">
        <f t="shared" si="37"/>
        <v>2463</v>
      </c>
      <c r="B73" s="196">
        <f t="shared" si="37"/>
        <v>63</v>
      </c>
      <c r="C73" s="229" t="str">
        <f t="shared" si="23"/>
        <v>22dB12+000_060_03</v>
      </c>
      <c r="D73" s="197">
        <f t="shared" si="31"/>
        <v>11.8</v>
      </c>
      <c r="E73" s="204">
        <f t="shared" si="12"/>
        <v>2.0230000000000001</v>
      </c>
      <c r="F73" s="198">
        <f t="shared" si="8"/>
        <v>17.14406779661017</v>
      </c>
      <c r="G73" s="198">
        <f t="shared" si="28"/>
        <v>13.715254237288136</v>
      </c>
      <c r="H73" s="198">
        <f t="shared" si="29"/>
        <v>8.5720338983050848</v>
      </c>
      <c r="I73" s="198">
        <f t="shared" si="34"/>
        <v>8</v>
      </c>
      <c r="J73" s="199">
        <f t="shared" si="34"/>
        <v>0</v>
      </c>
      <c r="K73" s="194" t="str">
        <f>D73&amp;-3</f>
        <v>11.8-3</v>
      </c>
      <c r="L73" s="198">
        <f t="shared" si="36"/>
        <v>0.2</v>
      </c>
      <c r="M73" s="49">
        <v>60</v>
      </c>
      <c r="N73" s="198">
        <f t="shared" si="33"/>
        <v>150</v>
      </c>
      <c r="O73" s="198">
        <f t="shared" si="33"/>
        <v>155</v>
      </c>
      <c r="P73" s="198">
        <f t="shared" si="33"/>
        <v>165</v>
      </c>
      <c r="Q73" s="196" t="str">
        <f t="shared" ref="Q73:Q82" si="38">Q72</f>
        <v>\\172.20.0.4\fs04\XW\V4\loop1\inputs\ex_controller\3_phase_n.txt</v>
      </c>
    </row>
    <row r="74" spans="1:17" x14ac:dyDescent="0.25">
      <c r="A74" s="195">
        <f t="shared" si="37"/>
        <v>2464</v>
      </c>
      <c r="B74" s="196">
        <f t="shared" si="37"/>
        <v>64</v>
      </c>
      <c r="C74" s="229" t="str">
        <f t="shared" si="23"/>
        <v>22dB12+000_090_04</v>
      </c>
      <c r="D74" s="197">
        <f t="shared" si="31"/>
        <v>11.8</v>
      </c>
      <c r="E74" s="204">
        <f t="shared" si="12"/>
        <v>2.0230000000000001</v>
      </c>
      <c r="F74" s="198">
        <f t="shared" si="8"/>
        <v>17.14406779661017</v>
      </c>
      <c r="G74" s="198">
        <f t="shared" si="28"/>
        <v>13.715254237288136</v>
      </c>
      <c r="H74" s="198">
        <f t="shared" si="29"/>
        <v>8.5720338983050848</v>
      </c>
      <c r="I74" s="198">
        <f t="shared" si="34"/>
        <v>8</v>
      </c>
      <c r="J74" s="199">
        <f t="shared" si="34"/>
        <v>0</v>
      </c>
      <c r="K74" s="194" t="str">
        <f>D74&amp;-4</f>
        <v>11.8-4</v>
      </c>
      <c r="L74" s="198">
        <f t="shared" si="36"/>
        <v>0.2</v>
      </c>
      <c r="M74" s="49">
        <v>90</v>
      </c>
      <c r="N74" s="198">
        <f t="shared" si="33"/>
        <v>150</v>
      </c>
      <c r="O74" s="198">
        <f t="shared" si="33"/>
        <v>155</v>
      </c>
      <c r="P74" s="198">
        <f t="shared" si="33"/>
        <v>165</v>
      </c>
      <c r="Q74" s="196" t="str">
        <f t="shared" si="38"/>
        <v>\\172.20.0.4\fs04\XW\V4\loop1\inputs\ex_controller\3_phase_n.txt</v>
      </c>
    </row>
    <row r="75" spans="1:17" x14ac:dyDescent="0.25">
      <c r="A75" s="195">
        <f t="shared" si="37"/>
        <v>2465</v>
      </c>
      <c r="B75" s="196">
        <f t="shared" si="37"/>
        <v>65</v>
      </c>
      <c r="C75" s="229" t="str">
        <f t="shared" ref="C75:C106" si="39">TEXT(RIGHT($B$2,LEN($B$2)-3),"000")&amp;IF(Q75=path_sc2,"A","B")&amp;TEXT(D75,"00")&amp;"+"&amp;IF(J75&lt;0,TEXT(360+J75,"000"),TEXT(J75,"000"))&amp;"_"&amp;TEXT(M75,"000")&amp;"_"&amp;TEXT(RIGHT(K75,LEN(K75)-FIND("-",K75)),"00")</f>
        <v>22dB12+000_000_05</v>
      </c>
      <c r="D75" s="197">
        <f t="shared" si="31"/>
        <v>11.8</v>
      </c>
      <c r="E75" s="204">
        <f t="shared" si="12"/>
        <v>2.0230000000000001</v>
      </c>
      <c r="F75" s="198">
        <f t="shared" si="8"/>
        <v>17.14406779661017</v>
      </c>
      <c r="G75" s="198">
        <f t="shared" si="28"/>
        <v>13.715254237288136</v>
      </c>
      <c r="H75" s="198">
        <f t="shared" si="29"/>
        <v>8.5720338983050848</v>
      </c>
      <c r="I75" s="198">
        <f t="shared" si="34"/>
        <v>8</v>
      </c>
      <c r="J75" s="199">
        <f t="shared" si="34"/>
        <v>0</v>
      </c>
      <c r="K75" s="194" t="str">
        <f>D75&amp;-5</f>
        <v>11.8-5</v>
      </c>
      <c r="L75" s="198">
        <f t="shared" si="36"/>
        <v>0.2</v>
      </c>
      <c r="M75" s="49">
        <v>0</v>
      </c>
      <c r="N75" s="198">
        <f t="shared" si="33"/>
        <v>150</v>
      </c>
      <c r="O75" s="198">
        <f t="shared" si="33"/>
        <v>155</v>
      </c>
      <c r="P75" s="198">
        <f t="shared" si="33"/>
        <v>165</v>
      </c>
      <c r="Q75" s="196" t="str">
        <f t="shared" si="38"/>
        <v>\\172.20.0.4\fs04\XW\V4\loop1\inputs\ex_controller\3_phase_n.txt</v>
      </c>
    </row>
    <row r="76" spans="1:17" x14ac:dyDescent="0.25">
      <c r="A76" s="195">
        <f t="shared" si="37"/>
        <v>2466</v>
      </c>
      <c r="B76" s="196">
        <f t="shared" si="37"/>
        <v>66</v>
      </c>
      <c r="C76" s="229" t="str">
        <f t="shared" si="39"/>
        <v>22dB12+000_030_06</v>
      </c>
      <c r="D76" s="197">
        <f t="shared" si="31"/>
        <v>11.8</v>
      </c>
      <c r="E76" s="204">
        <f t="shared" si="12"/>
        <v>2.0230000000000001</v>
      </c>
      <c r="F76" s="198">
        <f t="shared" si="8"/>
        <v>17.14406779661017</v>
      </c>
      <c r="G76" s="198">
        <f t="shared" si="28"/>
        <v>13.715254237288136</v>
      </c>
      <c r="H76" s="198">
        <f t="shared" si="29"/>
        <v>8.5720338983050848</v>
      </c>
      <c r="I76" s="198">
        <f t="shared" si="34"/>
        <v>8</v>
      </c>
      <c r="J76" s="199">
        <f t="shared" si="34"/>
        <v>0</v>
      </c>
      <c r="K76" s="194" t="str">
        <f>D76&amp;-6</f>
        <v>11.8-6</v>
      </c>
      <c r="L76" s="198">
        <f t="shared" si="36"/>
        <v>0.2</v>
      </c>
      <c r="M76" s="49">
        <v>30</v>
      </c>
      <c r="N76" s="198">
        <f t="shared" ref="N76:P82" si="40">N75</f>
        <v>150</v>
      </c>
      <c r="O76" s="198">
        <f t="shared" si="40"/>
        <v>155</v>
      </c>
      <c r="P76" s="198">
        <f t="shared" si="40"/>
        <v>165</v>
      </c>
      <c r="Q76" s="196" t="str">
        <f t="shared" si="38"/>
        <v>\\172.20.0.4\fs04\XW\V4\loop1\inputs\ex_controller\3_phase_n.txt</v>
      </c>
    </row>
    <row r="77" spans="1:17" x14ac:dyDescent="0.25">
      <c r="A77" s="195">
        <f t="shared" si="37"/>
        <v>2467</v>
      </c>
      <c r="B77" s="196">
        <f t="shared" si="37"/>
        <v>67</v>
      </c>
      <c r="C77" s="229" t="str">
        <f t="shared" si="39"/>
        <v>22dB12+000_060_07</v>
      </c>
      <c r="D77" s="197">
        <f t="shared" si="31"/>
        <v>11.8</v>
      </c>
      <c r="E77" s="204">
        <f t="shared" si="12"/>
        <v>2.0230000000000001</v>
      </c>
      <c r="F77" s="198">
        <f t="shared" ref="F77:F106" si="41">E77/D77*100</f>
        <v>17.14406779661017</v>
      </c>
      <c r="G77" s="198">
        <f t="shared" si="28"/>
        <v>13.715254237288136</v>
      </c>
      <c r="H77" s="198">
        <f t="shared" si="29"/>
        <v>8.5720338983050848</v>
      </c>
      <c r="I77" s="198">
        <f t="shared" ref="I77:J92" si="42">I76</f>
        <v>8</v>
      </c>
      <c r="J77" s="199">
        <f t="shared" si="42"/>
        <v>0</v>
      </c>
      <c r="K77" s="194" t="str">
        <f>D77&amp;-7</f>
        <v>11.8-7</v>
      </c>
      <c r="L77" s="198">
        <f t="shared" si="36"/>
        <v>0.2</v>
      </c>
      <c r="M77" s="49">
        <v>60</v>
      </c>
      <c r="N77" s="198">
        <f t="shared" si="40"/>
        <v>150</v>
      </c>
      <c r="O77" s="198">
        <f t="shared" si="40"/>
        <v>155</v>
      </c>
      <c r="P77" s="198">
        <f t="shared" si="40"/>
        <v>165</v>
      </c>
      <c r="Q77" s="196" t="str">
        <f t="shared" si="38"/>
        <v>\\172.20.0.4\fs04\XW\V4\loop1\inputs\ex_controller\3_phase_n.txt</v>
      </c>
    </row>
    <row r="78" spans="1:17" x14ac:dyDescent="0.25">
      <c r="A78" s="195">
        <f t="shared" si="37"/>
        <v>2468</v>
      </c>
      <c r="B78" s="196">
        <f t="shared" si="37"/>
        <v>68</v>
      </c>
      <c r="C78" s="229" t="str">
        <f t="shared" si="39"/>
        <v>22dB12+000_090_08</v>
      </c>
      <c r="D78" s="197">
        <f t="shared" si="31"/>
        <v>11.8</v>
      </c>
      <c r="E78" s="204">
        <f t="shared" si="12"/>
        <v>2.0230000000000001</v>
      </c>
      <c r="F78" s="198">
        <f t="shared" si="41"/>
        <v>17.14406779661017</v>
      </c>
      <c r="G78" s="198">
        <f t="shared" si="28"/>
        <v>13.715254237288136</v>
      </c>
      <c r="H78" s="198">
        <f t="shared" si="29"/>
        <v>8.5720338983050848</v>
      </c>
      <c r="I78" s="198">
        <f t="shared" si="42"/>
        <v>8</v>
      </c>
      <c r="J78" s="199">
        <f t="shared" si="42"/>
        <v>0</v>
      </c>
      <c r="K78" s="194" t="str">
        <f>D78&amp;-8</f>
        <v>11.8-8</v>
      </c>
      <c r="L78" s="198">
        <f t="shared" si="36"/>
        <v>0.2</v>
      </c>
      <c r="M78" s="49">
        <v>90</v>
      </c>
      <c r="N78" s="198">
        <f t="shared" si="40"/>
        <v>150</v>
      </c>
      <c r="O78" s="198">
        <f t="shared" si="40"/>
        <v>155</v>
      </c>
      <c r="P78" s="198">
        <f t="shared" si="40"/>
        <v>165</v>
      </c>
      <c r="Q78" s="196" t="str">
        <f t="shared" si="38"/>
        <v>\\172.20.0.4\fs04\XW\V4\loop1\inputs\ex_controller\3_phase_n.txt</v>
      </c>
    </row>
    <row r="79" spans="1:17" x14ac:dyDescent="0.25">
      <c r="A79" s="195">
        <f t="shared" si="37"/>
        <v>2469</v>
      </c>
      <c r="B79" s="196">
        <f t="shared" si="37"/>
        <v>69</v>
      </c>
      <c r="C79" s="229" t="str">
        <f t="shared" si="39"/>
        <v>22dB12+000_000_09</v>
      </c>
      <c r="D79" s="197">
        <f t="shared" si="31"/>
        <v>11.8</v>
      </c>
      <c r="E79" s="204">
        <f t="shared" si="12"/>
        <v>2.0230000000000001</v>
      </c>
      <c r="F79" s="198">
        <f t="shared" si="41"/>
        <v>17.14406779661017</v>
      </c>
      <c r="G79" s="198">
        <f t="shared" si="28"/>
        <v>13.715254237288136</v>
      </c>
      <c r="H79" s="198">
        <f t="shared" si="29"/>
        <v>8.5720338983050848</v>
      </c>
      <c r="I79" s="198">
        <f t="shared" si="42"/>
        <v>8</v>
      </c>
      <c r="J79" s="199">
        <f t="shared" si="42"/>
        <v>0</v>
      </c>
      <c r="K79" s="194" t="str">
        <f>D79&amp;-9</f>
        <v>11.8-9</v>
      </c>
      <c r="L79" s="198">
        <f t="shared" si="36"/>
        <v>0.2</v>
      </c>
      <c r="M79" s="49">
        <v>0</v>
      </c>
      <c r="N79" s="198">
        <f t="shared" si="40"/>
        <v>150</v>
      </c>
      <c r="O79" s="198">
        <f t="shared" si="40"/>
        <v>155</v>
      </c>
      <c r="P79" s="198">
        <f t="shared" si="40"/>
        <v>165</v>
      </c>
      <c r="Q79" s="196" t="str">
        <f t="shared" si="38"/>
        <v>\\172.20.0.4\fs04\XW\V4\loop1\inputs\ex_controller\3_phase_n.txt</v>
      </c>
    </row>
    <row r="80" spans="1:17" x14ac:dyDescent="0.25">
      <c r="A80" s="195">
        <f t="shared" si="37"/>
        <v>2470</v>
      </c>
      <c r="B80" s="196">
        <f t="shared" si="37"/>
        <v>70</v>
      </c>
      <c r="C80" s="229" t="str">
        <f t="shared" si="39"/>
        <v>22dB12+000_030_10</v>
      </c>
      <c r="D80" s="197">
        <f t="shared" si="31"/>
        <v>11.8</v>
      </c>
      <c r="E80" s="204">
        <f t="shared" si="12"/>
        <v>2.0230000000000001</v>
      </c>
      <c r="F80" s="198">
        <f t="shared" si="41"/>
        <v>17.14406779661017</v>
      </c>
      <c r="G80" s="198">
        <f t="shared" si="28"/>
        <v>13.715254237288136</v>
      </c>
      <c r="H80" s="198">
        <f t="shared" si="29"/>
        <v>8.5720338983050848</v>
      </c>
      <c r="I80" s="198">
        <f t="shared" si="42"/>
        <v>8</v>
      </c>
      <c r="J80" s="199">
        <f t="shared" si="42"/>
        <v>0</v>
      </c>
      <c r="K80" s="194" t="str">
        <f>D80&amp;-10</f>
        <v>11.8-10</v>
      </c>
      <c r="L80" s="198">
        <f t="shared" ref="L80:P95" si="43">L79</f>
        <v>0.2</v>
      </c>
      <c r="M80" s="49">
        <v>30</v>
      </c>
      <c r="N80" s="198">
        <f t="shared" si="40"/>
        <v>150</v>
      </c>
      <c r="O80" s="198">
        <f t="shared" si="40"/>
        <v>155</v>
      </c>
      <c r="P80" s="198">
        <f t="shared" si="40"/>
        <v>165</v>
      </c>
      <c r="Q80" s="196" t="str">
        <f t="shared" si="38"/>
        <v>\\172.20.0.4\fs04\XW\V4\loop1\inputs\ex_controller\3_phase_n.txt</v>
      </c>
    </row>
    <row r="81" spans="1:17" x14ac:dyDescent="0.25">
      <c r="A81" s="195">
        <f t="shared" ref="A81:B96" si="44">A80+1</f>
        <v>2471</v>
      </c>
      <c r="B81" s="196">
        <f t="shared" si="44"/>
        <v>71</v>
      </c>
      <c r="C81" s="229" t="str">
        <f t="shared" si="39"/>
        <v>22dB12+000_060_11</v>
      </c>
      <c r="D81" s="197">
        <f t="shared" si="31"/>
        <v>11.8</v>
      </c>
      <c r="E81" s="204">
        <f t="shared" si="12"/>
        <v>2.0230000000000001</v>
      </c>
      <c r="F81" s="198">
        <f t="shared" si="41"/>
        <v>17.14406779661017</v>
      </c>
      <c r="G81" s="198">
        <f t="shared" si="28"/>
        <v>13.715254237288136</v>
      </c>
      <c r="H81" s="198">
        <f t="shared" si="29"/>
        <v>8.5720338983050848</v>
      </c>
      <c r="I81" s="198">
        <f t="shared" si="42"/>
        <v>8</v>
      </c>
      <c r="J81" s="199">
        <f t="shared" si="42"/>
        <v>0</v>
      </c>
      <c r="K81" s="194" t="str">
        <f>D81&amp;-11</f>
        <v>11.8-11</v>
      </c>
      <c r="L81" s="198">
        <f t="shared" si="43"/>
        <v>0.2</v>
      </c>
      <c r="M81" s="49">
        <v>60</v>
      </c>
      <c r="N81" s="198">
        <f t="shared" si="40"/>
        <v>150</v>
      </c>
      <c r="O81" s="198">
        <f t="shared" si="40"/>
        <v>155</v>
      </c>
      <c r="P81" s="198">
        <f t="shared" si="40"/>
        <v>165</v>
      </c>
      <c r="Q81" s="196" t="str">
        <f t="shared" si="38"/>
        <v>\\172.20.0.4\fs04\XW\V4\loop1\inputs\ex_controller\3_phase_n.txt</v>
      </c>
    </row>
    <row r="82" spans="1:17" x14ac:dyDescent="0.25">
      <c r="A82" s="195">
        <f t="shared" si="44"/>
        <v>2472</v>
      </c>
      <c r="B82" s="196">
        <f t="shared" si="44"/>
        <v>72</v>
      </c>
      <c r="C82" s="229" t="str">
        <f t="shared" si="39"/>
        <v>22dB12+000_090_12</v>
      </c>
      <c r="D82" s="197">
        <f t="shared" si="31"/>
        <v>11.8</v>
      </c>
      <c r="E82" s="204">
        <f t="shared" si="12"/>
        <v>2.0230000000000001</v>
      </c>
      <c r="F82" s="198">
        <f t="shared" si="41"/>
        <v>17.14406779661017</v>
      </c>
      <c r="G82" s="198">
        <f t="shared" si="28"/>
        <v>13.715254237288136</v>
      </c>
      <c r="H82" s="198">
        <f t="shared" si="29"/>
        <v>8.5720338983050848</v>
      </c>
      <c r="I82" s="198">
        <f t="shared" si="42"/>
        <v>8</v>
      </c>
      <c r="J82" s="199">
        <f t="shared" si="42"/>
        <v>0</v>
      </c>
      <c r="K82" s="194" t="str">
        <f>D82&amp;-12</f>
        <v>11.8-12</v>
      </c>
      <c r="L82" s="198">
        <f t="shared" si="43"/>
        <v>0.2</v>
      </c>
      <c r="M82" s="49">
        <v>90</v>
      </c>
      <c r="N82" s="198">
        <f t="shared" si="40"/>
        <v>150</v>
      </c>
      <c r="O82" s="198">
        <f t="shared" si="40"/>
        <v>155</v>
      </c>
      <c r="P82" s="198">
        <f t="shared" si="40"/>
        <v>165</v>
      </c>
      <c r="Q82" s="196" t="str">
        <f t="shared" si="38"/>
        <v>\\172.20.0.4\fs04\XW\V4\loop1\inputs\ex_controller\3_phase_n.txt</v>
      </c>
    </row>
    <row r="83" spans="1:17" x14ac:dyDescent="0.25">
      <c r="A83" s="195">
        <f t="shared" si="44"/>
        <v>2473</v>
      </c>
      <c r="B83" s="196">
        <f t="shared" si="44"/>
        <v>73</v>
      </c>
      <c r="C83" s="229" t="str">
        <f t="shared" si="39"/>
        <v>22dA20+000_000_01</v>
      </c>
      <c r="D83" s="197">
        <f>v_c</f>
        <v>20</v>
      </c>
      <c r="E83" s="204">
        <f t="shared" ref="E83:E106" si="45">I_ref*(0.75*D83+5.6)</f>
        <v>2.8840000000000003</v>
      </c>
      <c r="F83" s="198">
        <f t="shared" si="41"/>
        <v>14.420000000000002</v>
      </c>
      <c r="G83" s="198">
        <f t="shared" si="28"/>
        <v>11.536000000000001</v>
      </c>
      <c r="H83" s="198">
        <f t="shared" si="29"/>
        <v>7.2100000000000009</v>
      </c>
      <c r="I83" s="198">
        <f t="shared" si="42"/>
        <v>8</v>
      </c>
      <c r="J83" s="199">
        <f t="shared" si="42"/>
        <v>0</v>
      </c>
      <c r="K83" s="194" t="str">
        <f>D83&amp;-1</f>
        <v>20-1</v>
      </c>
      <c r="L83" s="198">
        <f t="shared" si="43"/>
        <v>0.2</v>
      </c>
      <c r="M83" s="49">
        <v>0</v>
      </c>
      <c r="N83" s="198">
        <f>t_out_sc</f>
        <v>150</v>
      </c>
      <c r="O83" s="198">
        <f>t_sc</f>
        <v>155</v>
      </c>
      <c r="P83" s="198">
        <f>t_sim_sc</f>
        <v>165</v>
      </c>
      <c r="Q83" s="196" t="str">
        <f t="shared" ref="Q83" si="46">path_sc2</f>
        <v>\\172.20.0.4\fs04\XW\V4\loop1\inputs\ex_controller\2_phase_n.txt</v>
      </c>
    </row>
    <row r="84" spans="1:17" x14ac:dyDescent="0.25">
      <c r="A84" s="195">
        <f t="shared" si="44"/>
        <v>2474</v>
      </c>
      <c r="B84" s="196">
        <f t="shared" si="44"/>
        <v>74</v>
      </c>
      <c r="C84" s="229" t="str">
        <f t="shared" si="39"/>
        <v>22dA20+000_030_02</v>
      </c>
      <c r="D84" s="197">
        <f>D83</f>
        <v>20</v>
      </c>
      <c r="E84" s="204">
        <f t="shared" si="45"/>
        <v>2.8840000000000003</v>
      </c>
      <c r="F84" s="198">
        <f t="shared" si="41"/>
        <v>14.420000000000002</v>
      </c>
      <c r="G84" s="198">
        <f t="shared" si="28"/>
        <v>11.536000000000001</v>
      </c>
      <c r="H84" s="198">
        <f t="shared" si="29"/>
        <v>7.2100000000000009</v>
      </c>
      <c r="I84" s="198">
        <f t="shared" si="42"/>
        <v>8</v>
      </c>
      <c r="J84" s="199">
        <f t="shared" si="42"/>
        <v>0</v>
      </c>
      <c r="K84" s="194" t="str">
        <f>D84&amp;-2</f>
        <v>20-2</v>
      </c>
      <c r="L84" s="198">
        <f t="shared" si="43"/>
        <v>0.2</v>
      </c>
      <c r="M84" s="49">
        <v>30</v>
      </c>
      <c r="N84" s="198">
        <f t="shared" si="43"/>
        <v>150</v>
      </c>
      <c r="O84" s="198">
        <f t="shared" si="43"/>
        <v>155</v>
      </c>
      <c r="P84" s="198">
        <f t="shared" si="43"/>
        <v>165</v>
      </c>
      <c r="Q84" s="196" t="str">
        <f>Q83</f>
        <v>\\172.20.0.4\fs04\XW\V4\loop1\inputs\ex_controller\2_phase_n.txt</v>
      </c>
    </row>
    <row r="85" spans="1:17" x14ac:dyDescent="0.25">
      <c r="A85" s="195">
        <f t="shared" si="44"/>
        <v>2475</v>
      </c>
      <c r="B85" s="196">
        <f t="shared" si="44"/>
        <v>75</v>
      </c>
      <c r="C85" s="229" t="str">
        <f t="shared" si="39"/>
        <v>22dA20+000_060_03</v>
      </c>
      <c r="D85" s="197">
        <f t="shared" ref="D85:D106" si="47">D84</f>
        <v>20</v>
      </c>
      <c r="E85" s="204">
        <f t="shared" si="45"/>
        <v>2.8840000000000003</v>
      </c>
      <c r="F85" s="198">
        <f t="shared" si="41"/>
        <v>14.420000000000002</v>
      </c>
      <c r="G85" s="198">
        <f t="shared" si="28"/>
        <v>11.536000000000001</v>
      </c>
      <c r="H85" s="198">
        <f t="shared" si="29"/>
        <v>7.2100000000000009</v>
      </c>
      <c r="I85" s="198">
        <f t="shared" si="42"/>
        <v>8</v>
      </c>
      <c r="J85" s="199">
        <f t="shared" si="42"/>
        <v>0</v>
      </c>
      <c r="K85" s="194" t="str">
        <f>D85&amp;-3</f>
        <v>20-3</v>
      </c>
      <c r="L85" s="198">
        <f t="shared" si="43"/>
        <v>0.2</v>
      </c>
      <c r="M85" s="49">
        <v>60</v>
      </c>
      <c r="N85" s="198">
        <f t="shared" si="43"/>
        <v>150</v>
      </c>
      <c r="O85" s="198">
        <f t="shared" si="43"/>
        <v>155</v>
      </c>
      <c r="P85" s="198">
        <f t="shared" si="43"/>
        <v>165</v>
      </c>
      <c r="Q85" s="196" t="str">
        <f t="shared" ref="Q85:Q94" si="48">Q84</f>
        <v>\\172.20.0.4\fs04\XW\V4\loop1\inputs\ex_controller\2_phase_n.txt</v>
      </c>
    </row>
    <row r="86" spans="1:17" x14ac:dyDescent="0.25">
      <c r="A86" s="195">
        <f t="shared" si="44"/>
        <v>2476</v>
      </c>
      <c r="B86" s="196">
        <f t="shared" si="44"/>
        <v>76</v>
      </c>
      <c r="C86" s="229" t="str">
        <f t="shared" si="39"/>
        <v>22dA20+000_090_04</v>
      </c>
      <c r="D86" s="197">
        <f t="shared" si="47"/>
        <v>20</v>
      </c>
      <c r="E86" s="204">
        <f t="shared" si="45"/>
        <v>2.8840000000000003</v>
      </c>
      <c r="F86" s="198">
        <f t="shared" si="41"/>
        <v>14.420000000000002</v>
      </c>
      <c r="G86" s="198">
        <f t="shared" si="28"/>
        <v>11.536000000000001</v>
      </c>
      <c r="H86" s="198">
        <f t="shared" si="29"/>
        <v>7.2100000000000009</v>
      </c>
      <c r="I86" s="198">
        <f t="shared" si="42"/>
        <v>8</v>
      </c>
      <c r="J86" s="199">
        <f t="shared" si="42"/>
        <v>0</v>
      </c>
      <c r="K86" s="194" t="str">
        <f>D86&amp;-4</f>
        <v>20-4</v>
      </c>
      <c r="L86" s="198">
        <f t="shared" si="43"/>
        <v>0.2</v>
      </c>
      <c r="M86" s="49">
        <v>90</v>
      </c>
      <c r="N86" s="198">
        <f t="shared" si="43"/>
        <v>150</v>
      </c>
      <c r="O86" s="198">
        <f t="shared" si="43"/>
        <v>155</v>
      </c>
      <c r="P86" s="198">
        <f t="shared" si="43"/>
        <v>165</v>
      </c>
      <c r="Q86" s="196" t="str">
        <f t="shared" si="48"/>
        <v>\\172.20.0.4\fs04\XW\V4\loop1\inputs\ex_controller\2_phase_n.txt</v>
      </c>
    </row>
    <row r="87" spans="1:17" x14ac:dyDescent="0.25">
      <c r="A87" s="195">
        <f t="shared" si="44"/>
        <v>2477</v>
      </c>
      <c r="B87" s="196">
        <f t="shared" si="44"/>
        <v>77</v>
      </c>
      <c r="C87" s="229" t="str">
        <f t="shared" si="39"/>
        <v>22dA20+000_000_05</v>
      </c>
      <c r="D87" s="197">
        <f t="shared" si="47"/>
        <v>20</v>
      </c>
      <c r="E87" s="204">
        <f t="shared" si="45"/>
        <v>2.8840000000000003</v>
      </c>
      <c r="F87" s="198">
        <f t="shared" si="41"/>
        <v>14.420000000000002</v>
      </c>
      <c r="G87" s="198">
        <f t="shared" si="28"/>
        <v>11.536000000000001</v>
      </c>
      <c r="H87" s="198">
        <f t="shared" si="29"/>
        <v>7.2100000000000009</v>
      </c>
      <c r="I87" s="198">
        <f t="shared" si="42"/>
        <v>8</v>
      </c>
      <c r="J87" s="199">
        <f t="shared" si="42"/>
        <v>0</v>
      </c>
      <c r="K87" s="194" t="str">
        <f>D87&amp;-5</f>
        <v>20-5</v>
      </c>
      <c r="L87" s="198">
        <f t="shared" si="43"/>
        <v>0.2</v>
      </c>
      <c r="M87" s="49">
        <v>0</v>
      </c>
      <c r="N87" s="198">
        <f t="shared" si="43"/>
        <v>150</v>
      </c>
      <c r="O87" s="198">
        <f t="shared" si="43"/>
        <v>155</v>
      </c>
      <c r="P87" s="198">
        <f t="shared" si="43"/>
        <v>165</v>
      </c>
      <c r="Q87" s="196" t="str">
        <f t="shared" si="48"/>
        <v>\\172.20.0.4\fs04\XW\V4\loop1\inputs\ex_controller\2_phase_n.txt</v>
      </c>
    </row>
    <row r="88" spans="1:17" x14ac:dyDescent="0.25">
      <c r="A88" s="195">
        <f t="shared" si="44"/>
        <v>2478</v>
      </c>
      <c r="B88" s="196">
        <f t="shared" si="44"/>
        <v>78</v>
      </c>
      <c r="C88" s="229" t="str">
        <f t="shared" si="39"/>
        <v>22dA20+000_030_06</v>
      </c>
      <c r="D88" s="197">
        <f t="shared" si="47"/>
        <v>20</v>
      </c>
      <c r="E88" s="204">
        <f t="shared" si="45"/>
        <v>2.8840000000000003</v>
      </c>
      <c r="F88" s="198">
        <f t="shared" si="41"/>
        <v>14.420000000000002</v>
      </c>
      <c r="G88" s="198">
        <f t="shared" si="28"/>
        <v>11.536000000000001</v>
      </c>
      <c r="H88" s="198">
        <f t="shared" si="29"/>
        <v>7.2100000000000009</v>
      </c>
      <c r="I88" s="198">
        <f t="shared" si="42"/>
        <v>8</v>
      </c>
      <c r="J88" s="199">
        <f t="shared" si="42"/>
        <v>0</v>
      </c>
      <c r="K88" s="194" t="str">
        <f>D88&amp;-6</f>
        <v>20-6</v>
      </c>
      <c r="L88" s="198">
        <f t="shared" si="43"/>
        <v>0.2</v>
      </c>
      <c r="M88" s="49">
        <v>30</v>
      </c>
      <c r="N88" s="198">
        <f t="shared" si="43"/>
        <v>150</v>
      </c>
      <c r="O88" s="198">
        <f t="shared" si="43"/>
        <v>155</v>
      </c>
      <c r="P88" s="198">
        <f t="shared" si="43"/>
        <v>165</v>
      </c>
      <c r="Q88" s="196" t="str">
        <f t="shared" si="48"/>
        <v>\\172.20.0.4\fs04\XW\V4\loop1\inputs\ex_controller\2_phase_n.txt</v>
      </c>
    </row>
    <row r="89" spans="1:17" x14ac:dyDescent="0.25">
      <c r="A89" s="195">
        <f t="shared" si="44"/>
        <v>2479</v>
      </c>
      <c r="B89" s="196">
        <f t="shared" si="44"/>
        <v>79</v>
      </c>
      <c r="C89" s="229" t="str">
        <f t="shared" si="39"/>
        <v>22dA20+000_060_07</v>
      </c>
      <c r="D89" s="197">
        <f t="shared" si="47"/>
        <v>20</v>
      </c>
      <c r="E89" s="204">
        <f t="shared" si="45"/>
        <v>2.8840000000000003</v>
      </c>
      <c r="F89" s="198">
        <f t="shared" si="41"/>
        <v>14.420000000000002</v>
      </c>
      <c r="G89" s="198">
        <f t="shared" si="28"/>
        <v>11.536000000000001</v>
      </c>
      <c r="H89" s="198">
        <f t="shared" si="29"/>
        <v>7.2100000000000009</v>
      </c>
      <c r="I89" s="198">
        <f t="shared" si="42"/>
        <v>8</v>
      </c>
      <c r="J89" s="199">
        <f t="shared" si="42"/>
        <v>0</v>
      </c>
      <c r="K89" s="194" t="str">
        <f>D89&amp;-7</f>
        <v>20-7</v>
      </c>
      <c r="L89" s="198">
        <f t="shared" si="43"/>
        <v>0.2</v>
      </c>
      <c r="M89" s="49">
        <v>60</v>
      </c>
      <c r="N89" s="198">
        <f t="shared" si="43"/>
        <v>150</v>
      </c>
      <c r="O89" s="198">
        <f t="shared" si="43"/>
        <v>155</v>
      </c>
      <c r="P89" s="198">
        <f t="shared" si="43"/>
        <v>165</v>
      </c>
      <c r="Q89" s="196" t="str">
        <f t="shared" si="48"/>
        <v>\\172.20.0.4\fs04\XW\V4\loop1\inputs\ex_controller\2_phase_n.txt</v>
      </c>
    </row>
    <row r="90" spans="1:17" x14ac:dyDescent="0.25">
      <c r="A90" s="195">
        <f t="shared" si="44"/>
        <v>2480</v>
      </c>
      <c r="B90" s="196">
        <f t="shared" si="44"/>
        <v>80</v>
      </c>
      <c r="C90" s="229" t="str">
        <f t="shared" si="39"/>
        <v>22dA20+000_090_08</v>
      </c>
      <c r="D90" s="197">
        <f t="shared" si="47"/>
        <v>20</v>
      </c>
      <c r="E90" s="204">
        <f t="shared" si="45"/>
        <v>2.8840000000000003</v>
      </c>
      <c r="F90" s="198">
        <f t="shared" si="41"/>
        <v>14.420000000000002</v>
      </c>
      <c r="G90" s="198">
        <f t="shared" si="28"/>
        <v>11.536000000000001</v>
      </c>
      <c r="H90" s="198">
        <f t="shared" si="29"/>
        <v>7.2100000000000009</v>
      </c>
      <c r="I90" s="198">
        <f t="shared" si="42"/>
        <v>8</v>
      </c>
      <c r="J90" s="199">
        <f t="shared" si="42"/>
        <v>0</v>
      </c>
      <c r="K90" s="194" t="str">
        <f>D90&amp;-8</f>
        <v>20-8</v>
      </c>
      <c r="L90" s="198">
        <f t="shared" si="43"/>
        <v>0.2</v>
      </c>
      <c r="M90" s="49">
        <v>90</v>
      </c>
      <c r="N90" s="198">
        <f t="shared" si="43"/>
        <v>150</v>
      </c>
      <c r="O90" s="198">
        <f t="shared" si="43"/>
        <v>155</v>
      </c>
      <c r="P90" s="198">
        <f t="shared" si="43"/>
        <v>165</v>
      </c>
      <c r="Q90" s="196" t="str">
        <f t="shared" si="48"/>
        <v>\\172.20.0.4\fs04\XW\V4\loop1\inputs\ex_controller\2_phase_n.txt</v>
      </c>
    </row>
    <row r="91" spans="1:17" x14ac:dyDescent="0.25">
      <c r="A91" s="195">
        <f t="shared" si="44"/>
        <v>2481</v>
      </c>
      <c r="B91" s="196">
        <f t="shared" si="44"/>
        <v>81</v>
      </c>
      <c r="C91" s="229" t="str">
        <f t="shared" si="39"/>
        <v>22dA20+000_000_09</v>
      </c>
      <c r="D91" s="197">
        <f t="shared" si="47"/>
        <v>20</v>
      </c>
      <c r="E91" s="204">
        <f t="shared" si="45"/>
        <v>2.8840000000000003</v>
      </c>
      <c r="F91" s="198">
        <f t="shared" si="41"/>
        <v>14.420000000000002</v>
      </c>
      <c r="G91" s="198">
        <f t="shared" si="28"/>
        <v>11.536000000000001</v>
      </c>
      <c r="H91" s="198">
        <f t="shared" si="29"/>
        <v>7.2100000000000009</v>
      </c>
      <c r="I91" s="198">
        <f t="shared" si="42"/>
        <v>8</v>
      </c>
      <c r="J91" s="199">
        <f t="shared" si="42"/>
        <v>0</v>
      </c>
      <c r="K91" s="194" t="str">
        <f>D91&amp;-9</f>
        <v>20-9</v>
      </c>
      <c r="L91" s="198">
        <f t="shared" si="43"/>
        <v>0.2</v>
      </c>
      <c r="M91" s="49">
        <v>0</v>
      </c>
      <c r="N91" s="198">
        <f t="shared" si="43"/>
        <v>150</v>
      </c>
      <c r="O91" s="198">
        <f t="shared" si="43"/>
        <v>155</v>
      </c>
      <c r="P91" s="198">
        <f t="shared" si="43"/>
        <v>165</v>
      </c>
      <c r="Q91" s="196" t="str">
        <f t="shared" si="48"/>
        <v>\\172.20.0.4\fs04\XW\V4\loop1\inputs\ex_controller\2_phase_n.txt</v>
      </c>
    </row>
    <row r="92" spans="1:17" x14ac:dyDescent="0.25">
      <c r="A92" s="195">
        <f t="shared" si="44"/>
        <v>2482</v>
      </c>
      <c r="B92" s="196">
        <f t="shared" si="44"/>
        <v>82</v>
      </c>
      <c r="C92" s="229" t="str">
        <f t="shared" si="39"/>
        <v>22dA20+000_030_10</v>
      </c>
      <c r="D92" s="197">
        <f t="shared" si="47"/>
        <v>20</v>
      </c>
      <c r="E92" s="204">
        <f t="shared" si="45"/>
        <v>2.8840000000000003</v>
      </c>
      <c r="F92" s="198">
        <f t="shared" si="41"/>
        <v>14.420000000000002</v>
      </c>
      <c r="G92" s="198">
        <f t="shared" si="28"/>
        <v>11.536000000000001</v>
      </c>
      <c r="H92" s="198">
        <f t="shared" si="29"/>
        <v>7.2100000000000009</v>
      </c>
      <c r="I92" s="198">
        <f t="shared" si="42"/>
        <v>8</v>
      </c>
      <c r="J92" s="199">
        <f t="shared" si="42"/>
        <v>0</v>
      </c>
      <c r="K92" s="194" t="str">
        <f>D92&amp;-10</f>
        <v>20-10</v>
      </c>
      <c r="L92" s="198">
        <f t="shared" si="43"/>
        <v>0.2</v>
      </c>
      <c r="M92" s="49">
        <v>30</v>
      </c>
      <c r="N92" s="198">
        <f t="shared" si="43"/>
        <v>150</v>
      </c>
      <c r="O92" s="198">
        <f t="shared" si="43"/>
        <v>155</v>
      </c>
      <c r="P92" s="198">
        <f t="shared" si="43"/>
        <v>165</v>
      </c>
      <c r="Q92" s="196" t="str">
        <f t="shared" si="48"/>
        <v>\\172.20.0.4\fs04\XW\V4\loop1\inputs\ex_controller\2_phase_n.txt</v>
      </c>
    </row>
    <row r="93" spans="1:17" x14ac:dyDescent="0.25">
      <c r="A93" s="195">
        <f t="shared" si="44"/>
        <v>2483</v>
      </c>
      <c r="B93" s="196">
        <f t="shared" si="44"/>
        <v>83</v>
      </c>
      <c r="C93" s="229" t="str">
        <f t="shared" si="39"/>
        <v>22dA20+000_060_11</v>
      </c>
      <c r="D93" s="197">
        <f t="shared" si="47"/>
        <v>20</v>
      </c>
      <c r="E93" s="204">
        <f t="shared" si="45"/>
        <v>2.8840000000000003</v>
      </c>
      <c r="F93" s="198">
        <f t="shared" si="41"/>
        <v>14.420000000000002</v>
      </c>
      <c r="G93" s="198">
        <f t="shared" si="28"/>
        <v>11.536000000000001</v>
      </c>
      <c r="H93" s="198">
        <f t="shared" si="29"/>
        <v>7.2100000000000009</v>
      </c>
      <c r="I93" s="198">
        <f t="shared" ref="I93:J106" si="49">I92</f>
        <v>8</v>
      </c>
      <c r="J93" s="199">
        <f t="shared" si="49"/>
        <v>0</v>
      </c>
      <c r="K93" s="194" t="str">
        <f>D93&amp;-11</f>
        <v>20-11</v>
      </c>
      <c r="L93" s="198">
        <f t="shared" si="43"/>
        <v>0.2</v>
      </c>
      <c r="M93" s="49">
        <v>60</v>
      </c>
      <c r="N93" s="198">
        <f t="shared" si="43"/>
        <v>150</v>
      </c>
      <c r="O93" s="198">
        <f t="shared" si="43"/>
        <v>155</v>
      </c>
      <c r="P93" s="198">
        <f t="shared" si="43"/>
        <v>165</v>
      </c>
      <c r="Q93" s="196" t="str">
        <f t="shared" si="48"/>
        <v>\\172.20.0.4\fs04\XW\V4\loop1\inputs\ex_controller\2_phase_n.txt</v>
      </c>
    </row>
    <row r="94" spans="1:17" x14ac:dyDescent="0.25">
      <c r="A94" s="195">
        <f t="shared" si="44"/>
        <v>2484</v>
      </c>
      <c r="B94" s="196">
        <f t="shared" si="44"/>
        <v>84</v>
      </c>
      <c r="C94" s="229" t="str">
        <f t="shared" si="39"/>
        <v>22dA20+000_090_12</v>
      </c>
      <c r="D94" s="197">
        <f t="shared" si="47"/>
        <v>20</v>
      </c>
      <c r="E94" s="204">
        <f t="shared" si="45"/>
        <v>2.8840000000000003</v>
      </c>
      <c r="F94" s="198">
        <f t="shared" si="41"/>
        <v>14.420000000000002</v>
      </c>
      <c r="G94" s="198">
        <f t="shared" si="28"/>
        <v>11.536000000000001</v>
      </c>
      <c r="H94" s="198">
        <f t="shared" si="29"/>
        <v>7.2100000000000009</v>
      </c>
      <c r="I94" s="198">
        <f t="shared" si="49"/>
        <v>8</v>
      </c>
      <c r="J94" s="199">
        <f t="shared" si="49"/>
        <v>0</v>
      </c>
      <c r="K94" s="194" t="str">
        <f>D94&amp;-12</f>
        <v>20-12</v>
      </c>
      <c r="L94" s="198">
        <f t="shared" si="43"/>
        <v>0.2</v>
      </c>
      <c r="M94" s="49">
        <v>90</v>
      </c>
      <c r="N94" s="198">
        <f t="shared" si="43"/>
        <v>150</v>
      </c>
      <c r="O94" s="198">
        <f t="shared" si="43"/>
        <v>155</v>
      </c>
      <c r="P94" s="198">
        <f t="shared" si="43"/>
        <v>165</v>
      </c>
      <c r="Q94" s="196" t="str">
        <f t="shared" si="48"/>
        <v>\\172.20.0.4\fs04\XW\V4\loop1\inputs\ex_controller\2_phase_n.txt</v>
      </c>
    </row>
    <row r="95" spans="1:17" x14ac:dyDescent="0.25">
      <c r="A95" s="195">
        <f t="shared" si="44"/>
        <v>2485</v>
      </c>
      <c r="B95" s="196">
        <f t="shared" si="44"/>
        <v>85</v>
      </c>
      <c r="C95" s="229" t="str">
        <f t="shared" si="39"/>
        <v>22dB20+000_000_01</v>
      </c>
      <c r="D95" s="197">
        <f t="shared" si="47"/>
        <v>20</v>
      </c>
      <c r="E95" s="204">
        <f t="shared" si="45"/>
        <v>2.8840000000000003</v>
      </c>
      <c r="F95" s="198">
        <f t="shared" si="41"/>
        <v>14.420000000000002</v>
      </c>
      <c r="G95" s="198">
        <f t="shared" si="28"/>
        <v>11.536000000000001</v>
      </c>
      <c r="H95" s="198">
        <f t="shared" si="29"/>
        <v>7.2100000000000009</v>
      </c>
      <c r="I95" s="198">
        <f t="shared" si="49"/>
        <v>8</v>
      </c>
      <c r="J95" s="199">
        <f t="shared" si="49"/>
        <v>0</v>
      </c>
      <c r="K95" s="194" t="str">
        <f>D95&amp;-1</f>
        <v>20-1</v>
      </c>
      <c r="L95" s="198">
        <f t="shared" si="43"/>
        <v>0.2</v>
      </c>
      <c r="M95" s="49">
        <v>0</v>
      </c>
      <c r="N95" s="198">
        <f t="shared" si="43"/>
        <v>150</v>
      </c>
      <c r="O95" s="198">
        <f t="shared" si="43"/>
        <v>155</v>
      </c>
      <c r="P95" s="198">
        <f t="shared" si="43"/>
        <v>165</v>
      </c>
      <c r="Q95" s="196" t="str">
        <f>path_sc3</f>
        <v>\\172.20.0.4\fs04\XW\V4\loop1\inputs\ex_controller\3_phase_n.txt</v>
      </c>
    </row>
    <row r="96" spans="1:17" x14ac:dyDescent="0.25">
      <c r="A96" s="195">
        <f t="shared" si="44"/>
        <v>2486</v>
      </c>
      <c r="B96" s="196">
        <f t="shared" si="44"/>
        <v>86</v>
      </c>
      <c r="C96" s="229" t="str">
        <f t="shared" si="39"/>
        <v>22dB20+000_030_02</v>
      </c>
      <c r="D96" s="197">
        <f t="shared" si="47"/>
        <v>20</v>
      </c>
      <c r="E96" s="204">
        <f t="shared" si="45"/>
        <v>2.8840000000000003</v>
      </c>
      <c r="F96" s="198">
        <f t="shared" si="41"/>
        <v>14.420000000000002</v>
      </c>
      <c r="G96" s="198">
        <f t="shared" si="28"/>
        <v>11.536000000000001</v>
      </c>
      <c r="H96" s="198">
        <f t="shared" si="29"/>
        <v>7.2100000000000009</v>
      </c>
      <c r="I96" s="198">
        <f t="shared" si="49"/>
        <v>8</v>
      </c>
      <c r="J96" s="199">
        <f t="shared" si="49"/>
        <v>0</v>
      </c>
      <c r="K96" s="194" t="str">
        <f>D96&amp;-2</f>
        <v>20-2</v>
      </c>
      <c r="L96" s="198">
        <f t="shared" ref="L96:L106" si="50">L95</f>
        <v>0.2</v>
      </c>
      <c r="M96" s="49">
        <v>30</v>
      </c>
      <c r="N96" s="198">
        <f t="shared" ref="N96:P106" si="51">N95</f>
        <v>150</v>
      </c>
      <c r="O96" s="198">
        <f t="shared" si="51"/>
        <v>155</v>
      </c>
      <c r="P96" s="198">
        <f t="shared" si="51"/>
        <v>165</v>
      </c>
      <c r="Q96" s="196" t="str">
        <f>Q95</f>
        <v>\\172.20.0.4\fs04\XW\V4\loop1\inputs\ex_controller\3_phase_n.txt</v>
      </c>
    </row>
    <row r="97" spans="1:17" x14ac:dyDescent="0.25">
      <c r="A97" s="195">
        <f t="shared" ref="A97:B106" si="52">A96+1</f>
        <v>2487</v>
      </c>
      <c r="B97" s="196">
        <f t="shared" si="52"/>
        <v>87</v>
      </c>
      <c r="C97" s="229" t="str">
        <f t="shared" si="39"/>
        <v>22dB20+000_060_03</v>
      </c>
      <c r="D97" s="197">
        <f t="shared" si="47"/>
        <v>20</v>
      </c>
      <c r="E97" s="204">
        <f t="shared" si="45"/>
        <v>2.8840000000000003</v>
      </c>
      <c r="F97" s="198">
        <f t="shared" si="41"/>
        <v>14.420000000000002</v>
      </c>
      <c r="G97" s="198">
        <f t="shared" si="28"/>
        <v>11.536000000000001</v>
      </c>
      <c r="H97" s="198">
        <f t="shared" si="29"/>
        <v>7.2100000000000009</v>
      </c>
      <c r="I97" s="198">
        <f t="shared" si="49"/>
        <v>8</v>
      </c>
      <c r="J97" s="199">
        <f t="shared" si="49"/>
        <v>0</v>
      </c>
      <c r="K97" s="194" t="str">
        <f>D97&amp;-3</f>
        <v>20-3</v>
      </c>
      <c r="L97" s="198">
        <f t="shared" si="50"/>
        <v>0.2</v>
      </c>
      <c r="M97" s="49">
        <v>60</v>
      </c>
      <c r="N97" s="198">
        <f t="shared" si="51"/>
        <v>150</v>
      </c>
      <c r="O97" s="198">
        <f t="shared" si="51"/>
        <v>155</v>
      </c>
      <c r="P97" s="198">
        <f t="shared" si="51"/>
        <v>165</v>
      </c>
      <c r="Q97" s="196" t="str">
        <f t="shared" ref="Q97:Q106" si="53">Q96</f>
        <v>\\172.20.0.4\fs04\XW\V4\loop1\inputs\ex_controller\3_phase_n.txt</v>
      </c>
    </row>
    <row r="98" spans="1:17" x14ac:dyDescent="0.25">
      <c r="A98" s="195">
        <f t="shared" si="52"/>
        <v>2488</v>
      </c>
      <c r="B98" s="196">
        <f t="shared" si="52"/>
        <v>88</v>
      </c>
      <c r="C98" s="229" t="str">
        <f t="shared" si="39"/>
        <v>22dB20+000_090_04</v>
      </c>
      <c r="D98" s="197">
        <f t="shared" si="47"/>
        <v>20</v>
      </c>
      <c r="E98" s="204">
        <f t="shared" si="45"/>
        <v>2.8840000000000003</v>
      </c>
      <c r="F98" s="198">
        <f t="shared" si="41"/>
        <v>14.420000000000002</v>
      </c>
      <c r="G98" s="198">
        <f t="shared" si="28"/>
        <v>11.536000000000001</v>
      </c>
      <c r="H98" s="198">
        <f t="shared" si="29"/>
        <v>7.2100000000000009</v>
      </c>
      <c r="I98" s="198">
        <f t="shared" si="49"/>
        <v>8</v>
      </c>
      <c r="J98" s="199">
        <f t="shared" si="49"/>
        <v>0</v>
      </c>
      <c r="K98" s="194" t="str">
        <f>D98&amp;-4</f>
        <v>20-4</v>
      </c>
      <c r="L98" s="198">
        <f t="shared" si="50"/>
        <v>0.2</v>
      </c>
      <c r="M98" s="49">
        <v>90</v>
      </c>
      <c r="N98" s="198">
        <f t="shared" si="51"/>
        <v>150</v>
      </c>
      <c r="O98" s="198">
        <f t="shared" si="51"/>
        <v>155</v>
      </c>
      <c r="P98" s="198">
        <f t="shared" si="51"/>
        <v>165</v>
      </c>
      <c r="Q98" s="196" t="str">
        <f t="shared" si="53"/>
        <v>\\172.20.0.4\fs04\XW\V4\loop1\inputs\ex_controller\3_phase_n.txt</v>
      </c>
    </row>
    <row r="99" spans="1:17" x14ac:dyDescent="0.25">
      <c r="A99" s="195">
        <f t="shared" si="52"/>
        <v>2489</v>
      </c>
      <c r="B99" s="196">
        <f t="shared" si="52"/>
        <v>89</v>
      </c>
      <c r="C99" s="229" t="str">
        <f t="shared" si="39"/>
        <v>22dB20+000_000_05</v>
      </c>
      <c r="D99" s="197">
        <f t="shared" si="47"/>
        <v>20</v>
      </c>
      <c r="E99" s="204">
        <f t="shared" si="45"/>
        <v>2.8840000000000003</v>
      </c>
      <c r="F99" s="198">
        <f t="shared" si="41"/>
        <v>14.420000000000002</v>
      </c>
      <c r="G99" s="198">
        <f t="shared" si="28"/>
        <v>11.536000000000001</v>
      </c>
      <c r="H99" s="198">
        <f t="shared" si="29"/>
        <v>7.2100000000000009</v>
      </c>
      <c r="I99" s="198">
        <f t="shared" si="49"/>
        <v>8</v>
      </c>
      <c r="J99" s="199">
        <f t="shared" si="49"/>
        <v>0</v>
      </c>
      <c r="K99" s="194" t="str">
        <f>D99&amp;-5</f>
        <v>20-5</v>
      </c>
      <c r="L99" s="198">
        <f t="shared" si="50"/>
        <v>0.2</v>
      </c>
      <c r="M99" s="49">
        <v>0</v>
      </c>
      <c r="N99" s="198">
        <f t="shared" si="51"/>
        <v>150</v>
      </c>
      <c r="O99" s="198">
        <f t="shared" si="51"/>
        <v>155</v>
      </c>
      <c r="P99" s="198">
        <f t="shared" si="51"/>
        <v>165</v>
      </c>
      <c r="Q99" s="196" t="str">
        <f t="shared" si="53"/>
        <v>\\172.20.0.4\fs04\XW\V4\loop1\inputs\ex_controller\3_phase_n.txt</v>
      </c>
    </row>
    <row r="100" spans="1:17" x14ac:dyDescent="0.25">
      <c r="A100" s="195">
        <f t="shared" si="52"/>
        <v>2490</v>
      </c>
      <c r="B100" s="196">
        <f t="shared" si="52"/>
        <v>90</v>
      </c>
      <c r="C100" s="229" t="str">
        <f t="shared" si="39"/>
        <v>22dB20+000_030_06</v>
      </c>
      <c r="D100" s="197">
        <f t="shared" si="47"/>
        <v>20</v>
      </c>
      <c r="E100" s="204">
        <f t="shared" si="45"/>
        <v>2.8840000000000003</v>
      </c>
      <c r="F100" s="198">
        <f t="shared" si="41"/>
        <v>14.420000000000002</v>
      </c>
      <c r="G100" s="198">
        <f t="shared" si="28"/>
        <v>11.536000000000001</v>
      </c>
      <c r="H100" s="198">
        <f t="shared" si="29"/>
        <v>7.2100000000000009</v>
      </c>
      <c r="I100" s="198">
        <f t="shared" si="49"/>
        <v>8</v>
      </c>
      <c r="J100" s="199">
        <f t="shared" si="49"/>
        <v>0</v>
      </c>
      <c r="K100" s="194" t="str">
        <f>D100&amp;-6</f>
        <v>20-6</v>
      </c>
      <c r="L100" s="198">
        <f t="shared" si="50"/>
        <v>0.2</v>
      </c>
      <c r="M100" s="49">
        <v>30</v>
      </c>
      <c r="N100" s="198">
        <f t="shared" si="51"/>
        <v>150</v>
      </c>
      <c r="O100" s="198">
        <f t="shared" si="51"/>
        <v>155</v>
      </c>
      <c r="P100" s="198">
        <f t="shared" si="51"/>
        <v>165</v>
      </c>
      <c r="Q100" s="196" t="str">
        <f t="shared" si="53"/>
        <v>\\172.20.0.4\fs04\XW\V4\loop1\inputs\ex_controller\3_phase_n.txt</v>
      </c>
    </row>
    <row r="101" spans="1:17" x14ac:dyDescent="0.25">
      <c r="A101" s="195">
        <f t="shared" si="52"/>
        <v>2491</v>
      </c>
      <c r="B101" s="196">
        <f t="shared" si="52"/>
        <v>91</v>
      </c>
      <c r="C101" s="229" t="str">
        <f t="shared" si="39"/>
        <v>22dB20+000_060_07</v>
      </c>
      <c r="D101" s="197">
        <f t="shared" si="47"/>
        <v>20</v>
      </c>
      <c r="E101" s="204">
        <f t="shared" si="45"/>
        <v>2.8840000000000003</v>
      </c>
      <c r="F101" s="198">
        <f t="shared" si="41"/>
        <v>14.420000000000002</v>
      </c>
      <c r="G101" s="198">
        <f t="shared" si="28"/>
        <v>11.536000000000001</v>
      </c>
      <c r="H101" s="198">
        <f t="shared" si="29"/>
        <v>7.2100000000000009</v>
      </c>
      <c r="I101" s="198">
        <f t="shared" si="49"/>
        <v>8</v>
      </c>
      <c r="J101" s="199">
        <f t="shared" si="49"/>
        <v>0</v>
      </c>
      <c r="K101" s="194" t="str">
        <f>D101&amp;-7</f>
        <v>20-7</v>
      </c>
      <c r="L101" s="198">
        <f t="shared" si="50"/>
        <v>0.2</v>
      </c>
      <c r="M101" s="49">
        <v>60</v>
      </c>
      <c r="N101" s="198">
        <f t="shared" si="51"/>
        <v>150</v>
      </c>
      <c r="O101" s="198">
        <f t="shared" si="51"/>
        <v>155</v>
      </c>
      <c r="P101" s="198">
        <f t="shared" si="51"/>
        <v>165</v>
      </c>
      <c r="Q101" s="196" t="str">
        <f t="shared" si="53"/>
        <v>\\172.20.0.4\fs04\XW\V4\loop1\inputs\ex_controller\3_phase_n.txt</v>
      </c>
    </row>
    <row r="102" spans="1:17" x14ac:dyDescent="0.25">
      <c r="A102" s="195">
        <f t="shared" si="52"/>
        <v>2492</v>
      </c>
      <c r="B102" s="196">
        <f t="shared" si="52"/>
        <v>92</v>
      </c>
      <c r="C102" s="229" t="str">
        <f t="shared" si="39"/>
        <v>22dB20+000_090_08</v>
      </c>
      <c r="D102" s="197">
        <f t="shared" si="47"/>
        <v>20</v>
      </c>
      <c r="E102" s="204">
        <f t="shared" si="45"/>
        <v>2.8840000000000003</v>
      </c>
      <c r="F102" s="198">
        <f t="shared" si="41"/>
        <v>14.420000000000002</v>
      </c>
      <c r="G102" s="198">
        <f t="shared" si="28"/>
        <v>11.536000000000001</v>
      </c>
      <c r="H102" s="198">
        <f t="shared" si="29"/>
        <v>7.2100000000000009</v>
      </c>
      <c r="I102" s="198">
        <f t="shared" si="49"/>
        <v>8</v>
      </c>
      <c r="J102" s="199">
        <f t="shared" si="49"/>
        <v>0</v>
      </c>
      <c r="K102" s="194" t="str">
        <f>D102&amp;-8</f>
        <v>20-8</v>
      </c>
      <c r="L102" s="198">
        <f t="shared" si="50"/>
        <v>0.2</v>
      </c>
      <c r="M102" s="49">
        <v>90</v>
      </c>
      <c r="N102" s="198">
        <f t="shared" si="51"/>
        <v>150</v>
      </c>
      <c r="O102" s="198">
        <f t="shared" si="51"/>
        <v>155</v>
      </c>
      <c r="P102" s="198">
        <f t="shared" si="51"/>
        <v>165</v>
      </c>
      <c r="Q102" s="196" t="str">
        <f t="shared" si="53"/>
        <v>\\172.20.0.4\fs04\XW\V4\loop1\inputs\ex_controller\3_phase_n.txt</v>
      </c>
    </row>
    <row r="103" spans="1:17" x14ac:dyDescent="0.25">
      <c r="A103" s="195">
        <f t="shared" si="52"/>
        <v>2493</v>
      </c>
      <c r="B103" s="196">
        <f t="shared" si="52"/>
        <v>93</v>
      </c>
      <c r="C103" s="229" t="str">
        <f t="shared" si="39"/>
        <v>22dB20+000_000_09</v>
      </c>
      <c r="D103" s="197">
        <f t="shared" si="47"/>
        <v>20</v>
      </c>
      <c r="E103" s="204">
        <f t="shared" si="45"/>
        <v>2.8840000000000003</v>
      </c>
      <c r="F103" s="198">
        <f t="shared" si="41"/>
        <v>14.420000000000002</v>
      </c>
      <c r="G103" s="198">
        <f t="shared" si="28"/>
        <v>11.536000000000001</v>
      </c>
      <c r="H103" s="198">
        <f t="shared" si="29"/>
        <v>7.2100000000000009</v>
      </c>
      <c r="I103" s="198">
        <f t="shared" si="49"/>
        <v>8</v>
      </c>
      <c r="J103" s="199">
        <f t="shared" si="49"/>
        <v>0</v>
      </c>
      <c r="K103" s="194" t="str">
        <f>D103&amp;-9</f>
        <v>20-9</v>
      </c>
      <c r="L103" s="198">
        <f t="shared" si="50"/>
        <v>0.2</v>
      </c>
      <c r="M103" s="49">
        <v>0</v>
      </c>
      <c r="N103" s="198">
        <f t="shared" si="51"/>
        <v>150</v>
      </c>
      <c r="O103" s="198">
        <f t="shared" si="51"/>
        <v>155</v>
      </c>
      <c r="P103" s="198">
        <f t="shared" si="51"/>
        <v>165</v>
      </c>
      <c r="Q103" s="196" t="str">
        <f t="shared" si="53"/>
        <v>\\172.20.0.4\fs04\XW\V4\loop1\inputs\ex_controller\3_phase_n.txt</v>
      </c>
    </row>
    <row r="104" spans="1:17" x14ac:dyDescent="0.25">
      <c r="A104" s="195">
        <f t="shared" si="52"/>
        <v>2494</v>
      </c>
      <c r="B104" s="196">
        <f t="shared" si="52"/>
        <v>94</v>
      </c>
      <c r="C104" s="229" t="str">
        <f t="shared" si="39"/>
        <v>22dB20+000_030_10</v>
      </c>
      <c r="D104" s="197">
        <f t="shared" si="47"/>
        <v>20</v>
      </c>
      <c r="E104" s="204">
        <f t="shared" si="45"/>
        <v>2.8840000000000003</v>
      </c>
      <c r="F104" s="198">
        <f t="shared" si="41"/>
        <v>14.420000000000002</v>
      </c>
      <c r="G104" s="198">
        <f t="shared" si="28"/>
        <v>11.536000000000001</v>
      </c>
      <c r="H104" s="198">
        <f t="shared" si="29"/>
        <v>7.2100000000000009</v>
      </c>
      <c r="I104" s="198">
        <f t="shared" si="49"/>
        <v>8</v>
      </c>
      <c r="J104" s="199">
        <f t="shared" si="49"/>
        <v>0</v>
      </c>
      <c r="K104" s="194" t="str">
        <f>D104&amp;-10</f>
        <v>20-10</v>
      </c>
      <c r="L104" s="198">
        <f t="shared" si="50"/>
        <v>0.2</v>
      </c>
      <c r="M104" s="49">
        <v>30</v>
      </c>
      <c r="N104" s="198">
        <f t="shared" si="51"/>
        <v>150</v>
      </c>
      <c r="O104" s="198">
        <f t="shared" si="51"/>
        <v>155</v>
      </c>
      <c r="P104" s="198">
        <f t="shared" si="51"/>
        <v>165</v>
      </c>
      <c r="Q104" s="196" t="str">
        <f t="shared" si="53"/>
        <v>\\172.20.0.4\fs04\XW\V4\loop1\inputs\ex_controller\3_phase_n.txt</v>
      </c>
    </row>
    <row r="105" spans="1:17" x14ac:dyDescent="0.25">
      <c r="A105" s="195">
        <f t="shared" si="52"/>
        <v>2495</v>
      </c>
      <c r="B105" s="196">
        <f t="shared" si="52"/>
        <v>95</v>
      </c>
      <c r="C105" s="229" t="str">
        <f t="shared" si="39"/>
        <v>22dB20+000_060_11</v>
      </c>
      <c r="D105" s="197">
        <f t="shared" si="47"/>
        <v>20</v>
      </c>
      <c r="E105" s="204">
        <f t="shared" si="45"/>
        <v>2.8840000000000003</v>
      </c>
      <c r="F105" s="198">
        <f t="shared" si="41"/>
        <v>14.420000000000002</v>
      </c>
      <c r="G105" s="198">
        <f t="shared" si="28"/>
        <v>11.536000000000001</v>
      </c>
      <c r="H105" s="198">
        <f t="shared" si="29"/>
        <v>7.2100000000000009</v>
      </c>
      <c r="I105" s="198">
        <f t="shared" si="49"/>
        <v>8</v>
      </c>
      <c r="J105" s="199">
        <f t="shared" si="49"/>
        <v>0</v>
      </c>
      <c r="K105" s="194" t="str">
        <f>D105&amp;-11</f>
        <v>20-11</v>
      </c>
      <c r="L105" s="198">
        <f t="shared" si="50"/>
        <v>0.2</v>
      </c>
      <c r="M105" s="49">
        <v>60</v>
      </c>
      <c r="N105" s="198">
        <f t="shared" si="51"/>
        <v>150</v>
      </c>
      <c r="O105" s="198">
        <f t="shared" si="51"/>
        <v>155</v>
      </c>
      <c r="P105" s="198">
        <f t="shared" si="51"/>
        <v>165</v>
      </c>
      <c r="Q105" s="196" t="str">
        <f t="shared" si="53"/>
        <v>\\172.20.0.4\fs04\XW\V4\loop1\inputs\ex_controller\3_phase_n.txt</v>
      </c>
    </row>
    <row r="106" spans="1:17" x14ac:dyDescent="0.25">
      <c r="A106" s="195">
        <f t="shared" si="52"/>
        <v>2496</v>
      </c>
      <c r="B106" s="196">
        <f t="shared" si="52"/>
        <v>96</v>
      </c>
      <c r="C106" s="229" t="str">
        <f t="shared" si="39"/>
        <v>22dB20+000_090_12</v>
      </c>
      <c r="D106" s="197">
        <f t="shared" si="47"/>
        <v>20</v>
      </c>
      <c r="E106" s="204">
        <f t="shared" si="45"/>
        <v>2.8840000000000003</v>
      </c>
      <c r="F106" s="198">
        <f t="shared" si="41"/>
        <v>14.420000000000002</v>
      </c>
      <c r="G106" s="198">
        <f t="shared" si="28"/>
        <v>11.536000000000001</v>
      </c>
      <c r="H106" s="198">
        <f t="shared" si="29"/>
        <v>7.2100000000000009</v>
      </c>
      <c r="I106" s="198">
        <f t="shared" si="49"/>
        <v>8</v>
      </c>
      <c r="J106" s="199">
        <f t="shared" si="49"/>
        <v>0</v>
      </c>
      <c r="K106" s="194" t="str">
        <f>D106&amp;-12</f>
        <v>20-12</v>
      </c>
      <c r="L106" s="198">
        <f t="shared" si="50"/>
        <v>0.2</v>
      </c>
      <c r="M106" s="49">
        <v>90</v>
      </c>
      <c r="N106" s="198">
        <f t="shared" si="51"/>
        <v>150</v>
      </c>
      <c r="O106" s="198">
        <f t="shared" si="51"/>
        <v>155</v>
      </c>
      <c r="P106" s="198">
        <f t="shared" si="51"/>
        <v>165</v>
      </c>
      <c r="Q106" s="196" t="str">
        <f t="shared" si="53"/>
        <v>\\172.20.0.4\fs04\XW\V4\loop1\inputs\ex_controller\3_phase_n.txt</v>
      </c>
    </row>
    <row r="107" spans="1:17" s="217" customFormat="1" x14ac:dyDescent="0.25">
      <c r="A107" s="229">
        <f t="shared" ref="A107:B107" si="54">A106+1</f>
        <v>2497</v>
      </c>
      <c r="B107" s="230">
        <f t="shared" si="54"/>
        <v>97</v>
      </c>
      <c r="C107" s="229" t="str">
        <f t="shared" ref="C107:C130" si="55">TEXT(RIGHT($B$2,LEN($B$2)-3),"000")&amp;IF(Q107=path_sc2,"A","B")&amp;TEXT(D107,"00")&amp;"+"&amp;IF(J107&lt;0,TEXT(360+J107,"000"),TEXT(J107,"000"))&amp;"_"&amp;TEXT(M107,"000")&amp;"_"&amp;TEXT(RIGHT(K107,LEN(K107)-FIND("-",K107)),"00")</f>
        <v>22dA25+000_000_01</v>
      </c>
      <c r="D107" s="231">
        <f>v_out</f>
        <v>25</v>
      </c>
      <c r="E107" s="239">
        <f t="shared" ref="E107:E130" si="56">I_ref*(0.75*D107+5.6)</f>
        <v>3.4090000000000007</v>
      </c>
      <c r="F107" s="232">
        <f t="shared" ref="F107:F130" si="57">E107/D107*100</f>
        <v>13.636000000000003</v>
      </c>
      <c r="G107" s="232">
        <f t="shared" ref="G107:G130" si="58">m_ty*F107</f>
        <v>10.908800000000003</v>
      </c>
      <c r="H107" s="232">
        <f t="shared" ref="H107:H130" si="59">m_tz*F107</f>
        <v>6.8180000000000014</v>
      </c>
      <c r="I107" s="232">
        <f t="shared" ref="I107:J107" si="60">I106</f>
        <v>8</v>
      </c>
      <c r="J107" s="233">
        <f t="shared" si="60"/>
        <v>0</v>
      </c>
      <c r="K107" s="228" t="str">
        <f>D107&amp;-1</f>
        <v>25-1</v>
      </c>
      <c r="L107" s="232">
        <f t="shared" ref="L107" si="61">L106</f>
        <v>0.2</v>
      </c>
      <c r="M107" s="235">
        <v>0</v>
      </c>
      <c r="N107" s="232">
        <f>t_out_sc</f>
        <v>150</v>
      </c>
      <c r="O107" s="232">
        <f>t_sc</f>
        <v>155</v>
      </c>
      <c r="P107" s="232">
        <f>t_sim_sc</f>
        <v>165</v>
      </c>
      <c r="Q107" s="230" t="str">
        <f t="shared" ref="Q107" si="62">path_sc2</f>
        <v>\\172.20.0.4\fs04\XW\V4\loop1\inputs\ex_controller\2_phase_n.txt</v>
      </c>
    </row>
    <row r="108" spans="1:17" s="217" customFormat="1" x14ac:dyDescent="0.25">
      <c r="A108" s="229">
        <f t="shared" ref="A108:B108" si="63">A107+1</f>
        <v>2498</v>
      </c>
      <c r="B108" s="230">
        <f t="shared" si="63"/>
        <v>98</v>
      </c>
      <c r="C108" s="229" t="str">
        <f t="shared" si="55"/>
        <v>22dA25+000_030_02</v>
      </c>
      <c r="D108" s="231">
        <f>D107</f>
        <v>25</v>
      </c>
      <c r="E108" s="239">
        <f t="shared" si="56"/>
        <v>3.4090000000000007</v>
      </c>
      <c r="F108" s="232">
        <f t="shared" si="57"/>
        <v>13.636000000000003</v>
      </c>
      <c r="G108" s="232">
        <f t="shared" si="58"/>
        <v>10.908800000000003</v>
      </c>
      <c r="H108" s="232">
        <f t="shared" si="59"/>
        <v>6.8180000000000014</v>
      </c>
      <c r="I108" s="232">
        <f t="shared" ref="I108:J108" si="64">I107</f>
        <v>8</v>
      </c>
      <c r="J108" s="233">
        <f t="shared" si="64"/>
        <v>0</v>
      </c>
      <c r="K108" s="228" t="str">
        <f>D108&amp;-2</f>
        <v>25-2</v>
      </c>
      <c r="L108" s="232">
        <f t="shared" ref="L108" si="65">L107</f>
        <v>0.2</v>
      </c>
      <c r="M108" s="235">
        <v>30</v>
      </c>
      <c r="N108" s="232">
        <f t="shared" ref="N108:P108" si="66">N107</f>
        <v>150</v>
      </c>
      <c r="O108" s="232">
        <f t="shared" si="66"/>
        <v>155</v>
      </c>
      <c r="P108" s="232">
        <f t="shared" si="66"/>
        <v>165</v>
      </c>
      <c r="Q108" s="230" t="str">
        <f>Q107</f>
        <v>\\172.20.0.4\fs04\XW\V4\loop1\inputs\ex_controller\2_phase_n.txt</v>
      </c>
    </row>
    <row r="109" spans="1:17" s="217" customFormat="1" x14ac:dyDescent="0.25">
      <c r="A109" s="229">
        <f t="shared" ref="A109:B109" si="67">A108+1</f>
        <v>2499</v>
      </c>
      <c r="B109" s="230">
        <f t="shared" si="67"/>
        <v>99</v>
      </c>
      <c r="C109" s="229" t="str">
        <f t="shared" si="55"/>
        <v>22dA25+000_060_03</v>
      </c>
      <c r="D109" s="231">
        <f t="shared" ref="D109:D130" si="68">D108</f>
        <v>25</v>
      </c>
      <c r="E109" s="239">
        <f t="shared" si="56"/>
        <v>3.4090000000000007</v>
      </c>
      <c r="F109" s="232">
        <f t="shared" si="57"/>
        <v>13.636000000000003</v>
      </c>
      <c r="G109" s="232">
        <f t="shared" si="58"/>
        <v>10.908800000000003</v>
      </c>
      <c r="H109" s="232">
        <f t="shared" si="59"/>
        <v>6.8180000000000014</v>
      </c>
      <c r="I109" s="232">
        <f t="shared" ref="I109:J109" si="69">I108</f>
        <v>8</v>
      </c>
      <c r="J109" s="233">
        <f t="shared" si="69"/>
        <v>0</v>
      </c>
      <c r="K109" s="228" t="str">
        <f>D109&amp;-3</f>
        <v>25-3</v>
      </c>
      <c r="L109" s="232">
        <f t="shared" ref="L109" si="70">L108</f>
        <v>0.2</v>
      </c>
      <c r="M109" s="235">
        <v>60</v>
      </c>
      <c r="N109" s="232">
        <f t="shared" ref="N109:Q118" si="71">N108</f>
        <v>150</v>
      </c>
      <c r="O109" s="232">
        <f t="shared" si="71"/>
        <v>155</v>
      </c>
      <c r="P109" s="232">
        <f t="shared" si="71"/>
        <v>165</v>
      </c>
      <c r="Q109" s="230" t="str">
        <f t="shared" si="71"/>
        <v>\\172.20.0.4\fs04\XW\V4\loop1\inputs\ex_controller\2_phase_n.txt</v>
      </c>
    </row>
    <row r="110" spans="1:17" s="217" customFormat="1" x14ac:dyDescent="0.25">
      <c r="A110" s="229">
        <f t="shared" ref="A110:B110" si="72">A109+1</f>
        <v>2500</v>
      </c>
      <c r="B110" s="230">
        <f t="shared" si="72"/>
        <v>100</v>
      </c>
      <c r="C110" s="229" t="str">
        <f t="shared" si="55"/>
        <v>22dA25+000_090_04</v>
      </c>
      <c r="D110" s="231">
        <f t="shared" si="68"/>
        <v>25</v>
      </c>
      <c r="E110" s="239">
        <f t="shared" si="56"/>
        <v>3.4090000000000007</v>
      </c>
      <c r="F110" s="232">
        <f t="shared" si="57"/>
        <v>13.636000000000003</v>
      </c>
      <c r="G110" s="232">
        <f t="shared" si="58"/>
        <v>10.908800000000003</v>
      </c>
      <c r="H110" s="232">
        <f t="shared" si="59"/>
        <v>6.8180000000000014</v>
      </c>
      <c r="I110" s="232">
        <f t="shared" ref="I110:J110" si="73">I109</f>
        <v>8</v>
      </c>
      <c r="J110" s="233">
        <f t="shared" si="73"/>
        <v>0</v>
      </c>
      <c r="K110" s="228" t="str">
        <f>D110&amp;-4</f>
        <v>25-4</v>
      </c>
      <c r="L110" s="232">
        <f t="shared" ref="L110" si="74">L109</f>
        <v>0.2</v>
      </c>
      <c r="M110" s="235">
        <v>90</v>
      </c>
      <c r="N110" s="232">
        <f t="shared" ref="N110:P110" si="75">N109</f>
        <v>150</v>
      </c>
      <c r="O110" s="232">
        <f t="shared" si="75"/>
        <v>155</v>
      </c>
      <c r="P110" s="232">
        <f t="shared" si="75"/>
        <v>165</v>
      </c>
      <c r="Q110" s="230" t="str">
        <f t="shared" si="71"/>
        <v>\\172.20.0.4\fs04\XW\V4\loop1\inputs\ex_controller\2_phase_n.txt</v>
      </c>
    </row>
    <row r="111" spans="1:17" s="217" customFormat="1" x14ac:dyDescent="0.25">
      <c r="A111" s="229">
        <f t="shared" ref="A111:B111" si="76">A110+1</f>
        <v>2501</v>
      </c>
      <c r="B111" s="230">
        <f t="shared" si="76"/>
        <v>101</v>
      </c>
      <c r="C111" s="229" t="str">
        <f t="shared" si="55"/>
        <v>22dA25+000_000_05</v>
      </c>
      <c r="D111" s="231">
        <f t="shared" si="68"/>
        <v>25</v>
      </c>
      <c r="E111" s="239">
        <f t="shared" si="56"/>
        <v>3.4090000000000007</v>
      </c>
      <c r="F111" s="232">
        <f t="shared" si="57"/>
        <v>13.636000000000003</v>
      </c>
      <c r="G111" s="232">
        <f t="shared" si="58"/>
        <v>10.908800000000003</v>
      </c>
      <c r="H111" s="232">
        <f t="shared" si="59"/>
        <v>6.8180000000000014</v>
      </c>
      <c r="I111" s="232">
        <f t="shared" ref="I111:J111" si="77">I110</f>
        <v>8</v>
      </c>
      <c r="J111" s="233">
        <f t="shared" si="77"/>
        <v>0</v>
      </c>
      <c r="K111" s="228" t="str">
        <f>D111&amp;-5</f>
        <v>25-5</v>
      </c>
      <c r="L111" s="232">
        <f t="shared" ref="L111" si="78">L110</f>
        <v>0.2</v>
      </c>
      <c r="M111" s="235">
        <v>0</v>
      </c>
      <c r="N111" s="232">
        <f t="shared" ref="N111:P111" si="79">N110</f>
        <v>150</v>
      </c>
      <c r="O111" s="232">
        <f t="shared" si="79"/>
        <v>155</v>
      </c>
      <c r="P111" s="232">
        <f t="shared" si="79"/>
        <v>165</v>
      </c>
      <c r="Q111" s="230" t="str">
        <f t="shared" si="71"/>
        <v>\\172.20.0.4\fs04\XW\V4\loop1\inputs\ex_controller\2_phase_n.txt</v>
      </c>
    </row>
    <row r="112" spans="1:17" s="217" customFormat="1" x14ac:dyDescent="0.25">
      <c r="A112" s="229">
        <f t="shared" ref="A112:B112" si="80">A111+1</f>
        <v>2502</v>
      </c>
      <c r="B112" s="230">
        <f t="shared" si="80"/>
        <v>102</v>
      </c>
      <c r="C112" s="229" t="str">
        <f t="shared" si="55"/>
        <v>22dA25+000_030_06</v>
      </c>
      <c r="D112" s="231">
        <f t="shared" si="68"/>
        <v>25</v>
      </c>
      <c r="E112" s="239">
        <f t="shared" si="56"/>
        <v>3.4090000000000007</v>
      </c>
      <c r="F112" s="232">
        <f t="shared" si="57"/>
        <v>13.636000000000003</v>
      </c>
      <c r="G112" s="232">
        <f t="shared" si="58"/>
        <v>10.908800000000003</v>
      </c>
      <c r="H112" s="232">
        <f t="shared" si="59"/>
        <v>6.8180000000000014</v>
      </c>
      <c r="I112" s="232">
        <f t="shared" ref="I112:J112" si="81">I111</f>
        <v>8</v>
      </c>
      <c r="J112" s="233">
        <f t="shared" si="81"/>
        <v>0</v>
      </c>
      <c r="K112" s="228" t="str">
        <f>D112&amp;-6</f>
        <v>25-6</v>
      </c>
      <c r="L112" s="232">
        <f t="shared" ref="L112" si="82">L111</f>
        <v>0.2</v>
      </c>
      <c r="M112" s="235">
        <v>30</v>
      </c>
      <c r="N112" s="232">
        <f t="shared" ref="N112:P112" si="83">N111</f>
        <v>150</v>
      </c>
      <c r="O112" s="232">
        <f t="shared" si="83"/>
        <v>155</v>
      </c>
      <c r="P112" s="232">
        <f t="shared" si="83"/>
        <v>165</v>
      </c>
      <c r="Q112" s="230" t="str">
        <f t="shared" si="71"/>
        <v>\\172.20.0.4\fs04\XW\V4\loop1\inputs\ex_controller\2_phase_n.txt</v>
      </c>
    </row>
    <row r="113" spans="1:17" s="217" customFormat="1" x14ac:dyDescent="0.25">
      <c r="A113" s="229">
        <f t="shared" ref="A113:B113" si="84">A112+1</f>
        <v>2503</v>
      </c>
      <c r="B113" s="230">
        <f t="shared" si="84"/>
        <v>103</v>
      </c>
      <c r="C113" s="229" t="str">
        <f t="shared" si="55"/>
        <v>22dA25+000_060_07</v>
      </c>
      <c r="D113" s="231">
        <f t="shared" si="68"/>
        <v>25</v>
      </c>
      <c r="E113" s="239">
        <f t="shared" si="56"/>
        <v>3.4090000000000007</v>
      </c>
      <c r="F113" s="232">
        <f t="shared" si="57"/>
        <v>13.636000000000003</v>
      </c>
      <c r="G113" s="232">
        <f t="shared" si="58"/>
        <v>10.908800000000003</v>
      </c>
      <c r="H113" s="232">
        <f t="shared" si="59"/>
        <v>6.8180000000000014</v>
      </c>
      <c r="I113" s="232">
        <f t="shared" ref="I113:J113" si="85">I112</f>
        <v>8</v>
      </c>
      <c r="J113" s="233">
        <f t="shared" si="85"/>
        <v>0</v>
      </c>
      <c r="K113" s="228" t="str">
        <f>D113&amp;-7</f>
        <v>25-7</v>
      </c>
      <c r="L113" s="232">
        <f t="shared" ref="L113" si="86">L112</f>
        <v>0.2</v>
      </c>
      <c r="M113" s="235">
        <v>60</v>
      </c>
      <c r="N113" s="232">
        <f t="shared" ref="N113:P113" si="87">N112</f>
        <v>150</v>
      </c>
      <c r="O113" s="232">
        <f t="shared" si="87"/>
        <v>155</v>
      </c>
      <c r="P113" s="232">
        <f t="shared" si="87"/>
        <v>165</v>
      </c>
      <c r="Q113" s="230" t="str">
        <f t="shared" si="71"/>
        <v>\\172.20.0.4\fs04\XW\V4\loop1\inputs\ex_controller\2_phase_n.txt</v>
      </c>
    </row>
    <row r="114" spans="1:17" s="217" customFormat="1" x14ac:dyDescent="0.25">
      <c r="A114" s="229">
        <f t="shared" ref="A114:B114" si="88">A113+1</f>
        <v>2504</v>
      </c>
      <c r="B114" s="230">
        <f t="shared" si="88"/>
        <v>104</v>
      </c>
      <c r="C114" s="229" t="str">
        <f t="shared" si="55"/>
        <v>22dA25+000_090_08</v>
      </c>
      <c r="D114" s="231">
        <f t="shared" si="68"/>
        <v>25</v>
      </c>
      <c r="E114" s="239">
        <f t="shared" si="56"/>
        <v>3.4090000000000007</v>
      </c>
      <c r="F114" s="232">
        <f t="shared" si="57"/>
        <v>13.636000000000003</v>
      </c>
      <c r="G114" s="232">
        <f t="shared" si="58"/>
        <v>10.908800000000003</v>
      </c>
      <c r="H114" s="232">
        <f t="shared" si="59"/>
        <v>6.8180000000000014</v>
      </c>
      <c r="I114" s="232">
        <f t="shared" ref="I114:J114" si="89">I113</f>
        <v>8</v>
      </c>
      <c r="J114" s="233">
        <f t="shared" si="89"/>
        <v>0</v>
      </c>
      <c r="K114" s="228" t="str">
        <f>D114&amp;-8</f>
        <v>25-8</v>
      </c>
      <c r="L114" s="232">
        <f t="shared" ref="L114" si="90">L113</f>
        <v>0.2</v>
      </c>
      <c r="M114" s="235">
        <v>90</v>
      </c>
      <c r="N114" s="232">
        <f t="shared" ref="N114:P114" si="91">N113</f>
        <v>150</v>
      </c>
      <c r="O114" s="232">
        <f t="shared" si="91"/>
        <v>155</v>
      </c>
      <c r="P114" s="232">
        <f t="shared" si="91"/>
        <v>165</v>
      </c>
      <c r="Q114" s="230" t="str">
        <f t="shared" si="71"/>
        <v>\\172.20.0.4\fs04\XW\V4\loop1\inputs\ex_controller\2_phase_n.txt</v>
      </c>
    </row>
    <row r="115" spans="1:17" s="217" customFormat="1" x14ac:dyDescent="0.25">
      <c r="A115" s="229">
        <f t="shared" ref="A115:B115" si="92">A114+1</f>
        <v>2505</v>
      </c>
      <c r="B115" s="230">
        <f t="shared" si="92"/>
        <v>105</v>
      </c>
      <c r="C115" s="229" t="str">
        <f t="shared" si="55"/>
        <v>22dA25+000_000_09</v>
      </c>
      <c r="D115" s="231">
        <f t="shared" si="68"/>
        <v>25</v>
      </c>
      <c r="E115" s="239">
        <f t="shared" si="56"/>
        <v>3.4090000000000007</v>
      </c>
      <c r="F115" s="232">
        <f t="shared" si="57"/>
        <v>13.636000000000003</v>
      </c>
      <c r="G115" s="232">
        <f t="shared" si="58"/>
        <v>10.908800000000003</v>
      </c>
      <c r="H115" s="232">
        <f t="shared" si="59"/>
        <v>6.8180000000000014</v>
      </c>
      <c r="I115" s="232">
        <f t="shared" ref="I115:J115" si="93">I114</f>
        <v>8</v>
      </c>
      <c r="J115" s="233">
        <f t="shared" si="93"/>
        <v>0</v>
      </c>
      <c r="K115" s="228" t="str">
        <f>D115&amp;-9</f>
        <v>25-9</v>
      </c>
      <c r="L115" s="232">
        <f t="shared" ref="L115" si="94">L114</f>
        <v>0.2</v>
      </c>
      <c r="M115" s="235">
        <v>0</v>
      </c>
      <c r="N115" s="232">
        <f t="shared" ref="N115:P115" si="95">N114</f>
        <v>150</v>
      </c>
      <c r="O115" s="232">
        <f t="shared" si="95"/>
        <v>155</v>
      </c>
      <c r="P115" s="232">
        <f t="shared" si="95"/>
        <v>165</v>
      </c>
      <c r="Q115" s="230" t="str">
        <f t="shared" si="71"/>
        <v>\\172.20.0.4\fs04\XW\V4\loop1\inputs\ex_controller\2_phase_n.txt</v>
      </c>
    </row>
    <row r="116" spans="1:17" s="217" customFormat="1" x14ac:dyDescent="0.25">
      <c r="A116" s="229">
        <f t="shared" ref="A116:B116" si="96">A115+1</f>
        <v>2506</v>
      </c>
      <c r="B116" s="230">
        <f t="shared" si="96"/>
        <v>106</v>
      </c>
      <c r="C116" s="229" t="str">
        <f t="shared" si="55"/>
        <v>22dA25+000_030_10</v>
      </c>
      <c r="D116" s="231">
        <f t="shared" si="68"/>
        <v>25</v>
      </c>
      <c r="E116" s="239">
        <f t="shared" si="56"/>
        <v>3.4090000000000007</v>
      </c>
      <c r="F116" s="232">
        <f t="shared" si="57"/>
        <v>13.636000000000003</v>
      </c>
      <c r="G116" s="232">
        <f t="shared" si="58"/>
        <v>10.908800000000003</v>
      </c>
      <c r="H116" s="232">
        <f t="shared" si="59"/>
        <v>6.8180000000000014</v>
      </c>
      <c r="I116" s="232">
        <f t="shared" ref="I116:J116" si="97">I115</f>
        <v>8</v>
      </c>
      <c r="J116" s="233">
        <f t="shared" si="97"/>
        <v>0</v>
      </c>
      <c r="K116" s="228" t="str">
        <f>D116&amp;-10</f>
        <v>25-10</v>
      </c>
      <c r="L116" s="232">
        <f t="shared" ref="L116" si="98">L115</f>
        <v>0.2</v>
      </c>
      <c r="M116" s="235">
        <v>30</v>
      </c>
      <c r="N116" s="232">
        <f t="shared" ref="N116:P116" si="99">N115</f>
        <v>150</v>
      </c>
      <c r="O116" s="232">
        <f t="shared" si="99"/>
        <v>155</v>
      </c>
      <c r="P116" s="232">
        <f t="shared" si="99"/>
        <v>165</v>
      </c>
      <c r="Q116" s="230" t="str">
        <f t="shared" si="71"/>
        <v>\\172.20.0.4\fs04\XW\V4\loop1\inputs\ex_controller\2_phase_n.txt</v>
      </c>
    </row>
    <row r="117" spans="1:17" s="217" customFormat="1" x14ac:dyDescent="0.25">
      <c r="A117" s="229">
        <f t="shared" ref="A117:B117" si="100">A116+1</f>
        <v>2507</v>
      </c>
      <c r="B117" s="230">
        <f t="shared" si="100"/>
        <v>107</v>
      </c>
      <c r="C117" s="229" t="str">
        <f t="shared" si="55"/>
        <v>22dA25+000_060_11</v>
      </c>
      <c r="D117" s="231">
        <f t="shared" si="68"/>
        <v>25</v>
      </c>
      <c r="E117" s="239">
        <f t="shared" si="56"/>
        <v>3.4090000000000007</v>
      </c>
      <c r="F117" s="232">
        <f t="shared" si="57"/>
        <v>13.636000000000003</v>
      </c>
      <c r="G117" s="232">
        <f t="shared" si="58"/>
        <v>10.908800000000003</v>
      </c>
      <c r="H117" s="232">
        <f t="shared" si="59"/>
        <v>6.8180000000000014</v>
      </c>
      <c r="I117" s="232">
        <f t="shared" ref="I117:J117" si="101">I116</f>
        <v>8</v>
      </c>
      <c r="J117" s="233">
        <f t="shared" si="101"/>
        <v>0</v>
      </c>
      <c r="K117" s="228" t="str">
        <f>D117&amp;-11</f>
        <v>25-11</v>
      </c>
      <c r="L117" s="232">
        <f t="shared" ref="L117" si="102">L116</f>
        <v>0.2</v>
      </c>
      <c r="M117" s="235">
        <v>60</v>
      </c>
      <c r="N117" s="232">
        <f t="shared" ref="N117:P117" si="103">N116</f>
        <v>150</v>
      </c>
      <c r="O117" s="232">
        <f t="shared" si="103"/>
        <v>155</v>
      </c>
      <c r="P117" s="232">
        <f t="shared" si="103"/>
        <v>165</v>
      </c>
      <c r="Q117" s="230" t="str">
        <f t="shared" si="71"/>
        <v>\\172.20.0.4\fs04\XW\V4\loop1\inputs\ex_controller\2_phase_n.txt</v>
      </c>
    </row>
    <row r="118" spans="1:17" s="217" customFormat="1" x14ac:dyDescent="0.25">
      <c r="A118" s="229">
        <f t="shared" ref="A118:B118" si="104">A117+1</f>
        <v>2508</v>
      </c>
      <c r="B118" s="230">
        <f t="shared" si="104"/>
        <v>108</v>
      </c>
      <c r="C118" s="229" t="str">
        <f t="shared" si="55"/>
        <v>22dA25+000_090_12</v>
      </c>
      <c r="D118" s="231">
        <f t="shared" si="68"/>
        <v>25</v>
      </c>
      <c r="E118" s="239">
        <f t="shared" si="56"/>
        <v>3.4090000000000007</v>
      </c>
      <c r="F118" s="232">
        <f t="shared" si="57"/>
        <v>13.636000000000003</v>
      </c>
      <c r="G118" s="232">
        <f t="shared" si="58"/>
        <v>10.908800000000003</v>
      </c>
      <c r="H118" s="232">
        <f t="shared" si="59"/>
        <v>6.8180000000000014</v>
      </c>
      <c r="I118" s="232">
        <f t="shared" ref="I118:J118" si="105">I117</f>
        <v>8</v>
      </c>
      <c r="J118" s="233">
        <f t="shared" si="105"/>
        <v>0</v>
      </c>
      <c r="K118" s="228" t="str">
        <f>D118&amp;-12</f>
        <v>25-12</v>
      </c>
      <c r="L118" s="232">
        <f t="shared" ref="L118" si="106">L117</f>
        <v>0.2</v>
      </c>
      <c r="M118" s="235">
        <v>90</v>
      </c>
      <c r="N118" s="232">
        <f t="shared" ref="N118:P118" si="107">N117</f>
        <v>150</v>
      </c>
      <c r="O118" s="232">
        <f t="shared" si="107"/>
        <v>155</v>
      </c>
      <c r="P118" s="232">
        <f t="shared" si="107"/>
        <v>165</v>
      </c>
      <c r="Q118" s="230" t="str">
        <f t="shared" si="71"/>
        <v>\\172.20.0.4\fs04\XW\V4\loop1\inputs\ex_controller\2_phase_n.txt</v>
      </c>
    </row>
    <row r="119" spans="1:17" s="217" customFormat="1" x14ac:dyDescent="0.25">
      <c r="A119" s="229">
        <f t="shared" ref="A119:B119" si="108">A118+1</f>
        <v>2509</v>
      </c>
      <c r="B119" s="230">
        <f t="shared" si="108"/>
        <v>109</v>
      </c>
      <c r="C119" s="229" t="str">
        <f t="shared" si="55"/>
        <v>22dB25+000_000_01</v>
      </c>
      <c r="D119" s="231">
        <f t="shared" si="68"/>
        <v>25</v>
      </c>
      <c r="E119" s="239">
        <f t="shared" si="56"/>
        <v>3.4090000000000007</v>
      </c>
      <c r="F119" s="232">
        <f t="shared" si="57"/>
        <v>13.636000000000003</v>
      </c>
      <c r="G119" s="232">
        <f t="shared" si="58"/>
        <v>10.908800000000003</v>
      </c>
      <c r="H119" s="232">
        <f t="shared" si="59"/>
        <v>6.8180000000000014</v>
      </c>
      <c r="I119" s="232">
        <f t="shared" ref="I119:J119" si="109">I118</f>
        <v>8</v>
      </c>
      <c r="J119" s="233">
        <f t="shared" si="109"/>
        <v>0</v>
      </c>
      <c r="K119" s="228" t="str">
        <f>D119&amp;-1</f>
        <v>25-1</v>
      </c>
      <c r="L119" s="232">
        <f t="shared" ref="L119:L130" si="110">L118</f>
        <v>0.2</v>
      </c>
      <c r="M119" s="235">
        <v>0</v>
      </c>
      <c r="N119" s="232">
        <f t="shared" ref="N119:P119" si="111">N118</f>
        <v>150</v>
      </c>
      <c r="O119" s="232">
        <f t="shared" si="111"/>
        <v>155</v>
      </c>
      <c r="P119" s="232">
        <f t="shared" si="111"/>
        <v>165</v>
      </c>
      <c r="Q119" s="230" t="str">
        <f>path_sc3</f>
        <v>\\172.20.0.4\fs04\XW\V4\loop1\inputs\ex_controller\3_phase_n.txt</v>
      </c>
    </row>
    <row r="120" spans="1:17" s="217" customFormat="1" x14ac:dyDescent="0.25">
      <c r="A120" s="229">
        <f t="shared" ref="A120:B120" si="112">A119+1</f>
        <v>2510</v>
      </c>
      <c r="B120" s="230">
        <f t="shared" si="112"/>
        <v>110</v>
      </c>
      <c r="C120" s="229" t="str">
        <f t="shared" si="55"/>
        <v>22dB25+000_030_02</v>
      </c>
      <c r="D120" s="231">
        <f t="shared" si="68"/>
        <v>25</v>
      </c>
      <c r="E120" s="239">
        <f t="shared" si="56"/>
        <v>3.4090000000000007</v>
      </c>
      <c r="F120" s="232">
        <f t="shared" si="57"/>
        <v>13.636000000000003</v>
      </c>
      <c r="G120" s="232">
        <f t="shared" si="58"/>
        <v>10.908800000000003</v>
      </c>
      <c r="H120" s="232">
        <f t="shared" si="59"/>
        <v>6.8180000000000014</v>
      </c>
      <c r="I120" s="232">
        <f t="shared" ref="I120:J120" si="113">I119</f>
        <v>8</v>
      </c>
      <c r="J120" s="233">
        <f t="shared" si="113"/>
        <v>0</v>
      </c>
      <c r="K120" s="228" t="str">
        <f>D120&amp;-2</f>
        <v>25-2</v>
      </c>
      <c r="L120" s="232">
        <f t="shared" si="110"/>
        <v>0.2</v>
      </c>
      <c r="M120" s="235">
        <v>30</v>
      </c>
      <c r="N120" s="232">
        <f t="shared" ref="N120:P120" si="114">N119</f>
        <v>150</v>
      </c>
      <c r="O120" s="232">
        <f t="shared" si="114"/>
        <v>155</v>
      </c>
      <c r="P120" s="232">
        <f t="shared" si="114"/>
        <v>165</v>
      </c>
      <c r="Q120" s="230" t="str">
        <f>Q119</f>
        <v>\\172.20.0.4\fs04\XW\V4\loop1\inputs\ex_controller\3_phase_n.txt</v>
      </c>
    </row>
    <row r="121" spans="1:17" s="217" customFormat="1" x14ac:dyDescent="0.25">
      <c r="A121" s="229">
        <f t="shared" ref="A121:B121" si="115">A120+1</f>
        <v>2511</v>
      </c>
      <c r="B121" s="230">
        <f t="shared" si="115"/>
        <v>111</v>
      </c>
      <c r="C121" s="229" t="str">
        <f t="shared" si="55"/>
        <v>22dB25+000_060_03</v>
      </c>
      <c r="D121" s="231">
        <f t="shared" si="68"/>
        <v>25</v>
      </c>
      <c r="E121" s="239">
        <f t="shared" si="56"/>
        <v>3.4090000000000007</v>
      </c>
      <c r="F121" s="232">
        <f t="shared" si="57"/>
        <v>13.636000000000003</v>
      </c>
      <c r="G121" s="232">
        <f t="shared" si="58"/>
        <v>10.908800000000003</v>
      </c>
      <c r="H121" s="232">
        <f t="shared" si="59"/>
        <v>6.8180000000000014</v>
      </c>
      <c r="I121" s="232">
        <f t="shared" ref="I121:J121" si="116">I120</f>
        <v>8</v>
      </c>
      <c r="J121" s="233">
        <f t="shared" si="116"/>
        <v>0</v>
      </c>
      <c r="K121" s="228" t="str">
        <f>D121&amp;-3</f>
        <v>25-3</v>
      </c>
      <c r="L121" s="232">
        <f t="shared" si="110"/>
        <v>0.2</v>
      </c>
      <c r="M121" s="235">
        <v>60</v>
      </c>
      <c r="N121" s="232">
        <f t="shared" ref="N121:Q130" si="117">N120</f>
        <v>150</v>
      </c>
      <c r="O121" s="232">
        <f t="shared" si="117"/>
        <v>155</v>
      </c>
      <c r="P121" s="232">
        <f t="shared" si="117"/>
        <v>165</v>
      </c>
      <c r="Q121" s="230" t="str">
        <f t="shared" si="117"/>
        <v>\\172.20.0.4\fs04\XW\V4\loop1\inputs\ex_controller\3_phase_n.txt</v>
      </c>
    </row>
    <row r="122" spans="1:17" s="217" customFormat="1" x14ac:dyDescent="0.25">
      <c r="A122" s="229">
        <f t="shared" ref="A122:B122" si="118">A121+1</f>
        <v>2512</v>
      </c>
      <c r="B122" s="230">
        <f t="shared" si="118"/>
        <v>112</v>
      </c>
      <c r="C122" s="229" t="str">
        <f t="shared" si="55"/>
        <v>22dB25+000_090_04</v>
      </c>
      <c r="D122" s="231">
        <f t="shared" si="68"/>
        <v>25</v>
      </c>
      <c r="E122" s="239">
        <f t="shared" si="56"/>
        <v>3.4090000000000007</v>
      </c>
      <c r="F122" s="232">
        <f t="shared" si="57"/>
        <v>13.636000000000003</v>
      </c>
      <c r="G122" s="232">
        <f t="shared" si="58"/>
        <v>10.908800000000003</v>
      </c>
      <c r="H122" s="232">
        <f t="shared" si="59"/>
        <v>6.8180000000000014</v>
      </c>
      <c r="I122" s="232">
        <f t="shared" ref="I122:J122" si="119">I121</f>
        <v>8</v>
      </c>
      <c r="J122" s="233">
        <f t="shared" si="119"/>
        <v>0</v>
      </c>
      <c r="K122" s="228" t="str">
        <f>D122&amp;-4</f>
        <v>25-4</v>
      </c>
      <c r="L122" s="232">
        <f t="shared" si="110"/>
        <v>0.2</v>
      </c>
      <c r="M122" s="235">
        <v>90</v>
      </c>
      <c r="N122" s="232">
        <f t="shared" ref="N122:P122" si="120">N121</f>
        <v>150</v>
      </c>
      <c r="O122" s="232">
        <f t="shared" si="120"/>
        <v>155</v>
      </c>
      <c r="P122" s="232">
        <f t="shared" si="120"/>
        <v>165</v>
      </c>
      <c r="Q122" s="230" t="str">
        <f t="shared" si="117"/>
        <v>\\172.20.0.4\fs04\XW\V4\loop1\inputs\ex_controller\3_phase_n.txt</v>
      </c>
    </row>
    <row r="123" spans="1:17" s="217" customFormat="1" x14ac:dyDescent="0.25">
      <c r="A123" s="229">
        <f t="shared" ref="A123:B123" si="121">A122+1</f>
        <v>2513</v>
      </c>
      <c r="B123" s="230">
        <f t="shared" si="121"/>
        <v>113</v>
      </c>
      <c r="C123" s="229" t="str">
        <f t="shared" si="55"/>
        <v>22dB25+000_000_05</v>
      </c>
      <c r="D123" s="231">
        <f t="shared" si="68"/>
        <v>25</v>
      </c>
      <c r="E123" s="239">
        <f t="shared" si="56"/>
        <v>3.4090000000000007</v>
      </c>
      <c r="F123" s="232">
        <f t="shared" si="57"/>
        <v>13.636000000000003</v>
      </c>
      <c r="G123" s="232">
        <f t="shared" si="58"/>
        <v>10.908800000000003</v>
      </c>
      <c r="H123" s="232">
        <f t="shared" si="59"/>
        <v>6.8180000000000014</v>
      </c>
      <c r="I123" s="232">
        <f t="shared" ref="I123:J123" si="122">I122</f>
        <v>8</v>
      </c>
      <c r="J123" s="233">
        <f t="shared" si="122"/>
        <v>0</v>
      </c>
      <c r="K123" s="228" t="str">
        <f>D123&amp;-5</f>
        <v>25-5</v>
      </c>
      <c r="L123" s="232">
        <f t="shared" si="110"/>
        <v>0.2</v>
      </c>
      <c r="M123" s="235">
        <v>0</v>
      </c>
      <c r="N123" s="232">
        <f t="shared" ref="N123:P123" si="123">N122</f>
        <v>150</v>
      </c>
      <c r="O123" s="232">
        <f t="shared" si="123"/>
        <v>155</v>
      </c>
      <c r="P123" s="232">
        <f t="shared" si="123"/>
        <v>165</v>
      </c>
      <c r="Q123" s="230" t="str">
        <f t="shared" si="117"/>
        <v>\\172.20.0.4\fs04\XW\V4\loop1\inputs\ex_controller\3_phase_n.txt</v>
      </c>
    </row>
    <row r="124" spans="1:17" s="217" customFormat="1" x14ac:dyDescent="0.25">
      <c r="A124" s="229">
        <f t="shared" ref="A124:B124" si="124">A123+1</f>
        <v>2514</v>
      </c>
      <c r="B124" s="230">
        <f t="shared" si="124"/>
        <v>114</v>
      </c>
      <c r="C124" s="229" t="str">
        <f t="shared" si="55"/>
        <v>22dB25+000_030_06</v>
      </c>
      <c r="D124" s="231">
        <f t="shared" si="68"/>
        <v>25</v>
      </c>
      <c r="E124" s="239">
        <f t="shared" si="56"/>
        <v>3.4090000000000007</v>
      </c>
      <c r="F124" s="232">
        <f t="shared" si="57"/>
        <v>13.636000000000003</v>
      </c>
      <c r="G124" s="232">
        <f t="shared" si="58"/>
        <v>10.908800000000003</v>
      </c>
      <c r="H124" s="232">
        <f t="shared" si="59"/>
        <v>6.8180000000000014</v>
      </c>
      <c r="I124" s="232">
        <f t="shared" ref="I124:J124" si="125">I123</f>
        <v>8</v>
      </c>
      <c r="J124" s="233">
        <f t="shared" si="125"/>
        <v>0</v>
      </c>
      <c r="K124" s="228" t="str">
        <f>D124&amp;-6</f>
        <v>25-6</v>
      </c>
      <c r="L124" s="232">
        <f t="shared" si="110"/>
        <v>0.2</v>
      </c>
      <c r="M124" s="235">
        <v>30</v>
      </c>
      <c r="N124" s="232">
        <f t="shared" ref="N124:P124" si="126">N123</f>
        <v>150</v>
      </c>
      <c r="O124" s="232">
        <f t="shared" si="126"/>
        <v>155</v>
      </c>
      <c r="P124" s="232">
        <f t="shared" si="126"/>
        <v>165</v>
      </c>
      <c r="Q124" s="230" t="str">
        <f t="shared" si="117"/>
        <v>\\172.20.0.4\fs04\XW\V4\loop1\inputs\ex_controller\3_phase_n.txt</v>
      </c>
    </row>
    <row r="125" spans="1:17" s="217" customFormat="1" x14ac:dyDescent="0.25">
      <c r="A125" s="229">
        <f t="shared" ref="A125:B125" si="127">A124+1</f>
        <v>2515</v>
      </c>
      <c r="B125" s="230">
        <f t="shared" si="127"/>
        <v>115</v>
      </c>
      <c r="C125" s="229" t="str">
        <f t="shared" si="55"/>
        <v>22dB25+000_060_07</v>
      </c>
      <c r="D125" s="231">
        <f t="shared" si="68"/>
        <v>25</v>
      </c>
      <c r="E125" s="239">
        <f t="shared" si="56"/>
        <v>3.4090000000000007</v>
      </c>
      <c r="F125" s="232">
        <f t="shared" si="57"/>
        <v>13.636000000000003</v>
      </c>
      <c r="G125" s="232">
        <f t="shared" si="58"/>
        <v>10.908800000000003</v>
      </c>
      <c r="H125" s="232">
        <f t="shared" si="59"/>
        <v>6.8180000000000014</v>
      </c>
      <c r="I125" s="232">
        <f t="shared" ref="I125:J125" si="128">I124</f>
        <v>8</v>
      </c>
      <c r="J125" s="233">
        <f t="shared" si="128"/>
        <v>0</v>
      </c>
      <c r="K125" s="228" t="str">
        <f>D125&amp;-7</f>
        <v>25-7</v>
      </c>
      <c r="L125" s="232">
        <f t="shared" si="110"/>
        <v>0.2</v>
      </c>
      <c r="M125" s="235">
        <v>60</v>
      </c>
      <c r="N125" s="232">
        <f t="shared" ref="N125:P125" si="129">N124</f>
        <v>150</v>
      </c>
      <c r="O125" s="232">
        <f t="shared" si="129"/>
        <v>155</v>
      </c>
      <c r="P125" s="232">
        <f t="shared" si="129"/>
        <v>165</v>
      </c>
      <c r="Q125" s="230" t="str">
        <f t="shared" si="117"/>
        <v>\\172.20.0.4\fs04\XW\V4\loop1\inputs\ex_controller\3_phase_n.txt</v>
      </c>
    </row>
    <row r="126" spans="1:17" s="217" customFormat="1" x14ac:dyDescent="0.25">
      <c r="A126" s="229">
        <f t="shared" ref="A126:B126" si="130">A125+1</f>
        <v>2516</v>
      </c>
      <c r="B126" s="230">
        <f t="shared" si="130"/>
        <v>116</v>
      </c>
      <c r="C126" s="229" t="str">
        <f t="shared" si="55"/>
        <v>22dB25+000_090_08</v>
      </c>
      <c r="D126" s="231">
        <f t="shared" si="68"/>
        <v>25</v>
      </c>
      <c r="E126" s="239">
        <f t="shared" si="56"/>
        <v>3.4090000000000007</v>
      </c>
      <c r="F126" s="232">
        <f t="shared" si="57"/>
        <v>13.636000000000003</v>
      </c>
      <c r="G126" s="232">
        <f t="shared" si="58"/>
        <v>10.908800000000003</v>
      </c>
      <c r="H126" s="232">
        <f t="shared" si="59"/>
        <v>6.8180000000000014</v>
      </c>
      <c r="I126" s="232">
        <f t="shared" ref="I126:J126" si="131">I125</f>
        <v>8</v>
      </c>
      <c r="J126" s="233">
        <f t="shared" si="131"/>
        <v>0</v>
      </c>
      <c r="K126" s="228" t="str">
        <f>D126&amp;-8</f>
        <v>25-8</v>
      </c>
      <c r="L126" s="232">
        <f t="shared" si="110"/>
        <v>0.2</v>
      </c>
      <c r="M126" s="235">
        <v>90</v>
      </c>
      <c r="N126" s="232">
        <f t="shared" ref="N126:P126" si="132">N125</f>
        <v>150</v>
      </c>
      <c r="O126" s="232">
        <f t="shared" si="132"/>
        <v>155</v>
      </c>
      <c r="P126" s="232">
        <f t="shared" si="132"/>
        <v>165</v>
      </c>
      <c r="Q126" s="230" t="str">
        <f t="shared" si="117"/>
        <v>\\172.20.0.4\fs04\XW\V4\loop1\inputs\ex_controller\3_phase_n.txt</v>
      </c>
    </row>
    <row r="127" spans="1:17" s="217" customFormat="1" x14ac:dyDescent="0.25">
      <c r="A127" s="229">
        <f t="shared" ref="A127:B127" si="133">A126+1</f>
        <v>2517</v>
      </c>
      <c r="B127" s="230">
        <f t="shared" si="133"/>
        <v>117</v>
      </c>
      <c r="C127" s="229" t="str">
        <f t="shared" si="55"/>
        <v>22dB25+000_000_09</v>
      </c>
      <c r="D127" s="231">
        <f t="shared" si="68"/>
        <v>25</v>
      </c>
      <c r="E127" s="239">
        <f t="shared" si="56"/>
        <v>3.4090000000000007</v>
      </c>
      <c r="F127" s="232">
        <f t="shared" si="57"/>
        <v>13.636000000000003</v>
      </c>
      <c r="G127" s="232">
        <f t="shared" si="58"/>
        <v>10.908800000000003</v>
      </c>
      <c r="H127" s="232">
        <f t="shared" si="59"/>
        <v>6.8180000000000014</v>
      </c>
      <c r="I127" s="232">
        <f t="shared" ref="I127:J127" si="134">I126</f>
        <v>8</v>
      </c>
      <c r="J127" s="233">
        <f t="shared" si="134"/>
        <v>0</v>
      </c>
      <c r="K127" s="228" t="str">
        <f>D127&amp;-9</f>
        <v>25-9</v>
      </c>
      <c r="L127" s="232">
        <f t="shared" si="110"/>
        <v>0.2</v>
      </c>
      <c r="M127" s="235">
        <v>0</v>
      </c>
      <c r="N127" s="232">
        <f t="shared" ref="N127:P127" si="135">N126</f>
        <v>150</v>
      </c>
      <c r="O127" s="232">
        <f t="shared" si="135"/>
        <v>155</v>
      </c>
      <c r="P127" s="232">
        <f t="shared" si="135"/>
        <v>165</v>
      </c>
      <c r="Q127" s="230" t="str">
        <f t="shared" si="117"/>
        <v>\\172.20.0.4\fs04\XW\V4\loop1\inputs\ex_controller\3_phase_n.txt</v>
      </c>
    </row>
    <row r="128" spans="1:17" s="217" customFormat="1" x14ac:dyDescent="0.25">
      <c r="A128" s="229">
        <f t="shared" ref="A128:B128" si="136">A127+1</f>
        <v>2518</v>
      </c>
      <c r="B128" s="230">
        <f t="shared" si="136"/>
        <v>118</v>
      </c>
      <c r="C128" s="229" t="str">
        <f t="shared" si="55"/>
        <v>22dB25+000_030_10</v>
      </c>
      <c r="D128" s="231">
        <f t="shared" si="68"/>
        <v>25</v>
      </c>
      <c r="E128" s="239">
        <f t="shared" si="56"/>
        <v>3.4090000000000007</v>
      </c>
      <c r="F128" s="232">
        <f t="shared" si="57"/>
        <v>13.636000000000003</v>
      </c>
      <c r="G128" s="232">
        <f t="shared" si="58"/>
        <v>10.908800000000003</v>
      </c>
      <c r="H128" s="232">
        <f t="shared" si="59"/>
        <v>6.8180000000000014</v>
      </c>
      <c r="I128" s="232">
        <f t="shared" ref="I128:J128" si="137">I127</f>
        <v>8</v>
      </c>
      <c r="J128" s="233">
        <f t="shared" si="137"/>
        <v>0</v>
      </c>
      <c r="K128" s="228" t="str">
        <f>D128&amp;-10</f>
        <v>25-10</v>
      </c>
      <c r="L128" s="232">
        <f t="shared" si="110"/>
        <v>0.2</v>
      </c>
      <c r="M128" s="235">
        <v>30</v>
      </c>
      <c r="N128" s="232">
        <f t="shared" ref="N128:P128" si="138">N127</f>
        <v>150</v>
      </c>
      <c r="O128" s="232">
        <f t="shared" si="138"/>
        <v>155</v>
      </c>
      <c r="P128" s="232">
        <f t="shared" si="138"/>
        <v>165</v>
      </c>
      <c r="Q128" s="230" t="str">
        <f t="shared" si="117"/>
        <v>\\172.20.0.4\fs04\XW\V4\loop1\inputs\ex_controller\3_phase_n.txt</v>
      </c>
    </row>
    <row r="129" spans="1:17" s="217" customFormat="1" x14ac:dyDescent="0.25">
      <c r="A129" s="229">
        <f t="shared" ref="A129:B129" si="139">A128+1</f>
        <v>2519</v>
      </c>
      <c r="B129" s="230">
        <f t="shared" si="139"/>
        <v>119</v>
      </c>
      <c r="C129" s="229" t="str">
        <f t="shared" si="55"/>
        <v>22dB25+000_060_11</v>
      </c>
      <c r="D129" s="231">
        <f t="shared" si="68"/>
        <v>25</v>
      </c>
      <c r="E129" s="239">
        <f t="shared" si="56"/>
        <v>3.4090000000000007</v>
      </c>
      <c r="F129" s="232">
        <f t="shared" si="57"/>
        <v>13.636000000000003</v>
      </c>
      <c r="G129" s="232">
        <f t="shared" si="58"/>
        <v>10.908800000000003</v>
      </c>
      <c r="H129" s="232">
        <f t="shared" si="59"/>
        <v>6.8180000000000014</v>
      </c>
      <c r="I129" s="232">
        <f t="shared" ref="I129:J129" si="140">I128</f>
        <v>8</v>
      </c>
      <c r="J129" s="233">
        <f t="shared" si="140"/>
        <v>0</v>
      </c>
      <c r="K129" s="228" t="str">
        <f>D129&amp;-11</f>
        <v>25-11</v>
      </c>
      <c r="L129" s="232">
        <f t="shared" si="110"/>
        <v>0.2</v>
      </c>
      <c r="M129" s="235">
        <v>60</v>
      </c>
      <c r="N129" s="232">
        <f t="shared" ref="N129:P129" si="141">N128</f>
        <v>150</v>
      </c>
      <c r="O129" s="232">
        <f t="shared" si="141"/>
        <v>155</v>
      </c>
      <c r="P129" s="232">
        <f t="shared" si="141"/>
        <v>165</v>
      </c>
      <c r="Q129" s="230" t="str">
        <f t="shared" si="117"/>
        <v>\\172.20.0.4\fs04\XW\V4\loop1\inputs\ex_controller\3_phase_n.txt</v>
      </c>
    </row>
    <row r="130" spans="1:17" s="217" customFormat="1" x14ac:dyDescent="0.25">
      <c r="A130" s="229">
        <f t="shared" ref="A130:B130" si="142">A129+1</f>
        <v>2520</v>
      </c>
      <c r="B130" s="230">
        <f t="shared" si="142"/>
        <v>120</v>
      </c>
      <c r="C130" s="229" t="str">
        <f t="shared" si="55"/>
        <v>22dB25+000_090_12</v>
      </c>
      <c r="D130" s="231">
        <f t="shared" si="68"/>
        <v>25</v>
      </c>
      <c r="E130" s="239">
        <f t="shared" si="56"/>
        <v>3.4090000000000007</v>
      </c>
      <c r="F130" s="232">
        <f t="shared" si="57"/>
        <v>13.636000000000003</v>
      </c>
      <c r="G130" s="232">
        <f t="shared" si="58"/>
        <v>10.908800000000003</v>
      </c>
      <c r="H130" s="232">
        <f t="shared" si="59"/>
        <v>6.8180000000000014</v>
      </c>
      <c r="I130" s="232">
        <f t="shared" ref="I130:J130" si="143">I129</f>
        <v>8</v>
      </c>
      <c r="J130" s="233">
        <f t="shared" si="143"/>
        <v>0</v>
      </c>
      <c r="K130" s="228" t="str">
        <f>D130&amp;-12</f>
        <v>25-12</v>
      </c>
      <c r="L130" s="232">
        <f t="shared" si="110"/>
        <v>0.2</v>
      </c>
      <c r="M130" s="235">
        <v>90</v>
      </c>
      <c r="N130" s="232">
        <f t="shared" ref="N130:P130" si="144">N129</f>
        <v>150</v>
      </c>
      <c r="O130" s="232">
        <f t="shared" si="144"/>
        <v>155</v>
      </c>
      <c r="P130" s="232">
        <f t="shared" si="144"/>
        <v>165</v>
      </c>
      <c r="Q130" s="230" t="str">
        <f t="shared" si="117"/>
        <v>\\172.20.0.4\fs04\XW\V4\loop1\inputs\ex_controller\3_phase_n.txt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02"/>
  <sheetViews>
    <sheetView topLeftCell="B1" zoomScaleNormal="100" workbookViewId="0">
      <selection activeCell="I2" sqref="I2"/>
    </sheetView>
  </sheetViews>
  <sheetFormatPr defaultColWidth="9" defaultRowHeight="15" x14ac:dyDescent="0.15"/>
  <cols>
    <col min="1" max="1" width="7.625" style="23" customWidth="1"/>
    <col min="2" max="2" width="7.375" style="23" customWidth="1"/>
    <col min="3" max="3" width="20.625" style="23" customWidth="1"/>
    <col min="4" max="4" width="6.125" style="23" customWidth="1"/>
    <col min="5" max="5" width="6.625" style="23" customWidth="1"/>
    <col min="6" max="6" width="7.375" style="23" customWidth="1"/>
    <col min="7" max="7" width="6.625" style="23" customWidth="1"/>
    <col min="8" max="8" width="7.25" style="23" customWidth="1"/>
    <col min="9" max="9" width="7.375" style="23" customWidth="1"/>
    <col min="10" max="10" width="7.75" style="23" customWidth="1"/>
    <col min="11" max="11" width="8.25" style="23" customWidth="1"/>
    <col min="12" max="12" width="9" style="23"/>
    <col min="13" max="13" width="7.375" style="23" customWidth="1"/>
    <col min="14" max="14" width="6.75" style="23" customWidth="1"/>
    <col min="15" max="15" width="7.125" style="23" customWidth="1"/>
    <col min="16" max="17" width="9" style="23"/>
    <col min="18" max="18" width="7.375" style="23" customWidth="1"/>
    <col min="19" max="19" width="7.625" style="23" customWidth="1"/>
    <col min="20" max="16384" width="9" style="23"/>
  </cols>
  <sheetData>
    <row r="1" spans="1:18" x14ac:dyDescent="0.15">
      <c r="H1" s="22" t="s">
        <v>135</v>
      </c>
      <c r="I1" s="216" t="s">
        <v>3967</v>
      </c>
    </row>
    <row r="2" spans="1:18" x14ac:dyDescent="0.15">
      <c r="B2" s="22" t="s">
        <v>260</v>
      </c>
      <c r="C2" s="22"/>
      <c r="D2" s="22"/>
      <c r="E2" s="22"/>
      <c r="H2" s="22"/>
      <c r="I2" s="216" t="s">
        <v>3928</v>
      </c>
    </row>
    <row r="3" spans="1:18" x14ac:dyDescent="0.15">
      <c r="B3" s="22" t="s">
        <v>88</v>
      </c>
      <c r="C3" s="22"/>
      <c r="D3" s="22"/>
      <c r="E3" s="93" t="s">
        <v>922</v>
      </c>
      <c r="H3" s="22"/>
      <c r="I3" s="240" t="s">
        <v>3939</v>
      </c>
    </row>
    <row r="4" spans="1:18" x14ac:dyDescent="0.15">
      <c r="B4" s="22" t="s">
        <v>89</v>
      </c>
      <c r="C4" s="22"/>
      <c r="D4" s="22"/>
      <c r="E4" s="22" t="s">
        <v>893</v>
      </c>
      <c r="H4" s="22"/>
      <c r="I4" s="216" t="s">
        <v>3955</v>
      </c>
    </row>
    <row r="5" spans="1:18" x14ac:dyDescent="0.15">
      <c r="B5" s="22" t="s">
        <v>91</v>
      </c>
      <c r="C5" s="22"/>
      <c r="D5" s="22"/>
      <c r="E5" s="22" t="s">
        <v>99</v>
      </c>
      <c r="H5" s="22"/>
      <c r="I5" s="240" t="s">
        <v>3940</v>
      </c>
    </row>
    <row r="6" spans="1:18" x14ac:dyDescent="0.15">
      <c r="B6" s="22" t="s">
        <v>93</v>
      </c>
      <c r="C6" s="22"/>
      <c r="D6" s="22"/>
      <c r="E6" s="22" t="s">
        <v>106</v>
      </c>
      <c r="H6" s="22"/>
      <c r="I6" s="216" t="s">
        <v>3932</v>
      </c>
    </row>
    <row r="7" spans="1:18" x14ac:dyDescent="0.15">
      <c r="H7" s="22"/>
      <c r="I7" s="216" t="s">
        <v>3930</v>
      </c>
    </row>
    <row r="8" spans="1:18" ht="15.75" thickBot="1" x14ac:dyDescent="0.2">
      <c r="I8" s="22"/>
    </row>
    <row r="9" spans="1:18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62" t="s">
        <v>152</v>
      </c>
      <c r="G9" s="62" t="s">
        <v>87</v>
      </c>
      <c r="H9" s="27" t="s">
        <v>15</v>
      </c>
      <c r="I9" s="27" t="s">
        <v>8</v>
      </c>
      <c r="J9" s="47" t="s">
        <v>21</v>
      </c>
      <c r="K9" s="25" t="s">
        <v>147</v>
      </c>
      <c r="L9" s="25" t="s">
        <v>144</v>
      </c>
      <c r="M9" s="25" t="s">
        <v>2</v>
      </c>
      <c r="N9" s="25" t="s">
        <v>141</v>
      </c>
      <c r="O9" s="25" t="s">
        <v>13</v>
      </c>
      <c r="P9" s="47" t="s">
        <v>151</v>
      </c>
      <c r="Q9" s="27" t="s">
        <v>138</v>
      </c>
      <c r="R9" s="27" t="s">
        <v>139</v>
      </c>
    </row>
    <row r="10" spans="1:18" ht="15.75" thickBot="1" x14ac:dyDescent="0.3">
      <c r="A10" s="29" t="s">
        <v>76</v>
      </c>
      <c r="B10" s="30" t="str">
        <f>B2</f>
        <v>DLC23</v>
      </c>
      <c r="C10" s="29"/>
      <c r="D10" s="30" t="s">
        <v>4</v>
      </c>
      <c r="E10" s="59" t="s">
        <v>4</v>
      </c>
      <c r="F10" s="59" t="s">
        <v>14</v>
      </c>
      <c r="G10" s="59"/>
      <c r="H10" s="30" t="s">
        <v>4</v>
      </c>
      <c r="I10" s="32"/>
      <c r="J10" s="32" t="s">
        <v>17</v>
      </c>
      <c r="K10" s="32" t="s">
        <v>7</v>
      </c>
      <c r="L10" s="30" t="s">
        <v>6</v>
      </c>
      <c r="M10" s="30" t="s">
        <v>6</v>
      </c>
      <c r="N10" s="30"/>
      <c r="O10" s="32" t="s">
        <v>7</v>
      </c>
      <c r="P10" s="32" t="s">
        <v>17</v>
      </c>
      <c r="Q10" s="32" t="s">
        <v>7</v>
      </c>
      <c r="R10" s="32" t="s">
        <v>7</v>
      </c>
    </row>
    <row r="11" spans="1:18" x14ac:dyDescent="0.25">
      <c r="A11" s="24">
        <f>DLC22d!A130+1</f>
        <v>2521</v>
      </c>
      <c r="B11" s="27">
        <v>1</v>
      </c>
      <c r="C11" s="229" t="str">
        <f>TEXT(RIGHT($B$2,LEN($B$2)-3),"L00")&amp;"X"&amp;TEXT(D11,"00")&amp;"#"&amp;IF(M11&lt;0,TEXT(360+M11,"000"),TEXT(M11,"000"))&amp;"_"&amp;TEXT(O11,"000")&amp;"_01"</f>
        <v>L23X08#352_000_01</v>
      </c>
      <c r="D11" s="34">
        <f t="shared" ref="D11:D58" si="0">vr_b</f>
        <v>7.8000000000000007</v>
      </c>
      <c r="E11" s="60">
        <f t="shared" ref="E11:E74" si="1">I_ref*(0.75*D11+5.6)</f>
        <v>1.603</v>
      </c>
      <c r="F11" s="60">
        <f t="shared" ref="F11:F74" si="2">tur_scale</f>
        <v>42</v>
      </c>
      <c r="G11" s="63">
        <f t="shared" ref="G11:G74" si="3">1/(1+0.1*(diameter/F11))</f>
        <v>0.74204946996466425</v>
      </c>
      <c r="H11" s="51">
        <f t="shared" ref="H11:H74" si="4">MIN(1.35*(v_e1-D11),3.3*E11*G11)</f>
        <v>3.9253674911660772</v>
      </c>
      <c r="I11" s="42" t="s">
        <v>16</v>
      </c>
      <c r="J11" s="50">
        <f>EOG_t1</f>
        <v>10.5</v>
      </c>
      <c r="K11" s="49">
        <f>trig_t</f>
        <v>160</v>
      </c>
      <c r="L11" s="35">
        <f>inflow</f>
        <v>8</v>
      </c>
      <c r="M11" s="35">
        <f>yaw_min</f>
        <v>-8</v>
      </c>
      <c r="N11" s="36">
        <f>alpha_n</f>
        <v>0.2</v>
      </c>
      <c r="O11" s="49">
        <v>0</v>
      </c>
      <c r="P11" s="52">
        <f>K11</f>
        <v>160</v>
      </c>
      <c r="Q11" s="35">
        <f>t_out</f>
        <v>150</v>
      </c>
      <c r="R11" s="50">
        <f>Q11+T_s2</f>
        <v>210</v>
      </c>
    </row>
    <row r="12" spans="1:18" x14ac:dyDescent="0.25">
      <c r="A12" s="41">
        <f>A11+1</f>
        <v>2522</v>
      </c>
      <c r="B12" s="42">
        <f>B11+1</f>
        <v>2</v>
      </c>
      <c r="C12" s="229" t="str">
        <f t="shared" ref="C12:C14" si="5">TEXT(RIGHT($B$2,LEN($B$2)-3),"L00")&amp;"X"&amp;TEXT(D12,"00")&amp;"#"&amp;IF(M12&lt;0,TEXT(360+M12,"000"),TEXT(M12,"000"))&amp;"_"&amp;TEXT(O12,"000")&amp;"_01"</f>
        <v>L23X08#352_030_01</v>
      </c>
      <c r="D12" s="43">
        <f t="shared" si="0"/>
        <v>7.8000000000000007</v>
      </c>
      <c r="E12" s="61">
        <f t="shared" si="1"/>
        <v>1.603</v>
      </c>
      <c r="F12" s="61">
        <f t="shared" si="2"/>
        <v>42</v>
      </c>
      <c r="G12" s="64">
        <f t="shared" si="3"/>
        <v>0.74204946996466425</v>
      </c>
      <c r="H12" s="51">
        <f t="shared" si="4"/>
        <v>3.9253674911660772</v>
      </c>
      <c r="I12" s="42" t="str">
        <f t="shared" ref="I12:N27" si="6">I11</f>
        <v>IEC</v>
      </c>
      <c r="J12" s="50">
        <f t="shared" si="6"/>
        <v>10.5</v>
      </c>
      <c r="K12" s="49">
        <f t="shared" si="6"/>
        <v>160</v>
      </c>
      <c r="L12" s="44">
        <f t="shared" si="6"/>
        <v>8</v>
      </c>
      <c r="M12" s="44">
        <f t="shared" si="6"/>
        <v>-8</v>
      </c>
      <c r="N12" s="45">
        <f t="shared" si="6"/>
        <v>0.2</v>
      </c>
      <c r="O12" s="49">
        <v>30</v>
      </c>
      <c r="P12" s="52">
        <f t="shared" ref="P12:P14" si="7">K12</f>
        <v>160</v>
      </c>
      <c r="Q12" s="44">
        <f>Q11</f>
        <v>150</v>
      </c>
      <c r="R12" s="50">
        <f>R11</f>
        <v>210</v>
      </c>
    </row>
    <row r="13" spans="1:18" x14ac:dyDescent="0.25">
      <c r="A13" s="229">
        <f t="shared" ref="A13:A76" si="8">A12+1</f>
        <v>2523</v>
      </c>
      <c r="B13" s="230">
        <f t="shared" ref="B13:B76" si="9">B12+1</f>
        <v>3</v>
      </c>
      <c r="C13" s="229" t="str">
        <f t="shared" si="5"/>
        <v>L23X08#352_060_01</v>
      </c>
      <c r="D13" s="43">
        <f t="shared" si="0"/>
        <v>7.8000000000000007</v>
      </c>
      <c r="E13" s="61">
        <f t="shared" si="1"/>
        <v>1.603</v>
      </c>
      <c r="F13" s="61">
        <f t="shared" si="2"/>
        <v>42</v>
      </c>
      <c r="G13" s="64">
        <f t="shared" si="3"/>
        <v>0.74204946996466425</v>
      </c>
      <c r="H13" s="51">
        <f t="shared" si="4"/>
        <v>3.9253674911660772</v>
      </c>
      <c r="I13" s="42" t="str">
        <f t="shared" si="6"/>
        <v>IEC</v>
      </c>
      <c r="J13" s="50">
        <f t="shared" si="6"/>
        <v>10.5</v>
      </c>
      <c r="K13" s="49">
        <f t="shared" si="6"/>
        <v>160</v>
      </c>
      <c r="L13" s="44">
        <f t="shared" si="6"/>
        <v>8</v>
      </c>
      <c r="M13" s="44">
        <f t="shared" si="6"/>
        <v>-8</v>
      </c>
      <c r="N13" s="45">
        <f t="shared" si="6"/>
        <v>0.2</v>
      </c>
      <c r="O13" s="49">
        <v>60</v>
      </c>
      <c r="P13" s="52">
        <f t="shared" si="7"/>
        <v>160</v>
      </c>
      <c r="Q13" s="44">
        <f t="shared" ref="Q13:R28" si="10">Q12</f>
        <v>150</v>
      </c>
      <c r="R13" s="50">
        <f t="shared" si="10"/>
        <v>210</v>
      </c>
    </row>
    <row r="14" spans="1:18" x14ac:dyDescent="0.25">
      <c r="A14" s="229">
        <f t="shared" si="8"/>
        <v>2524</v>
      </c>
      <c r="B14" s="230">
        <f t="shared" si="9"/>
        <v>4</v>
      </c>
      <c r="C14" s="229" t="str">
        <f t="shared" si="5"/>
        <v>L23X08#352_090_01</v>
      </c>
      <c r="D14" s="43">
        <f t="shared" si="0"/>
        <v>7.8000000000000007</v>
      </c>
      <c r="E14" s="61">
        <f t="shared" si="1"/>
        <v>1.603</v>
      </c>
      <c r="F14" s="61">
        <f t="shared" si="2"/>
        <v>42</v>
      </c>
      <c r="G14" s="64">
        <f t="shared" si="3"/>
        <v>0.74204946996466425</v>
      </c>
      <c r="H14" s="51">
        <f t="shared" si="4"/>
        <v>3.9253674911660772</v>
      </c>
      <c r="I14" s="42" t="str">
        <f t="shared" si="6"/>
        <v>IEC</v>
      </c>
      <c r="J14" s="50">
        <f t="shared" si="6"/>
        <v>10.5</v>
      </c>
      <c r="K14" s="49">
        <f t="shared" si="6"/>
        <v>160</v>
      </c>
      <c r="L14" s="44">
        <f t="shared" si="6"/>
        <v>8</v>
      </c>
      <c r="M14" s="44">
        <f t="shared" si="6"/>
        <v>-8</v>
      </c>
      <c r="N14" s="45">
        <f t="shared" si="6"/>
        <v>0.2</v>
      </c>
      <c r="O14" s="49">
        <v>90</v>
      </c>
      <c r="P14" s="52">
        <f t="shared" si="7"/>
        <v>160</v>
      </c>
      <c r="Q14" s="44">
        <f t="shared" si="10"/>
        <v>150</v>
      </c>
      <c r="R14" s="50">
        <f t="shared" si="10"/>
        <v>210</v>
      </c>
    </row>
    <row r="15" spans="1:18" x14ac:dyDescent="0.25">
      <c r="A15" s="229">
        <f t="shared" si="8"/>
        <v>2525</v>
      </c>
      <c r="B15" s="230">
        <f t="shared" si="9"/>
        <v>5</v>
      </c>
      <c r="C15" s="229" t="str">
        <f>TEXT(RIGHT($B$2,LEN($B$2)-3),"L00")&amp;"X"&amp;TEXT(D15,"00")&amp;"#"&amp;IF(M15&lt;0,TEXT(360+M15,"000"),TEXT(M15,"000"))&amp;"_"&amp;TEXT(O15,"000")&amp;"_02"</f>
        <v>L23X08#352_000_02</v>
      </c>
      <c r="D15" s="43">
        <f t="shared" si="0"/>
        <v>7.8000000000000007</v>
      </c>
      <c r="E15" s="61">
        <f t="shared" si="1"/>
        <v>1.603</v>
      </c>
      <c r="F15" s="61">
        <f t="shared" si="2"/>
        <v>42</v>
      </c>
      <c r="G15" s="64">
        <f t="shared" si="3"/>
        <v>0.74204946996466425</v>
      </c>
      <c r="H15" s="51">
        <f t="shared" si="4"/>
        <v>3.9253674911660772</v>
      </c>
      <c r="I15" s="42" t="str">
        <f t="shared" si="6"/>
        <v>IEC</v>
      </c>
      <c r="J15" s="50">
        <f t="shared" si="6"/>
        <v>10.5</v>
      </c>
      <c r="K15" s="49">
        <f t="shared" si="6"/>
        <v>160</v>
      </c>
      <c r="L15" s="44">
        <f t="shared" si="6"/>
        <v>8</v>
      </c>
      <c r="M15" s="44">
        <f t="shared" si="6"/>
        <v>-8</v>
      </c>
      <c r="N15" s="45">
        <f t="shared" si="6"/>
        <v>0.2</v>
      </c>
      <c r="O15" s="49">
        <v>0</v>
      </c>
      <c r="P15" s="54">
        <f>K15+2.46</f>
        <v>162.46</v>
      </c>
      <c r="Q15" s="44">
        <f t="shared" si="10"/>
        <v>150</v>
      </c>
      <c r="R15" s="50">
        <f t="shared" si="10"/>
        <v>210</v>
      </c>
    </row>
    <row r="16" spans="1:18" x14ac:dyDescent="0.25">
      <c r="A16" s="229">
        <f t="shared" si="8"/>
        <v>2526</v>
      </c>
      <c r="B16" s="230">
        <f t="shared" si="9"/>
        <v>6</v>
      </c>
      <c r="C16" s="229" t="str">
        <f t="shared" ref="C16:C18" si="11">TEXT(RIGHT($B$2,LEN($B$2)-3),"L00")&amp;"X"&amp;TEXT(D16,"00")&amp;"#"&amp;IF(M16&lt;0,TEXT(360+M16,"000"),TEXT(M16,"000"))&amp;"_"&amp;TEXT(O16,"000")&amp;"_02"</f>
        <v>L23X08#352_030_02</v>
      </c>
      <c r="D16" s="43">
        <f t="shared" si="0"/>
        <v>7.8000000000000007</v>
      </c>
      <c r="E16" s="61">
        <f t="shared" si="1"/>
        <v>1.603</v>
      </c>
      <c r="F16" s="61">
        <f t="shared" si="2"/>
        <v>42</v>
      </c>
      <c r="G16" s="64">
        <f t="shared" si="3"/>
        <v>0.74204946996466425</v>
      </c>
      <c r="H16" s="51">
        <f t="shared" si="4"/>
        <v>3.9253674911660772</v>
      </c>
      <c r="I16" s="42" t="str">
        <f t="shared" si="6"/>
        <v>IEC</v>
      </c>
      <c r="J16" s="50">
        <f t="shared" si="6"/>
        <v>10.5</v>
      </c>
      <c r="K16" s="49">
        <f t="shared" si="6"/>
        <v>160</v>
      </c>
      <c r="L16" s="44">
        <f t="shared" si="6"/>
        <v>8</v>
      </c>
      <c r="M16" s="44">
        <f t="shared" si="6"/>
        <v>-8</v>
      </c>
      <c r="N16" s="45">
        <f t="shared" si="6"/>
        <v>0.2</v>
      </c>
      <c r="O16" s="49">
        <v>30</v>
      </c>
      <c r="P16" s="54">
        <f>K16+2.46</f>
        <v>162.46</v>
      </c>
      <c r="Q16" s="44">
        <f t="shared" si="10"/>
        <v>150</v>
      </c>
      <c r="R16" s="50">
        <f t="shared" si="10"/>
        <v>210</v>
      </c>
    </row>
    <row r="17" spans="1:18" x14ac:dyDescent="0.25">
      <c r="A17" s="229">
        <f t="shared" si="8"/>
        <v>2527</v>
      </c>
      <c r="B17" s="230">
        <f t="shared" si="9"/>
        <v>7</v>
      </c>
      <c r="C17" s="229" t="str">
        <f t="shared" si="11"/>
        <v>L23X08#352_060_02</v>
      </c>
      <c r="D17" s="43">
        <f t="shared" si="0"/>
        <v>7.8000000000000007</v>
      </c>
      <c r="E17" s="61">
        <f t="shared" si="1"/>
        <v>1.603</v>
      </c>
      <c r="F17" s="61">
        <f t="shared" si="2"/>
        <v>42</v>
      </c>
      <c r="G17" s="64">
        <f t="shared" si="3"/>
        <v>0.74204946996466425</v>
      </c>
      <c r="H17" s="51">
        <f t="shared" si="4"/>
        <v>3.9253674911660772</v>
      </c>
      <c r="I17" s="42" t="str">
        <f t="shared" si="6"/>
        <v>IEC</v>
      </c>
      <c r="J17" s="50">
        <f t="shared" si="6"/>
        <v>10.5</v>
      </c>
      <c r="K17" s="49">
        <f t="shared" si="6"/>
        <v>160</v>
      </c>
      <c r="L17" s="44">
        <f t="shared" si="6"/>
        <v>8</v>
      </c>
      <c r="M17" s="44">
        <f t="shared" si="6"/>
        <v>-8</v>
      </c>
      <c r="N17" s="45">
        <f t="shared" si="6"/>
        <v>0.2</v>
      </c>
      <c r="O17" s="49">
        <v>60</v>
      </c>
      <c r="P17" s="54">
        <f>K17+2.46</f>
        <v>162.46</v>
      </c>
      <c r="Q17" s="44">
        <f t="shared" si="10"/>
        <v>150</v>
      </c>
      <c r="R17" s="50">
        <f t="shared" si="10"/>
        <v>210</v>
      </c>
    </row>
    <row r="18" spans="1:18" x14ac:dyDescent="0.25">
      <c r="A18" s="229">
        <f t="shared" si="8"/>
        <v>2528</v>
      </c>
      <c r="B18" s="230">
        <f t="shared" si="9"/>
        <v>8</v>
      </c>
      <c r="C18" s="229" t="str">
        <f t="shared" si="11"/>
        <v>L23X08#352_090_02</v>
      </c>
      <c r="D18" s="43">
        <f t="shared" si="0"/>
        <v>7.8000000000000007</v>
      </c>
      <c r="E18" s="61">
        <f t="shared" si="1"/>
        <v>1.603</v>
      </c>
      <c r="F18" s="61">
        <f t="shared" si="2"/>
        <v>42</v>
      </c>
      <c r="G18" s="64">
        <f t="shared" si="3"/>
        <v>0.74204946996466425</v>
      </c>
      <c r="H18" s="51">
        <f t="shared" si="4"/>
        <v>3.9253674911660772</v>
      </c>
      <c r="I18" s="42" t="str">
        <f t="shared" si="6"/>
        <v>IEC</v>
      </c>
      <c r="J18" s="50">
        <f t="shared" si="6"/>
        <v>10.5</v>
      </c>
      <c r="K18" s="49">
        <f t="shared" si="6"/>
        <v>160</v>
      </c>
      <c r="L18" s="44">
        <f t="shared" si="6"/>
        <v>8</v>
      </c>
      <c r="M18" s="44">
        <f t="shared" si="6"/>
        <v>-8</v>
      </c>
      <c r="N18" s="45">
        <f t="shared" si="6"/>
        <v>0.2</v>
      </c>
      <c r="O18" s="49">
        <v>90</v>
      </c>
      <c r="P18" s="54">
        <f>K18+2.46</f>
        <v>162.46</v>
      </c>
      <c r="Q18" s="44">
        <f t="shared" si="10"/>
        <v>150</v>
      </c>
      <c r="R18" s="50">
        <f t="shared" si="10"/>
        <v>210</v>
      </c>
    </row>
    <row r="19" spans="1:18" x14ac:dyDescent="0.25">
      <c r="A19" s="229">
        <f t="shared" si="8"/>
        <v>2529</v>
      </c>
      <c r="B19" s="230">
        <f t="shared" si="9"/>
        <v>9</v>
      </c>
      <c r="C19" s="229" t="str">
        <f>TEXT(RIGHT($B$2,LEN($B$2)-3),"L00")&amp;"X"&amp;TEXT(D19,"00")&amp;"#"&amp;IF(M19&lt;0,TEXT(360+M19,"000"),TEXT(M19,"000"))&amp;"_"&amp;TEXT(O19,"000")&amp;"_03"</f>
        <v>L23X08#352_000_03</v>
      </c>
      <c r="D19" s="43">
        <f t="shared" si="0"/>
        <v>7.8000000000000007</v>
      </c>
      <c r="E19" s="61">
        <f t="shared" si="1"/>
        <v>1.603</v>
      </c>
      <c r="F19" s="61">
        <f t="shared" si="2"/>
        <v>42</v>
      </c>
      <c r="G19" s="64">
        <f t="shared" si="3"/>
        <v>0.74204946996466425</v>
      </c>
      <c r="H19" s="51">
        <f t="shared" si="4"/>
        <v>3.9253674911660772</v>
      </c>
      <c r="I19" s="42" t="str">
        <f t="shared" si="6"/>
        <v>IEC</v>
      </c>
      <c r="J19" s="50">
        <f t="shared" si="6"/>
        <v>10.5</v>
      </c>
      <c r="K19" s="49">
        <f t="shared" si="6"/>
        <v>160</v>
      </c>
      <c r="L19" s="44">
        <f t="shared" si="6"/>
        <v>8</v>
      </c>
      <c r="M19" s="44">
        <f t="shared" si="6"/>
        <v>-8</v>
      </c>
      <c r="N19" s="45">
        <f t="shared" si="6"/>
        <v>0.2</v>
      </c>
      <c r="O19" s="49">
        <v>0</v>
      </c>
      <c r="P19" s="54">
        <f t="shared" ref="P19:P22" si="12">K19+4</f>
        <v>164</v>
      </c>
      <c r="Q19" s="44">
        <f t="shared" si="10"/>
        <v>150</v>
      </c>
      <c r="R19" s="50">
        <f t="shared" si="10"/>
        <v>210</v>
      </c>
    </row>
    <row r="20" spans="1:18" x14ac:dyDescent="0.25">
      <c r="A20" s="229">
        <f t="shared" si="8"/>
        <v>2530</v>
      </c>
      <c r="B20" s="230">
        <f t="shared" si="9"/>
        <v>10</v>
      </c>
      <c r="C20" s="229" t="str">
        <f t="shared" ref="C20:C22" si="13">TEXT(RIGHT($B$2,LEN($B$2)-3),"L00")&amp;"X"&amp;TEXT(D20,"00")&amp;"#"&amp;IF(M20&lt;0,TEXT(360+M20,"000"),TEXT(M20,"000"))&amp;"_"&amp;TEXT(O20,"000")&amp;"_03"</f>
        <v>L23X08#352_030_03</v>
      </c>
      <c r="D20" s="43">
        <f t="shared" si="0"/>
        <v>7.8000000000000007</v>
      </c>
      <c r="E20" s="61">
        <f t="shared" si="1"/>
        <v>1.603</v>
      </c>
      <c r="F20" s="61">
        <f t="shared" si="2"/>
        <v>42</v>
      </c>
      <c r="G20" s="64">
        <f t="shared" si="3"/>
        <v>0.74204946996466425</v>
      </c>
      <c r="H20" s="51">
        <f t="shared" si="4"/>
        <v>3.9253674911660772</v>
      </c>
      <c r="I20" s="42" t="str">
        <f t="shared" si="6"/>
        <v>IEC</v>
      </c>
      <c r="J20" s="50">
        <f t="shared" si="6"/>
        <v>10.5</v>
      </c>
      <c r="K20" s="49">
        <f t="shared" si="6"/>
        <v>160</v>
      </c>
      <c r="L20" s="44">
        <f t="shared" si="6"/>
        <v>8</v>
      </c>
      <c r="M20" s="44">
        <f t="shared" si="6"/>
        <v>-8</v>
      </c>
      <c r="N20" s="45">
        <f t="shared" si="6"/>
        <v>0.2</v>
      </c>
      <c r="O20" s="49">
        <v>30</v>
      </c>
      <c r="P20" s="54">
        <f t="shared" si="12"/>
        <v>164</v>
      </c>
      <c r="Q20" s="44">
        <f t="shared" si="10"/>
        <v>150</v>
      </c>
      <c r="R20" s="50">
        <f t="shared" si="10"/>
        <v>210</v>
      </c>
    </row>
    <row r="21" spans="1:18" x14ac:dyDescent="0.25">
      <c r="A21" s="229">
        <f t="shared" si="8"/>
        <v>2531</v>
      </c>
      <c r="B21" s="230">
        <f t="shared" si="9"/>
        <v>11</v>
      </c>
      <c r="C21" s="229" t="str">
        <f t="shared" si="13"/>
        <v>L23X08#352_060_03</v>
      </c>
      <c r="D21" s="43">
        <f t="shared" si="0"/>
        <v>7.8000000000000007</v>
      </c>
      <c r="E21" s="61">
        <f t="shared" si="1"/>
        <v>1.603</v>
      </c>
      <c r="F21" s="61">
        <f t="shared" si="2"/>
        <v>42</v>
      </c>
      <c r="G21" s="64">
        <f t="shared" si="3"/>
        <v>0.74204946996466425</v>
      </c>
      <c r="H21" s="51">
        <f t="shared" si="4"/>
        <v>3.9253674911660772</v>
      </c>
      <c r="I21" s="42" t="str">
        <f t="shared" si="6"/>
        <v>IEC</v>
      </c>
      <c r="J21" s="50">
        <f t="shared" si="6"/>
        <v>10.5</v>
      </c>
      <c r="K21" s="49">
        <f t="shared" si="6"/>
        <v>160</v>
      </c>
      <c r="L21" s="44">
        <f t="shared" si="6"/>
        <v>8</v>
      </c>
      <c r="M21" s="44">
        <f t="shared" si="6"/>
        <v>-8</v>
      </c>
      <c r="N21" s="45">
        <f t="shared" si="6"/>
        <v>0.2</v>
      </c>
      <c r="O21" s="49">
        <v>60</v>
      </c>
      <c r="P21" s="54">
        <f>K21+4</f>
        <v>164</v>
      </c>
      <c r="Q21" s="44">
        <f t="shared" si="10"/>
        <v>150</v>
      </c>
      <c r="R21" s="50">
        <f t="shared" si="10"/>
        <v>210</v>
      </c>
    </row>
    <row r="22" spans="1:18" x14ac:dyDescent="0.25">
      <c r="A22" s="229">
        <f t="shared" si="8"/>
        <v>2532</v>
      </c>
      <c r="B22" s="230">
        <f t="shared" si="9"/>
        <v>12</v>
      </c>
      <c r="C22" s="229" t="str">
        <f t="shared" si="13"/>
        <v>L23X08#352_090_03</v>
      </c>
      <c r="D22" s="43">
        <f t="shared" si="0"/>
        <v>7.8000000000000007</v>
      </c>
      <c r="E22" s="61">
        <f t="shared" si="1"/>
        <v>1.603</v>
      </c>
      <c r="F22" s="61">
        <f t="shared" si="2"/>
        <v>42</v>
      </c>
      <c r="G22" s="64">
        <f t="shared" si="3"/>
        <v>0.74204946996466425</v>
      </c>
      <c r="H22" s="51">
        <f t="shared" si="4"/>
        <v>3.9253674911660772</v>
      </c>
      <c r="I22" s="42" t="str">
        <f t="shared" si="6"/>
        <v>IEC</v>
      </c>
      <c r="J22" s="50">
        <f t="shared" si="6"/>
        <v>10.5</v>
      </c>
      <c r="K22" s="49">
        <f t="shared" si="6"/>
        <v>160</v>
      </c>
      <c r="L22" s="44">
        <f t="shared" si="6"/>
        <v>8</v>
      </c>
      <c r="M22" s="44">
        <f t="shared" si="6"/>
        <v>-8</v>
      </c>
      <c r="N22" s="45">
        <f t="shared" si="6"/>
        <v>0.2</v>
      </c>
      <c r="O22" s="49">
        <v>90</v>
      </c>
      <c r="P22" s="54">
        <f t="shared" si="12"/>
        <v>164</v>
      </c>
      <c r="Q22" s="44">
        <f t="shared" si="10"/>
        <v>150</v>
      </c>
      <c r="R22" s="50">
        <f t="shared" si="10"/>
        <v>210</v>
      </c>
    </row>
    <row r="23" spans="1:18" x14ac:dyDescent="0.25">
      <c r="A23" s="229">
        <f t="shared" si="8"/>
        <v>2533</v>
      </c>
      <c r="B23" s="230">
        <f t="shared" si="9"/>
        <v>13</v>
      </c>
      <c r="C23" s="229" t="str">
        <f>TEXT(RIGHT($B$2,LEN($B$2)-3),"L00")&amp;"X"&amp;TEXT(D23,"00")&amp;"#"&amp;IF(M23&lt;0,TEXT(360+M23,"000"),TEXT(M23,"000"))&amp;"_"&amp;TEXT(O23,"000")&amp;"_04"</f>
        <v>L23X08#352_000_04</v>
      </c>
      <c r="D23" s="43">
        <f t="shared" si="0"/>
        <v>7.8000000000000007</v>
      </c>
      <c r="E23" s="61">
        <f t="shared" si="1"/>
        <v>1.603</v>
      </c>
      <c r="F23" s="61">
        <f t="shared" si="2"/>
        <v>42</v>
      </c>
      <c r="G23" s="64">
        <f t="shared" si="3"/>
        <v>0.74204946996466425</v>
      </c>
      <c r="H23" s="51">
        <f t="shared" si="4"/>
        <v>3.9253674911660772</v>
      </c>
      <c r="I23" s="42" t="str">
        <f t="shared" si="6"/>
        <v>IEC</v>
      </c>
      <c r="J23" s="50">
        <f t="shared" si="6"/>
        <v>10.5</v>
      </c>
      <c r="K23" s="49">
        <f t="shared" si="6"/>
        <v>160</v>
      </c>
      <c r="L23" s="44">
        <f t="shared" si="6"/>
        <v>8</v>
      </c>
      <c r="M23" s="44">
        <f t="shared" si="6"/>
        <v>-8</v>
      </c>
      <c r="N23" s="45">
        <f t="shared" si="6"/>
        <v>0.2</v>
      </c>
      <c r="O23" s="49">
        <v>0</v>
      </c>
      <c r="P23" s="54">
        <f t="shared" ref="P23:P25" si="14">K23+5.25</f>
        <v>165.25</v>
      </c>
      <c r="Q23" s="44">
        <f t="shared" si="10"/>
        <v>150</v>
      </c>
      <c r="R23" s="50">
        <f t="shared" si="10"/>
        <v>210</v>
      </c>
    </row>
    <row r="24" spans="1:18" x14ac:dyDescent="0.25">
      <c r="A24" s="229">
        <f t="shared" si="8"/>
        <v>2534</v>
      </c>
      <c r="B24" s="230">
        <f t="shared" si="9"/>
        <v>14</v>
      </c>
      <c r="C24" s="229" t="str">
        <f t="shared" ref="C24:C26" si="15">TEXT(RIGHT($B$2,LEN($B$2)-3),"L00")&amp;"X"&amp;TEXT(D24,"00")&amp;"#"&amp;IF(M24&lt;0,TEXT(360+M24,"000"),TEXT(M24,"000"))&amp;"_"&amp;TEXT(O24,"000")&amp;"_04"</f>
        <v>L23X08#352_030_04</v>
      </c>
      <c r="D24" s="43">
        <f t="shared" si="0"/>
        <v>7.8000000000000007</v>
      </c>
      <c r="E24" s="61">
        <f t="shared" si="1"/>
        <v>1.603</v>
      </c>
      <c r="F24" s="61">
        <f t="shared" si="2"/>
        <v>42</v>
      </c>
      <c r="G24" s="64">
        <f t="shared" si="3"/>
        <v>0.74204946996466425</v>
      </c>
      <c r="H24" s="51">
        <f t="shared" si="4"/>
        <v>3.9253674911660772</v>
      </c>
      <c r="I24" s="42" t="str">
        <f t="shared" si="6"/>
        <v>IEC</v>
      </c>
      <c r="J24" s="50">
        <f t="shared" si="6"/>
        <v>10.5</v>
      </c>
      <c r="K24" s="49">
        <f t="shared" si="6"/>
        <v>160</v>
      </c>
      <c r="L24" s="44">
        <f t="shared" si="6"/>
        <v>8</v>
      </c>
      <c r="M24" s="44">
        <f t="shared" si="6"/>
        <v>-8</v>
      </c>
      <c r="N24" s="45">
        <f t="shared" si="6"/>
        <v>0.2</v>
      </c>
      <c r="O24" s="49">
        <v>30</v>
      </c>
      <c r="P24" s="54">
        <f t="shared" si="14"/>
        <v>165.25</v>
      </c>
      <c r="Q24" s="44">
        <f t="shared" si="10"/>
        <v>150</v>
      </c>
      <c r="R24" s="50">
        <f t="shared" si="10"/>
        <v>210</v>
      </c>
    </row>
    <row r="25" spans="1:18" x14ac:dyDescent="0.25">
      <c r="A25" s="229">
        <f t="shared" si="8"/>
        <v>2535</v>
      </c>
      <c r="B25" s="230">
        <f t="shared" si="9"/>
        <v>15</v>
      </c>
      <c r="C25" s="229" t="str">
        <f t="shared" si="15"/>
        <v>L23X08#352_060_04</v>
      </c>
      <c r="D25" s="43">
        <f t="shared" si="0"/>
        <v>7.8000000000000007</v>
      </c>
      <c r="E25" s="61">
        <f t="shared" si="1"/>
        <v>1.603</v>
      </c>
      <c r="F25" s="61">
        <f t="shared" si="2"/>
        <v>42</v>
      </c>
      <c r="G25" s="64">
        <f t="shared" si="3"/>
        <v>0.74204946996466425</v>
      </c>
      <c r="H25" s="51">
        <f t="shared" si="4"/>
        <v>3.9253674911660772</v>
      </c>
      <c r="I25" s="42" t="str">
        <f>I24</f>
        <v>IEC</v>
      </c>
      <c r="J25" s="50">
        <f t="shared" si="6"/>
        <v>10.5</v>
      </c>
      <c r="K25" s="49">
        <f t="shared" si="6"/>
        <v>160</v>
      </c>
      <c r="L25" s="44">
        <f t="shared" si="6"/>
        <v>8</v>
      </c>
      <c r="M25" s="44">
        <f t="shared" si="6"/>
        <v>-8</v>
      </c>
      <c r="N25" s="45">
        <f t="shared" si="6"/>
        <v>0.2</v>
      </c>
      <c r="O25" s="49">
        <v>60</v>
      </c>
      <c r="P25" s="54">
        <f t="shared" si="14"/>
        <v>165.25</v>
      </c>
      <c r="Q25" s="44">
        <f t="shared" si="10"/>
        <v>150</v>
      </c>
      <c r="R25" s="50">
        <f>R24</f>
        <v>210</v>
      </c>
    </row>
    <row r="26" spans="1:18" x14ac:dyDescent="0.25">
      <c r="A26" s="229">
        <f t="shared" si="8"/>
        <v>2536</v>
      </c>
      <c r="B26" s="230">
        <f t="shared" si="9"/>
        <v>16</v>
      </c>
      <c r="C26" s="229" t="str">
        <f t="shared" si="15"/>
        <v>L23X08#352_090_04</v>
      </c>
      <c r="D26" s="43">
        <f t="shared" si="0"/>
        <v>7.8000000000000007</v>
      </c>
      <c r="E26" s="61">
        <f t="shared" si="1"/>
        <v>1.603</v>
      </c>
      <c r="F26" s="61">
        <f t="shared" si="2"/>
        <v>42</v>
      </c>
      <c r="G26" s="64">
        <f t="shared" si="3"/>
        <v>0.74204946996466425</v>
      </c>
      <c r="H26" s="51">
        <f t="shared" si="4"/>
        <v>3.9253674911660772</v>
      </c>
      <c r="I26" s="42" t="str">
        <f>I25</f>
        <v>IEC</v>
      </c>
      <c r="J26" s="50">
        <f t="shared" si="6"/>
        <v>10.5</v>
      </c>
      <c r="K26" s="49">
        <f t="shared" si="6"/>
        <v>160</v>
      </c>
      <c r="L26" s="44">
        <f t="shared" si="6"/>
        <v>8</v>
      </c>
      <c r="M26" s="44">
        <f t="shared" si="6"/>
        <v>-8</v>
      </c>
      <c r="N26" s="45">
        <f t="shared" si="6"/>
        <v>0.2</v>
      </c>
      <c r="O26" s="49">
        <v>90</v>
      </c>
      <c r="P26" s="54">
        <f>K26+5.25</f>
        <v>165.25</v>
      </c>
      <c r="Q26" s="44">
        <f t="shared" si="10"/>
        <v>150</v>
      </c>
      <c r="R26" s="50">
        <f>R25</f>
        <v>210</v>
      </c>
    </row>
    <row r="27" spans="1:18" x14ac:dyDescent="0.25">
      <c r="A27" s="229">
        <f t="shared" si="8"/>
        <v>2537</v>
      </c>
      <c r="B27" s="230">
        <f t="shared" si="9"/>
        <v>17</v>
      </c>
      <c r="C27" s="229" t="str">
        <f>TEXT(RIGHT($B$2,LEN($B$2)-3),"L00")&amp;"X"&amp;TEXT(D27,"00")&amp;"#"&amp;IF(M27&lt;0,TEXT(360+M27,"000"),TEXT(M27,"000"))&amp;"_"&amp;TEXT(O27,"000")&amp;"_01"</f>
        <v>L23X08#000_000_01</v>
      </c>
      <c r="D27" s="43">
        <f t="shared" si="0"/>
        <v>7.8000000000000007</v>
      </c>
      <c r="E27" s="61">
        <f t="shared" si="1"/>
        <v>1.603</v>
      </c>
      <c r="F27" s="61">
        <f t="shared" si="2"/>
        <v>42</v>
      </c>
      <c r="G27" s="64">
        <f t="shared" si="3"/>
        <v>0.74204946996466425</v>
      </c>
      <c r="H27" s="51">
        <f t="shared" si="4"/>
        <v>3.9253674911660772</v>
      </c>
      <c r="I27" s="42" t="str">
        <f>I26</f>
        <v>IEC</v>
      </c>
      <c r="J27" s="50">
        <f t="shared" si="6"/>
        <v>10.5</v>
      </c>
      <c r="K27" s="49">
        <f t="shared" si="6"/>
        <v>160</v>
      </c>
      <c r="L27" s="44">
        <f t="shared" si="6"/>
        <v>8</v>
      </c>
      <c r="M27" s="44">
        <f>yaw_null</f>
        <v>0</v>
      </c>
      <c r="N27" s="45">
        <f t="shared" si="6"/>
        <v>0.2</v>
      </c>
      <c r="O27" s="49">
        <v>0</v>
      </c>
      <c r="P27" s="52">
        <f>K27</f>
        <v>160</v>
      </c>
      <c r="Q27" s="44">
        <f t="shared" si="10"/>
        <v>150</v>
      </c>
      <c r="R27" s="50">
        <f>R26</f>
        <v>210</v>
      </c>
    </row>
    <row r="28" spans="1:18" x14ac:dyDescent="0.25">
      <c r="A28" s="229">
        <f t="shared" si="8"/>
        <v>2538</v>
      </c>
      <c r="B28" s="230">
        <f t="shared" si="9"/>
        <v>18</v>
      </c>
      <c r="C28" s="229" t="str">
        <f t="shared" ref="C28:C30" si="16">TEXT(RIGHT($B$2,LEN($B$2)-3),"L00")&amp;"X"&amp;TEXT(D28,"00")&amp;"#"&amp;IF(M28&lt;0,TEXT(360+M28,"000"),TEXT(M28,"000"))&amp;"_"&amp;TEXT(O28,"000")&amp;"_01"</f>
        <v>L23X08#000_030_01</v>
      </c>
      <c r="D28" s="43">
        <f t="shared" si="0"/>
        <v>7.8000000000000007</v>
      </c>
      <c r="E28" s="61">
        <f t="shared" si="1"/>
        <v>1.603</v>
      </c>
      <c r="F28" s="61">
        <f t="shared" si="2"/>
        <v>42</v>
      </c>
      <c r="G28" s="64">
        <f t="shared" si="3"/>
        <v>0.74204946996466425</v>
      </c>
      <c r="H28" s="51">
        <f t="shared" si="4"/>
        <v>3.9253674911660772</v>
      </c>
      <c r="I28" s="42" t="str">
        <f>I27</f>
        <v>IEC</v>
      </c>
      <c r="J28" s="50">
        <f t="shared" ref="J28:M43" si="17">J27</f>
        <v>10.5</v>
      </c>
      <c r="K28" s="49">
        <f t="shared" si="17"/>
        <v>160</v>
      </c>
      <c r="L28" s="44">
        <f t="shared" si="17"/>
        <v>8</v>
      </c>
      <c r="M28" s="44">
        <f>M27</f>
        <v>0</v>
      </c>
      <c r="N28" s="45">
        <f t="shared" ref="N28:N91" si="18">N27</f>
        <v>0.2</v>
      </c>
      <c r="O28" s="49">
        <v>30</v>
      </c>
      <c r="P28" s="52">
        <f t="shared" ref="P28:P30" si="19">K28</f>
        <v>160</v>
      </c>
      <c r="Q28" s="44">
        <f t="shared" si="10"/>
        <v>150</v>
      </c>
      <c r="R28" s="50">
        <f>R27</f>
        <v>210</v>
      </c>
    </row>
    <row r="29" spans="1:18" x14ac:dyDescent="0.25">
      <c r="A29" s="229">
        <f t="shared" si="8"/>
        <v>2539</v>
      </c>
      <c r="B29" s="230">
        <f t="shared" si="9"/>
        <v>19</v>
      </c>
      <c r="C29" s="229" t="str">
        <f t="shared" si="16"/>
        <v>L23X08#000_060_01</v>
      </c>
      <c r="D29" s="43">
        <f t="shared" si="0"/>
        <v>7.8000000000000007</v>
      </c>
      <c r="E29" s="61">
        <f t="shared" si="1"/>
        <v>1.603</v>
      </c>
      <c r="F29" s="61">
        <f t="shared" si="2"/>
        <v>42</v>
      </c>
      <c r="G29" s="64">
        <f t="shared" si="3"/>
        <v>0.74204946996466425</v>
      </c>
      <c r="H29" s="51">
        <f t="shared" si="4"/>
        <v>3.9253674911660772</v>
      </c>
      <c r="I29" s="42" t="str">
        <f t="shared" ref="I29:I43" si="20">I28</f>
        <v>IEC</v>
      </c>
      <c r="J29" s="50">
        <f t="shared" si="17"/>
        <v>10.5</v>
      </c>
      <c r="K29" s="49">
        <f t="shared" si="17"/>
        <v>160</v>
      </c>
      <c r="L29" s="44">
        <f t="shared" si="17"/>
        <v>8</v>
      </c>
      <c r="M29" s="44">
        <f t="shared" si="17"/>
        <v>0</v>
      </c>
      <c r="N29" s="45">
        <f t="shared" si="18"/>
        <v>0.2</v>
      </c>
      <c r="O29" s="49">
        <v>60</v>
      </c>
      <c r="P29" s="52">
        <f t="shared" si="19"/>
        <v>160</v>
      </c>
      <c r="Q29" s="44">
        <f t="shared" ref="Q29:R44" si="21">Q28</f>
        <v>150</v>
      </c>
      <c r="R29" s="50">
        <f t="shared" si="21"/>
        <v>210</v>
      </c>
    </row>
    <row r="30" spans="1:18" x14ac:dyDescent="0.25">
      <c r="A30" s="229">
        <f t="shared" si="8"/>
        <v>2540</v>
      </c>
      <c r="B30" s="230">
        <f t="shared" si="9"/>
        <v>20</v>
      </c>
      <c r="C30" s="229" t="str">
        <f t="shared" si="16"/>
        <v>L23X08#000_090_01</v>
      </c>
      <c r="D30" s="43">
        <f t="shared" si="0"/>
        <v>7.8000000000000007</v>
      </c>
      <c r="E30" s="61">
        <f t="shared" si="1"/>
        <v>1.603</v>
      </c>
      <c r="F30" s="61">
        <f t="shared" si="2"/>
        <v>42</v>
      </c>
      <c r="G30" s="64">
        <f t="shared" si="3"/>
        <v>0.74204946996466425</v>
      </c>
      <c r="H30" s="51">
        <f t="shared" si="4"/>
        <v>3.9253674911660772</v>
      </c>
      <c r="I30" s="42" t="str">
        <f t="shared" si="20"/>
        <v>IEC</v>
      </c>
      <c r="J30" s="50">
        <f t="shared" si="17"/>
        <v>10.5</v>
      </c>
      <c r="K30" s="49">
        <f t="shared" si="17"/>
        <v>160</v>
      </c>
      <c r="L30" s="44">
        <f t="shared" si="17"/>
        <v>8</v>
      </c>
      <c r="M30" s="44">
        <f t="shared" si="17"/>
        <v>0</v>
      </c>
      <c r="N30" s="45">
        <f t="shared" si="18"/>
        <v>0.2</v>
      </c>
      <c r="O30" s="49">
        <v>90</v>
      </c>
      <c r="P30" s="52">
        <f t="shared" si="19"/>
        <v>160</v>
      </c>
      <c r="Q30" s="44">
        <f t="shared" si="21"/>
        <v>150</v>
      </c>
      <c r="R30" s="50">
        <f t="shared" si="21"/>
        <v>210</v>
      </c>
    </row>
    <row r="31" spans="1:18" x14ac:dyDescent="0.25">
      <c r="A31" s="229">
        <f t="shared" si="8"/>
        <v>2541</v>
      </c>
      <c r="B31" s="230">
        <f t="shared" si="9"/>
        <v>21</v>
      </c>
      <c r="C31" s="229" t="str">
        <f>TEXT(RIGHT($B$2,LEN($B$2)-3),"L00")&amp;"X"&amp;TEXT(D31,"00")&amp;"#"&amp;IF(M31&lt;0,TEXT(360+M31,"000"),TEXT(M31,"000"))&amp;"_"&amp;TEXT(O31,"000")&amp;"_02"</f>
        <v>L23X08#000_000_02</v>
      </c>
      <c r="D31" s="43">
        <f t="shared" si="0"/>
        <v>7.8000000000000007</v>
      </c>
      <c r="E31" s="61">
        <f t="shared" si="1"/>
        <v>1.603</v>
      </c>
      <c r="F31" s="61">
        <f t="shared" si="2"/>
        <v>42</v>
      </c>
      <c r="G31" s="64">
        <f t="shared" si="3"/>
        <v>0.74204946996466425</v>
      </c>
      <c r="H31" s="51">
        <f t="shared" si="4"/>
        <v>3.9253674911660772</v>
      </c>
      <c r="I31" s="42" t="str">
        <f t="shared" si="20"/>
        <v>IEC</v>
      </c>
      <c r="J31" s="50">
        <f t="shared" si="17"/>
        <v>10.5</v>
      </c>
      <c r="K31" s="49">
        <f t="shared" si="17"/>
        <v>160</v>
      </c>
      <c r="L31" s="44">
        <f t="shared" si="17"/>
        <v>8</v>
      </c>
      <c r="M31" s="44">
        <f t="shared" si="17"/>
        <v>0</v>
      </c>
      <c r="N31" s="45">
        <f t="shared" si="18"/>
        <v>0.2</v>
      </c>
      <c r="O31" s="49">
        <v>0</v>
      </c>
      <c r="P31" s="54">
        <f>K31+2.46</f>
        <v>162.46</v>
      </c>
      <c r="Q31" s="44">
        <f t="shared" si="21"/>
        <v>150</v>
      </c>
      <c r="R31" s="50">
        <f t="shared" si="21"/>
        <v>210</v>
      </c>
    </row>
    <row r="32" spans="1:18" x14ac:dyDescent="0.25">
      <c r="A32" s="229">
        <f t="shared" si="8"/>
        <v>2542</v>
      </c>
      <c r="B32" s="230">
        <f t="shared" si="9"/>
        <v>22</v>
      </c>
      <c r="C32" s="229" t="str">
        <f t="shared" ref="C32:C34" si="22">TEXT(RIGHT($B$2,LEN($B$2)-3),"L00")&amp;"X"&amp;TEXT(D32,"00")&amp;"#"&amp;IF(M32&lt;0,TEXT(360+M32,"000"),TEXT(M32,"000"))&amp;"_"&amp;TEXT(O32,"000")&amp;"_02"</f>
        <v>L23X08#000_030_02</v>
      </c>
      <c r="D32" s="43">
        <f t="shared" si="0"/>
        <v>7.8000000000000007</v>
      </c>
      <c r="E32" s="61">
        <f t="shared" si="1"/>
        <v>1.603</v>
      </c>
      <c r="F32" s="61">
        <f t="shared" si="2"/>
        <v>42</v>
      </c>
      <c r="G32" s="64">
        <f t="shared" si="3"/>
        <v>0.74204946996466425</v>
      </c>
      <c r="H32" s="51">
        <f t="shared" si="4"/>
        <v>3.9253674911660772</v>
      </c>
      <c r="I32" s="42" t="str">
        <f t="shared" si="20"/>
        <v>IEC</v>
      </c>
      <c r="J32" s="50">
        <f t="shared" si="17"/>
        <v>10.5</v>
      </c>
      <c r="K32" s="49">
        <f t="shared" si="17"/>
        <v>160</v>
      </c>
      <c r="L32" s="44">
        <f t="shared" si="17"/>
        <v>8</v>
      </c>
      <c r="M32" s="44">
        <f t="shared" si="17"/>
        <v>0</v>
      </c>
      <c r="N32" s="45">
        <f t="shared" si="18"/>
        <v>0.2</v>
      </c>
      <c r="O32" s="49">
        <v>30</v>
      </c>
      <c r="P32" s="54">
        <f>K32+2.46</f>
        <v>162.46</v>
      </c>
      <c r="Q32" s="44">
        <f t="shared" si="21"/>
        <v>150</v>
      </c>
      <c r="R32" s="50">
        <f t="shared" si="21"/>
        <v>210</v>
      </c>
    </row>
    <row r="33" spans="1:18" x14ac:dyDescent="0.25">
      <c r="A33" s="229">
        <f t="shared" si="8"/>
        <v>2543</v>
      </c>
      <c r="B33" s="230">
        <f t="shared" si="9"/>
        <v>23</v>
      </c>
      <c r="C33" s="229" t="str">
        <f t="shared" si="22"/>
        <v>L23X08#000_060_02</v>
      </c>
      <c r="D33" s="43">
        <f t="shared" si="0"/>
        <v>7.8000000000000007</v>
      </c>
      <c r="E33" s="61">
        <f t="shared" si="1"/>
        <v>1.603</v>
      </c>
      <c r="F33" s="61">
        <f t="shared" si="2"/>
        <v>42</v>
      </c>
      <c r="G33" s="64">
        <f t="shared" si="3"/>
        <v>0.74204946996466425</v>
      </c>
      <c r="H33" s="51">
        <f t="shared" si="4"/>
        <v>3.9253674911660772</v>
      </c>
      <c r="I33" s="42" t="str">
        <f t="shared" si="20"/>
        <v>IEC</v>
      </c>
      <c r="J33" s="50">
        <f t="shared" si="17"/>
        <v>10.5</v>
      </c>
      <c r="K33" s="49">
        <f t="shared" si="17"/>
        <v>160</v>
      </c>
      <c r="L33" s="44">
        <f t="shared" si="17"/>
        <v>8</v>
      </c>
      <c r="M33" s="44">
        <f t="shared" si="17"/>
        <v>0</v>
      </c>
      <c r="N33" s="45">
        <f t="shared" si="18"/>
        <v>0.2</v>
      </c>
      <c r="O33" s="49">
        <v>60</v>
      </c>
      <c r="P33" s="54">
        <f>K33+2.46</f>
        <v>162.46</v>
      </c>
      <c r="Q33" s="44">
        <f t="shared" si="21"/>
        <v>150</v>
      </c>
      <c r="R33" s="50">
        <f t="shared" si="21"/>
        <v>210</v>
      </c>
    </row>
    <row r="34" spans="1:18" x14ac:dyDescent="0.25">
      <c r="A34" s="229">
        <f t="shared" si="8"/>
        <v>2544</v>
      </c>
      <c r="B34" s="230">
        <f t="shared" si="9"/>
        <v>24</v>
      </c>
      <c r="C34" s="229" t="str">
        <f t="shared" si="22"/>
        <v>L23X08#000_090_02</v>
      </c>
      <c r="D34" s="43">
        <f t="shared" si="0"/>
        <v>7.8000000000000007</v>
      </c>
      <c r="E34" s="61">
        <f t="shared" si="1"/>
        <v>1.603</v>
      </c>
      <c r="F34" s="61">
        <f t="shared" si="2"/>
        <v>42</v>
      </c>
      <c r="G34" s="64">
        <f t="shared" si="3"/>
        <v>0.74204946996466425</v>
      </c>
      <c r="H34" s="51">
        <f t="shared" si="4"/>
        <v>3.9253674911660772</v>
      </c>
      <c r="I34" s="42" t="str">
        <f t="shared" si="20"/>
        <v>IEC</v>
      </c>
      <c r="J34" s="50">
        <f t="shared" si="17"/>
        <v>10.5</v>
      </c>
      <c r="K34" s="49">
        <f t="shared" si="17"/>
        <v>160</v>
      </c>
      <c r="L34" s="44">
        <f t="shared" si="17"/>
        <v>8</v>
      </c>
      <c r="M34" s="44">
        <f t="shared" si="17"/>
        <v>0</v>
      </c>
      <c r="N34" s="45">
        <f t="shared" si="18"/>
        <v>0.2</v>
      </c>
      <c r="O34" s="49">
        <v>90</v>
      </c>
      <c r="P34" s="54">
        <f>K34+2.46</f>
        <v>162.46</v>
      </c>
      <c r="Q34" s="44">
        <f t="shared" si="21"/>
        <v>150</v>
      </c>
      <c r="R34" s="50">
        <f t="shared" si="21"/>
        <v>210</v>
      </c>
    </row>
    <row r="35" spans="1:18" x14ac:dyDescent="0.25">
      <c r="A35" s="229">
        <f t="shared" si="8"/>
        <v>2545</v>
      </c>
      <c r="B35" s="230">
        <f t="shared" si="9"/>
        <v>25</v>
      </c>
      <c r="C35" s="229" t="str">
        <f>TEXT(RIGHT($B$2,LEN($B$2)-3),"L00")&amp;"X"&amp;TEXT(D35,"00")&amp;"#"&amp;IF(M35&lt;0,TEXT(360+M35,"000"),TEXT(M35,"000"))&amp;"_"&amp;TEXT(O35,"000")&amp;"_03"</f>
        <v>L23X08#000_000_03</v>
      </c>
      <c r="D35" s="43">
        <f t="shared" si="0"/>
        <v>7.8000000000000007</v>
      </c>
      <c r="E35" s="61">
        <f t="shared" si="1"/>
        <v>1.603</v>
      </c>
      <c r="F35" s="61">
        <f t="shared" si="2"/>
        <v>42</v>
      </c>
      <c r="G35" s="64">
        <f t="shared" si="3"/>
        <v>0.74204946996466425</v>
      </c>
      <c r="H35" s="51">
        <f t="shared" si="4"/>
        <v>3.9253674911660772</v>
      </c>
      <c r="I35" s="42" t="str">
        <f t="shared" si="20"/>
        <v>IEC</v>
      </c>
      <c r="J35" s="50">
        <f t="shared" si="17"/>
        <v>10.5</v>
      </c>
      <c r="K35" s="49">
        <f t="shared" si="17"/>
        <v>160</v>
      </c>
      <c r="L35" s="44">
        <f t="shared" si="17"/>
        <v>8</v>
      </c>
      <c r="M35" s="44">
        <f t="shared" si="17"/>
        <v>0</v>
      </c>
      <c r="N35" s="45">
        <f t="shared" si="18"/>
        <v>0.2</v>
      </c>
      <c r="O35" s="49">
        <v>0</v>
      </c>
      <c r="P35" s="54">
        <f t="shared" ref="P35:P36" si="23">K35+4</f>
        <v>164</v>
      </c>
      <c r="Q35" s="44">
        <f t="shared" si="21"/>
        <v>150</v>
      </c>
      <c r="R35" s="50">
        <f t="shared" si="21"/>
        <v>210</v>
      </c>
    </row>
    <row r="36" spans="1:18" x14ac:dyDescent="0.25">
      <c r="A36" s="229">
        <f t="shared" si="8"/>
        <v>2546</v>
      </c>
      <c r="B36" s="230">
        <f t="shared" si="9"/>
        <v>26</v>
      </c>
      <c r="C36" s="229" t="str">
        <f t="shared" ref="C36:C38" si="24">TEXT(RIGHT($B$2,LEN($B$2)-3),"L00")&amp;"X"&amp;TEXT(D36,"00")&amp;"#"&amp;IF(M36&lt;0,TEXT(360+M36,"000"),TEXT(M36,"000"))&amp;"_"&amp;TEXT(O36,"000")&amp;"_03"</f>
        <v>L23X08#000_030_03</v>
      </c>
      <c r="D36" s="43">
        <f t="shared" si="0"/>
        <v>7.8000000000000007</v>
      </c>
      <c r="E36" s="61">
        <f t="shared" si="1"/>
        <v>1.603</v>
      </c>
      <c r="F36" s="61">
        <f t="shared" si="2"/>
        <v>42</v>
      </c>
      <c r="G36" s="64">
        <f t="shared" si="3"/>
        <v>0.74204946996466425</v>
      </c>
      <c r="H36" s="51">
        <f t="shared" si="4"/>
        <v>3.9253674911660772</v>
      </c>
      <c r="I36" s="42" t="str">
        <f t="shared" si="20"/>
        <v>IEC</v>
      </c>
      <c r="J36" s="50">
        <f t="shared" si="17"/>
        <v>10.5</v>
      </c>
      <c r="K36" s="49">
        <f t="shared" si="17"/>
        <v>160</v>
      </c>
      <c r="L36" s="44">
        <f t="shared" si="17"/>
        <v>8</v>
      </c>
      <c r="M36" s="44">
        <f t="shared" si="17"/>
        <v>0</v>
      </c>
      <c r="N36" s="45">
        <f t="shared" si="18"/>
        <v>0.2</v>
      </c>
      <c r="O36" s="49">
        <v>30</v>
      </c>
      <c r="P36" s="54">
        <f t="shared" si="23"/>
        <v>164</v>
      </c>
      <c r="Q36" s="44">
        <f t="shared" si="21"/>
        <v>150</v>
      </c>
      <c r="R36" s="50">
        <f t="shared" si="21"/>
        <v>210</v>
      </c>
    </row>
    <row r="37" spans="1:18" x14ac:dyDescent="0.25">
      <c r="A37" s="229">
        <f t="shared" si="8"/>
        <v>2547</v>
      </c>
      <c r="B37" s="230">
        <f t="shared" si="9"/>
        <v>27</v>
      </c>
      <c r="C37" s="229" t="str">
        <f t="shared" si="24"/>
        <v>L23X08#000_060_03</v>
      </c>
      <c r="D37" s="43">
        <f t="shared" si="0"/>
        <v>7.8000000000000007</v>
      </c>
      <c r="E37" s="61">
        <f t="shared" si="1"/>
        <v>1.603</v>
      </c>
      <c r="F37" s="61">
        <f t="shared" si="2"/>
        <v>42</v>
      </c>
      <c r="G37" s="64">
        <f t="shared" si="3"/>
        <v>0.74204946996466425</v>
      </c>
      <c r="H37" s="51">
        <f t="shared" si="4"/>
        <v>3.9253674911660772</v>
      </c>
      <c r="I37" s="42" t="str">
        <f t="shared" si="20"/>
        <v>IEC</v>
      </c>
      <c r="J37" s="50">
        <f t="shared" si="17"/>
        <v>10.5</v>
      </c>
      <c r="K37" s="49">
        <f t="shared" si="17"/>
        <v>160</v>
      </c>
      <c r="L37" s="44">
        <f t="shared" si="17"/>
        <v>8</v>
      </c>
      <c r="M37" s="44">
        <f t="shared" si="17"/>
        <v>0</v>
      </c>
      <c r="N37" s="45">
        <f t="shared" si="18"/>
        <v>0.2</v>
      </c>
      <c r="O37" s="49">
        <v>60</v>
      </c>
      <c r="P37" s="54">
        <f>K37+4</f>
        <v>164</v>
      </c>
      <c r="Q37" s="44">
        <f t="shared" si="21"/>
        <v>150</v>
      </c>
      <c r="R37" s="50">
        <f t="shared" si="21"/>
        <v>210</v>
      </c>
    </row>
    <row r="38" spans="1:18" x14ac:dyDescent="0.25">
      <c r="A38" s="229">
        <f t="shared" si="8"/>
        <v>2548</v>
      </c>
      <c r="B38" s="230">
        <f t="shared" si="9"/>
        <v>28</v>
      </c>
      <c r="C38" s="229" t="str">
        <f t="shared" si="24"/>
        <v>L23X08#000_090_03</v>
      </c>
      <c r="D38" s="43">
        <f t="shared" si="0"/>
        <v>7.8000000000000007</v>
      </c>
      <c r="E38" s="61">
        <f t="shared" si="1"/>
        <v>1.603</v>
      </c>
      <c r="F38" s="61">
        <f t="shared" si="2"/>
        <v>42</v>
      </c>
      <c r="G38" s="64">
        <f t="shared" si="3"/>
        <v>0.74204946996466425</v>
      </c>
      <c r="H38" s="51">
        <f t="shared" si="4"/>
        <v>3.9253674911660772</v>
      </c>
      <c r="I38" s="42" t="str">
        <f t="shared" si="20"/>
        <v>IEC</v>
      </c>
      <c r="J38" s="50">
        <f t="shared" si="17"/>
        <v>10.5</v>
      </c>
      <c r="K38" s="49">
        <f t="shared" si="17"/>
        <v>160</v>
      </c>
      <c r="L38" s="44">
        <f t="shared" si="17"/>
        <v>8</v>
      </c>
      <c r="M38" s="44">
        <f t="shared" si="17"/>
        <v>0</v>
      </c>
      <c r="N38" s="45">
        <f t="shared" si="18"/>
        <v>0.2</v>
      </c>
      <c r="O38" s="49">
        <v>90</v>
      </c>
      <c r="P38" s="54">
        <f t="shared" ref="P38" si="25">K38+4</f>
        <v>164</v>
      </c>
      <c r="Q38" s="44">
        <f t="shared" si="21"/>
        <v>150</v>
      </c>
      <c r="R38" s="50">
        <f t="shared" si="21"/>
        <v>210</v>
      </c>
    </row>
    <row r="39" spans="1:18" x14ac:dyDescent="0.25">
      <c r="A39" s="229">
        <f t="shared" si="8"/>
        <v>2549</v>
      </c>
      <c r="B39" s="230">
        <f t="shared" si="9"/>
        <v>29</v>
      </c>
      <c r="C39" s="229" t="str">
        <f>TEXT(RIGHT($B$2,LEN($B$2)-3),"L00")&amp;"X"&amp;TEXT(D39,"00")&amp;"#"&amp;IF(M39&lt;0,TEXT(360+M39,"000"),TEXT(M39,"000"))&amp;"_"&amp;TEXT(O39,"000")&amp;"_04"</f>
        <v>L23X08#000_000_04</v>
      </c>
      <c r="D39" s="43">
        <f t="shared" si="0"/>
        <v>7.8000000000000007</v>
      </c>
      <c r="E39" s="61">
        <f t="shared" si="1"/>
        <v>1.603</v>
      </c>
      <c r="F39" s="61">
        <f t="shared" si="2"/>
        <v>42</v>
      </c>
      <c r="G39" s="64">
        <f t="shared" si="3"/>
        <v>0.74204946996466425</v>
      </c>
      <c r="H39" s="51">
        <f t="shared" si="4"/>
        <v>3.9253674911660772</v>
      </c>
      <c r="I39" s="42" t="str">
        <f t="shared" si="20"/>
        <v>IEC</v>
      </c>
      <c r="J39" s="50">
        <f t="shared" si="17"/>
        <v>10.5</v>
      </c>
      <c r="K39" s="49">
        <f t="shared" si="17"/>
        <v>160</v>
      </c>
      <c r="L39" s="44">
        <f t="shared" si="17"/>
        <v>8</v>
      </c>
      <c r="M39" s="44">
        <f t="shared" si="17"/>
        <v>0</v>
      </c>
      <c r="N39" s="45">
        <f t="shared" si="18"/>
        <v>0.2</v>
      </c>
      <c r="O39" s="49">
        <v>0</v>
      </c>
      <c r="P39" s="54">
        <f t="shared" ref="P39:P41" si="26">K39+5.25</f>
        <v>165.25</v>
      </c>
      <c r="Q39" s="44">
        <f t="shared" si="21"/>
        <v>150</v>
      </c>
      <c r="R39" s="50">
        <f t="shared" si="21"/>
        <v>210</v>
      </c>
    </row>
    <row r="40" spans="1:18" x14ac:dyDescent="0.25">
      <c r="A40" s="229">
        <f t="shared" si="8"/>
        <v>2550</v>
      </c>
      <c r="B40" s="230">
        <f t="shared" si="9"/>
        <v>30</v>
      </c>
      <c r="C40" s="229" t="str">
        <f t="shared" ref="C40:C42" si="27">TEXT(RIGHT($B$2,LEN($B$2)-3),"L00")&amp;"X"&amp;TEXT(D40,"00")&amp;"#"&amp;IF(M40&lt;0,TEXT(360+M40,"000"),TEXT(M40,"000"))&amp;"_"&amp;TEXT(O40,"000")&amp;"_04"</f>
        <v>L23X08#000_030_04</v>
      </c>
      <c r="D40" s="43">
        <f t="shared" si="0"/>
        <v>7.8000000000000007</v>
      </c>
      <c r="E40" s="61">
        <f t="shared" si="1"/>
        <v>1.603</v>
      </c>
      <c r="F40" s="61">
        <f t="shared" si="2"/>
        <v>42</v>
      </c>
      <c r="G40" s="64">
        <f t="shared" si="3"/>
        <v>0.74204946996466425</v>
      </c>
      <c r="H40" s="51">
        <f t="shared" si="4"/>
        <v>3.9253674911660772</v>
      </c>
      <c r="I40" s="42" t="str">
        <f t="shared" si="20"/>
        <v>IEC</v>
      </c>
      <c r="J40" s="50">
        <f t="shared" si="17"/>
        <v>10.5</v>
      </c>
      <c r="K40" s="49">
        <f t="shared" si="17"/>
        <v>160</v>
      </c>
      <c r="L40" s="44">
        <f t="shared" si="17"/>
        <v>8</v>
      </c>
      <c r="M40" s="44">
        <f t="shared" si="17"/>
        <v>0</v>
      </c>
      <c r="N40" s="45">
        <f t="shared" si="18"/>
        <v>0.2</v>
      </c>
      <c r="O40" s="49">
        <v>30</v>
      </c>
      <c r="P40" s="54">
        <f t="shared" si="26"/>
        <v>165.25</v>
      </c>
      <c r="Q40" s="44">
        <f t="shared" si="21"/>
        <v>150</v>
      </c>
      <c r="R40" s="50">
        <f t="shared" si="21"/>
        <v>210</v>
      </c>
    </row>
    <row r="41" spans="1:18" x14ac:dyDescent="0.25">
      <c r="A41" s="229">
        <f t="shared" si="8"/>
        <v>2551</v>
      </c>
      <c r="B41" s="230">
        <f t="shared" si="9"/>
        <v>31</v>
      </c>
      <c r="C41" s="229" t="str">
        <f t="shared" si="27"/>
        <v>L23X08#000_060_04</v>
      </c>
      <c r="D41" s="43">
        <f t="shared" si="0"/>
        <v>7.8000000000000007</v>
      </c>
      <c r="E41" s="61">
        <f t="shared" si="1"/>
        <v>1.603</v>
      </c>
      <c r="F41" s="61">
        <f t="shared" si="2"/>
        <v>42</v>
      </c>
      <c r="G41" s="64">
        <f t="shared" si="3"/>
        <v>0.74204946996466425</v>
      </c>
      <c r="H41" s="51">
        <f t="shared" si="4"/>
        <v>3.9253674911660772</v>
      </c>
      <c r="I41" s="42" t="str">
        <f t="shared" si="20"/>
        <v>IEC</v>
      </c>
      <c r="J41" s="50">
        <f t="shared" si="17"/>
        <v>10.5</v>
      </c>
      <c r="K41" s="49">
        <f t="shared" si="17"/>
        <v>160</v>
      </c>
      <c r="L41" s="44">
        <f t="shared" si="17"/>
        <v>8</v>
      </c>
      <c r="M41" s="44">
        <f t="shared" si="17"/>
        <v>0</v>
      </c>
      <c r="N41" s="45">
        <f t="shared" si="18"/>
        <v>0.2</v>
      </c>
      <c r="O41" s="49">
        <v>60</v>
      </c>
      <c r="P41" s="54">
        <f t="shared" si="26"/>
        <v>165.25</v>
      </c>
      <c r="Q41" s="44">
        <f t="shared" si="21"/>
        <v>150</v>
      </c>
      <c r="R41" s="50">
        <f t="shared" si="21"/>
        <v>210</v>
      </c>
    </row>
    <row r="42" spans="1:18" x14ac:dyDescent="0.25">
      <c r="A42" s="229">
        <f t="shared" si="8"/>
        <v>2552</v>
      </c>
      <c r="B42" s="230">
        <f t="shared" si="9"/>
        <v>32</v>
      </c>
      <c r="C42" s="229" t="str">
        <f t="shared" si="27"/>
        <v>L23X08#000_090_04</v>
      </c>
      <c r="D42" s="43">
        <f t="shared" si="0"/>
        <v>7.8000000000000007</v>
      </c>
      <c r="E42" s="61">
        <f t="shared" si="1"/>
        <v>1.603</v>
      </c>
      <c r="F42" s="61">
        <f t="shared" si="2"/>
        <v>42</v>
      </c>
      <c r="G42" s="64">
        <f t="shared" si="3"/>
        <v>0.74204946996466425</v>
      </c>
      <c r="H42" s="51">
        <f t="shared" si="4"/>
        <v>3.9253674911660772</v>
      </c>
      <c r="I42" s="42" t="str">
        <f t="shared" si="20"/>
        <v>IEC</v>
      </c>
      <c r="J42" s="50">
        <f t="shared" si="17"/>
        <v>10.5</v>
      </c>
      <c r="K42" s="49">
        <f t="shared" si="17"/>
        <v>160</v>
      </c>
      <c r="L42" s="44">
        <f t="shared" si="17"/>
        <v>8</v>
      </c>
      <c r="M42" s="44">
        <f t="shared" si="17"/>
        <v>0</v>
      </c>
      <c r="N42" s="45">
        <f t="shared" si="18"/>
        <v>0.2</v>
      </c>
      <c r="O42" s="49">
        <v>90</v>
      </c>
      <c r="P42" s="54">
        <f>K42+5.25</f>
        <v>165.25</v>
      </c>
      <c r="Q42" s="44">
        <f t="shared" si="21"/>
        <v>150</v>
      </c>
      <c r="R42" s="50">
        <f t="shared" si="21"/>
        <v>210</v>
      </c>
    </row>
    <row r="43" spans="1:18" x14ac:dyDescent="0.25">
      <c r="A43" s="229">
        <f t="shared" si="8"/>
        <v>2553</v>
      </c>
      <c r="B43" s="230">
        <f t="shared" si="9"/>
        <v>33</v>
      </c>
      <c r="C43" s="229" t="str">
        <f>TEXT(RIGHT($B$2,LEN($B$2)-3),"L00")&amp;"X"&amp;TEXT(D43,"00")&amp;"#"&amp;IF(M43&lt;0,TEXT(360+M43,"000"),TEXT(M43,"000"))&amp;"_"&amp;TEXT(O43,"000")&amp;"_01"</f>
        <v>L23X08#008_000_01</v>
      </c>
      <c r="D43" s="43">
        <f t="shared" si="0"/>
        <v>7.8000000000000007</v>
      </c>
      <c r="E43" s="61">
        <f t="shared" si="1"/>
        <v>1.603</v>
      </c>
      <c r="F43" s="61">
        <f t="shared" si="2"/>
        <v>42</v>
      </c>
      <c r="G43" s="64">
        <f t="shared" si="3"/>
        <v>0.74204946996466425</v>
      </c>
      <c r="H43" s="51">
        <f t="shared" si="4"/>
        <v>3.9253674911660772</v>
      </c>
      <c r="I43" s="42" t="str">
        <f t="shared" si="20"/>
        <v>IEC</v>
      </c>
      <c r="J43" s="50">
        <f t="shared" si="17"/>
        <v>10.5</v>
      </c>
      <c r="K43" s="49">
        <f t="shared" si="17"/>
        <v>160</v>
      </c>
      <c r="L43" s="44">
        <f t="shared" si="17"/>
        <v>8</v>
      </c>
      <c r="M43" s="44">
        <f>yaw_max</f>
        <v>8</v>
      </c>
      <c r="N43" s="45">
        <f t="shared" si="18"/>
        <v>0.2</v>
      </c>
      <c r="O43" s="49">
        <v>0</v>
      </c>
      <c r="P43" s="52">
        <f>K43</f>
        <v>160</v>
      </c>
      <c r="Q43" s="44">
        <f t="shared" si="21"/>
        <v>150</v>
      </c>
      <c r="R43" s="50">
        <f t="shared" si="21"/>
        <v>210</v>
      </c>
    </row>
    <row r="44" spans="1:18" x14ac:dyDescent="0.25">
      <c r="A44" s="229">
        <f t="shared" si="8"/>
        <v>2554</v>
      </c>
      <c r="B44" s="230">
        <f t="shared" si="9"/>
        <v>34</v>
      </c>
      <c r="C44" s="229" t="str">
        <f t="shared" ref="C44:C46" si="28">TEXT(RIGHT($B$2,LEN($B$2)-3),"L00")&amp;"X"&amp;TEXT(D44,"00")&amp;"#"&amp;IF(M44&lt;0,TEXT(360+M44,"000"),TEXT(M44,"000"))&amp;"_"&amp;TEXT(O44,"000")&amp;"_01"</f>
        <v>L23X08#008_030_01</v>
      </c>
      <c r="D44" s="43">
        <f t="shared" si="0"/>
        <v>7.8000000000000007</v>
      </c>
      <c r="E44" s="61">
        <f t="shared" si="1"/>
        <v>1.603</v>
      </c>
      <c r="F44" s="61">
        <f t="shared" si="2"/>
        <v>42</v>
      </c>
      <c r="G44" s="64">
        <f t="shared" si="3"/>
        <v>0.74204946996466425</v>
      </c>
      <c r="H44" s="51">
        <f t="shared" si="4"/>
        <v>3.9253674911660772</v>
      </c>
      <c r="I44" s="42" t="str">
        <f>I43</f>
        <v>IEC</v>
      </c>
      <c r="J44" s="50">
        <f t="shared" ref="J44:M59" si="29">J43</f>
        <v>10.5</v>
      </c>
      <c r="K44" s="49">
        <f>K43</f>
        <v>160</v>
      </c>
      <c r="L44" s="44">
        <f>L43</f>
        <v>8</v>
      </c>
      <c r="M44" s="44">
        <f>M43</f>
        <v>8</v>
      </c>
      <c r="N44" s="45">
        <f t="shared" si="18"/>
        <v>0.2</v>
      </c>
      <c r="O44" s="49">
        <v>30</v>
      </c>
      <c r="P44" s="52">
        <f t="shared" ref="P44:P46" si="30">K44</f>
        <v>160</v>
      </c>
      <c r="Q44" s="44">
        <f t="shared" si="21"/>
        <v>150</v>
      </c>
      <c r="R44" s="50">
        <f>R43</f>
        <v>210</v>
      </c>
    </row>
    <row r="45" spans="1:18" x14ac:dyDescent="0.25">
      <c r="A45" s="229">
        <f t="shared" si="8"/>
        <v>2555</v>
      </c>
      <c r="B45" s="230">
        <f t="shared" si="9"/>
        <v>35</v>
      </c>
      <c r="C45" s="229" t="str">
        <f t="shared" si="28"/>
        <v>L23X08#008_060_01</v>
      </c>
      <c r="D45" s="43">
        <f t="shared" si="0"/>
        <v>7.8000000000000007</v>
      </c>
      <c r="E45" s="61">
        <f t="shared" si="1"/>
        <v>1.603</v>
      </c>
      <c r="F45" s="61">
        <f t="shared" si="2"/>
        <v>42</v>
      </c>
      <c r="G45" s="64">
        <f t="shared" si="3"/>
        <v>0.74204946996466425</v>
      </c>
      <c r="H45" s="51">
        <f t="shared" si="4"/>
        <v>3.9253674911660772</v>
      </c>
      <c r="I45" s="42" t="str">
        <f t="shared" ref="I45:I59" si="31">I44</f>
        <v>IEC</v>
      </c>
      <c r="J45" s="50">
        <f t="shared" si="29"/>
        <v>10.5</v>
      </c>
      <c r="K45" s="49">
        <f t="shared" si="29"/>
        <v>160</v>
      </c>
      <c r="L45" s="44">
        <f t="shared" si="29"/>
        <v>8</v>
      </c>
      <c r="M45" s="44">
        <f t="shared" si="29"/>
        <v>8</v>
      </c>
      <c r="N45" s="45">
        <f t="shared" si="18"/>
        <v>0.2</v>
      </c>
      <c r="O45" s="49">
        <v>60</v>
      </c>
      <c r="P45" s="52">
        <f t="shared" si="30"/>
        <v>160</v>
      </c>
      <c r="Q45" s="44">
        <f t="shared" ref="Q45:R60" si="32">Q44</f>
        <v>150</v>
      </c>
      <c r="R45" s="50">
        <f t="shared" si="32"/>
        <v>210</v>
      </c>
    </row>
    <row r="46" spans="1:18" x14ac:dyDescent="0.25">
      <c r="A46" s="229">
        <f t="shared" si="8"/>
        <v>2556</v>
      </c>
      <c r="B46" s="230">
        <f t="shared" si="9"/>
        <v>36</v>
      </c>
      <c r="C46" s="229" t="str">
        <f t="shared" si="28"/>
        <v>L23X08#008_090_01</v>
      </c>
      <c r="D46" s="43">
        <f t="shared" si="0"/>
        <v>7.8000000000000007</v>
      </c>
      <c r="E46" s="61">
        <f t="shared" si="1"/>
        <v>1.603</v>
      </c>
      <c r="F46" s="61">
        <f t="shared" si="2"/>
        <v>42</v>
      </c>
      <c r="G46" s="64">
        <f t="shared" si="3"/>
        <v>0.74204946996466425</v>
      </c>
      <c r="H46" s="51">
        <f t="shared" si="4"/>
        <v>3.9253674911660772</v>
      </c>
      <c r="I46" s="42" t="str">
        <f t="shared" si="31"/>
        <v>IEC</v>
      </c>
      <c r="J46" s="50">
        <f t="shared" si="29"/>
        <v>10.5</v>
      </c>
      <c r="K46" s="49">
        <f t="shared" si="29"/>
        <v>160</v>
      </c>
      <c r="L46" s="44">
        <f t="shared" si="29"/>
        <v>8</v>
      </c>
      <c r="M46" s="44">
        <f t="shared" si="29"/>
        <v>8</v>
      </c>
      <c r="N46" s="45">
        <f t="shared" si="18"/>
        <v>0.2</v>
      </c>
      <c r="O46" s="49">
        <v>90</v>
      </c>
      <c r="P46" s="52">
        <f t="shared" si="30"/>
        <v>160</v>
      </c>
      <c r="Q46" s="44">
        <f t="shared" si="32"/>
        <v>150</v>
      </c>
      <c r="R46" s="50">
        <f t="shared" si="32"/>
        <v>210</v>
      </c>
    </row>
    <row r="47" spans="1:18" x14ac:dyDescent="0.25">
      <c r="A47" s="229">
        <f t="shared" si="8"/>
        <v>2557</v>
      </c>
      <c r="B47" s="230">
        <f t="shared" si="9"/>
        <v>37</v>
      </c>
      <c r="C47" s="229" t="str">
        <f>TEXT(RIGHT($B$2,LEN($B$2)-3),"L00")&amp;"X"&amp;TEXT(D47,"00")&amp;"#"&amp;IF(M47&lt;0,TEXT(360+M47,"000"),TEXT(M47,"000"))&amp;"_"&amp;TEXT(O47,"000")&amp;"_02"</f>
        <v>L23X08#008_000_02</v>
      </c>
      <c r="D47" s="43">
        <f t="shared" si="0"/>
        <v>7.8000000000000007</v>
      </c>
      <c r="E47" s="61">
        <f t="shared" si="1"/>
        <v>1.603</v>
      </c>
      <c r="F47" s="61">
        <f t="shared" si="2"/>
        <v>42</v>
      </c>
      <c r="G47" s="64">
        <f t="shared" si="3"/>
        <v>0.74204946996466425</v>
      </c>
      <c r="H47" s="51">
        <f t="shared" si="4"/>
        <v>3.9253674911660772</v>
      </c>
      <c r="I47" s="42" t="str">
        <f t="shared" si="31"/>
        <v>IEC</v>
      </c>
      <c r="J47" s="50">
        <f t="shared" si="29"/>
        <v>10.5</v>
      </c>
      <c r="K47" s="49">
        <f t="shared" si="29"/>
        <v>160</v>
      </c>
      <c r="L47" s="44">
        <f t="shared" si="29"/>
        <v>8</v>
      </c>
      <c r="M47" s="44">
        <f t="shared" si="29"/>
        <v>8</v>
      </c>
      <c r="N47" s="45">
        <f t="shared" si="18"/>
        <v>0.2</v>
      </c>
      <c r="O47" s="49">
        <v>0</v>
      </c>
      <c r="P47" s="54">
        <f>K47+2.46</f>
        <v>162.46</v>
      </c>
      <c r="Q47" s="44">
        <f t="shared" si="32"/>
        <v>150</v>
      </c>
      <c r="R47" s="50">
        <f t="shared" si="32"/>
        <v>210</v>
      </c>
    </row>
    <row r="48" spans="1:18" x14ac:dyDescent="0.25">
      <c r="A48" s="229">
        <f t="shared" si="8"/>
        <v>2558</v>
      </c>
      <c r="B48" s="230">
        <f t="shared" si="9"/>
        <v>38</v>
      </c>
      <c r="C48" s="229" t="str">
        <f t="shared" ref="C48:C50" si="33">TEXT(RIGHT($B$2,LEN($B$2)-3),"L00")&amp;"X"&amp;TEXT(D48,"00")&amp;"#"&amp;IF(M48&lt;0,TEXT(360+M48,"000"),TEXT(M48,"000"))&amp;"_"&amp;TEXT(O48,"000")&amp;"_02"</f>
        <v>L23X08#008_030_02</v>
      </c>
      <c r="D48" s="43">
        <f t="shared" si="0"/>
        <v>7.8000000000000007</v>
      </c>
      <c r="E48" s="61">
        <f t="shared" si="1"/>
        <v>1.603</v>
      </c>
      <c r="F48" s="61">
        <f t="shared" si="2"/>
        <v>42</v>
      </c>
      <c r="G48" s="64">
        <f t="shared" si="3"/>
        <v>0.74204946996466425</v>
      </c>
      <c r="H48" s="51">
        <f t="shared" si="4"/>
        <v>3.9253674911660772</v>
      </c>
      <c r="I48" s="42" t="str">
        <f t="shared" si="31"/>
        <v>IEC</v>
      </c>
      <c r="J48" s="50">
        <f t="shared" si="29"/>
        <v>10.5</v>
      </c>
      <c r="K48" s="49">
        <f t="shared" si="29"/>
        <v>160</v>
      </c>
      <c r="L48" s="44">
        <f t="shared" si="29"/>
        <v>8</v>
      </c>
      <c r="M48" s="44">
        <f t="shared" si="29"/>
        <v>8</v>
      </c>
      <c r="N48" s="45">
        <f t="shared" si="18"/>
        <v>0.2</v>
      </c>
      <c r="O48" s="49">
        <v>30</v>
      </c>
      <c r="P48" s="54">
        <f>K48+2.46</f>
        <v>162.46</v>
      </c>
      <c r="Q48" s="44">
        <f t="shared" si="32"/>
        <v>150</v>
      </c>
      <c r="R48" s="50">
        <f t="shared" si="32"/>
        <v>210</v>
      </c>
    </row>
    <row r="49" spans="1:18" x14ac:dyDescent="0.25">
      <c r="A49" s="229">
        <f t="shared" si="8"/>
        <v>2559</v>
      </c>
      <c r="B49" s="230">
        <f t="shared" si="9"/>
        <v>39</v>
      </c>
      <c r="C49" s="229" t="str">
        <f t="shared" si="33"/>
        <v>L23X08#008_060_02</v>
      </c>
      <c r="D49" s="43">
        <f t="shared" si="0"/>
        <v>7.8000000000000007</v>
      </c>
      <c r="E49" s="61">
        <f t="shared" si="1"/>
        <v>1.603</v>
      </c>
      <c r="F49" s="61">
        <f t="shared" si="2"/>
        <v>42</v>
      </c>
      <c r="G49" s="64">
        <f t="shared" si="3"/>
        <v>0.74204946996466425</v>
      </c>
      <c r="H49" s="51">
        <f t="shared" si="4"/>
        <v>3.9253674911660772</v>
      </c>
      <c r="I49" s="42" t="str">
        <f t="shared" si="31"/>
        <v>IEC</v>
      </c>
      <c r="J49" s="50">
        <f t="shared" si="29"/>
        <v>10.5</v>
      </c>
      <c r="K49" s="49">
        <f t="shared" si="29"/>
        <v>160</v>
      </c>
      <c r="L49" s="44">
        <f t="shared" si="29"/>
        <v>8</v>
      </c>
      <c r="M49" s="44">
        <f t="shared" si="29"/>
        <v>8</v>
      </c>
      <c r="N49" s="45">
        <f t="shared" si="18"/>
        <v>0.2</v>
      </c>
      <c r="O49" s="49">
        <v>60</v>
      </c>
      <c r="P49" s="54">
        <f>K49+2.46</f>
        <v>162.46</v>
      </c>
      <c r="Q49" s="44">
        <f t="shared" si="32"/>
        <v>150</v>
      </c>
      <c r="R49" s="50">
        <f t="shared" si="32"/>
        <v>210</v>
      </c>
    </row>
    <row r="50" spans="1:18" x14ac:dyDescent="0.25">
      <c r="A50" s="229">
        <f t="shared" si="8"/>
        <v>2560</v>
      </c>
      <c r="B50" s="230">
        <f t="shared" si="9"/>
        <v>40</v>
      </c>
      <c r="C50" s="229" t="str">
        <f t="shared" si="33"/>
        <v>L23X08#008_090_02</v>
      </c>
      <c r="D50" s="43">
        <f t="shared" si="0"/>
        <v>7.8000000000000007</v>
      </c>
      <c r="E50" s="61">
        <f t="shared" si="1"/>
        <v>1.603</v>
      </c>
      <c r="F50" s="61">
        <f t="shared" si="2"/>
        <v>42</v>
      </c>
      <c r="G50" s="64">
        <f t="shared" si="3"/>
        <v>0.74204946996466425</v>
      </c>
      <c r="H50" s="51">
        <f t="shared" si="4"/>
        <v>3.9253674911660772</v>
      </c>
      <c r="I50" s="42" t="str">
        <f t="shared" si="31"/>
        <v>IEC</v>
      </c>
      <c r="J50" s="50">
        <f t="shared" si="29"/>
        <v>10.5</v>
      </c>
      <c r="K50" s="49">
        <f t="shared" si="29"/>
        <v>160</v>
      </c>
      <c r="L50" s="44">
        <f t="shared" si="29"/>
        <v>8</v>
      </c>
      <c r="M50" s="44">
        <f t="shared" si="29"/>
        <v>8</v>
      </c>
      <c r="N50" s="45">
        <f t="shared" si="18"/>
        <v>0.2</v>
      </c>
      <c r="O50" s="49">
        <v>90</v>
      </c>
      <c r="P50" s="54">
        <f>K50+2.46</f>
        <v>162.46</v>
      </c>
      <c r="Q50" s="44">
        <f t="shared" si="32"/>
        <v>150</v>
      </c>
      <c r="R50" s="50">
        <f t="shared" si="32"/>
        <v>210</v>
      </c>
    </row>
    <row r="51" spans="1:18" x14ac:dyDescent="0.25">
      <c r="A51" s="229">
        <f t="shared" si="8"/>
        <v>2561</v>
      </c>
      <c r="B51" s="230">
        <f t="shared" si="9"/>
        <v>41</v>
      </c>
      <c r="C51" s="229" t="str">
        <f>TEXT(RIGHT($B$2,LEN($B$2)-3),"L00")&amp;"X"&amp;TEXT(D51,"00")&amp;"#"&amp;IF(M51&lt;0,TEXT(360+M51,"000"),TEXT(M51,"000"))&amp;"_"&amp;TEXT(O51,"000")&amp;"_03"</f>
        <v>L23X08#008_000_03</v>
      </c>
      <c r="D51" s="43">
        <f t="shared" si="0"/>
        <v>7.8000000000000007</v>
      </c>
      <c r="E51" s="61">
        <f t="shared" si="1"/>
        <v>1.603</v>
      </c>
      <c r="F51" s="61">
        <f t="shared" si="2"/>
        <v>42</v>
      </c>
      <c r="G51" s="64">
        <f t="shared" si="3"/>
        <v>0.74204946996466425</v>
      </c>
      <c r="H51" s="51">
        <f t="shared" si="4"/>
        <v>3.9253674911660772</v>
      </c>
      <c r="I51" s="42" t="str">
        <f t="shared" si="31"/>
        <v>IEC</v>
      </c>
      <c r="J51" s="50">
        <f t="shared" si="29"/>
        <v>10.5</v>
      </c>
      <c r="K51" s="49">
        <f t="shared" si="29"/>
        <v>160</v>
      </c>
      <c r="L51" s="44">
        <f t="shared" si="29"/>
        <v>8</v>
      </c>
      <c r="M51" s="44">
        <f t="shared" si="29"/>
        <v>8</v>
      </c>
      <c r="N51" s="45">
        <f t="shared" si="18"/>
        <v>0.2</v>
      </c>
      <c r="O51" s="49">
        <v>0</v>
      </c>
      <c r="P51" s="54">
        <f t="shared" ref="P51:P52" si="34">K51+4</f>
        <v>164</v>
      </c>
      <c r="Q51" s="44">
        <f t="shared" si="32"/>
        <v>150</v>
      </c>
      <c r="R51" s="50">
        <f t="shared" si="32"/>
        <v>210</v>
      </c>
    </row>
    <row r="52" spans="1:18" x14ac:dyDescent="0.25">
      <c r="A52" s="229">
        <f t="shared" si="8"/>
        <v>2562</v>
      </c>
      <c r="B52" s="230">
        <f t="shared" si="9"/>
        <v>42</v>
      </c>
      <c r="C52" s="229" t="str">
        <f t="shared" ref="C52:C54" si="35">TEXT(RIGHT($B$2,LEN($B$2)-3),"L00")&amp;"X"&amp;TEXT(D52,"00")&amp;"#"&amp;IF(M52&lt;0,TEXT(360+M52,"000"),TEXT(M52,"000"))&amp;"_"&amp;TEXT(O52,"000")&amp;"_03"</f>
        <v>L23X08#008_030_03</v>
      </c>
      <c r="D52" s="43">
        <f t="shared" si="0"/>
        <v>7.8000000000000007</v>
      </c>
      <c r="E52" s="61">
        <f t="shared" si="1"/>
        <v>1.603</v>
      </c>
      <c r="F52" s="61">
        <f t="shared" si="2"/>
        <v>42</v>
      </c>
      <c r="G52" s="64">
        <f t="shared" si="3"/>
        <v>0.74204946996466425</v>
      </c>
      <c r="H52" s="51">
        <f t="shared" si="4"/>
        <v>3.9253674911660772</v>
      </c>
      <c r="I52" s="42" t="str">
        <f t="shared" si="31"/>
        <v>IEC</v>
      </c>
      <c r="J52" s="50">
        <f t="shared" si="29"/>
        <v>10.5</v>
      </c>
      <c r="K52" s="49">
        <f t="shared" si="29"/>
        <v>160</v>
      </c>
      <c r="L52" s="44">
        <f t="shared" si="29"/>
        <v>8</v>
      </c>
      <c r="M52" s="44">
        <f t="shared" si="29"/>
        <v>8</v>
      </c>
      <c r="N52" s="45">
        <f t="shared" si="18"/>
        <v>0.2</v>
      </c>
      <c r="O52" s="49">
        <v>30</v>
      </c>
      <c r="P52" s="54">
        <f t="shared" si="34"/>
        <v>164</v>
      </c>
      <c r="Q52" s="44">
        <f t="shared" si="32"/>
        <v>150</v>
      </c>
      <c r="R52" s="50">
        <f t="shared" si="32"/>
        <v>210</v>
      </c>
    </row>
    <row r="53" spans="1:18" x14ac:dyDescent="0.25">
      <c r="A53" s="229">
        <f t="shared" si="8"/>
        <v>2563</v>
      </c>
      <c r="B53" s="230">
        <f t="shared" si="9"/>
        <v>43</v>
      </c>
      <c r="C53" s="229" t="str">
        <f t="shared" si="35"/>
        <v>L23X08#008_060_03</v>
      </c>
      <c r="D53" s="43">
        <f t="shared" si="0"/>
        <v>7.8000000000000007</v>
      </c>
      <c r="E53" s="61">
        <f t="shared" si="1"/>
        <v>1.603</v>
      </c>
      <c r="F53" s="61">
        <f t="shared" si="2"/>
        <v>42</v>
      </c>
      <c r="G53" s="64">
        <f t="shared" si="3"/>
        <v>0.74204946996466425</v>
      </c>
      <c r="H53" s="51">
        <f t="shared" si="4"/>
        <v>3.9253674911660772</v>
      </c>
      <c r="I53" s="42" t="str">
        <f t="shared" si="31"/>
        <v>IEC</v>
      </c>
      <c r="J53" s="50">
        <f t="shared" si="29"/>
        <v>10.5</v>
      </c>
      <c r="K53" s="49">
        <f t="shared" si="29"/>
        <v>160</v>
      </c>
      <c r="L53" s="44">
        <f t="shared" si="29"/>
        <v>8</v>
      </c>
      <c r="M53" s="44">
        <f t="shared" si="29"/>
        <v>8</v>
      </c>
      <c r="N53" s="45">
        <f t="shared" si="18"/>
        <v>0.2</v>
      </c>
      <c r="O53" s="49">
        <v>60</v>
      </c>
      <c r="P53" s="54">
        <f>K53+4</f>
        <v>164</v>
      </c>
      <c r="Q53" s="44">
        <f t="shared" si="32"/>
        <v>150</v>
      </c>
      <c r="R53" s="50">
        <f t="shared" si="32"/>
        <v>210</v>
      </c>
    </row>
    <row r="54" spans="1:18" x14ac:dyDescent="0.25">
      <c r="A54" s="229">
        <f t="shared" si="8"/>
        <v>2564</v>
      </c>
      <c r="B54" s="230">
        <f t="shared" si="9"/>
        <v>44</v>
      </c>
      <c r="C54" s="229" t="str">
        <f t="shared" si="35"/>
        <v>L23X08#008_090_03</v>
      </c>
      <c r="D54" s="43">
        <f t="shared" si="0"/>
        <v>7.8000000000000007</v>
      </c>
      <c r="E54" s="61">
        <f t="shared" si="1"/>
        <v>1.603</v>
      </c>
      <c r="F54" s="61">
        <f t="shared" si="2"/>
        <v>42</v>
      </c>
      <c r="G54" s="64">
        <f t="shared" si="3"/>
        <v>0.74204946996466425</v>
      </c>
      <c r="H54" s="51">
        <f t="shared" si="4"/>
        <v>3.9253674911660772</v>
      </c>
      <c r="I54" s="42" t="str">
        <f t="shared" si="31"/>
        <v>IEC</v>
      </c>
      <c r="J54" s="50">
        <f t="shared" si="29"/>
        <v>10.5</v>
      </c>
      <c r="K54" s="49">
        <f t="shared" si="29"/>
        <v>160</v>
      </c>
      <c r="L54" s="44">
        <f t="shared" si="29"/>
        <v>8</v>
      </c>
      <c r="M54" s="44">
        <f t="shared" si="29"/>
        <v>8</v>
      </c>
      <c r="N54" s="45">
        <f t="shared" si="18"/>
        <v>0.2</v>
      </c>
      <c r="O54" s="49">
        <v>90</v>
      </c>
      <c r="P54" s="54">
        <f t="shared" ref="P54" si="36">K54+4</f>
        <v>164</v>
      </c>
      <c r="Q54" s="44">
        <f t="shared" si="32"/>
        <v>150</v>
      </c>
      <c r="R54" s="50">
        <f t="shared" si="32"/>
        <v>210</v>
      </c>
    </row>
    <row r="55" spans="1:18" x14ac:dyDescent="0.25">
      <c r="A55" s="229">
        <f t="shared" si="8"/>
        <v>2565</v>
      </c>
      <c r="B55" s="230">
        <f t="shared" si="9"/>
        <v>45</v>
      </c>
      <c r="C55" s="229" t="str">
        <f>TEXT(RIGHT($B$2,LEN($B$2)-3),"L00")&amp;"X"&amp;TEXT(D55,"00")&amp;"#"&amp;IF(M55&lt;0,TEXT(360+M55,"000"),TEXT(M55,"000"))&amp;"_"&amp;TEXT(O55,"000")&amp;"_04"</f>
        <v>L23X08#008_000_04</v>
      </c>
      <c r="D55" s="43">
        <f t="shared" si="0"/>
        <v>7.8000000000000007</v>
      </c>
      <c r="E55" s="61">
        <f t="shared" si="1"/>
        <v>1.603</v>
      </c>
      <c r="F55" s="61">
        <f t="shared" si="2"/>
        <v>42</v>
      </c>
      <c r="G55" s="64">
        <f t="shared" si="3"/>
        <v>0.74204946996466425</v>
      </c>
      <c r="H55" s="51">
        <f t="shared" si="4"/>
        <v>3.9253674911660772</v>
      </c>
      <c r="I55" s="42" t="str">
        <f t="shared" si="31"/>
        <v>IEC</v>
      </c>
      <c r="J55" s="50">
        <f t="shared" si="29"/>
        <v>10.5</v>
      </c>
      <c r="K55" s="49">
        <f t="shared" si="29"/>
        <v>160</v>
      </c>
      <c r="L55" s="44">
        <f t="shared" si="29"/>
        <v>8</v>
      </c>
      <c r="M55" s="44">
        <f t="shared" si="29"/>
        <v>8</v>
      </c>
      <c r="N55" s="45">
        <f t="shared" si="18"/>
        <v>0.2</v>
      </c>
      <c r="O55" s="49">
        <v>0</v>
      </c>
      <c r="P55" s="54">
        <f t="shared" ref="P55:P57" si="37">K55+5.25</f>
        <v>165.25</v>
      </c>
      <c r="Q55" s="44">
        <f t="shared" si="32"/>
        <v>150</v>
      </c>
      <c r="R55" s="50">
        <f t="shared" si="32"/>
        <v>210</v>
      </c>
    </row>
    <row r="56" spans="1:18" x14ac:dyDescent="0.25">
      <c r="A56" s="229">
        <f t="shared" si="8"/>
        <v>2566</v>
      </c>
      <c r="B56" s="230">
        <f t="shared" si="9"/>
        <v>46</v>
      </c>
      <c r="C56" s="229" t="str">
        <f t="shared" ref="C56:C58" si="38">TEXT(RIGHT($B$2,LEN($B$2)-3),"L00")&amp;"X"&amp;TEXT(D56,"00")&amp;"#"&amp;IF(M56&lt;0,TEXT(360+M56,"000"),TEXT(M56,"000"))&amp;"_"&amp;TEXT(O56,"000")&amp;"_04"</f>
        <v>L23X08#008_030_04</v>
      </c>
      <c r="D56" s="43">
        <f t="shared" si="0"/>
        <v>7.8000000000000007</v>
      </c>
      <c r="E56" s="61">
        <f t="shared" si="1"/>
        <v>1.603</v>
      </c>
      <c r="F56" s="61">
        <f t="shared" si="2"/>
        <v>42</v>
      </c>
      <c r="G56" s="64">
        <f t="shared" si="3"/>
        <v>0.74204946996466425</v>
      </c>
      <c r="H56" s="51">
        <f t="shared" si="4"/>
        <v>3.9253674911660772</v>
      </c>
      <c r="I56" s="42" t="str">
        <f t="shared" si="31"/>
        <v>IEC</v>
      </c>
      <c r="J56" s="50">
        <f t="shared" si="29"/>
        <v>10.5</v>
      </c>
      <c r="K56" s="49">
        <f t="shared" si="29"/>
        <v>160</v>
      </c>
      <c r="L56" s="44">
        <f t="shared" si="29"/>
        <v>8</v>
      </c>
      <c r="M56" s="44">
        <f t="shared" si="29"/>
        <v>8</v>
      </c>
      <c r="N56" s="45">
        <f t="shared" si="18"/>
        <v>0.2</v>
      </c>
      <c r="O56" s="49">
        <v>30</v>
      </c>
      <c r="P56" s="54">
        <f t="shared" si="37"/>
        <v>165.25</v>
      </c>
      <c r="Q56" s="44">
        <f t="shared" si="32"/>
        <v>150</v>
      </c>
      <c r="R56" s="50">
        <f t="shared" si="32"/>
        <v>210</v>
      </c>
    </row>
    <row r="57" spans="1:18" x14ac:dyDescent="0.25">
      <c r="A57" s="229">
        <f t="shared" si="8"/>
        <v>2567</v>
      </c>
      <c r="B57" s="230">
        <f t="shared" si="9"/>
        <v>47</v>
      </c>
      <c r="C57" s="229" t="str">
        <f t="shared" si="38"/>
        <v>L23X08#008_060_04</v>
      </c>
      <c r="D57" s="43">
        <f t="shared" si="0"/>
        <v>7.8000000000000007</v>
      </c>
      <c r="E57" s="61">
        <f t="shared" si="1"/>
        <v>1.603</v>
      </c>
      <c r="F57" s="61">
        <f t="shared" si="2"/>
        <v>42</v>
      </c>
      <c r="G57" s="64">
        <f t="shared" si="3"/>
        <v>0.74204946996466425</v>
      </c>
      <c r="H57" s="51">
        <f t="shared" si="4"/>
        <v>3.9253674911660772</v>
      </c>
      <c r="I57" s="42" t="str">
        <f t="shared" si="31"/>
        <v>IEC</v>
      </c>
      <c r="J57" s="50">
        <f t="shared" si="29"/>
        <v>10.5</v>
      </c>
      <c r="K57" s="49">
        <f t="shared" si="29"/>
        <v>160</v>
      </c>
      <c r="L57" s="44">
        <f t="shared" si="29"/>
        <v>8</v>
      </c>
      <c r="M57" s="44">
        <f t="shared" si="29"/>
        <v>8</v>
      </c>
      <c r="N57" s="45">
        <f t="shared" si="18"/>
        <v>0.2</v>
      </c>
      <c r="O57" s="49">
        <v>60</v>
      </c>
      <c r="P57" s="54">
        <f t="shared" si="37"/>
        <v>165.25</v>
      </c>
      <c r="Q57" s="44">
        <f t="shared" si="32"/>
        <v>150</v>
      </c>
      <c r="R57" s="50">
        <f t="shared" si="32"/>
        <v>210</v>
      </c>
    </row>
    <row r="58" spans="1:18" x14ac:dyDescent="0.25">
      <c r="A58" s="229">
        <f t="shared" si="8"/>
        <v>2568</v>
      </c>
      <c r="B58" s="230">
        <f t="shared" si="9"/>
        <v>48</v>
      </c>
      <c r="C58" s="229" t="str">
        <f t="shared" si="38"/>
        <v>L23X08#008_090_04</v>
      </c>
      <c r="D58" s="43">
        <f t="shared" si="0"/>
        <v>7.8000000000000007</v>
      </c>
      <c r="E58" s="61">
        <f t="shared" si="1"/>
        <v>1.603</v>
      </c>
      <c r="F58" s="61">
        <f t="shared" si="2"/>
        <v>42</v>
      </c>
      <c r="G58" s="64">
        <f t="shared" si="3"/>
        <v>0.74204946996466425</v>
      </c>
      <c r="H58" s="51">
        <f t="shared" si="4"/>
        <v>3.9253674911660772</v>
      </c>
      <c r="I58" s="42" t="str">
        <f t="shared" si="31"/>
        <v>IEC</v>
      </c>
      <c r="J58" s="50">
        <f t="shared" si="29"/>
        <v>10.5</v>
      </c>
      <c r="K58" s="49">
        <f t="shared" si="29"/>
        <v>160</v>
      </c>
      <c r="L58" s="44">
        <f t="shared" si="29"/>
        <v>8</v>
      </c>
      <c r="M58" s="44">
        <f t="shared" si="29"/>
        <v>8</v>
      </c>
      <c r="N58" s="45">
        <f t="shared" si="18"/>
        <v>0.2</v>
      </c>
      <c r="O58" s="49">
        <v>90</v>
      </c>
      <c r="P58" s="54">
        <f>K58+5.25</f>
        <v>165.25</v>
      </c>
      <c r="Q58" s="44">
        <f t="shared" si="32"/>
        <v>150</v>
      </c>
      <c r="R58" s="50">
        <f t="shared" si="32"/>
        <v>210</v>
      </c>
    </row>
    <row r="59" spans="1:18" x14ac:dyDescent="0.25">
      <c r="A59" s="229">
        <f t="shared" si="8"/>
        <v>2569</v>
      </c>
      <c r="B59" s="230">
        <f t="shared" si="9"/>
        <v>49</v>
      </c>
      <c r="C59" s="229" t="str">
        <f>TEXT(RIGHT($B$2,LEN($B$2)-3),"L00")&amp;"X"&amp;TEXT(D59,"00")&amp;"#"&amp;IF(M59&lt;0,TEXT(360+M59,"000"),TEXT(M59,"000"))&amp;"_"&amp;TEXT(O59,"000")&amp;"_01"</f>
        <v>L23X10#352_000_01</v>
      </c>
      <c r="D59" s="43">
        <f t="shared" ref="D59:D106" si="39">v_r</f>
        <v>9.8000000000000007</v>
      </c>
      <c r="E59" s="61">
        <f t="shared" si="1"/>
        <v>1.8130000000000002</v>
      </c>
      <c r="F59" s="61">
        <f t="shared" si="2"/>
        <v>42</v>
      </c>
      <c r="G59" s="64">
        <f t="shared" si="3"/>
        <v>0.74204946996466425</v>
      </c>
      <c r="H59" s="51">
        <f t="shared" si="4"/>
        <v>4.4396077738515896</v>
      </c>
      <c r="I59" s="42" t="str">
        <f t="shared" si="31"/>
        <v>IEC</v>
      </c>
      <c r="J59" s="50">
        <f t="shared" si="29"/>
        <v>10.5</v>
      </c>
      <c r="K59" s="49">
        <f t="shared" si="29"/>
        <v>160</v>
      </c>
      <c r="L59" s="44">
        <f t="shared" si="29"/>
        <v>8</v>
      </c>
      <c r="M59" s="198">
        <f>yaw_min</f>
        <v>-8</v>
      </c>
      <c r="N59" s="45">
        <f t="shared" si="18"/>
        <v>0.2</v>
      </c>
      <c r="O59" s="49">
        <v>0</v>
      </c>
      <c r="P59" s="52">
        <f>K59</f>
        <v>160</v>
      </c>
      <c r="Q59" s="44">
        <f t="shared" si="32"/>
        <v>150</v>
      </c>
      <c r="R59" s="50">
        <f t="shared" si="32"/>
        <v>210</v>
      </c>
    </row>
    <row r="60" spans="1:18" x14ac:dyDescent="0.25">
      <c r="A60" s="229">
        <f t="shared" si="8"/>
        <v>2570</v>
      </c>
      <c r="B60" s="230">
        <f t="shared" si="9"/>
        <v>50</v>
      </c>
      <c r="C60" s="229" t="str">
        <f t="shared" ref="C60:C62" si="40">TEXT(RIGHT($B$2,LEN($B$2)-3),"L00")&amp;"X"&amp;TEXT(D60,"00")&amp;"#"&amp;IF(M60&lt;0,TEXT(360+M60,"000"),TEXT(M60,"000"))&amp;"_"&amp;TEXT(O60,"000")&amp;"_01"</f>
        <v>L23X10#352_030_01</v>
      </c>
      <c r="D60" s="43">
        <f t="shared" si="39"/>
        <v>9.8000000000000007</v>
      </c>
      <c r="E60" s="61">
        <f t="shared" si="1"/>
        <v>1.8130000000000002</v>
      </c>
      <c r="F60" s="61">
        <f t="shared" si="2"/>
        <v>42</v>
      </c>
      <c r="G60" s="64">
        <f t="shared" si="3"/>
        <v>0.74204946996466425</v>
      </c>
      <c r="H60" s="51">
        <f t="shared" si="4"/>
        <v>4.4396077738515896</v>
      </c>
      <c r="I60" s="42" t="str">
        <f>I59</f>
        <v>IEC</v>
      </c>
      <c r="J60" s="50">
        <f t="shared" ref="J60:M75" si="41">J59</f>
        <v>10.5</v>
      </c>
      <c r="K60" s="49">
        <f>K59</f>
        <v>160</v>
      </c>
      <c r="L60" s="44">
        <f>L59</f>
        <v>8</v>
      </c>
      <c r="M60" s="44">
        <f>M59</f>
        <v>-8</v>
      </c>
      <c r="N60" s="45">
        <f t="shared" si="18"/>
        <v>0.2</v>
      </c>
      <c r="O60" s="49">
        <v>30</v>
      </c>
      <c r="P60" s="52">
        <f t="shared" ref="P60:P62" si="42">K60</f>
        <v>160</v>
      </c>
      <c r="Q60" s="44">
        <f t="shared" si="32"/>
        <v>150</v>
      </c>
      <c r="R60" s="50">
        <f>R59</f>
        <v>210</v>
      </c>
    </row>
    <row r="61" spans="1:18" x14ac:dyDescent="0.25">
      <c r="A61" s="229">
        <f t="shared" si="8"/>
        <v>2571</v>
      </c>
      <c r="B61" s="230">
        <f t="shared" si="9"/>
        <v>51</v>
      </c>
      <c r="C61" s="229" t="str">
        <f t="shared" si="40"/>
        <v>L23X10#352_060_01</v>
      </c>
      <c r="D61" s="43">
        <f t="shared" si="39"/>
        <v>9.8000000000000007</v>
      </c>
      <c r="E61" s="61">
        <f t="shared" si="1"/>
        <v>1.8130000000000002</v>
      </c>
      <c r="F61" s="61">
        <f t="shared" si="2"/>
        <v>42</v>
      </c>
      <c r="G61" s="64">
        <f t="shared" si="3"/>
        <v>0.74204946996466425</v>
      </c>
      <c r="H61" s="51">
        <f t="shared" si="4"/>
        <v>4.4396077738515896</v>
      </c>
      <c r="I61" s="42" t="str">
        <f t="shared" ref="I61:I75" si="43">I60</f>
        <v>IEC</v>
      </c>
      <c r="J61" s="50">
        <f t="shared" si="41"/>
        <v>10.5</v>
      </c>
      <c r="K61" s="49">
        <f t="shared" si="41"/>
        <v>160</v>
      </c>
      <c r="L61" s="44">
        <f t="shared" si="41"/>
        <v>8</v>
      </c>
      <c r="M61" s="44">
        <f t="shared" si="41"/>
        <v>-8</v>
      </c>
      <c r="N61" s="45">
        <f t="shared" si="18"/>
        <v>0.2</v>
      </c>
      <c r="O61" s="49">
        <v>60</v>
      </c>
      <c r="P61" s="52">
        <f t="shared" si="42"/>
        <v>160</v>
      </c>
      <c r="Q61" s="44">
        <f t="shared" ref="Q61:R76" si="44">Q60</f>
        <v>150</v>
      </c>
      <c r="R61" s="50">
        <f t="shared" si="44"/>
        <v>210</v>
      </c>
    </row>
    <row r="62" spans="1:18" x14ac:dyDescent="0.25">
      <c r="A62" s="229">
        <f t="shared" si="8"/>
        <v>2572</v>
      </c>
      <c r="B62" s="230">
        <f t="shared" si="9"/>
        <v>52</v>
      </c>
      <c r="C62" s="229" t="str">
        <f t="shared" si="40"/>
        <v>L23X10#352_090_01</v>
      </c>
      <c r="D62" s="43">
        <f t="shared" si="39"/>
        <v>9.8000000000000007</v>
      </c>
      <c r="E62" s="61">
        <f t="shared" si="1"/>
        <v>1.8130000000000002</v>
      </c>
      <c r="F62" s="61">
        <f t="shared" si="2"/>
        <v>42</v>
      </c>
      <c r="G62" s="64">
        <f t="shared" si="3"/>
        <v>0.74204946996466425</v>
      </c>
      <c r="H62" s="51">
        <f t="shared" si="4"/>
        <v>4.4396077738515896</v>
      </c>
      <c r="I62" s="42" t="str">
        <f t="shared" si="43"/>
        <v>IEC</v>
      </c>
      <c r="J62" s="50">
        <f t="shared" si="41"/>
        <v>10.5</v>
      </c>
      <c r="K62" s="49">
        <f t="shared" si="41"/>
        <v>160</v>
      </c>
      <c r="L62" s="44">
        <f t="shared" si="41"/>
        <v>8</v>
      </c>
      <c r="M62" s="44">
        <f t="shared" si="41"/>
        <v>-8</v>
      </c>
      <c r="N62" s="45">
        <f t="shared" si="18"/>
        <v>0.2</v>
      </c>
      <c r="O62" s="49">
        <v>90</v>
      </c>
      <c r="P62" s="52">
        <f t="shared" si="42"/>
        <v>160</v>
      </c>
      <c r="Q62" s="44">
        <f t="shared" si="44"/>
        <v>150</v>
      </c>
      <c r="R62" s="50">
        <f t="shared" si="44"/>
        <v>210</v>
      </c>
    </row>
    <row r="63" spans="1:18" x14ac:dyDescent="0.25">
      <c r="A63" s="229">
        <f t="shared" si="8"/>
        <v>2573</v>
      </c>
      <c r="B63" s="230">
        <f t="shared" si="9"/>
        <v>53</v>
      </c>
      <c r="C63" s="229" t="str">
        <f>TEXT(RIGHT($B$2,LEN($B$2)-3),"L00")&amp;"X"&amp;TEXT(D63,"00")&amp;"#"&amp;IF(M63&lt;0,TEXT(360+M63,"000"),TEXT(M63,"000"))&amp;"_"&amp;TEXT(O63,"000")&amp;"_02"</f>
        <v>L23X10#352_000_02</v>
      </c>
      <c r="D63" s="43">
        <f t="shared" si="39"/>
        <v>9.8000000000000007</v>
      </c>
      <c r="E63" s="61">
        <f t="shared" si="1"/>
        <v>1.8130000000000002</v>
      </c>
      <c r="F63" s="61">
        <f t="shared" si="2"/>
        <v>42</v>
      </c>
      <c r="G63" s="64">
        <f t="shared" si="3"/>
        <v>0.74204946996466425</v>
      </c>
      <c r="H63" s="51">
        <f t="shared" si="4"/>
        <v>4.4396077738515896</v>
      </c>
      <c r="I63" s="42" t="str">
        <f t="shared" si="43"/>
        <v>IEC</v>
      </c>
      <c r="J63" s="50">
        <f t="shared" si="41"/>
        <v>10.5</v>
      </c>
      <c r="K63" s="49">
        <f t="shared" si="41"/>
        <v>160</v>
      </c>
      <c r="L63" s="44">
        <f t="shared" si="41"/>
        <v>8</v>
      </c>
      <c r="M63" s="44">
        <f t="shared" si="41"/>
        <v>-8</v>
      </c>
      <c r="N63" s="45">
        <f t="shared" si="18"/>
        <v>0.2</v>
      </c>
      <c r="O63" s="49">
        <v>0</v>
      </c>
      <c r="P63" s="54">
        <f>K63+2.46</f>
        <v>162.46</v>
      </c>
      <c r="Q63" s="44">
        <f t="shared" si="44"/>
        <v>150</v>
      </c>
      <c r="R63" s="50">
        <f t="shared" si="44"/>
        <v>210</v>
      </c>
    </row>
    <row r="64" spans="1:18" x14ac:dyDescent="0.25">
      <c r="A64" s="229">
        <f t="shared" si="8"/>
        <v>2574</v>
      </c>
      <c r="B64" s="230">
        <f t="shared" si="9"/>
        <v>54</v>
      </c>
      <c r="C64" s="229" t="str">
        <f t="shared" ref="C64:C66" si="45">TEXT(RIGHT($B$2,LEN($B$2)-3),"L00")&amp;"X"&amp;TEXT(D64,"00")&amp;"#"&amp;IF(M64&lt;0,TEXT(360+M64,"000"),TEXT(M64,"000"))&amp;"_"&amp;TEXT(O64,"000")&amp;"_02"</f>
        <v>L23X10#352_030_02</v>
      </c>
      <c r="D64" s="43">
        <f t="shared" si="39"/>
        <v>9.8000000000000007</v>
      </c>
      <c r="E64" s="61">
        <f t="shared" si="1"/>
        <v>1.8130000000000002</v>
      </c>
      <c r="F64" s="61">
        <f t="shared" si="2"/>
        <v>42</v>
      </c>
      <c r="G64" s="64">
        <f t="shared" si="3"/>
        <v>0.74204946996466425</v>
      </c>
      <c r="H64" s="51">
        <f t="shared" si="4"/>
        <v>4.4396077738515896</v>
      </c>
      <c r="I64" s="42" t="str">
        <f t="shared" si="43"/>
        <v>IEC</v>
      </c>
      <c r="J64" s="50">
        <f t="shared" si="41"/>
        <v>10.5</v>
      </c>
      <c r="K64" s="49">
        <f t="shared" si="41"/>
        <v>160</v>
      </c>
      <c r="L64" s="44">
        <f t="shared" si="41"/>
        <v>8</v>
      </c>
      <c r="M64" s="44">
        <f t="shared" si="41"/>
        <v>-8</v>
      </c>
      <c r="N64" s="45">
        <f t="shared" si="18"/>
        <v>0.2</v>
      </c>
      <c r="O64" s="49">
        <v>30</v>
      </c>
      <c r="P64" s="54">
        <f>K64+2.46</f>
        <v>162.46</v>
      </c>
      <c r="Q64" s="44">
        <f t="shared" si="44"/>
        <v>150</v>
      </c>
      <c r="R64" s="50">
        <f t="shared" si="44"/>
        <v>210</v>
      </c>
    </row>
    <row r="65" spans="1:18" x14ac:dyDescent="0.25">
      <c r="A65" s="229">
        <f t="shared" si="8"/>
        <v>2575</v>
      </c>
      <c r="B65" s="230">
        <f t="shared" si="9"/>
        <v>55</v>
      </c>
      <c r="C65" s="229" t="str">
        <f t="shared" si="45"/>
        <v>L23X10#352_060_02</v>
      </c>
      <c r="D65" s="43">
        <f t="shared" si="39"/>
        <v>9.8000000000000007</v>
      </c>
      <c r="E65" s="61">
        <f t="shared" si="1"/>
        <v>1.8130000000000002</v>
      </c>
      <c r="F65" s="61">
        <f t="shared" si="2"/>
        <v>42</v>
      </c>
      <c r="G65" s="64">
        <f t="shared" si="3"/>
        <v>0.74204946996466425</v>
      </c>
      <c r="H65" s="51">
        <f t="shared" si="4"/>
        <v>4.4396077738515896</v>
      </c>
      <c r="I65" s="42" t="str">
        <f t="shared" si="43"/>
        <v>IEC</v>
      </c>
      <c r="J65" s="50">
        <f t="shared" si="41"/>
        <v>10.5</v>
      </c>
      <c r="K65" s="49">
        <f t="shared" si="41"/>
        <v>160</v>
      </c>
      <c r="L65" s="44">
        <f t="shared" si="41"/>
        <v>8</v>
      </c>
      <c r="M65" s="44">
        <f t="shared" si="41"/>
        <v>-8</v>
      </c>
      <c r="N65" s="45">
        <f t="shared" si="18"/>
        <v>0.2</v>
      </c>
      <c r="O65" s="49">
        <v>60</v>
      </c>
      <c r="P65" s="54">
        <f>K65+2.46</f>
        <v>162.46</v>
      </c>
      <c r="Q65" s="44">
        <f t="shared" si="44"/>
        <v>150</v>
      </c>
      <c r="R65" s="50">
        <f t="shared" si="44"/>
        <v>210</v>
      </c>
    </row>
    <row r="66" spans="1:18" x14ac:dyDescent="0.25">
      <c r="A66" s="229">
        <f t="shared" si="8"/>
        <v>2576</v>
      </c>
      <c r="B66" s="230">
        <f t="shared" si="9"/>
        <v>56</v>
      </c>
      <c r="C66" s="229" t="str">
        <f t="shared" si="45"/>
        <v>L23X10#352_090_02</v>
      </c>
      <c r="D66" s="43">
        <f t="shared" si="39"/>
        <v>9.8000000000000007</v>
      </c>
      <c r="E66" s="61">
        <f t="shared" si="1"/>
        <v>1.8130000000000002</v>
      </c>
      <c r="F66" s="61">
        <f t="shared" si="2"/>
        <v>42</v>
      </c>
      <c r="G66" s="64">
        <f t="shared" si="3"/>
        <v>0.74204946996466425</v>
      </c>
      <c r="H66" s="51">
        <f t="shared" si="4"/>
        <v>4.4396077738515896</v>
      </c>
      <c r="I66" s="42" t="str">
        <f t="shared" si="43"/>
        <v>IEC</v>
      </c>
      <c r="J66" s="50">
        <f t="shared" si="41"/>
        <v>10.5</v>
      </c>
      <c r="K66" s="49">
        <f t="shared" si="41"/>
        <v>160</v>
      </c>
      <c r="L66" s="44">
        <f t="shared" si="41"/>
        <v>8</v>
      </c>
      <c r="M66" s="44">
        <f t="shared" si="41"/>
        <v>-8</v>
      </c>
      <c r="N66" s="45">
        <f t="shared" si="18"/>
        <v>0.2</v>
      </c>
      <c r="O66" s="49">
        <v>90</v>
      </c>
      <c r="P66" s="54">
        <f>K66+2.46</f>
        <v>162.46</v>
      </c>
      <c r="Q66" s="44">
        <f t="shared" si="44"/>
        <v>150</v>
      </c>
      <c r="R66" s="50">
        <f t="shared" si="44"/>
        <v>210</v>
      </c>
    </row>
    <row r="67" spans="1:18" x14ac:dyDescent="0.25">
      <c r="A67" s="229">
        <f t="shared" si="8"/>
        <v>2577</v>
      </c>
      <c r="B67" s="230">
        <f t="shared" si="9"/>
        <v>57</v>
      </c>
      <c r="C67" s="229" t="str">
        <f>TEXT(RIGHT($B$2,LEN($B$2)-3),"L00")&amp;"X"&amp;TEXT(D67,"00")&amp;"#"&amp;IF(M67&lt;0,TEXT(360+M67,"000"),TEXT(M67,"000"))&amp;"_"&amp;TEXT(O67,"000")&amp;"_03"</f>
        <v>L23X10#352_000_03</v>
      </c>
      <c r="D67" s="43">
        <f t="shared" si="39"/>
        <v>9.8000000000000007</v>
      </c>
      <c r="E67" s="61">
        <f t="shared" si="1"/>
        <v>1.8130000000000002</v>
      </c>
      <c r="F67" s="61">
        <f t="shared" si="2"/>
        <v>42</v>
      </c>
      <c r="G67" s="64">
        <f t="shared" si="3"/>
        <v>0.74204946996466425</v>
      </c>
      <c r="H67" s="51">
        <f t="shared" si="4"/>
        <v>4.4396077738515896</v>
      </c>
      <c r="I67" s="42" t="str">
        <f t="shared" si="43"/>
        <v>IEC</v>
      </c>
      <c r="J67" s="50">
        <f t="shared" si="41"/>
        <v>10.5</v>
      </c>
      <c r="K67" s="49">
        <f t="shared" si="41"/>
        <v>160</v>
      </c>
      <c r="L67" s="44">
        <f t="shared" si="41"/>
        <v>8</v>
      </c>
      <c r="M67" s="44">
        <f t="shared" si="41"/>
        <v>-8</v>
      </c>
      <c r="N67" s="45">
        <f t="shared" si="18"/>
        <v>0.2</v>
      </c>
      <c r="O67" s="49">
        <v>0</v>
      </c>
      <c r="P67" s="54">
        <f t="shared" ref="P67:P68" si="46">K67+4</f>
        <v>164</v>
      </c>
      <c r="Q67" s="44">
        <f t="shared" si="44"/>
        <v>150</v>
      </c>
      <c r="R67" s="50">
        <f t="shared" si="44"/>
        <v>210</v>
      </c>
    </row>
    <row r="68" spans="1:18" x14ac:dyDescent="0.25">
      <c r="A68" s="229">
        <f t="shared" si="8"/>
        <v>2578</v>
      </c>
      <c r="B68" s="230">
        <f t="shared" si="9"/>
        <v>58</v>
      </c>
      <c r="C68" s="229" t="str">
        <f t="shared" ref="C68:C70" si="47">TEXT(RIGHT($B$2,LEN($B$2)-3),"L00")&amp;"X"&amp;TEXT(D68,"00")&amp;"#"&amp;IF(M68&lt;0,TEXT(360+M68,"000"),TEXT(M68,"000"))&amp;"_"&amp;TEXT(O68,"000")&amp;"_03"</f>
        <v>L23X10#352_030_03</v>
      </c>
      <c r="D68" s="43">
        <f t="shared" si="39"/>
        <v>9.8000000000000007</v>
      </c>
      <c r="E68" s="61">
        <f t="shared" si="1"/>
        <v>1.8130000000000002</v>
      </c>
      <c r="F68" s="61">
        <f t="shared" si="2"/>
        <v>42</v>
      </c>
      <c r="G68" s="64">
        <f t="shared" si="3"/>
        <v>0.74204946996466425</v>
      </c>
      <c r="H68" s="51">
        <f t="shared" si="4"/>
        <v>4.4396077738515896</v>
      </c>
      <c r="I68" s="42" t="str">
        <f t="shared" si="43"/>
        <v>IEC</v>
      </c>
      <c r="J68" s="50">
        <f t="shared" si="41"/>
        <v>10.5</v>
      </c>
      <c r="K68" s="49">
        <f t="shared" si="41"/>
        <v>160</v>
      </c>
      <c r="L68" s="44">
        <f t="shared" si="41"/>
        <v>8</v>
      </c>
      <c r="M68" s="44">
        <f t="shared" si="41"/>
        <v>-8</v>
      </c>
      <c r="N68" s="45">
        <f t="shared" si="18"/>
        <v>0.2</v>
      </c>
      <c r="O68" s="49">
        <v>30</v>
      </c>
      <c r="P68" s="54">
        <f t="shared" si="46"/>
        <v>164</v>
      </c>
      <c r="Q68" s="44">
        <f t="shared" si="44"/>
        <v>150</v>
      </c>
      <c r="R68" s="50">
        <f t="shared" si="44"/>
        <v>210</v>
      </c>
    </row>
    <row r="69" spans="1:18" x14ac:dyDescent="0.25">
      <c r="A69" s="229">
        <f t="shared" si="8"/>
        <v>2579</v>
      </c>
      <c r="B69" s="230">
        <f t="shared" si="9"/>
        <v>59</v>
      </c>
      <c r="C69" s="229" t="str">
        <f t="shared" si="47"/>
        <v>L23X10#352_060_03</v>
      </c>
      <c r="D69" s="43">
        <f t="shared" si="39"/>
        <v>9.8000000000000007</v>
      </c>
      <c r="E69" s="61">
        <f t="shared" si="1"/>
        <v>1.8130000000000002</v>
      </c>
      <c r="F69" s="61">
        <f t="shared" si="2"/>
        <v>42</v>
      </c>
      <c r="G69" s="64">
        <f t="shared" si="3"/>
        <v>0.74204946996466425</v>
      </c>
      <c r="H69" s="51">
        <f t="shared" si="4"/>
        <v>4.4396077738515896</v>
      </c>
      <c r="I69" s="42" t="str">
        <f t="shared" si="43"/>
        <v>IEC</v>
      </c>
      <c r="J69" s="50">
        <f t="shared" si="41"/>
        <v>10.5</v>
      </c>
      <c r="K69" s="49">
        <f t="shared" si="41"/>
        <v>160</v>
      </c>
      <c r="L69" s="44">
        <f t="shared" si="41"/>
        <v>8</v>
      </c>
      <c r="M69" s="44">
        <f t="shared" si="41"/>
        <v>-8</v>
      </c>
      <c r="N69" s="45">
        <f t="shared" si="18"/>
        <v>0.2</v>
      </c>
      <c r="O69" s="49">
        <v>60</v>
      </c>
      <c r="P69" s="54">
        <f>K69+4</f>
        <v>164</v>
      </c>
      <c r="Q69" s="44">
        <f t="shared" si="44"/>
        <v>150</v>
      </c>
      <c r="R69" s="50">
        <f t="shared" si="44"/>
        <v>210</v>
      </c>
    </row>
    <row r="70" spans="1:18" x14ac:dyDescent="0.25">
      <c r="A70" s="229">
        <f t="shared" si="8"/>
        <v>2580</v>
      </c>
      <c r="B70" s="230">
        <f t="shared" si="9"/>
        <v>60</v>
      </c>
      <c r="C70" s="229" t="str">
        <f t="shared" si="47"/>
        <v>L23X10#352_090_03</v>
      </c>
      <c r="D70" s="43">
        <f t="shared" si="39"/>
        <v>9.8000000000000007</v>
      </c>
      <c r="E70" s="61">
        <f t="shared" si="1"/>
        <v>1.8130000000000002</v>
      </c>
      <c r="F70" s="61">
        <f t="shared" si="2"/>
        <v>42</v>
      </c>
      <c r="G70" s="64">
        <f t="shared" si="3"/>
        <v>0.74204946996466425</v>
      </c>
      <c r="H70" s="51">
        <f t="shared" si="4"/>
        <v>4.4396077738515896</v>
      </c>
      <c r="I70" s="42" t="str">
        <f t="shared" si="43"/>
        <v>IEC</v>
      </c>
      <c r="J70" s="50">
        <f t="shared" si="41"/>
        <v>10.5</v>
      </c>
      <c r="K70" s="49">
        <f t="shared" si="41"/>
        <v>160</v>
      </c>
      <c r="L70" s="44">
        <f t="shared" si="41"/>
        <v>8</v>
      </c>
      <c r="M70" s="44">
        <f t="shared" si="41"/>
        <v>-8</v>
      </c>
      <c r="N70" s="45">
        <f t="shared" si="18"/>
        <v>0.2</v>
      </c>
      <c r="O70" s="49">
        <v>90</v>
      </c>
      <c r="P70" s="54">
        <f t="shared" ref="P70" si="48">K70+4</f>
        <v>164</v>
      </c>
      <c r="Q70" s="44">
        <f t="shared" si="44"/>
        <v>150</v>
      </c>
      <c r="R70" s="50">
        <f t="shared" si="44"/>
        <v>210</v>
      </c>
    </row>
    <row r="71" spans="1:18" x14ac:dyDescent="0.25">
      <c r="A71" s="229">
        <f t="shared" si="8"/>
        <v>2581</v>
      </c>
      <c r="B71" s="230">
        <f t="shared" si="9"/>
        <v>61</v>
      </c>
      <c r="C71" s="229" t="str">
        <f>TEXT(RIGHT($B$2,LEN($B$2)-3),"L00")&amp;"X"&amp;TEXT(D71,"00")&amp;"#"&amp;IF(M71&lt;0,TEXT(360+M71,"000"),TEXT(M71,"000"))&amp;"_"&amp;TEXT(O71,"000")&amp;"_04"</f>
        <v>L23X10#352_000_04</v>
      </c>
      <c r="D71" s="43">
        <f t="shared" si="39"/>
        <v>9.8000000000000007</v>
      </c>
      <c r="E71" s="61">
        <f t="shared" si="1"/>
        <v>1.8130000000000002</v>
      </c>
      <c r="F71" s="61">
        <f t="shared" si="2"/>
        <v>42</v>
      </c>
      <c r="G71" s="64">
        <f t="shared" si="3"/>
        <v>0.74204946996466425</v>
      </c>
      <c r="H71" s="51">
        <f t="shared" si="4"/>
        <v>4.4396077738515896</v>
      </c>
      <c r="I71" s="42" t="str">
        <f t="shared" si="43"/>
        <v>IEC</v>
      </c>
      <c r="J71" s="50">
        <f t="shared" si="41"/>
        <v>10.5</v>
      </c>
      <c r="K71" s="49">
        <f t="shared" si="41"/>
        <v>160</v>
      </c>
      <c r="L71" s="44">
        <f t="shared" si="41"/>
        <v>8</v>
      </c>
      <c r="M71" s="44">
        <f t="shared" si="41"/>
        <v>-8</v>
      </c>
      <c r="N71" s="45">
        <f t="shared" si="18"/>
        <v>0.2</v>
      </c>
      <c r="O71" s="49">
        <v>0</v>
      </c>
      <c r="P71" s="54">
        <f t="shared" ref="P71:P73" si="49">K71+5.25</f>
        <v>165.25</v>
      </c>
      <c r="Q71" s="44">
        <f t="shared" si="44"/>
        <v>150</v>
      </c>
      <c r="R71" s="50">
        <f t="shared" si="44"/>
        <v>210</v>
      </c>
    </row>
    <row r="72" spans="1:18" x14ac:dyDescent="0.25">
      <c r="A72" s="229">
        <f t="shared" si="8"/>
        <v>2582</v>
      </c>
      <c r="B72" s="230">
        <f t="shared" si="9"/>
        <v>62</v>
      </c>
      <c r="C72" s="229" t="str">
        <f t="shared" ref="C72:C74" si="50">TEXT(RIGHT($B$2,LEN($B$2)-3),"L00")&amp;"X"&amp;TEXT(D72,"00")&amp;"#"&amp;IF(M72&lt;0,TEXT(360+M72,"000"),TEXT(M72,"000"))&amp;"_"&amp;TEXT(O72,"000")&amp;"_04"</f>
        <v>L23X10#352_030_04</v>
      </c>
      <c r="D72" s="43">
        <f t="shared" si="39"/>
        <v>9.8000000000000007</v>
      </c>
      <c r="E72" s="61">
        <f t="shared" si="1"/>
        <v>1.8130000000000002</v>
      </c>
      <c r="F72" s="61">
        <f t="shared" si="2"/>
        <v>42</v>
      </c>
      <c r="G72" s="64">
        <f t="shared" si="3"/>
        <v>0.74204946996466425</v>
      </c>
      <c r="H72" s="51">
        <f t="shared" si="4"/>
        <v>4.4396077738515896</v>
      </c>
      <c r="I72" s="42" t="str">
        <f t="shared" si="43"/>
        <v>IEC</v>
      </c>
      <c r="J72" s="50">
        <f t="shared" si="41"/>
        <v>10.5</v>
      </c>
      <c r="K72" s="49">
        <f t="shared" si="41"/>
        <v>160</v>
      </c>
      <c r="L72" s="44">
        <f t="shared" si="41"/>
        <v>8</v>
      </c>
      <c r="M72" s="44">
        <f t="shared" si="41"/>
        <v>-8</v>
      </c>
      <c r="N72" s="45">
        <f t="shared" si="18"/>
        <v>0.2</v>
      </c>
      <c r="O72" s="49">
        <v>30</v>
      </c>
      <c r="P72" s="54">
        <f t="shared" si="49"/>
        <v>165.25</v>
      </c>
      <c r="Q72" s="44">
        <f t="shared" si="44"/>
        <v>150</v>
      </c>
      <c r="R72" s="50">
        <f t="shared" si="44"/>
        <v>210</v>
      </c>
    </row>
    <row r="73" spans="1:18" x14ac:dyDescent="0.25">
      <c r="A73" s="229">
        <f t="shared" si="8"/>
        <v>2583</v>
      </c>
      <c r="B73" s="230">
        <f t="shared" si="9"/>
        <v>63</v>
      </c>
      <c r="C73" s="229" t="str">
        <f t="shared" si="50"/>
        <v>L23X10#352_060_04</v>
      </c>
      <c r="D73" s="43">
        <f t="shared" si="39"/>
        <v>9.8000000000000007</v>
      </c>
      <c r="E73" s="61">
        <f t="shared" si="1"/>
        <v>1.8130000000000002</v>
      </c>
      <c r="F73" s="61">
        <f t="shared" si="2"/>
        <v>42</v>
      </c>
      <c r="G73" s="64">
        <f t="shared" si="3"/>
        <v>0.74204946996466425</v>
      </c>
      <c r="H73" s="51">
        <f t="shared" si="4"/>
        <v>4.4396077738515896</v>
      </c>
      <c r="I73" s="42" t="str">
        <f t="shared" si="43"/>
        <v>IEC</v>
      </c>
      <c r="J73" s="50">
        <f t="shared" si="41"/>
        <v>10.5</v>
      </c>
      <c r="K73" s="49">
        <f t="shared" si="41"/>
        <v>160</v>
      </c>
      <c r="L73" s="44">
        <f t="shared" si="41"/>
        <v>8</v>
      </c>
      <c r="M73" s="44">
        <f t="shared" si="41"/>
        <v>-8</v>
      </c>
      <c r="N73" s="45">
        <f t="shared" si="18"/>
        <v>0.2</v>
      </c>
      <c r="O73" s="49">
        <v>60</v>
      </c>
      <c r="P73" s="54">
        <f t="shared" si="49"/>
        <v>165.25</v>
      </c>
      <c r="Q73" s="44">
        <f t="shared" si="44"/>
        <v>150</v>
      </c>
      <c r="R73" s="50">
        <f t="shared" si="44"/>
        <v>210</v>
      </c>
    </row>
    <row r="74" spans="1:18" x14ac:dyDescent="0.25">
      <c r="A74" s="229">
        <f t="shared" si="8"/>
        <v>2584</v>
      </c>
      <c r="B74" s="230">
        <f t="shared" si="9"/>
        <v>64</v>
      </c>
      <c r="C74" s="229" t="str">
        <f t="shared" si="50"/>
        <v>L23X10#352_090_04</v>
      </c>
      <c r="D74" s="43">
        <f t="shared" si="39"/>
        <v>9.8000000000000007</v>
      </c>
      <c r="E74" s="61">
        <f t="shared" si="1"/>
        <v>1.8130000000000002</v>
      </c>
      <c r="F74" s="61">
        <f t="shared" si="2"/>
        <v>42</v>
      </c>
      <c r="G74" s="64">
        <f t="shared" si="3"/>
        <v>0.74204946996466425</v>
      </c>
      <c r="H74" s="51">
        <f t="shared" si="4"/>
        <v>4.4396077738515896</v>
      </c>
      <c r="I74" s="42" t="str">
        <f t="shared" si="43"/>
        <v>IEC</v>
      </c>
      <c r="J74" s="50">
        <f t="shared" si="41"/>
        <v>10.5</v>
      </c>
      <c r="K74" s="49">
        <f t="shared" si="41"/>
        <v>160</v>
      </c>
      <c r="L74" s="44">
        <f t="shared" si="41"/>
        <v>8</v>
      </c>
      <c r="M74" s="44">
        <f t="shared" si="41"/>
        <v>-8</v>
      </c>
      <c r="N74" s="45">
        <f t="shared" si="18"/>
        <v>0.2</v>
      </c>
      <c r="O74" s="49">
        <v>90</v>
      </c>
      <c r="P74" s="54">
        <f>K74+5.25</f>
        <v>165.25</v>
      </c>
      <c r="Q74" s="44">
        <f t="shared" si="44"/>
        <v>150</v>
      </c>
      <c r="R74" s="50">
        <f t="shared" si="44"/>
        <v>210</v>
      </c>
    </row>
    <row r="75" spans="1:18" x14ac:dyDescent="0.25">
      <c r="A75" s="229">
        <f t="shared" si="8"/>
        <v>2585</v>
      </c>
      <c r="B75" s="230">
        <f t="shared" si="9"/>
        <v>65</v>
      </c>
      <c r="C75" s="229" t="str">
        <f>TEXT(RIGHT($B$2,LEN($B$2)-3),"L00")&amp;"X"&amp;TEXT(D75,"00")&amp;"#"&amp;IF(M75&lt;0,TEXT(360+M75,"000"),TEXT(M75,"000"))&amp;"_"&amp;TEXT(O75,"000")&amp;"_01"</f>
        <v>L23X10#000_000_01</v>
      </c>
      <c r="D75" s="43">
        <f t="shared" si="39"/>
        <v>9.8000000000000007</v>
      </c>
      <c r="E75" s="61">
        <f t="shared" ref="E75:E138" si="51">I_ref*(0.75*D75+5.6)</f>
        <v>1.8130000000000002</v>
      </c>
      <c r="F75" s="61">
        <f t="shared" ref="F75:F138" si="52">tur_scale</f>
        <v>42</v>
      </c>
      <c r="G75" s="64">
        <f t="shared" ref="G75:G138" si="53">1/(1+0.1*(diameter/F75))</f>
        <v>0.74204946996466425</v>
      </c>
      <c r="H75" s="51">
        <f t="shared" ref="H75:H138" si="54">MIN(1.35*(v_e1-D75),3.3*E75*G75)</f>
        <v>4.4396077738515896</v>
      </c>
      <c r="I75" s="42" t="str">
        <f t="shared" si="43"/>
        <v>IEC</v>
      </c>
      <c r="J75" s="50">
        <f t="shared" si="41"/>
        <v>10.5</v>
      </c>
      <c r="K75" s="49">
        <f t="shared" si="41"/>
        <v>160</v>
      </c>
      <c r="L75" s="44">
        <f t="shared" si="41"/>
        <v>8</v>
      </c>
      <c r="M75" s="44">
        <f>yaw_null</f>
        <v>0</v>
      </c>
      <c r="N75" s="45">
        <f t="shared" si="18"/>
        <v>0.2</v>
      </c>
      <c r="O75" s="49">
        <v>0</v>
      </c>
      <c r="P75" s="52">
        <f>K75</f>
        <v>160</v>
      </c>
      <c r="Q75" s="44">
        <f t="shared" si="44"/>
        <v>150</v>
      </c>
      <c r="R75" s="50">
        <f t="shared" si="44"/>
        <v>210</v>
      </c>
    </row>
    <row r="76" spans="1:18" x14ac:dyDescent="0.25">
      <c r="A76" s="229">
        <f t="shared" si="8"/>
        <v>2586</v>
      </c>
      <c r="B76" s="230">
        <f t="shared" si="9"/>
        <v>66</v>
      </c>
      <c r="C76" s="229" t="str">
        <f t="shared" ref="C76:C78" si="55">TEXT(RIGHT($B$2,LEN($B$2)-3),"L00")&amp;"X"&amp;TEXT(D76,"00")&amp;"#"&amp;IF(M76&lt;0,TEXT(360+M76,"000"),TEXT(M76,"000"))&amp;"_"&amp;TEXT(O76,"000")&amp;"_01"</f>
        <v>L23X10#000_030_01</v>
      </c>
      <c r="D76" s="43">
        <f t="shared" si="39"/>
        <v>9.8000000000000007</v>
      </c>
      <c r="E76" s="61">
        <f t="shared" si="51"/>
        <v>1.8130000000000002</v>
      </c>
      <c r="F76" s="61">
        <f t="shared" si="52"/>
        <v>42</v>
      </c>
      <c r="G76" s="64">
        <f t="shared" si="53"/>
        <v>0.74204946996466425</v>
      </c>
      <c r="H76" s="51">
        <f t="shared" si="54"/>
        <v>4.4396077738515896</v>
      </c>
      <c r="I76" s="42" t="str">
        <f>I75</f>
        <v>IEC</v>
      </c>
      <c r="J76" s="50">
        <f t="shared" ref="J76" si="56">J75</f>
        <v>10.5</v>
      </c>
      <c r="K76" s="49">
        <f>K75</f>
        <v>160</v>
      </c>
      <c r="L76" s="44">
        <f>L75</f>
        <v>8</v>
      </c>
      <c r="M76" s="44">
        <f>M75</f>
        <v>0</v>
      </c>
      <c r="N76" s="45">
        <f t="shared" si="18"/>
        <v>0.2</v>
      </c>
      <c r="O76" s="49">
        <v>30</v>
      </c>
      <c r="P76" s="52">
        <f t="shared" ref="P76:P78" si="57">K76</f>
        <v>160</v>
      </c>
      <c r="Q76" s="44">
        <f t="shared" si="44"/>
        <v>150</v>
      </c>
      <c r="R76" s="50">
        <f>R75</f>
        <v>210</v>
      </c>
    </row>
    <row r="77" spans="1:18" x14ac:dyDescent="0.25">
      <c r="A77" s="229">
        <f t="shared" ref="A77:A140" si="58">A76+1</f>
        <v>2587</v>
      </c>
      <c r="B77" s="230">
        <f t="shared" ref="B77:B140" si="59">B76+1</f>
        <v>67</v>
      </c>
      <c r="C77" s="229" t="str">
        <f t="shared" si="55"/>
        <v>L23X10#000_060_01</v>
      </c>
      <c r="D77" s="43">
        <f t="shared" si="39"/>
        <v>9.8000000000000007</v>
      </c>
      <c r="E77" s="61">
        <f t="shared" si="51"/>
        <v>1.8130000000000002</v>
      </c>
      <c r="F77" s="61">
        <f t="shared" si="52"/>
        <v>42</v>
      </c>
      <c r="G77" s="64">
        <f t="shared" si="53"/>
        <v>0.74204946996466425</v>
      </c>
      <c r="H77" s="51">
        <f t="shared" si="54"/>
        <v>4.4396077738515896</v>
      </c>
      <c r="I77" s="42" t="str">
        <f t="shared" ref="I77:M92" si="60">I76</f>
        <v>IEC</v>
      </c>
      <c r="J77" s="50">
        <f t="shared" si="60"/>
        <v>10.5</v>
      </c>
      <c r="K77" s="49">
        <f t="shared" si="60"/>
        <v>160</v>
      </c>
      <c r="L77" s="44">
        <f t="shared" si="60"/>
        <v>8</v>
      </c>
      <c r="M77" s="44">
        <f t="shared" si="60"/>
        <v>0</v>
      </c>
      <c r="N77" s="45">
        <f t="shared" si="18"/>
        <v>0.2</v>
      </c>
      <c r="O77" s="49">
        <v>60</v>
      </c>
      <c r="P77" s="52">
        <f t="shared" si="57"/>
        <v>160</v>
      </c>
      <c r="Q77" s="44">
        <f t="shared" ref="Q77:R92" si="61">Q76</f>
        <v>150</v>
      </c>
      <c r="R77" s="50">
        <f t="shared" si="61"/>
        <v>210</v>
      </c>
    </row>
    <row r="78" spans="1:18" x14ac:dyDescent="0.25">
      <c r="A78" s="229">
        <f t="shared" si="58"/>
        <v>2588</v>
      </c>
      <c r="B78" s="230">
        <f t="shared" si="59"/>
        <v>68</v>
      </c>
      <c r="C78" s="229" t="str">
        <f t="shared" si="55"/>
        <v>L23X10#000_090_01</v>
      </c>
      <c r="D78" s="43">
        <f t="shared" si="39"/>
        <v>9.8000000000000007</v>
      </c>
      <c r="E78" s="61">
        <f t="shared" si="51"/>
        <v>1.8130000000000002</v>
      </c>
      <c r="F78" s="61">
        <f t="shared" si="52"/>
        <v>42</v>
      </c>
      <c r="G78" s="64">
        <f t="shared" si="53"/>
        <v>0.74204946996466425</v>
      </c>
      <c r="H78" s="51">
        <f t="shared" si="54"/>
        <v>4.4396077738515896</v>
      </c>
      <c r="I78" s="42" t="str">
        <f t="shared" si="60"/>
        <v>IEC</v>
      </c>
      <c r="J78" s="50">
        <f t="shared" si="60"/>
        <v>10.5</v>
      </c>
      <c r="K78" s="49">
        <f t="shared" si="60"/>
        <v>160</v>
      </c>
      <c r="L78" s="44">
        <f t="shared" si="60"/>
        <v>8</v>
      </c>
      <c r="M78" s="44">
        <f t="shared" si="60"/>
        <v>0</v>
      </c>
      <c r="N78" s="45">
        <f t="shared" si="18"/>
        <v>0.2</v>
      </c>
      <c r="O78" s="49">
        <v>90</v>
      </c>
      <c r="P78" s="52">
        <f t="shared" si="57"/>
        <v>160</v>
      </c>
      <c r="Q78" s="44">
        <f t="shared" si="61"/>
        <v>150</v>
      </c>
      <c r="R78" s="50">
        <f t="shared" si="61"/>
        <v>210</v>
      </c>
    </row>
    <row r="79" spans="1:18" x14ac:dyDescent="0.25">
      <c r="A79" s="229">
        <f t="shared" si="58"/>
        <v>2589</v>
      </c>
      <c r="B79" s="230">
        <f t="shared" si="59"/>
        <v>69</v>
      </c>
      <c r="C79" s="229" t="str">
        <f>TEXT(RIGHT($B$2,LEN($B$2)-3),"L00")&amp;"X"&amp;TEXT(D79,"00")&amp;"#"&amp;IF(M79&lt;0,TEXT(360+M79,"000"),TEXT(M79,"000"))&amp;"_"&amp;TEXT(O79,"000")&amp;"_02"</f>
        <v>L23X10#000_000_02</v>
      </c>
      <c r="D79" s="43">
        <f t="shared" si="39"/>
        <v>9.8000000000000007</v>
      </c>
      <c r="E79" s="61">
        <f t="shared" si="51"/>
        <v>1.8130000000000002</v>
      </c>
      <c r="F79" s="61">
        <f t="shared" si="52"/>
        <v>42</v>
      </c>
      <c r="G79" s="64">
        <f t="shared" si="53"/>
        <v>0.74204946996466425</v>
      </c>
      <c r="H79" s="51">
        <f t="shared" si="54"/>
        <v>4.4396077738515896</v>
      </c>
      <c r="I79" s="42" t="str">
        <f t="shared" si="60"/>
        <v>IEC</v>
      </c>
      <c r="J79" s="50">
        <f t="shared" si="60"/>
        <v>10.5</v>
      </c>
      <c r="K79" s="49">
        <f t="shared" si="60"/>
        <v>160</v>
      </c>
      <c r="L79" s="44">
        <f t="shared" si="60"/>
        <v>8</v>
      </c>
      <c r="M79" s="44">
        <f t="shared" si="60"/>
        <v>0</v>
      </c>
      <c r="N79" s="45">
        <f t="shared" si="18"/>
        <v>0.2</v>
      </c>
      <c r="O79" s="49">
        <v>0</v>
      </c>
      <c r="P79" s="54">
        <f>K79+2.46</f>
        <v>162.46</v>
      </c>
      <c r="Q79" s="44">
        <f t="shared" si="61"/>
        <v>150</v>
      </c>
      <c r="R79" s="50">
        <f t="shared" si="61"/>
        <v>210</v>
      </c>
    </row>
    <row r="80" spans="1:18" x14ac:dyDescent="0.25">
      <c r="A80" s="229">
        <f t="shared" si="58"/>
        <v>2590</v>
      </c>
      <c r="B80" s="230">
        <f t="shared" si="59"/>
        <v>70</v>
      </c>
      <c r="C80" s="229" t="str">
        <f t="shared" ref="C80:C82" si="62">TEXT(RIGHT($B$2,LEN($B$2)-3),"L00")&amp;"X"&amp;TEXT(D80,"00")&amp;"#"&amp;IF(M80&lt;0,TEXT(360+M80,"000"),TEXT(M80,"000"))&amp;"_"&amp;TEXT(O80,"000")&amp;"_02"</f>
        <v>L23X10#000_030_02</v>
      </c>
      <c r="D80" s="43">
        <f t="shared" si="39"/>
        <v>9.8000000000000007</v>
      </c>
      <c r="E80" s="61">
        <f t="shared" si="51"/>
        <v>1.8130000000000002</v>
      </c>
      <c r="F80" s="61">
        <f t="shared" si="52"/>
        <v>42</v>
      </c>
      <c r="G80" s="64">
        <f t="shared" si="53"/>
        <v>0.74204946996466425</v>
      </c>
      <c r="H80" s="51">
        <f t="shared" si="54"/>
        <v>4.4396077738515896</v>
      </c>
      <c r="I80" s="42" t="str">
        <f t="shared" si="60"/>
        <v>IEC</v>
      </c>
      <c r="J80" s="50">
        <f t="shared" si="60"/>
        <v>10.5</v>
      </c>
      <c r="K80" s="49">
        <f t="shared" si="60"/>
        <v>160</v>
      </c>
      <c r="L80" s="44">
        <f t="shared" si="60"/>
        <v>8</v>
      </c>
      <c r="M80" s="44">
        <f t="shared" si="60"/>
        <v>0</v>
      </c>
      <c r="N80" s="45">
        <f t="shared" si="18"/>
        <v>0.2</v>
      </c>
      <c r="O80" s="49">
        <v>30</v>
      </c>
      <c r="P80" s="54">
        <f>K80+2.46</f>
        <v>162.46</v>
      </c>
      <c r="Q80" s="44">
        <f t="shared" si="61"/>
        <v>150</v>
      </c>
      <c r="R80" s="50">
        <f t="shared" si="61"/>
        <v>210</v>
      </c>
    </row>
    <row r="81" spans="1:18" x14ac:dyDescent="0.25">
      <c r="A81" s="229">
        <f t="shared" si="58"/>
        <v>2591</v>
      </c>
      <c r="B81" s="230">
        <f t="shared" si="59"/>
        <v>71</v>
      </c>
      <c r="C81" s="229" t="str">
        <f t="shared" si="62"/>
        <v>L23X10#000_060_02</v>
      </c>
      <c r="D81" s="43">
        <f t="shared" si="39"/>
        <v>9.8000000000000007</v>
      </c>
      <c r="E81" s="61">
        <f t="shared" si="51"/>
        <v>1.8130000000000002</v>
      </c>
      <c r="F81" s="61">
        <f t="shared" si="52"/>
        <v>42</v>
      </c>
      <c r="G81" s="64">
        <f t="shared" si="53"/>
        <v>0.74204946996466425</v>
      </c>
      <c r="H81" s="51">
        <f t="shared" si="54"/>
        <v>4.4396077738515896</v>
      </c>
      <c r="I81" s="42" t="str">
        <f t="shared" si="60"/>
        <v>IEC</v>
      </c>
      <c r="J81" s="50">
        <f t="shared" si="60"/>
        <v>10.5</v>
      </c>
      <c r="K81" s="49">
        <f t="shared" si="60"/>
        <v>160</v>
      </c>
      <c r="L81" s="44">
        <f t="shared" si="60"/>
        <v>8</v>
      </c>
      <c r="M81" s="44">
        <f t="shared" si="60"/>
        <v>0</v>
      </c>
      <c r="N81" s="45">
        <f t="shared" si="18"/>
        <v>0.2</v>
      </c>
      <c r="O81" s="49">
        <v>60</v>
      </c>
      <c r="P81" s="54">
        <f>K81+2.46</f>
        <v>162.46</v>
      </c>
      <c r="Q81" s="44">
        <f t="shared" si="61"/>
        <v>150</v>
      </c>
      <c r="R81" s="50">
        <f t="shared" si="61"/>
        <v>210</v>
      </c>
    </row>
    <row r="82" spans="1:18" x14ac:dyDescent="0.25">
      <c r="A82" s="229">
        <f t="shared" si="58"/>
        <v>2592</v>
      </c>
      <c r="B82" s="230">
        <f t="shared" si="59"/>
        <v>72</v>
      </c>
      <c r="C82" s="229" t="str">
        <f t="shared" si="62"/>
        <v>L23X10#000_090_02</v>
      </c>
      <c r="D82" s="43">
        <f t="shared" si="39"/>
        <v>9.8000000000000007</v>
      </c>
      <c r="E82" s="61">
        <f t="shared" si="51"/>
        <v>1.8130000000000002</v>
      </c>
      <c r="F82" s="61">
        <f t="shared" si="52"/>
        <v>42</v>
      </c>
      <c r="G82" s="64">
        <f t="shared" si="53"/>
        <v>0.74204946996466425</v>
      </c>
      <c r="H82" s="51">
        <f t="shared" si="54"/>
        <v>4.4396077738515896</v>
      </c>
      <c r="I82" s="42" t="str">
        <f t="shared" si="60"/>
        <v>IEC</v>
      </c>
      <c r="J82" s="50">
        <f t="shared" si="60"/>
        <v>10.5</v>
      </c>
      <c r="K82" s="49">
        <f t="shared" si="60"/>
        <v>160</v>
      </c>
      <c r="L82" s="44">
        <f t="shared" si="60"/>
        <v>8</v>
      </c>
      <c r="M82" s="44">
        <f t="shared" si="60"/>
        <v>0</v>
      </c>
      <c r="N82" s="45">
        <f t="shared" si="18"/>
        <v>0.2</v>
      </c>
      <c r="O82" s="49">
        <v>90</v>
      </c>
      <c r="P82" s="54">
        <f>K82+2.46</f>
        <v>162.46</v>
      </c>
      <c r="Q82" s="44">
        <f t="shared" si="61"/>
        <v>150</v>
      </c>
      <c r="R82" s="50">
        <f t="shared" si="61"/>
        <v>210</v>
      </c>
    </row>
    <row r="83" spans="1:18" x14ac:dyDescent="0.25">
      <c r="A83" s="229">
        <f t="shared" si="58"/>
        <v>2593</v>
      </c>
      <c r="B83" s="230">
        <f t="shared" si="59"/>
        <v>73</v>
      </c>
      <c r="C83" s="229" t="str">
        <f>TEXT(RIGHT($B$2,LEN($B$2)-3),"L00")&amp;"X"&amp;TEXT(D83,"00")&amp;"#"&amp;IF(M83&lt;0,TEXT(360+M83,"000"),TEXT(M83,"000"))&amp;"_"&amp;TEXT(O83,"000")&amp;"_03"</f>
        <v>L23X10#000_000_03</v>
      </c>
      <c r="D83" s="43">
        <f t="shared" si="39"/>
        <v>9.8000000000000007</v>
      </c>
      <c r="E83" s="61">
        <f t="shared" si="51"/>
        <v>1.8130000000000002</v>
      </c>
      <c r="F83" s="61">
        <f t="shared" si="52"/>
        <v>42</v>
      </c>
      <c r="G83" s="64">
        <f t="shared" si="53"/>
        <v>0.74204946996466425</v>
      </c>
      <c r="H83" s="51">
        <f t="shared" si="54"/>
        <v>4.4396077738515896</v>
      </c>
      <c r="I83" s="42" t="str">
        <f t="shared" si="60"/>
        <v>IEC</v>
      </c>
      <c r="J83" s="50">
        <f t="shared" si="60"/>
        <v>10.5</v>
      </c>
      <c r="K83" s="49">
        <f t="shared" si="60"/>
        <v>160</v>
      </c>
      <c r="L83" s="44">
        <f t="shared" si="60"/>
        <v>8</v>
      </c>
      <c r="M83" s="44">
        <f t="shared" si="60"/>
        <v>0</v>
      </c>
      <c r="N83" s="45">
        <f t="shared" si="18"/>
        <v>0.2</v>
      </c>
      <c r="O83" s="49">
        <v>0</v>
      </c>
      <c r="P83" s="54">
        <f t="shared" ref="P83:P84" si="63">K83+4</f>
        <v>164</v>
      </c>
      <c r="Q83" s="44">
        <f t="shared" si="61"/>
        <v>150</v>
      </c>
      <c r="R83" s="50">
        <f t="shared" si="61"/>
        <v>210</v>
      </c>
    </row>
    <row r="84" spans="1:18" x14ac:dyDescent="0.25">
      <c r="A84" s="229">
        <f t="shared" si="58"/>
        <v>2594</v>
      </c>
      <c r="B84" s="230">
        <f t="shared" si="59"/>
        <v>74</v>
      </c>
      <c r="C84" s="229" t="str">
        <f t="shared" ref="C84:C86" si="64">TEXT(RIGHT($B$2,LEN($B$2)-3),"L00")&amp;"X"&amp;TEXT(D84,"00")&amp;"#"&amp;IF(M84&lt;0,TEXT(360+M84,"000"),TEXT(M84,"000"))&amp;"_"&amp;TEXT(O84,"000")&amp;"_03"</f>
        <v>L23X10#000_030_03</v>
      </c>
      <c r="D84" s="43">
        <f t="shared" si="39"/>
        <v>9.8000000000000007</v>
      </c>
      <c r="E84" s="61">
        <f t="shared" si="51"/>
        <v>1.8130000000000002</v>
      </c>
      <c r="F84" s="61">
        <f t="shared" si="52"/>
        <v>42</v>
      </c>
      <c r="G84" s="64">
        <f t="shared" si="53"/>
        <v>0.74204946996466425</v>
      </c>
      <c r="H84" s="51">
        <f t="shared" si="54"/>
        <v>4.4396077738515896</v>
      </c>
      <c r="I84" s="42" t="str">
        <f t="shared" si="60"/>
        <v>IEC</v>
      </c>
      <c r="J84" s="50">
        <f t="shared" si="60"/>
        <v>10.5</v>
      </c>
      <c r="K84" s="49">
        <f t="shared" si="60"/>
        <v>160</v>
      </c>
      <c r="L84" s="44">
        <f t="shared" si="60"/>
        <v>8</v>
      </c>
      <c r="M84" s="44">
        <f t="shared" si="60"/>
        <v>0</v>
      </c>
      <c r="N84" s="45">
        <f t="shared" si="18"/>
        <v>0.2</v>
      </c>
      <c r="O84" s="49">
        <v>30</v>
      </c>
      <c r="P84" s="54">
        <f t="shared" si="63"/>
        <v>164</v>
      </c>
      <c r="Q84" s="44">
        <f t="shared" si="61"/>
        <v>150</v>
      </c>
      <c r="R84" s="50">
        <f t="shared" si="61"/>
        <v>210</v>
      </c>
    </row>
    <row r="85" spans="1:18" x14ac:dyDescent="0.25">
      <c r="A85" s="229">
        <f t="shared" si="58"/>
        <v>2595</v>
      </c>
      <c r="B85" s="230">
        <f t="shared" si="59"/>
        <v>75</v>
      </c>
      <c r="C85" s="229" t="str">
        <f t="shared" si="64"/>
        <v>L23X10#000_060_03</v>
      </c>
      <c r="D85" s="43">
        <f t="shared" si="39"/>
        <v>9.8000000000000007</v>
      </c>
      <c r="E85" s="61">
        <f t="shared" si="51"/>
        <v>1.8130000000000002</v>
      </c>
      <c r="F85" s="61">
        <f t="shared" si="52"/>
        <v>42</v>
      </c>
      <c r="G85" s="64">
        <f t="shared" si="53"/>
        <v>0.74204946996466425</v>
      </c>
      <c r="H85" s="51">
        <f t="shared" si="54"/>
        <v>4.4396077738515896</v>
      </c>
      <c r="I85" s="42" t="str">
        <f t="shared" si="60"/>
        <v>IEC</v>
      </c>
      <c r="J85" s="50">
        <f t="shared" si="60"/>
        <v>10.5</v>
      </c>
      <c r="K85" s="49">
        <f t="shared" si="60"/>
        <v>160</v>
      </c>
      <c r="L85" s="44">
        <f t="shared" si="60"/>
        <v>8</v>
      </c>
      <c r="M85" s="44">
        <f t="shared" si="60"/>
        <v>0</v>
      </c>
      <c r="N85" s="45">
        <f t="shared" si="18"/>
        <v>0.2</v>
      </c>
      <c r="O85" s="49">
        <v>60</v>
      </c>
      <c r="P85" s="54">
        <f>K85+4</f>
        <v>164</v>
      </c>
      <c r="Q85" s="44">
        <f t="shared" si="61"/>
        <v>150</v>
      </c>
      <c r="R85" s="50">
        <f t="shared" si="61"/>
        <v>210</v>
      </c>
    </row>
    <row r="86" spans="1:18" x14ac:dyDescent="0.25">
      <c r="A86" s="229">
        <f t="shared" si="58"/>
        <v>2596</v>
      </c>
      <c r="B86" s="230">
        <f t="shared" si="59"/>
        <v>76</v>
      </c>
      <c r="C86" s="229" t="str">
        <f t="shared" si="64"/>
        <v>L23X10#000_090_03</v>
      </c>
      <c r="D86" s="43">
        <f t="shared" si="39"/>
        <v>9.8000000000000007</v>
      </c>
      <c r="E86" s="61">
        <f t="shared" si="51"/>
        <v>1.8130000000000002</v>
      </c>
      <c r="F86" s="61">
        <f t="shared" si="52"/>
        <v>42</v>
      </c>
      <c r="G86" s="64">
        <f t="shared" si="53"/>
        <v>0.74204946996466425</v>
      </c>
      <c r="H86" s="51">
        <f t="shared" si="54"/>
        <v>4.4396077738515896</v>
      </c>
      <c r="I86" s="42" t="str">
        <f t="shared" si="60"/>
        <v>IEC</v>
      </c>
      <c r="J86" s="50">
        <f t="shared" si="60"/>
        <v>10.5</v>
      </c>
      <c r="K86" s="49">
        <f t="shared" si="60"/>
        <v>160</v>
      </c>
      <c r="L86" s="44">
        <f t="shared" si="60"/>
        <v>8</v>
      </c>
      <c r="M86" s="44">
        <f t="shared" si="60"/>
        <v>0</v>
      </c>
      <c r="N86" s="45">
        <f t="shared" si="18"/>
        <v>0.2</v>
      </c>
      <c r="O86" s="49">
        <v>90</v>
      </c>
      <c r="P86" s="54">
        <f t="shared" ref="P86" si="65">K86+4</f>
        <v>164</v>
      </c>
      <c r="Q86" s="44">
        <f t="shared" si="61"/>
        <v>150</v>
      </c>
      <c r="R86" s="50">
        <f t="shared" si="61"/>
        <v>210</v>
      </c>
    </row>
    <row r="87" spans="1:18" x14ac:dyDescent="0.25">
      <c r="A87" s="229">
        <f t="shared" si="58"/>
        <v>2597</v>
      </c>
      <c r="B87" s="230">
        <f t="shared" si="59"/>
        <v>77</v>
      </c>
      <c r="C87" s="229" t="str">
        <f>TEXT(RIGHT($B$2,LEN($B$2)-3),"L00")&amp;"X"&amp;TEXT(D87,"00")&amp;"#"&amp;IF(M87&lt;0,TEXT(360+M87,"000"),TEXT(M87,"000"))&amp;"_"&amp;TEXT(O87,"000")&amp;"_04"</f>
        <v>L23X10#000_000_04</v>
      </c>
      <c r="D87" s="43">
        <f t="shared" si="39"/>
        <v>9.8000000000000007</v>
      </c>
      <c r="E87" s="61">
        <f t="shared" si="51"/>
        <v>1.8130000000000002</v>
      </c>
      <c r="F87" s="61">
        <f t="shared" si="52"/>
        <v>42</v>
      </c>
      <c r="G87" s="64">
        <f t="shared" si="53"/>
        <v>0.74204946996466425</v>
      </c>
      <c r="H87" s="51">
        <f t="shared" si="54"/>
        <v>4.4396077738515896</v>
      </c>
      <c r="I87" s="42" t="str">
        <f t="shared" si="60"/>
        <v>IEC</v>
      </c>
      <c r="J87" s="50">
        <f t="shared" si="60"/>
        <v>10.5</v>
      </c>
      <c r="K87" s="49">
        <f t="shared" si="60"/>
        <v>160</v>
      </c>
      <c r="L87" s="44">
        <f t="shared" si="60"/>
        <v>8</v>
      </c>
      <c r="M87" s="44">
        <f t="shared" si="60"/>
        <v>0</v>
      </c>
      <c r="N87" s="45">
        <f t="shared" si="18"/>
        <v>0.2</v>
      </c>
      <c r="O87" s="49">
        <v>0</v>
      </c>
      <c r="P87" s="54">
        <f t="shared" ref="P87:P89" si="66">K87+5.25</f>
        <v>165.25</v>
      </c>
      <c r="Q87" s="44">
        <f t="shared" si="61"/>
        <v>150</v>
      </c>
      <c r="R87" s="50">
        <f t="shared" si="61"/>
        <v>210</v>
      </c>
    </row>
    <row r="88" spans="1:18" x14ac:dyDescent="0.25">
      <c r="A88" s="229">
        <f t="shared" si="58"/>
        <v>2598</v>
      </c>
      <c r="B88" s="230">
        <f t="shared" si="59"/>
        <v>78</v>
      </c>
      <c r="C88" s="229" t="str">
        <f t="shared" ref="C88:C90" si="67">TEXT(RIGHT($B$2,LEN($B$2)-3),"L00")&amp;"X"&amp;TEXT(D88,"00")&amp;"#"&amp;IF(M88&lt;0,TEXT(360+M88,"000"),TEXT(M88,"000"))&amp;"_"&amp;TEXT(O88,"000")&amp;"_04"</f>
        <v>L23X10#000_030_04</v>
      </c>
      <c r="D88" s="43">
        <f t="shared" si="39"/>
        <v>9.8000000000000007</v>
      </c>
      <c r="E88" s="61">
        <f t="shared" si="51"/>
        <v>1.8130000000000002</v>
      </c>
      <c r="F88" s="61">
        <f t="shared" si="52"/>
        <v>42</v>
      </c>
      <c r="G88" s="64">
        <f t="shared" si="53"/>
        <v>0.74204946996466425</v>
      </c>
      <c r="H88" s="51">
        <f t="shared" si="54"/>
        <v>4.4396077738515896</v>
      </c>
      <c r="I88" s="42" t="str">
        <f t="shared" si="60"/>
        <v>IEC</v>
      </c>
      <c r="J88" s="50">
        <f t="shared" si="60"/>
        <v>10.5</v>
      </c>
      <c r="K88" s="49">
        <f t="shared" si="60"/>
        <v>160</v>
      </c>
      <c r="L88" s="44">
        <f t="shared" si="60"/>
        <v>8</v>
      </c>
      <c r="M88" s="44">
        <f t="shared" si="60"/>
        <v>0</v>
      </c>
      <c r="N88" s="45">
        <f t="shared" si="18"/>
        <v>0.2</v>
      </c>
      <c r="O88" s="49">
        <v>30</v>
      </c>
      <c r="P88" s="54">
        <f t="shared" si="66"/>
        <v>165.25</v>
      </c>
      <c r="Q88" s="44">
        <f t="shared" si="61"/>
        <v>150</v>
      </c>
      <c r="R88" s="50">
        <f t="shared" si="61"/>
        <v>210</v>
      </c>
    </row>
    <row r="89" spans="1:18" x14ac:dyDescent="0.25">
      <c r="A89" s="229">
        <f t="shared" si="58"/>
        <v>2599</v>
      </c>
      <c r="B89" s="230">
        <f t="shared" si="59"/>
        <v>79</v>
      </c>
      <c r="C89" s="229" t="str">
        <f t="shared" si="67"/>
        <v>L23X10#000_060_04</v>
      </c>
      <c r="D89" s="43">
        <f t="shared" si="39"/>
        <v>9.8000000000000007</v>
      </c>
      <c r="E89" s="61">
        <f t="shared" si="51"/>
        <v>1.8130000000000002</v>
      </c>
      <c r="F89" s="61">
        <f t="shared" si="52"/>
        <v>42</v>
      </c>
      <c r="G89" s="64">
        <f t="shared" si="53"/>
        <v>0.74204946996466425</v>
      </c>
      <c r="H89" s="51">
        <f t="shared" si="54"/>
        <v>4.4396077738515896</v>
      </c>
      <c r="I89" s="42" t="str">
        <f t="shared" si="60"/>
        <v>IEC</v>
      </c>
      <c r="J89" s="50">
        <f t="shared" si="60"/>
        <v>10.5</v>
      </c>
      <c r="K89" s="49">
        <f t="shared" si="60"/>
        <v>160</v>
      </c>
      <c r="L89" s="44">
        <f t="shared" si="60"/>
        <v>8</v>
      </c>
      <c r="M89" s="44">
        <f t="shared" si="60"/>
        <v>0</v>
      </c>
      <c r="N89" s="45">
        <f t="shared" si="18"/>
        <v>0.2</v>
      </c>
      <c r="O89" s="49">
        <v>60</v>
      </c>
      <c r="P89" s="54">
        <f t="shared" si="66"/>
        <v>165.25</v>
      </c>
      <c r="Q89" s="44">
        <f t="shared" si="61"/>
        <v>150</v>
      </c>
      <c r="R89" s="50">
        <f t="shared" si="61"/>
        <v>210</v>
      </c>
    </row>
    <row r="90" spans="1:18" x14ac:dyDescent="0.25">
      <c r="A90" s="229">
        <f t="shared" si="58"/>
        <v>2600</v>
      </c>
      <c r="B90" s="230">
        <f t="shared" si="59"/>
        <v>80</v>
      </c>
      <c r="C90" s="229" t="str">
        <f t="shared" si="67"/>
        <v>L23X10#000_090_04</v>
      </c>
      <c r="D90" s="43">
        <f t="shared" si="39"/>
        <v>9.8000000000000007</v>
      </c>
      <c r="E90" s="61">
        <f t="shared" si="51"/>
        <v>1.8130000000000002</v>
      </c>
      <c r="F90" s="61">
        <f t="shared" si="52"/>
        <v>42</v>
      </c>
      <c r="G90" s="64">
        <f t="shared" si="53"/>
        <v>0.74204946996466425</v>
      </c>
      <c r="H90" s="51">
        <f t="shared" si="54"/>
        <v>4.4396077738515896</v>
      </c>
      <c r="I90" s="42" t="str">
        <f t="shared" si="60"/>
        <v>IEC</v>
      </c>
      <c r="J90" s="50">
        <f t="shared" si="60"/>
        <v>10.5</v>
      </c>
      <c r="K90" s="49">
        <f t="shared" si="60"/>
        <v>160</v>
      </c>
      <c r="L90" s="44">
        <f t="shared" si="60"/>
        <v>8</v>
      </c>
      <c r="M90" s="44">
        <f t="shared" si="60"/>
        <v>0</v>
      </c>
      <c r="N90" s="45">
        <f t="shared" si="18"/>
        <v>0.2</v>
      </c>
      <c r="O90" s="49">
        <v>90</v>
      </c>
      <c r="P90" s="54">
        <f>K90+5.25</f>
        <v>165.25</v>
      </c>
      <c r="Q90" s="44">
        <f t="shared" si="61"/>
        <v>150</v>
      </c>
      <c r="R90" s="50">
        <f t="shared" si="61"/>
        <v>210</v>
      </c>
    </row>
    <row r="91" spans="1:18" x14ac:dyDescent="0.25">
      <c r="A91" s="229">
        <f t="shared" si="58"/>
        <v>2601</v>
      </c>
      <c r="B91" s="230">
        <f t="shared" si="59"/>
        <v>81</v>
      </c>
      <c r="C91" s="229" t="str">
        <f>TEXT(RIGHT($B$2,LEN($B$2)-3),"L00")&amp;"X"&amp;TEXT(D91,"00")&amp;"#"&amp;IF(M91&lt;0,TEXT(360+M91,"000"),TEXT(M91,"000"))&amp;"_"&amp;TEXT(O91,"000")&amp;"_01"</f>
        <v>L23X10#008_000_01</v>
      </c>
      <c r="D91" s="43">
        <f t="shared" si="39"/>
        <v>9.8000000000000007</v>
      </c>
      <c r="E91" s="61">
        <f t="shared" si="51"/>
        <v>1.8130000000000002</v>
      </c>
      <c r="F91" s="61">
        <f t="shared" si="52"/>
        <v>42</v>
      </c>
      <c r="G91" s="64">
        <f t="shared" si="53"/>
        <v>0.74204946996466425</v>
      </c>
      <c r="H91" s="51">
        <f t="shared" si="54"/>
        <v>4.4396077738515896</v>
      </c>
      <c r="I91" s="42" t="str">
        <f t="shared" si="60"/>
        <v>IEC</v>
      </c>
      <c r="J91" s="50">
        <f t="shared" si="60"/>
        <v>10.5</v>
      </c>
      <c r="K91" s="49">
        <f t="shared" si="60"/>
        <v>160</v>
      </c>
      <c r="L91" s="44">
        <f t="shared" si="60"/>
        <v>8</v>
      </c>
      <c r="M91" s="44">
        <f>yaw_max</f>
        <v>8</v>
      </c>
      <c r="N91" s="45">
        <f t="shared" si="18"/>
        <v>0.2</v>
      </c>
      <c r="O91" s="49">
        <v>0</v>
      </c>
      <c r="P91" s="52">
        <f>K91</f>
        <v>160</v>
      </c>
      <c r="Q91" s="44">
        <f t="shared" si="61"/>
        <v>150</v>
      </c>
      <c r="R91" s="50">
        <f t="shared" si="61"/>
        <v>210</v>
      </c>
    </row>
    <row r="92" spans="1:18" x14ac:dyDescent="0.25">
      <c r="A92" s="229">
        <f t="shared" si="58"/>
        <v>2602</v>
      </c>
      <c r="B92" s="230">
        <f t="shared" si="59"/>
        <v>82</v>
      </c>
      <c r="C92" s="229" t="str">
        <f t="shared" ref="C92:C94" si="68">TEXT(RIGHT($B$2,LEN($B$2)-3),"L00")&amp;"X"&amp;TEXT(D92,"00")&amp;"#"&amp;IF(M92&lt;0,TEXT(360+M92,"000"),TEXT(M92,"000"))&amp;"_"&amp;TEXT(O92,"000")&amp;"_01"</f>
        <v>L23X10#008_030_01</v>
      </c>
      <c r="D92" s="43">
        <f t="shared" si="39"/>
        <v>9.8000000000000007</v>
      </c>
      <c r="E92" s="61">
        <f t="shared" si="51"/>
        <v>1.8130000000000002</v>
      </c>
      <c r="F92" s="61">
        <f t="shared" si="52"/>
        <v>42</v>
      </c>
      <c r="G92" s="64">
        <f t="shared" si="53"/>
        <v>0.74204946996466425</v>
      </c>
      <c r="H92" s="51">
        <f t="shared" si="54"/>
        <v>4.4396077738515896</v>
      </c>
      <c r="I92" s="42" t="str">
        <f>I91</f>
        <v>IEC</v>
      </c>
      <c r="J92" s="50">
        <f t="shared" si="60"/>
        <v>10.5</v>
      </c>
      <c r="K92" s="49">
        <f>K91</f>
        <v>160</v>
      </c>
      <c r="L92" s="44">
        <f>L91</f>
        <v>8</v>
      </c>
      <c r="M92" s="44">
        <f>M91</f>
        <v>8</v>
      </c>
      <c r="N92" s="45">
        <f t="shared" ref="N92:N155" si="69">N91</f>
        <v>0.2</v>
      </c>
      <c r="O92" s="49">
        <v>30</v>
      </c>
      <c r="P92" s="52">
        <f t="shared" ref="P92:P94" si="70">K92</f>
        <v>160</v>
      </c>
      <c r="Q92" s="44">
        <f t="shared" si="61"/>
        <v>150</v>
      </c>
      <c r="R92" s="50">
        <f>R91</f>
        <v>210</v>
      </c>
    </row>
    <row r="93" spans="1:18" x14ac:dyDescent="0.25">
      <c r="A93" s="229">
        <f t="shared" si="58"/>
        <v>2603</v>
      </c>
      <c r="B93" s="230">
        <f t="shared" si="59"/>
        <v>83</v>
      </c>
      <c r="C93" s="229" t="str">
        <f t="shared" si="68"/>
        <v>L23X10#008_060_01</v>
      </c>
      <c r="D93" s="43">
        <f t="shared" si="39"/>
        <v>9.8000000000000007</v>
      </c>
      <c r="E93" s="61">
        <f t="shared" si="51"/>
        <v>1.8130000000000002</v>
      </c>
      <c r="F93" s="61">
        <f t="shared" si="52"/>
        <v>42</v>
      </c>
      <c r="G93" s="64">
        <f t="shared" si="53"/>
        <v>0.74204946996466425</v>
      </c>
      <c r="H93" s="51">
        <f t="shared" si="54"/>
        <v>4.4396077738515896</v>
      </c>
      <c r="I93" s="42" t="str">
        <f t="shared" ref="I93:M108" si="71">I92</f>
        <v>IEC</v>
      </c>
      <c r="J93" s="50">
        <f t="shared" si="71"/>
        <v>10.5</v>
      </c>
      <c r="K93" s="49">
        <f t="shared" si="71"/>
        <v>160</v>
      </c>
      <c r="L93" s="44">
        <f t="shared" si="71"/>
        <v>8</v>
      </c>
      <c r="M93" s="44">
        <f t="shared" si="71"/>
        <v>8</v>
      </c>
      <c r="N93" s="45">
        <f t="shared" si="69"/>
        <v>0.2</v>
      </c>
      <c r="O93" s="49">
        <v>60</v>
      </c>
      <c r="P93" s="52">
        <f t="shared" si="70"/>
        <v>160</v>
      </c>
      <c r="Q93" s="44">
        <f t="shared" ref="Q93:R108" si="72">Q92</f>
        <v>150</v>
      </c>
      <c r="R93" s="50">
        <f t="shared" si="72"/>
        <v>210</v>
      </c>
    </row>
    <row r="94" spans="1:18" x14ac:dyDescent="0.25">
      <c r="A94" s="229">
        <f t="shared" si="58"/>
        <v>2604</v>
      </c>
      <c r="B94" s="230">
        <f t="shared" si="59"/>
        <v>84</v>
      </c>
      <c r="C94" s="229" t="str">
        <f t="shared" si="68"/>
        <v>L23X10#008_090_01</v>
      </c>
      <c r="D94" s="43">
        <f t="shared" si="39"/>
        <v>9.8000000000000007</v>
      </c>
      <c r="E94" s="61">
        <f t="shared" si="51"/>
        <v>1.8130000000000002</v>
      </c>
      <c r="F94" s="61">
        <f t="shared" si="52"/>
        <v>42</v>
      </c>
      <c r="G94" s="64">
        <f t="shared" si="53"/>
        <v>0.74204946996466425</v>
      </c>
      <c r="H94" s="51">
        <f t="shared" si="54"/>
        <v>4.4396077738515896</v>
      </c>
      <c r="I94" s="42" t="str">
        <f t="shared" si="71"/>
        <v>IEC</v>
      </c>
      <c r="J94" s="50">
        <f t="shared" si="71"/>
        <v>10.5</v>
      </c>
      <c r="K94" s="49">
        <f t="shared" si="71"/>
        <v>160</v>
      </c>
      <c r="L94" s="44">
        <f t="shared" si="71"/>
        <v>8</v>
      </c>
      <c r="M94" s="44">
        <f t="shared" si="71"/>
        <v>8</v>
      </c>
      <c r="N94" s="45">
        <f t="shared" si="69"/>
        <v>0.2</v>
      </c>
      <c r="O94" s="49">
        <v>90</v>
      </c>
      <c r="P94" s="52">
        <f t="shared" si="70"/>
        <v>160</v>
      </c>
      <c r="Q94" s="44">
        <f t="shared" si="72"/>
        <v>150</v>
      </c>
      <c r="R94" s="50">
        <f t="shared" si="72"/>
        <v>210</v>
      </c>
    </row>
    <row r="95" spans="1:18" x14ac:dyDescent="0.25">
      <c r="A95" s="229">
        <f t="shared" si="58"/>
        <v>2605</v>
      </c>
      <c r="B95" s="230">
        <f t="shared" si="59"/>
        <v>85</v>
      </c>
      <c r="C95" s="229" t="str">
        <f>TEXT(RIGHT($B$2,LEN($B$2)-3),"L00")&amp;"X"&amp;TEXT(D95,"00")&amp;"#"&amp;IF(M95&lt;0,TEXT(360+M95,"000"),TEXT(M95,"000"))&amp;"_"&amp;TEXT(O95,"000")&amp;"_02"</f>
        <v>L23X10#008_000_02</v>
      </c>
      <c r="D95" s="43">
        <f t="shared" si="39"/>
        <v>9.8000000000000007</v>
      </c>
      <c r="E95" s="61">
        <f t="shared" si="51"/>
        <v>1.8130000000000002</v>
      </c>
      <c r="F95" s="61">
        <f t="shared" si="52"/>
        <v>42</v>
      </c>
      <c r="G95" s="64">
        <f t="shared" si="53"/>
        <v>0.74204946996466425</v>
      </c>
      <c r="H95" s="51">
        <f t="shared" si="54"/>
        <v>4.4396077738515896</v>
      </c>
      <c r="I95" s="42" t="str">
        <f t="shared" si="71"/>
        <v>IEC</v>
      </c>
      <c r="J95" s="50">
        <f t="shared" si="71"/>
        <v>10.5</v>
      </c>
      <c r="K95" s="49">
        <f t="shared" si="71"/>
        <v>160</v>
      </c>
      <c r="L95" s="44">
        <f t="shared" si="71"/>
        <v>8</v>
      </c>
      <c r="M95" s="44">
        <f t="shared" si="71"/>
        <v>8</v>
      </c>
      <c r="N95" s="45">
        <f t="shared" si="69"/>
        <v>0.2</v>
      </c>
      <c r="O95" s="49">
        <v>0</v>
      </c>
      <c r="P95" s="54">
        <f>K95+2.46</f>
        <v>162.46</v>
      </c>
      <c r="Q95" s="44">
        <f t="shared" si="72"/>
        <v>150</v>
      </c>
      <c r="R95" s="50">
        <f t="shared" si="72"/>
        <v>210</v>
      </c>
    </row>
    <row r="96" spans="1:18" x14ac:dyDescent="0.25">
      <c r="A96" s="229">
        <f t="shared" si="58"/>
        <v>2606</v>
      </c>
      <c r="B96" s="230">
        <f t="shared" si="59"/>
        <v>86</v>
      </c>
      <c r="C96" s="229" t="str">
        <f t="shared" ref="C96:C98" si="73">TEXT(RIGHT($B$2,LEN($B$2)-3),"L00")&amp;"X"&amp;TEXT(D96,"00")&amp;"#"&amp;IF(M96&lt;0,TEXT(360+M96,"000"),TEXT(M96,"000"))&amp;"_"&amp;TEXT(O96,"000")&amp;"_02"</f>
        <v>L23X10#008_030_02</v>
      </c>
      <c r="D96" s="43">
        <f t="shared" si="39"/>
        <v>9.8000000000000007</v>
      </c>
      <c r="E96" s="61">
        <f t="shared" si="51"/>
        <v>1.8130000000000002</v>
      </c>
      <c r="F96" s="61">
        <f t="shared" si="52"/>
        <v>42</v>
      </c>
      <c r="G96" s="64">
        <f t="shared" si="53"/>
        <v>0.74204946996466425</v>
      </c>
      <c r="H96" s="51">
        <f t="shared" si="54"/>
        <v>4.4396077738515896</v>
      </c>
      <c r="I96" s="42" t="str">
        <f t="shared" si="71"/>
        <v>IEC</v>
      </c>
      <c r="J96" s="50">
        <f t="shared" si="71"/>
        <v>10.5</v>
      </c>
      <c r="K96" s="49">
        <f t="shared" si="71"/>
        <v>160</v>
      </c>
      <c r="L96" s="44">
        <f t="shared" si="71"/>
        <v>8</v>
      </c>
      <c r="M96" s="44">
        <f t="shared" si="71"/>
        <v>8</v>
      </c>
      <c r="N96" s="45">
        <f t="shared" si="69"/>
        <v>0.2</v>
      </c>
      <c r="O96" s="49">
        <v>30</v>
      </c>
      <c r="P96" s="54">
        <f>K96+2.46</f>
        <v>162.46</v>
      </c>
      <c r="Q96" s="44">
        <f t="shared" si="72"/>
        <v>150</v>
      </c>
      <c r="R96" s="50">
        <f t="shared" si="72"/>
        <v>210</v>
      </c>
    </row>
    <row r="97" spans="1:18" x14ac:dyDescent="0.25">
      <c r="A97" s="229">
        <f t="shared" si="58"/>
        <v>2607</v>
      </c>
      <c r="B97" s="230">
        <f t="shared" si="59"/>
        <v>87</v>
      </c>
      <c r="C97" s="229" t="str">
        <f t="shared" si="73"/>
        <v>L23X10#008_060_02</v>
      </c>
      <c r="D97" s="43">
        <f t="shared" si="39"/>
        <v>9.8000000000000007</v>
      </c>
      <c r="E97" s="61">
        <f t="shared" si="51"/>
        <v>1.8130000000000002</v>
      </c>
      <c r="F97" s="61">
        <f t="shared" si="52"/>
        <v>42</v>
      </c>
      <c r="G97" s="64">
        <f t="shared" si="53"/>
        <v>0.74204946996466425</v>
      </c>
      <c r="H97" s="51">
        <f t="shared" si="54"/>
        <v>4.4396077738515896</v>
      </c>
      <c r="I97" s="42" t="str">
        <f t="shared" si="71"/>
        <v>IEC</v>
      </c>
      <c r="J97" s="50">
        <f t="shared" si="71"/>
        <v>10.5</v>
      </c>
      <c r="K97" s="49">
        <f t="shared" si="71"/>
        <v>160</v>
      </c>
      <c r="L97" s="44">
        <f t="shared" si="71"/>
        <v>8</v>
      </c>
      <c r="M97" s="44">
        <f t="shared" si="71"/>
        <v>8</v>
      </c>
      <c r="N97" s="45">
        <f t="shared" si="69"/>
        <v>0.2</v>
      </c>
      <c r="O97" s="49">
        <v>60</v>
      </c>
      <c r="P97" s="54">
        <f>K97+2.46</f>
        <v>162.46</v>
      </c>
      <c r="Q97" s="44">
        <f t="shared" si="72"/>
        <v>150</v>
      </c>
      <c r="R97" s="50">
        <f t="shared" si="72"/>
        <v>210</v>
      </c>
    </row>
    <row r="98" spans="1:18" x14ac:dyDescent="0.25">
      <c r="A98" s="229">
        <f t="shared" si="58"/>
        <v>2608</v>
      </c>
      <c r="B98" s="230">
        <f t="shared" si="59"/>
        <v>88</v>
      </c>
      <c r="C98" s="229" t="str">
        <f t="shared" si="73"/>
        <v>L23X10#008_090_02</v>
      </c>
      <c r="D98" s="43">
        <f t="shared" si="39"/>
        <v>9.8000000000000007</v>
      </c>
      <c r="E98" s="61">
        <f t="shared" si="51"/>
        <v>1.8130000000000002</v>
      </c>
      <c r="F98" s="61">
        <f t="shared" si="52"/>
        <v>42</v>
      </c>
      <c r="G98" s="64">
        <f t="shared" si="53"/>
        <v>0.74204946996466425</v>
      </c>
      <c r="H98" s="51">
        <f t="shared" si="54"/>
        <v>4.4396077738515896</v>
      </c>
      <c r="I98" s="42" t="str">
        <f t="shared" si="71"/>
        <v>IEC</v>
      </c>
      <c r="J98" s="50">
        <f t="shared" si="71"/>
        <v>10.5</v>
      </c>
      <c r="K98" s="49">
        <f t="shared" si="71"/>
        <v>160</v>
      </c>
      <c r="L98" s="44">
        <f t="shared" si="71"/>
        <v>8</v>
      </c>
      <c r="M98" s="44">
        <f t="shared" si="71"/>
        <v>8</v>
      </c>
      <c r="N98" s="45">
        <f t="shared" si="69"/>
        <v>0.2</v>
      </c>
      <c r="O98" s="49">
        <v>90</v>
      </c>
      <c r="P98" s="54">
        <f>K98+2.46</f>
        <v>162.46</v>
      </c>
      <c r="Q98" s="44">
        <f t="shared" si="72"/>
        <v>150</v>
      </c>
      <c r="R98" s="50">
        <f t="shared" si="72"/>
        <v>210</v>
      </c>
    </row>
    <row r="99" spans="1:18" x14ac:dyDescent="0.25">
      <c r="A99" s="229">
        <f t="shared" si="58"/>
        <v>2609</v>
      </c>
      <c r="B99" s="230">
        <f t="shared" si="59"/>
        <v>89</v>
      </c>
      <c r="C99" s="229" t="str">
        <f>TEXT(RIGHT($B$2,LEN($B$2)-3),"L00")&amp;"X"&amp;TEXT(D99,"00")&amp;"#"&amp;IF(M99&lt;0,TEXT(360+M99,"000"),TEXT(M99,"000"))&amp;"_"&amp;TEXT(O99,"000")&amp;"_03"</f>
        <v>L23X10#008_000_03</v>
      </c>
      <c r="D99" s="43">
        <f t="shared" si="39"/>
        <v>9.8000000000000007</v>
      </c>
      <c r="E99" s="61">
        <f t="shared" si="51"/>
        <v>1.8130000000000002</v>
      </c>
      <c r="F99" s="61">
        <f t="shared" si="52"/>
        <v>42</v>
      </c>
      <c r="G99" s="64">
        <f t="shared" si="53"/>
        <v>0.74204946996466425</v>
      </c>
      <c r="H99" s="51">
        <f t="shared" si="54"/>
        <v>4.4396077738515896</v>
      </c>
      <c r="I99" s="42" t="str">
        <f t="shared" si="71"/>
        <v>IEC</v>
      </c>
      <c r="J99" s="50">
        <f t="shared" si="71"/>
        <v>10.5</v>
      </c>
      <c r="K99" s="49">
        <f t="shared" si="71"/>
        <v>160</v>
      </c>
      <c r="L99" s="44">
        <f t="shared" si="71"/>
        <v>8</v>
      </c>
      <c r="M99" s="44">
        <f t="shared" si="71"/>
        <v>8</v>
      </c>
      <c r="N99" s="45">
        <f t="shared" si="69"/>
        <v>0.2</v>
      </c>
      <c r="O99" s="49">
        <v>0</v>
      </c>
      <c r="P99" s="54">
        <f t="shared" ref="P99:P100" si="74">K99+4</f>
        <v>164</v>
      </c>
      <c r="Q99" s="44">
        <f t="shared" si="72"/>
        <v>150</v>
      </c>
      <c r="R99" s="50">
        <f t="shared" si="72"/>
        <v>210</v>
      </c>
    </row>
    <row r="100" spans="1:18" x14ac:dyDescent="0.25">
      <c r="A100" s="229">
        <f t="shared" si="58"/>
        <v>2610</v>
      </c>
      <c r="B100" s="230">
        <f t="shared" si="59"/>
        <v>90</v>
      </c>
      <c r="C100" s="229" t="str">
        <f t="shared" ref="C100:C102" si="75">TEXT(RIGHT($B$2,LEN($B$2)-3),"L00")&amp;"X"&amp;TEXT(D100,"00")&amp;"#"&amp;IF(M100&lt;0,TEXT(360+M100,"000"),TEXT(M100,"000"))&amp;"_"&amp;TEXT(O100,"000")&amp;"_03"</f>
        <v>L23X10#008_030_03</v>
      </c>
      <c r="D100" s="43">
        <f t="shared" si="39"/>
        <v>9.8000000000000007</v>
      </c>
      <c r="E100" s="61">
        <f t="shared" si="51"/>
        <v>1.8130000000000002</v>
      </c>
      <c r="F100" s="61">
        <f t="shared" si="52"/>
        <v>42</v>
      </c>
      <c r="G100" s="64">
        <f t="shared" si="53"/>
        <v>0.74204946996466425</v>
      </c>
      <c r="H100" s="51">
        <f t="shared" si="54"/>
        <v>4.4396077738515896</v>
      </c>
      <c r="I100" s="42" t="str">
        <f t="shared" si="71"/>
        <v>IEC</v>
      </c>
      <c r="J100" s="50">
        <f t="shared" si="71"/>
        <v>10.5</v>
      </c>
      <c r="K100" s="49">
        <f t="shared" si="71"/>
        <v>160</v>
      </c>
      <c r="L100" s="44">
        <f t="shared" si="71"/>
        <v>8</v>
      </c>
      <c r="M100" s="44">
        <f t="shared" si="71"/>
        <v>8</v>
      </c>
      <c r="N100" s="45">
        <f t="shared" si="69"/>
        <v>0.2</v>
      </c>
      <c r="O100" s="49">
        <v>30</v>
      </c>
      <c r="P100" s="54">
        <f t="shared" si="74"/>
        <v>164</v>
      </c>
      <c r="Q100" s="44">
        <f t="shared" si="72"/>
        <v>150</v>
      </c>
      <c r="R100" s="50">
        <f t="shared" si="72"/>
        <v>210</v>
      </c>
    </row>
    <row r="101" spans="1:18" x14ac:dyDescent="0.25">
      <c r="A101" s="229">
        <f t="shared" si="58"/>
        <v>2611</v>
      </c>
      <c r="B101" s="230">
        <f t="shared" si="59"/>
        <v>91</v>
      </c>
      <c r="C101" s="229" t="str">
        <f t="shared" si="75"/>
        <v>L23X10#008_060_03</v>
      </c>
      <c r="D101" s="43">
        <f t="shared" si="39"/>
        <v>9.8000000000000007</v>
      </c>
      <c r="E101" s="61">
        <f t="shared" si="51"/>
        <v>1.8130000000000002</v>
      </c>
      <c r="F101" s="61">
        <f t="shared" si="52"/>
        <v>42</v>
      </c>
      <c r="G101" s="64">
        <f t="shared" si="53"/>
        <v>0.74204946996466425</v>
      </c>
      <c r="H101" s="51">
        <f t="shared" si="54"/>
        <v>4.4396077738515896</v>
      </c>
      <c r="I101" s="42" t="str">
        <f t="shared" si="71"/>
        <v>IEC</v>
      </c>
      <c r="J101" s="50">
        <f t="shared" si="71"/>
        <v>10.5</v>
      </c>
      <c r="K101" s="49">
        <f t="shared" si="71"/>
        <v>160</v>
      </c>
      <c r="L101" s="44">
        <f t="shared" si="71"/>
        <v>8</v>
      </c>
      <c r="M101" s="44">
        <f t="shared" si="71"/>
        <v>8</v>
      </c>
      <c r="N101" s="45">
        <f t="shared" si="69"/>
        <v>0.2</v>
      </c>
      <c r="O101" s="49">
        <v>60</v>
      </c>
      <c r="P101" s="54">
        <f>K101+4</f>
        <v>164</v>
      </c>
      <c r="Q101" s="44">
        <f t="shared" si="72"/>
        <v>150</v>
      </c>
      <c r="R101" s="50">
        <f t="shared" si="72"/>
        <v>210</v>
      </c>
    </row>
    <row r="102" spans="1:18" x14ac:dyDescent="0.25">
      <c r="A102" s="229">
        <f t="shared" si="58"/>
        <v>2612</v>
      </c>
      <c r="B102" s="230">
        <f t="shared" si="59"/>
        <v>92</v>
      </c>
      <c r="C102" s="229" t="str">
        <f t="shared" si="75"/>
        <v>L23X10#008_090_03</v>
      </c>
      <c r="D102" s="43">
        <f t="shared" si="39"/>
        <v>9.8000000000000007</v>
      </c>
      <c r="E102" s="61">
        <f t="shared" si="51"/>
        <v>1.8130000000000002</v>
      </c>
      <c r="F102" s="61">
        <f t="shared" si="52"/>
        <v>42</v>
      </c>
      <c r="G102" s="64">
        <f t="shared" si="53"/>
        <v>0.74204946996466425</v>
      </c>
      <c r="H102" s="51">
        <f t="shared" si="54"/>
        <v>4.4396077738515896</v>
      </c>
      <c r="I102" s="42" t="str">
        <f t="shared" si="71"/>
        <v>IEC</v>
      </c>
      <c r="J102" s="50">
        <f t="shared" si="71"/>
        <v>10.5</v>
      </c>
      <c r="K102" s="49">
        <f t="shared" si="71"/>
        <v>160</v>
      </c>
      <c r="L102" s="44">
        <f t="shared" si="71"/>
        <v>8</v>
      </c>
      <c r="M102" s="44">
        <f t="shared" si="71"/>
        <v>8</v>
      </c>
      <c r="N102" s="45">
        <f t="shared" si="69"/>
        <v>0.2</v>
      </c>
      <c r="O102" s="49">
        <v>90</v>
      </c>
      <c r="P102" s="54">
        <f t="shared" ref="P102" si="76">K102+4</f>
        <v>164</v>
      </c>
      <c r="Q102" s="44">
        <f t="shared" si="72"/>
        <v>150</v>
      </c>
      <c r="R102" s="50">
        <f t="shared" si="72"/>
        <v>210</v>
      </c>
    </row>
    <row r="103" spans="1:18" x14ac:dyDescent="0.25">
      <c r="A103" s="229">
        <f t="shared" si="58"/>
        <v>2613</v>
      </c>
      <c r="B103" s="230">
        <f t="shared" si="59"/>
        <v>93</v>
      </c>
      <c r="C103" s="229" t="str">
        <f>TEXT(RIGHT($B$2,LEN($B$2)-3),"L00")&amp;"X"&amp;TEXT(D103,"00")&amp;"#"&amp;IF(M103&lt;0,TEXT(360+M103,"000"),TEXT(M103,"000"))&amp;"_"&amp;TEXT(O103,"000")&amp;"_04"</f>
        <v>L23X10#008_000_04</v>
      </c>
      <c r="D103" s="43">
        <f t="shared" si="39"/>
        <v>9.8000000000000007</v>
      </c>
      <c r="E103" s="61">
        <f t="shared" si="51"/>
        <v>1.8130000000000002</v>
      </c>
      <c r="F103" s="61">
        <f t="shared" si="52"/>
        <v>42</v>
      </c>
      <c r="G103" s="64">
        <f t="shared" si="53"/>
        <v>0.74204946996466425</v>
      </c>
      <c r="H103" s="51">
        <f t="shared" si="54"/>
        <v>4.4396077738515896</v>
      </c>
      <c r="I103" s="42" t="str">
        <f t="shared" si="71"/>
        <v>IEC</v>
      </c>
      <c r="J103" s="50">
        <f t="shared" si="71"/>
        <v>10.5</v>
      </c>
      <c r="K103" s="49">
        <f t="shared" si="71"/>
        <v>160</v>
      </c>
      <c r="L103" s="44">
        <f t="shared" si="71"/>
        <v>8</v>
      </c>
      <c r="M103" s="44">
        <f t="shared" si="71"/>
        <v>8</v>
      </c>
      <c r="N103" s="45">
        <f t="shared" si="69"/>
        <v>0.2</v>
      </c>
      <c r="O103" s="49">
        <v>0</v>
      </c>
      <c r="P103" s="54">
        <f t="shared" ref="P103:P105" si="77">K103+5.25</f>
        <v>165.25</v>
      </c>
      <c r="Q103" s="44">
        <f t="shared" si="72"/>
        <v>150</v>
      </c>
      <c r="R103" s="50">
        <f t="shared" si="72"/>
        <v>210</v>
      </c>
    </row>
    <row r="104" spans="1:18" x14ac:dyDescent="0.25">
      <c r="A104" s="229">
        <f t="shared" si="58"/>
        <v>2614</v>
      </c>
      <c r="B104" s="230">
        <f t="shared" si="59"/>
        <v>94</v>
      </c>
      <c r="C104" s="229" t="str">
        <f t="shared" ref="C104:C106" si="78">TEXT(RIGHT($B$2,LEN($B$2)-3),"L00")&amp;"X"&amp;TEXT(D104,"00")&amp;"#"&amp;IF(M104&lt;0,TEXT(360+M104,"000"),TEXT(M104,"000"))&amp;"_"&amp;TEXT(O104,"000")&amp;"_04"</f>
        <v>L23X10#008_030_04</v>
      </c>
      <c r="D104" s="43">
        <f t="shared" si="39"/>
        <v>9.8000000000000007</v>
      </c>
      <c r="E104" s="61">
        <f t="shared" si="51"/>
        <v>1.8130000000000002</v>
      </c>
      <c r="F104" s="61">
        <f t="shared" si="52"/>
        <v>42</v>
      </c>
      <c r="G104" s="64">
        <f t="shared" si="53"/>
        <v>0.74204946996466425</v>
      </c>
      <c r="H104" s="51">
        <f t="shared" si="54"/>
        <v>4.4396077738515896</v>
      </c>
      <c r="I104" s="42" t="str">
        <f t="shared" si="71"/>
        <v>IEC</v>
      </c>
      <c r="J104" s="50">
        <f t="shared" si="71"/>
        <v>10.5</v>
      </c>
      <c r="K104" s="49">
        <f t="shared" si="71"/>
        <v>160</v>
      </c>
      <c r="L104" s="44">
        <f t="shared" si="71"/>
        <v>8</v>
      </c>
      <c r="M104" s="44">
        <f t="shared" si="71"/>
        <v>8</v>
      </c>
      <c r="N104" s="45">
        <f t="shared" si="69"/>
        <v>0.2</v>
      </c>
      <c r="O104" s="49">
        <v>30</v>
      </c>
      <c r="P104" s="54">
        <f t="shared" si="77"/>
        <v>165.25</v>
      </c>
      <c r="Q104" s="44">
        <f t="shared" si="72"/>
        <v>150</v>
      </c>
      <c r="R104" s="50">
        <f t="shared" si="72"/>
        <v>210</v>
      </c>
    </row>
    <row r="105" spans="1:18" x14ac:dyDescent="0.25">
      <c r="A105" s="229">
        <f t="shared" si="58"/>
        <v>2615</v>
      </c>
      <c r="B105" s="230">
        <f t="shared" si="59"/>
        <v>95</v>
      </c>
      <c r="C105" s="229" t="str">
        <f t="shared" si="78"/>
        <v>L23X10#008_060_04</v>
      </c>
      <c r="D105" s="43">
        <f t="shared" si="39"/>
        <v>9.8000000000000007</v>
      </c>
      <c r="E105" s="61">
        <f t="shared" si="51"/>
        <v>1.8130000000000002</v>
      </c>
      <c r="F105" s="61">
        <f t="shared" si="52"/>
        <v>42</v>
      </c>
      <c r="G105" s="64">
        <f t="shared" si="53"/>
        <v>0.74204946996466425</v>
      </c>
      <c r="H105" s="51">
        <f t="shared" si="54"/>
        <v>4.4396077738515896</v>
      </c>
      <c r="I105" s="42" t="str">
        <f t="shared" si="71"/>
        <v>IEC</v>
      </c>
      <c r="J105" s="50">
        <f t="shared" si="71"/>
        <v>10.5</v>
      </c>
      <c r="K105" s="49">
        <f t="shared" si="71"/>
        <v>160</v>
      </c>
      <c r="L105" s="44">
        <f t="shared" si="71"/>
        <v>8</v>
      </c>
      <c r="M105" s="44">
        <f t="shared" si="71"/>
        <v>8</v>
      </c>
      <c r="N105" s="45">
        <f t="shared" si="69"/>
        <v>0.2</v>
      </c>
      <c r="O105" s="49">
        <v>60</v>
      </c>
      <c r="P105" s="54">
        <f t="shared" si="77"/>
        <v>165.25</v>
      </c>
      <c r="Q105" s="44">
        <f t="shared" si="72"/>
        <v>150</v>
      </c>
      <c r="R105" s="50">
        <f t="shared" si="72"/>
        <v>210</v>
      </c>
    </row>
    <row r="106" spans="1:18" x14ac:dyDescent="0.25">
      <c r="A106" s="229">
        <f t="shared" si="58"/>
        <v>2616</v>
      </c>
      <c r="B106" s="230">
        <f t="shared" si="59"/>
        <v>96</v>
      </c>
      <c r="C106" s="229" t="str">
        <f t="shared" si="78"/>
        <v>L23X10#008_090_04</v>
      </c>
      <c r="D106" s="43">
        <f t="shared" si="39"/>
        <v>9.8000000000000007</v>
      </c>
      <c r="E106" s="61">
        <f t="shared" si="51"/>
        <v>1.8130000000000002</v>
      </c>
      <c r="F106" s="61">
        <f t="shared" si="52"/>
        <v>42</v>
      </c>
      <c r="G106" s="64">
        <f t="shared" si="53"/>
        <v>0.74204946996466425</v>
      </c>
      <c r="H106" s="51">
        <f t="shared" si="54"/>
        <v>4.4396077738515896</v>
      </c>
      <c r="I106" s="42" t="str">
        <f t="shared" si="71"/>
        <v>IEC</v>
      </c>
      <c r="J106" s="50">
        <f t="shared" si="71"/>
        <v>10.5</v>
      </c>
      <c r="K106" s="49">
        <f t="shared" si="71"/>
        <v>160</v>
      </c>
      <c r="L106" s="44">
        <f t="shared" si="71"/>
        <v>8</v>
      </c>
      <c r="M106" s="44">
        <f t="shared" si="71"/>
        <v>8</v>
      </c>
      <c r="N106" s="45">
        <f t="shared" si="69"/>
        <v>0.2</v>
      </c>
      <c r="O106" s="49">
        <v>90</v>
      </c>
      <c r="P106" s="54">
        <f>K106+5.25</f>
        <v>165.25</v>
      </c>
      <c r="Q106" s="44">
        <f t="shared" si="72"/>
        <v>150</v>
      </c>
      <c r="R106" s="50">
        <f t="shared" si="72"/>
        <v>210</v>
      </c>
    </row>
    <row r="107" spans="1:18" x14ac:dyDescent="0.25">
      <c r="A107" s="229">
        <f t="shared" si="58"/>
        <v>2617</v>
      </c>
      <c r="B107" s="230">
        <f t="shared" si="59"/>
        <v>97</v>
      </c>
      <c r="C107" s="229" t="str">
        <f>TEXT(RIGHT($B$2,LEN($B$2)-3),"L00")&amp;"X"&amp;TEXT(D107,"00")&amp;"#"&amp;IF(M107&lt;0,TEXT(360+M107,"000"),TEXT(M107,"000"))&amp;"_"&amp;TEXT(O107,"000")&amp;"_01"</f>
        <v>L23X12#352_000_01</v>
      </c>
      <c r="D107" s="43">
        <f t="shared" ref="D107:D154" si="79">vr_a</f>
        <v>11.8</v>
      </c>
      <c r="E107" s="61">
        <f t="shared" si="51"/>
        <v>2.0230000000000001</v>
      </c>
      <c r="F107" s="61">
        <f t="shared" si="52"/>
        <v>42</v>
      </c>
      <c r="G107" s="64">
        <f t="shared" si="53"/>
        <v>0.74204946996466425</v>
      </c>
      <c r="H107" s="51">
        <f t="shared" si="54"/>
        <v>4.9538480565371028</v>
      </c>
      <c r="I107" s="42" t="str">
        <f t="shared" si="71"/>
        <v>IEC</v>
      </c>
      <c r="J107" s="50">
        <f t="shared" si="71"/>
        <v>10.5</v>
      </c>
      <c r="K107" s="49">
        <f t="shared" si="71"/>
        <v>160</v>
      </c>
      <c r="L107" s="44">
        <f t="shared" si="71"/>
        <v>8</v>
      </c>
      <c r="M107" s="198">
        <f>yaw_min</f>
        <v>-8</v>
      </c>
      <c r="N107" s="45">
        <f t="shared" si="69"/>
        <v>0.2</v>
      </c>
      <c r="O107" s="49">
        <v>0</v>
      </c>
      <c r="P107" s="52">
        <f>K107</f>
        <v>160</v>
      </c>
      <c r="Q107" s="44">
        <f t="shared" si="72"/>
        <v>150</v>
      </c>
      <c r="R107" s="50">
        <f t="shared" si="72"/>
        <v>210</v>
      </c>
    </row>
    <row r="108" spans="1:18" x14ac:dyDescent="0.25">
      <c r="A108" s="229">
        <f t="shared" si="58"/>
        <v>2618</v>
      </c>
      <c r="B108" s="230">
        <f t="shared" si="59"/>
        <v>98</v>
      </c>
      <c r="C108" s="229" t="str">
        <f t="shared" ref="C108:C110" si="80">TEXT(RIGHT($B$2,LEN($B$2)-3),"L00")&amp;"X"&amp;TEXT(D108,"00")&amp;"#"&amp;IF(M108&lt;0,TEXT(360+M108,"000"),TEXT(M108,"000"))&amp;"_"&amp;TEXT(O108,"000")&amp;"_01"</f>
        <v>L23X12#352_030_01</v>
      </c>
      <c r="D108" s="43">
        <f t="shared" si="79"/>
        <v>11.8</v>
      </c>
      <c r="E108" s="61">
        <f t="shared" si="51"/>
        <v>2.0230000000000001</v>
      </c>
      <c r="F108" s="61">
        <f t="shared" si="52"/>
        <v>42</v>
      </c>
      <c r="G108" s="64">
        <f t="shared" si="53"/>
        <v>0.74204946996466425</v>
      </c>
      <c r="H108" s="51">
        <f t="shared" si="54"/>
        <v>4.9538480565371028</v>
      </c>
      <c r="I108" s="42" t="str">
        <f>I107</f>
        <v>IEC</v>
      </c>
      <c r="J108" s="50">
        <f t="shared" si="71"/>
        <v>10.5</v>
      </c>
      <c r="K108" s="49">
        <f>K107</f>
        <v>160</v>
      </c>
      <c r="L108" s="44">
        <f>L107</f>
        <v>8</v>
      </c>
      <c r="M108" s="44">
        <f>M107</f>
        <v>-8</v>
      </c>
      <c r="N108" s="45">
        <f t="shared" si="69"/>
        <v>0.2</v>
      </c>
      <c r="O108" s="49">
        <v>30</v>
      </c>
      <c r="P108" s="52">
        <f t="shared" ref="P108:P110" si="81">K108</f>
        <v>160</v>
      </c>
      <c r="Q108" s="44">
        <f t="shared" si="72"/>
        <v>150</v>
      </c>
      <c r="R108" s="50">
        <f>R107</f>
        <v>210</v>
      </c>
    </row>
    <row r="109" spans="1:18" x14ac:dyDescent="0.25">
      <c r="A109" s="229">
        <f t="shared" si="58"/>
        <v>2619</v>
      </c>
      <c r="B109" s="230">
        <f t="shared" si="59"/>
        <v>99</v>
      </c>
      <c r="C109" s="229" t="str">
        <f t="shared" si="80"/>
        <v>L23X12#352_060_01</v>
      </c>
      <c r="D109" s="43">
        <f t="shared" si="79"/>
        <v>11.8</v>
      </c>
      <c r="E109" s="61">
        <f t="shared" si="51"/>
        <v>2.0230000000000001</v>
      </c>
      <c r="F109" s="61">
        <f t="shared" si="52"/>
        <v>42</v>
      </c>
      <c r="G109" s="64">
        <f t="shared" si="53"/>
        <v>0.74204946996466425</v>
      </c>
      <c r="H109" s="51">
        <f t="shared" si="54"/>
        <v>4.9538480565371028</v>
      </c>
      <c r="I109" s="42" t="str">
        <f t="shared" ref="I109:M124" si="82">I108</f>
        <v>IEC</v>
      </c>
      <c r="J109" s="50">
        <f t="shared" si="82"/>
        <v>10.5</v>
      </c>
      <c r="K109" s="49">
        <f t="shared" si="82"/>
        <v>160</v>
      </c>
      <c r="L109" s="44">
        <f t="shared" si="82"/>
        <v>8</v>
      </c>
      <c r="M109" s="44">
        <f t="shared" si="82"/>
        <v>-8</v>
      </c>
      <c r="N109" s="45">
        <f t="shared" si="69"/>
        <v>0.2</v>
      </c>
      <c r="O109" s="49">
        <v>60</v>
      </c>
      <c r="P109" s="52">
        <f t="shared" si="81"/>
        <v>160</v>
      </c>
      <c r="Q109" s="44">
        <f t="shared" ref="Q109:R124" si="83">Q108</f>
        <v>150</v>
      </c>
      <c r="R109" s="50">
        <f t="shared" si="83"/>
        <v>210</v>
      </c>
    </row>
    <row r="110" spans="1:18" x14ac:dyDescent="0.25">
      <c r="A110" s="229">
        <f t="shared" si="58"/>
        <v>2620</v>
      </c>
      <c r="B110" s="230">
        <f t="shared" si="59"/>
        <v>100</v>
      </c>
      <c r="C110" s="229" t="str">
        <f t="shared" si="80"/>
        <v>L23X12#352_090_01</v>
      </c>
      <c r="D110" s="43">
        <f t="shared" si="79"/>
        <v>11.8</v>
      </c>
      <c r="E110" s="61">
        <f t="shared" si="51"/>
        <v>2.0230000000000001</v>
      </c>
      <c r="F110" s="61">
        <f t="shared" si="52"/>
        <v>42</v>
      </c>
      <c r="G110" s="64">
        <f t="shared" si="53"/>
        <v>0.74204946996466425</v>
      </c>
      <c r="H110" s="51">
        <f t="shared" si="54"/>
        <v>4.9538480565371028</v>
      </c>
      <c r="I110" s="42" t="str">
        <f t="shared" si="82"/>
        <v>IEC</v>
      </c>
      <c r="J110" s="50">
        <f t="shared" si="82"/>
        <v>10.5</v>
      </c>
      <c r="K110" s="49">
        <f t="shared" si="82"/>
        <v>160</v>
      </c>
      <c r="L110" s="44">
        <f t="shared" si="82"/>
        <v>8</v>
      </c>
      <c r="M110" s="44">
        <f t="shared" si="82"/>
        <v>-8</v>
      </c>
      <c r="N110" s="45">
        <f t="shared" si="69"/>
        <v>0.2</v>
      </c>
      <c r="O110" s="49">
        <v>90</v>
      </c>
      <c r="P110" s="52">
        <f t="shared" si="81"/>
        <v>160</v>
      </c>
      <c r="Q110" s="44">
        <f t="shared" si="83"/>
        <v>150</v>
      </c>
      <c r="R110" s="50">
        <f t="shared" si="83"/>
        <v>210</v>
      </c>
    </row>
    <row r="111" spans="1:18" x14ac:dyDescent="0.25">
      <c r="A111" s="229">
        <f t="shared" si="58"/>
        <v>2621</v>
      </c>
      <c r="B111" s="230">
        <f t="shared" si="59"/>
        <v>101</v>
      </c>
      <c r="C111" s="229" t="str">
        <f>TEXT(RIGHT($B$2,LEN($B$2)-3),"L00")&amp;"X"&amp;TEXT(D111,"00")&amp;"#"&amp;IF(M111&lt;0,TEXT(360+M111,"000"),TEXT(M111,"000"))&amp;"_"&amp;TEXT(O111,"000")&amp;"_02"</f>
        <v>L23X12#352_000_02</v>
      </c>
      <c r="D111" s="43">
        <f t="shared" si="79"/>
        <v>11.8</v>
      </c>
      <c r="E111" s="61">
        <f t="shared" si="51"/>
        <v>2.0230000000000001</v>
      </c>
      <c r="F111" s="61">
        <f t="shared" si="52"/>
        <v>42</v>
      </c>
      <c r="G111" s="64">
        <f t="shared" si="53"/>
        <v>0.74204946996466425</v>
      </c>
      <c r="H111" s="51">
        <f t="shared" si="54"/>
        <v>4.9538480565371028</v>
      </c>
      <c r="I111" s="42" t="str">
        <f t="shared" si="82"/>
        <v>IEC</v>
      </c>
      <c r="J111" s="50">
        <f t="shared" si="82"/>
        <v>10.5</v>
      </c>
      <c r="K111" s="49">
        <f t="shared" si="82"/>
        <v>160</v>
      </c>
      <c r="L111" s="44">
        <f t="shared" si="82"/>
        <v>8</v>
      </c>
      <c r="M111" s="44">
        <f t="shared" si="82"/>
        <v>-8</v>
      </c>
      <c r="N111" s="45">
        <f t="shared" si="69"/>
        <v>0.2</v>
      </c>
      <c r="O111" s="49">
        <v>0</v>
      </c>
      <c r="P111" s="54">
        <f>K111+2.46</f>
        <v>162.46</v>
      </c>
      <c r="Q111" s="44">
        <f t="shared" si="83"/>
        <v>150</v>
      </c>
      <c r="R111" s="50">
        <f t="shared" si="83"/>
        <v>210</v>
      </c>
    </row>
    <row r="112" spans="1:18" x14ac:dyDescent="0.25">
      <c r="A112" s="229">
        <f t="shared" si="58"/>
        <v>2622</v>
      </c>
      <c r="B112" s="230">
        <f t="shared" si="59"/>
        <v>102</v>
      </c>
      <c r="C112" s="229" t="str">
        <f t="shared" ref="C112:C114" si="84">TEXT(RIGHT($B$2,LEN($B$2)-3),"L00")&amp;"X"&amp;TEXT(D112,"00")&amp;"#"&amp;IF(M112&lt;0,TEXT(360+M112,"000"),TEXT(M112,"000"))&amp;"_"&amp;TEXT(O112,"000")&amp;"_02"</f>
        <v>L23X12#352_030_02</v>
      </c>
      <c r="D112" s="43">
        <f t="shared" si="79"/>
        <v>11.8</v>
      </c>
      <c r="E112" s="61">
        <f t="shared" si="51"/>
        <v>2.0230000000000001</v>
      </c>
      <c r="F112" s="61">
        <f t="shared" si="52"/>
        <v>42</v>
      </c>
      <c r="G112" s="64">
        <f t="shared" si="53"/>
        <v>0.74204946996466425</v>
      </c>
      <c r="H112" s="51">
        <f t="shared" si="54"/>
        <v>4.9538480565371028</v>
      </c>
      <c r="I112" s="42" t="str">
        <f t="shared" si="82"/>
        <v>IEC</v>
      </c>
      <c r="J112" s="50">
        <f t="shared" si="82"/>
        <v>10.5</v>
      </c>
      <c r="K112" s="49">
        <f t="shared" si="82"/>
        <v>160</v>
      </c>
      <c r="L112" s="44">
        <f t="shared" si="82"/>
        <v>8</v>
      </c>
      <c r="M112" s="44">
        <f t="shared" si="82"/>
        <v>-8</v>
      </c>
      <c r="N112" s="45">
        <f t="shared" si="69"/>
        <v>0.2</v>
      </c>
      <c r="O112" s="49">
        <v>30</v>
      </c>
      <c r="P112" s="54">
        <f>K112+2.46</f>
        <v>162.46</v>
      </c>
      <c r="Q112" s="44">
        <f t="shared" si="83"/>
        <v>150</v>
      </c>
      <c r="R112" s="50">
        <f t="shared" si="83"/>
        <v>210</v>
      </c>
    </row>
    <row r="113" spans="1:18" x14ac:dyDescent="0.25">
      <c r="A113" s="229">
        <f t="shared" si="58"/>
        <v>2623</v>
      </c>
      <c r="B113" s="230">
        <f t="shared" si="59"/>
        <v>103</v>
      </c>
      <c r="C113" s="229" t="str">
        <f t="shared" si="84"/>
        <v>L23X12#352_060_02</v>
      </c>
      <c r="D113" s="43">
        <f t="shared" si="79"/>
        <v>11.8</v>
      </c>
      <c r="E113" s="61">
        <f t="shared" si="51"/>
        <v>2.0230000000000001</v>
      </c>
      <c r="F113" s="61">
        <f t="shared" si="52"/>
        <v>42</v>
      </c>
      <c r="G113" s="64">
        <f t="shared" si="53"/>
        <v>0.74204946996466425</v>
      </c>
      <c r="H113" s="51">
        <f t="shared" si="54"/>
        <v>4.9538480565371028</v>
      </c>
      <c r="I113" s="42" t="str">
        <f t="shared" si="82"/>
        <v>IEC</v>
      </c>
      <c r="J113" s="50">
        <f t="shared" si="82"/>
        <v>10.5</v>
      </c>
      <c r="K113" s="49">
        <f t="shared" si="82"/>
        <v>160</v>
      </c>
      <c r="L113" s="44">
        <f t="shared" si="82"/>
        <v>8</v>
      </c>
      <c r="M113" s="44">
        <f t="shared" si="82"/>
        <v>-8</v>
      </c>
      <c r="N113" s="45">
        <f t="shared" si="69"/>
        <v>0.2</v>
      </c>
      <c r="O113" s="49">
        <v>60</v>
      </c>
      <c r="P113" s="54">
        <f>K113+2.46</f>
        <v>162.46</v>
      </c>
      <c r="Q113" s="44">
        <f t="shared" si="83"/>
        <v>150</v>
      </c>
      <c r="R113" s="50">
        <f t="shared" si="83"/>
        <v>210</v>
      </c>
    </row>
    <row r="114" spans="1:18" x14ac:dyDescent="0.25">
      <c r="A114" s="229">
        <f t="shared" si="58"/>
        <v>2624</v>
      </c>
      <c r="B114" s="230">
        <f t="shared" si="59"/>
        <v>104</v>
      </c>
      <c r="C114" s="229" t="str">
        <f t="shared" si="84"/>
        <v>L23X12#352_090_02</v>
      </c>
      <c r="D114" s="43">
        <f t="shared" si="79"/>
        <v>11.8</v>
      </c>
      <c r="E114" s="61">
        <f t="shared" si="51"/>
        <v>2.0230000000000001</v>
      </c>
      <c r="F114" s="61">
        <f t="shared" si="52"/>
        <v>42</v>
      </c>
      <c r="G114" s="64">
        <f t="shared" si="53"/>
        <v>0.74204946996466425</v>
      </c>
      <c r="H114" s="51">
        <f t="shared" si="54"/>
        <v>4.9538480565371028</v>
      </c>
      <c r="I114" s="42" t="str">
        <f t="shared" si="82"/>
        <v>IEC</v>
      </c>
      <c r="J114" s="50">
        <f t="shared" si="82"/>
        <v>10.5</v>
      </c>
      <c r="K114" s="49">
        <f t="shared" si="82"/>
        <v>160</v>
      </c>
      <c r="L114" s="44">
        <f t="shared" si="82"/>
        <v>8</v>
      </c>
      <c r="M114" s="44">
        <f t="shared" si="82"/>
        <v>-8</v>
      </c>
      <c r="N114" s="45">
        <f t="shared" si="69"/>
        <v>0.2</v>
      </c>
      <c r="O114" s="49">
        <v>90</v>
      </c>
      <c r="P114" s="54">
        <f>K114+2.46</f>
        <v>162.46</v>
      </c>
      <c r="Q114" s="44">
        <f t="shared" si="83"/>
        <v>150</v>
      </c>
      <c r="R114" s="50">
        <f t="shared" si="83"/>
        <v>210</v>
      </c>
    </row>
    <row r="115" spans="1:18" x14ac:dyDescent="0.25">
      <c r="A115" s="229">
        <f t="shared" si="58"/>
        <v>2625</v>
      </c>
      <c r="B115" s="230">
        <f t="shared" si="59"/>
        <v>105</v>
      </c>
      <c r="C115" s="229" t="str">
        <f>TEXT(RIGHT($B$2,LEN($B$2)-3),"L00")&amp;"X"&amp;TEXT(D115,"00")&amp;"#"&amp;IF(M115&lt;0,TEXT(360+M115,"000"),TEXT(M115,"000"))&amp;"_"&amp;TEXT(O115,"000")&amp;"_03"</f>
        <v>L23X12#352_000_03</v>
      </c>
      <c r="D115" s="43">
        <f t="shared" si="79"/>
        <v>11.8</v>
      </c>
      <c r="E115" s="61">
        <f t="shared" si="51"/>
        <v>2.0230000000000001</v>
      </c>
      <c r="F115" s="61">
        <f t="shared" si="52"/>
        <v>42</v>
      </c>
      <c r="G115" s="64">
        <f t="shared" si="53"/>
        <v>0.74204946996466425</v>
      </c>
      <c r="H115" s="51">
        <f t="shared" si="54"/>
        <v>4.9538480565371028</v>
      </c>
      <c r="I115" s="42" t="str">
        <f t="shared" si="82"/>
        <v>IEC</v>
      </c>
      <c r="J115" s="50">
        <f t="shared" si="82"/>
        <v>10.5</v>
      </c>
      <c r="K115" s="49">
        <f t="shared" si="82"/>
        <v>160</v>
      </c>
      <c r="L115" s="44">
        <f t="shared" si="82"/>
        <v>8</v>
      </c>
      <c r="M115" s="44">
        <f t="shared" si="82"/>
        <v>-8</v>
      </c>
      <c r="N115" s="45">
        <f t="shared" si="69"/>
        <v>0.2</v>
      </c>
      <c r="O115" s="49">
        <v>0</v>
      </c>
      <c r="P115" s="54">
        <f t="shared" ref="P115:P116" si="85">K115+4</f>
        <v>164</v>
      </c>
      <c r="Q115" s="44">
        <f t="shared" si="83"/>
        <v>150</v>
      </c>
      <c r="R115" s="50">
        <f t="shared" si="83"/>
        <v>210</v>
      </c>
    </row>
    <row r="116" spans="1:18" x14ac:dyDescent="0.25">
      <c r="A116" s="229">
        <f t="shared" si="58"/>
        <v>2626</v>
      </c>
      <c r="B116" s="230">
        <f t="shared" si="59"/>
        <v>106</v>
      </c>
      <c r="C116" s="229" t="str">
        <f t="shared" ref="C116:C118" si="86">TEXT(RIGHT($B$2,LEN($B$2)-3),"L00")&amp;"X"&amp;TEXT(D116,"00")&amp;"#"&amp;IF(M116&lt;0,TEXT(360+M116,"000"),TEXT(M116,"000"))&amp;"_"&amp;TEXT(O116,"000")&amp;"_03"</f>
        <v>L23X12#352_030_03</v>
      </c>
      <c r="D116" s="43">
        <f t="shared" si="79"/>
        <v>11.8</v>
      </c>
      <c r="E116" s="61">
        <f t="shared" si="51"/>
        <v>2.0230000000000001</v>
      </c>
      <c r="F116" s="61">
        <f t="shared" si="52"/>
        <v>42</v>
      </c>
      <c r="G116" s="64">
        <f t="shared" si="53"/>
        <v>0.74204946996466425</v>
      </c>
      <c r="H116" s="51">
        <f t="shared" si="54"/>
        <v>4.9538480565371028</v>
      </c>
      <c r="I116" s="42" t="str">
        <f t="shared" si="82"/>
        <v>IEC</v>
      </c>
      <c r="J116" s="50">
        <f t="shared" si="82"/>
        <v>10.5</v>
      </c>
      <c r="K116" s="49">
        <f t="shared" si="82"/>
        <v>160</v>
      </c>
      <c r="L116" s="44">
        <f t="shared" si="82"/>
        <v>8</v>
      </c>
      <c r="M116" s="44">
        <f t="shared" si="82"/>
        <v>-8</v>
      </c>
      <c r="N116" s="45">
        <f t="shared" si="69"/>
        <v>0.2</v>
      </c>
      <c r="O116" s="49">
        <v>30</v>
      </c>
      <c r="P116" s="54">
        <f t="shared" si="85"/>
        <v>164</v>
      </c>
      <c r="Q116" s="44">
        <f t="shared" si="83"/>
        <v>150</v>
      </c>
      <c r="R116" s="50">
        <f t="shared" si="83"/>
        <v>210</v>
      </c>
    </row>
    <row r="117" spans="1:18" x14ac:dyDescent="0.25">
      <c r="A117" s="229">
        <f t="shared" si="58"/>
        <v>2627</v>
      </c>
      <c r="B117" s="230">
        <f t="shared" si="59"/>
        <v>107</v>
      </c>
      <c r="C117" s="229" t="str">
        <f t="shared" si="86"/>
        <v>L23X12#352_060_03</v>
      </c>
      <c r="D117" s="43">
        <f t="shared" si="79"/>
        <v>11.8</v>
      </c>
      <c r="E117" s="61">
        <f t="shared" si="51"/>
        <v>2.0230000000000001</v>
      </c>
      <c r="F117" s="61">
        <f t="shared" si="52"/>
        <v>42</v>
      </c>
      <c r="G117" s="64">
        <f t="shared" si="53"/>
        <v>0.74204946996466425</v>
      </c>
      <c r="H117" s="51">
        <f t="shared" si="54"/>
        <v>4.9538480565371028</v>
      </c>
      <c r="I117" s="42" t="str">
        <f t="shared" si="82"/>
        <v>IEC</v>
      </c>
      <c r="J117" s="50">
        <f t="shared" si="82"/>
        <v>10.5</v>
      </c>
      <c r="K117" s="49">
        <f t="shared" si="82"/>
        <v>160</v>
      </c>
      <c r="L117" s="44">
        <f t="shared" si="82"/>
        <v>8</v>
      </c>
      <c r="M117" s="44">
        <f t="shared" si="82"/>
        <v>-8</v>
      </c>
      <c r="N117" s="45">
        <f t="shared" si="69"/>
        <v>0.2</v>
      </c>
      <c r="O117" s="49">
        <v>60</v>
      </c>
      <c r="P117" s="54">
        <f>K117+4</f>
        <v>164</v>
      </c>
      <c r="Q117" s="44">
        <f t="shared" si="83"/>
        <v>150</v>
      </c>
      <c r="R117" s="50">
        <f t="shared" si="83"/>
        <v>210</v>
      </c>
    </row>
    <row r="118" spans="1:18" x14ac:dyDescent="0.25">
      <c r="A118" s="229">
        <f t="shared" si="58"/>
        <v>2628</v>
      </c>
      <c r="B118" s="230">
        <f t="shared" si="59"/>
        <v>108</v>
      </c>
      <c r="C118" s="229" t="str">
        <f t="shared" si="86"/>
        <v>L23X12#352_090_03</v>
      </c>
      <c r="D118" s="43">
        <f t="shared" si="79"/>
        <v>11.8</v>
      </c>
      <c r="E118" s="61">
        <f t="shared" si="51"/>
        <v>2.0230000000000001</v>
      </c>
      <c r="F118" s="61">
        <f t="shared" si="52"/>
        <v>42</v>
      </c>
      <c r="G118" s="64">
        <f t="shared" si="53"/>
        <v>0.74204946996466425</v>
      </c>
      <c r="H118" s="51">
        <f t="shared" si="54"/>
        <v>4.9538480565371028</v>
      </c>
      <c r="I118" s="42" t="str">
        <f t="shared" si="82"/>
        <v>IEC</v>
      </c>
      <c r="J118" s="50">
        <f t="shared" si="82"/>
        <v>10.5</v>
      </c>
      <c r="K118" s="49">
        <f t="shared" si="82"/>
        <v>160</v>
      </c>
      <c r="L118" s="44">
        <f t="shared" si="82"/>
        <v>8</v>
      </c>
      <c r="M118" s="44">
        <f t="shared" si="82"/>
        <v>-8</v>
      </c>
      <c r="N118" s="45">
        <f t="shared" si="69"/>
        <v>0.2</v>
      </c>
      <c r="O118" s="49">
        <v>90</v>
      </c>
      <c r="P118" s="54">
        <f t="shared" ref="P118" si="87">K118+4</f>
        <v>164</v>
      </c>
      <c r="Q118" s="44">
        <f t="shared" si="83"/>
        <v>150</v>
      </c>
      <c r="R118" s="50">
        <f t="shared" si="83"/>
        <v>210</v>
      </c>
    </row>
    <row r="119" spans="1:18" x14ac:dyDescent="0.25">
      <c r="A119" s="229">
        <f t="shared" si="58"/>
        <v>2629</v>
      </c>
      <c r="B119" s="230">
        <f t="shared" si="59"/>
        <v>109</v>
      </c>
      <c r="C119" s="229" t="str">
        <f>TEXT(RIGHT($B$2,LEN($B$2)-3),"L00")&amp;"X"&amp;TEXT(D119,"00")&amp;"#"&amp;IF(M119&lt;0,TEXT(360+M119,"000"),TEXT(M119,"000"))&amp;"_"&amp;TEXT(O119,"000")&amp;"_04"</f>
        <v>L23X12#352_000_04</v>
      </c>
      <c r="D119" s="43">
        <f t="shared" si="79"/>
        <v>11.8</v>
      </c>
      <c r="E119" s="61">
        <f t="shared" si="51"/>
        <v>2.0230000000000001</v>
      </c>
      <c r="F119" s="61">
        <f t="shared" si="52"/>
        <v>42</v>
      </c>
      <c r="G119" s="64">
        <f t="shared" si="53"/>
        <v>0.74204946996466425</v>
      </c>
      <c r="H119" s="51">
        <f t="shared" si="54"/>
        <v>4.9538480565371028</v>
      </c>
      <c r="I119" s="42" t="str">
        <f t="shared" si="82"/>
        <v>IEC</v>
      </c>
      <c r="J119" s="50">
        <f t="shared" si="82"/>
        <v>10.5</v>
      </c>
      <c r="K119" s="49">
        <f t="shared" si="82"/>
        <v>160</v>
      </c>
      <c r="L119" s="44">
        <f t="shared" si="82"/>
        <v>8</v>
      </c>
      <c r="M119" s="44">
        <f t="shared" si="82"/>
        <v>-8</v>
      </c>
      <c r="N119" s="45">
        <f t="shared" si="69"/>
        <v>0.2</v>
      </c>
      <c r="O119" s="49">
        <v>0</v>
      </c>
      <c r="P119" s="54">
        <f t="shared" ref="P119:P121" si="88">K119+5.25</f>
        <v>165.25</v>
      </c>
      <c r="Q119" s="44">
        <f t="shared" si="83"/>
        <v>150</v>
      </c>
      <c r="R119" s="50">
        <f t="shared" si="83"/>
        <v>210</v>
      </c>
    </row>
    <row r="120" spans="1:18" x14ac:dyDescent="0.25">
      <c r="A120" s="229">
        <f t="shared" si="58"/>
        <v>2630</v>
      </c>
      <c r="B120" s="230">
        <f t="shared" si="59"/>
        <v>110</v>
      </c>
      <c r="C120" s="229" t="str">
        <f t="shared" ref="C120:C122" si="89">TEXT(RIGHT($B$2,LEN($B$2)-3),"L00")&amp;"X"&amp;TEXT(D120,"00")&amp;"#"&amp;IF(M120&lt;0,TEXT(360+M120,"000"),TEXT(M120,"000"))&amp;"_"&amp;TEXT(O120,"000")&amp;"_04"</f>
        <v>L23X12#352_030_04</v>
      </c>
      <c r="D120" s="43">
        <f t="shared" si="79"/>
        <v>11.8</v>
      </c>
      <c r="E120" s="61">
        <f t="shared" si="51"/>
        <v>2.0230000000000001</v>
      </c>
      <c r="F120" s="61">
        <f t="shared" si="52"/>
        <v>42</v>
      </c>
      <c r="G120" s="64">
        <f t="shared" si="53"/>
        <v>0.74204946996466425</v>
      </c>
      <c r="H120" s="51">
        <f t="shared" si="54"/>
        <v>4.9538480565371028</v>
      </c>
      <c r="I120" s="42" t="str">
        <f t="shared" si="82"/>
        <v>IEC</v>
      </c>
      <c r="J120" s="50">
        <f t="shared" si="82"/>
        <v>10.5</v>
      </c>
      <c r="K120" s="49">
        <f t="shared" si="82"/>
        <v>160</v>
      </c>
      <c r="L120" s="44">
        <f t="shared" si="82"/>
        <v>8</v>
      </c>
      <c r="M120" s="44">
        <f t="shared" si="82"/>
        <v>-8</v>
      </c>
      <c r="N120" s="45">
        <f t="shared" si="69"/>
        <v>0.2</v>
      </c>
      <c r="O120" s="49">
        <v>30</v>
      </c>
      <c r="P120" s="54">
        <f t="shared" si="88"/>
        <v>165.25</v>
      </c>
      <c r="Q120" s="44">
        <f t="shared" si="83"/>
        <v>150</v>
      </c>
      <c r="R120" s="50">
        <f t="shared" si="83"/>
        <v>210</v>
      </c>
    </row>
    <row r="121" spans="1:18" x14ac:dyDescent="0.25">
      <c r="A121" s="229">
        <f t="shared" si="58"/>
        <v>2631</v>
      </c>
      <c r="B121" s="230">
        <f t="shared" si="59"/>
        <v>111</v>
      </c>
      <c r="C121" s="229" t="str">
        <f t="shared" si="89"/>
        <v>L23X12#352_060_04</v>
      </c>
      <c r="D121" s="43">
        <f t="shared" si="79"/>
        <v>11.8</v>
      </c>
      <c r="E121" s="61">
        <f t="shared" si="51"/>
        <v>2.0230000000000001</v>
      </c>
      <c r="F121" s="61">
        <f t="shared" si="52"/>
        <v>42</v>
      </c>
      <c r="G121" s="64">
        <f t="shared" si="53"/>
        <v>0.74204946996466425</v>
      </c>
      <c r="H121" s="51">
        <f t="shared" si="54"/>
        <v>4.9538480565371028</v>
      </c>
      <c r="I121" s="42" t="str">
        <f t="shared" si="82"/>
        <v>IEC</v>
      </c>
      <c r="J121" s="50">
        <f t="shared" si="82"/>
        <v>10.5</v>
      </c>
      <c r="K121" s="49">
        <f t="shared" si="82"/>
        <v>160</v>
      </c>
      <c r="L121" s="44">
        <f t="shared" si="82"/>
        <v>8</v>
      </c>
      <c r="M121" s="44">
        <f t="shared" si="82"/>
        <v>-8</v>
      </c>
      <c r="N121" s="45">
        <f t="shared" si="69"/>
        <v>0.2</v>
      </c>
      <c r="O121" s="49">
        <v>60</v>
      </c>
      <c r="P121" s="54">
        <f t="shared" si="88"/>
        <v>165.25</v>
      </c>
      <c r="Q121" s="44">
        <f t="shared" si="83"/>
        <v>150</v>
      </c>
      <c r="R121" s="50">
        <f t="shared" si="83"/>
        <v>210</v>
      </c>
    </row>
    <row r="122" spans="1:18" x14ac:dyDescent="0.25">
      <c r="A122" s="229">
        <f t="shared" si="58"/>
        <v>2632</v>
      </c>
      <c r="B122" s="230">
        <f t="shared" si="59"/>
        <v>112</v>
      </c>
      <c r="C122" s="229" t="str">
        <f t="shared" si="89"/>
        <v>L23X12#352_090_04</v>
      </c>
      <c r="D122" s="43">
        <f t="shared" si="79"/>
        <v>11.8</v>
      </c>
      <c r="E122" s="61">
        <f t="shared" si="51"/>
        <v>2.0230000000000001</v>
      </c>
      <c r="F122" s="61">
        <f t="shared" si="52"/>
        <v>42</v>
      </c>
      <c r="G122" s="64">
        <f t="shared" si="53"/>
        <v>0.74204946996466425</v>
      </c>
      <c r="H122" s="51">
        <f t="shared" si="54"/>
        <v>4.9538480565371028</v>
      </c>
      <c r="I122" s="42" t="str">
        <f t="shared" si="82"/>
        <v>IEC</v>
      </c>
      <c r="J122" s="50">
        <f t="shared" si="82"/>
        <v>10.5</v>
      </c>
      <c r="K122" s="49">
        <f t="shared" si="82"/>
        <v>160</v>
      </c>
      <c r="L122" s="44">
        <f t="shared" si="82"/>
        <v>8</v>
      </c>
      <c r="M122" s="44">
        <f t="shared" si="82"/>
        <v>-8</v>
      </c>
      <c r="N122" s="45">
        <f t="shared" si="69"/>
        <v>0.2</v>
      </c>
      <c r="O122" s="49">
        <v>90</v>
      </c>
      <c r="P122" s="54">
        <f>K122+5.25</f>
        <v>165.25</v>
      </c>
      <c r="Q122" s="44">
        <f t="shared" si="83"/>
        <v>150</v>
      </c>
      <c r="R122" s="50">
        <f t="shared" si="83"/>
        <v>210</v>
      </c>
    </row>
    <row r="123" spans="1:18" x14ac:dyDescent="0.25">
      <c r="A123" s="229">
        <f t="shared" si="58"/>
        <v>2633</v>
      </c>
      <c r="B123" s="230">
        <f t="shared" si="59"/>
        <v>113</v>
      </c>
      <c r="C123" s="229" t="str">
        <f>TEXT(RIGHT($B$2,LEN($B$2)-3),"L00")&amp;"X"&amp;TEXT(D123,"00")&amp;"#"&amp;IF(M123&lt;0,TEXT(360+M123,"000"),TEXT(M123,"000"))&amp;"_"&amp;TEXT(O123,"000")&amp;"_01"</f>
        <v>L23X12#000_000_01</v>
      </c>
      <c r="D123" s="43">
        <f t="shared" si="79"/>
        <v>11.8</v>
      </c>
      <c r="E123" s="61">
        <f t="shared" si="51"/>
        <v>2.0230000000000001</v>
      </c>
      <c r="F123" s="61">
        <f t="shared" si="52"/>
        <v>42</v>
      </c>
      <c r="G123" s="64">
        <f t="shared" si="53"/>
        <v>0.74204946996466425</v>
      </c>
      <c r="H123" s="51">
        <f t="shared" si="54"/>
        <v>4.9538480565371028</v>
      </c>
      <c r="I123" s="42" t="str">
        <f t="shared" si="82"/>
        <v>IEC</v>
      </c>
      <c r="J123" s="50">
        <f t="shared" si="82"/>
        <v>10.5</v>
      </c>
      <c r="K123" s="49">
        <f t="shared" si="82"/>
        <v>160</v>
      </c>
      <c r="L123" s="44">
        <f t="shared" si="82"/>
        <v>8</v>
      </c>
      <c r="M123" s="44">
        <f>yaw_null</f>
        <v>0</v>
      </c>
      <c r="N123" s="45">
        <f t="shared" si="69"/>
        <v>0.2</v>
      </c>
      <c r="O123" s="49">
        <v>0</v>
      </c>
      <c r="P123" s="52">
        <f>K123</f>
        <v>160</v>
      </c>
      <c r="Q123" s="44">
        <f t="shared" si="83"/>
        <v>150</v>
      </c>
      <c r="R123" s="50">
        <f t="shared" si="83"/>
        <v>210</v>
      </c>
    </row>
    <row r="124" spans="1:18" x14ac:dyDescent="0.25">
      <c r="A124" s="229">
        <f t="shared" si="58"/>
        <v>2634</v>
      </c>
      <c r="B124" s="230">
        <f t="shared" si="59"/>
        <v>114</v>
      </c>
      <c r="C124" s="229" t="str">
        <f t="shared" ref="C124:C126" si="90">TEXT(RIGHT($B$2,LEN($B$2)-3),"L00")&amp;"X"&amp;TEXT(D124,"00")&amp;"#"&amp;IF(M124&lt;0,TEXT(360+M124,"000"),TEXT(M124,"000"))&amp;"_"&amp;TEXT(O124,"000")&amp;"_01"</f>
        <v>L23X12#000_030_01</v>
      </c>
      <c r="D124" s="43">
        <f t="shared" si="79"/>
        <v>11.8</v>
      </c>
      <c r="E124" s="61">
        <f t="shared" si="51"/>
        <v>2.0230000000000001</v>
      </c>
      <c r="F124" s="61">
        <f t="shared" si="52"/>
        <v>42</v>
      </c>
      <c r="G124" s="64">
        <f t="shared" si="53"/>
        <v>0.74204946996466425</v>
      </c>
      <c r="H124" s="51">
        <f t="shared" si="54"/>
        <v>4.9538480565371028</v>
      </c>
      <c r="I124" s="42" t="str">
        <f>I123</f>
        <v>IEC</v>
      </c>
      <c r="J124" s="50">
        <f t="shared" si="82"/>
        <v>10.5</v>
      </c>
      <c r="K124" s="49">
        <f>K123</f>
        <v>160</v>
      </c>
      <c r="L124" s="44">
        <f>L123</f>
        <v>8</v>
      </c>
      <c r="M124" s="44">
        <f>M123</f>
        <v>0</v>
      </c>
      <c r="N124" s="45">
        <f t="shared" si="69"/>
        <v>0.2</v>
      </c>
      <c r="O124" s="49">
        <v>30</v>
      </c>
      <c r="P124" s="52">
        <f t="shared" ref="P124:P126" si="91">K124</f>
        <v>160</v>
      </c>
      <c r="Q124" s="44">
        <f t="shared" si="83"/>
        <v>150</v>
      </c>
      <c r="R124" s="50">
        <f>R123</f>
        <v>210</v>
      </c>
    </row>
    <row r="125" spans="1:18" x14ac:dyDescent="0.25">
      <c r="A125" s="229">
        <f t="shared" si="58"/>
        <v>2635</v>
      </c>
      <c r="B125" s="230">
        <f t="shared" si="59"/>
        <v>115</v>
      </c>
      <c r="C125" s="229" t="str">
        <f t="shared" si="90"/>
        <v>L23X12#000_060_01</v>
      </c>
      <c r="D125" s="43">
        <f t="shared" si="79"/>
        <v>11.8</v>
      </c>
      <c r="E125" s="61">
        <f t="shared" si="51"/>
        <v>2.0230000000000001</v>
      </c>
      <c r="F125" s="61">
        <f t="shared" si="52"/>
        <v>42</v>
      </c>
      <c r="G125" s="64">
        <f t="shared" si="53"/>
        <v>0.74204946996466425</v>
      </c>
      <c r="H125" s="51">
        <f t="shared" si="54"/>
        <v>4.9538480565371028</v>
      </c>
      <c r="I125" s="42" t="str">
        <f t="shared" ref="I125:M140" si="92">I124</f>
        <v>IEC</v>
      </c>
      <c r="J125" s="50">
        <f t="shared" si="92"/>
        <v>10.5</v>
      </c>
      <c r="K125" s="49">
        <f t="shared" si="92"/>
        <v>160</v>
      </c>
      <c r="L125" s="44">
        <f t="shared" si="92"/>
        <v>8</v>
      </c>
      <c r="M125" s="44">
        <f t="shared" si="92"/>
        <v>0</v>
      </c>
      <c r="N125" s="45">
        <f t="shared" si="69"/>
        <v>0.2</v>
      </c>
      <c r="O125" s="49">
        <v>60</v>
      </c>
      <c r="P125" s="52">
        <f t="shared" si="91"/>
        <v>160</v>
      </c>
      <c r="Q125" s="44">
        <f t="shared" ref="Q125:R140" si="93">Q124</f>
        <v>150</v>
      </c>
      <c r="R125" s="50">
        <f t="shared" si="93"/>
        <v>210</v>
      </c>
    </row>
    <row r="126" spans="1:18" x14ac:dyDescent="0.25">
      <c r="A126" s="229">
        <f t="shared" si="58"/>
        <v>2636</v>
      </c>
      <c r="B126" s="230">
        <f t="shared" si="59"/>
        <v>116</v>
      </c>
      <c r="C126" s="229" t="str">
        <f t="shared" si="90"/>
        <v>L23X12#000_090_01</v>
      </c>
      <c r="D126" s="43">
        <f t="shared" si="79"/>
        <v>11.8</v>
      </c>
      <c r="E126" s="61">
        <f t="shared" si="51"/>
        <v>2.0230000000000001</v>
      </c>
      <c r="F126" s="61">
        <f t="shared" si="52"/>
        <v>42</v>
      </c>
      <c r="G126" s="64">
        <f t="shared" si="53"/>
        <v>0.74204946996466425</v>
      </c>
      <c r="H126" s="51">
        <f t="shared" si="54"/>
        <v>4.9538480565371028</v>
      </c>
      <c r="I126" s="42" t="str">
        <f t="shared" si="92"/>
        <v>IEC</v>
      </c>
      <c r="J126" s="50">
        <f t="shared" si="92"/>
        <v>10.5</v>
      </c>
      <c r="K126" s="49">
        <f t="shared" si="92"/>
        <v>160</v>
      </c>
      <c r="L126" s="44">
        <f t="shared" si="92"/>
        <v>8</v>
      </c>
      <c r="M126" s="44">
        <f t="shared" si="92"/>
        <v>0</v>
      </c>
      <c r="N126" s="45">
        <f t="shared" si="69"/>
        <v>0.2</v>
      </c>
      <c r="O126" s="49">
        <v>90</v>
      </c>
      <c r="P126" s="52">
        <f t="shared" si="91"/>
        <v>160</v>
      </c>
      <c r="Q126" s="44">
        <f t="shared" si="93"/>
        <v>150</v>
      </c>
      <c r="R126" s="50">
        <f t="shared" si="93"/>
        <v>210</v>
      </c>
    </row>
    <row r="127" spans="1:18" x14ac:dyDescent="0.25">
      <c r="A127" s="229">
        <f t="shared" si="58"/>
        <v>2637</v>
      </c>
      <c r="B127" s="230">
        <f t="shared" si="59"/>
        <v>117</v>
      </c>
      <c r="C127" s="229" t="str">
        <f>TEXT(RIGHT($B$2,LEN($B$2)-3),"L00")&amp;"X"&amp;TEXT(D127,"00")&amp;"#"&amp;IF(M127&lt;0,TEXT(360+M127,"000"),TEXT(M127,"000"))&amp;"_"&amp;TEXT(O127,"000")&amp;"_02"</f>
        <v>L23X12#000_000_02</v>
      </c>
      <c r="D127" s="43">
        <f t="shared" si="79"/>
        <v>11.8</v>
      </c>
      <c r="E127" s="61">
        <f t="shared" si="51"/>
        <v>2.0230000000000001</v>
      </c>
      <c r="F127" s="61">
        <f t="shared" si="52"/>
        <v>42</v>
      </c>
      <c r="G127" s="64">
        <f t="shared" si="53"/>
        <v>0.74204946996466425</v>
      </c>
      <c r="H127" s="51">
        <f t="shared" si="54"/>
        <v>4.9538480565371028</v>
      </c>
      <c r="I127" s="42" t="str">
        <f t="shared" si="92"/>
        <v>IEC</v>
      </c>
      <c r="J127" s="50">
        <f t="shared" si="92"/>
        <v>10.5</v>
      </c>
      <c r="K127" s="49">
        <f t="shared" si="92"/>
        <v>160</v>
      </c>
      <c r="L127" s="44">
        <f t="shared" si="92"/>
        <v>8</v>
      </c>
      <c r="M127" s="44">
        <f t="shared" si="92"/>
        <v>0</v>
      </c>
      <c r="N127" s="45">
        <f t="shared" si="69"/>
        <v>0.2</v>
      </c>
      <c r="O127" s="49">
        <v>0</v>
      </c>
      <c r="P127" s="54">
        <f>K127+2.46</f>
        <v>162.46</v>
      </c>
      <c r="Q127" s="44">
        <f t="shared" si="93"/>
        <v>150</v>
      </c>
      <c r="R127" s="50">
        <f t="shared" si="93"/>
        <v>210</v>
      </c>
    </row>
    <row r="128" spans="1:18" x14ac:dyDescent="0.25">
      <c r="A128" s="229">
        <f t="shared" si="58"/>
        <v>2638</v>
      </c>
      <c r="B128" s="230">
        <f t="shared" si="59"/>
        <v>118</v>
      </c>
      <c r="C128" s="229" t="str">
        <f t="shared" ref="C128:C130" si="94">TEXT(RIGHT($B$2,LEN($B$2)-3),"L00")&amp;"X"&amp;TEXT(D128,"00")&amp;"#"&amp;IF(M128&lt;0,TEXT(360+M128,"000"),TEXT(M128,"000"))&amp;"_"&amp;TEXT(O128,"000")&amp;"_02"</f>
        <v>L23X12#000_030_02</v>
      </c>
      <c r="D128" s="43">
        <f t="shared" si="79"/>
        <v>11.8</v>
      </c>
      <c r="E128" s="61">
        <f t="shared" si="51"/>
        <v>2.0230000000000001</v>
      </c>
      <c r="F128" s="61">
        <f t="shared" si="52"/>
        <v>42</v>
      </c>
      <c r="G128" s="64">
        <f t="shared" si="53"/>
        <v>0.74204946996466425</v>
      </c>
      <c r="H128" s="51">
        <f t="shared" si="54"/>
        <v>4.9538480565371028</v>
      </c>
      <c r="I128" s="42" t="str">
        <f t="shared" si="92"/>
        <v>IEC</v>
      </c>
      <c r="J128" s="50">
        <f t="shared" si="92"/>
        <v>10.5</v>
      </c>
      <c r="K128" s="49">
        <f t="shared" si="92"/>
        <v>160</v>
      </c>
      <c r="L128" s="44">
        <f t="shared" si="92"/>
        <v>8</v>
      </c>
      <c r="M128" s="44">
        <f t="shared" si="92"/>
        <v>0</v>
      </c>
      <c r="N128" s="45">
        <f t="shared" si="69"/>
        <v>0.2</v>
      </c>
      <c r="O128" s="49">
        <v>30</v>
      </c>
      <c r="P128" s="54">
        <f>K128+2.46</f>
        <v>162.46</v>
      </c>
      <c r="Q128" s="44">
        <f t="shared" si="93"/>
        <v>150</v>
      </c>
      <c r="R128" s="50">
        <f t="shared" si="93"/>
        <v>210</v>
      </c>
    </row>
    <row r="129" spans="1:18" x14ac:dyDescent="0.25">
      <c r="A129" s="229">
        <f t="shared" si="58"/>
        <v>2639</v>
      </c>
      <c r="B129" s="230">
        <f t="shared" si="59"/>
        <v>119</v>
      </c>
      <c r="C129" s="229" t="str">
        <f t="shared" si="94"/>
        <v>L23X12#000_060_02</v>
      </c>
      <c r="D129" s="43">
        <f t="shared" si="79"/>
        <v>11.8</v>
      </c>
      <c r="E129" s="61">
        <f t="shared" si="51"/>
        <v>2.0230000000000001</v>
      </c>
      <c r="F129" s="61">
        <f t="shared" si="52"/>
        <v>42</v>
      </c>
      <c r="G129" s="64">
        <f t="shared" si="53"/>
        <v>0.74204946996466425</v>
      </c>
      <c r="H129" s="51">
        <f t="shared" si="54"/>
        <v>4.9538480565371028</v>
      </c>
      <c r="I129" s="42" t="str">
        <f t="shared" si="92"/>
        <v>IEC</v>
      </c>
      <c r="J129" s="50">
        <f t="shared" si="92"/>
        <v>10.5</v>
      </c>
      <c r="K129" s="49">
        <f t="shared" si="92"/>
        <v>160</v>
      </c>
      <c r="L129" s="44">
        <f t="shared" si="92"/>
        <v>8</v>
      </c>
      <c r="M129" s="44">
        <f t="shared" si="92"/>
        <v>0</v>
      </c>
      <c r="N129" s="45">
        <f t="shared" si="69"/>
        <v>0.2</v>
      </c>
      <c r="O129" s="49">
        <v>60</v>
      </c>
      <c r="P129" s="54">
        <f>K129+2.46</f>
        <v>162.46</v>
      </c>
      <c r="Q129" s="44">
        <f t="shared" si="93"/>
        <v>150</v>
      </c>
      <c r="R129" s="50">
        <f t="shared" si="93"/>
        <v>210</v>
      </c>
    </row>
    <row r="130" spans="1:18" x14ac:dyDescent="0.25">
      <c r="A130" s="229">
        <f t="shared" si="58"/>
        <v>2640</v>
      </c>
      <c r="B130" s="230">
        <f t="shared" si="59"/>
        <v>120</v>
      </c>
      <c r="C130" s="229" t="str">
        <f t="shared" si="94"/>
        <v>L23X12#000_090_02</v>
      </c>
      <c r="D130" s="43">
        <f t="shared" si="79"/>
        <v>11.8</v>
      </c>
      <c r="E130" s="61">
        <f t="shared" si="51"/>
        <v>2.0230000000000001</v>
      </c>
      <c r="F130" s="61">
        <f t="shared" si="52"/>
        <v>42</v>
      </c>
      <c r="G130" s="64">
        <f t="shared" si="53"/>
        <v>0.74204946996466425</v>
      </c>
      <c r="H130" s="51">
        <f t="shared" si="54"/>
        <v>4.9538480565371028</v>
      </c>
      <c r="I130" s="42" t="str">
        <f t="shared" si="92"/>
        <v>IEC</v>
      </c>
      <c r="J130" s="50">
        <f t="shared" si="92"/>
        <v>10.5</v>
      </c>
      <c r="K130" s="49">
        <f t="shared" si="92"/>
        <v>160</v>
      </c>
      <c r="L130" s="44">
        <f t="shared" si="92"/>
        <v>8</v>
      </c>
      <c r="M130" s="44">
        <f t="shared" si="92"/>
        <v>0</v>
      </c>
      <c r="N130" s="45">
        <f t="shared" si="69"/>
        <v>0.2</v>
      </c>
      <c r="O130" s="49">
        <v>90</v>
      </c>
      <c r="P130" s="54">
        <f>K130+2.46</f>
        <v>162.46</v>
      </c>
      <c r="Q130" s="44">
        <f t="shared" si="93"/>
        <v>150</v>
      </c>
      <c r="R130" s="50">
        <f t="shared" si="93"/>
        <v>210</v>
      </c>
    </row>
    <row r="131" spans="1:18" x14ac:dyDescent="0.25">
      <c r="A131" s="229">
        <f t="shared" si="58"/>
        <v>2641</v>
      </c>
      <c r="B131" s="230">
        <f t="shared" si="59"/>
        <v>121</v>
      </c>
      <c r="C131" s="229" t="str">
        <f>TEXT(RIGHT($B$2,LEN($B$2)-3),"L00")&amp;"X"&amp;TEXT(D131,"00")&amp;"#"&amp;IF(M131&lt;0,TEXT(360+M131,"000"),TEXT(M131,"000"))&amp;"_"&amp;TEXT(O131,"000")&amp;"_03"</f>
        <v>L23X12#000_000_03</v>
      </c>
      <c r="D131" s="43">
        <f t="shared" si="79"/>
        <v>11.8</v>
      </c>
      <c r="E131" s="61">
        <f t="shared" si="51"/>
        <v>2.0230000000000001</v>
      </c>
      <c r="F131" s="61">
        <f t="shared" si="52"/>
        <v>42</v>
      </c>
      <c r="G131" s="64">
        <f t="shared" si="53"/>
        <v>0.74204946996466425</v>
      </c>
      <c r="H131" s="51">
        <f t="shared" si="54"/>
        <v>4.9538480565371028</v>
      </c>
      <c r="I131" s="42" t="str">
        <f t="shared" si="92"/>
        <v>IEC</v>
      </c>
      <c r="J131" s="50">
        <f t="shared" si="92"/>
        <v>10.5</v>
      </c>
      <c r="K131" s="49">
        <f t="shared" si="92"/>
        <v>160</v>
      </c>
      <c r="L131" s="44">
        <f t="shared" si="92"/>
        <v>8</v>
      </c>
      <c r="M131" s="44">
        <f t="shared" si="92"/>
        <v>0</v>
      </c>
      <c r="N131" s="45">
        <f t="shared" si="69"/>
        <v>0.2</v>
      </c>
      <c r="O131" s="49">
        <v>0</v>
      </c>
      <c r="P131" s="54">
        <f t="shared" ref="P131:P132" si="95">K131+4</f>
        <v>164</v>
      </c>
      <c r="Q131" s="44">
        <f t="shared" si="93"/>
        <v>150</v>
      </c>
      <c r="R131" s="50">
        <f t="shared" si="93"/>
        <v>210</v>
      </c>
    </row>
    <row r="132" spans="1:18" x14ac:dyDescent="0.25">
      <c r="A132" s="229">
        <f t="shared" si="58"/>
        <v>2642</v>
      </c>
      <c r="B132" s="230">
        <f t="shared" si="59"/>
        <v>122</v>
      </c>
      <c r="C132" s="229" t="str">
        <f t="shared" ref="C132:C134" si="96">TEXT(RIGHT($B$2,LEN($B$2)-3),"L00")&amp;"X"&amp;TEXT(D132,"00")&amp;"#"&amp;IF(M132&lt;0,TEXT(360+M132,"000"),TEXT(M132,"000"))&amp;"_"&amp;TEXT(O132,"000")&amp;"_03"</f>
        <v>L23X12#000_030_03</v>
      </c>
      <c r="D132" s="43">
        <f t="shared" si="79"/>
        <v>11.8</v>
      </c>
      <c r="E132" s="61">
        <f t="shared" si="51"/>
        <v>2.0230000000000001</v>
      </c>
      <c r="F132" s="61">
        <f t="shared" si="52"/>
        <v>42</v>
      </c>
      <c r="G132" s="64">
        <f t="shared" si="53"/>
        <v>0.74204946996466425</v>
      </c>
      <c r="H132" s="51">
        <f t="shared" si="54"/>
        <v>4.9538480565371028</v>
      </c>
      <c r="I132" s="42" t="str">
        <f t="shared" si="92"/>
        <v>IEC</v>
      </c>
      <c r="J132" s="50">
        <f t="shared" si="92"/>
        <v>10.5</v>
      </c>
      <c r="K132" s="49">
        <f t="shared" si="92"/>
        <v>160</v>
      </c>
      <c r="L132" s="44">
        <f t="shared" si="92"/>
        <v>8</v>
      </c>
      <c r="M132" s="44">
        <f t="shared" si="92"/>
        <v>0</v>
      </c>
      <c r="N132" s="45">
        <f t="shared" si="69"/>
        <v>0.2</v>
      </c>
      <c r="O132" s="49">
        <v>30</v>
      </c>
      <c r="P132" s="54">
        <f t="shared" si="95"/>
        <v>164</v>
      </c>
      <c r="Q132" s="44">
        <f t="shared" si="93"/>
        <v>150</v>
      </c>
      <c r="R132" s="50">
        <f t="shared" si="93"/>
        <v>210</v>
      </c>
    </row>
    <row r="133" spans="1:18" x14ac:dyDescent="0.25">
      <c r="A133" s="229">
        <f t="shared" si="58"/>
        <v>2643</v>
      </c>
      <c r="B133" s="230">
        <f t="shared" si="59"/>
        <v>123</v>
      </c>
      <c r="C133" s="229" t="str">
        <f t="shared" si="96"/>
        <v>L23X12#000_060_03</v>
      </c>
      <c r="D133" s="43">
        <f t="shared" si="79"/>
        <v>11.8</v>
      </c>
      <c r="E133" s="61">
        <f t="shared" si="51"/>
        <v>2.0230000000000001</v>
      </c>
      <c r="F133" s="61">
        <f t="shared" si="52"/>
        <v>42</v>
      </c>
      <c r="G133" s="64">
        <f t="shared" si="53"/>
        <v>0.74204946996466425</v>
      </c>
      <c r="H133" s="51">
        <f t="shared" si="54"/>
        <v>4.9538480565371028</v>
      </c>
      <c r="I133" s="42" t="str">
        <f t="shared" si="92"/>
        <v>IEC</v>
      </c>
      <c r="J133" s="50">
        <f t="shared" si="92"/>
        <v>10.5</v>
      </c>
      <c r="K133" s="49">
        <f t="shared" si="92"/>
        <v>160</v>
      </c>
      <c r="L133" s="44">
        <f t="shared" si="92"/>
        <v>8</v>
      </c>
      <c r="M133" s="44">
        <f t="shared" si="92"/>
        <v>0</v>
      </c>
      <c r="N133" s="45">
        <f t="shared" si="69"/>
        <v>0.2</v>
      </c>
      <c r="O133" s="49">
        <v>60</v>
      </c>
      <c r="P133" s="54">
        <f>K133+4</f>
        <v>164</v>
      </c>
      <c r="Q133" s="44">
        <f t="shared" si="93"/>
        <v>150</v>
      </c>
      <c r="R133" s="50">
        <f t="shared" si="93"/>
        <v>210</v>
      </c>
    </row>
    <row r="134" spans="1:18" x14ac:dyDescent="0.25">
      <c r="A134" s="229">
        <f t="shared" si="58"/>
        <v>2644</v>
      </c>
      <c r="B134" s="230">
        <f t="shared" si="59"/>
        <v>124</v>
      </c>
      <c r="C134" s="229" t="str">
        <f t="shared" si="96"/>
        <v>L23X12#000_090_03</v>
      </c>
      <c r="D134" s="43">
        <f t="shared" si="79"/>
        <v>11.8</v>
      </c>
      <c r="E134" s="61">
        <f t="shared" si="51"/>
        <v>2.0230000000000001</v>
      </c>
      <c r="F134" s="61">
        <f t="shared" si="52"/>
        <v>42</v>
      </c>
      <c r="G134" s="64">
        <f t="shared" si="53"/>
        <v>0.74204946996466425</v>
      </c>
      <c r="H134" s="51">
        <f t="shared" si="54"/>
        <v>4.9538480565371028</v>
      </c>
      <c r="I134" s="42" t="str">
        <f t="shared" si="92"/>
        <v>IEC</v>
      </c>
      <c r="J134" s="50">
        <f t="shared" si="92"/>
        <v>10.5</v>
      </c>
      <c r="K134" s="49">
        <f t="shared" si="92"/>
        <v>160</v>
      </c>
      <c r="L134" s="44">
        <f t="shared" si="92"/>
        <v>8</v>
      </c>
      <c r="M134" s="44">
        <f t="shared" si="92"/>
        <v>0</v>
      </c>
      <c r="N134" s="45">
        <f t="shared" si="69"/>
        <v>0.2</v>
      </c>
      <c r="O134" s="49">
        <v>90</v>
      </c>
      <c r="P134" s="54">
        <f t="shared" ref="P134" si="97">K134+4</f>
        <v>164</v>
      </c>
      <c r="Q134" s="44">
        <f t="shared" si="93"/>
        <v>150</v>
      </c>
      <c r="R134" s="50">
        <f t="shared" si="93"/>
        <v>210</v>
      </c>
    </row>
    <row r="135" spans="1:18" x14ac:dyDescent="0.25">
      <c r="A135" s="229">
        <f t="shared" si="58"/>
        <v>2645</v>
      </c>
      <c r="B135" s="230">
        <f t="shared" si="59"/>
        <v>125</v>
      </c>
      <c r="C135" s="229" t="str">
        <f>TEXT(RIGHT($B$2,LEN($B$2)-3),"L00")&amp;"X"&amp;TEXT(D135,"00")&amp;"#"&amp;IF(M135&lt;0,TEXT(360+M135,"000"),TEXT(M135,"000"))&amp;"_"&amp;TEXT(O135,"000")&amp;"_04"</f>
        <v>L23X12#000_000_04</v>
      </c>
      <c r="D135" s="43">
        <f t="shared" si="79"/>
        <v>11.8</v>
      </c>
      <c r="E135" s="61">
        <f t="shared" si="51"/>
        <v>2.0230000000000001</v>
      </c>
      <c r="F135" s="61">
        <f t="shared" si="52"/>
        <v>42</v>
      </c>
      <c r="G135" s="64">
        <f t="shared" si="53"/>
        <v>0.74204946996466425</v>
      </c>
      <c r="H135" s="51">
        <f t="shared" si="54"/>
        <v>4.9538480565371028</v>
      </c>
      <c r="I135" s="42" t="str">
        <f t="shared" si="92"/>
        <v>IEC</v>
      </c>
      <c r="J135" s="50">
        <f t="shared" si="92"/>
        <v>10.5</v>
      </c>
      <c r="K135" s="49">
        <f t="shared" si="92"/>
        <v>160</v>
      </c>
      <c r="L135" s="44">
        <f t="shared" si="92"/>
        <v>8</v>
      </c>
      <c r="M135" s="44">
        <f t="shared" si="92"/>
        <v>0</v>
      </c>
      <c r="N135" s="45">
        <f t="shared" si="69"/>
        <v>0.2</v>
      </c>
      <c r="O135" s="49">
        <v>0</v>
      </c>
      <c r="P135" s="54">
        <f t="shared" ref="P135:P137" si="98">K135+5.25</f>
        <v>165.25</v>
      </c>
      <c r="Q135" s="44">
        <f t="shared" si="93"/>
        <v>150</v>
      </c>
      <c r="R135" s="50">
        <f t="shared" si="93"/>
        <v>210</v>
      </c>
    </row>
    <row r="136" spans="1:18" x14ac:dyDescent="0.25">
      <c r="A136" s="229">
        <f t="shared" si="58"/>
        <v>2646</v>
      </c>
      <c r="B136" s="230">
        <f t="shared" si="59"/>
        <v>126</v>
      </c>
      <c r="C136" s="229" t="str">
        <f t="shared" ref="C136:C138" si="99">TEXT(RIGHT($B$2,LEN($B$2)-3),"L00")&amp;"X"&amp;TEXT(D136,"00")&amp;"#"&amp;IF(M136&lt;0,TEXT(360+M136,"000"),TEXT(M136,"000"))&amp;"_"&amp;TEXT(O136,"000")&amp;"_04"</f>
        <v>L23X12#000_030_04</v>
      </c>
      <c r="D136" s="43">
        <f t="shared" si="79"/>
        <v>11.8</v>
      </c>
      <c r="E136" s="61">
        <f t="shared" si="51"/>
        <v>2.0230000000000001</v>
      </c>
      <c r="F136" s="61">
        <f t="shared" si="52"/>
        <v>42</v>
      </c>
      <c r="G136" s="64">
        <f t="shared" si="53"/>
        <v>0.74204946996466425</v>
      </c>
      <c r="H136" s="51">
        <f t="shared" si="54"/>
        <v>4.9538480565371028</v>
      </c>
      <c r="I136" s="42" t="str">
        <f t="shared" si="92"/>
        <v>IEC</v>
      </c>
      <c r="J136" s="50">
        <f t="shared" si="92"/>
        <v>10.5</v>
      </c>
      <c r="K136" s="49">
        <f t="shared" si="92"/>
        <v>160</v>
      </c>
      <c r="L136" s="44">
        <f t="shared" si="92"/>
        <v>8</v>
      </c>
      <c r="M136" s="44">
        <f t="shared" si="92"/>
        <v>0</v>
      </c>
      <c r="N136" s="45">
        <f t="shared" si="69"/>
        <v>0.2</v>
      </c>
      <c r="O136" s="49">
        <v>30</v>
      </c>
      <c r="P136" s="54">
        <f t="shared" si="98"/>
        <v>165.25</v>
      </c>
      <c r="Q136" s="44">
        <f t="shared" si="93"/>
        <v>150</v>
      </c>
      <c r="R136" s="50">
        <f t="shared" si="93"/>
        <v>210</v>
      </c>
    </row>
    <row r="137" spans="1:18" x14ac:dyDescent="0.25">
      <c r="A137" s="229">
        <f t="shared" si="58"/>
        <v>2647</v>
      </c>
      <c r="B137" s="230">
        <f t="shared" si="59"/>
        <v>127</v>
      </c>
      <c r="C137" s="229" t="str">
        <f t="shared" si="99"/>
        <v>L23X12#000_060_04</v>
      </c>
      <c r="D137" s="43">
        <f t="shared" si="79"/>
        <v>11.8</v>
      </c>
      <c r="E137" s="61">
        <f t="shared" si="51"/>
        <v>2.0230000000000001</v>
      </c>
      <c r="F137" s="61">
        <f t="shared" si="52"/>
        <v>42</v>
      </c>
      <c r="G137" s="64">
        <f t="shared" si="53"/>
        <v>0.74204946996466425</v>
      </c>
      <c r="H137" s="51">
        <f t="shared" si="54"/>
        <v>4.9538480565371028</v>
      </c>
      <c r="I137" s="42" t="str">
        <f t="shared" si="92"/>
        <v>IEC</v>
      </c>
      <c r="J137" s="50">
        <f t="shared" si="92"/>
        <v>10.5</v>
      </c>
      <c r="K137" s="49">
        <f t="shared" si="92"/>
        <v>160</v>
      </c>
      <c r="L137" s="44">
        <f t="shared" si="92"/>
        <v>8</v>
      </c>
      <c r="M137" s="44">
        <f t="shared" si="92"/>
        <v>0</v>
      </c>
      <c r="N137" s="45">
        <f t="shared" si="69"/>
        <v>0.2</v>
      </c>
      <c r="O137" s="49">
        <v>60</v>
      </c>
      <c r="P137" s="54">
        <f t="shared" si="98"/>
        <v>165.25</v>
      </c>
      <c r="Q137" s="44">
        <f t="shared" si="93"/>
        <v>150</v>
      </c>
      <c r="R137" s="50">
        <f t="shared" si="93"/>
        <v>210</v>
      </c>
    </row>
    <row r="138" spans="1:18" x14ac:dyDescent="0.25">
      <c r="A138" s="229">
        <f t="shared" si="58"/>
        <v>2648</v>
      </c>
      <c r="B138" s="230">
        <f t="shared" si="59"/>
        <v>128</v>
      </c>
      <c r="C138" s="229" t="str">
        <f t="shared" si="99"/>
        <v>L23X12#000_090_04</v>
      </c>
      <c r="D138" s="43">
        <f t="shared" si="79"/>
        <v>11.8</v>
      </c>
      <c r="E138" s="61">
        <f t="shared" si="51"/>
        <v>2.0230000000000001</v>
      </c>
      <c r="F138" s="61">
        <f t="shared" si="52"/>
        <v>42</v>
      </c>
      <c r="G138" s="64">
        <f t="shared" si="53"/>
        <v>0.74204946996466425</v>
      </c>
      <c r="H138" s="51">
        <f t="shared" si="54"/>
        <v>4.9538480565371028</v>
      </c>
      <c r="I138" s="42" t="str">
        <f t="shared" si="92"/>
        <v>IEC</v>
      </c>
      <c r="J138" s="50">
        <f t="shared" si="92"/>
        <v>10.5</v>
      </c>
      <c r="K138" s="49">
        <f t="shared" si="92"/>
        <v>160</v>
      </c>
      <c r="L138" s="44">
        <f t="shared" si="92"/>
        <v>8</v>
      </c>
      <c r="M138" s="44">
        <f t="shared" si="92"/>
        <v>0</v>
      </c>
      <c r="N138" s="45">
        <f t="shared" si="69"/>
        <v>0.2</v>
      </c>
      <c r="O138" s="49">
        <v>90</v>
      </c>
      <c r="P138" s="54">
        <f>K138+5.25</f>
        <v>165.25</v>
      </c>
      <c r="Q138" s="44">
        <f t="shared" si="93"/>
        <v>150</v>
      </c>
      <c r="R138" s="50">
        <f t="shared" si="93"/>
        <v>210</v>
      </c>
    </row>
    <row r="139" spans="1:18" x14ac:dyDescent="0.25">
      <c r="A139" s="229">
        <f t="shared" si="58"/>
        <v>2649</v>
      </c>
      <c r="B139" s="230">
        <f t="shared" si="59"/>
        <v>129</v>
      </c>
      <c r="C139" s="229" t="str">
        <f>TEXT(RIGHT($B$2,LEN($B$2)-3),"L00")&amp;"X"&amp;TEXT(D139,"00")&amp;"#"&amp;IF(M139&lt;0,TEXT(360+M139,"000"),TEXT(M139,"000"))&amp;"_"&amp;TEXT(O139,"000")&amp;"_01"</f>
        <v>L23X12#008_000_01</v>
      </c>
      <c r="D139" s="43">
        <f t="shared" si="79"/>
        <v>11.8</v>
      </c>
      <c r="E139" s="61">
        <f t="shared" ref="E139:E202" si="100">I_ref*(0.75*D139+5.6)</f>
        <v>2.0230000000000001</v>
      </c>
      <c r="F139" s="61">
        <f t="shared" ref="F139:F202" si="101">tur_scale</f>
        <v>42</v>
      </c>
      <c r="G139" s="64">
        <f t="shared" ref="G139:G202" si="102">1/(1+0.1*(diameter/F139))</f>
        <v>0.74204946996466425</v>
      </c>
      <c r="H139" s="51">
        <f t="shared" ref="H139:H202" si="103">MIN(1.35*(v_e1-D139),3.3*E139*G139)</f>
        <v>4.9538480565371028</v>
      </c>
      <c r="I139" s="42" t="str">
        <f t="shared" si="92"/>
        <v>IEC</v>
      </c>
      <c r="J139" s="50">
        <f t="shared" si="92"/>
        <v>10.5</v>
      </c>
      <c r="K139" s="49">
        <f t="shared" si="92"/>
        <v>160</v>
      </c>
      <c r="L139" s="44">
        <f t="shared" si="92"/>
        <v>8</v>
      </c>
      <c r="M139" s="44">
        <f>yaw_max</f>
        <v>8</v>
      </c>
      <c r="N139" s="45">
        <f t="shared" si="69"/>
        <v>0.2</v>
      </c>
      <c r="O139" s="49">
        <v>0</v>
      </c>
      <c r="P139" s="52">
        <f>K139</f>
        <v>160</v>
      </c>
      <c r="Q139" s="44">
        <f t="shared" si="93"/>
        <v>150</v>
      </c>
      <c r="R139" s="50">
        <f t="shared" si="93"/>
        <v>210</v>
      </c>
    </row>
    <row r="140" spans="1:18" x14ac:dyDescent="0.25">
      <c r="A140" s="229">
        <f t="shared" si="58"/>
        <v>2650</v>
      </c>
      <c r="B140" s="230">
        <f t="shared" si="59"/>
        <v>130</v>
      </c>
      <c r="C140" s="229" t="str">
        <f t="shared" ref="C140:C142" si="104">TEXT(RIGHT($B$2,LEN($B$2)-3),"L00")&amp;"X"&amp;TEXT(D140,"00")&amp;"#"&amp;IF(M140&lt;0,TEXT(360+M140,"000"),TEXT(M140,"000"))&amp;"_"&amp;TEXT(O140,"000")&amp;"_01"</f>
        <v>L23X12#008_030_01</v>
      </c>
      <c r="D140" s="43">
        <f t="shared" si="79"/>
        <v>11.8</v>
      </c>
      <c r="E140" s="61">
        <f t="shared" si="100"/>
        <v>2.0230000000000001</v>
      </c>
      <c r="F140" s="61">
        <f t="shared" si="101"/>
        <v>42</v>
      </c>
      <c r="G140" s="64">
        <f t="shared" si="102"/>
        <v>0.74204946996466425</v>
      </c>
      <c r="H140" s="51">
        <f t="shared" si="103"/>
        <v>4.9538480565371028</v>
      </c>
      <c r="I140" s="42" t="str">
        <f>I139</f>
        <v>IEC</v>
      </c>
      <c r="J140" s="50">
        <f t="shared" si="92"/>
        <v>10.5</v>
      </c>
      <c r="K140" s="49">
        <f>K139</f>
        <v>160</v>
      </c>
      <c r="L140" s="44">
        <f>L139</f>
        <v>8</v>
      </c>
      <c r="M140" s="44">
        <f>M139</f>
        <v>8</v>
      </c>
      <c r="N140" s="45">
        <f t="shared" si="69"/>
        <v>0.2</v>
      </c>
      <c r="O140" s="49">
        <v>30</v>
      </c>
      <c r="P140" s="52">
        <f t="shared" ref="P140:P142" si="105">K140</f>
        <v>160</v>
      </c>
      <c r="Q140" s="44">
        <f t="shared" si="93"/>
        <v>150</v>
      </c>
      <c r="R140" s="50">
        <f>R139</f>
        <v>210</v>
      </c>
    </row>
    <row r="141" spans="1:18" x14ac:dyDescent="0.25">
      <c r="A141" s="229">
        <f t="shared" ref="A141:A202" si="106">A140+1</f>
        <v>2651</v>
      </c>
      <c r="B141" s="230">
        <f t="shared" ref="B141:B202" si="107">B140+1</f>
        <v>131</v>
      </c>
      <c r="C141" s="229" t="str">
        <f t="shared" si="104"/>
        <v>L23X12#008_060_01</v>
      </c>
      <c r="D141" s="43">
        <f t="shared" si="79"/>
        <v>11.8</v>
      </c>
      <c r="E141" s="61">
        <f t="shared" si="100"/>
        <v>2.0230000000000001</v>
      </c>
      <c r="F141" s="61">
        <f t="shared" si="101"/>
        <v>42</v>
      </c>
      <c r="G141" s="64">
        <f t="shared" si="102"/>
        <v>0.74204946996466425</v>
      </c>
      <c r="H141" s="51">
        <f t="shared" si="103"/>
        <v>4.9538480565371028</v>
      </c>
      <c r="I141" s="42" t="str">
        <f t="shared" ref="I141:M156" si="108">I140</f>
        <v>IEC</v>
      </c>
      <c r="J141" s="50">
        <f t="shared" si="108"/>
        <v>10.5</v>
      </c>
      <c r="K141" s="49">
        <f t="shared" si="108"/>
        <v>160</v>
      </c>
      <c r="L141" s="44">
        <f t="shared" si="108"/>
        <v>8</v>
      </c>
      <c r="M141" s="44">
        <f t="shared" si="108"/>
        <v>8</v>
      </c>
      <c r="N141" s="45">
        <f t="shared" si="69"/>
        <v>0.2</v>
      </c>
      <c r="O141" s="49">
        <v>60</v>
      </c>
      <c r="P141" s="52">
        <f t="shared" si="105"/>
        <v>160</v>
      </c>
      <c r="Q141" s="44">
        <f t="shared" ref="Q141:R156" si="109">Q140</f>
        <v>150</v>
      </c>
      <c r="R141" s="50">
        <f t="shared" si="109"/>
        <v>210</v>
      </c>
    </row>
    <row r="142" spans="1:18" x14ac:dyDescent="0.25">
      <c r="A142" s="229">
        <f t="shared" si="106"/>
        <v>2652</v>
      </c>
      <c r="B142" s="230">
        <f t="shared" si="107"/>
        <v>132</v>
      </c>
      <c r="C142" s="229" t="str">
        <f t="shared" si="104"/>
        <v>L23X12#008_090_01</v>
      </c>
      <c r="D142" s="43">
        <f t="shared" si="79"/>
        <v>11.8</v>
      </c>
      <c r="E142" s="61">
        <f t="shared" si="100"/>
        <v>2.0230000000000001</v>
      </c>
      <c r="F142" s="61">
        <f t="shared" si="101"/>
        <v>42</v>
      </c>
      <c r="G142" s="64">
        <f t="shared" si="102"/>
        <v>0.74204946996466425</v>
      </c>
      <c r="H142" s="51">
        <f t="shared" si="103"/>
        <v>4.9538480565371028</v>
      </c>
      <c r="I142" s="42" t="str">
        <f t="shared" si="108"/>
        <v>IEC</v>
      </c>
      <c r="J142" s="50">
        <f t="shared" si="108"/>
        <v>10.5</v>
      </c>
      <c r="K142" s="49">
        <f t="shared" si="108"/>
        <v>160</v>
      </c>
      <c r="L142" s="44">
        <f t="shared" si="108"/>
        <v>8</v>
      </c>
      <c r="M142" s="44">
        <f t="shared" si="108"/>
        <v>8</v>
      </c>
      <c r="N142" s="45">
        <f t="shared" si="69"/>
        <v>0.2</v>
      </c>
      <c r="O142" s="49">
        <v>90</v>
      </c>
      <c r="P142" s="52">
        <f t="shared" si="105"/>
        <v>160</v>
      </c>
      <c r="Q142" s="44">
        <f t="shared" si="109"/>
        <v>150</v>
      </c>
      <c r="R142" s="50">
        <f t="shared" si="109"/>
        <v>210</v>
      </c>
    </row>
    <row r="143" spans="1:18" x14ac:dyDescent="0.25">
      <c r="A143" s="229">
        <f t="shared" si="106"/>
        <v>2653</v>
      </c>
      <c r="B143" s="230">
        <f t="shared" si="107"/>
        <v>133</v>
      </c>
      <c r="C143" s="229" t="str">
        <f>TEXT(RIGHT($B$2,LEN($B$2)-3),"L00")&amp;"X"&amp;TEXT(D143,"00")&amp;"#"&amp;IF(M143&lt;0,TEXT(360+M143,"000"),TEXT(M143,"000"))&amp;"_"&amp;TEXT(O143,"000")&amp;"_02"</f>
        <v>L23X12#008_000_02</v>
      </c>
      <c r="D143" s="43">
        <f t="shared" si="79"/>
        <v>11.8</v>
      </c>
      <c r="E143" s="61">
        <f t="shared" si="100"/>
        <v>2.0230000000000001</v>
      </c>
      <c r="F143" s="61">
        <f t="shared" si="101"/>
        <v>42</v>
      </c>
      <c r="G143" s="64">
        <f t="shared" si="102"/>
        <v>0.74204946996466425</v>
      </c>
      <c r="H143" s="51">
        <f t="shared" si="103"/>
        <v>4.9538480565371028</v>
      </c>
      <c r="I143" s="42" t="str">
        <f t="shared" si="108"/>
        <v>IEC</v>
      </c>
      <c r="J143" s="50">
        <f t="shared" si="108"/>
        <v>10.5</v>
      </c>
      <c r="K143" s="49">
        <f t="shared" si="108"/>
        <v>160</v>
      </c>
      <c r="L143" s="44">
        <f t="shared" si="108"/>
        <v>8</v>
      </c>
      <c r="M143" s="44">
        <f t="shared" si="108"/>
        <v>8</v>
      </c>
      <c r="N143" s="45">
        <f t="shared" si="69"/>
        <v>0.2</v>
      </c>
      <c r="O143" s="49">
        <v>0</v>
      </c>
      <c r="P143" s="54">
        <f>K143+2.46</f>
        <v>162.46</v>
      </c>
      <c r="Q143" s="44">
        <f t="shared" si="109"/>
        <v>150</v>
      </c>
      <c r="R143" s="50">
        <f t="shared" si="109"/>
        <v>210</v>
      </c>
    </row>
    <row r="144" spans="1:18" x14ac:dyDescent="0.25">
      <c r="A144" s="229">
        <f t="shared" si="106"/>
        <v>2654</v>
      </c>
      <c r="B144" s="230">
        <f t="shared" si="107"/>
        <v>134</v>
      </c>
      <c r="C144" s="229" t="str">
        <f t="shared" ref="C144:C146" si="110">TEXT(RIGHT($B$2,LEN($B$2)-3),"L00")&amp;"X"&amp;TEXT(D144,"00")&amp;"#"&amp;IF(M144&lt;0,TEXT(360+M144,"000"),TEXT(M144,"000"))&amp;"_"&amp;TEXT(O144,"000")&amp;"_02"</f>
        <v>L23X12#008_030_02</v>
      </c>
      <c r="D144" s="43">
        <f t="shared" si="79"/>
        <v>11.8</v>
      </c>
      <c r="E144" s="61">
        <f t="shared" si="100"/>
        <v>2.0230000000000001</v>
      </c>
      <c r="F144" s="61">
        <f t="shared" si="101"/>
        <v>42</v>
      </c>
      <c r="G144" s="64">
        <f t="shared" si="102"/>
        <v>0.74204946996466425</v>
      </c>
      <c r="H144" s="51">
        <f t="shared" si="103"/>
        <v>4.9538480565371028</v>
      </c>
      <c r="I144" s="42" t="str">
        <f t="shared" si="108"/>
        <v>IEC</v>
      </c>
      <c r="J144" s="50">
        <f t="shared" si="108"/>
        <v>10.5</v>
      </c>
      <c r="K144" s="49">
        <f t="shared" si="108"/>
        <v>160</v>
      </c>
      <c r="L144" s="44">
        <f t="shared" si="108"/>
        <v>8</v>
      </c>
      <c r="M144" s="44">
        <f t="shared" si="108"/>
        <v>8</v>
      </c>
      <c r="N144" s="45">
        <f t="shared" si="69"/>
        <v>0.2</v>
      </c>
      <c r="O144" s="49">
        <v>30</v>
      </c>
      <c r="P144" s="54">
        <f>K144+2.46</f>
        <v>162.46</v>
      </c>
      <c r="Q144" s="44">
        <f t="shared" si="109"/>
        <v>150</v>
      </c>
      <c r="R144" s="50">
        <f t="shared" si="109"/>
        <v>210</v>
      </c>
    </row>
    <row r="145" spans="1:18" x14ac:dyDescent="0.25">
      <c r="A145" s="229">
        <f t="shared" si="106"/>
        <v>2655</v>
      </c>
      <c r="B145" s="230">
        <f t="shared" si="107"/>
        <v>135</v>
      </c>
      <c r="C145" s="229" t="str">
        <f t="shared" si="110"/>
        <v>L23X12#008_060_02</v>
      </c>
      <c r="D145" s="43">
        <f t="shared" si="79"/>
        <v>11.8</v>
      </c>
      <c r="E145" s="61">
        <f t="shared" si="100"/>
        <v>2.0230000000000001</v>
      </c>
      <c r="F145" s="61">
        <f t="shared" si="101"/>
        <v>42</v>
      </c>
      <c r="G145" s="64">
        <f t="shared" si="102"/>
        <v>0.74204946996466425</v>
      </c>
      <c r="H145" s="51">
        <f t="shared" si="103"/>
        <v>4.9538480565371028</v>
      </c>
      <c r="I145" s="42" t="str">
        <f t="shared" si="108"/>
        <v>IEC</v>
      </c>
      <c r="J145" s="50">
        <f t="shared" si="108"/>
        <v>10.5</v>
      </c>
      <c r="K145" s="49">
        <f t="shared" si="108"/>
        <v>160</v>
      </c>
      <c r="L145" s="44">
        <f t="shared" si="108"/>
        <v>8</v>
      </c>
      <c r="M145" s="44">
        <f t="shared" si="108"/>
        <v>8</v>
      </c>
      <c r="N145" s="45">
        <f t="shared" si="69"/>
        <v>0.2</v>
      </c>
      <c r="O145" s="49">
        <v>60</v>
      </c>
      <c r="P145" s="54">
        <f>K145+2.46</f>
        <v>162.46</v>
      </c>
      <c r="Q145" s="44">
        <f t="shared" si="109"/>
        <v>150</v>
      </c>
      <c r="R145" s="50">
        <f t="shared" si="109"/>
        <v>210</v>
      </c>
    </row>
    <row r="146" spans="1:18" x14ac:dyDescent="0.25">
      <c r="A146" s="229">
        <f t="shared" si="106"/>
        <v>2656</v>
      </c>
      <c r="B146" s="230">
        <f t="shared" si="107"/>
        <v>136</v>
      </c>
      <c r="C146" s="229" t="str">
        <f t="shared" si="110"/>
        <v>L23X12#008_090_02</v>
      </c>
      <c r="D146" s="43">
        <f t="shared" si="79"/>
        <v>11.8</v>
      </c>
      <c r="E146" s="61">
        <f t="shared" si="100"/>
        <v>2.0230000000000001</v>
      </c>
      <c r="F146" s="61">
        <f t="shared" si="101"/>
        <v>42</v>
      </c>
      <c r="G146" s="64">
        <f t="shared" si="102"/>
        <v>0.74204946996466425</v>
      </c>
      <c r="H146" s="51">
        <f t="shared" si="103"/>
        <v>4.9538480565371028</v>
      </c>
      <c r="I146" s="42" t="str">
        <f t="shared" si="108"/>
        <v>IEC</v>
      </c>
      <c r="J146" s="50">
        <f t="shared" si="108"/>
        <v>10.5</v>
      </c>
      <c r="K146" s="49">
        <f t="shared" si="108"/>
        <v>160</v>
      </c>
      <c r="L146" s="44">
        <f t="shared" si="108"/>
        <v>8</v>
      </c>
      <c r="M146" s="44">
        <f t="shared" si="108"/>
        <v>8</v>
      </c>
      <c r="N146" s="45">
        <f t="shared" si="69"/>
        <v>0.2</v>
      </c>
      <c r="O146" s="49">
        <v>90</v>
      </c>
      <c r="P146" s="54">
        <f>K146+2.46</f>
        <v>162.46</v>
      </c>
      <c r="Q146" s="44">
        <f t="shared" si="109"/>
        <v>150</v>
      </c>
      <c r="R146" s="50">
        <f t="shared" si="109"/>
        <v>210</v>
      </c>
    </row>
    <row r="147" spans="1:18" x14ac:dyDescent="0.25">
      <c r="A147" s="229">
        <f t="shared" si="106"/>
        <v>2657</v>
      </c>
      <c r="B147" s="230">
        <f t="shared" si="107"/>
        <v>137</v>
      </c>
      <c r="C147" s="229" t="str">
        <f>TEXT(RIGHT($B$2,LEN($B$2)-3),"L00")&amp;"X"&amp;TEXT(D147,"00")&amp;"#"&amp;IF(M147&lt;0,TEXT(360+M147,"000"),TEXT(M147,"000"))&amp;"_"&amp;TEXT(O147,"000")&amp;"_03"</f>
        <v>L23X12#008_000_03</v>
      </c>
      <c r="D147" s="43">
        <f t="shared" si="79"/>
        <v>11.8</v>
      </c>
      <c r="E147" s="61">
        <f t="shared" si="100"/>
        <v>2.0230000000000001</v>
      </c>
      <c r="F147" s="61">
        <f t="shared" si="101"/>
        <v>42</v>
      </c>
      <c r="G147" s="64">
        <f t="shared" si="102"/>
        <v>0.74204946996466425</v>
      </c>
      <c r="H147" s="51">
        <f t="shared" si="103"/>
        <v>4.9538480565371028</v>
      </c>
      <c r="I147" s="42" t="str">
        <f t="shared" si="108"/>
        <v>IEC</v>
      </c>
      <c r="J147" s="50">
        <f t="shared" si="108"/>
        <v>10.5</v>
      </c>
      <c r="K147" s="49">
        <f t="shared" si="108"/>
        <v>160</v>
      </c>
      <c r="L147" s="44">
        <f t="shared" si="108"/>
        <v>8</v>
      </c>
      <c r="M147" s="44">
        <f t="shared" si="108"/>
        <v>8</v>
      </c>
      <c r="N147" s="45">
        <f t="shared" si="69"/>
        <v>0.2</v>
      </c>
      <c r="O147" s="49">
        <v>0</v>
      </c>
      <c r="P147" s="54">
        <f t="shared" ref="P147:P148" si="111">K147+4</f>
        <v>164</v>
      </c>
      <c r="Q147" s="44">
        <f t="shared" si="109"/>
        <v>150</v>
      </c>
      <c r="R147" s="50">
        <f t="shared" si="109"/>
        <v>210</v>
      </c>
    </row>
    <row r="148" spans="1:18" x14ac:dyDescent="0.25">
      <c r="A148" s="229">
        <f t="shared" si="106"/>
        <v>2658</v>
      </c>
      <c r="B148" s="230">
        <f t="shared" si="107"/>
        <v>138</v>
      </c>
      <c r="C148" s="229" t="str">
        <f t="shared" ref="C148:C150" si="112">TEXT(RIGHT($B$2,LEN($B$2)-3),"L00")&amp;"X"&amp;TEXT(D148,"00")&amp;"#"&amp;IF(M148&lt;0,TEXT(360+M148,"000"),TEXT(M148,"000"))&amp;"_"&amp;TEXT(O148,"000")&amp;"_03"</f>
        <v>L23X12#008_030_03</v>
      </c>
      <c r="D148" s="43">
        <f t="shared" si="79"/>
        <v>11.8</v>
      </c>
      <c r="E148" s="61">
        <f t="shared" si="100"/>
        <v>2.0230000000000001</v>
      </c>
      <c r="F148" s="61">
        <f t="shared" si="101"/>
        <v>42</v>
      </c>
      <c r="G148" s="64">
        <f t="shared" si="102"/>
        <v>0.74204946996466425</v>
      </c>
      <c r="H148" s="51">
        <f t="shared" si="103"/>
        <v>4.9538480565371028</v>
      </c>
      <c r="I148" s="42" t="str">
        <f t="shared" si="108"/>
        <v>IEC</v>
      </c>
      <c r="J148" s="50">
        <f t="shared" si="108"/>
        <v>10.5</v>
      </c>
      <c r="K148" s="49">
        <f t="shared" si="108"/>
        <v>160</v>
      </c>
      <c r="L148" s="44">
        <f t="shared" si="108"/>
        <v>8</v>
      </c>
      <c r="M148" s="44">
        <f t="shared" si="108"/>
        <v>8</v>
      </c>
      <c r="N148" s="45">
        <f t="shared" si="69"/>
        <v>0.2</v>
      </c>
      <c r="O148" s="49">
        <v>30</v>
      </c>
      <c r="P148" s="54">
        <f t="shared" si="111"/>
        <v>164</v>
      </c>
      <c r="Q148" s="44">
        <f t="shared" si="109"/>
        <v>150</v>
      </c>
      <c r="R148" s="50">
        <f t="shared" si="109"/>
        <v>210</v>
      </c>
    </row>
    <row r="149" spans="1:18" x14ac:dyDescent="0.25">
      <c r="A149" s="229">
        <f t="shared" si="106"/>
        <v>2659</v>
      </c>
      <c r="B149" s="230">
        <f t="shared" si="107"/>
        <v>139</v>
      </c>
      <c r="C149" s="229" t="str">
        <f t="shared" si="112"/>
        <v>L23X12#008_060_03</v>
      </c>
      <c r="D149" s="43">
        <f t="shared" si="79"/>
        <v>11.8</v>
      </c>
      <c r="E149" s="61">
        <f t="shared" si="100"/>
        <v>2.0230000000000001</v>
      </c>
      <c r="F149" s="61">
        <f t="shared" si="101"/>
        <v>42</v>
      </c>
      <c r="G149" s="64">
        <f t="shared" si="102"/>
        <v>0.74204946996466425</v>
      </c>
      <c r="H149" s="51">
        <f t="shared" si="103"/>
        <v>4.9538480565371028</v>
      </c>
      <c r="I149" s="42" t="str">
        <f t="shared" si="108"/>
        <v>IEC</v>
      </c>
      <c r="J149" s="50">
        <f t="shared" si="108"/>
        <v>10.5</v>
      </c>
      <c r="K149" s="49">
        <f t="shared" si="108"/>
        <v>160</v>
      </c>
      <c r="L149" s="44">
        <f t="shared" si="108"/>
        <v>8</v>
      </c>
      <c r="M149" s="44">
        <f t="shared" si="108"/>
        <v>8</v>
      </c>
      <c r="N149" s="45">
        <f t="shared" si="69"/>
        <v>0.2</v>
      </c>
      <c r="O149" s="49">
        <v>60</v>
      </c>
      <c r="P149" s="54">
        <f>K149+4</f>
        <v>164</v>
      </c>
      <c r="Q149" s="44">
        <f t="shared" si="109"/>
        <v>150</v>
      </c>
      <c r="R149" s="50">
        <f t="shared" si="109"/>
        <v>210</v>
      </c>
    </row>
    <row r="150" spans="1:18" x14ac:dyDescent="0.25">
      <c r="A150" s="229">
        <f t="shared" si="106"/>
        <v>2660</v>
      </c>
      <c r="B150" s="230">
        <f t="shared" si="107"/>
        <v>140</v>
      </c>
      <c r="C150" s="229" t="str">
        <f t="shared" si="112"/>
        <v>L23X12#008_090_03</v>
      </c>
      <c r="D150" s="43">
        <f t="shared" si="79"/>
        <v>11.8</v>
      </c>
      <c r="E150" s="61">
        <f t="shared" si="100"/>
        <v>2.0230000000000001</v>
      </c>
      <c r="F150" s="61">
        <f t="shared" si="101"/>
        <v>42</v>
      </c>
      <c r="G150" s="64">
        <f t="shared" si="102"/>
        <v>0.74204946996466425</v>
      </c>
      <c r="H150" s="51">
        <f t="shared" si="103"/>
        <v>4.9538480565371028</v>
      </c>
      <c r="I150" s="42" t="str">
        <f t="shared" si="108"/>
        <v>IEC</v>
      </c>
      <c r="J150" s="50">
        <f t="shared" si="108"/>
        <v>10.5</v>
      </c>
      <c r="K150" s="49">
        <f t="shared" si="108"/>
        <v>160</v>
      </c>
      <c r="L150" s="44">
        <f t="shared" si="108"/>
        <v>8</v>
      </c>
      <c r="M150" s="44">
        <f t="shared" si="108"/>
        <v>8</v>
      </c>
      <c r="N150" s="45">
        <f t="shared" si="69"/>
        <v>0.2</v>
      </c>
      <c r="O150" s="49">
        <v>90</v>
      </c>
      <c r="P150" s="54">
        <f t="shared" ref="P150" si="113">K150+4</f>
        <v>164</v>
      </c>
      <c r="Q150" s="44">
        <f t="shared" si="109"/>
        <v>150</v>
      </c>
      <c r="R150" s="50">
        <f t="shared" si="109"/>
        <v>210</v>
      </c>
    </row>
    <row r="151" spans="1:18" x14ac:dyDescent="0.25">
      <c r="A151" s="229">
        <f t="shared" si="106"/>
        <v>2661</v>
      </c>
      <c r="B151" s="230">
        <f t="shared" si="107"/>
        <v>141</v>
      </c>
      <c r="C151" s="229" t="str">
        <f>TEXT(RIGHT($B$2,LEN($B$2)-3),"L00")&amp;"X"&amp;TEXT(D151,"00")&amp;"#"&amp;IF(M151&lt;0,TEXT(360+M151,"000"),TEXT(M151,"000"))&amp;"_"&amp;TEXT(O151,"000")&amp;"_04"</f>
        <v>L23X12#008_000_04</v>
      </c>
      <c r="D151" s="43">
        <f t="shared" si="79"/>
        <v>11.8</v>
      </c>
      <c r="E151" s="61">
        <f t="shared" si="100"/>
        <v>2.0230000000000001</v>
      </c>
      <c r="F151" s="61">
        <f t="shared" si="101"/>
        <v>42</v>
      </c>
      <c r="G151" s="64">
        <f t="shared" si="102"/>
        <v>0.74204946996466425</v>
      </c>
      <c r="H151" s="51">
        <f t="shared" si="103"/>
        <v>4.9538480565371028</v>
      </c>
      <c r="I151" s="42" t="str">
        <f t="shared" si="108"/>
        <v>IEC</v>
      </c>
      <c r="J151" s="50">
        <f t="shared" si="108"/>
        <v>10.5</v>
      </c>
      <c r="K151" s="49">
        <f t="shared" si="108"/>
        <v>160</v>
      </c>
      <c r="L151" s="44">
        <f t="shared" si="108"/>
        <v>8</v>
      </c>
      <c r="M151" s="44">
        <f t="shared" si="108"/>
        <v>8</v>
      </c>
      <c r="N151" s="45">
        <f t="shared" si="69"/>
        <v>0.2</v>
      </c>
      <c r="O151" s="49">
        <v>0</v>
      </c>
      <c r="P151" s="54">
        <f t="shared" ref="P151:P153" si="114">K151+5.25</f>
        <v>165.25</v>
      </c>
      <c r="Q151" s="44">
        <f t="shared" si="109"/>
        <v>150</v>
      </c>
      <c r="R151" s="50">
        <f t="shared" si="109"/>
        <v>210</v>
      </c>
    </row>
    <row r="152" spans="1:18" x14ac:dyDescent="0.25">
      <c r="A152" s="229">
        <f t="shared" si="106"/>
        <v>2662</v>
      </c>
      <c r="B152" s="230">
        <f t="shared" si="107"/>
        <v>142</v>
      </c>
      <c r="C152" s="229" t="str">
        <f t="shared" ref="C152:C154" si="115">TEXT(RIGHT($B$2,LEN($B$2)-3),"L00")&amp;"X"&amp;TEXT(D152,"00")&amp;"#"&amp;IF(M152&lt;0,TEXT(360+M152,"000"),TEXT(M152,"000"))&amp;"_"&amp;TEXT(O152,"000")&amp;"_04"</f>
        <v>L23X12#008_030_04</v>
      </c>
      <c r="D152" s="43">
        <f t="shared" si="79"/>
        <v>11.8</v>
      </c>
      <c r="E152" s="61">
        <f t="shared" si="100"/>
        <v>2.0230000000000001</v>
      </c>
      <c r="F152" s="61">
        <f t="shared" si="101"/>
        <v>42</v>
      </c>
      <c r="G152" s="64">
        <f t="shared" si="102"/>
        <v>0.74204946996466425</v>
      </c>
      <c r="H152" s="51">
        <f t="shared" si="103"/>
        <v>4.9538480565371028</v>
      </c>
      <c r="I152" s="42" t="str">
        <f t="shared" si="108"/>
        <v>IEC</v>
      </c>
      <c r="J152" s="50">
        <f t="shared" si="108"/>
        <v>10.5</v>
      </c>
      <c r="K152" s="49">
        <f t="shared" si="108"/>
        <v>160</v>
      </c>
      <c r="L152" s="44">
        <f t="shared" si="108"/>
        <v>8</v>
      </c>
      <c r="M152" s="44">
        <f t="shared" si="108"/>
        <v>8</v>
      </c>
      <c r="N152" s="45">
        <f t="shared" si="69"/>
        <v>0.2</v>
      </c>
      <c r="O152" s="49">
        <v>30</v>
      </c>
      <c r="P152" s="54">
        <f t="shared" si="114"/>
        <v>165.25</v>
      </c>
      <c r="Q152" s="44">
        <f t="shared" si="109"/>
        <v>150</v>
      </c>
      <c r="R152" s="50">
        <f t="shared" si="109"/>
        <v>210</v>
      </c>
    </row>
    <row r="153" spans="1:18" x14ac:dyDescent="0.25">
      <c r="A153" s="229">
        <f t="shared" si="106"/>
        <v>2663</v>
      </c>
      <c r="B153" s="230">
        <f t="shared" si="107"/>
        <v>143</v>
      </c>
      <c r="C153" s="229" t="str">
        <f t="shared" si="115"/>
        <v>L23X12#008_060_04</v>
      </c>
      <c r="D153" s="43">
        <f t="shared" si="79"/>
        <v>11.8</v>
      </c>
      <c r="E153" s="61">
        <f t="shared" si="100"/>
        <v>2.0230000000000001</v>
      </c>
      <c r="F153" s="61">
        <f t="shared" si="101"/>
        <v>42</v>
      </c>
      <c r="G153" s="64">
        <f t="shared" si="102"/>
        <v>0.74204946996466425</v>
      </c>
      <c r="H153" s="51">
        <f t="shared" si="103"/>
        <v>4.9538480565371028</v>
      </c>
      <c r="I153" s="42" t="str">
        <f t="shared" si="108"/>
        <v>IEC</v>
      </c>
      <c r="J153" s="50">
        <f t="shared" si="108"/>
        <v>10.5</v>
      </c>
      <c r="K153" s="49">
        <f t="shared" si="108"/>
        <v>160</v>
      </c>
      <c r="L153" s="44">
        <f t="shared" si="108"/>
        <v>8</v>
      </c>
      <c r="M153" s="44">
        <f t="shared" si="108"/>
        <v>8</v>
      </c>
      <c r="N153" s="45">
        <f t="shared" si="69"/>
        <v>0.2</v>
      </c>
      <c r="O153" s="49">
        <v>60</v>
      </c>
      <c r="P153" s="54">
        <f t="shared" si="114"/>
        <v>165.25</v>
      </c>
      <c r="Q153" s="44">
        <f t="shared" si="109"/>
        <v>150</v>
      </c>
      <c r="R153" s="50">
        <f t="shared" si="109"/>
        <v>210</v>
      </c>
    </row>
    <row r="154" spans="1:18" ht="15.75" thickBot="1" x14ac:dyDescent="0.3">
      <c r="A154" s="229">
        <f t="shared" si="106"/>
        <v>2664</v>
      </c>
      <c r="B154" s="230">
        <f t="shared" si="107"/>
        <v>144</v>
      </c>
      <c r="C154" s="229" t="str">
        <f t="shared" si="115"/>
        <v>L23X12#008_090_04</v>
      </c>
      <c r="D154" s="43">
        <f t="shared" si="79"/>
        <v>11.8</v>
      </c>
      <c r="E154" s="61">
        <f t="shared" si="100"/>
        <v>2.0230000000000001</v>
      </c>
      <c r="F154" s="61">
        <f t="shared" si="101"/>
        <v>42</v>
      </c>
      <c r="G154" s="64">
        <f t="shared" si="102"/>
        <v>0.74204946996466425</v>
      </c>
      <c r="H154" s="51">
        <f t="shared" si="103"/>
        <v>4.9538480565371028</v>
      </c>
      <c r="I154" s="42" t="str">
        <f t="shared" si="108"/>
        <v>IEC</v>
      </c>
      <c r="J154" s="50">
        <f t="shared" si="108"/>
        <v>10.5</v>
      </c>
      <c r="K154" s="49">
        <f t="shared" si="108"/>
        <v>160</v>
      </c>
      <c r="L154" s="44">
        <f t="shared" si="108"/>
        <v>8</v>
      </c>
      <c r="M154" s="44">
        <f t="shared" si="108"/>
        <v>8</v>
      </c>
      <c r="N154" s="45">
        <f t="shared" si="69"/>
        <v>0.2</v>
      </c>
      <c r="O154" s="49">
        <v>90</v>
      </c>
      <c r="P154" s="54">
        <f>K154+5.25</f>
        <v>165.25</v>
      </c>
      <c r="Q154" s="44">
        <f t="shared" si="109"/>
        <v>150</v>
      </c>
      <c r="R154" s="50">
        <f t="shared" si="109"/>
        <v>210</v>
      </c>
    </row>
    <row r="155" spans="1:18" x14ac:dyDescent="0.25">
      <c r="A155" s="229">
        <f t="shared" si="106"/>
        <v>2665</v>
      </c>
      <c r="B155" s="230">
        <f t="shared" si="107"/>
        <v>145</v>
      </c>
      <c r="C155" s="229" t="str">
        <f>TEXT(RIGHT($B$2,LEN($B$2)-3),"L00")&amp;"X"&amp;TEXT(D155,"00")&amp;"#"&amp;IF(M155&lt;0,TEXT(360+M155,"000"),TEXT(M155,"000"))&amp;"_"&amp;TEXT(O155,"000")&amp;"_01"</f>
        <v>L23X25#352_000_01</v>
      </c>
      <c r="D155" s="43">
        <f>v_out</f>
        <v>25</v>
      </c>
      <c r="E155" s="61">
        <f t="shared" si="100"/>
        <v>3.4090000000000007</v>
      </c>
      <c r="F155" s="61">
        <f t="shared" si="101"/>
        <v>42</v>
      </c>
      <c r="G155" s="64">
        <f t="shared" si="102"/>
        <v>0.74204946996466425</v>
      </c>
      <c r="H155" s="51">
        <f t="shared" si="103"/>
        <v>8.3478339222614846</v>
      </c>
      <c r="I155" s="42" t="str">
        <f t="shared" si="108"/>
        <v>IEC</v>
      </c>
      <c r="J155" s="50">
        <f t="shared" si="108"/>
        <v>10.5</v>
      </c>
      <c r="K155" s="49">
        <f t="shared" si="108"/>
        <v>160</v>
      </c>
      <c r="L155" s="44">
        <f t="shared" si="108"/>
        <v>8</v>
      </c>
      <c r="M155" s="35">
        <f>yaw_min</f>
        <v>-8</v>
      </c>
      <c r="N155" s="45">
        <f t="shared" si="69"/>
        <v>0.2</v>
      </c>
      <c r="O155" s="49">
        <v>0</v>
      </c>
      <c r="P155" s="52">
        <f>K155</f>
        <v>160</v>
      </c>
      <c r="Q155" s="44">
        <f t="shared" si="109"/>
        <v>150</v>
      </c>
      <c r="R155" s="50">
        <f t="shared" si="109"/>
        <v>210</v>
      </c>
    </row>
    <row r="156" spans="1:18" x14ac:dyDescent="0.25">
      <c r="A156" s="229">
        <f t="shared" si="106"/>
        <v>2666</v>
      </c>
      <c r="B156" s="230">
        <f t="shared" si="107"/>
        <v>146</v>
      </c>
      <c r="C156" s="229" t="str">
        <f t="shared" ref="C156:C158" si="116">TEXT(RIGHT($B$2,LEN($B$2)-3),"L00")&amp;"X"&amp;TEXT(D156,"00")&amp;"#"&amp;IF(M156&lt;0,TEXT(360+M156,"000"),TEXT(M156,"000"))&amp;"_"&amp;TEXT(O156,"000")&amp;"_01"</f>
        <v>L23X25#352_030_01</v>
      </c>
      <c r="D156" s="43">
        <f>D155</f>
        <v>25</v>
      </c>
      <c r="E156" s="61">
        <f t="shared" si="100"/>
        <v>3.4090000000000007</v>
      </c>
      <c r="F156" s="61">
        <f t="shared" si="101"/>
        <v>42</v>
      </c>
      <c r="G156" s="64">
        <f t="shared" si="102"/>
        <v>0.74204946996466425</v>
      </c>
      <c r="H156" s="51">
        <f t="shared" si="103"/>
        <v>8.3478339222614846</v>
      </c>
      <c r="I156" s="42" t="str">
        <f>I155</f>
        <v>IEC</v>
      </c>
      <c r="J156" s="50">
        <f t="shared" si="108"/>
        <v>10.5</v>
      </c>
      <c r="K156" s="49">
        <f>K155</f>
        <v>160</v>
      </c>
      <c r="L156" s="44">
        <f>L155</f>
        <v>8</v>
      </c>
      <c r="M156" s="44">
        <f>M155</f>
        <v>-8</v>
      </c>
      <c r="N156" s="45">
        <f t="shared" ref="N156:N202" si="117">N155</f>
        <v>0.2</v>
      </c>
      <c r="O156" s="49">
        <v>30</v>
      </c>
      <c r="P156" s="52">
        <f t="shared" ref="P156:P158" si="118">K156</f>
        <v>160</v>
      </c>
      <c r="Q156" s="44">
        <f t="shared" si="109"/>
        <v>150</v>
      </c>
      <c r="R156" s="50">
        <f>R155</f>
        <v>210</v>
      </c>
    </row>
    <row r="157" spans="1:18" x14ac:dyDescent="0.25">
      <c r="A157" s="229">
        <f t="shared" si="106"/>
        <v>2667</v>
      </c>
      <c r="B157" s="230">
        <f t="shared" si="107"/>
        <v>147</v>
      </c>
      <c r="C157" s="229" t="str">
        <f t="shared" si="116"/>
        <v>L23X25#352_060_01</v>
      </c>
      <c r="D157" s="169">
        <f t="shared" ref="D157:D202" si="119">D156</f>
        <v>25</v>
      </c>
      <c r="E157" s="61">
        <f t="shared" si="100"/>
        <v>3.4090000000000007</v>
      </c>
      <c r="F157" s="61">
        <f t="shared" si="101"/>
        <v>42</v>
      </c>
      <c r="G157" s="64">
        <f t="shared" si="102"/>
        <v>0.74204946996466425</v>
      </c>
      <c r="H157" s="51">
        <f t="shared" si="103"/>
        <v>8.3478339222614846</v>
      </c>
      <c r="I157" s="42" t="str">
        <f t="shared" ref="I157:M172" si="120">I156</f>
        <v>IEC</v>
      </c>
      <c r="J157" s="50">
        <f t="shared" si="120"/>
        <v>10.5</v>
      </c>
      <c r="K157" s="49">
        <f t="shared" si="120"/>
        <v>160</v>
      </c>
      <c r="L157" s="44">
        <f t="shared" si="120"/>
        <v>8</v>
      </c>
      <c r="M157" s="44">
        <f t="shared" si="120"/>
        <v>-8</v>
      </c>
      <c r="N157" s="45">
        <f t="shared" si="117"/>
        <v>0.2</v>
      </c>
      <c r="O157" s="49">
        <v>60</v>
      </c>
      <c r="P157" s="52">
        <f t="shared" si="118"/>
        <v>160</v>
      </c>
      <c r="Q157" s="44">
        <f t="shared" ref="Q157:R172" si="121">Q156</f>
        <v>150</v>
      </c>
      <c r="R157" s="50">
        <f t="shared" si="121"/>
        <v>210</v>
      </c>
    </row>
    <row r="158" spans="1:18" x14ac:dyDescent="0.25">
      <c r="A158" s="229">
        <f t="shared" si="106"/>
        <v>2668</v>
      </c>
      <c r="B158" s="230">
        <f t="shared" si="107"/>
        <v>148</v>
      </c>
      <c r="C158" s="229" t="str">
        <f t="shared" si="116"/>
        <v>L23X25#352_090_01</v>
      </c>
      <c r="D158" s="169">
        <f t="shared" si="119"/>
        <v>25</v>
      </c>
      <c r="E158" s="61">
        <f t="shared" si="100"/>
        <v>3.4090000000000007</v>
      </c>
      <c r="F158" s="61">
        <f t="shared" si="101"/>
        <v>42</v>
      </c>
      <c r="G158" s="64">
        <f t="shared" si="102"/>
        <v>0.74204946996466425</v>
      </c>
      <c r="H158" s="51">
        <f t="shared" si="103"/>
        <v>8.3478339222614846</v>
      </c>
      <c r="I158" s="42" t="str">
        <f t="shared" si="120"/>
        <v>IEC</v>
      </c>
      <c r="J158" s="50">
        <f t="shared" si="120"/>
        <v>10.5</v>
      </c>
      <c r="K158" s="49">
        <f t="shared" si="120"/>
        <v>160</v>
      </c>
      <c r="L158" s="44">
        <f t="shared" si="120"/>
        <v>8</v>
      </c>
      <c r="M158" s="44">
        <f t="shared" si="120"/>
        <v>-8</v>
      </c>
      <c r="N158" s="45">
        <f t="shared" si="117"/>
        <v>0.2</v>
      </c>
      <c r="O158" s="49">
        <v>90</v>
      </c>
      <c r="P158" s="52">
        <f t="shared" si="118"/>
        <v>160</v>
      </c>
      <c r="Q158" s="44">
        <f t="shared" si="121"/>
        <v>150</v>
      </c>
      <c r="R158" s="50">
        <f t="shared" si="121"/>
        <v>210</v>
      </c>
    </row>
    <row r="159" spans="1:18" x14ac:dyDescent="0.25">
      <c r="A159" s="229">
        <f t="shared" si="106"/>
        <v>2669</v>
      </c>
      <c r="B159" s="230">
        <f t="shared" si="107"/>
        <v>149</v>
      </c>
      <c r="C159" s="229" t="str">
        <f>TEXT(RIGHT($B$2,LEN($B$2)-3),"L00")&amp;"X"&amp;TEXT(D159,"00")&amp;"#"&amp;IF(M159&lt;0,TEXT(360+M159,"000"),TEXT(M159,"000"))&amp;"_"&amp;TEXT(O159,"000")&amp;"_02"</f>
        <v>L23X25#352_000_02</v>
      </c>
      <c r="D159" s="169">
        <f t="shared" si="119"/>
        <v>25</v>
      </c>
      <c r="E159" s="61">
        <f t="shared" si="100"/>
        <v>3.4090000000000007</v>
      </c>
      <c r="F159" s="61">
        <f t="shared" si="101"/>
        <v>42</v>
      </c>
      <c r="G159" s="64">
        <f t="shared" si="102"/>
        <v>0.74204946996466425</v>
      </c>
      <c r="H159" s="51">
        <f t="shared" si="103"/>
        <v>8.3478339222614846</v>
      </c>
      <c r="I159" s="42" t="str">
        <f t="shared" si="120"/>
        <v>IEC</v>
      </c>
      <c r="J159" s="50">
        <f t="shared" si="120"/>
        <v>10.5</v>
      </c>
      <c r="K159" s="49">
        <f t="shared" si="120"/>
        <v>160</v>
      </c>
      <c r="L159" s="44">
        <f t="shared" si="120"/>
        <v>8</v>
      </c>
      <c r="M159" s="44">
        <f t="shared" si="120"/>
        <v>-8</v>
      </c>
      <c r="N159" s="45">
        <f t="shared" si="117"/>
        <v>0.2</v>
      </c>
      <c r="O159" s="49">
        <v>0</v>
      </c>
      <c r="P159" s="54">
        <f>K159+2.46</f>
        <v>162.46</v>
      </c>
      <c r="Q159" s="44">
        <f t="shared" si="121"/>
        <v>150</v>
      </c>
      <c r="R159" s="50">
        <f t="shared" si="121"/>
        <v>210</v>
      </c>
    </row>
    <row r="160" spans="1:18" x14ac:dyDescent="0.25">
      <c r="A160" s="229">
        <f t="shared" si="106"/>
        <v>2670</v>
      </c>
      <c r="B160" s="230">
        <f t="shared" si="107"/>
        <v>150</v>
      </c>
      <c r="C160" s="229" t="str">
        <f t="shared" ref="C160:C162" si="122">TEXT(RIGHT($B$2,LEN($B$2)-3),"L00")&amp;"X"&amp;TEXT(D160,"00")&amp;"#"&amp;IF(M160&lt;0,TEXT(360+M160,"000"),TEXT(M160,"000"))&amp;"_"&amp;TEXT(O160,"000")&amp;"_02"</f>
        <v>L23X25#352_030_02</v>
      </c>
      <c r="D160" s="169">
        <f t="shared" si="119"/>
        <v>25</v>
      </c>
      <c r="E160" s="61">
        <f t="shared" si="100"/>
        <v>3.4090000000000007</v>
      </c>
      <c r="F160" s="61">
        <f t="shared" si="101"/>
        <v>42</v>
      </c>
      <c r="G160" s="64">
        <f t="shared" si="102"/>
        <v>0.74204946996466425</v>
      </c>
      <c r="H160" s="51">
        <f t="shared" si="103"/>
        <v>8.3478339222614846</v>
      </c>
      <c r="I160" s="42" t="str">
        <f t="shared" si="120"/>
        <v>IEC</v>
      </c>
      <c r="J160" s="50">
        <f t="shared" si="120"/>
        <v>10.5</v>
      </c>
      <c r="K160" s="49">
        <f t="shared" si="120"/>
        <v>160</v>
      </c>
      <c r="L160" s="44">
        <f t="shared" si="120"/>
        <v>8</v>
      </c>
      <c r="M160" s="44">
        <f t="shared" si="120"/>
        <v>-8</v>
      </c>
      <c r="N160" s="45">
        <f t="shared" si="117"/>
        <v>0.2</v>
      </c>
      <c r="O160" s="49">
        <v>30</v>
      </c>
      <c r="P160" s="54">
        <f>K160+2.46</f>
        <v>162.46</v>
      </c>
      <c r="Q160" s="44">
        <f t="shared" si="121"/>
        <v>150</v>
      </c>
      <c r="R160" s="50">
        <f t="shared" si="121"/>
        <v>210</v>
      </c>
    </row>
    <row r="161" spans="1:18" x14ac:dyDescent="0.25">
      <c r="A161" s="229">
        <f t="shared" si="106"/>
        <v>2671</v>
      </c>
      <c r="B161" s="230">
        <f t="shared" si="107"/>
        <v>151</v>
      </c>
      <c r="C161" s="229" t="str">
        <f t="shared" si="122"/>
        <v>L23X25#352_060_02</v>
      </c>
      <c r="D161" s="169">
        <f t="shared" si="119"/>
        <v>25</v>
      </c>
      <c r="E161" s="61">
        <f t="shared" si="100"/>
        <v>3.4090000000000007</v>
      </c>
      <c r="F161" s="61">
        <f t="shared" si="101"/>
        <v>42</v>
      </c>
      <c r="G161" s="64">
        <f t="shared" si="102"/>
        <v>0.74204946996466425</v>
      </c>
      <c r="H161" s="51">
        <f t="shared" si="103"/>
        <v>8.3478339222614846</v>
      </c>
      <c r="I161" s="42" t="str">
        <f t="shared" si="120"/>
        <v>IEC</v>
      </c>
      <c r="J161" s="50">
        <f t="shared" si="120"/>
        <v>10.5</v>
      </c>
      <c r="K161" s="49">
        <f t="shared" si="120"/>
        <v>160</v>
      </c>
      <c r="L161" s="44">
        <f t="shared" si="120"/>
        <v>8</v>
      </c>
      <c r="M161" s="44">
        <f t="shared" si="120"/>
        <v>-8</v>
      </c>
      <c r="N161" s="45">
        <f t="shared" si="117"/>
        <v>0.2</v>
      </c>
      <c r="O161" s="49">
        <v>60</v>
      </c>
      <c r="P161" s="54">
        <f>K161+2.46</f>
        <v>162.46</v>
      </c>
      <c r="Q161" s="44">
        <f t="shared" si="121"/>
        <v>150</v>
      </c>
      <c r="R161" s="50">
        <f t="shared" si="121"/>
        <v>210</v>
      </c>
    </row>
    <row r="162" spans="1:18" x14ac:dyDescent="0.25">
      <c r="A162" s="229">
        <f t="shared" si="106"/>
        <v>2672</v>
      </c>
      <c r="B162" s="230">
        <f t="shared" si="107"/>
        <v>152</v>
      </c>
      <c r="C162" s="229" t="str">
        <f t="shared" si="122"/>
        <v>L23X25#352_090_02</v>
      </c>
      <c r="D162" s="169">
        <f t="shared" si="119"/>
        <v>25</v>
      </c>
      <c r="E162" s="61">
        <f t="shared" si="100"/>
        <v>3.4090000000000007</v>
      </c>
      <c r="F162" s="61">
        <f t="shared" si="101"/>
        <v>42</v>
      </c>
      <c r="G162" s="64">
        <f t="shared" si="102"/>
        <v>0.74204946996466425</v>
      </c>
      <c r="H162" s="51">
        <f t="shared" si="103"/>
        <v>8.3478339222614846</v>
      </c>
      <c r="I162" s="42" t="str">
        <f t="shared" si="120"/>
        <v>IEC</v>
      </c>
      <c r="J162" s="50">
        <f t="shared" si="120"/>
        <v>10.5</v>
      </c>
      <c r="K162" s="49">
        <f t="shared" si="120"/>
        <v>160</v>
      </c>
      <c r="L162" s="44">
        <f t="shared" si="120"/>
        <v>8</v>
      </c>
      <c r="M162" s="44">
        <f t="shared" si="120"/>
        <v>-8</v>
      </c>
      <c r="N162" s="45">
        <f t="shared" si="117"/>
        <v>0.2</v>
      </c>
      <c r="O162" s="49">
        <v>90</v>
      </c>
      <c r="P162" s="54">
        <f>K162+2.46</f>
        <v>162.46</v>
      </c>
      <c r="Q162" s="44">
        <f t="shared" si="121"/>
        <v>150</v>
      </c>
      <c r="R162" s="50">
        <f t="shared" si="121"/>
        <v>210</v>
      </c>
    </row>
    <row r="163" spans="1:18" x14ac:dyDescent="0.25">
      <c r="A163" s="229">
        <f t="shared" si="106"/>
        <v>2673</v>
      </c>
      <c r="B163" s="230">
        <f t="shared" si="107"/>
        <v>153</v>
      </c>
      <c r="C163" s="229" t="str">
        <f>TEXT(RIGHT($B$2,LEN($B$2)-3),"L00")&amp;"X"&amp;TEXT(D163,"00")&amp;"#"&amp;IF(M163&lt;0,TEXT(360+M163,"000"),TEXT(M163,"000"))&amp;"_"&amp;TEXT(O163,"000")&amp;"_03"</f>
        <v>L23X25#352_000_03</v>
      </c>
      <c r="D163" s="169">
        <f t="shared" si="119"/>
        <v>25</v>
      </c>
      <c r="E163" s="61">
        <f t="shared" si="100"/>
        <v>3.4090000000000007</v>
      </c>
      <c r="F163" s="61">
        <f t="shared" si="101"/>
        <v>42</v>
      </c>
      <c r="G163" s="64">
        <f t="shared" si="102"/>
        <v>0.74204946996466425</v>
      </c>
      <c r="H163" s="51">
        <f t="shared" si="103"/>
        <v>8.3478339222614846</v>
      </c>
      <c r="I163" s="42" t="str">
        <f t="shared" si="120"/>
        <v>IEC</v>
      </c>
      <c r="J163" s="50">
        <f t="shared" si="120"/>
        <v>10.5</v>
      </c>
      <c r="K163" s="49">
        <f t="shared" si="120"/>
        <v>160</v>
      </c>
      <c r="L163" s="44">
        <f t="shared" si="120"/>
        <v>8</v>
      </c>
      <c r="M163" s="44">
        <f t="shared" si="120"/>
        <v>-8</v>
      </c>
      <c r="N163" s="45">
        <f t="shared" si="117"/>
        <v>0.2</v>
      </c>
      <c r="O163" s="49">
        <v>0</v>
      </c>
      <c r="P163" s="54">
        <f t="shared" ref="P163:P164" si="123">K163+4</f>
        <v>164</v>
      </c>
      <c r="Q163" s="44">
        <f t="shared" si="121"/>
        <v>150</v>
      </c>
      <c r="R163" s="50">
        <f t="shared" si="121"/>
        <v>210</v>
      </c>
    </row>
    <row r="164" spans="1:18" x14ac:dyDescent="0.25">
      <c r="A164" s="229">
        <f t="shared" si="106"/>
        <v>2674</v>
      </c>
      <c r="B164" s="230">
        <f t="shared" si="107"/>
        <v>154</v>
      </c>
      <c r="C164" s="229" t="str">
        <f t="shared" ref="C164:C166" si="124">TEXT(RIGHT($B$2,LEN($B$2)-3),"L00")&amp;"X"&amp;TEXT(D164,"00")&amp;"#"&amp;IF(M164&lt;0,TEXT(360+M164,"000"),TEXT(M164,"000"))&amp;"_"&amp;TEXT(O164,"000")&amp;"_03"</f>
        <v>L23X25#352_030_03</v>
      </c>
      <c r="D164" s="169">
        <f t="shared" si="119"/>
        <v>25</v>
      </c>
      <c r="E164" s="61">
        <f t="shared" si="100"/>
        <v>3.4090000000000007</v>
      </c>
      <c r="F164" s="61">
        <f t="shared" si="101"/>
        <v>42</v>
      </c>
      <c r="G164" s="64">
        <f t="shared" si="102"/>
        <v>0.74204946996466425</v>
      </c>
      <c r="H164" s="51">
        <f t="shared" si="103"/>
        <v>8.3478339222614846</v>
      </c>
      <c r="I164" s="42" t="str">
        <f t="shared" si="120"/>
        <v>IEC</v>
      </c>
      <c r="J164" s="50">
        <f t="shared" si="120"/>
        <v>10.5</v>
      </c>
      <c r="K164" s="49">
        <f t="shared" si="120"/>
        <v>160</v>
      </c>
      <c r="L164" s="44">
        <f t="shared" si="120"/>
        <v>8</v>
      </c>
      <c r="M164" s="44">
        <f t="shared" si="120"/>
        <v>-8</v>
      </c>
      <c r="N164" s="45">
        <f t="shared" si="117"/>
        <v>0.2</v>
      </c>
      <c r="O164" s="49">
        <v>30</v>
      </c>
      <c r="P164" s="54">
        <f t="shared" si="123"/>
        <v>164</v>
      </c>
      <c r="Q164" s="44">
        <f t="shared" si="121"/>
        <v>150</v>
      </c>
      <c r="R164" s="50">
        <f t="shared" si="121"/>
        <v>210</v>
      </c>
    </row>
    <row r="165" spans="1:18" x14ac:dyDescent="0.25">
      <c r="A165" s="229">
        <f t="shared" si="106"/>
        <v>2675</v>
      </c>
      <c r="B165" s="230">
        <f t="shared" si="107"/>
        <v>155</v>
      </c>
      <c r="C165" s="229" t="str">
        <f t="shared" si="124"/>
        <v>L23X25#352_060_03</v>
      </c>
      <c r="D165" s="169">
        <f t="shared" si="119"/>
        <v>25</v>
      </c>
      <c r="E165" s="61">
        <f t="shared" si="100"/>
        <v>3.4090000000000007</v>
      </c>
      <c r="F165" s="61">
        <f t="shared" si="101"/>
        <v>42</v>
      </c>
      <c r="G165" s="64">
        <f t="shared" si="102"/>
        <v>0.74204946996466425</v>
      </c>
      <c r="H165" s="51">
        <f t="shared" si="103"/>
        <v>8.3478339222614846</v>
      </c>
      <c r="I165" s="42" t="str">
        <f t="shared" si="120"/>
        <v>IEC</v>
      </c>
      <c r="J165" s="50">
        <f t="shared" si="120"/>
        <v>10.5</v>
      </c>
      <c r="K165" s="49">
        <f t="shared" si="120"/>
        <v>160</v>
      </c>
      <c r="L165" s="44">
        <f t="shared" si="120"/>
        <v>8</v>
      </c>
      <c r="M165" s="44">
        <f t="shared" si="120"/>
        <v>-8</v>
      </c>
      <c r="N165" s="45">
        <f t="shared" si="117"/>
        <v>0.2</v>
      </c>
      <c r="O165" s="49">
        <v>60</v>
      </c>
      <c r="P165" s="54">
        <f>K165+4</f>
        <v>164</v>
      </c>
      <c r="Q165" s="44">
        <f t="shared" si="121"/>
        <v>150</v>
      </c>
      <c r="R165" s="50">
        <f t="shared" si="121"/>
        <v>210</v>
      </c>
    </row>
    <row r="166" spans="1:18" x14ac:dyDescent="0.25">
      <c r="A166" s="229">
        <f t="shared" si="106"/>
        <v>2676</v>
      </c>
      <c r="B166" s="230">
        <f t="shared" si="107"/>
        <v>156</v>
      </c>
      <c r="C166" s="229" t="str">
        <f t="shared" si="124"/>
        <v>L23X25#352_090_03</v>
      </c>
      <c r="D166" s="169">
        <f t="shared" si="119"/>
        <v>25</v>
      </c>
      <c r="E166" s="61">
        <f t="shared" si="100"/>
        <v>3.4090000000000007</v>
      </c>
      <c r="F166" s="61">
        <f t="shared" si="101"/>
        <v>42</v>
      </c>
      <c r="G166" s="64">
        <f t="shared" si="102"/>
        <v>0.74204946996466425</v>
      </c>
      <c r="H166" s="51">
        <f t="shared" si="103"/>
        <v>8.3478339222614846</v>
      </c>
      <c r="I166" s="42" t="str">
        <f t="shared" si="120"/>
        <v>IEC</v>
      </c>
      <c r="J166" s="50">
        <f t="shared" si="120"/>
        <v>10.5</v>
      </c>
      <c r="K166" s="49">
        <f t="shared" si="120"/>
        <v>160</v>
      </c>
      <c r="L166" s="44">
        <f t="shared" si="120"/>
        <v>8</v>
      </c>
      <c r="M166" s="44">
        <f t="shared" si="120"/>
        <v>-8</v>
      </c>
      <c r="N166" s="45">
        <f t="shared" si="117"/>
        <v>0.2</v>
      </c>
      <c r="O166" s="49">
        <v>90</v>
      </c>
      <c r="P166" s="54">
        <f t="shared" ref="P166" si="125">K166+4</f>
        <v>164</v>
      </c>
      <c r="Q166" s="44">
        <f t="shared" si="121"/>
        <v>150</v>
      </c>
      <c r="R166" s="50">
        <f t="shared" si="121"/>
        <v>210</v>
      </c>
    </row>
    <row r="167" spans="1:18" x14ac:dyDescent="0.25">
      <c r="A167" s="229">
        <f t="shared" si="106"/>
        <v>2677</v>
      </c>
      <c r="B167" s="230">
        <f t="shared" si="107"/>
        <v>157</v>
      </c>
      <c r="C167" s="229" t="str">
        <f>TEXT(RIGHT($B$2,LEN($B$2)-3),"L00")&amp;"X"&amp;TEXT(D167,"00")&amp;"#"&amp;IF(M167&lt;0,TEXT(360+M167,"000"),TEXT(M167,"000"))&amp;"_"&amp;TEXT(O167,"000")&amp;"_04"</f>
        <v>L23X25#352_000_04</v>
      </c>
      <c r="D167" s="169">
        <f t="shared" si="119"/>
        <v>25</v>
      </c>
      <c r="E167" s="61">
        <f t="shared" si="100"/>
        <v>3.4090000000000007</v>
      </c>
      <c r="F167" s="61">
        <f t="shared" si="101"/>
        <v>42</v>
      </c>
      <c r="G167" s="64">
        <f t="shared" si="102"/>
        <v>0.74204946996466425</v>
      </c>
      <c r="H167" s="51">
        <f t="shared" si="103"/>
        <v>8.3478339222614846</v>
      </c>
      <c r="I167" s="42" t="str">
        <f t="shared" si="120"/>
        <v>IEC</v>
      </c>
      <c r="J167" s="50">
        <f t="shared" si="120"/>
        <v>10.5</v>
      </c>
      <c r="K167" s="49">
        <f t="shared" si="120"/>
        <v>160</v>
      </c>
      <c r="L167" s="44">
        <f t="shared" si="120"/>
        <v>8</v>
      </c>
      <c r="M167" s="44">
        <f t="shared" si="120"/>
        <v>-8</v>
      </c>
      <c r="N167" s="45">
        <f t="shared" si="117"/>
        <v>0.2</v>
      </c>
      <c r="O167" s="49">
        <v>0</v>
      </c>
      <c r="P167" s="54">
        <f t="shared" ref="P167:P169" si="126">K167+5.25</f>
        <v>165.25</v>
      </c>
      <c r="Q167" s="44">
        <f t="shared" si="121"/>
        <v>150</v>
      </c>
      <c r="R167" s="50">
        <f t="shared" si="121"/>
        <v>210</v>
      </c>
    </row>
    <row r="168" spans="1:18" x14ac:dyDescent="0.25">
      <c r="A168" s="229">
        <f t="shared" si="106"/>
        <v>2678</v>
      </c>
      <c r="B168" s="230">
        <f t="shared" si="107"/>
        <v>158</v>
      </c>
      <c r="C168" s="229" t="str">
        <f t="shared" ref="C168:C170" si="127">TEXT(RIGHT($B$2,LEN($B$2)-3),"L00")&amp;"X"&amp;TEXT(D168,"00")&amp;"#"&amp;IF(M168&lt;0,TEXT(360+M168,"000"),TEXT(M168,"000"))&amp;"_"&amp;TEXT(O168,"000")&amp;"_04"</f>
        <v>L23X25#352_030_04</v>
      </c>
      <c r="D168" s="169">
        <f t="shared" si="119"/>
        <v>25</v>
      </c>
      <c r="E168" s="61">
        <f t="shared" si="100"/>
        <v>3.4090000000000007</v>
      </c>
      <c r="F168" s="61">
        <f t="shared" si="101"/>
        <v>42</v>
      </c>
      <c r="G168" s="64">
        <f t="shared" si="102"/>
        <v>0.74204946996466425</v>
      </c>
      <c r="H168" s="51">
        <f t="shared" si="103"/>
        <v>8.3478339222614846</v>
      </c>
      <c r="I168" s="42" t="str">
        <f t="shared" si="120"/>
        <v>IEC</v>
      </c>
      <c r="J168" s="50">
        <f t="shared" si="120"/>
        <v>10.5</v>
      </c>
      <c r="K168" s="49">
        <f t="shared" si="120"/>
        <v>160</v>
      </c>
      <c r="L168" s="44">
        <f t="shared" si="120"/>
        <v>8</v>
      </c>
      <c r="M168" s="44">
        <f t="shared" si="120"/>
        <v>-8</v>
      </c>
      <c r="N168" s="45">
        <f t="shared" si="117"/>
        <v>0.2</v>
      </c>
      <c r="O168" s="49">
        <v>30</v>
      </c>
      <c r="P168" s="54">
        <f t="shared" si="126"/>
        <v>165.25</v>
      </c>
      <c r="Q168" s="44">
        <f t="shared" si="121"/>
        <v>150</v>
      </c>
      <c r="R168" s="50">
        <f t="shared" si="121"/>
        <v>210</v>
      </c>
    </row>
    <row r="169" spans="1:18" x14ac:dyDescent="0.25">
      <c r="A169" s="229">
        <f t="shared" si="106"/>
        <v>2679</v>
      </c>
      <c r="B169" s="230">
        <f t="shared" si="107"/>
        <v>159</v>
      </c>
      <c r="C169" s="229" t="str">
        <f t="shared" si="127"/>
        <v>L23X25#352_060_04</v>
      </c>
      <c r="D169" s="169">
        <f t="shared" si="119"/>
        <v>25</v>
      </c>
      <c r="E169" s="61">
        <f t="shared" si="100"/>
        <v>3.4090000000000007</v>
      </c>
      <c r="F169" s="61">
        <f t="shared" si="101"/>
        <v>42</v>
      </c>
      <c r="G169" s="64">
        <f t="shared" si="102"/>
        <v>0.74204946996466425</v>
      </c>
      <c r="H169" s="51">
        <f t="shared" si="103"/>
        <v>8.3478339222614846</v>
      </c>
      <c r="I169" s="42" t="str">
        <f t="shared" si="120"/>
        <v>IEC</v>
      </c>
      <c r="J169" s="50">
        <f t="shared" si="120"/>
        <v>10.5</v>
      </c>
      <c r="K169" s="49">
        <f t="shared" si="120"/>
        <v>160</v>
      </c>
      <c r="L169" s="44">
        <f t="shared" si="120"/>
        <v>8</v>
      </c>
      <c r="M169" s="44">
        <f t="shared" si="120"/>
        <v>-8</v>
      </c>
      <c r="N169" s="45">
        <f t="shared" si="117"/>
        <v>0.2</v>
      </c>
      <c r="O169" s="49">
        <v>60</v>
      </c>
      <c r="P169" s="54">
        <f t="shared" si="126"/>
        <v>165.25</v>
      </c>
      <c r="Q169" s="44">
        <f t="shared" si="121"/>
        <v>150</v>
      </c>
      <c r="R169" s="50">
        <f t="shared" si="121"/>
        <v>210</v>
      </c>
    </row>
    <row r="170" spans="1:18" x14ac:dyDescent="0.25">
      <c r="A170" s="229">
        <f t="shared" si="106"/>
        <v>2680</v>
      </c>
      <c r="B170" s="230">
        <f t="shared" si="107"/>
        <v>160</v>
      </c>
      <c r="C170" s="229" t="str">
        <f t="shared" si="127"/>
        <v>L23X25#352_090_04</v>
      </c>
      <c r="D170" s="169">
        <f t="shared" si="119"/>
        <v>25</v>
      </c>
      <c r="E170" s="61">
        <f t="shared" si="100"/>
        <v>3.4090000000000007</v>
      </c>
      <c r="F170" s="61">
        <f t="shared" si="101"/>
        <v>42</v>
      </c>
      <c r="G170" s="64">
        <f t="shared" si="102"/>
        <v>0.74204946996466425</v>
      </c>
      <c r="H170" s="51">
        <f t="shared" si="103"/>
        <v>8.3478339222614846</v>
      </c>
      <c r="I170" s="42" t="str">
        <f t="shared" si="120"/>
        <v>IEC</v>
      </c>
      <c r="J170" s="50">
        <f t="shared" si="120"/>
        <v>10.5</v>
      </c>
      <c r="K170" s="49">
        <f t="shared" si="120"/>
        <v>160</v>
      </c>
      <c r="L170" s="44">
        <f t="shared" si="120"/>
        <v>8</v>
      </c>
      <c r="M170" s="44">
        <f t="shared" si="120"/>
        <v>-8</v>
      </c>
      <c r="N170" s="45">
        <f t="shared" si="117"/>
        <v>0.2</v>
      </c>
      <c r="O170" s="49">
        <v>90</v>
      </c>
      <c r="P170" s="54">
        <f>K170+5.25</f>
        <v>165.25</v>
      </c>
      <c r="Q170" s="44">
        <f t="shared" si="121"/>
        <v>150</v>
      </c>
      <c r="R170" s="50">
        <f t="shared" si="121"/>
        <v>210</v>
      </c>
    </row>
    <row r="171" spans="1:18" x14ac:dyDescent="0.25">
      <c r="A171" s="229">
        <f t="shared" si="106"/>
        <v>2681</v>
      </c>
      <c r="B171" s="230">
        <f t="shared" si="107"/>
        <v>161</v>
      </c>
      <c r="C171" s="229" t="str">
        <f>TEXT(RIGHT($B$2,LEN($B$2)-3),"L00")&amp;"X"&amp;TEXT(D171,"00")&amp;"#"&amp;IF(M171&lt;0,TEXT(360+M171,"000"),TEXT(M171,"000"))&amp;"_"&amp;TEXT(O171,"000")&amp;"_01"</f>
        <v>L23X25#000_000_01</v>
      </c>
      <c r="D171" s="169">
        <f t="shared" si="119"/>
        <v>25</v>
      </c>
      <c r="E171" s="61">
        <f t="shared" si="100"/>
        <v>3.4090000000000007</v>
      </c>
      <c r="F171" s="61">
        <f t="shared" si="101"/>
        <v>42</v>
      </c>
      <c r="G171" s="64">
        <f t="shared" si="102"/>
        <v>0.74204946996466425</v>
      </c>
      <c r="H171" s="51">
        <f t="shared" si="103"/>
        <v>8.3478339222614846</v>
      </c>
      <c r="I171" s="42" t="str">
        <f t="shared" si="120"/>
        <v>IEC</v>
      </c>
      <c r="J171" s="50">
        <f t="shared" si="120"/>
        <v>10.5</v>
      </c>
      <c r="K171" s="49">
        <f t="shared" si="120"/>
        <v>160</v>
      </c>
      <c r="L171" s="44">
        <f t="shared" si="120"/>
        <v>8</v>
      </c>
      <c r="M171" s="44">
        <f>yaw_null</f>
        <v>0</v>
      </c>
      <c r="N171" s="45">
        <f t="shared" si="117"/>
        <v>0.2</v>
      </c>
      <c r="O171" s="49">
        <v>0</v>
      </c>
      <c r="P171" s="52">
        <f>K171</f>
        <v>160</v>
      </c>
      <c r="Q171" s="44">
        <f t="shared" si="121"/>
        <v>150</v>
      </c>
      <c r="R171" s="50">
        <f t="shared" si="121"/>
        <v>210</v>
      </c>
    </row>
    <row r="172" spans="1:18" x14ac:dyDescent="0.25">
      <c r="A172" s="229">
        <f t="shared" si="106"/>
        <v>2682</v>
      </c>
      <c r="B172" s="230">
        <f t="shared" si="107"/>
        <v>162</v>
      </c>
      <c r="C172" s="229" t="str">
        <f t="shared" ref="C172:C174" si="128">TEXT(RIGHT($B$2,LEN($B$2)-3),"L00")&amp;"X"&amp;TEXT(D172,"00")&amp;"#"&amp;IF(M172&lt;0,TEXT(360+M172,"000"),TEXT(M172,"000"))&amp;"_"&amp;TEXT(O172,"000")&amp;"_01"</f>
        <v>L23X25#000_030_01</v>
      </c>
      <c r="D172" s="169">
        <f t="shared" si="119"/>
        <v>25</v>
      </c>
      <c r="E172" s="61">
        <f t="shared" si="100"/>
        <v>3.4090000000000007</v>
      </c>
      <c r="F172" s="61">
        <f t="shared" si="101"/>
        <v>42</v>
      </c>
      <c r="G172" s="64">
        <f t="shared" si="102"/>
        <v>0.74204946996466425</v>
      </c>
      <c r="H172" s="51">
        <f t="shared" si="103"/>
        <v>8.3478339222614846</v>
      </c>
      <c r="I172" s="42" t="str">
        <f>I171</f>
        <v>IEC</v>
      </c>
      <c r="J172" s="50">
        <f t="shared" si="120"/>
        <v>10.5</v>
      </c>
      <c r="K172" s="49">
        <f>K171</f>
        <v>160</v>
      </c>
      <c r="L172" s="44">
        <f>L171</f>
        <v>8</v>
      </c>
      <c r="M172" s="44">
        <f>M171</f>
        <v>0</v>
      </c>
      <c r="N172" s="45">
        <f t="shared" si="117"/>
        <v>0.2</v>
      </c>
      <c r="O172" s="49">
        <v>30</v>
      </c>
      <c r="P172" s="52">
        <f t="shared" ref="P172:P174" si="129">K172</f>
        <v>160</v>
      </c>
      <c r="Q172" s="44">
        <f t="shared" si="121"/>
        <v>150</v>
      </c>
      <c r="R172" s="50">
        <f>R171</f>
        <v>210</v>
      </c>
    </row>
    <row r="173" spans="1:18" x14ac:dyDescent="0.25">
      <c r="A173" s="229">
        <f t="shared" si="106"/>
        <v>2683</v>
      </c>
      <c r="B173" s="230">
        <f t="shared" si="107"/>
        <v>163</v>
      </c>
      <c r="C173" s="229" t="str">
        <f t="shared" si="128"/>
        <v>L23X25#000_060_01</v>
      </c>
      <c r="D173" s="169">
        <f t="shared" si="119"/>
        <v>25</v>
      </c>
      <c r="E173" s="61">
        <f t="shared" si="100"/>
        <v>3.4090000000000007</v>
      </c>
      <c r="F173" s="61">
        <f t="shared" si="101"/>
        <v>42</v>
      </c>
      <c r="G173" s="64">
        <f t="shared" si="102"/>
        <v>0.74204946996466425</v>
      </c>
      <c r="H173" s="51">
        <f t="shared" si="103"/>
        <v>8.3478339222614846</v>
      </c>
      <c r="I173" s="42" t="str">
        <f t="shared" ref="I173:M188" si="130">I172</f>
        <v>IEC</v>
      </c>
      <c r="J173" s="50">
        <f t="shared" si="130"/>
        <v>10.5</v>
      </c>
      <c r="K173" s="49">
        <f t="shared" si="130"/>
        <v>160</v>
      </c>
      <c r="L173" s="44">
        <f t="shared" si="130"/>
        <v>8</v>
      </c>
      <c r="M173" s="44">
        <f t="shared" si="130"/>
        <v>0</v>
      </c>
      <c r="N173" s="45">
        <f t="shared" si="117"/>
        <v>0.2</v>
      </c>
      <c r="O173" s="49">
        <v>60</v>
      </c>
      <c r="P173" s="52">
        <f t="shared" si="129"/>
        <v>160</v>
      </c>
      <c r="Q173" s="44">
        <f t="shared" ref="Q173:R188" si="131">Q172</f>
        <v>150</v>
      </c>
      <c r="R173" s="50">
        <f t="shared" si="131"/>
        <v>210</v>
      </c>
    </row>
    <row r="174" spans="1:18" x14ac:dyDescent="0.25">
      <c r="A174" s="229">
        <f t="shared" si="106"/>
        <v>2684</v>
      </c>
      <c r="B174" s="230">
        <f t="shared" si="107"/>
        <v>164</v>
      </c>
      <c r="C174" s="229" t="str">
        <f t="shared" si="128"/>
        <v>L23X25#000_090_01</v>
      </c>
      <c r="D174" s="169">
        <f t="shared" si="119"/>
        <v>25</v>
      </c>
      <c r="E174" s="61">
        <f t="shared" si="100"/>
        <v>3.4090000000000007</v>
      </c>
      <c r="F174" s="61">
        <f t="shared" si="101"/>
        <v>42</v>
      </c>
      <c r="G174" s="64">
        <f t="shared" si="102"/>
        <v>0.74204946996466425</v>
      </c>
      <c r="H174" s="51">
        <f t="shared" si="103"/>
        <v>8.3478339222614846</v>
      </c>
      <c r="I174" s="42" t="str">
        <f t="shared" si="130"/>
        <v>IEC</v>
      </c>
      <c r="J174" s="50">
        <f t="shared" si="130"/>
        <v>10.5</v>
      </c>
      <c r="K174" s="49">
        <f t="shared" si="130"/>
        <v>160</v>
      </c>
      <c r="L174" s="44">
        <f t="shared" si="130"/>
        <v>8</v>
      </c>
      <c r="M174" s="44">
        <f t="shared" si="130"/>
        <v>0</v>
      </c>
      <c r="N174" s="45">
        <f t="shared" si="117"/>
        <v>0.2</v>
      </c>
      <c r="O174" s="49">
        <v>90</v>
      </c>
      <c r="P174" s="52">
        <f t="shared" si="129"/>
        <v>160</v>
      </c>
      <c r="Q174" s="44">
        <f t="shared" si="131"/>
        <v>150</v>
      </c>
      <c r="R174" s="50">
        <f t="shared" si="131"/>
        <v>210</v>
      </c>
    </row>
    <row r="175" spans="1:18" x14ac:dyDescent="0.25">
      <c r="A175" s="229">
        <f t="shared" si="106"/>
        <v>2685</v>
      </c>
      <c r="B175" s="230">
        <f t="shared" si="107"/>
        <v>165</v>
      </c>
      <c r="C175" s="229" t="str">
        <f>TEXT(RIGHT($B$2,LEN($B$2)-3),"L00")&amp;"X"&amp;TEXT(D175,"00")&amp;"#"&amp;IF(M175&lt;0,TEXT(360+M175,"000"),TEXT(M175,"000"))&amp;"_"&amp;TEXT(O175,"000")&amp;"_02"</f>
        <v>L23X25#000_000_02</v>
      </c>
      <c r="D175" s="169">
        <f t="shared" si="119"/>
        <v>25</v>
      </c>
      <c r="E175" s="61">
        <f t="shared" si="100"/>
        <v>3.4090000000000007</v>
      </c>
      <c r="F175" s="61">
        <f t="shared" si="101"/>
        <v>42</v>
      </c>
      <c r="G175" s="64">
        <f t="shared" si="102"/>
        <v>0.74204946996466425</v>
      </c>
      <c r="H175" s="51">
        <f t="shared" si="103"/>
        <v>8.3478339222614846</v>
      </c>
      <c r="I175" s="42" t="str">
        <f t="shared" si="130"/>
        <v>IEC</v>
      </c>
      <c r="J175" s="50">
        <f t="shared" si="130"/>
        <v>10.5</v>
      </c>
      <c r="K175" s="49">
        <f t="shared" si="130"/>
        <v>160</v>
      </c>
      <c r="L175" s="44">
        <f t="shared" si="130"/>
        <v>8</v>
      </c>
      <c r="M175" s="44">
        <f t="shared" si="130"/>
        <v>0</v>
      </c>
      <c r="N175" s="45">
        <f t="shared" si="117"/>
        <v>0.2</v>
      </c>
      <c r="O175" s="49">
        <v>0</v>
      </c>
      <c r="P175" s="54">
        <f>K175+2.46</f>
        <v>162.46</v>
      </c>
      <c r="Q175" s="44">
        <f t="shared" si="131"/>
        <v>150</v>
      </c>
      <c r="R175" s="50">
        <f t="shared" si="131"/>
        <v>210</v>
      </c>
    </row>
    <row r="176" spans="1:18" x14ac:dyDescent="0.25">
      <c r="A176" s="229">
        <f t="shared" si="106"/>
        <v>2686</v>
      </c>
      <c r="B176" s="230">
        <f t="shared" si="107"/>
        <v>166</v>
      </c>
      <c r="C176" s="229" t="str">
        <f t="shared" ref="C176:C178" si="132">TEXT(RIGHT($B$2,LEN($B$2)-3),"L00")&amp;"X"&amp;TEXT(D176,"00")&amp;"#"&amp;IF(M176&lt;0,TEXT(360+M176,"000"),TEXT(M176,"000"))&amp;"_"&amp;TEXT(O176,"000")&amp;"_02"</f>
        <v>L23X25#000_030_02</v>
      </c>
      <c r="D176" s="169">
        <f t="shared" si="119"/>
        <v>25</v>
      </c>
      <c r="E176" s="61">
        <f t="shared" si="100"/>
        <v>3.4090000000000007</v>
      </c>
      <c r="F176" s="61">
        <f t="shared" si="101"/>
        <v>42</v>
      </c>
      <c r="G176" s="64">
        <f t="shared" si="102"/>
        <v>0.74204946996466425</v>
      </c>
      <c r="H176" s="51">
        <f t="shared" si="103"/>
        <v>8.3478339222614846</v>
      </c>
      <c r="I176" s="42" t="str">
        <f t="shared" si="130"/>
        <v>IEC</v>
      </c>
      <c r="J176" s="50">
        <f t="shared" si="130"/>
        <v>10.5</v>
      </c>
      <c r="K176" s="49">
        <f t="shared" si="130"/>
        <v>160</v>
      </c>
      <c r="L176" s="44">
        <f t="shared" si="130"/>
        <v>8</v>
      </c>
      <c r="M176" s="44">
        <f t="shared" si="130"/>
        <v>0</v>
      </c>
      <c r="N176" s="45">
        <f t="shared" si="117"/>
        <v>0.2</v>
      </c>
      <c r="O176" s="49">
        <v>30</v>
      </c>
      <c r="P176" s="54">
        <f>K176+2.46</f>
        <v>162.46</v>
      </c>
      <c r="Q176" s="44">
        <f t="shared" si="131"/>
        <v>150</v>
      </c>
      <c r="R176" s="50">
        <f t="shared" si="131"/>
        <v>210</v>
      </c>
    </row>
    <row r="177" spans="1:18" x14ac:dyDescent="0.25">
      <c r="A177" s="229">
        <f t="shared" si="106"/>
        <v>2687</v>
      </c>
      <c r="B177" s="230">
        <f t="shared" si="107"/>
        <v>167</v>
      </c>
      <c r="C177" s="229" t="str">
        <f t="shared" si="132"/>
        <v>L23X25#000_060_02</v>
      </c>
      <c r="D177" s="169">
        <f t="shared" si="119"/>
        <v>25</v>
      </c>
      <c r="E177" s="61">
        <f t="shared" si="100"/>
        <v>3.4090000000000007</v>
      </c>
      <c r="F177" s="61">
        <f t="shared" si="101"/>
        <v>42</v>
      </c>
      <c r="G177" s="64">
        <f t="shared" si="102"/>
        <v>0.74204946996466425</v>
      </c>
      <c r="H177" s="51">
        <f t="shared" si="103"/>
        <v>8.3478339222614846</v>
      </c>
      <c r="I177" s="42" t="str">
        <f t="shared" si="130"/>
        <v>IEC</v>
      </c>
      <c r="J177" s="50">
        <f t="shared" si="130"/>
        <v>10.5</v>
      </c>
      <c r="K177" s="49">
        <f t="shared" si="130"/>
        <v>160</v>
      </c>
      <c r="L177" s="44">
        <f t="shared" si="130"/>
        <v>8</v>
      </c>
      <c r="M177" s="44">
        <f t="shared" si="130"/>
        <v>0</v>
      </c>
      <c r="N177" s="45">
        <f t="shared" si="117"/>
        <v>0.2</v>
      </c>
      <c r="O177" s="49">
        <v>60</v>
      </c>
      <c r="P177" s="54">
        <f>K177+2.46</f>
        <v>162.46</v>
      </c>
      <c r="Q177" s="44">
        <f t="shared" si="131"/>
        <v>150</v>
      </c>
      <c r="R177" s="50">
        <f t="shared" si="131"/>
        <v>210</v>
      </c>
    </row>
    <row r="178" spans="1:18" x14ac:dyDescent="0.25">
      <c r="A178" s="229">
        <f t="shared" si="106"/>
        <v>2688</v>
      </c>
      <c r="B178" s="230">
        <f t="shared" si="107"/>
        <v>168</v>
      </c>
      <c r="C178" s="229" t="str">
        <f t="shared" si="132"/>
        <v>L23X25#000_090_02</v>
      </c>
      <c r="D178" s="169">
        <f t="shared" si="119"/>
        <v>25</v>
      </c>
      <c r="E178" s="61">
        <f t="shared" si="100"/>
        <v>3.4090000000000007</v>
      </c>
      <c r="F178" s="61">
        <f t="shared" si="101"/>
        <v>42</v>
      </c>
      <c r="G178" s="64">
        <f t="shared" si="102"/>
        <v>0.74204946996466425</v>
      </c>
      <c r="H178" s="51">
        <f t="shared" si="103"/>
        <v>8.3478339222614846</v>
      </c>
      <c r="I178" s="42" t="str">
        <f t="shared" si="130"/>
        <v>IEC</v>
      </c>
      <c r="J178" s="50">
        <f t="shared" si="130"/>
        <v>10.5</v>
      </c>
      <c r="K178" s="49">
        <f t="shared" si="130"/>
        <v>160</v>
      </c>
      <c r="L178" s="44">
        <f t="shared" si="130"/>
        <v>8</v>
      </c>
      <c r="M178" s="44">
        <f t="shared" si="130"/>
        <v>0</v>
      </c>
      <c r="N178" s="45">
        <f t="shared" si="117"/>
        <v>0.2</v>
      </c>
      <c r="O178" s="49">
        <v>90</v>
      </c>
      <c r="P178" s="54">
        <f>K178+2.46</f>
        <v>162.46</v>
      </c>
      <c r="Q178" s="44">
        <f t="shared" si="131"/>
        <v>150</v>
      </c>
      <c r="R178" s="50">
        <f t="shared" si="131"/>
        <v>210</v>
      </c>
    </row>
    <row r="179" spans="1:18" x14ac:dyDescent="0.25">
      <c r="A179" s="229">
        <f t="shared" si="106"/>
        <v>2689</v>
      </c>
      <c r="B179" s="230">
        <f t="shared" si="107"/>
        <v>169</v>
      </c>
      <c r="C179" s="229" t="str">
        <f>TEXT(RIGHT($B$2,LEN($B$2)-3),"L00")&amp;"X"&amp;TEXT(D179,"00")&amp;"#"&amp;IF(M179&lt;0,TEXT(360+M179,"000"),TEXT(M179,"000"))&amp;"_"&amp;TEXT(O179,"000")&amp;"_03"</f>
        <v>L23X25#000_000_03</v>
      </c>
      <c r="D179" s="169">
        <f t="shared" si="119"/>
        <v>25</v>
      </c>
      <c r="E179" s="61">
        <f t="shared" si="100"/>
        <v>3.4090000000000007</v>
      </c>
      <c r="F179" s="61">
        <f t="shared" si="101"/>
        <v>42</v>
      </c>
      <c r="G179" s="64">
        <f t="shared" si="102"/>
        <v>0.74204946996466425</v>
      </c>
      <c r="H179" s="51">
        <f t="shared" si="103"/>
        <v>8.3478339222614846</v>
      </c>
      <c r="I179" s="42" t="str">
        <f t="shared" si="130"/>
        <v>IEC</v>
      </c>
      <c r="J179" s="50">
        <f t="shared" si="130"/>
        <v>10.5</v>
      </c>
      <c r="K179" s="49">
        <f t="shared" si="130"/>
        <v>160</v>
      </c>
      <c r="L179" s="44">
        <f t="shared" si="130"/>
        <v>8</v>
      </c>
      <c r="M179" s="44">
        <f t="shared" si="130"/>
        <v>0</v>
      </c>
      <c r="N179" s="45">
        <f t="shared" si="117"/>
        <v>0.2</v>
      </c>
      <c r="O179" s="49">
        <v>0</v>
      </c>
      <c r="P179" s="54">
        <f t="shared" ref="P179:P180" si="133">K179+4</f>
        <v>164</v>
      </c>
      <c r="Q179" s="44">
        <f t="shared" si="131"/>
        <v>150</v>
      </c>
      <c r="R179" s="50">
        <f t="shared" si="131"/>
        <v>210</v>
      </c>
    </row>
    <row r="180" spans="1:18" x14ac:dyDescent="0.25">
      <c r="A180" s="229">
        <f t="shared" si="106"/>
        <v>2690</v>
      </c>
      <c r="B180" s="230">
        <f t="shared" si="107"/>
        <v>170</v>
      </c>
      <c r="C180" s="229" t="str">
        <f t="shared" ref="C180:C182" si="134">TEXT(RIGHT($B$2,LEN($B$2)-3),"L00")&amp;"X"&amp;TEXT(D180,"00")&amp;"#"&amp;IF(M180&lt;0,TEXT(360+M180,"000"),TEXT(M180,"000"))&amp;"_"&amp;TEXT(O180,"000")&amp;"_03"</f>
        <v>L23X25#000_030_03</v>
      </c>
      <c r="D180" s="169">
        <f t="shared" si="119"/>
        <v>25</v>
      </c>
      <c r="E180" s="61">
        <f t="shared" si="100"/>
        <v>3.4090000000000007</v>
      </c>
      <c r="F180" s="61">
        <f t="shared" si="101"/>
        <v>42</v>
      </c>
      <c r="G180" s="64">
        <f t="shared" si="102"/>
        <v>0.74204946996466425</v>
      </c>
      <c r="H180" s="51">
        <f t="shared" si="103"/>
        <v>8.3478339222614846</v>
      </c>
      <c r="I180" s="42" t="str">
        <f t="shared" si="130"/>
        <v>IEC</v>
      </c>
      <c r="J180" s="50">
        <f t="shared" si="130"/>
        <v>10.5</v>
      </c>
      <c r="K180" s="49">
        <f t="shared" si="130"/>
        <v>160</v>
      </c>
      <c r="L180" s="44">
        <f t="shared" si="130"/>
        <v>8</v>
      </c>
      <c r="M180" s="44">
        <f t="shared" si="130"/>
        <v>0</v>
      </c>
      <c r="N180" s="45">
        <f t="shared" si="117"/>
        <v>0.2</v>
      </c>
      <c r="O180" s="49">
        <v>30</v>
      </c>
      <c r="P180" s="54">
        <f t="shared" si="133"/>
        <v>164</v>
      </c>
      <c r="Q180" s="44">
        <f t="shared" si="131"/>
        <v>150</v>
      </c>
      <c r="R180" s="50">
        <f t="shared" si="131"/>
        <v>210</v>
      </c>
    </row>
    <row r="181" spans="1:18" x14ac:dyDescent="0.25">
      <c r="A181" s="229">
        <f t="shared" si="106"/>
        <v>2691</v>
      </c>
      <c r="B181" s="230">
        <f t="shared" si="107"/>
        <v>171</v>
      </c>
      <c r="C181" s="229" t="str">
        <f t="shared" si="134"/>
        <v>L23X25#000_060_03</v>
      </c>
      <c r="D181" s="169">
        <f t="shared" si="119"/>
        <v>25</v>
      </c>
      <c r="E181" s="61">
        <f t="shared" si="100"/>
        <v>3.4090000000000007</v>
      </c>
      <c r="F181" s="61">
        <f t="shared" si="101"/>
        <v>42</v>
      </c>
      <c r="G181" s="64">
        <f t="shared" si="102"/>
        <v>0.74204946996466425</v>
      </c>
      <c r="H181" s="51">
        <f t="shared" si="103"/>
        <v>8.3478339222614846</v>
      </c>
      <c r="I181" s="42" t="str">
        <f t="shared" si="130"/>
        <v>IEC</v>
      </c>
      <c r="J181" s="50">
        <f t="shared" si="130"/>
        <v>10.5</v>
      </c>
      <c r="K181" s="49">
        <f t="shared" si="130"/>
        <v>160</v>
      </c>
      <c r="L181" s="44">
        <f t="shared" si="130"/>
        <v>8</v>
      </c>
      <c r="M181" s="44">
        <f t="shared" si="130"/>
        <v>0</v>
      </c>
      <c r="N181" s="45">
        <f t="shared" si="117"/>
        <v>0.2</v>
      </c>
      <c r="O181" s="49">
        <v>60</v>
      </c>
      <c r="P181" s="54">
        <f>K181+4</f>
        <v>164</v>
      </c>
      <c r="Q181" s="44">
        <f t="shared" si="131"/>
        <v>150</v>
      </c>
      <c r="R181" s="50">
        <f t="shared" si="131"/>
        <v>210</v>
      </c>
    </row>
    <row r="182" spans="1:18" x14ac:dyDescent="0.25">
      <c r="A182" s="229">
        <f t="shared" si="106"/>
        <v>2692</v>
      </c>
      <c r="B182" s="230">
        <f t="shared" si="107"/>
        <v>172</v>
      </c>
      <c r="C182" s="229" t="str">
        <f t="shared" si="134"/>
        <v>L23X25#000_090_03</v>
      </c>
      <c r="D182" s="169">
        <f t="shared" si="119"/>
        <v>25</v>
      </c>
      <c r="E182" s="61">
        <f t="shared" si="100"/>
        <v>3.4090000000000007</v>
      </c>
      <c r="F182" s="61">
        <f t="shared" si="101"/>
        <v>42</v>
      </c>
      <c r="G182" s="64">
        <f t="shared" si="102"/>
        <v>0.74204946996466425</v>
      </c>
      <c r="H182" s="51">
        <f t="shared" si="103"/>
        <v>8.3478339222614846</v>
      </c>
      <c r="I182" s="42" t="str">
        <f t="shared" si="130"/>
        <v>IEC</v>
      </c>
      <c r="J182" s="50">
        <f t="shared" si="130"/>
        <v>10.5</v>
      </c>
      <c r="K182" s="49">
        <f t="shared" si="130"/>
        <v>160</v>
      </c>
      <c r="L182" s="44">
        <f t="shared" si="130"/>
        <v>8</v>
      </c>
      <c r="M182" s="44">
        <f t="shared" si="130"/>
        <v>0</v>
      </c>
      <c r="N182" s="45">
        <f t="shared" si="117"/>
        <v>0.2</v>
      </c>
      <c r="O182" s="49">
        <v>90</v>
      </c>
      <c r="P182" s="54">
        <f t="shared" ref="P182" si="135">K182+4</f>
        <v>164</v>
      </c>
      <c r="Q182" s="44">
        <f t="shared" si="131"/>
        <v>150</v>
      </c>
      <c r="R182" s="50">
        <f t="shared" si="131"/>
        <v>210</v>
      </c>
    </row>
    <row r="183" spans="1:18" x14ac:dyDescent="0.25">
      <c r="A183" s="229">
        <f t="shared" si="106"/>
        <v>2693</v>
      </c>
      <c r="B183" s="230">
        <f t="shared" si="107"/>
        <v>173</v>
      </c>
      <c r="C183" s="229" t="str">
        <f>TEXT(RIGHT($B$2,LEN($B$2)-3),"L00")&amp;"X"&amp;TEXT(D183,"00")&amp;"#"&amp;IF(M183&lt;0,TEXT(360+M183,"000"),TEXT(M183,"000"))&amp;"_"&amp;TEXT(O183,"000")&amp;"_04"</f>
        <v>L23X25#000_000_04</v>
      </c>
      <c r="D183" s="169">
        <f t="shared" si="119"/>
        <v>25</v>
      </c>
      <c r="E183" s="61">
        <f t="shared" si="100"/>
        <v>3.4090000000000007</v>
      </c>
      <c r="F183" s="61">
        <f t="shared" si="101"/>
        <v>42</v>
      </c>
      <c r="G183" s="64">
        <f t="shared" si="102"/>
        <v>0.74204946996466425</v>
      </c>
      <c r="H183" s="51">
        <f t="shared" si="103"/>
        <v>8.3478339222614846</v>
      </c>
      <c r="I183" s="42" t="str">
        <f t="shared" si="130"/>
        <v>IEC</v>
      </c>
      <c r="J183" s="50">
        <f t="shared" si="130"/>
        <v>10.5</v>
      </c>
      <c r="K183" s="49">
        <f t="shared" si="130"/>
        <v>160</v>
      </c>
      <c r="L183" s="44">
        <f t="shared" si="130"/>
        <v>8</v>
      </c>
      <c r="M183" s="44">
        <f t="shared" si="130"/>
        <v>0</v>
      </c>
      <c r="N183" s="45">
        <f t="shared" si="117"/>
        <v>0.2</v>
      </c>
      <c r="O183" s="49">
        <v>0</v>
      </c>
      <c r="P183" s="54">
        <f t="shared" ref="P183:P185" si="136">K183+5.25</f>
        <v>165.25</v>
      </c>
      <c r="Q183" s="44">
        <f t="shared" si="131"/>
        <v>150</v>
      </c>
      <c r="R183" s="50">
        <f t="shared" si="131"/>
        <v>210</v>
      </c>
    </row>
    <row r="184" spans="1:18" x14ac:dyDescent="0.25">
      <c r="A184" s="229">
        <f t="shared" si="106"/>
        <v>2694</v>
      </c>
      <c r="B184" s="230">
        <f t="shared" si="107"/>
        <v>174</v>
      </c>
      <c r="C184" s="229" t="str">
        <f t="shared" ref="C184:C186" si="137">TEXT(RIGHT($B$2,LEN($B$2)-3),"L00")&amp;"X"&amp;TEXT(D184,"00")&amp;"#"&amp;IF(M184&lt;0,TEXT(360+M184,"000"),TEXT(M184,"000"))&amp;"_"&amp;TEXT(O184,"000")&amp;"_04"</f>
        <v>L23X25#000_030_04</v>
      </c>
      <c r="D184" s="169">
        <f t="shared" si="119"/>
        <v>25</v>
      </c>
      <c r="E184" s="61">
        <f t="shared" si="100"/>
        <v>3.4090000000000007</v>
      </c>
      <c r="F184" s="61">
        <f t="shared" si="101"/>
        <v>42</v>
      </c>
      <c r="G184" s="64">
        <f t="shared" si="102"/>
        <v>0.74204946996466425</v>
      </c>
      <c r="H184" s="51">
        <f t="shared" si="103"/>
        <v>8.3478339222614846</v>
      </c>
      <c r="I184" s="42" t="str">
        <f t="shared" si="130"/>
        <v>IEC</v>
      </c>
      <c r="J184" s="50">
        <f t="shared" si="130"/>
        <v>10.5</v>
      </c>
      <c r="K184" s="49">
        <f t="shared" si="130"/>
        <v>160</v>
      </c>
      <c r="L184" s="44">
        <f t="shared" si="130"/>
        <v>8</v>
      </c>
      <c r="M184" s="44">
        <f t="shared" si="130"/>
        <v>0</v>
      </c>
      <c r="N184" s="45">
        <f t="shared" si="117"/>
        <v>0.2</v>
      </c>
      <c r="O184" s="49">
        <v>30</v>
      </c>
      <c r="P184" s="54">
        <f t="shared" si="136"/>
        <v>165.25</v>
      </c>
      <c r="Q184" s="44">
        <f t="shared" si="131"/>
        <v>150</v>
      </c>
      <c r="R184" s="50">
        <f t="shared" si="131"/>
        <v>210</v>
      </c>
    </row>
    <row r="185" spans="1:18" x14ac:dyDescent="0.25">
      <c r="A185" s="229">
        <f t="shared" si="106"/>
        <v>2695</v>
      </c>
      <c r="B185" s="230">
        <f t="shared" si="107"/>
        <v>175</v>
      </c>
      <c r="C185" s="229" t="str">
        <f t="shared" si="137"/>
        <v>L23X25#000_060_04</v>
      </c>
      <c r="D185" s="169">
        <f t="shared" si="119"/>
        <v>25</v>
      </c>
      <c r="E185" s="61">
        <f t="shared" si="100"/>
        <v>3.4090000000000007</v>
      </c>
      <c r="F185" s="61">
        <f t="shared" si="101"/>
        <v>42</v>
      </c>
      <c r="G185" s="64">
        <f t="shared" si="102"/>
        <v>0.74204946996466425</v>
      </c>
      <c r="H185" s="51">
        <f t="shared" si="103"/>
        <v>8.3478339222614846</v>
      </c>
      <c r="I185" s="42" t="str">
        <f t="shared" si="130"/>
        <v>IEC</v>
      </c>
      <c r="J185" s="50">
        <f t="shared" si="130"/>
        <v>10.5</v>
      </c>
      <c r="K185" s="49">
        <f t="shared" si="130"/>
        <v>160</v>
      </c>
      <c r="L185" s="44">
        <f t="shared" si="130"/>
        <v>8</v>
      </c>
      <c r="M185" s="44">
        <f t="shared" si="130"/>
        <v>0</v>
      </c>
      <c r="N185" s="45">
        <f t="shared" si="117"/>
        <v>0.2</v>
      </c>
      <c r="O185" s="49">
        <v>60</v>
      </c>
      <c r="P185" s="54">
        <f t="shared" si="136"/>
        <v>165.25</v>
      </c>
      <c r="Q185" s="44">
        <f t="shared" si="131"/>
        <v>150</v>
      </c>
      <c r="R185" s="50">
        <f t="shared" si="131"/>
        <v>210</v>
      </c>
    </row>
    <row r="186" spans="1:18" x14ac:dyDescent="0.25">
      <c r="A186" s="229">
        <f t="shared" si="106"/>
        <v>2696</v>
      </c>
      <c r="B186" s="230">
        <f t="shared" si="107"/>
        <v>176</v>
      </c>
      <c r="C186" s="229" t="str">
        <f t="shared" si="137"/>
        <v>L23X25#000_090_04</v>
      </c>
      <c r="D186" s="169">
        <f t="shared" si="119"/>
        <v>25</v>
      </c>
      <c r="E186" s="61">
        <f t="shared" si="100"/>
        <v>3.4090000000000007</v>
      </c>
      <c r="F186" s="61">
        <f t="shared" si="101"/>
        <v>42</v>
      </c>
      <c r="G186" s="64">
        <f t="shared" si="102"/>
        <v>0.74204946996466425</v>
      </c>
      <c r="H186" s="51">
        <f t="shared" si="103"/>
        <v>8.3478339222614846</v>
      </c>
      <c r="I186" s="42" t="str">
        <f t="shared" si="130"/>
        <v>IEC</v>
      </c>
      <c r="J186" s="50">
        <f t="shared" si="130"/>
        <v>10.5</v>
      </c>
      <c r="K186" s="49">
        <f t="shared" si="130"/>
        <v>160</v>
      </c>
      <c r="L186" s="44">
        <f t="shared" si="130"/>
        <v>8</v>
      </c>
      <c r="M186" s="44">
        <f t="shared" si="130"/>
        <v>0</v>
      </c>
      <c r="N186" s="45">
        <f t="shared" si="117"/>
        <v>0.2</v>
      </c>
      <c r="O186" s="49">
        <v>90</v>
      </c>
      <c r="P186" s="54">
        <f>K186+5.25</f>
        <v>165.25</v>
      </c>
      <c r="Q186" s="44">
        <f t="shared" si="131"/>
        <v>150</v>
      </c>
      <c r="R186" s="50">
        <f t="shared" si="131"/>
        <v>210</v>
      </c>
    </row>
    <row r="187" spans="1:18" x14ac:dyDescent="0.25">
      <c r="A187" s="229">
        <f t="shared" si="106"/>
        <v>2697</v>
      </c>
      <c r="B187" s="230">
        <f t="shared" si="107"/>
        <v>177</v>
      </c>
      <c r="C187" s="229" t="str">
        <f>TEXT(RIGHT($B$2,LEN($B$2)-3),"L00")&amp;"X"&amp;TEXT(D187,"00")&amp;"#"&amp;IF(M187&lt;0,TEXT(360+M187,"000"),TEXT(M187,"000"))&amp;"_"&amp;TEXT(O187,"000")&amp;"_01"</f>
        <v>L23X25#008_000_01</v>
      </c>
      <c r="D187" s="169">
        <f t="shared" si="119"/>
        <v>25</v>
      </c>
      <c r="E187" s="61">
        <f t="shared" si="100"/>
        <v>3.4090000000000007</v>
      </c>
      <c r="F187" s="61">
        <f t="shared" si="101"/>
        <v>42</v>
      </c>
      <c r="G187" s="64">
        <f t="shared" si="102"/>
        <v>0.74204946996466425</v>
      </c>
      <c r="H187" s="51">
        <f t="shared" si="103"/>
        <v>8.3478339222614846</v>
      </c>
      <c r="I187" s="42" t="str">
        <f t="shared" si="130"/>
        <v>IEC</v>
      </c>
      <c r="J187" s="50">
        <f t="shared" si="130"/>
        <v>10.5</v>
      </c>
      <c r="K187" s="49">
        <f t="shared" si="130"/>
        <v>160</v>
      </c>
      <c r="L187" s="44">
        <f t="shared" si="130"/>
        <v>8</v>
      </c>
      <c r="M187" s="44">
        <f>yaw_max</f>
        <v>8</v>
      </c>
      <c r="N187" s="45">
        <f t="shared" si="117"/>
        <v>0.2</v>
      </c>
      <c r="O187" s="49">
        <v>0</v>
      </c>
      <c r="P187" s="52">
        <f>K187</f>
        <v>160</v>
      </c>
      <c r="Q187" s="44">
        <f t="shared" si="131"/>
        <v>150</v>
      </c>
      <c r="R187" s="50">
        <f t="shared" si="131"/>
        <v>210</v>
      </c>
    </row>
    <row r="188" spans="1:18" x14ac:dyDescent="0.25">
      <c r="A188" s="229">
        <f t="shared" si="106"/>
        <v>2698</v>
      </c>
      <c r="B188" s="230">
        <f t="shared" si="107"/>
        <v>178</v>
      </c>
      <c r="C188" s="229" t="str">
        <f t="shared" ref="C188:C190" si="138">TEXT(RIGHT($B$2,LEN($B$2)-3),"L00")&amp;"X"&amp;TEXT(D188,"00")&amp;"#"&amp;IF(M188&lt;0,TEXT(360+M188,"000"),TEXT(M188,"000"))&amp;"_"&amp;TEXT(O188,"000")&amp;"_01"</f>
        <v>L23X25#008_030_01</v>
      </c>
      <c r="D188" s="169">
        <f t="shared" si="119"/>
        <v>25</v>
      </c>
      <c r="E188" s="61">
        <f t="shared" si="100"/>
        <v>3.4090000000000007</v>
      </c>
      <c r="F188" s="61">
        <f t="shared" si="101"/>
        <v>42</v>
      </c>
      <c r="G188" s="64">
        <f t="shared" si="102"/>
        <v>0.74204946996466425</v>
      </c>
      <c r="H188" s="51">
        <f t="shared" si="103"/>
        <v>8.3478339222614846</v>
      </c>
      <c r="I188" s="42" t="str">
        <f>I187</f>
        <v>IEC</v>
      </c>
      <c r="J188" s="50">
        <f t="shared" si="130"/>
        <v>10.5</v>
      </c>
      <c r="K188" s="49">
        <f>K187</f>
        <v>160</v>
      </c>
      <c r="L188" s="44">
        <f>L187</f>
        <v>8</v>
      </c>
      <c r="M188" s="44">
        <f>M187</f>
        <v>8</v>
      </c>
      <c r="N188" s="45">
        <f t="shared" si="117"/>
        <v>0.2</v>
      </c>
      <c r="O188" s="49">
        <v>30</v>
      </c>
      <c r="P188" s="52">
        <f t="shared" ref="P188:P190" si="139">K188</f>
        <v>160</v>
      </c>
      <c r="Q188" s="44">
        <f t="shared" si="131"/>
        <v>150</v>
      </c>
      <c r="R188" s="50">
        <f>R187</f>
        <v>210</v>
      </c>
    </row>
    <row r="189" spans="1:18" x14ac:dyDescent="0.25">
      <c r="A189" s="229">
        <f t="shared" si="106"/>
        <v>2699</v>
      </c>
      <c r="B189" s="230">
        <f t="shared" si="107"/>
        <v>179</v>
      </c>
      <c r="C189" s="229" t="str">
        <f t="shared" si="138"/>
        <v>L23X25#008_060_01</v>
      </c>
      <c r="D189" s="169">
        <f t="shared" si="119"/>
        <v>25</v>
      </c>
      <c r="E189" s="61">
        <f t="shared" si="100"/>
        <v>3.4090000000000007</v>
      </c>
      <c r="F189" s="61">
        <f t="shared" si="101"/>
        <v>42</v>
      </c>
      <c r="G189" s="64">
        <f t="shared" si="102"/>
        <v>0.74204946996466425</v>
      </c>
      <c r="H189" s="51">
        <f t="shared" si="103"/>
        <v>8.3478339222614846</v>
      </c>
      <c r="I189" s="42" t="str">
        <f t="shared" ref="I189:M202" si="140">I188</f>
        <v>IEC</v>
      </c>
      <c r="J189" s="50">
        <f t="shared" si="140"/>
        <v>10.5</v>
      </c>
      <c r="K189" s="49">
        <f t="shared" si="140"/>
        <v>160</v>
      </c>
      <c r="L189" s="44">
        <f t="shared" si="140"/>
        <v>8</v>
      </c>
      <c r="M189" s="44">
        <f t="shared" si="140"/>
        <v>8</v>
      </c>
      <c r="N189" s="45">
        <f t="shared" si="117"/>
        <v>0.2</v>
      </c>
      <c r="O189" s="49">
        <v>60</v>
      </c>
      <c r="P189" s="52">
        <f t="shared" si="139"/>
        <v>160</v>
      </c>
      <c r="Q189" s="44">
        <f t="shared" ref="Q189:R202" si="141">Q188</f>
        <v>150</v>
      </c>
      <c r="R189" s="50">
        <f t="shared" si="141"/>
        <v>210</v>
      </c>
    </row>
    <row r="190" spans="1:18" x14ac:dyDescent="0.25">
      <c r="A190" s="229">
        <f t="shared" si="106"/>
        <v>2700</v>
      </c>
      <c r="B190" s="230">
        <f t="shared" si="107"/>
        <v>180</v>
      </c>
      <c r="C190" s="229" t="str">
        <f t="shared" si="138"/>
        <v>L23X25#008_090_01</v>
      </c>
      <c r="D190" s="169">
        <f t="shared" si="119"/>
        <v>25</v>
      </c>
      <c r="E190" s="61">
        <f t="shared" si="100"/>
        <v>3.4090000000000007</v>
      </c>
      <c r="F190" s="61">
        <f t="shared" si="101"/>
        <v>42</v>
      </c>
      <c r="G190" s="64">
        <f t="shared" si="102"/>
        <v>0.74204946996466425</v>
      </c>
      <c r="H190" s="51">
        <f t="shared" si="103"/>
        <v>8.3478339222614846</v>
      </c>
      <c r="I190" s="42" t="str">
        <f t="shared" si="140"/>
        <v>IEC</v>
      </c>
      <c r="J190" s="50">
        <f t="shared" si="140"/>
        <v>10.5</v>
      </c>
      <c r="K190" s="49">
        <f t="shared" si="140"/>
        <v>160</v>
      </c>
      <c r="L190" s="44">
        <f t="shared" si="140"/>
        <v>8</v>
      </c>
      <c r="M190" s="44">
        <f t="shared" si="140"/>
        <v>8</v>
      </c>
      <c r="N190" s="45">
        <f t="shared" si="117"/>
        <v>0.2</v>
      </c>
      <c r="O190" s="49">
        <v>90</v>
      </c>
      <c r="P190" s="52">
        <f t="shared" si="139"/>
        <v>160</v>
      </c>
      <c r="Q190" s="44">
        <f t="shared" si="141"/>
        <v>150</v>
      </c>
      <c r="R190" s="50">
        <f t="shared" si="141"/>
        <v>210</v>
      </c>
    </row>
    <row r="191" spans="1:18" x14ac:dyDescent="0.25">
      <c r="A191" s="229">
        <f t="shared" si="106"/>
        <v>2701</v>
      </c>
      <c r="B191" s="230">
        <f t="shared" si="107"/>
        <v>181</v>
      </c>
      <c r="C191" s="229" t="str">
        <f>TEXT(RIGHT($B$2,LEN($B$2)-3),"L00")&amp;"X"&amp;TEXT(D191,"00")&amp;"#"&amp;IF(M191&lt;0,TEXT(360+M191,"000"),TEXT(M191,"000"))&amp;"_"&amp;TEXT(O191,"000")&amp;"_02"</f>
        <v>L23X25#008_000_02</v>
      </c>
      <c r="D191" s="169">
        <f t="shared" si="119"/>
        <v>25</v>
      </c>
      <c r="E191" s="61">
        <f t="shared" si="100"/>
        <v>3.4090000000000007</v>
      </c>
      <c r="F191" s="61">
        <f t="shared" si="101"/>
        <v>42</v>
      </c>
      <c r="G191" s="64">
        <f t="shared" si="102"/>
        <v>0.74204946996466425</v>
      </c>
      <c r="H191" s="51">
        <f t="shared" si="103"/>
        <v>8.3478339222614846</v>
      </c>
      <c r="I191" s="42" t="str">
        <f t="shared" si="140"/>
        <v>IEC</v>
      </c>
      <c r="J191" s="50">
        <f t="shared" si="140"/>
        <v>10.5</v>
      </c>
      <c r="K191" s="49">
        <f t="shared" si="140"/>
        <v>160</v>
      </c>
      <c r="L191" s="44">
        <f t="shared" si="140"/>
        <v>8</v>
      </c>
      <c r="M191" s="44">
        <f t="shared" si="140"/>
        <v>8</v>
      </c>
      <c r="N191" s="45">
        <f t="shared" si="117"/>
        <v>0.2</v>
      </c>
      <c r="O191" s="49">
        <v>0</v>
      </c>
      <c r="P191" s="54">
        <f>K191+2.46</f>
        <v>162.46</v>
      </c>
      <c r="Q191" s="44">
        <f t="shared" si="141"/>
        <v>150</v>
      </c>
      <c r="R191" s="50">
        <f t="shared" si="141"/>
        <v>210</v>
      </c>
    </row>
    <row r="192" spans="1:18" x14ac:dyDescent="0.25">
      <c r="A192" s="229">
        <f t="shared" si="106"/>
        <v>2702</v>
      </c>
      <c r="B192" s="230">
        <f t="shared" si="107"/>
        <v>182</v>
      </c>
      <c r="C192" s="229" t="str">
        <f t="shared" ref="C192:C194" si="142">TEXT(RIGHT($B$2,LEN($B$2)-3),"L00")&amp;"X"&amp;TEXT(D192,"00")&amp;"#"&amp;IF(M192&lt;0,TEXT(360+M192,"000"),TEXT(M192,"000"))&amp;"_"&amp;TEXT(O192,"000")&amp;"_02"</f>
        <v>L23X25#008_030_02</v>
      </c>
      <c r="D192" s="169">
        <f t="shared" si="119"/>
        <v>25</v>
      </c>
      <c r="E192" s="61">
        <f t="shared" si="100"/>
        <v>3.4090000000000007</v>
      </c>
      <c r="F192" s="61">
        <f t="shared" si="101"/>
        <v>42</v>
      </c>
      <c r="G192" s="64">
        <f t="shared" si="102"/>
        <v>0.74204946996466425</v>
      </c>
      <c r="H192" s="51">
        <f t="shared" si="103"/>
        <v>8.3478339222614846</v>
      </c>
      <c r="I192" s="42" t="str">
        <f t="shared" si="140"/>
        <v>IEC</v>
      </c>
      <c r="J192" s="50">
        <f t="shared" si="140"/>
        <v>10.5</v>
      </c>
      <c r="K192" s="49">
        <f t="shared" si="140"/>
        <v>160</v>
      </c>
      <c r="L192" s="44">
        <f t="shared" si="140"/>
        <v>8</v>
      </c>
      <c r="M192" s="44">
        <f t="shared" si="140"/>
        <v>8</v>
      </c>
      <c r="N192" s="45">
        <f t="shared" si="117"/>
        <v>0.2</v>
      </c>
      <c r="O192" s="49">
        <v>30</v>
      </c>
      <c r="P192" s="54">
        <f>K192+2.46</f>
        <v>162.46</v>
      </c>
      <c r="Q192" s="44">
        <f t="shared" si="141"/>
        <v>150</v>
      </c>
      <c r="R192" s="50">
        <f t="shared" si="141"/>
        <v>210</v>
      </c>
    </row>
    <row r="193" spans="1:18" x14ac:dyDescent="0.25">
      <c r="A193" s="229">
        <f t="shared" si="106"/>
        <v>2703</v>
      </c>
      <c r="B193" s="230">
        <f t="shared" si="107"/>
        <v>183</v>
      </c>
      <c r="C193" s="229" t="str">
        <f t="shared" si="142"/>
        <v>L23X25#008_060_02</v>
      </c>
      <c r="D193" s="169">
        <f t="shared" si="119"/>
        <v>25</v>
      </c>
      <c r="E193" s="61">
        <f t="shared" si="100"/>
        <v>3.4090000000000007</v>
      </c>
      <c r="F193" s="61">
        <f t="shared" si="101"/>
        <v>42</v>
      </c>
      <c r="G193" s="64">
        <f t="shared" si="102"/>
        <v>0.74204946996466425</v>
      </c>
      <c r="H193" s="51">
        <f t="shared" si="103"/>
        <v>8.3478339222614846</v>
      </c>
      <c r="I193" s="42" t="str">
        <f t="shared" si="140"/>
        <v>IEC</v>
      </c>
      <c r="J193" s="50">
        <f t="shared" si="140"/>
        <v>10.5</v>
      </c>
      <c r="K193" s="49">
        <f t="shared" si="140"/>
        <v>160</v>
      </c>
      <c r="L193" s="44">
        <f t="shared" si="140"/>
        <v>8</v>
      </c>
      <c r="M193" s="44">
        <f t="shared" si="140"/>
        <v>8</v>
      </c>
      <c r="N193" s="45">
        <f t="shared" si="117"/>
        <v>0.2</v>
      </c>
      <c r="O193" s="49">
        <v>60</v>
      </c>
      <c r="P193" s="54">
        <f>K193+2.46</f>
        <v>162.46</v>
      </c>
      <c r="Q193" s="44">
        <f t="shared" si="141"/>
        <v>150</v>
      </c>
      <c r="R193" s="50">
        <f t="shared" si="141"/>
        <v>210</v>
      </c>
    </row>
    <row r="194" spans="1:18" x14ac:dyDescent="0.25">
      <c r="A194" s="229">
        <f t="shared" si="106"/>
        <v>2704</v>
      </c>
      <c r="B194" s="230">
        <f t="shared" si="107"/>
        <v>184</v>
      </c>
      <c r="C194" s="229" t="str">
        <f t="shared" si="142"/>
        <v>L23X25#008_090_02</v>
      </c>
      <c r="D194" s="169">
        <f t="shared" si="119"/>
        <v>25</v>
      </c>
      <c r="E194" s="61">
        <f t="shared" si="100"/>
        <v>3.4090000000000007</v>
      </c>
      <c r="F194" s="61">
        <f t="shared" si="101"/>
        <v>42</v>
      </c>
      <c r="G194" s="64">
        <f t="shared" si="102"/>
        <v>0.74204946996466425</v>
      </c>
      <c r="H194" s="51">
        <f t="shared" si="103"/>
        <v>8.3478339222614846</v>
      </c>
      <c r="I194" s="42" t="str">
        <f t="shared" si="140"/>
        <v>IEC</v>
      </c>
      <c r="J194" s="50">
        <f t="shared" si="140"/>
        <v>10.5</v>
      </c>
      <c r="K194" s="49">
        <f t="shared" si="140"/>
        <v>160</v>
      </c>
      <c r="L194" s="44">
        <f t="shared" si="140"/>
        <v>8</v>
      </c>
      <c r="M194" s="44">
        <f t="shared" si="140"/>
        <v>8</v>
      </c>
      <c r="N194" s="45">
        <f t="shared" si="117"/>
        <v>0.2</v>
      </c>
      <c r="O194" s="49">
        <v>90</v>
      </c>
      <c r="P194" s="54">
        <f>K194+2.46</f>
        <v>162.46</v>
      </c>
      <c r="Q194" s="44">
        <f t="shared" si="141"/>
        <v>150</v>
      </c>
      <c r="R194" s="50">
        <f t="shared" si="141"/>
        <v>210</v>
      </c>
    </row>
    <row r="195" spans="1:18" x14ac:dyDescent="0.25">
      <c r="A195" s="229">
        <f t="shared" si="106"/>
        <v>2705</v>
      </c>
      <c r="B195" s="230">
        <f t="shared" si="107"/>
        <v>185</v>
      </c>
      <c r="C195" s="229" t="str">
        <f>TEXT(RIGHT($B$2,LEN($B$2)-3),"L00")&amp;"X"&amp;TEXT(D195,"00")&amp;"#"&amp;IF(M195&lt;0,TEXT(360+M195,"000"),TEXT(M195,"000"))&amp;"_"&amp;TEXT(O195,"000")&amp;"_03"</f>
        <v>L23X25#008_000_03</v>
      </c>
      <c r="D195" s="169">
        <f t="shared" si="119"/>
        <v>25</v>
      </c>
      <c r="E195" s="61">
        <f t="shared" si="100"/>
        <v>3.4090000000000007</v>
      </c>
      <c r="F195" s="61">
        <f t="shared" si="101"/>
        <v>42</v>
      </c>
      <c r="G195" s="64">
        <f t="shared" si="102"/>
        <v>0.74204946996466425</v>
      </c>
      <c r="H195" s="51">
        <f t="shared" si="103"/>
        <v>8.3478339222614846</v>
      </c>
      <c r="I195" s="42" t="str">
        <f t="shared" si="140"/>
        <v>IEC</v>
      </c>
      <c r="J195" s="50">
        <f t="shared" si="140"/>
        <v>10.5</v>
      </c>
      <c r="K195" s="49">
        <f t="shared" si="140"/>
        <v>160</v>
      </c>
      <c r="L195" s="44">
        <f t="shared" si="140"/>
        <v>8</v>
      </c>
      <c r="M195" s="44">
        <f t="shared" si="140"/>
        <v>8</v>
      </c>
      <c r="N195" s="45">
        <f t="shared" si="117"/>
        <v>0.2</v>
      </c>
      <c r="O195" s="49">
        <v>0</v>
      </c>
      <c r="P195" s="54">
        <f t="shared" ref="P195:P196" si="143">K195+4</f>
        <v>164</v>
      </c>
      <c r="Q195" s="44">
        <f t="shared" si="141"/>
        <v>150</v>
      </c>
      <c r="R195" s="50">
        <f t="shared" si="141"/>
        <v>210</v>
      </c>
    </row>
    <row r="196" spans="1:18" x14ac:dyDescent="0.25">
      <c r="A196" s="229">
        <f t="shared" si="106"/>
        <v>2706</v>
      </c>
      <c r="B196" s="230">
        <f t="shared" si="107"/>
        <v>186</v>
      </c>
      <c r="C196" s="229" t="str">
        <f t="shared" ref="C196:C198" si="144">TEXT(RIGHT($B$2,LEN($B$2)-3),"L00")&amp;"X"&amp;TEXT(D196,"00")&amp;"#"&amp;IF(M196&lt;0,TEXT(360+M196,"000"),TEXT(M196,"000"))&amp;"_"&amp;TEXT(O196,"000")&amp;"_03"</f>
        <v>L23X25#008_030_03</v>
      </c>
      <c r="D196" s="169">
        <f t="shared" si="119"/>
        <v>25</v>
      </c>
      <c r="E196" s="61">
        <f t="shared" si="100"/>
        <v>3.4090000000000007</v>
      </c>
      <c r="F196" s="61">
        <f t="shared" si="101"/>
        <v>42</v>
      </c>
      <c r="G196" s="64">
        <f t="shared" si="102"/>
        <v>0.74204946996466425</v>
      </c>
      <c r="H196" s="51">
        <f t="shared" si="103"/>
        <v>8.3478339222614846</v>
      </c>
      <c r="I196" s="42" t="str">
        <f t="shared" si="140"/>
        <v>IEC</v>
      </c>
      <c r="J196" s="50">
        <f t="shared" si="140"/>
        <v>10.5</v>
      </c>
      <c r="K196" s="49">
        <f t="shared" si="140"/>
        <v>160</v>
      </c>
      <c r="L196" s="44">
        <f t="shared" si="140"/>
        <v>8</v>
      </c>
      <c r="M196" s="44">
        <f t="shared" si="140"/>
        <v>8</v>
      </c>
      <c r="N196" s="45">
        <f t="shared" si="117"/>
        <v>0.2</v>
      </c>
      <c r="O196" s="49">
        <v>30</v>
      </c>
      <c r="P196" s="54">
        <f t="shared" si="143"/>
        <v>164</v>
      </c>
      <c r="Q196" s="44">
        <f t="shared" si="141"/>
        <v>150</v>
      </c>
      <c r="R196" s="50">
        <f t="shared" si="141"/>
        <v>210</v>
      </c>
    </row>
    <row r="197" spans="1:18" x14ac:dyDescent="0.25">
      <c r="A197" s="229">
        <f t="shared" si="106"/>
        <v>2707</v>
      </c>
      <c r="B197" s="230">
        <f t="shared" si="107"/>
        <v>187</v>
      </c>
      <c r="C197" s="229" t="str">
        <f t="shared" si="144"/>
        <v>L23X25#008_060_03</v>
      </c>
      <c r="D197" s="169">
        <f t="shared" si="119"/>
        <v>25</v>
      </c>
      <c r="E197" s="61">
        <f t="shared" si="100"/>
        <v>3.4090000000000007</v>
      </c>
      <c r="F197" s="61">
        <f t="shared" si="101"/>
        <v>42</v>
      </c>
      <c r="G197" s="64">
        <f t="shared" si="102"/>
        <v>0.74204946996466425</v>
      </c>
      <c r="H197" s="51">
        <f t="shared" si="103"/>
        <v>8.3478339222614846</v>
      </c>
      <c r="I197" s="42" t="str">
        <f t="shared" si="140"/>
        <v>IEC</v>
      </c>
      <c r="J197" s="50">
        <f t="shared" si="140"/>
        <v>10.5</v>
      </c>
      <c r="K197" s="49">
        <f t="shared" si="140"/>
        <v>160</v>
      </c>
      <c r="L197" s="44">
        <f t="shared" si="140"/>
        <v>8</v>
      </c>
      <c r="M197" s="44">
        <f t="shared" si="140"/>
        <v>8</v>
      </c>
      <c r="N197" s="45">
        <f t="shared" si="117"/>
        <v>0.2</v>
      </c>
      <c r="O197" s="49">
        <v>60</v>
      </c>
      <c r="P197" s="54">
        <f>K197+4</f>
        <v>164</v>
      </c>
      <c r="Q197" s="44">
        <f t="shared" si="141"/>
        <v>150</v>
      </c>
      <c r="R197" s="50">
        <f t="shared" si="141"/>
        <v>210</v>
      </c>
    </row>
    <row r="198" spans="1:18" x14ac:dyDescent="0.25">
      <c r="A198" s="229">
        <f t="shared" si="106"/>
        <v>2708</v>
      </c>
      <c r="B198" s="230">
        <f t="shared" si="107"/>
        <v>188</v>
      </c>
      <c r="C198" s="229" t="str">
        <f t="shared" si="144"/>
        <v>L23X25#008_090_03</v>
      </c>
      <c r="D198" s="169">
        <f t="shared" si="119"/>
        <v>25</v>
      </c>
      <c r="E198" s="61">
        <f t="shared" si="100"/>
        <v>3.4090000000000007</v>
      </c>
      <c r="F198" s="61">
        <f t="shared" si="101"/>
        <v>42</v>
      </c>
      <c r="G198" s="64">
        <f t="shared" si="102"/>
        <v>0.74204946996466425</v>
      </c>
      <c r="H198" s="51">
        <f t="shared" si="103"/>
        <v>8.3478339222614846</v>
      </c>
      <c r="I198" s="42" t="str">
        <f t="shared" si="140"/>
        <v>IEC</v>
      </c>
      <c r="J198" s="50">
        <f t="shared" si="140"/>
        <v>10.5</v>
      </c>
      <c r="K198" s="49">
        <f t="shared" si="140"/>
        <v>160</v>
      </c>
      <c r="L198" s="44">
        <f t="shared" si="140"/>
        <v>8</v>
      </c>
      <c r="M198" s="44">
        <f t="shared" si="140"/>
        <v>8</v>
      </c>
      <c r="N198" s="45">
        <f t="shared" si="117"/>
        <v>0.2</v>
      </c>
      <c r="O198" s="49">
        <v>90</v>
      </c>
      <c r="P198" s="54">
        <f t="shared" ref="P198" si="145">K198+4</f>
        <v>164</v>
      </c>
      <c r="Q198" s="44">
        <f t="shared" si="141"/>
        <v>150</v>
      </c>
      <c r="R198" s="50">
        <f t="shared" si="141"/>
        <v>210</v>
      </c>
    </row>
    <row r="199" spans="1:18" x14ac:dyDescent="0.25">
      <c r="A199" s="229">
        <f t="shared" si="106"/>
        <v>2709</v>
      </c>
      <c r="B199" s="230">
        <f t="shared" si="107"/>
        <v>189</v>
      </c>
      <c r="C199" s="229" t="str">
        <f>TEXT(RIGHT($B$2,LEN($B$2)-3),"L00")&amp;"X"&amp;TEXT(D199,"00")&amp;"#"&amp;IF(M199&lt;0,TEXT(360+M199,"000"),TEXT(M199,"000"))&amp;"_"&amp;TEXT(O199,"000")&amp;"_04"</f>
        <v>L23X25#008_000_04</v>
      </c>
      <c r="D199" s="169">
        <f t="shared" si="119"/>
        <v>25</v>
      </c>
      <c r="E199" s="61">
        <f t="shared" si="100"/>
        <v>3.4090000000000007</v>
      </c>
      <c r="F199" s="61">
        <f t="shared" si="101"/>
        <v>42</v>
      </c>
      <c r="G199" s="64">
        <f t="shared" si="102"/>
        <v>0.74204946996466425</v>
      </c>
      <c r="H199" s="51">
        <f t="shared" si="103"/>
        <v>8.3478339222614846</v>
      </c>
      <c r="I199" s="42" t="str">
        <f t="shared" si="140"/>
        <v>IEC</v>
      </c>
      <c r="J199" s="50">
        <f t="shared" si="140"/>
        <v>10.5</v>
      </c>
      <c r="K199" s="49">
        <f t="shared" si="140"/>
        <v>160</v>
      </c>
      <c r="L199" s="44">
        <f t="shared" si="140"/>
        <v>8</v>
      </c>
      <c r="M199" s="44">
        <f t="shared" si="140"/>
        <v>8</v>
      </c>
      <c r="N199" s="45">
        <f t="shared" si="117"/>
        <v>0.2</v>
      </c>
      <c r="O199" s="49">
        <v>0</v>
      </c>
      <c r="P199" s="54">
        <f t="shared" ref="P199:P201" si="146">K199+5.25</f>
        <v>165.25</v>
      </c>
      <c r="Q199" s="44">
        <f t="shared" si="141"/>
        <v>150</v>
      </c>
      <c r="R199" s="50">
        <f t="shared" si="141"/>
        <v>210</v>
      </c>
    </row>
    <row r="200" spans="1:18" x14ac:dyDescent="0.25">
      <c r="A200" s="229">
        <f t="shared" si="106"/>
        <v>2710</v>
      </c>
      <c r="B200" s="230">
        <f t="shared" si="107"/>
        <v>190</v>
      </c>
      <c r="C200" s="229" t="str">
        <f t="shared" ref="C200:C202" si="147">TEXT(RIGHT($B$2,LEN($B$2)-3),"L00")&amp;"X"&amp;TEXT(D200,"00")&amp;"#"&amp;IF(M200&lt;0,TEXT(360+M200,"000"),TEXT(M200,"000"))&amp;"_"&amp;TEXT(O200,"000")&amp;"_04"</f>
        <v>L23X25#008_030_04</v>
      </c>
      <c r="D200" s="169">
        <f t="shared" si="119"/>
        <v>25</v>
      </c>
      <c r="E200" s="61">
        <f t="shared" si="100"/>
        <v>3.4090000000000007</v>
      </c>
      <c r="F200" s="61">
        <f t="shared" si="101"/>
        <v>42</v>
      </c>
      <c r="G200" s="64">
        <f t="shared" si="102"/>
        <v>0.74204946996466425</v>
      </c>
      <c r="H200" s="51">
        <f t="shared" si="103"/>
        <v>8.3478339222614846</v>
      </c>
      <c r="I200" s="42" t="str">
        <f t="shared" si="140"/>
        <v>IEC</v>
      </c>
      <c r="J200" s="50">
        <f t="shared" si="140"/>
        <v>10.5</v>
      </c>
      <c r="K200" s="49">
        <f t="shared" si="140"/>
        <v>160</v>
      </c>
      <c r="L200" s="44">
        <f t="shared" si="140"/>
        <v>8</v>
      </c>
      <c r="M200" s="44">
        <f t="shared" si="140"/>
        <v>8</v>
      </c>
      <c r="N200" s="45">
        <f t="shared" si="117"/>
        <v>0.2</v>
      </c>
      <c r="O200" s="49">
        <v>30</v>
      </c>
      <c r="P200" s="54">
        <f t="shared" si="146"/>
        <v>165.25</v>
      </c>
      <c r="Q200" s="44">
        <f t="shared" si="141"/>
        <v>150</v>
      </c>
      <c r="R200" s="50">
        <f t="shared" si="141"/>
        <v>210</v>
      </c>
    </row>
    <row r="201" spans="1:18" x14ac:dyDescent="0.25">
      <c r="A201" s="229">
        <f t="shared" si="106"/>
        <v>2711</v>
      </c>
      <c r="B201" s="230">
        <f t="shared" si="107"/>
        <v>191</v>
      </c>
      <c r="C201" s="229" t="str">
        <f t="shared" si="147"/>
        <v>L23X25#008_060_04</v>
      </c>
      <c r="D201" s="169">
        <f t="shared" si="119"/>
        <v>25</v>
      </c>
      <c r="E201" s="61">
        <f t="shared" si="100"/>
        <v>3.4090000000000007</v>
      </c>
      <c r="F201" s="61">
        <f t="shared" si="101"/>
        <v>42</v>
      </c>
      <c r="G201" s="64">
        <f t="shared" si="102"/>
        <v>0.74204946996466425</v>
      </c>
      <c r="H201" s="51">
        <f t="shared" si="103"/>
        <v>8.3478339222614846</v>
      </c>
      <c r="I201" s="42" t="str">
        <f t="shared" si="140"/>
        <v>IEC</v>
      </c>
      <c r="J201" s="50">
        <f t="shared" si="140"/>
        <v>10.5</v>
      </c>
      <c r="K201" s="49">
        <f t="shared" si="140"/>
        <v>160</v>
      </c>
      <c r="L201" s="44">
        <f t="shared" si="140"/>
        <v>8</v>
      </c>
      <c r="M201" s="44">
        <f t="shared" si="140"/>
        <v>8</v>
      </c>
      <c r="N201" s="45">
        <f t="shared" si="117"/>
        <v>0.2</v>
      </c>
      <c r="O201" s="49">
        <v>60</v>
      </c>
      <c r="P201" s="54">
        <f t="shared" si="146"/>
        <v>165.25</v>
      </c>
      <c r="Q201" s="44">
        <f t="shared" si="141"/>
        <v>150</v>
      </c>
      <c r="R201" s="50">
        <f t="shared" si="141"/>
        <v>210</v>
      </c>
    </row>
    <row r="202" spans="1:18" x14ac:dyDescent="0.25">
      <c r="A202" s="229">
        <f t="shared" si="106"/>
        <v>2712</v>
      </c>
      <c r="B202" s="230">
        <f t="shared" si="107"/>
        <v>192</v>
      </c>
      <c r="C202" s="229" t="str">
        <f t="shared" si="147"/>
        <v>L23X25#008_090_04</v>
      </c>
      <c r="D202" s="169">
        <f t="shared" si="119"/>
        <v>25</v>
      </c>
      <c r="E202" s="61">
        <f t="shared" si="100"/>
        <v>3.4090000000000007</v>
      </c>
      <c r="F202" s="61">
        <f t="shared" si="101"/>
        <v>42</v>
      </c>
      <c r="G202" s="64">
        <f t="shared" si="102"/>
        <v>0.74204946996466425</v>
      </c>
      <c r="H202" s="51">
        <f t="shared" si="103"/>
        <v>8.3478339222614846</v>
      </c>
      <c r="I202" s="42" t="str">
        <f t="shared" si="140"/>
        <v>IEC</v>
      </c>
      <c r="J202" s="50">
        <f t="shared" si="140"/>
        <v>10.5</v>
      </c>
      <c r="K202" s="49">
        <f t="shared" si="140"/>
        <v>160</v>
      </c>
      <c r="L202" s="44">
        <f t="shared" si="140"/>
        <v>8</v>
      </c>
      <c r="M202" s="44">
        <f t="shared" si="140"/>
        <v>8</v>
      </c>
      <c r="N202" s="45">
        <f t="shared" si="117"/>
        <v>0.2</v>
      </c>
      <c r="O202" s="49">
        <v>90</v>
      </c>
      <c r="P202" s="54">
        <f>K202+5.25</f>
        <v>165.25</v>
      </c>
      <c r="Q202" s="44">
        <f t="shared" si="141"/>
        <v>150</v>
      </c>
      <c r="R202" s="50">
        <f t="shared" si="141"/>
        <v>210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154"/>
  <sheetViews>
    <sheetView zoomScaleNormal="100" workbookViewId="0">
      <selection activeCell="I1" sqref="I1:I7"/>
    </sheetView>
  </sheetViews>
  <sheetFormatPr defaultColWidth="9" defaultRowHeight="15" x14ac:dyDescent="0.15"/>
  <cols>
    <col min="1" max="1" width="7" style="23" customWidth="1"/>
    <col min="2" max="2" width="7.375" style="23" customWidth="1"/>
    <col min="3" max="3" width="20" style="23" customWidth="1"/>
    <col min="4" max="4" width="6.875" style="23" customWidth="1"/>
    <col min="5" max="5" width="7.375" style="23" customWidth="1"/>
    <col min="6" max="6" width="8.125" style="23" customWidth="1"/>
    <col min="7" max="8" width="7.375" style="23" customWidth="1"/>
    <col min="9" max="9" width="8" style="23" customWidth="1"/>
    <col min="10" max="10" width="9" style="23"/>
    <col min="11" max="11" width="8.875" style="23" customWidth="1"/>
    <col min="12" max="12" width="7.375" style="23" customWidth="1"/>
    <col min="13" max="13" width="7.125" style="182" customWidth="1"/>
    <col min="14" max="14" width="6.75" style="23" customWidth="1"/>
    <col min="15" max="15" width="7.625" style="23" customWidth="1"/>
    <col min="16" max="16" width="7" style="23" customWidth="1"/>
    <col min="17" max="16384" width="9" style="23"/>
  </cols>
  <sheetData>
    <row r="1" spans="1:31" x14ac:dyDescent="0.15">
      <c r="H1" s="22" t="s">
        <v>135</v>
      </c>
      <c r="I1" s="216" t="s">
        <v>3956</v>
      </c>
      <c r="J1" s="21"/>
    </row>
    <row r="2" spans="1:31" x14ac:dyDescent="0.15">
      <c r="B2" s="22" t="s">
        <v>3699</v>
      </c>
      <c r="C2" s="22"/>
      <c r="D2" s="22"/>
      <c r="E2" s="22"/>
      <c r="F2" s="22"/>
      <c r="G2" s="22"/>
      <c r="H2" s="22"/>
      <c r="I2" s="216" t="s">
        <v>3928</v>
      </c>
      <c r="J2" s="21"/>
    </row>
    <row r="3" spans="1:31" x14ac:dyDescent="0.15">
      <c r="B3" s="22" t="s">
        <v>88</v>
      </c>
      <c r="C3" s="22"/>
      <c r="D3" s="22"/>
      <c r="E3" s="22" t="s">
        <v>95</v>
      </c>
      <c r="F3" s="22"/>
      <c r="G3" s="22"/>
      <c r="H3" s="22"/>
      <c r="I3" s="240" t="s">
        <v>3939</v>
      </c>
      <c r="J3" s="21"/>
    </row>
    <row r="4" spans="1:31" x14ac:dyDescent="0.15">
      <c r="B4" s="22" t="s">
        <v>89</v>
      </c>
      <c r="C4" s="22"/>
      <c r="D4" s="22"/>
      <c r="E4" s="22" t="s">
        <v>3700</v>
      </c>
      <c r="F4" s="22"/>
      <c r="G4" s="22"/>
      <c r="H4" s="22"/>
      <c r="I4" s="216" t="s">
        <v>3937</v>
      </c>
      <c r="J4" s="21"/>
    </row>
    <row r="5" spans="1:31" x14ac:dyDescent="0.15">
      <c r="B5" s="22" t="s">
        <v>91</v>
      </c>
      <c r="C5" s="22"/>
      <c r="D5" s="22"/>
      <c r="E5" s="22" t="s">
        <v>890</v>
      </c>
      <c r="F5" s="22"/>
      <c r="G5" s="22"/>
      <c r="H5" s="22"/>
      <c r="I5" s="240" t="s">
        <v>3940</v>
      </c>
      <c r="J5" s="21"/>
      <c r="K5" s="22"/>
    </row>
    <row r="6" spans="1:31" x14ac:dyDescent="0.15">
      <c r="B6" s="22" t="s">
        <v>93</v>
      </c>
      <c r="C6" s="22"/>
      <c r="D6" s="22"/>
      <c r="E6" s="22" t="s">
        <v>891</v>
      </c>
      <c r="F6" s="22"/>
      <c r="G6" s="22"/>
      <c r="H6" s="22"/>
      <c r="I6" s="216" t="s">
        <v>3932</v>
      </c>
      <c r="J6" s="21"/>
    </row>
    <row r="7" spans="1:31" x14ac:dyDescent="0.15">
      <c r="I7" s="216" t="s">
        <v>3930</v>
      </c>
      <c r="Q7" s="23">
        <v>17</v>
      </c>
      <c r="R7" s="23">
        <v>18</v>
      </c>
      <c r="S7" s="217">
        <v>19</v>
      </c>
      <c r="T7" s="217">
        <v>20</v>
      </c>
      <c r="U7" s="217">
        <v>21</v>
      </c>
      <c r="V7" s="217">
        <v>22</v>
      </c>
      <c r="W7" s="217">
        <v>23</v>
      </c>
      <c r="X7" s="217">
        <v>24</v>
      </c>
      <c r="Y7" s="217">
        <v>25</v>
      </c>
    </row>
    <row r="8" spans="1:31" ht="15.75" thickBot="1" x14ac:dyDescent="0.2">
      <c r="A8" s="23">
        <v>1</v>
      </c>
      <c r="B8" s="23">
        <v>2</v>
      </c>
      <c r="C8" s="182">
        <v>3</v>
      </c>
      <c r="D8" s="182">
        <v>4</v>
      </c>
      <c r="E8" s="182">
        <v>5</v>
      </c>
      <c r="F8" s="182">
        <v>6</v>
      </c>
      <c r="G8" s="182">
        <v>7</v>
      </c>
      <c r="H8" s="182">
        <v>8</v>
      </c>
      <c r="I8" s="182">
        <v>9</v>
      </c>
      <c r="J8" s="182">
        <v>10</v>
      </c>
      <c r="K8" s="182">
        <v>11</v>
      </c>
      <c r="L8" s="182">
        <v>12</v>
      </c>
      <c r="M8" s="182">
        <v>13</v>
      </c>
      <c r="N8" s="182">
        <v>14</v>
      </c>
      <c r="O8" s="182">
        <v>15</v>
      </c>
      <c r="P8" s="182">
        <v>16</v>
      </c>
      <c r="R8" s="273" t="s">
        <v>249</v>
      </c>
      <c r="S8" s="274"/>
      <c r="T8" s="274"/>
      <c r="U8" s="274"/>
      <c r="V8" s="274"/>
      <c r="W8" s="274"/>
      <c r="X8" s="274"/>
      <c r="Y8" s="275"/>
    </row>
    <row r="9" spans="1:31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140</v>
      </c>
      <c r="K9" s="26" t="s">
        <v>3</v>
      </c>
      <c r="L9" s="25" t="s">
        <v>141</v>
      </c>
      <c r="M9" s="184" t="s">
        <v>13</v>
      </c>
      <c r="N9" s="27" t="s">
        <v>138</v>
      </c>
      <c r="O9" s="47" t="s">
        <v>160</v>
      </c>
      <c r="P9" s="27" t="s">
        <v>139</v>
      </c>
      <c r="R9" s="28" t="s">
        <v>77</v>
      </c>
      <c r="S9" s="28" t="s">
        <v>78</v>
      </c>
      <c r="T9" s="28" t="s">
        <v>79</v>
      </c>
      <c r="U9" s="28" t="s">
        <v>80</v>
      </c>
      <c r="V9" s="28" t="s">
        <v>81</v>
      </c>
      <c r="W9" s="28" t="s">
        <v>86</v>
      </c>
      <c r="X9" s="28" t="s">
        <v>85</v>
      </c>
      <c r="Y9" s="28" t="s">
        <v>250</v>
      </c>
    </row>
    <row r="10" spans="1:31" ht="15.75" thickBot="1" x14ac:dyDescent="0.3">
      <c r="A10" s="29" t="s">
        <v>76</v>
      </c>
      <c r="B10" s="30" t="str">
        <f>B2</f>
        <v>DLC24a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190" t="s">
        <v>7</v>
      </c>
      <c r="N10" s="32" t="s">
        <v>7</v>
      </c>
      <c r="O10" s="32" t="s">
        <v>7</v>
      </c>
      <c r="P10" s="32" t="s">
        <v>7</v>
      </c>
      <c r="R10" s="33" t="s">
        <v>83</v>
      </c>
      <c r="S10" s="28" t="s">
        <v>83</v>
      </c>
      <c r="T10" s="28" t="s">
        <v>76</v>
      </c>
      <c r="U10" s="28" t="s">
        <v>76</v>
      </c>
      <c r="V10" s="28" t="s">
        <v>76</v>
      </c>
      <c r="W10" s="33"/>
      <c r="X10" s="28" t="s">
        <v>76</v>
      </c>
      <c r="Y10" s="28" t="s">
        <v>251</v>
      </c>
      <c r="AB10" s="23" t="s">
        <v>3673</v>
      </c>
    </row>
    <row r="11" spans="1:31" ht="15.75" thickBot="1" x14ac:dyDescent="0.3">
      <c r="A11" s="24">
        <f>'DLC23'!A202+1</f>
        <v>2713</v>
      </c>
      <c r="B11" s="27">
        <v>1</v>
      </c>
      <c r="C11" s="218" t="str">
        <f>TEXT(RIGHT($B$2,LEN($B$2)-3),"000")&amp;"X"&amp;TEXT(D11,"00")&amp;"-"&amp;IF(J11&lt;0,TEXT(360+J11,"000"),TEXT(J11,"000"))&amp;"_"&amp;TEXT(M11,"000")&amp;"_"&amp;TEXT(RIGHT(K11,LEN(K11)-FIND("-",K11)),"00")</f>
        <v>24aX03-000_000_01</v>
      </c>
      <c r="D11" s="34">
        <v>3</v>
      </c>
      <c r="E11" s="60">
        <f t="shared" ref="E11:E22" si="0">I_ref*(0.75*D11+5.6)</f>
        <v>1.099</v>
      </c>
      <c r="F11" s="35">
        <f>E11/D11*100</f>
        <v>36.633333333333333</v>
      </c>
      <c r="G11" s="35">
        <f t="shared" ref="G11:G22" si="1">m_ty*F11</f>
        <v>29.306666666666668</v>
      </c>
      <c r="H11" s="35">
        <f t="shared" ref="H11:H22" si="2">m_tz*F11</f>
        <v>18.316666666666666</v>
      </c>
      <c r="I11" s="35">
        <f>inflow</f>
        <v>8</v>
      </c>
      <c r="J11" s="36">
        <f>yaw_null</f>
        <v>0</v>
      </c>
      <c r="K11" s="37" t="str">
        <f>D11&amp;-1</f>
        <v>3-1</v>
      </c>
      <c r="L11" s="35">
        <f>alpha_n</f>
        <v>0.2</v>
      </c>
      <c r="M11" s="49">
        <v>0</v>
      </c>
      <c r="N11" s="44">
        <f>t_out</f>
        <v>150</v>
      </c>
      <c r="O11" s="44">
        <f>trig_t</f>
        <v>160</v>
      </c>
      <c r="P11" s="44">
        <f>N11+T_s1</f>
        <v>750</v>
      </c>
      <c r="R11" s="38">
        <f t="shared" ref="R11:R22" si="3">v_in</f>
        <v>3</v>
      </c>
      <c r="S11" s="38">
        <f>R11+v_step/2</f>
        <v>4</v>
      </c>
      <c r="T11" s="39">
        <f t="shared" ref="T11:U22" si="4">IF(wpd="Rayleigh",1-EXP(-PI()*((R11/2/v_ave)^2)),IF(wpd="Weibull",1-EXP(-((R11/weibull_A)^weibull_K))))</f>
        <v>0.11808862170182366</v>
      </c>
      <c r="U11" s="39">
        <f t="shared" si="4"/>
        <v>0.20020684760703333</v>
      </c>
      <c r="V11" s="39">
        <f>U11-T11</f>
        <v>8.2118225905209674E-2</v>
      </c>
      <c r="W11" s="39">
        <f>V11/(V$11+V$23+V$35+V$47+V$59+V$71+V$83+V$95+V$107+V$119+V$131+V$143)</f>
        <v>9.3131049557280493E-2</v>
      </c>
      <c r="X11" s="40">
        <f t="shared" ref="X11:X22" si="5">T_N4*W11/12</f>
        <v>7.7609207964400406E-2</v>
      </c>
      <c r="Y11" s="40" t="s">
        <v>21</v>
      </c>
      <c r="Z11" s="163">
        <f>X11*20</f>
        <v>1.5521841592880081</v>
      </c>
      <c r="AA11" s="163">
        <f t="shared" ref="AA11:AA58" si="6">Z11*(P11-N11)/3600</f>
        <v>0.25869735988133469</v>
      </c>
      <c r="AB11" s="176">
        <f>SUM(X11:X22,X23:X34,X35:X46,X47:X58,X59:X70,X71:X82,X83:X94,X95:X106,X107:X118,X119:X130,X131:X142,X143:X154)</f>
        <v>9.9999999999999769</v>
      </c>
      <c r="AC11" s="176"/>
      <c r="AD11" s="176"/>
      <c r="AE11" s="176"/>
    </row>
    <row r="12" spans="1:31" ht="15.75" thickBot="1" x14ac:dyDescent="0.3">
      <c r="A12" s="41">
        <f>A11+1</f>
        <v>2714</v>
      </c>
      <c r="B12" s="42">
        <f>B11+1</f>
        <v>2</v>
      </c>
      <c r="C12" s="218" t="str">
        <f t="shared" ref="C12:C75" si="7">TEXT(RIGHT($B$2,LEN($B$2)-3),"000")&amp;"X"&amp;TEXT(D12,"00")&amp;"-"&amp;IF(J12&lt;0,TEXT(360+J12,"000"),TEXT(J12,"000"))&amp;"_"&amp;TEXT(M12,"000")&amp;"_"&amp;TEXT(RIGHT(K12,LEN(K12)-FIND("-",K12)),"00")</f>
        <v>24aX03-000_030_02</v>
      </c>
      <c r="D12" s="43">
        <f>D11</f>
        <v>3</v>
      </c>
      <c r="E12" s="61">
        <f t="shared" si="0"/>
        <v>1.099</v>
      </c>
      <c r="F12" s="44">
        <f>E12/D12*100</f>
        <v>36.633333333333333</v>
      </c>
      <c r="G12" s="44">
        <f t="shared" si="1"/>
        <v>29.306666666666668</v>
      </c>
      <c r="H12" s="44">
        <f t="shared" si="2"/>
        <v>18.316666666666666</v>
      </c>
      <c r="I12" s="44">
        <f>I11</f>
        <v>8</v>
      </c>
      <c r="J12" s="45">
        <f>J11</f>
        <v>0</v>
      </c>
      <c r="K12" s="37" t="str">
        <f>D12&amp;-2</f>
        <v>3-2</v>
      </c>
      <c r="L12" s="44">
        <f>L11</f>
        <v>0.2</v>
      </c>
      <c r="M12" s="49">
        <v>30</v>
      </c>
      <c r="N12" s="44">
        <f>N11</f>
        <v>150</v>
      </c>
      <c r="O12" s="44">
        <f>O11</f>
        <v>160</v>
      </c>
      <c r="P12" s="44">
        <f>P11</f>
        <v>750</v>
      </c>
      <c r="R12" s="38">
        <f t="shared" si="3"/>
        <v>3</v>
      </c>
      <c r="S12" s="38">
        <f>S11</f>
        <v>4</v>
      </c>
      <c r="T12" s="39">
        <f t="shared" si="4"/>
        <v>0.11808862170182366</v>
      </c>
      <c r="U12" s="39">
        <f t="shared" si="4"/>
        <v>0.20020684760703333</v>
      </c>
      <c r="V12" s="39">
        <f t="shared" ref="V12:V22" si="8">U12-T12</f>
        <v>8.2118225905209674E-2</v>
      </c>
      <c r="W12" s="39">
        <f t="shared" ref="W12:W75" si="9">V12/(V$11+V$23+V$35+V$47+V$59+V$71+V$83+V$95+V$107+V$119+V$131+V$143)</f>
        <v>9.3131049557280493E-2</v>
      </c>
      <c r="X12" s="40">
        <f t="shared" si="5"/>
        <v>7.7609207964400406E-2</v>
      </c>
      <c r="Y12" s="40" t="s">
        <v>21</v>
      </c>
      <c r="Z12" s="163">
        <f t="shared" ref="Z12:Z22" si="10">X12*20</f>
        <v>1.5521841592880081</v>
      </c>
      <c r="AA12" s="163">
        <f t="shared" si="6"/>
        <v>0.25869735988133469</v>
      </c>
      <c r="AB12" s="163"/>
    </row>
    <row r="13" spans="1:31" ht="15.75" thickBot="1" x14ac:dyDescent="0.3">
      <c r="A13" s="229">
        <f t="shared" ref="A13:A76" si="11">A12+1</f>
        <v>2715</v>
      </c>
      <c r="B13" s="230">
        <f t="shared" ref="B13:B76" si="12">B12+1</f>
        <v>3</v>
      </c>
      <c r="C13" s="218" t="str">
        <f t="shared" si="7"/>
        <v>24aX03-000_060_03</v>
      </c>
      <c r="D13" s="169">
        <f t="shared" ref="D13:D22" si="13">D12</f>
        <v>3</v>
      </c>
      <c r="E13" s="61">
        <f t="shared" si="0"/>
        <v>1.099</v>
      </c>
      <c r="F13" s="44">
        <f t="shared" ref="F13:F22" si="14">E13/D13*100</f>
        <v>36.633333333333333</v>
      </c>
      <c r="G13" s="44">
        <f t="shared" si="1"/>
        <v>29.306666666666668</v>
      </c>
      <c r="H13" s="44">
        <f t="shared" si="2"/>
        <v>18.316666666666666</v>
      </c>
      <c r="I13" s="44">
        <f t="shared" ref="I13:J22" si="15">I12</f>
        <v>8</v>
      </c>
      <c r="J13" s="199">
        <f t="shared" si="15"/>
        <v>0</v>
      </c>
      <c r="K13" s="194" t="str">
        <f>D13&amp;-3</f>
        <v>3-3</v>
      </c>
      <c r="L13" s="44">
        <f t="shared" ref="L13:L22" si="16">L12</f>
        <v>0.2</v>
      </c>
      <c r="M13" s="49">
        <v>60</v>
      </c>
      <c r="N13" s="198">
        <f t="shared" ref="N13:N22" si="17">N12</f>
        <v>150</v>
      </c>
      <c r="O13" s="198">
        <f t="shared" ref="O13:O22" si="18">O12</f>
        <v>160</v>
      </c>
      <c r="P13" s="198">
        <f t="shared" ref="P13:P22" si="19">P12</f>
        <v>750</v>
      </c>
      <c r="R13" s="38">
        <f t="shared" si="3"/>
        <v>3</v>
      </c>
      <c r="S13" s="38">
        <f t="shared" ref="S13:S22" si="20">S12</f>
        <v>4</v>
      </c>
      <c r="T13" s="39">
        <f t="shared" si="4"/>
        <v>0.11808862170182366</v>
      </c>
      <c r="U13" s="39">
        <f t="shared" si="4"/>
        <v>0.20020684760703333</v>
      </c>
      <c r="V13" s="39">
        <f t="shared" si="8"/>
        <v>8.2118225905209674E-2</v>
      </c>
      <c r="W13" s="39">
        <f t="shared" si="9"/>
        <v>9.3131049557280493E-2</v>
      </c>
      <c r="X13" s="40">
        <f t="shared" si="5"/>
        <v>7.7609207964400406E-2</v>
      </c>
      <c r="Y13" s="40" t="s">
        <v>21</v>
      </c>
      <c r="Z13" s="163">
        <f t="shared" si="10"/>
        <v>1.5521841592880081</v>
      </c>
      <c r="AA13" s="163">
        <f t="shared" si="6"/>
        <v>0.25869735988133469</v>
      </c>
      <c r="AB13" s="163"/>
    </row>
    <row r="14" spans="1:31" ht="15.75" thickBot="1" x14ac:dyDescent="0.3">
      <c r="A14" s="229">
        <f t="shared" si="11"/>
        <v>2716</v>
      </c>
      <c r="B14" s="230">
        <f t="shared" si="12"/>
        <v>4</v>
      </c>
      <c r="C14" s="218" t="str">
        <f t="shared" si="7"/>
        <v>24aX03-000_090_04</v>
      </c>
      <c r="D14" s="169">
        <f t="shared" si="13"/>
        <v>3</v>
      </c>
      <c r="E14" s="61">
        <f t="shared" si="0"/>
        <v>1.099</v>
      </c>
      <c r="F14" s="44">
        <f t="shared" si="14"/>
        <v>36.633333333333333</v>
      </c>
      <c r="G14" s="44">
        <f t="shared" si="1"/>
        <v>29.306666666666668</v>
      </c>
      <c r="H14" s="44">
        <f t="shared" si="2"/>
        <v>18.316666666666666</v>
      </c>
      <c r="I14" s="44">
        <f t="shared" si="15"/>
        <v>8</v>
      </c>
      <c r="J14" s="199">
        <f t="shared" si="15"/>
        <v>0</v>
      </c>
      <c r="K14" s="194" t="str">
        <f>D14&amp;-4</f>
        <v>3-4</v>
      </c>
      <c r="L14" s="44">
        <f t="shared" si="16"/>
        <v>0.2</v>
      </c>
      <c r="M14" s="49">
        <v>90</v>
      </c>
      <c r="N14" s="198">
        <f t="shared" si="17"/>
        <v>150</v>
      </c>
      <c r="O14" s="198">
        <f t="shared" si="18"/>
        <v>160</v>
      </c>
      <c r="P14" s="198">
        <f t="shared" si="19"/>
        <v>750</v>
      </c>
      <c r="R14" s="38">
        <f t="shared" si="3"/>
        <v>3</v>
      </c>
      <c r="S14" s="38">
        <f t="shared" si="20"/>
        <v>4</v>
      </c>
      <c r="T14" s="39">
        <f t="shared" si="4"/>
        <v>0.11808862170182366</v>
      </c>
      <c r="U14" s="39">
        <f t="shared" si="4"/>
        <v>0.20020684760703333</v>
      </c>
      <c r="V14" s="39">
        <f t="shared" si="8"/>
        <v>8.2118225905209674E-2</v>
      </c>
      <c r="W14" s="39">
        <f t="shared" si="9"/>
        <v>9.3131049557280493E-2</v>
      </c>
      <c r="X14" s="40">
        <f t="shared" si="5"/>
        <v>7.7609207964400406E-2</v>
      </c>
      <c r="Y14" s="40" t="s">
        <v>21</v>
      </c>
      <c r="Z14" s="163">
        <f t="shared" si="10"/>
        <v>1.5521841592880081</v>
      </c>
      <c r="AA14" s="163">
        <f t="shared" si="6"/>
        <v>0.25869735988133469</v>
      </c>
      <c r="AB14" s="163"/>
    </row>
    <row r="15" spans="1:31" ht="15.75" thickBot="1" x14ac:dyDescent="0.3">
      <c r="A15" s="229">
        <f t="shared" si="11"/>
        <v>2717</v>
      </c>
      <c r="B15" s="230">
        <f t="shared" si="12"/>
        <v>5</v>
      </c>
      <c r="C15" s="218" t="str">
        <f t="shared" si="7"/>
        <v>24aX03-000_000_05</v>
      </c>
      <c r="D15" s="169">
        <f t="shared" si="13"/>
        <v>3</v>
      </c>
      <c r="E15" s="61">
        <f t="shared" si="0"/>
        <v>1.099</v>
      </c>
      <c r="F15" s="44">
        <f t="shared" si="14"/>
        <v>36.633333333333333</v>
      </c>
      <c r="G15" s="44">
        <f t="shared" si="1"/>
        <v>29.306666666666668</v>
      </c>
      <c r="H15" s="44">
        <f t="shared" si="2"/>
        <v>18.316666666666666</v>
      </c>
      <c r="I15" s="44">
        <f t="shared" si="15"/>
        <v>8</v>
      </c>
      <c r="J15" s="199">
        <f t="shared" si="15"/>
        <v>0</v>
      </c>
      <c r="K15" s="194" t="str">
        <f>D15&amp;-5</f>
        <v>3-5</v>
      </c>
      <c r="L15" s="44">
        <f t="shared" si="16"/>
        <v>0.2</v>
      </c>
      <c r="M15" s="49">
        <v>0</v>
      </c>
      <c r="N15" s="198">
        <f t="shared" si="17"/>
        <v>150</v>
      </c>
      <c r="O15" s="198">
        <f t="shared" si="18"/>
        <v>160</v>
      </c>
      <c r="P15" s="198">
        <f t="shared" si="19"/>
        <v>750</v>
      </c>
      <c r="R15" s="38">
        <f t="shared" si="3"/>
        <v>3</v>
      </c>
      <c r="S15" s="38">
        <f t="shared" si="20"/>
        <v>4</v>
      </c>
      <c r="T15" s="39">
        <f t="shared" si="4"/>
        <v>0.11808862170182366</v>
      </c>
      <c r="U15" s="39">
        <f t="shared" si="4"/>
        <v>0.20020684760703333</v>
      </c>
      <c r="V15" s="39">
        <f t="shared" si="8"/>
        <v>8.2118225905209674E-2</v>
      </c>
      <c r="W15" s="39">
        <f t="shared" si="9"/>
        <v>9.3131049557280493E-2</v>
      </c>
      <c r="X15" s="40">
        <f t="shared" si="5"/>
        <v>7.7609207964400406E-2</v>
      </c>
      <c r="Y15" s="40" t="s">
        <v>21</v>
      </c>
      <c r="Z15" s="163">
        <f t="shared" si="10"/>
        <v>1.5521841592880081</v>
      </c>
      <c r="AA15" s="163">
        <f t="shared" si="6"/>
        <v>0.25869735988133469</v>
      </c>
      <c r="AB15" s="163"/>
    </row>
    <row r="16" spans="1:31" ht="15.75" thickBot="1" x14ac:dyDescent="0.3">
      <c r="A16" s="229">
        <f t="shared" si="11"/>
        <v>2718</v>
      </c>
      <c r="B16" s="230">
        <f t="shared" si="12"/>
        <v>6</v>
      </c>
      <c r="C16" s="218" t="str">
        <f t="shared" si="7"/>
        <v>24aX03-000_030_06</v>
      </c>
      <c r="D16" s="169">
        <f t="shared" si="13"/>
        <v>3</v>
      </c>
      <c r="E16" s="61">
        <f t="shared" si="0"/>
        <v>1.099</v>
      </c>
      <c r="F16" s="44">
        <f t="shared" si="14"/>
        <v>36.633333333333333</v>
      </c>
      <c r="G16" s="44">
        <f t="shared" si="1"/>
        <v>29.306666666666668</v>
      </c>
      <c r="H16" s="44">
        <f t="shared" si="2"/>
        <v>18.316666666666666</v>
      </c>
      <c r="I16" s="44">
        <f t="shared" si="15"/>
        <v>8</v>
      </c>
      <c r="J16" s="199">
        <f t="shared" si="15"/>
        <v>0</v>
      </c>
      <c r="K16" s="194" t="str">
        <f>D16&amp;-6</f>
        <v>3-6</v>
      </c>
      <c r="L16" s="44">
        <f t="shared" si="16"/>
        <v>0.2</v>
      </c>
      <c r="M16" s="49">
        <v>30</v>
      </c>
      <c r="N16" s="198">
        <f t="shared" si="17"/>
        <v>150</v>
      </c>
      <c r="O16" s="198">
        <f t="shared" si="18"/>
        <v>160</v>
      </c>
      <c r="P16" s="198">
        <f t="shared" si="19"/>
        <v>750</v>
      </c>
      <c r="R16" s="38">
        <f t="shared" si="3"/>
        <v>3</v>
      </c>
      <c r="S16" s="38">
        <f t="shared" si="20"/>
        <v>4</v>
      </c>
      <c r="T16" s="39">
        <f t="shared" si="4"/>
        <v>0.11808862170182366</v>
      </c>
      <c r="U16" s="39">
        <f t="shared" si="4"/>
        <v>0.20020684760703333</v>
      </c>
      <c r="V16" s="39">
        <f t="shared" si="8"/>
        <v>8.2118225905209674E-2</v>
      </c>
      <c r="W16" s="39">
        <f t="shared" si="9"/>
        <v>9.3131049557280493E-2</v>
      </c>
      <c r="X16" s="40">
        <f t="shared" si="5"/>
        <v>7.7609207964400406E-2</v>
      </c>
      <c r="Y16" s="40" t="s">
        <v>21</v>
      </c>
      <c r="Z16" s="163">
        <f t="shared" si="10"/>
        <v>1.5521841592880081</v>
      </c>
      <c r="AA16" s="163">
        <f t="shared" si="6"/>
        <v>0.25869735988133469</v>
      </c>
      <c r="AB16" s="163"/>
    </row>
    <row r="17" spans="1:28" ht="15.75" thickBot="1" x14ac:dyDescent="0.3">
      <c r="A17" s="229">
        <f t="shared" si="11"/>
        <v>2719</v>
      </c>
      <c r="B17" s="230">
        <f t="shared" si="12"/>
        <v>7</v>
      </c>
      <c r="C17" s="218" t="str">
        <f t="shared" si="7"/>
        <v>24aX03-000_060_07</v>
      </c>
      <c r="D17" s="169">
        <f>D16</f>
        <v>3</v>
      </c>
      <c r="E17" s="61">
        <f t="shared" si="0"/>
        <v>1.099</v>
      </c>
      <c r="F17" s="44">
        <f t="shared" si="14"/>
        <v>36.633333333333333</v>
      </c>
      <c r="G17" s="44">
        <f t="shared" si="1"/>
        <v>29.306666666666668</v>
      </c>
      <c r="H17" s="44">
        <f t="shared" si="2"/>
        <v>18.316666666666666</v>
      </c>
      <c r="I17" s="44">
        <f>I16</f>
        <v>8</v>
      </c>
      <c r="J17" s="199">
        <f t="shared" ref="J17:J22" si="21">J16</f>
        <v>0</v>
      </c>
      <c r="K17" s="194" t="str">
        <f>D17&amp;-7</f>
        <v>3-7</v>
      </c>
      <c r="L17" s="44">
        <f>L16</f>
        <v>0.2</v>
      </c>
      <c r="M17" s="49">
        <v>60</v>
      </c>
      <c r="N17" s="198">
        <f t="shared" si="17"/>
        <v>150</v>
      </c>
      <c r="O17" s="198">
        <f t="shared" si="18"/>
        <v>160</v>
      </c>
      <c r="P17" s="198">
        <f t="shared" si="19"/>
        <v>750</v>
      </c>
      <c r="R17" s="38">
        <f t="shared" si="3"/>
        <v>3</v>
      </c>
      <c r="S17" s="38">
        <f t="shared" si="20"/>
        <v>4</v>
      </c>
      <c r="T17" s="39">
        <f t="shared" si="4"/>
        <v>0.11808862170182366</v>
      </c>
      <c r="U17" s="39">
        <f t="shared" si="4"/>
        <v>0.20020684760703333</v>
      </c>
      <c r="V17" s="39">
        <f t="shared" si="8"/>
        <v>8.2118225905209674E-2</v>
      </c>
      <c r="W17" s="39">
        <f t="shared" si="9"/>
        <v>9.3131049557280493E-2</v>
      </c>
      <c r="X17" s="40">
        <f t="shared" si="5"/>
        <v>7.7609207964400406E-2</v>
      </c>
      <c r="Y17" s="40" t="s">
        <v>21</v>
      </c>
      <c r="Z17" s="163">
        <f t="shared" si="10"/>
        <v>1.5521841592880081</v>
      </c>
      <c r="AA17" s="163">
        <f t="shared" si="6"/>
        <v>0.25869735988133469</v>
      </c>
      <c r="AB17" s="163"/>
    </row>
    <row r="18" spans="1:28" ht="15.75" thickBot="1" x14ac:dyDescent="0.3">
      <c r="A18" s="229">
        <f t="shared" si="11"/>
        <v>2720</v>
      </c>
      <c r="B18" s="230">
        <f t="shared" si="12"/>
        <v>8</v>
      </c>
      <c r="C18" s="218" t="str">
        <f t="shared" si="7"/>
        <v>24aX03-000_090_08</v>
      </c>
      <c r="D18" s="169">
        <f t="shared" si="13"/>
        <v>3</v>
      </c>
      <c r="E18" s="61">
        <f t="shared" si="0"/>
        <v>1.099</v>
      </c>
      <c r="F18" s="44">
        <f t="shared" si="14"/>
        <v>36.633333333333333</v>
      </c>
      <c r="G18" s="44">
        <f t="shared" si="1"/>
        <v>29.306666666666668</v>
      </c>
      <c r="H18" s="44">
        <f t="shared" si="2"/>
        <v>18.316666666666666</v>
      </c>
      <c r="I18" s="44">
        <f t="shared" si="15"/>
        <v>8</v>
      </c>
      <c r="J18" s="199">
        <f t="shared" si="21"/>
        <v>0</v>
      </c>
      <c r="K18" s="194" t="str">
        <f>D18&amp;-8</f>
        <v>3-8</v>
      </c>
      <c r="L18" s="44">
        <f t="shared" si="16"/>
        <v>0.2</v>
      </c>
      <c r="M18" s="49">
        <v>90</v>
      </c>
      <c r="N18" s="198">
        <f t="shared" si="17"/>
        <v>150</v>
      </c>
      <c r="O18" s="198">
        <f t="shared" si="18"/>
        <v>160</v>
      </c>
      <c r="P18" s="198">
        <f t="shared" si="19"/>
        <v>750</v>
      </c>
      <c r="R18" s="38">
        <f t="shared" si="3"/>
        <v>3</v>
      </c>
      <c r="S18" s="38">
        <f t="shared" si="20"/>
        <v>4</v>
      </c>
      <c r="T18" s="39">
        <f t="shared" si="4"/>
        <v>0.11808862170182366</v>
      </c>
      <c r="U18" s="39">
        <f t="shared" si="4"/>
        <v>0.20020684760703333</v>
      </c>
      <c r="V18" s="39">
        <f t="shared" si="8"/>
        <v>8.2118225905209674E-2</v>
      </c>
      <c r="W18" s="39">
        <f t="shared" si="9"/>
        <v>9.3131049557280493E-2</v>
      </c>
      <c r="X18" s="40">
        <f t="shared" si="5"/>
        <v>7.7609207964400406E-2</v>
      </c>
      <c r="Y18" s="40" t="s">
        <v>21</v>
      </c>
      <c r="Z18" s="163">
        <f t="shared" si="10"/>
        <v>1.5521841592880081</v>
      </c>
      <c r="AA18" s="163">
        <f t="shared" si="6"/>
        <v>0.25869735988133469</v>
      </c>
      <c r="AB18" s="163"/>
    </row>
    <row r="19" spans="1:28" ht="15.75" thickBot="1" x14ac:dyDescent="0.3">
      <c r="A19" s="229">
        <f t="shared" si="11"/>
        <v>2721</v>
      </c>
      <c r="B19" s="230">
        <f t="shared" si="12"/>
        <v>9</v>
      </c>
      <c r="C19" s="218" t="str">
        <f t="shared" si="7"/>
        <v>24aX03-000_000_09</v>
      </c>
      <c r="D19" s="169">
        <f t="shared" si="13"/>
        <v>3</v>
      </c>
      <c r="E19" s="61">
        <f t="shared" si="0"/>
        <v>1.099</v>
      </c>
      <c r="F19" s="44">
        <f t="shared" si="14"/>
        <v>36.633333333333333</v>
      </c>
      <c r="G19" s="44">
        <f t="shared" si="1"/>
        <v>29.306666666666668</v>
      </c>
      <c r="H19" s="44">
        <f t="shared" si="2"/>
        <v>18.316666666666666</v>
      </c>
      <c r="I19" s="44">
        <f t="shared" si="15"/>
        <v>8</v>
      </c>
      <c r="J19" s="199">
        <f t="shared" si="21"/>
        <v>0</v>
      </c>
      <c r="K19" s="194" t="str">
        <f>D19&amp;-9</f>
        <v>3-9</v>
      </c>
      <c r="L19" s="44">
        <f t="shared" si="16"/>
        <v>0.2</v>
      </c>
      <c r="M19" s="49">
        <v>0</v>
      </c>
      <c r="N19" s="198">
        <f t="shared" si="17"/>
        <v>150</v>
      </c>
      <c r="O19" s="198">
        <f t="shared" si="18"/>
        <v>160</v>
      </c>
      <c r="P19" s="198">
        <f t="shared" si="19"/>
        <v>750</v>
      </c>
      <c r="R19" s="38">
        <f t="shared" si="3"/>
        <v>3</v>
      </c>
      <c r="S19" s="38">
        <f t="shared" si="20"/>
        <v>4</v>
      </c>
      <c r="T19" s="39">
        <f t="shared" si="4"/>
        <v>0.11808862170182366</v>
      </c>
      <c r="U19" s="39">
        <f t="shared" si="4"/>
        <v>0.20020684760703333</v>
      </c>
      <c r="V19" s="39">
        <f t="shared" si="8"/>
        <v>8.2118225905209674E-2</v>
      </c>
      <c r="W19" s="39">
        <f t="shared" si="9"/>
        <v>9.3131049557280493E-2</v>
      </c>
      <c r="X19" s="40">
        <f t="shared" si="5"/>
        <v>7.7609207964400406E-2</v>
      </c>
      <c r="Y19" s="40" t="s">
        <v>21</v>
      </c>
      <c r="Z19" s="163">
        <f t="shared" si="10"/>
        <v>1.5521841592880081</v>
      </c>
      <c r="AA19" s="163">
        <f t="shared" si="6"/>
        <v>0.25869735988133469</v>
      </c>
      <c r="AB19" s="163"/>
    </row>
    <row r="20" spans="1:28" ht="15.75" thickBot="1" x14ac:dyDescent="0.3">
      <c r="A20" s="229">
        <f t="shared" si="11"/>
        <v>2722</v>
      </c>
      <c r="B20" s="230">
        <f t="shared" si="12"/>
        <v>10</v>
      </c>
      <c r="C20" s="218" t="str">
        <f t="shared" si="7"/>
        <v>24aX03-000_030_10</v>
      </c>
      <c r="D20" s="169">
        <f t="shared" si="13"/>
        <v>3</v>
      </c>
      <c r="E20" s="61">
        <f t="shared" si="0"/>
        <v>1.099</v>
      </c>
      <c r="F20" s="44">
        <f t="shared" si="14"/>
        <v>36.633333333333333</v>
      </c>
      <c r="G20" s="44">
        <f t="shared" si="1"/>
        <v>29.306666666666668</v>
      </c>
      <c r="H20" s="44">
        <f t="shared" si="2"/>
        <v>18.316666666666666</v>
      </c>
      <c r="I20" s="44">
        <f t="shared" si="15"/>
        <v>8</v>
      </c>
      <c r="J20" s="199">
        <f t="shared" si="21"/>
        <v>0</v>
      </c>
      <c r="K20" s="194" t="str">
        <f>D20&amp;-10</f>
        <v>3-10</v>
      </c>
      <c r="L20" s="44">
        <f t="shared" si="16"/>
        <v>0.2</v>
      </c>
      <c r="M20" s="49">
        <v>30</v>
      </c>
      <c r="N20" s="198">
        <f t="shared" si="17"/>
        <v>150</v>
      </c>
      <c r="O20" s="198">
        <f t="shared" si="18"/>
        <v>160</v>
      </c>
      <c r="P20" s="198">
        <f t="shared" si="19"/>
        <v>750</v>
      </c>
      <c r="R20" s="38">
        <f t="shared" si="3"/>
        <v>3</v>
      </c>
      <c r="S20" s="38">
        <f t="shared" si="20"/>
        <v>4</v>
      </c>
      <c r="T20" s="39">
        <f t="shared" si="4"/>
        <v>0.11808862170182366</v>
      </c>
      <c r="U20" s="39">
        <f t="shared" si="4"/>
        <v>0.20020684760703333</v>
      </c>
      <c r="V20" s="39">
        <f t="shared" si="8"/>
        <v>8.2118225905209674E-2</v>
      </c>
      <c r="W20" s="39">
        <f t="shared" si="9"/>
        <v>9.3131049557280493E-2</v>
      </c>
      <c r="X20" s="40">
        <f t="shared" si="5"/>
        <v>7.7609207964400406E-2</v>
      </c>
      <c r="Y20" s="40" t="s">
        <v>21</v>
      </c>
      <c r="Z20" s="163">
        <f t="shared" si="10"/>
        <v>1.5521841592880081</v>
      </c>
      <c r="AA20" s="163">
        <f t="shared" si="6"/>
        <v>0.25869735988133469</v>
      </c>
      <c r="AB20" s="163"/>
    </row>
    <row r="21" spans="1:28" ht="15.75" thickBot="1" x14ac:dyDescent="0.3">
      <c r="A21" s="229">
        <f t="shared" si="11"/>
        <v>2723</v>
      </c>
      <c r="B21" s="230">
        <f t="shared" si="12"/>
        <v>11</v>
      </c>
      <c r="C21" s="218" t="str">
        <f t="shared" si="7"/>
        <v>24aX03-000_060_11</v>
      </c>
      <c r="D21" s="169">
        <f t="shared" si="13"/>
        <v>3</v>
      </c>
      <c r="E21" s="61">
        <f t="shared" si="0"/>
        <v>1.099</v>
      </c>
      <c r="F21" s="44">
        <f t="shared" si="14"/>
        <v>36.633333333333333</v>
      </c>
      <c r="G21" s="44">
        <f t="shared" si="1"/>
        <v>29.306666666666668</v>
      </c>
      <c r="H21" s="44">
        <f t="shared" si="2"/>
        <v>18.316666666666666</v>
      </c>
      <c r="I21" s="44">
        <f t="shared" si="15"/>
        <v>8</v>
      </c>
      <c r="J21" s="199">
        <f t="shared" si="21"/>
        <v>0</v>
      </c>
      <c r="K21" s="194" t="str">
        <f>D21&amp;-11</f>
        <v>3-11</v>
      </c>
      <c r="L21" s="44">
        <f t="shared" si="16"/>
        <v>0.2</v>
      </c>
      <c r="M21" s="49">
        <v>60</v>
      </c>
      <c r="N21" s="198">
        <f t="shared" si="17"/>
        <v>150</v>
      </c>
      <c r="O21" s="198">
        <f t="shared" si="18"/>
        <v>160</v>
      </c>
      <c r="P21" s="198">
        <f t="shared" si="19"/>
        <v>750</v>
      </c>
      <c r="R21" s="38">
        <f t="shared" si="3"/>
        <v>3</v>
      </c>
      <c r="S21" s="38">
        <f t="shared" si="20"/>
        <v>4</v>
      </c>
      <c r="T21" s="39">
        <f t="shared" si="4"/>
        <v>0.11808862170182366</v>
      </c>
      <c r="U21" s="39">
        <f t="shared" si="4"/>
        <v>0.20020684760703333</v>
      </c>
      <c r="V21" s="39">
        <f t="shared" si="8"/>
        <v>8.2118225905209674E-2</v>
      </c>
      <c r="W21" s="39">
        <f t="shared" si="9"/>
        <v>9.3131049557280493E-2</v>
      </c>
      <c r="X21" s="40">
        <f t="shared" si="5"/>
        <v>7.7609207964400406E-2</v>
      </c>
      <c r="Y21" s="40" t="s">
        <v>21</v>
      </c>
      <c r="Z21" s="163">
        <f t="shared" si="10"/>
        <v>1.5521841592880081</v>
      </c>
      <c r="AA21" s="163">
        <f t="shared" si="6"/>
        <v>0.25869735988133469</v>
      </c>
      <c r="AB21" s="163"/>
    </row>
    <row r="22" spans="1:28" ht="15.75" thickBot="1" x14ac:dyDescent="0.3">
      <c r="A22" s="229">
        <f t="shared" si="11"/>
        <v>2724</v>
      </c>
      <c r="B22" s="230">
        <f t="shared" si="12"/>
        <v>12</v>
      </c>
      <c r="C22" s="218" t="str">
        <f t="shared" si="7"/>
        <v>24aX03-000_090_12</v>
      </c>
      <c r="D22" s="169">
        <f t="shared" si="13"/>
        <v>3</v>
      </c>
      <c r="E22" s="61">
        <f t="shared" si="0"/>
        <v>1.099</v>
      </c>
      <c r="F22" s="44">
        <f t="shared" si="14"/>
        <v>36.633333333333333</v>
      </c>
      <c r="G22" s="44">
        <f t="shared" si="1"/>
        <v>29.306666666666668</v>
      </c>
      <c r="H22" s="44">
        <f t="shared" si="2"/>
        <v>18.316666666666666</v>
      </c>
      <c r="I22" s="44">
        <f t="shared" si="15"/>
        <v>8</v>
      </c>
      <c r="J22" s="199">
        <f t="shared" si="21"/>
        <v>0</v>
      </c>
      <c r="K22" s="194" t="str">
        <f>D22&amp;-12</f>
        <v>3-12</v>
      </c>
      <c r="L22" s="44">
        <f t="shared" si="16"/>
        <v>0.2</v>
      </c>
      <c r="M22" s="49">
        <v>90</v>
      </c>
      <c r="N22" s="198">
        <f t="shared" si="17"/>
        <v>150</v>
      </c>
      <c r="O22" s="198">
        <f t="shared" si="18"/>
        <v>160</v>
      </c>
      <c r="P22" s="198">
        <f t="shared" si="19"/>
        <v>750</v>
      </c>
      <c r="R22" s="38">
        <f t="shared" si="3"/>
        <v>3</v>
      </c>
      <c r="S22" s="38">
        <f t="shared" si="20"/>
        <v>4</v>
      </c>
      <c r="T22" s="39">
        <f t="shared" si="4"/>
        <v>0.11808862170182366</v>
      </c>
      <c r="U22" s="39">
        <f t="shared" si="4"/>
        <v>0.20020684760703333</v>
      </c>
      <c r="V22" s="39">
        <f t="shared" si="8"/>
        <v>8.2118225905209674E-2</v>
      </c>
      <c r="W22" s="39">
        <f t="shared" si="9"/>
        <v>9.3131049557280493E-2</v>
      </c>
      <c r="X22" s="40">
        <f t="shared" si="5"/>
        <v>7.7609207964400406E-2</v>
      </c>
      <c r="Y22" s="40" t="s">
        <v>21</v>
      </c>
      <c r="Z22" s="163">
        <f t="shared" si="10"/>
        <v>1.5521841592880081</v>
      </c>
      <c r="AA22" s="163">
        <f t="shared" si="6"/>
        <v>0.25869735988133469</v>
      </c>
      <c r="AB22" s="163"/>
    </row>
    <row r="23" spans="1:28" s="182" customFormat="1" ht="15.75" thickBot="1" x14ac:dyDescent="0.3">
      <c r="A23" s="229">
        <f t="shared" si="11"/>
        <v>2725</v>
      </c>
      <c r="B23" s="230">
        <f t="shared" si="12"/>
        <v>13</v>
      </c>
      <c r="C23" s="218" t="str">
        <f t="shared" si="7"/>
        <v>24aX05-000_000_01</v>
      </c>
      <c r="D23" s="197">
        <f>D22+2</f>
        <v>5</v>
      </c>
      <c r="E23" s="204">
        <f t="shared" ref="E23:E34" si="22">I_ref*(0.75*D23+5.6)</f>
        <v>1.3090000000000002</v>
      </c>
      <c r="F23" s="198">
        <f>E23/D23*100</f>
        <v>26.180000000000003</v>
      </c>
      <c r="G23" s="198">
        <f t="shared" ref="G23:G34" si="23">m_ty*F23</f>
        <v>20.944000000000003</v>
      </c>
      <c r="H23" s="198">
        <f t="shared" ref="H23:H34" si="24">m_tz*F23</f>
        <v>13.090000000000002</v>
      </c>
      <c r="I23" s="198">
        <f>inflow</f>
        <v>8</v>
      </c>
      <c r="J23" s="199">
        <f>yaw_null</f>
        <v>0</v>
      </c>
      <c r="K23" s="194" t="str">
        <f>D23&amp;-1</f>
        <v>5-1</v>
      </c>
      <c r="L23" s="198">
        <f>alpha_n</f>
        <v>0.2</v>
      </c>
      <c r="M23" s="49">
        <v>0</v>
      </c>
      <c r="N23" s="198">
        <f>t_out</f>
        <v>150</v>
      </c>
      <c r="O23" s="198">
        <f>trig_t</f>
        <v>160</v>
      </c>
      <c r="P23" s="198">
        <f>N23+T_s1</f>
        <v>750</v>
      </c>
      <c r="R23" s="38">
        <f>R22+v_step/2</f>
        <v>4</v>
      </c>
      <c r="S23" s="38">
        <f>R23+v_step</f>
        <v>6</v>
      </c>
      <c r="T23" s="39">
        <f t="shared" ref="T23:T34" si="25">IF(wpd="Rayleigh",1-EXP(-PI()*((R23/2/v_ave)^2)),IF(wpd="Weibull",1-EXP(-((R23/weibull_A)^weibull_K))))</f>
        <v>0.20020684760703333</v>
      </c>
      <c r="U23" s="39">
        <f t="shared" ref="U23:U34" si="26">IF(wpd="Rayleigh",1-EXP(-PI()*((S23/2/v_ave)^2)),IF(wpd="Weibull",1-EXP(-((S23/weibull_A)^weibull_K))))</f>
        <v>0.39507743723572908</v>
      </c>
      <c r="V23" s="39">
        <f t="shared" ref="V23:V34" si="27">U23-T23</f>
        <v>0.19487058962869575</v>
      </c>
      <c r="W23" s="39">
        <f t="shared" si="9"/>
        <v>0.22100456189732626</v>
      </c>
      <c r="X23" s="40">
        <f t="shared" ref="X23:X34" si="28">T_N4*W23/12</f>
        <v>0.18417046824777186</v>
      </c>
      <c r="Y23" s="40" t="s">
        <v>21</v>
      </c>
      <c r="Z23" s="182">
        <f>X23*20</f>
        <v>3.6834093649554371</v>
      </c>
      <c r="AA23" s="182">
        <f t="shared" si="6"/>
        <v>0.61390156082590619</v>
      </c>
    </row>
    <row r="24" spans="1:28" s="182" customFormat="1" ht="15.75" thickBot="1" x14ac:dyDescent="0.3">
      <c r="A24" s="229">
        <f t="shared" si="11"/>
        <v>2726</v>
      </c>
      <c r="B24" s="230">
        <f t="shared" si="12"/>
        <v>14</v>
      </c>
      <c r="C24" s="218" t="str">
        <f t="shared" si="7"/>
        <v>24aX05-000_030_02</v>
      </c>
      <c r="D24" s="197">
        <f>D23</f>
        <v>5</v>
      </c>
      <c r="E24" s="204">
        <f t="shared" si="22"/>
        <v>1.3090000000000002</v>
      </c>
      <c r="F24" s="198">
        <f>E24/D24*100</f>
        <v>26.180000000000003</v>
      </c>
      <c r="G24" s="198">
        <f t="shared" si="23"/>
        <v>20.944000000000003</v>
      </c>
      <c r="H24" s="198">
        <f t="shared" si="24"/>
        <v>13.090000000000002</v>
      </c>
      <c r="I24" s="198">
        <f>I23</f>
        <v>8</v>
      </c>
      <c r="J24" s="199">
        <f>J23</f>
        <v>0</v>
      </c>
      <c r="K24" s="194" t="str">
        <f>D24&amp;-2</f>
        <v>5-2</v>
      </c>
      <c r="L24" s="198">
        <f>L23</f>
        <v>0.2</v>
      </c>
      <c r="M24" s="49">
        <v>30</v>
      </c>
      <c r="N24" s="198">
        <f>N23</f>
        <v>150</v>
      </c>
      <c r="O24" s="198">
        <f>O23</f>
        <v>160</v>
      </c>
      <c r="P24" s="198">
        <f>P23</f>
        <v>750</v>
      </c>
      <c r="R24" s="38">
        <f>R23</f>
        <v>4</v>
      </c>
      <c r="S24" s="38">
        <f>S23</f>
        <v>6</v>
      </c>
      <c r="T24" s="39">
        <f t="shared" si="25"/>
        <v>0.20020684760703333</v>
      </c>
      <c r="U24" s="39">
        <f t="shared" si="26"/>
        <v>0.39507743723572908</v>
      </c>
      <c r="V24" s="39">
        <f t="shared" si="27"/>
        <v>0.19487058962869575</v>
      </c>
      <c r="W24" s="39">
        <f t="shared" si="9"/>
        <v>0.22100456189732626</v>
      </c>
      <c r="X24" s="40">
        <f t="shared" si="28"/>
        <v>0.18417046824777186</v>
      </c>
      <c r="Y24" s="40" t="s">
        <v>21</v>
      </c>
      <c r="Z24" s="182">
        <f t="shared" ref="Z24:Z34" si="29">X24*20</f>
        <v>3.6834093649554371</v>
      </c>
      <c r="AA24" s="182">
        <f t="shared" si="6"/>
        <v>0.61390156082590619</v>
      </c>
    </row>
    <row r="25" spans="1:28" s="182" customFormat="1" ht="15.75" thickBot="1" x14ac:dyDescent="0.3">
      <c r="A25" s="229">
        <f t="shared" si="11"/>
        <v>2727</v>
      </c>
      <c r="B25" s="230">
        <f t="shared" si="12"/>
        <v>15</v>
      </c>
      <c r="C25" s="218" t="str">
        <f t="shared" si="7"/>
        <v>24aX05-000_060_03</v>
      </c>
      <c r="D25" s="197">
        <f t="shared" ref="D25:D34" si="30">D24</f>
        <v>5</v>
      </c>
      <c r="E25" s="204">
        <f t="shared" si="22"/>
        <v>1.3090000000000002</v>
      </c>
      <c r="F25" s="198">
        <f t="shared" ref="F25:F34" si="31">E25/D25*100</f>
        <v>26.180000000000003</v>
      </c>
      <c r="G25" s="198">
        <f t="shared" si="23"/>
        <v>20.944000000000003</v>
      </c>
      <c r="H25" s="198">
        <f t="shared" si="24"/>
        <v>13.090000000000002</v>
      </c>
      <c r="I25" s="198">
        <f t="shared" ref="I25:J25" si="32">I24</f>
        <v>8</v>
      </c>
      <c r="J25" s="199">
        <f t="shared" si="32"/>
        <v>0</v>
      </c>
      <c r="K25" s="194" t="str">
        <f>D25&amp;-3</f>
        <v>5-3</v>
      </c>
      <c r="L25" s="198">
        <f t="shared" ref="L25" si="33">L24</f>
        <v>0.2</v>
      </c>
      <c r="M25" s="49">
        <v>60</v>
      </c>
      <c r="N25" s="198">
        <f t="shared" ref="N25:N34" si="34">N24</f>
        <v>150</v>
      </c>
      <c r="O25" s="198">
        <f t="shared" ref="O25:O34" si="35">O24</f>
        <v>160</v>
      </c>
      <c r="P25" s="198">
        <f t="shared" ref="P25:P34" si="36">P24</f>
        <v>750</v>
      </c>
      <c r="R25" s="38">
        <f t="shared" ref="R25:S34" si="37">R24</f>
        <v>4</v>
      </c>
      <c r="S25" s="38">
        <f t="shared" si="37"/>
        <v>6</v>
      </c>
      <c r="T25" s="39">
        <f t="shared" si="25"/>
        <v>0.20020684760703333</v>
      </c>
      <c r="U25" s="39">
        <f t="shared" si="26"/>
        <v>0.39507743723572908</v>
      </c>
      <c r="V25" s="39">
        <f t="shared" si="27"/>
        <v>0.19487058962869575</v>
      </c>
      <c r="W25" s="39">
        <f t="shared" si="9"/>
        <v>0.22100456189732626</v>
      </c>
      <c r="X25" s="40">
        <f t="shared" si="28"/>
        <v>0.18417046824777186</v>
      </c>
      <c r="Y25" s="40" t="s">
        <v>21</v>
      </c>
      <c r="Z25" s="182">
        <f t="shared" si="29"/>
        <v>3.6834093649554371</v>
      </c>
      <c r="AA25" s="182">
        <f t="shared" si="6"/>
        <v>0.61390156082590619</v>
      </c>
    </row>
    <row r="26" spans="1:28" s="182" customFormat="1" ht="15.75" thickBot="1" x14ac:dyDescent="0.3">
      <c r="A26" s="229">
        <f t="shared" si="11"/>
        <v>2728</v>
      </c>
      <c r="B26" s="230">
        <f t="shared" si="12"/>
        <v>16</v>
      </c>
      <c r="C26" s="218" t="str">
        <f t="shared" si="7"/>
        <v>24aX05-000_090_04</v>
      </c>
      <c r="D26" s="197">
        <f t="shared" si="30"/>
        <v>5</v>
      </c>
      <c r="E26" s="204">
        <f t="shared" si="22"/>
        <v>1.3090000000000002</v>
      </c>
      <c r="F26" s="198">
        <f t="shared" si="31"/>
        <v>26.180000000000003</v>
      </c>
      <c r="G26" s="198">
        <f t="shared" si="23"/>
        <v>20.944000000000003</v>
      </c>
      <c r="H26" s="198">
        <f t="shared" si="24"/>
        <v>13.090000000000002</v>
      </c>
      <c r="I26" s="198">
        <f t="shared" ref="I26:J26" si="38">I25</f>
        <v>8</v>
      </c>
      <c r="J26" s="199">
        <f t="shared" si="38"/>
        <v>0</v>
      </c>
      <c r="K26" s="194" t="str">
        <f>D26&amp;-4</f>
        <v>5-4</v>
      </c>
      <c r="L26" s="198">
        <f t="shared" ref="L26" si="39">L25</f>
        <v>0.2</v>
      </c>
      <c r="M26" s="49">
        <v>90</v>
      </c>
      <c r="N26" s="198">
        <f t="shared" si="34"/>
        <v>150</v>
      </c>
      <c r="O26" s="198">
        <f t="shared" si="35"/>
        <v>160</v>
      </c>
      <c r="P26" s="198">
        <f t="shared" si="36"/>
        <v>750</v>
      </c>
      <c r="R26" s="38">
        <f t="shared" si="37"/>
        <v>4</v>
      </c>
      <c r="S26" s="38">
        <f t="shared" si="37"/>
        <v>6</v>
      </c>
      <c r="T26" s="39">
        <f t="shared" si="25"/>
        <v>0.20020684760703333</v>
      </c>
      <c r="U26" s="39">
        <f t="shared" si="26"/>
        <v>0.39507743723572908</v>
      </c>
      <c r="V26" s="39">
        <f t="shared" si="27"/>
        <v>0.19487058962869575</v>
      </c>
      <c r="W26" s="39">
        <f t="shared" si="9"/>
        <v>0.22100456189732626</v>
      </c>
      <c r="X26" s="40">
        <f t="shared" si="28"/>
        <v>0.18417046824777186</v>
      </c>
      <c r="Y26" s="40" t="s">
        <v>21</v>
      </c>
      <c r="Z26" s="182">
        <f t="shared" si="29"/>
        <v>3.6834093649554371</v>
      </c>
      <c r="AA26" s="182">
        <f t="shared" si="6"/>
        <v>0.61390156082590619</v>
      </c>
    </row>
    <row r="27" spans="1:28" s="182" customFormat="1" ht="15.75" thickBot="1" x14ac:dyDescent="0.3">
      <c r="A27" s="229">
        <f t="shared" si="11"/>
        <v>2729</v>
      </c>
      <c r="B27" s="230">
        <f t="shared" si="12"/>
        <v>17</v>
      </c>
      <c r="C27" s="218" t="str">
        <f t="shared" si="7"/>
        <v>24aX05-000_000_05</v>
      </c>
      <c r="D27" s="197">
        <f t="shared" si="30"/>
        <v>5</v>
      </c>
      <c r="E27" s="204">
        <f t="shared" si="22"/>
        <v>1.3090000000000002</v>
      </c>
      <c r="F27" s="198">
        <f t="shared" si="31"/>
        <v>26.180000000000003</v>
      </c>
      <c r="G27" s="198">
        <f t="shared" si="23"/>
        <v>20.944000000000003</v>
      </c>
      <c r="H27" s="198">
        <f t="shared" si="24"/>
        <v>13.090000000000002</v>
      </c>
      <c r="I27" s="198">
        <f t="shared" ref="I27:J27" si="40">I26</f>
        <v>8</v>
      </c>
      <c r="J27" s="199">
        <f t="shared" si="40"/>
        <v>0</v>
      </c>
      <c r="K27" s="194" t="str">
        <f>D27&amp;-5</f>
        <v>5-5</v>
      </c>
      <c r="L27" s="198">
        <f t="shared" ref="L27" si="41">L26</f>
        <v>0.2</v>
      </c>
      <c r="M27" s="49">
        <v>0</v>
      </c>
      <c r="N27" s="198">
        <f t="shared" si="34"/>
        <v>150</v>
      </c>
      <c r="O27" s="198">
        <f t="shared" si="35"/>
        <v>160</v>
      </c>
      <c r="P27" s="198">
        <f t="shared" si="36"/>
        <v>750</v>
      </c>
      <c r="R27" s="38">
        <f t="shared" si="37"/>
        <v>4</v>
      </c>
      <c r="S27" s="38">
        <f t="shared" si="37"/>
        <v>6</v>
      </c>
      <c r="T27" s="39">
        <f t="shared" si="25"/>
        <v>0.20020684760703333</v>
      </c>
      <c r="U27" s="39">
        <f t="shared" si="26"/>
        <v>0.39507743723572908</v>
      </c>
      <c r="V27" s="39">
        <f t="shared" si="27"/>
        <v>0.19487058962869575</v>
      </c>
      <c r="W27" s="39">
        <f t="shared" si="9"/>
        <v>0.22100456189732626</v>
      </c>
      <c r="X27" s="40">
        <f t="shared" si="28"/>
        <v>0.18417046824777186</v>
      </c>
      <c r="Y27" s="40" t="s">
        <v>21</v>
      </c>
      <c r="Z27" s="182">
        <f t="shared" si="29"/>
        <v>3.6834093649554371</v>
      </c>
      <c r="AA27" s="182">
        <f t="shared" si="6"/>
        <v>0.61390156082590619</v>
      </c>
    </row>
    <row r="28" spans="1:28" s="182" customFormat="1" ht="15.75" thickBot="1" x14ac:dyDescent="0.3">
      <c r="A28" s="229">
        <f t="shared" si="11"/>
        <v>2730</v>
      </c>
      <c r="B28" s="230">
        <f t="shared" si="12"/>
        <v>18</v>
      </c>
      <c r="C28" s="218" t="str">
        <f t="shared" si="7"/>
        <v>24aX05-000_030_06</v>
      </c>
      <c r="D28" s="197">
        <f t="shared" si="30"/>
        <v>5</v>
      </c>
      <c r="E28" s="204">
        <f t="shared" si="22"/>
        <v>1.3090000000000002</v>
      </c>
      <c r="F28" s="198">
        <f t="shared" si="31"/>
        <v>26.180000000000003</v>
      </c>
      <c r="G28" s="198">
        <f t="shared" si="23"/>
        <v>20.944000000000003</v>
      </c>
      <c r="H28" s="198">
        <f t="shared" si="24"/>
        <v>13.090000000000002</v>
      </c>
      <c r="I28" s="198">
        <f t="shared" ref="I28:J34" si="42">I27</f>
        <v>8</v>
      </c>
      <c r="J28" s="199">
        <f t="shared" si="42"/>
        <v>0</v>
      </c>
      <c r="K28" s="194" t="str">
        <f>D28&amp;-6</f>
        <v>5-6</v>
      </c>
      <c r="L28" s="198">
        <f t="shared" ref="L28" si="43">L27</f>
        <v>0.2</v>
      </c>
      <c r="M28" s="49">
        <v>30</v>
      </c>
      <c r="N28" s="198">
        <f t="shared" si="34"/>
        <v>150</v>
      </c>
      <c r="O28" s="198">
        <f t="shared" si="35"/>
        <v>160</v>
      </c>
      <c r="P28" s="198">
        <f t="shared" si="36"/>
        <v>750</v>
      </c>
      <c r="R28" s="38">
        <f t="shared" si="37"/>
        <v>4</v>
      </c>
      <c r="S28" s="38">
        <f t="shared" si="37"/>
        <v>6</v>
      </c>
      <c r="T28" s="39">
        <f t="shared" si="25"/>
        <v>0.20020684760703333</v>
      </c>
      <c r="U28" s="39">
        <f t="shared" si="26"/>
        <v>0.39507743723572908</v>
      </c>
      <c r="V28" s="39">
        <f t="shared" si="27"/>
        <v>0.19487058962869575</v>
      </c>
      <c r="W28" s="39">
        <f t="shared" si="9"/>
        <v>0.22100456189732626</v>
      </c>
      <c r="X28" s="40">
        <f t="shared" si="28"/>
        <v>0.18417046824777186</v>
      </c>
      <c r="Y28" s="40" t="s">
        <v>21</v>
      </c>
      <c r="Z28" s="182">
        <f t="shared" si="29"/>
        <v>3.6834093649554371</v>
      </c>
      <c r="AA28" s="182">
        <f t="shared" si="6"/>
        <v>0.61390156082590619</v>
      </c>
    </row>
    <row r="29" spans="1:28" s="182" customFormat="1" ht="15.75" thickBot="1" x14ac:dyDescent="0.3">
      <c r="A29" s="229">
        <f t="shared" si="11"/>
        <v>2731</v>
      </c>
      <c r="B29" s="230">
        <f t="shared" si="12"/>
        <v>19</v>
      </c>
      <c r="C29" s="218" t="str">
        <f t="shared" si="7"/>
        <v>24aX05-000_060_07</v>
      </c>
      <c r="D29" s="197">
        <f>D28</f>
        <v>5</v>
      </c>
      <c r="E29" s="204">
        <f t="shared" si="22"/>
        <v>1.3090000000000002</v>
      </c>
      <c r="F29" s="198">
        <f t="shared" si="31"/>
        <v>26.180000000000003</v>
      </c>
      <c r="G29" s="198">
        <f t="shared" si="23"/>
        <v>20.944000000000003</v>
      </c>
      <c r="H29" s="198">
        <f t="shared" si="24"/>
        <v>13.090000000000002</v>
      </c>
      <c r="I29" s="198">
        <f>I28</f>
        <v>8</v>
      </c>
      <c r="J29" s="199">
        <f t="shared" si="42"/>
        <v>0</v>
      </c>
      <c r="K29" s="194" t="str">
        <f>D29&amp;-7</f>
        <v>5-7</v>
      </c>
      <c r="L29" s="198">
        <f>L28</f>
        <v>0.2</v>
      </c>
      <c r="M29" s="49">
        <v>60</v>
      </c>
      <c r="N29" s="198">
        <f t="shared" si="34"/>
        <v>150</v>
      </c>
      <c r="O29" s="198">
        <f t="shared" si="35"/>
        <v>160</v>
      </c>
      <c r="P29" s="198">
        <f t="shared" si="36"/>
        <v>750</v>
      </c>
      <c r="R29" s="38">
        <f t="shared" si="37"/>
        <v>4</v>
      </c>
      <c r="S29" s="38">
        <f t="shared" si="37"/>
        <v>6</v>
      </c>
      <c r="T29" s="39">
        <f t="shared" si="25"/>
        <v>0.20020684760703333</v>
      </c>
      <c r="U29" s="39">
        <f t="shared" si="26"/>
        <v>0.39507743723572908</v>
      </c>
      <c r="V29" s="39">
        <f t="shared" si="27"/>
        <v>0.19487058962869575</v>
      </c>
      <c r="W29" s="39">
        <f t="shared" si="9"/>
        <v>0.22100456189732626</v>
      </c>
      <c r="X29" s="40">
        <f t="shared" si="28"/>
        <v>0.18417046824777186</v>
      </c>
      <c r="Y29" s="40" t="s">
        <v>21</v>
      </c>
      <c r="Z29" s="182">
        <f t="shared" si="29"/>
        <v>3.6834093649554371</v>
      </c>
      <c r="AA29" s="182">
        <f t="shared" si="6"/>
        <v>0.61390156082590619</v>
      </c>
    </row>
    <row r="30" spans="1:28" s="182" customFormat="1" ht="15.75" thickBot="1" x14ac:dyDescent="0.3">
      <c r="A30" s="229">
        <f t="shared" si="11"/>
        <v>2732</v>
      </c>
      <c r="B30" s="230">
        <f t="shared" si="12"/>
        <v>20</v>
      </c>
      <c r="C30" s="218" t="str">
        <f t="shared" si="7"/>
        <v>24aX05-000_090_08</v>
      </c>
      <c r="D30" s="197">
        <f t="shared" si="30"/>
        <v>5</v>
      </c>
      <c r="E30" s="204">
        <f t="shared" si="22"/>
        <v>1.3090000000000002</v>
      </c>
      <c r="F30" s="198">
        <f t="shared" si="31"/>
        <v>26.180000000000003</v>
      </c>
      <c r="G30" s="198">
        <f t="shared" si="23"/>
        <v>20.944000000000003</v>
      </c>
      <c r="H30" s="198">
        <f t="shared" si="24"/>
        <v>13.090000000000002</v>
      </c>
      <c r="I30" s="198">
        <f t="shared" ref="I30" si="44">I29</f>
        <v>8</v>
      </c>
      <c r="J30" s="199">
        <f t="shared" si="42"/>
        <v>0</v>
      </c>
      <c r="K30" s="194" t="str">
        <f>D30&amp;-8</f>
        <v>5-8</v>
      </c>
      <c r="L30" s="198">
        <f t="shared" ref="L30" si="45">L29</f>
        <v>0.2</v>
      </c>
      <c r="M30" s="49">
        <v>90</v>
      </c>
      <c r="N30" s="198">
        <f t="shared" si="34"/>
        <v>150</v>
      </c>
      <c r="O30" s="198">
        <f t="shared" si="35"/>
        <v>160</v>
      </c>
      <c r="P30" s="198">
        <f t="shared" si="36"/>
        <v>750</v>
      </c>
      <c r="R30" s="38">
        <f t="shared" si="37"/>
        <v>4</v>
      </c>
      <c r="S30" s="38">
        <f t="shared" si="37"/>
        <v>6</v>
      </c>
      <c r="T30" s="39">
        <f t="shared" si="25"/>
        <v>0.20020684760703333</v>
      </c>
      <c r="U30" s="39">
        <f t="shared" si="26"/>
        <v>0.39507743723572908</v>
      </c>
      <c r="V30" s="39">
        <f t="shared" si="27"/>
        <v>0.19487058962869575</v>
      </c>
      <c r="W30" s="39">
        <f t="shared" si="9"/>
        <v>0.22100456189732626</v>
      </c>
      <c r="X30" s="40">
        <f t="shared" si="28"/>
        <v>0.18417046824777186</v>
      </c>
      <c r="Y30" s="40" t="s">
        <v>21</v>
      </c>
      <c r="Z30" s="182">
        <f t="shared" si="29"/>
        <v>3.6834093649554371</v>
      </c>
      <c r="AA30" s="182">
        <f t="shared" si="6"/>
        <v>0.61390156082590619</v>
      </c>
    </row>
    <row r="31" spans="1:28" s="182" customFormat="1" ht="15.75" thickBot="1" x14ac:dyDescent="0.3">
      <c r="A31" s="229">
        <f t="shared" si="11"/>
        <v>2733</v>
      </c>
      <c r="B31" s="230">
        <f t="shared" si="12"/>
        <v>21</v>
      </c>
      <c r="C31" s="218" t="str">
        <f t="shared" si="7"/>
        <v>24aX05-000_000_09</v>
      </c>
      <c r="D31" s="197">
        <f t="shared" si="30"/>
        <v>5</v>
      </c>
      <c r="E31" s="204">
        <f t="shared" si="22"/>
        <v>1.3090000000000002</v>
      </c>
      <c r="F31" s="198">
        <f t="shared" si="31"/>
        <v>26.180000000000003</v>
      </c>
      <c r="G31" s="198">
        <f t="shared" si="23"/>
        <v>20.944000000000003</v>
      </c>
      <c r="H31" s="198">
        <f t="shared" si="24"/>
        <v>13.090000000000002</v>
      </c>
      <c r="I31" s="198">
        <f t="shared" ref="I31" si="46">I30</f>
        <v>8</v>
      </c>
      <c r="J31" s="199">
        <f t="shared" si="42"/>
        <v>0</v>
      </c>
      <c r="K31" s="194" t="str">
        <f>D31&amp;-9</f>
        <v>5-9</v>
      </c>
      <c r="L31" s="198">
        <f t="shared" ref="L31" si="47">L30</f>
        <v>0.2</v>
      </c>
      <c r="M31" s="49">
        <v>0</v>
      </c>
      <c r="N31" s="198">
        <f t="shared" si="34"/>
        <v>150</v>
      </c>
      <c r="O31" s="198">
        <f t="shared" si="35"/>
        <v>160</v>
      </c>
      <c r="P31" s="198">
        <f t="shared" si="36"/>
        <v>750</v>
      </c>
      <c r="R31" s="38">
        <f t="shared" si="37"/>
        <v>4</v>
      </c>
      <c r="S31" s="38">
        <f t="shared" si="37"/>
        <v>6</v>
      </c>
      <c r="T31" s="39">
        <f t="shared" si="25"/>
        <v>0.20020684760703333</v>
      </c>
      <c r="U31" s="39">
        <f t="shared" si="26"/>
        <v>0.39507743723572908</v>
      </c>
      <c r="V31" s="39">
        <f t="shared" si="27"/>
        <v>0.19487058962869575</v>
      </c>
      <c r="W31" s="39">
        <f t="shared" si="9"/>
        <v>0.22100456189732626</v>
      </c>
      <c r="X31" s="40">
        <f t="shared" si="28"/>
        <v>0.18417046824777186</v>
      </c>
      <c r="Y31" s="40" t="s">
        <v>21</v>
      </c>
      <c r="Z31" s="182">
        <f t="shared" si="29"/>
        <v>3.6834093649554371</v>
      </c>
      <c r="AA31" s="182">
        <f t="shared" si="6"/>
        <v>0.61390156082590619</v>
      </c>
    </row>
    <row r="32" spans="1:28" s="182" customFormat="1" ht="15.75" thickBot="1" x14ac:dyDescent="0.3">
      <c r="A32" s="229">
        <f t="shared" si="11"/>
        <v>2734</v>
      </c>
      <c r="B32" s="230">
        <f t="shared" si="12"/>
        <v>22</v>
      </c>
      <c r="C32" s="218" t="str">
        <f t="shared" si="7"/>
        <v>24aX05-000_030_10</v>
      </c>
      <c r="D32" s="197">
        <f t="shared" si="30"/>
        <v>5</v>
      </c>
      <c r="E32" s="204">
        <f t="shared" si="22"/>
        <v>1.3090000000000002</v>
      </c>
      <c r="F32" s="198">
        <f t="shared" si="31"/>
        <v>26.180000000000003</v>
      </c>
      <c r="G32" s="198">
        <f t="shared" si="23"/>
        <v>20.944000000000003</v>
      </c>
      <c r="H32" s="198">
        <f t="shared" si="24"/>
        <v>13.090000000000002</v>
      </c>
      <c r="I32" s="198">
        <f t="shared" ref="I32" si="48">I31</f>
        <v>8</v>
      </c>
      <c r="J32" s="199">
        <f t="shared" si="42"/>
        <v>0</v>
      </c>
      <c r="K32" s="194" t="str">
        <f>D32&amp;-10</f>
        <v>5-10</v>
      </c>
      <c r="L32" s="198">
        <f t="shared" ref="L32" si="49">L31</f>
        <v>0.2</v>
      </c>
      <c r="M32" s="49">
        <v>30</v>
      </c>
      <c r="N32" s="198">
        <f t="shared" si="34"/>
        <v>150</v>
      </c>
      <c r="O32" s="198">
        <f t="shared" si="35"/>
        <v>160</v>
      </c>
      <c r="P32" s="198">
        <f t="shared" si="36"/>
        <v>750</v>
      </c>
      <c r="R32" s="38">
        <f t="shared" si="37"/>
        <v>4</v>
      </c>
      <c r="S32" s="38">
        <f t="shared" si="37"/>
        <v>6</v>
      </c>
      <c r="T32" s="39">
        <f t="shared" si="25"/>
        <v>0.20020684760703333</v>
      </c>
      <c r="U32" s="39">
        <f t="shared" si="26"/>
        <v>0.39507743723572908</v>
      </c>
      <c r="V32" s="39">
        <f t="shared" si="27"/>
        <v>0.19487058962869575</v>
      </c>
      <c r="W32" s="39">
        <f t="shared" si="9"/>
        <v>0.22100456189732626</v>
      </c>
      <c r="X32" s="40">
        <f t="shared" si="28"/>
        <v>0.18417046824777186</v>
      </c>
      <c r="Y32" s="40" t="s">
        <v>21</v>
      </c>
      <c r="Z32" s="182">
        <f t="shared" si="29"/>
        <v>3.6834093649554371</v>
      </c>
      <c r="AA32" s="182">
        <f t="shared" si="6"/>
        <v>0.61390156082590619</v>
      </c>
    </row>
    <row r="33" spans="1:27" s="182" customFormat="1" ht="15.75" thickBot="1" x14ac:dyDescent="0.3">
      <c r="A33" s="229">
        <f t="shared" si="11"/>
        <v>2735</v>
      </c>
      <c r="B33" s="230">
        <f t="shared" si="12"/>
        <v>23</v>
      </c>
      <c r="C33" s="218" t="str">
        <f t="shared" si="7"/>
        <v>24aX05-000_060_11</v>
      </c>
      <c r="D33" s="197">
        <f t="shared" si="30"/>
        <v>5</v>
      </c>
      <c r="E33" s="204">
        <f t="shared" si="22"/>
        <v>1.3090000000000002</v>
      </c>
      <c r="F33" s="198">
        <f t="shared" si="31"/>
        <v>26.180000000000003</v>
      </c>
      <c r="G33" s="198">
        <f t="shared" si="23"/>
        <v>20.944000000000003</v>
      </c>
      <c r="H33" s="198">
        <f t="shared" si="24"/>
        <v>13.090000000000002</v>
      </c>
      <c r="I33" s="198">
        <f t="shared" ref="I33" si="50">I32</f>
        <v>8</v>
      </c>
      <c r="J33" s="199">
        <f t="shared" si="42"/>
        <v>0</v>
      </c>
      <c r="K33" s="194" t="str">
        <f>D33&amp;-11</f>
        <v>5-11</v>
      </c>
      <c r="L33" s="198">
        <f t="shared" ref="L33" si="51">L32</f>
        <v>0.2</v>
      </c>
      <c r="M33" s="49">
        <v>60</v>
      </c>
      <c r="N33" s="198">
        <f t="shared" si="34"/>
        <v>150</v>
      </c>
      <c r="O33" s="198">
        <f t="shared" si="35"/>
        <v>160</v>
      </c>
      <c r="P33" s="198">
        <f t="shared" si="36"/>
        <v>750</v>
      </c>
      <c r="R33" s="38">
        <f t="shared" si="37"/>
        <v>4</v>
      </c>
      <c r="S33" s="38">
        <f t="shared" si="37"/>
        <v>6</v>
      </c>
      <c r="T33" s="39">
        <f t="shared" si="25"/>
        <v>0.20020684760703333</v>
      </c>
      <c r="U33" s="39">
        <f t="shared" si="26"/>
        <v>0.39507743723572908</v>
      </c>
      <c r="V33" s="39">
        <f t="shared" si="27"/>
        <v>0.19487058962869575</v>
      </c>
      <c r="W33" s="39">
        <f t="shared" si="9"/>
        <v>0.22100456189732626</v>
      </c>
      <c r="X33" s="40">
        <f t="shared" si="28"/>
        <v>0.18417046824777186</v>
      </c>
      <c r="Y33" s="40" t="s">
        <v>21</v>
      </c>
      <c r="Z33" s="182">
        <f t="shared" si="29"/>
        <v>3.6834093649554371</v>
      </c>
      <c r="AA33" s="182">
        <f t="shared" si="6"/>
        <v>0.61390156082590619</v>
      </c>
    </row>
    <row r="34" spans="1:27" s="182" customFormat="1" ht="15.75" thickBot="1" x14ac:dyDescent="0.3">
      <c r="A34" s="229">
        <f t="shared" si="11"/>
        <v>2736</v>
      </c>
      <c r="B34" s="230">
        <f t="shared" si="12"/>
        <v>24</v>
      </c>
      <c r="C34" s="218" t="str">
        <f t="shared" si="7"/>
        <v>24aX05-000_090_12</v>
      </c>
      <c r="D34" s="197">
        <f t="shared" si="30"/>
        <v>5</v>
      </c>
      <c r="E34" s="204">
        <f t="shared" si="22"/>
        <v>1.3090000000000002</v>
      </c>
      <c r="F34" s="198">
        <f t="shared" si="31"/>
        <v>26.180000000000003</v>
      </c>
      <c r="G34" s="198">
        <f t="shared" si="23"/>
        <v>20.944000000000003</v>
      </c>
      <c r="H34" s="198">
        <f t="shared" si="24"/>
        <v>13.090000000000002</v>
      </c>
      <c r="I34" s="198">
        <f t="shared" ref="I34" si="52">I33</f>
        <v>8</v>
      </c>
      <c r="J34" s="199">
        <f t="shared" si="42"/>
        <v>0</v>
      </c>
      <c r="K34" s="194" t="str">
        <f>D34&amp;-12</f>
        <v>5-12</v>
      </c>
      <c r="L34" s="198">
        <f t="shared" ref="L34" si="53">L33</f>
        <v>0.2</v>
      </c>
      <c r="M34" s="49">
        <v>90</v>
      </c>
      <c r="N34" s="198">
        <f t="shared" si="34"/>
        <v>150</v>
      </c>
      <c r="O34" s="198">
        <f t="shared" si="35"/>
        <v>160</v>
      </c>
      <c r="P34" s="198">
        <f t="shared" si="36"/>
        <v>750</v>
      </c>
      <c r="R34" s="38">
        <f t="shared" si="37"/>
        <v>4</v>
      </c>
      <c r="S34" s="38">
        <f t="shared" si="37"/>
        <v>6</v>
      </c>
      <c r="T34" s="39">
        <f t="shared" si="25"/>
        <v>0.20020684760703333</v>
      </c>
      <c r="U34" s="39">
        <f t="shared" si="26"/>
        <v>0.39507743723572908</v>
      </c>
      <c r="V34" s="39">
        <f t="shared" si="27"/>
        <v>0.19487058962869575</v>
      </c>
      <c r="W34" s="39">
        <f t="shared" si="9"/>
        <v>0.22100456189732626</v>
      </c>
      <c r="X34" s="40">
        <f t="shared" si="28"/>
        <v>0.18417046824777186</v>
      </c>
      <c r="Y34" s="40" t="s">
        <v>21</v>
      </c>
      <c r="Z34" s="182">
        <f t="shared" si="29"/>
        <v>3.6834093649554371</v>
      </c>
      <c r="AA34" s="182">
        <f t="shared" si="6"/>
        <v>0.61390156082590619</v>
      </c>
    </row>
    <row r="35" spans="1:27" s="182" customFormat="1" ht="15.75" thickBot="1" x14ac:dyDescent="0.3">
      <c r="A35" s="229">
        <f t="shared" si="11"/>
        <v>2737</v>
      </c>
      <c r="B35" s="230">
        <f t="shared" si="12"/>
        <v>25</v>
      </c>
      <c r="C35" s="218" t="str">
        <f t="shared" si="7"/>
        <v>24aX07-000_000_01</v>
      </c>
      <c r="D35" s="197">
        <f>D34+2</f>
        <v>7</v>
      </c>
      <c r="E35" s="204">
        <f t="shared" ref="E35:E46" si="54">I_ref*(0.75*D35+5.6)</f>
        <v>1.5190000000000001</v>
      </c>
      <c r="F35" s="198">
        <f>E35/D35*100</f>
        <v>21.700000000000003</v>
      </c>
      <c r="G35" s="198">
        <f t="shared" ref="G35:G46" si="55">m_ty*F35</f>
        <v>17.360000000000003</v>
      </c>
      <c r="H35" s="198">
        <f t="shared" ref="H35:H46" si="56">m_tz*F35</f>
        <v>10.850000000000001</v>
      </c>
      <c r="I35" s="198">
        <f>inflow</f>
        <v>8</v>
      </c>
      <c r="J35" s="199">
        <f>yaw_null</f>
        <v>0</v>
      </c>
      <c r="K35" s="194" t="str">
        <f>D35&amp;-1</f>
        <v>7-1</v>
      </c>
      <c r="L35" s="198">
        <f>alpha_n</f>
        <v>0.2</v>
      </c>
      <c r="M35" s="49">
        <v>0</v>
      </c>
      <c r="N35" s="198">
        <f>t_out</f>
        <v>150</v>
      </c>
      <c r="O35" s="198">
        <f>trig_t</f>
        <v>160</v>
      </c>
      <c r="P35" s="198">
        <f>N35+T_s1</f>
        <v>750</v>
      </c>
      <c r="R35" s="38">
        <f>S34</f>
        <v>6</v>
      </c>
      <c r="S35" s="38">
        <f>R35+v_step</f>
        <v>8</v>
      </c>
      <c r="T35" s="39">
        <f t="shared" ref="T35:T46" si="57">IF(wpd="Rayleigh",1-EXP(-PI()*((R35/2/v_ave)^2)),IF(wpd="Weibull",1-EXP(-((R35/weibull_A)^weibull_K))))</f>
        <v>0.39507743723572908</v>
      </c>
      <c r="U35" s="39">
        <f t="shared" ref="U35:U46" si="58">IF(wpd="Rayleigh",1-EXP(-PI()*((S35/2/v_ave)^2)),IF(wpd="Weibull",1-EXP(-((S35/weibull_A)^weibull_K))))</f>
        <v>0.59082345962954208</v>
      </c>
      <c r="V35" s="39">
        <f t="shared" ref="V35:V46" si="59">U35-T35</f>
        <v>0.195746022393813</v>
      </c>
      <c r="W35" s="39">
        <f t="shared" si="9"/>
        <v>0.22199739840022775</v>
      </c>
      <c r="X35" s="40">
        <f t="shared" ref="X35:X46" si="60">T_N4*W35/12</f>
        <v>0.18499783200018979</v>
      </c>
      <c r="Y35" s="40" t="s">
        <v>21</v>
      </c>
      <c r="Z35" s="182">
        <f>X35*20</f>
        <v>3.699956640003796</v>
      </c>
      <c r="AA35" s="182">
        <f t="shared" si="6"/>
        <v>0.61665944000063266</v>
      </c>
    </row>
    <row r="36" spans="1:27" s="182" customFormat="1" ht="15.75" thickBot="1" x14ac:dyDescent="0.3">
      <c r="A36" s="229">
        <f t="shared" si="11"/>
        <v>2738</v>
      </c>
      <c r="B36" s="230">
        <f t="shared" si="12"/>
        <v>26</v>
      </c>
      <c r="C36" s="218" t="str">
        <f t="shared" si="7"/>
        <v>24aX07-000_030_02</v>
      </c>
      <c r="D36" s="197">
        <f>D35</f>
        <v>7</v>
      </c>
      <c r="E36" s="204">
        <f t="shared" si="54"/>
        <v>1.5190000000000001</v>
      </c>
      <c r="F36" s="198">
        <f>E36/D36*100</f>
        <v>21.700000000000003</v>
      </c>
      <c r="G36" s="198">
        <f t="shared" si="55"/>
        <v>17.360000000000003</v>
      </c>
      <c r="H36" s="198">
        <f t="shared" si="56"/>
        <v>10.850000000000001</v>
      </c>
      <c r="I36" s="198">
        <f>I35</f>
        <v>8</v>
      </c>
      <c r="J36" s="199">
        <f>J35</f>
        <v>0</v>
      </c>
      <c r="K36" s="194" t="str">
        <f>D36&amp;-2</f>
        <v>7-2</v>
      </c>
      <c r="L36" s="198">
        <f>L35</f>
        <v>0.2</v>
      </c>
      <c r="M36" s="49">
        <v>30</v>
      </c>
      <c r="N36" s="198">
        <f>N35</f>
        <v>150</v>
      </c>
      <c r="O36" s="198">
        <f>O35</f>
        <v>160</v>
      </c>
      <c r="P36" s="198">
        <f>P35</f>
        <v>750</v>
      </c>
      <c r="R36" s="38">
        <f>R35</f>
        <v>6</v>
      </c>
      <c r="S36" s="38">
        <f t="shared" ref="S36" si="61">S35</f>
        <v>8</v>
      </c>
      <c r="T36" s="39">
        <f t="shared" si="57"/>
        <v>0.39507743723572908</v>
      </c>
      <c r="U36" s="39">
        <f t="shared" si="58"/>
        <v>0.59082345962954208</v>
      </c>
      <c r="V36" s="39">
        <f t="shared" si="59"/>
        <v>0.195746022393813</v>
      </c>
      <c r="W36" s="39">
        <f t="shared" si="9"/>
        <v>0.22199739840022775</v>
      </c>
      <c r="X36" s="40">
        <f t="shared" si="60"/>
        <v>0.18499783200018979</v>
      </c>
      <c r="Y36" s="40" t="s">
        <v>21</v>
      </c>
      <c r="Z36" s="182">
        <f t="shared" ref="Z36:Z46" si="62">X36*20</f>
        <v>3.699956640003796</v>
      </c>
      <c r="AA36" s="182">
        <f t="shared" si="6"/>
        <v>0.61665944000063266</v>
      </c>
    </row>
    <row r="37" spans="1:27" s="182" customFormat="1" ht="15.75" thickBot="1" x14ac:dyDescent="0.3">
      <c r="A37" s="229">
        <f t="shared" si="11"/>
        <v>2739</v>
      </c>
      <c r="B37" s="230">
        <f t="shared" si="12"/>
        <v>27</v>
      </c>
      <c r="C37" s="218" t="str">
        <f t="shared" si="7"/>
        <v>24aX07-000_060_03</v>
      </c>
      <c r="D37" s="197">
        <f t="shared" ref="D37:D46" si="63">D36</f>
        <v>7</v>
      </c>
      <c r="E37" s="204">
        <f t="shared" si="54"/>
        <v>1.5190000000000001</v>
      </c>
      <c r="F37" s="198">
        <f t="shared" ref="F37:F46" si="64">E37/D37*100</f>
        <v>21.700000000000003</v>
      </c>
      <c r="G37" s="198">
        <f t="shared" si="55"/>
        <v>17.360000000000003</v>
      </c>
      <c r="H37" s="198">
        <f t="shared" si="56"/>
        <v>10.850000000000001</v>
      </c>
      <c r="I37" s="198">
        <f t="shared" ref="I37:J37" si="65">I36</f>
        <v>8</v>
      </c>
      <c r="J37" s="199">
        <f t="shared" si="65"/>
        <v>0</v>
      </c>
      <c r="K37" s="194" t="str">
        <f>D37&amp;-3</f>
        <v>7-3</v>
      </c>
      <c r="L37" s="198">
        <f t="shared" ref="L37:L40" si="66">L36</f>
        <v>0.2</v>
      </c>
      <c r="M37" s="49">
        <v>60</v>
      </c>
      <c r="N37" s="198">
        <f t="shared" ref="N37:N46" si="67">N36</f>
        <v>150</v>
      </c>
      <c r="O37" s="198">
        <f t="shared" ref="O37:O46" si="68">O36</f>
        <v>160</v>
      </c>
      <c r="P37" s="198">
        <f t="shared" ref="P37:P46" si="69">P36</f>
        <v>750</v>
      </c>
      <c r="R37" s="38">
        <f t="shared" ref="R37:S46" si="70">R36</f>
        <v>6</v>
      </c>
      <c r="S37" s="38">
        <f t="shared" si="70"/>
        <v>8</v>
      </c>
      <c r="T37" s="39">
        <f t="shared" si="57"/>
        <v>0.39507743723572908</v>
      </c>
      <c r="U37" s="39">
        <f t="shared" si="58"/>
        <v>0.59082345962954208</v>
      </c>
      <c r="V37" s="39">
        <f t="shared" si="59"/>
        <v>0.195746022393813</v>
      </c>
      <c r="W37" s="39">
        <f t="shared" si="9"/>
        <v>0.22199739840022775</v>
      </c>
      <c r="X37" s="40">
        <f t="shared" si="60"/>
        <v>0.18499783200018979</v>
      </c>
      <c r="Y37" s="40" t="s">
        <v>21</v>
      </c>
      <c r="Z37" s="182">
        <f t="shared" si="62"/>
        <v>3.699956640003796</v>
      </c>
      <c r="AA37" s="182">
        <f t="shared" si="6"/>
        <v>0.61665944000063266</v>
      </c>
    </row>
    <row r="38" spans="1:27" s="182" customFormat="1" ht="15.75" thickBot="1" x14ac:dyDescent="0.3">
      <c r="A38" s="229">
        <f t="shared" si="11"/>
        <v>2740</v>
      </c>
      <c r="B38" s="230">
        <f t="shared" si="12"/>
        <v>28</v>
      </c>
      <c r="C38" s="218" t="str">
        <f t="shared" si="7"/>
        <v>24aX07-000_090_04</v>
      </c>
      <c r="D38" s="197">
        <f t="shared" si="63"/>
        <v>7</v>
      </c>
      <c r="E38" s="204">
        <f t="shared" si="54"/>
        <v>1.5190000000000001</v>
      </c>
      <c r="F38" s="198">
        <f t="shared" si="64"/>
        <v>21.700000000000003</v>
      </c>
      <c r="G38" s="198">
        <f t="shared" si="55"/>
        <v>17.360000000000003</v>
      </c>
      <c r="H38" s="198">
        <f t="shared" si="56"/>
        <v>10.850000000000001</v>
      </c>
      <c r="I38" s="198">
        <f t="shared" ref="I38:J38" si="71">I37</f>
        <v>8</v>
      </c>
      <c r="J38" s="199">
        <f t="shared" si="71"/>
        <v>0</v>
      </c>
      <c r="K38" s="194" t="str">
        <f>D38&amp;-4</f>
        <v>7-4</v>
      </c>
      <c r="L38" s="198">
        <f t="shared" si="66"/>
        <v>0.2</v>
      </c>
      <c r="M38" s="49">
        <v>90</v>
      </c>
      <c r="N38" s="198">
        <f t="shared" si="67"/>
        <v>150</v>
      </c>
      <c r="O38" s="198">
        <f t="shared" si="68"/>
        <v>160</v>
      </c>
      <c r="P38" s="198">
        <f t="shared" si="69"/>
        <v>750</v>
      </c>
      <c r="R38" s="38">
        <f t="shared" si="70"/>
        <v>6</v>
      </c>
      <c r="S38" s="38">
        <f t="shared" si="70"/>
        <v>8</v>
      </c>
      <c r="T38" s="39">
        <f t="shared" si="57"/>
        <v>0.39507743723572908</v>
      </c>
      <c r="U38" s="39">
        <f t="shared" si="58"/>
        <v>0.59082345962954208</v>
      </c>
      <c r="V38" s="39">
        <f t="shared" si="59"/>
        <v>0.195746022393813</v>
      </c>
      <c r="W38" s="39">
        <f t="shared" si="9"/>
        <v>0.22199739840022775</v>
      </c>
      <c r="X38" s="40">
        <f t="shared" si="60"/>
        <v>0.18499783200018979</v>
      </c>
      <c r="Y38" s="40" t="s">
        <v>21</v>
      </c>
      <c r="Z38" s="182">
        <f t="shared" si="62"/>
        <v>3.699956640003796</v>
      </c>
      <c r="AA38" s="182">
        <f t="shared" si="6"/>
        <v>0.61665944000063266</v>
      </c>
    </row>
    <row r="39" spans="1:27" s="182" customFormat="1" ht="15.75" thickBot="1" x14ac:dyDescent="0.3">
      <c r="A39" s="229">
        <f t="shared" si="11"/>
        <v>2741</v>
      </c>
      <c r="B39" s="230">
        <f t="shared" si="12"/>
        <v>29</v>
      </c>
      <c r="C39" s="218" t="str">
        <f t="shared" si="7"/>
        <v>24aX07-000_000_05</v>
      </c>
      <c r="D39" s="197">
        <f t="shared" si="63"/>
        <v>7</v>
      </c>
      <c r="E39" s="204">
        <f t="shared" si="54"/>
        <v>1.5190000000000001</v>
      </c>
      <c r="F39" s="198">
        <f t="shared" si="64"/>
        <v>21.700000000000003</v>
      </c>
      <c r="G39" s="198">
        <f t="shared" si="55"/>
        <v>17.360000000000003</v>
      </c>
      <c r="H39" s="198">
        <f t="shared" si="56"/>
        <v>10.850000000000001</v>
      </c>
      <c r="I39" s="198">
        <f t="shared" ref="I39:J39" si="72">I38</f>
        <v>8</v>
      </c>
      <c r="J39" s="199">
        <f t="shared" si="72"/>
        <v>0</v>
      </c>
      <c r="K39" s="194" t="str">
        <f>D39&amp;-5</f>
        <v>7-5</v>
      </c>
      <c r="L39" s="198">
        <f t="shared" si="66"/>
        <v>0.2</v>
      </c>
      <c r="M39" s="49">
        <v>0</v>
      </c>
      <c r="N39" s="198">
        <f t="shared" si="67"/>
        <v>150</v>
      </c>
      <c r="O39" s="198">
        <f t="shared" si="68"/>
        <v>160</v>
      </c>
      <c r="P39" s="198">
        <f t="shared" si="69"/>
        <v>750</v>
      </c>
      <c r="R39" s="38">
        <f t="shared" si="70"/>
        <v>6</v>
      </c>
      <c r="S39" s="38">
        <f t="shared" si="70"/>
        <v>8</v>
      </c>
      <c r="T39" s="39">
        <f t="shared" si="57"/>
        <v>0.39507743723572908</v>
      </c>
      <c r="U39" s="39">
        <f t="shared" si="58"/>
        <v>0.59082345962954208</v>
      </c>
      <c r="V39" s="39">
        <f t="shared" si="59"/>
        <v>0.195746022393813</v>
      </c>
      <c r="W39" s="39">
        <f t="shared" si="9"/>
        <v>0.22199739840022775</v>
      </c>
      <c r="X39" s="40">
        <f t="shared" si="60"/>
        <v>0.18499783200018979</v>
      </c>
      <c r="Y39" s="40" t="s">
        <v>21</v>
      </c>
      <c r="Z39" s="182">
        <f t="shared" si="62"/>
        <v>3.699956640003796</v>
      </c>
      <c r="AA39" s="182">
        <f t="shared" si="6"/>
        <v>0.61665944000063266</v>
      </c>
    </row>
    <row r="40" spans="1:27" s="182" customFormat="1" ht="15.75" thickBot="1" x14ac:dyDescent="0.3">
      <c r="A40" s="229">
        <f t="shared" si="11"/>
        <v>2742</v>
      </c>
      <c r="B40" s="230">
        <f t="shared" si="12"/>
        <v>30</v>
      </c>
      <c r="C40" s="218" t="str">
        <f t="shared" si="7"/>
        <v>24aX07-000_030_06</v>
      </c>
      <c r="D40" s="197">
        <f t="shared" si="63"/>
        <v>7</v>
      </c>
      <c r="E40" s="204">
        <f t="shared" si="54"/>
        <v>1.5190000000000001</v>
      </c>
      <c r="F40" s="198">
        <f t="shared" si="64"/>
        <v>21.700000000000003</v>
      </c>
      <c r="G40" s="198">
        <f t="shared" si="55"/>
        <v>17.360000000000003</v>
      </c>
      <c r="H40" s="198">
        <f t="shared" si="56"/>
        <v>10.850000000000001</v>
      </c>
      <c r="I40" s="198">
        <f t="shared" ref="I40:J40" si="73">I39</f>
        <v>8</v>
      </c>
      <c r="J40" s="199">
        <f t="shared" si="73"/>
        <v>0</v>
      </c>
      <c r="K40" s="194" t="str">
        <f>D40&amp;-6</f>
        <v>7-6</v>
      </c>
      <c r="L40" s="198">
        <f t="shared" si="66"/>
        <v>0.2</v>
      </c>
      <c r="M40" s="49">
        <v>30</v>
      </c>
      <c r="N40" s="198">
        <f t="shared" si="67"/>
        <v>150</v>
      </c>
      <c r="O40" s="198">
        <f t="shared" si="68"/>
        <v>160</v>
      </c>
      <c r="P40" s="198">
        <f t="shared" si="69"/>
        <v>750</v>
      </c>
      <c r="R40" s="38">
        <f t="shared" si="70"/>
        <v>6</v>
      </c>
      <c r="S40" s="38">
        <f t="shared" si="70"/>
        <v>8</v>
      </c>
      <c r="T40" s="39">
        <f t="shared" si="57"/>
        <v>0.39507743723572908</v>
      </c>
      <c r="U40" s="39">
        <f t="shared" si="58"/>
        <v>0.59082345962954208</v>
      </c>
      <c r="V40" s="39">
        <f t="shared" si="59"/>
        <v>0.195746022393813</v>
      </c>
      <c r="W40" s="39">
        <f t="shared" si="9"/>
        <v>0.22199739840022775</v>
      </c>
      <c r="X40" s="40">
        <f t="shared" si="60"/>
        <v>0.18499783200018979</v>
      </c>
      <c r="Y40" s="40" t="s">
        <v>21</v>
      </c>
      <c r="Z40" s="182">
        <f t="shared" si="62"/>
        <v>3.699956640003796</v>
      </c>
      <c r="AA40" s="182">
        <f t="shared" si="6"/>
        <v>0.61665944000063266</v>
      </c>
    </row>
    <row r="41" spans="1:27" s="182" customFormat="1" ht="15.75" thickBot="1" x14ac:dyDescent="0.3">
      <c r="A41" s="229">
        <f t="shared" si="11"/>
        <v>2743</v>
      </c>
      <c r="B41" s="230">
        <f t="shared" si="12"/>
        <v>31</v>
      </c>
      <c r="C41" s="218" t="str">
        <f t="shared" si="7"/>
        <v>24aX07-000_060_07</v>
      </c>
      <c r="D41" s="197">
        <f>D40</f>
        <v>7</v>
      </c>
      <c r="E41" s="204">
        <f t="shared" si="54"/>
        <v>1.5190000000000001</v>
      </c>
      <c r="F41" s="198">
        <f t="shared" si="64"/>
        <v>21.700000000000003</v>
      </c>
      <c r="G41" s="198">
        <f t="shared" si="55"/>
        <v>17.360000000000003</v>
      </c>
      <c r="H41" s="198">
        <f t="shared" si="56"/>
        <v>10.850000000000001</v>
      </c>
      <c r="I41" s="198">
        <f>I40</f>
        <v>8</v>
      </c>
      <c r="J41" s="199">
        <f t="shared" ref="J41" si="74">J40</f>
        <v>0</v>
      </c>
      <c r="K41" s="194" t="str">
        <f>D41&amp;-7</f>
        <v>7-7</v>
      </c>
      <c r="L41" s="198">
        <f>L40</f>
        <v>0.2</v>
      </c>
      <c r="M41" s="49">
        <v>60</v>
      </c>
      <c r="N41" s="198">
        <f t="shared" si="67"/>
        <v>150</v>
      </c>
      <c r="O41" s="198">
        <f t="shared" si="68"/>
        <v>160</v>
      </c>
      <c r="P41" s="198">
        <f t="shared" si="69"/>
        <v>750</v>
      </c>
      <c r="R41" s="38">
        <f t="shared" si="70"/>
        <v>6</v>
      </c>
      <c r="S41" s="38">
        <f t="shared" si="70"/>
        <v>8</v>
      </c>
      <c r="T41" s="39">
        <f t="shared" si="57"/>
        <v>0.39507743723572908</v>
      </c>
      <c r="U41" s="39">
        <f t="shared" si="58"/>
        <v>0.59082345962954208</v>
      </c>
      <c r="V41" s="39">
        <f t="shared" si="59"/>
        <v>0.195746022393813</v>
      </c>
      <c r="W41" s="39">
        <f t="shared" si="9"/>
        <v>0.22199739840022775</v>
      </c>
      <c r="X41" s="40">
        <f t="shared" si="60"/>
        <v>0.18499783200018979</v>
      </c>
      <c r="Y41" s="40" t="s">
        <v>21</v>
      </c>
      <c r="Z41" s="182">
        <f t="shared" si="62"/>
        <v>3.699956640003796</v>
      </c>
      <c r="AA41" s="182">
        <f t="shared" si="6"/>
        <v>0.61665944000063266</v>
      </c>
    </row>
    <row r="42" spans="1:27" s="182" customFormat="1" ht="15.75" thickBot="1" x14ac:dyDescent="0.3">
      <c r="A42" s="229">
        <f t="shared" si="11"/>
        <v>2744</v>
      </c>
      <c r="B42" s="230">
        <f t="shared" si="12"/>
        <v>32</v>
      </c>
      <c r="C42" s="218" t="str">
        <f t="shared" si="7"/>
        <v>24aX07-000_090_08</v>
      </c>
      <c r="D42" s="197">
        <f t="shared" si="63"/>
        <v>7</v>
      </c>
      <c r="E42" s="204">
        <f t="shared" si="54"/>
        <v>1.5190000000000001</v>
      </c>
      <c r="F42" s="198">
        <f t="shared" si="64"/>
        <v>21.700000000000003</v>
      </c>
      <c r="G42" s="198">
        <f t="shared" si="55"/>
        <v>17.360000000000003</v>
      </c>
      <c r="H42" s="198">
        <f t="shared" si="56"/>
        <v>10.850000000000001</v>
      </c>
      <c r="I42" s="198">
        <f t="shared" ref="I42:J46" si="75">I41</f>
        <v>8</v>
      </c>
      <c r="J42" s="199">
        <f t="shared" si="75"/>
        <v>0</v>
      </c>
      <c r="K42" s="194" t="str">
        <f>D42&amp;-8</f>
        <v>7-8</v>
      </c>
      <c r="L42" s="198">
        <f t="shared" ref="L42:L46" si="76">L41</f>
        <v>0.2</v>
      </c>
      <c r="M42" s="49">
        <v>90</v>
      </c>
      <c r="N42" s="198">
        <f t="shared" si="67"/>
        <v>150</v>
      </c>
      <c r="O42" s="198">
        <f t="shared" si="68"/>
        <v>160</v>
      </c>
      <c r="P42" s="198">
        <f t="shared" si="69"/>
        <v>750</v>
      </c>
      <c r="R42" s="38">
        <f t="shared" si="70"/>
        <v>6</v>
      </c>
      <c r="S42" s="38">
        <f t="shared" si="70"/>
        <v>8</v>
      </c>
      <c r="T42" s="39">
        <f t="shared" si="57"/>
        <v>0.39507743723572908</v>
      </c>
      <c r="U42" s="39">
        <f t="shared" si="58"/>
        <v>0.59082345962954208</v>
      </c>
      <c r="V42" s="39">
        <f t="shared" si="59"/>
        <v>0.195746022393813</v>
      </c>
      <c r="W42" s="39">
        <f t="shared" si="9"/>
        <v>0.22199739840022775</v>
      </c>
      <c r="X42" s="40">
        <f t="shared" si="60"/>
        <v>0.18499783200018979</v>
      </c>
      <c r="Y42" s="40" t="s">
        <v>21</v>
      </c>
      <c r="Z42" s="182">
        <f t="shared" si="62"/>
        <v>3.699956640003796</v>
      </c>
      <c r="AA42" s="182">
        <f t="shared" si="6"/>
        <v>0.61665944000063266</v>
      </c>
    </row>
    <row r="43" spans="1:27" s="182" customFormat="1" ht="15.75" thickBot="1" x14ac:dyDescent="0.3">
      <c r="A43" s="229">
        <f t="shared" si="11"/>
        <v>2745</v>
      </c>
      <c r="B43" s="230">
        <f t="shared" si="12"/>
        <v>33</v>
      </c>
      <c r="C43" s="218" t="str">
        <f t="shared" si="7"/>
        <v>24aX07-000_000_09</v>
      </c>
      <c r="D43" s="197">
        <f t="shared" si="63"/>
        <v>7</v>
      </c>
      <c r="E43" s="204">
        <f t="shared" si="54"/>
        <v>1.5190000000000001</v>
      </c>
      <c r="F43" s="198">
        <f t="shared" si="64"/>
        <v>21.700000000000003</v>
      </c>
      <c r="G43" s="198">
        <f t="shared" si="55"/>
        <v>17.360000000000003</v>
      </c>
      <c r="H43" s="198">
        <f t="shared" si="56"/>
        <v>10.850000000000001</v>
      </c>
      <c r="I43" s="198">
        <f t="shared" si="75"/>
        <v>8</v>
      </c>
      <c r="J43" s="199">
        <f t="shared" si="75"/>
        <v>0</v>
      </c>
      <c r="K43" s="194" t="str">
        <f>D43&amp;-9</f>
        <v>7-9</v>
      </c>
      <c r="L43" s="198">
        <f t="shared" si="76"/>
        <v>0.2</v>
      </c>
      <c r="M43" s="49">
        <v>0</v>
      </c>
      <c r="N43" s="198">
        <f t="shared" si="67"/>
        <v>150</v>
      </c>
      <c r="O43" s="198">
        <f t="shared" si="68"/>
        <v>160</v>
      </c>
      <c r="P43" s="198">
        <f t="shared" si="69"/>
        <v>750</v>
      </c>
      <c r="R43" s="38">
        <f t="shared" si="70"/>
        <v>6</v>
      </c>
      <c r="S43" s="38">
        <f t="shared" si="70"/>
        <v>8</v>
      </c>
      <c r="T43" s="39">
        <f t="shared" si="57"/>
        <v>0.39507743723572908</v>
      </c>
      <c r="U43" s="39">
        <f t="shared" si="58"/>
        <v>0.59082345962954208</v>
      </c>
      <c r="V43" s="39">
        <f t="shared" si="59"/>
        <v>0.195746022393813</v>
      </c>
      <c r="W43" s="39">
        <f t="shared" si="9"/>
        <v>0.22199739840022775</v>
      </c>
      <c r="X43" s="40">
        <f t="shared" si="60"/>
        <v>0.18499783200018979</v>
      </c>
      <c r="Y43" s="40" t="s">
        <v>21</v>
      </c>
      <c r="Z43" s="182">
        <f t="shared" si="62"/>
        <v>3.699956640003796</v>
      </c>
      <c r="AA43" s="182">
        <f t="shared" si="6"/>
        <v>0.61665944000063266</v>
      </c>
    </row>
    <row r="44" spans="1:27" s="182" customFormat="1" ht="15.75" thickBot="1" x14ac:dyDescent="0.3">
      <c r="A44" s="229">
        <f t="shared" si="11"/>
        <v>2746</v>
      </c>
      <c r="B44" s="230">
        <f t="shared" si="12"/>
        <v>34</v>
      </c>
      <c r="C44" s="218" t="str">
        <f t="shared" si="7"/>
        <v>24aX07-000_030_10</v>
      </c>
      <c r="D44" s="197">
        <f t="shared" si="63"/>
        <v>7</v>
      </c>
      <c r="E44" s="204">
        <f t="shared" si="54"/>
        <v>1.5190000000000001</v>
      </c>
      <c r="F44" s="198">
        <f t="shared" si="64"/>
        <v>21.700000000000003</v>
      </c>
      <c r="G44" s="198">
        <f t="shared" si="55"/>
        <v>17.360000000000003</v>
      </c>
      <c r="H44" s="198">
        <f t="shared" si="56"/>
        <v>10.850000000000001</v>
      </c>
      <c r="I44" s="198">
        <f t="shared" si="75"/>
        <v>8</v>
      </c>
      <c r="J44" s="199">
        <f t="shared" si="75"/>
        <v>0</v>
      </c>
      <c r="K44" s="194" t="str">
        <f>D44&amp;-10</f>
        <v>7-10</v>
      </c>
      <c r="L44" s="198">
        <f t="shared" si="76"/>
        <v>0.2</v>
      </c>
      <c r="M44" s="49">
        <v>30</v>
      </c>
      <c r="N44" s="198">
        <f t="shared" si="67"/>
        <v>150</v>
      </c>
      <c r="O44" s="198">
        <f t="shared" si="68"/>
        <v>160</v>
      </c>
      <c r="P44" s="198">
        <f t="shared" si="69"/>
        <v>750</v>
      </c>
      <c r="R44" s="38">
        <f t="shared" si="70"/>
        <v>6</v>
      </c>
      <c r="S44" s="38">
        <f t="shared" si="70"/>
        <v>8</v>
      </c>
      <c r="T44" s="39">
        <f t="shared" si="57"/>
        <v>0.39507743723572908</v>
      </c>
      <c r="U44" s="39">
        <f t="shared" si="58"/>
        <v>0.59082345962954208</v>
      </c>
      <c r="V44" s="39">
        <f t="shared" si="59"/>
        <v>0.195746022393813</v>
      </c>
      <c r="W44" s="39">
        <f t="shared" si="9"/>
        <v>0.22199739840022775</v>
      </c>
      <c r="X44" s="40">
        <f t="shared" si="60"/>
        <v>0.18499783200018979</v>
      </c>
      <c r="Y44" s="40" t="s">
        <v>21</v>
      </c>
      <c r="Z44" s="182">
        <f t="shared" si="62"/>
        <v>3.699956640003796</v>
      </c>
      <c r="AA44" s="182">
        <f t="shared" si="6"/>
        <v>0.61665944000063266</v>
      </c>
    </row>
    <row r="45" spans="1:27" s="182" customFormat="1" ht="15.75" thickBot="1" x14ac:dyDescent="0.3">
      <c r="A45" s="229">
        <f t="shared" si="11"/>
        <v>2747</v>
      </c>
      <c r="B45" s="230">
        <f t="shared" si="12"/>
        <v>35</v>
      </c>
      <c r="C45" s="218" t="str">
        <f t="shared" si="7"/>
        <v>24aX07-000_060_11</v>
      </c>
      <c r="D45" s="197">
        <f t="shared" si="63"/>
        <v>7</v>
      </c>
      <c r="E45" s="204">
        <f t="shared" si="54"/>
        <v>1.5190000000000001</v>
      </c>
      <c r="F45" s="198">
        <f t="shared" si="64"/>
        <v>21.700000000000003</v>
      </c>
      <c r="G45" s="198">
        <f t="shared" si="55"/>
        <v>17.360000000000003</v>
      </c>
      <c r="H45" s="198">
        <f t="shared" si="56"/>
        <v>10.850000000000001</v>
      </c>
      <c r="I45" s="198">
        <f t="shared" si="75"/>
        <v>8</v>
      </c>
      <c r="J45" s="199">
        <f t="shared" si="75"/>
        <v>0</v>
      </c>
      <c r="K45" s="194" t="str">
        <f>D45&amp;-11</f>
        <v>7-11</v>
      </c>
      <c r="L45" s="198">
        <f t="shared" si="76"/>
        <v>0.2</v>
      </c>
      <c r="M45" s="49">
        <v>60</v>
      </c>
      <c r="N45" s="198">
        <f t="shared" si="67"/>
        <v>150</v>
      </c>
      <c r="O45" s="198">
        <f t="shared" si="68"/>
        <v>160</v>
      </c>
      <c r="P45" s="198">
        <f t="shared" si="69"/>
        <v>750</v>
      </c>
      <c r="R45" s="38">
        <f t="shared" si="70"/>
        <v>6</v>
      </c>
      <c r="S45" s="38">
        <f t="shared" si="70"/>
        <v>8</v>
      </c>
      <c r="T45" s="39">
        <f t="shared" si="57"/>
        <v>0.39507743723572908</v>
      </c>
      <c r="U45" s="39">
        <f t="shared" si="58"/>
        <v>0.59082345962954208</v>
      </c>
      <c r="V45" s="39">
        <f t="shared" si="59"/>
        <v>0.195746022393813</v>
      </c>
      <c r="W45" s="39">
        <f t="shared" si="9"/>
        <v>0.22199739840022775</v>
      </c>
      <c r="X45" s="40">
        <f t="shared" si="60"/>
        <v>0.18499783200018979</v>
      </c>
      <c r="Y45" s="40" t="s">
        <v>21</v>
      </c>
      <c r="Z45" s="182">
        <f t="shared" si="62"/>
        <v>3.699956640003796</v>
      </c>
      <c r="AA45" s="182">
        <f t="shared" si="6"/>
        <v>0.61665944000063266</v>
      </c>
    </row>
    <row r="46" spans="1:27" s="182" customFormat="1" ht="15.75" thickBot="1" x14ac:dyDescent="0.3">
      <c r="A46" s="229">
        <f t="shared" si="11"/>
        <v>2748</v>
      </c>
      <c r="B46" s="230">
        <f t="shared" si="12"/>
        <v>36</v>
      </c>
      <c r="C46" s="218" t="str">
        <f t="shared" si="7"/>
        <v>24aX07-000_090_12</v>
      </c>
      <c r="D46" s="197">
        <f t="shared" si="63"/>
        <v>7</v>
      </c>
      <c r="E46" s="204">
        <f t="shared" si="54"/>
        <v>1.5190000000000001</v>
      </c>
      <c r="F46" s="198">
        <f t="shared" si="64"/>
        <v>21.700000000000003</v>
      </c>
      <c r="G46" s="198">
        <f t="shared" si="55"/>
        <v>17.360000000000003</v>
      </c>
      <c r="H46" s="198">
        <f t="shared" si="56"/>
        <v>10.850000000000001</v>
      </c>
      <c r="I46" s="198">
        <f t="shared" si="75"/>
        <v>8</v>
      </c>
      <c r="J46" s="199">
        <f t="shared" si="75"/>
        <v>0</v>
      </c>
      <c r="K46" s="194" t="str">
        <f>D46&amp;-12</f>
        <v>7-12</v>
      </c>
      <c r="L46" s="198">
        <f t="shared" si="76"/>
        <v>0.2</v>
      </c>
      <c r="M46" s="49">
        <v>90</v>
      </c>
      <c r="N46" s="198">
        <f t="shared" si="67"/>
        <v>150</v>
      </c>
      <c r="O46" s="198">
        <f t="shared" si="68"/>
        <v>160</v>
      </c>
      <c r="P46" s="198">
        <f t="shared" si="69"/>
        <v>750</v>
      </c>
      <c r="R46" s="38">
        <f t="shared" si="70"/>
        <v>6</v>
      </c>
      <c r="S46" s="38">
        <f t="shared" si="70"/>
        <v>8</v>
      </c>
      <c r="T46" s="39">
        <f t="shared" si="57"/>
        <v>0.39507743723572908</v>
      </c>
      <c r="U46" s="39">
        <f t="shared" si="58"/>
        <v>0.59082345962954208</v>
      </c>
      <c r="V46" s="39">
        <f t="shared" si="59"/>
        <v>0.195746022393813</v>
      </c>
      <c r="W46" s="39">
        <f t="shared" si="9"/>
        <v>0.22199739840022775</v>
      </c>
      <c r="X46" s="40">
        <f t="shared" si="60"/>
        <v>0.18499783200018979</v>
      </c>
      <c r="Y46" s="40" t="s">
        <v>21</v>
      </c>
      <c r="Z46" s="182">
        <f t="shared" si="62"/>
        <v>3.699956640003796</v>
      </c>
      <c r="AA46" s="182">
        <f t="shared" si="6"/>
        <v>0.61665944000063266</v>
      </c>
    </row>
    <row r="47" spans="1:27" s="182" customFormat="1" ht="15.75" thickBot="1" x14ac:dyDescent="0.3">
      <c r="A47" s="229">
        <f t="shared" si="11"/>
        <v>2749</v>
      </c>
      <c r="B47" s="230">
        <f t="shared" si="12"/>
        <v>37</v>
      </c>
      <c r="C47" s="218" t="str">
        <f t="shared" si="7"/>
        <v>24aX09-000_000_01</v>
      </c>
      <c r="D47" s="197">
        <f>D46+2</f>
        <v>9</v>
      </c>
      <c r="E47" s="204">
        <f t="shared" ref="E47:E58" si="77">I_ref*(0.75*D47+5.6)</f>
        <v>1.7290000000000001</v>
      </c>
      <c r="F47" s="198">
        <f>E47/D47*100</f>
        <v>19.211111111111112</v>
      </c>
      <c r="G47" s="198">
        <f t="shared" ref="G47:G58" si="78">m_ty*F47</f>
        <v>15.36888888888889</v>
      </c>
      <c r="H47" s="198">
        <f t="shared" ref="H47:H58" si="79">m_tz*F47</f>
        <v>9.6055555555555561</v>
      </c>
      <c r="I47" s="198">
        <f>inflow</f>
        <v>8</v>
      </c>
      <c r="J47" s="199">
        <f>yaw_null</f>
        <v>0</v>
      </c>
      <c r="K47" s="194" t="str">
        <f>D47&amp;-1</f>
        <v>9-1</v>
      </c>
      <c r="L47" s="198">
        <f>alpha_n</f>
        <v>0.2</v>
      </c>
      <c r="M47" s="49">
        <v>0</v>
      </c>
      <c r="N47" s="198">
        <f>t_out</f>
        <v>150</v>
      </c>
      <c r="O47" s="198">
        <f>trig_t</f>
        <v>160</v>
      </c>
      <c r="P47" s="198">
        <f>N47+T_s1</f>
        <v>750</v>
      </c>
      <c r="R47" s="38">
        <f>S46</f>
        <v>8</v>
      </c>
      <c r="S47" s="38">
        <f>R47+v_step</f>
        <v>10</v>
      </c>
      <c r="T47" s="39">
        <f t="shared" ref="T47:T58" si="80">IF(wpd="Rayleigh",1-EXP(-PI()*((R47/2/v_ave)^2)),IF(wpd="Weibull",1-EXP(-((R47/weibull_A)^weibull_K))))</f>
        <v>0.59082345962954208</v>
      </c>
      <c r="U47" s="39">
        <f t="shared" ref="U47:U58" si="81">IF(wpd="Rayleigh",1-EXP(-PI()*((S47/2/v_ave)^2)),IF(wpd="Weibull",1-EXP(-((S47/weibull_A)^weibull_K))))</f>
        <v>0.75247987857608445</v>
      </c>
      <c r="V47" s="39">
        <f t="shared" ref="V47:V58" si="82">U47-T47</f>
        <v>0.16165641894654237</v>
      </c>
      <c r="W47" s="39">
        <f t="shared" si="9"/>
        <v>0.18333605966526137</v>
      </c>
      <c r="X47" s="40">
        <f t="shared" ref="X47:X58" si="83">T_N4*W47/12</f>
        <v>0.15278004972105114</v>
      </c>
      <c r="Y47" s="40" t="s">
        <v>21</v>
      </c>
      <c r="Z47" s="182">
        <f>X47*20</f>
        <v>3.055600994421023</v>
      </c>
      <c r="AA47" s="182">
        <f t="shared" si="6"/>
        <v>0.50926683240350379</v>
      </c>
    </row>
    <row r="48" spans="1:27" s="182" customFormat="1" ht="15.75" thickBot="1" x14ac:dyDescent="0.3">
      <c r="A48" s="229">
        <f t="shared" si="11"/>
        <v>2750</v>
      </c>
      <c r="B48" s="230">
        <f t="shared" si="12"/>
        <v>38</v>
      </c>
      <c r="C48" s="218" t="str">
        <f t="shared" si="7"/>
        <v>24aX09-000_030_02</v>
      </c>
      <c r="D48" s="197">
        <f>D47</f>
        <v>9</v>
      </c>
      <c r="E48" s="204">
        <f t="shared" si="77"/>
        <v>1.7290000000000001</v>
      </c>
      <c r="F48" s="198">
        <f>E48/D48*100</f>
        <v>19.211111111111112</v>
      </c>
      <c r="G48" s="198">
        <f t="shared" si="78"/>
        <v>15.36888888888889</v>
      </c>
      <c r="H48" s="198">
        <f t="shared" si="79"/>
        <v>9.6055555555555561</v>
      </c>
      <c r="I48" s="198">
        <f>I47</f>
        <v>8</v>
      </c>
      <c r="J48" s="199">
        <f>J47</f>
        <v>0</v>
      </c>
      <c r="K48" s="194" t="str">
        <f>D48&amp;-2</f>
        <v>9-2</v>
      </c>
      <c r="L48" s="198">
        <f>L47</f>
        <v>0.2</v>
      </c>
      <c r="M48" s="49">
        <v>30</v>
      </c>
      <c r="N48" s="198">
        <f>N47</f>
        <v>150</v>
      </c>
      <c r="O48" s="198">
        <f>O47</f>
        <v>160</v>
      </c>
      <c r="P48" s="198">
        <f>P47</f>
        <v>750</v>
      </c>
      <c r="R48" s="38">
        <f>R47</f>
        <v>8</v>
      </c>
      <c r="S48" s="38">
        <f t="shared" ref="S48" si="84">S47</f>
        <v>10</v>
      </c>
      <c r="T48" s="39">
        <f t="shared" si="80"/>
        <v>0.59082345962954208</v>
      </c>
      <c r="U48" s="39">
        <f t="shared" si="81"/>
        <v>0.75247987857608445</v>
      </c>
      <c r="V48" s="39">
        <f t="shared" si="82"/>
        <v>0.16165641894654237</v>
      </c>
      <c r="W48" s="39">
        <f t="shared" si="9"/>
        <v>0.18333605966526137</v>
      </c>
      <c r="X48" s="40">
        <f t="shared" si="83"/>
        <v>0.15278004972105114</v>
      </c>
      <c r="Y48" s="40" t="s">
        <v>21</v>
      </c>
      <c r="Z48" s="182">
        <f t="shared" ref="Z48:Z59" si="85">X48*20</f>
        <v>3.055600994421023</v>
      </c>
      <c r="AA48" s="182">
        <f t="shared" si="6"/>
        <v>0.50926683240350379</v>
      </c>
    </row>
    <row r="49" spans="1:27" s="182" customFormat="1" ht="15.75" thickBot="1" x14ac:dyDescent="0.3">
      <c r="A49" s="229">
        <f t="shared" si="11"/>
        <v>2751</v>
      </c>
      <c r="B49" s="230">
        <f t="shared" si="12"/>
        <v>39</v>
      </c>
      <c r="C49" s="218" t="str">
        <f t="shared" si="7"/>
        <v>24aX09-000_060_03</v>
      </c>
      <c r="D49" s="197">
        <f t="shared" ref="D49:D58" si="86">D48</f>
        <v>9</v>
      </c>
      <c r="E49" s="204">
        <f t="shared" si="77"/>
        <v>1.7290000000000001</v>
      </c>
      <c r="F49" s="198">
        <f t="shared" ref="F49:F60" si="87">E49/D49*100</f>
        <v>19.211111111111112</v>
      </c>
      <c r="G49" s="198">
        <f t="shared" si="78"/>
        <v>15.36888888888889</v>
      </c>
      <c r="H49" s="198">
        <f t="shared" si="79"/>
        <v>9.6055555555555561</v>
      </c>
      <c r="I49" s="198">
        <f t="shared" ref="I49:J49" si="88">I48</f>
        <v>8</v>
      </c>
      <c r="J49" s="199">
        <f t="shared" si="88"/>
        <v>0</v>
      </c>
      <c r="K49" s="194" t="str">
        <f>D49&amp;-3</f>
        <v>9-3</v>
      </c>
      <c r="L49" s="198">
        <f t="shared" ref="L49:L52" si="89">L48</f>
        <v>0.2</v>
      </c>
      <c r="M49" s="49">
        <v>60</v>
      </c>
      <c r="N49" s="198">
        <f t="shared" ref="N49:N58" si="90">N48</f>
        <v>150</v>
      </c>
      <c r="O49" s="198">
        <f t="shared" ref="O49:O58" si="91">O48</f>
        <v>160</v>
      </c>
      <c r="P49" s="198">
        <f t="shared" ref="P49:P58" si="92">P48</f>
        <v>750</v>
      </c>
      <c r="R49" s="38">
        <f t="shared" ref="R49:S58" si="93">R48</f>
        <v>8</v>
      </c>
      <c r="S49" s="38">
        <f t="shared" si="93"/>
        <v>10</v>
      </c>
      <c r="T49" s="39">
        <f t="shared" si="80"/>
        <v>0.59082345962954208</v>
      </c>
      <c r="U49" s="39">
        <f t="shared" si="81"/>
        <v>0.75247987857608445</v>
      </c>
      <c r="V49" s="39">
        <f t="shared" si="82"/>
        <v>0.16165641894654237</v>
      </c>
      <c r="W49" s="39">
        <f t="shared" si="9"/>
        <v>0.18333605966526137</v>
      </c>
      <c r="X49" s="40">
        <f t="shared" si="83"/>
        <v>0.15278004972105114</v>
      </c>
      <c r="Y49" s="40" t="s">
        <v>21</v>
      </c>
      <c r="Z49" s="182">
        <f t="shared" si="85"/>
        <v>3.055600994421023</v>
      </c>
      <c r="AA49" s="182">
        <f t="shared" si="6"/>
        <v>0.50926683240350379</v>
      </c>
    </row>
    <row r="50" spans="1:27" s="182" customFormat="1" ht="15.75" thickBot="1" x14ac:dyDescent="0.3">
      <c r="A50" s="229">
        <f t="shared" si="11"/>
        <v>2752</v>
      </c>
      <c r="B50" s="230">
        <f t="shared" si="12"/>
        <v>40</v>
      </c>
      <c r="C50" s="218" t="str">
        <f t="shared" si="7"/>
        <v>24aX09-000_090_04</v>
      </c>
      <c r="D50" s="197">
        <f t="shared" si="86"/>
        <v>9</v>
      </c>
      <c r="E50" s="204">
        <f t="shared" si="77"/>
        <v>1.7290000000000001</v>
      </c>
      <c r="F50" s="198">
        <f t="shared" si="87"/>
        <v>19.211111111111112</v>
      </c>
      <c r="G50" s="198">
        <f t="shared" si="78"/>
        <v>15.36888888888889</v>
      </c>
      <c r="H50" s="198">
        <f t="shared" si="79"/>
        <v>9.6055555555555561</v>
      </c>
      <c r="I50" s="198">
        <f t="shared" ref="I50:J50" si="94">I49</f>
        <v>8</v>
      </c>
      <c r="J50" s="199">
        <f t="shared" si="94"/>
        <v>0</v>
      </c>
      <c r="K50" s="194" t="str">
        <f>D50&amp;-4</f>
        <v>9-4</v>
      </c>
      <c r="L50" s="198">
        <f t="shared" si="89"/>
        <v>0.2</v>
      </c>
      <c r="M50" s="49">
        <v>90</v>
      </c>
      <c r="N50" s="198">
        <f t="shared" si="90"/>
        <v>150</v>
      </c>
      <c r="O50" s="198">
        <f t="shared" si="91"/>
        <v>160</v>
      </c>
      <c r="P50" s="198">
        <f t="shared" si="92"/>
        <v>750</v>
      </c>
      <c r="R50" s="38">
        <f t="shared" si="93"/>
        <v>8</v>
      </c>
      <c r="S50" s="38">
        <f t="shared" si="93"/>
        <v>10</v>
      </c>
      <c r="T50" s="39">
        <f t="shared" si="80"/>
        <v>0.59082345962954208</v>
      </c>
      <c r="U50" s="39">
        <f t="shared" si="81"/>
        <v>0.75247987857608445</v>
      </c>
      <c r="V50" s="39">
        <f t="shared" si="82"/>
        <v>0.16165641894654237</v>
      </c>
      <c r="W50" s="39">
        <f t="shared" si="9"/>
        <v>0.18333605966526137</v>
      </c>
      <c r="X50" s="40">
        <f t="shared" si="83"/>
        <v>0.15278004972105114</v>
      </c>
      <c r="Y50" s="40" t="s">
        <v>21</v>
      </c>
      <c r="Z50" s="182">
        <f t="shared" si="85"/>
        <v>3.055600994421023</v>
      </c>
      <c r="AA50" s="182">
        <f t="shared" si="6"/>
        <v>0.50926683240350379</v>
      </c>
    </row>
    <row r="51" spans="1:27" s="182" customFormat="1" ht="15.75" thickBot="1" x14ac:dyDescent="0.3">
      <c r="A51" s="229">
        <f t="shared" si="11"/>
        <v>2753</v>
      </c>
      <c r="B51" s="230">
        <f t="shared" si="12"/>
        <v>41</v>
      </c>
      <c r="C51" s="218" t="str">
        <f t="shared" si="7"/>
        <v>24aX09-000_000_05</v>
      </c>
      <c r="D51" s="197">
        <f t="shared" si="86"/>
        <v>9</v>
      </c>
      <c r="E51" s="204">
        <f t="shared" si="77"/>
        <v>1.7290000000000001</v>
      </c>
      <c r="F51" s="198">
        <f t="shared" si="87"/>
        <v>19.211111111111112</v>
      </c>
      <c r="G51" s="198">
        <f t="shared" si="78"/>
        <v>15.36888888888889</v>
      </c>
      <c r="H51" s="198">
        <f t="shared" si="79"/>
        <v>9.6055555555555561</v>
      </c>
      <c r="I51" s="198">
        <f t="shared" ref="I51:J51" si="95">I50</f>
        <v>8</v>
      </c>
      <c r="J51" s="199">
        <f t="shared" si="95"/>
        <v>0</v>
      </c>
      <c r="K51" s="194" t="str">
        <f>D51&amp;-5</f>
        <v>9-5</v>
      </c>
      <c r="L51" s="198">
        <f t="shared" si="89"/>
        <v>0.2</v>
      </c>
      <c r="M51" s="49">
        <v>0</v>
      </c>
      <c r="N51" s="198">
        <f t="shared" si="90"/>
        <v>150</v>
      </c>
      <c r="O51" s="198">
        <f t="shared" si="91"/>
        <v>160</v>
      </c>
      <c r="P51" s="198">
        <f t="shared" si="92"/>
        <v>750</v>
      </c>
      <c r="R51" s="38">
        <f t="shared" si="93"/>
        <v>8</v>
      </c>
      <c r="S51" s="38">
        <f t="shared" si="93"/>
        <v>10</v>
      </c>
      <c r="T51" s="39">
        <f t="shared" si="80"/>
        <v>0.59082345962954208</v>
      </c>
      <c r="U51" s="39">
        <f t="shared" si="81"/>
        <v>0.75247987857608445</v>
      </c>
      <c r="V51" s="39">
        <f t="shared" si="82"/>
        <v>0.16165641894654237</v>
      </c>
      <c r="W51" s="39">
        <f t="shared" si="9"/>
        <v>0.18333605966526137</v>
      </c>
      <c r="X51" s="40">
        <f t="shared" si="83"/>
        <v>0.15278004972105114</v>
      </c>
      <c r="Y51" s="40" t="s">
        <v>21</v>
      </c>
      <c r="Z51" s="182">
        <f t="shared" si="85"/>
        <v>3.055600994421023</v>
      </c>
      <c r="AA51" s="182">
        <f t="shared" si="6"/>
        <v>0.50926683240350379</v>
      </c>
    </row>
    <row r="52" spans="1:27" s="182" customFormat="1" ht="15.75" thickBot="1" x14ac:dyDescent="0.3">
      <c r="A52" s="229">
        <f t="shared" si="11"/>
        <v>2754</v>
      </c>
      <c r="B52" s="230">
        <f t="shared" si="12"/>
        <v>42</v>
      </c>
      <c r="C52" s="218" t="str">
        <f t="shared" si="7"/>
        <v>24aX09-000_030_06</v>
      </c>
      <c r="D52" s="197">
        <f t="shared" si="86"/>
        <v>9</v>
      </c>
      <c r="E52" s="204">
        <f t="shared" si="77"/>
        <v>1.7290000000000001</v>
      </c>
      <c r="F52" s="198">
        <f t="shared" si="87"/>
        <v>19.211111111111112</v>
      </c>
      <c r="G52" s="198">
        <f t="shared" si="78"/>
        <v>15.36888888888889</v>
      </c>
      <c r="H52" s="198">
        <f t="shared" si="79"/>
        <v>9.6055555555555561</v>
      </c>
      <c r="I52" s="198">
        <f t="shared" ref="I52:J53" si="96">I51</f>
        <v>8</v>
      </c>
      <c r="J52" s="199">
        <f t="shared" si="96"/>
        <v>0</v>
      </c>
      <c r="K52" s="194" t="str">
        <f>D52&amp;-6</f>
        <v>9-6</v>
      </c>
      <c r="L52" s="198">
        <f t="shared" si="89"/>
        <v>0.2</v>
      </c>
      <c r="M52" s="49">
        <v>30</v>
      </c>
      <c r="N52" s="198">
        <f t="shared" si="90"/>
        <v>150</v>
      </c>
      <c r="O52" s="198">
        <f t="shared" si="91"/>
        <v>160</v>
      </c>
      <c r="P52" s="198">
        <f t="shared" si="92"/>
        <v>750</v>
      </c>
      <c r="R52" s="38">
        <f t="shared" si="93"/>
        <v>8</v>
      </c>
      <c r="S52" s="38">
        <f t="shared" si="93"/>
        <v>10</v>
      </c>
      <c r="T52" s="39">
        <f t="shared" si="80"/>
        <v>0.59082345962954208</v>
      </c>
      <c r="U52" s="39">
        <f t="shared" si="81"/>
        <v>0.75247987857608445</v>
      </c>
      <c r="V52" s="39">
        <f t="shared" si="82"/>
        <v>0.16165641894654237</v>
      </c>
      <c r="W52" s="39">
        <f t="shared" si="9"/>
        <v>0.18333605966526137</v>
      </c>
      <c r="X52" s="40">
        <f t="shared" si="83"/>
        <v>0.15278004972105114</v>
      </c>
      <c r="Y52" s="40" t="s">
        <v>21</v>
      </c>
      <c r="Z52" s="182">
        <f t="shared" si="85"/>
        <v>3.055600994421023</v>
      </c>
      <c r="AA52" s="182">
        <f t="shared" si="6"/>
        <v>0.50926683240350379</v>
      </c>
    </row>
    <row r="53" spans="1:27" s="182" customFormat="1" ht="15.75" thickBot="1" x14ac:dyDescent="0.3">
      <c r="A53" s="229">
        <f t="shared" si="11"/>
        <v>2755</v>
      </c>
      <c r="B53" s="230">
        <f t="shared" si="12"/>
        <v>43</v>
      </c>
      <c r="C53" s="218" t="str">
        <f t="shared" si="7"/>
        <v>24aX09-000_060_07</v>
      </c>
      <c r="D53" s="197">
        <f>D52</f>
        <v>9</v>
      </c>
      <c r="E53" s="204">
        <f t="shared" si="77"/>
        <v>1.7290000000000001</v>
      </c>
      <c r="F53" s="198">
        <f t="shared" si="87"/>
        <v>19.211111111111112</v>
      </c>
      <c r="G53" s="198">
        <f t="shared" si="78"/>
        <v>15.36888888888889</v>
      </c>
      <c r="H53" s="198">
        <f t="shared" si="79"/>
        <v>9.6055555555555561</v>
      </c>
      <c r="I53" s="198">
        <f>I52</f>
        <v>8</v>
      </c>
      <c r="J53" s="199">
        <f t="shared" si="96"/>
        <v>0</v>
      </c>
      <c r="K53" s="194" t="str">
        <f>D53&amp;-7</f>
        <v>9-7</v>
      </c>
      <c r="L53" s="198">
        <f>L52</f>
        <v>0.2</v>
      </c>
      <c r="M53" s="49">
        <v>60</v>
      </c>
      <c r="N53" s="198">
        <f t="shared" si="90"/>
        <v>150</v>
      </c>
      <c r="O53" s="198">
        <f t="shared" si="91"/>
        <v>160</v>
      </c>
      <c r="P53" s="198">
        <f t="shared" si="92"/>
        <v>750</v>
      </c>
      <c r="R53" s="38">
        <f t="shared" si="93"/>
        <v>8</v>
      </c>
      <c r="S53" s="38">
        <f t="shared" si="93"/>
        <v>10</v>
      </c>
      <c r="T53" s="39">
        <f t="shared" si="80"/>
        <v>0.59082345962954208</v>
      </c>
      <c r="U53" s="39">
        <f t="shared" si="81"/>
        <v>0.75247987857608445</v>
      </c>
      <c r="V53" s="39">
        <f t="shared" si="82"/>
        <v>0.16165641894654237</v>
      </c>
      <c r="W53" s="39">
        <f t="shared" si="9"/>
        <v>0.18333605966526137</v>
      </c>
      <c r="X53" s="40">
        <f t="shared" si="83"/>
        <v>0.15278004972105114</v>
      </c>
      <c r="Y53" s="40" t="s">
        <v>21</v>
      </c>
      <c r="Z53" s="182">
        <f t="shared" si="85"/>
        <v>3.055600994421023</v>
      </c>
      <c r="AA53" s="182">
        <f t="shared" si="6"/>
        <v>0.50926683240350379</v>
      </c>
    </row>
    <row r="54" spans="1:27" s="182" customFormat="1" ht="15.75" thickBot="1" x14ac:dyDescent="0.3">
      <c r="A54" s="229">
        <f t="shared" si="11"/>
        <v>2756</v>
      </c>
      <c r="B54" s="230">
        <f t="shared" si="12"/>
        <v>44</v>
      </c>
      <c r="C54" s="218" t="str">
        <f t="shared" si="7"/>
        <v>24aX09-000_090_08</v>
      </c>
      <c r="D54" s="197">
        <f t="shared" si="86"/>
        <v>9</v>
      </c>
      <c r="E54" s="204">
        <f t="shared" si="77"/>
        <v>1.7290000000000001</v>
      </c>
      <c r="F54" s="198">
        <f t="shared" si="87"/>
        <v>19.211111111111112</v>
      </c>
      <c r="G54" s="198">
        <f t="shared" si="78"/>
        <v>15.36888888888889</v>
      </c>
      <c r="H54" s="198">
        <f t="shared" si="79"/>
        <v>9.6055555555555561</v>
      </c>
      <c r="I54" s="198">
        <f t="shared" ref="I54:J54" si="97">I53</f>
        <v>8</v>
      </c>
      <c r="J54" s="199">
        <f t="shared" si="97"/>
        <v>0</v>
      </c>
      <c r="K54" s="194" t="str">
        <f>D54&amp;-8</f>
        <v>9-8</v>
      </c>
      <c r="L54" s="198">
        <f t="shared" ref="L54:L58" si="98">L53</f>
        <v>0.2</v>
      </c>
      <c r="M54" s="49">
        <v>90</v>
      </c>
      <c r="N54" s="198">
        <f t="shared" si="90"/>
        <v>150</v>
      </c>
      <c r="O54" s="198">
        <f t="shared" si="91"/>
        <v>160</v>
      </c>
      <c r="P54" s="198">
        <f t="shared" si="92"/>
        <v>750</v>
      </c>
      <c r="R54" s="38">
        <f t="shared" si="93"/>
        <v>8</v>
      </c>
      <c r="S54" s="38">
        <f t="shared" si="93"/>
        <v>10</v>
      </c>
      <c r="T54" s="39">
        <f t="shared" si="80"/>
        <v>0.59082345962954208</v>
      </c>
      <c r="U54" s="39">
        <f t="shared" si="81"/>
        <v>0.75247987857608445</v>
      </c>
      <c r="V54" s="39">
        <f t="shared" si="82"/>
        <v>0.16165641894654237</v>
      </c>
      <c r="W54" s="39">
        <f t="shared" si="9"/>
        <v>0.18333605966526137</v>
      </c>
      <c r="X54" s="40">
        <f t="shared" si="83"/>
        <v>0.15278004972105114</v>
      </c>
      <c r="Y54" s="40" t="s">
        <v>21</v>
      </c>
      <c r="Z54" s="182">
        <f t="shared" si="85"/>
        <v>3.055600994421023</v>
      </c>
      <c r="AA54" s="182">
        <f t="shared" si="6"/>
        <v>0.50926683240350379</v>
      </c>
    </row>
    <row r="55" spans="1:27" s="182" customFormat="1" ht="15.75" thickBot="1" x14ac:dyDescent="0.3">
      <c r="A55" s="229">
        <f t="shared" si="11"/>
        <v>2757</v>
      </c>
      <c r="B55" s="230">
        <f t="shared" si="12"/>
        <v>45</v>
      </c>
      <c r="C55" s="218" t="str">
        <f t="shared" si="7"/>
        <v>24aX09-000_000_09</v>
      </c>
      <c r="D55" s="197">
        <f t="shared" si="86"/>
        <v>9</v>
      </c>
      <c r="E55" s="204">
        <f t="shared" si="77"/>
        <v>1.7290000000000001</v>
      </c>
      <c r="F55" s="198">
        <f t="shared" si="87"/>
        <v>19.211111111111112</v>
      </c>
      <c r="G55" s="198">
        <f t="shared" si="78"/>
        <v>15.36888888888889</v>
      </c>
      <c r="H55" s="198">
        <f t="shared" si="79"/>
        <v>9.6055555555555561</v>
      </c>
      <c r="I55" s="198">
        <f t="shared" ref="I55:J55" si="99">I54</f>
        <v>8</v>
      </c>
      <c r="J55" s="199">
        <f t="shared" si="99"/>
        <v>0</v>
      </c>
      <c r="K55" s="194" t="str">
        <f>D55&amp;-9</f>
        <v>9-9</v>
      </c>
      <c r="L55" s="198">
        <f t="shared" si="98"/>
        <v>0.2</v>
      </c>
      <c r="M55" s="49">
        <v>0</v>
      </c>
      <c r="N55" s="198">
        <f t="shared" si="90"/>
        <v>150</v>
      </c>
      <c r="O55" s="198">
        <f t="shared" si="91"/>
        <v>160</v>
      </c>
      <c r="P55" s="198">
        <f t="shared" si="92"/>
        <v>750</v>
      </c>
      <c r="R55" s="38">
        <f t="shared" si="93"/>
        <v>8</v>
      </c>
      <c r="S55" s="38">
        <f t="shared" si="93"/>
        <v>10</v>
      </c>
      <c r="T55" s="39">
        <f t="shared" si="80"/>
        <v>0.59082345962954208</v>
      </c>
      <c r="U55" s="39">
        <f t="shared" si="81"/>
        <v>0.75247987857608445</v>
      </c>
      <c r="V55" s="39">
        <f t="shared" si="82"/>
        <v>0.16165641894654237</v>
      </c>
      <c r="W55" s="39">
        <f t="shared" si="9"/>
        <v>0.18333605966526137</v>
      </c>
      <c r="X55" s="40">
        <f t="shared" si="83"/>
        <v>0.15278004972105114</v>
      </c>
      <c r="Y55" s="40" t="s">
        <v>21</v>
      </c>
      <c r="Z55" s="182">
        <f t="shared" si="85"/>
        <v>3.055600994421023</v>
      </c>
      <c r="AA55" s="182">
        <f t="shared" si="6"/>
        <v>0.50926683240350379</v>
      </c>
    </row>
    <row r="56" spans="1:27" s="182" customFormat="1" ht="15.75" thickBot="1" x14ac:dyDescent="0.3">
      <c r="A56" s="229">
        <f t="shared" si="11"/>
        <v>2758</v>
      </c>
      <c r="B56" s="230">
        <f t="shared" si="12"/>
        <v>46</v>
      </c>
      <c r="C56" s="218" t="str">
        <f t="shared" si="7"/>
        <v>24aX09-000_030_10</v>
      </c>
      <c r="D56" s="197">
        <f t="shared" si="86"/>
        <v>9</v>
      </c>
      <c r="E56" s="204">
        <f t="shared" si="77"/>
        <v>1.7290000000000001</v>
      </c>
      <c r="F56" s="198">
        <f t="shared" si="87"/>
        <v>19.211111111111112</v>
      </c>
      <c r="G56" s="198">
        <f t="shared" si="78"/>
        <v>15.36888888888889</v>
      </c>
      <c r="H56" s="198">
        <f t="shared" si="79"/>
        <v>9.6055555555555561</v>
      </c>
      <c r="I56" s="198">
        <f t="shared" ref="I56:J56" si="100">I55</f>
        <v>8</v>
      </c>
      <c r="J56" s="199">
        <f t="shared" si="100"/>
        <v>0</v>
      </c>
      <c r="K56" s="194" t="str">
        <f>D56&amp;-10</f>
        <v>9-10</v>
      </c>
      <c r="L56" s="198">
        <f t="shared" si="98"/>
        <v>0.2</v>
      </c>
      <c r="M56" s="49">
        <v>30</v>
      </c>
      <c r="N56" s="198">
        <f t="shared" si="90"/>
        <v>150</v>
      </c>
      <c r="O56" s="198">
        <f t="shared" si="91"/>
        <v>160</v>
      </c>
      <c r="P56" s="198">
        <f t="shared" si="92"/>
        <v>750</v>
      </c>
      <c r="R56" s="38">
        <f t="shared" si="93"/>
        <v>8</v>
      </c>
      <c r="S56" s="38">
        <f t="shared" si="93"/>
        <v>10</v>
      </c>
      <c r="T56" s="39">
        <f t="shared" si="80"/>
        <v>0.59082345962954208</v>
      </c>
      <c r="U56" s="39">
        <f t="shared" si="81"/>
        <v>0.75247987857608445</v>
      </c>
      <c r="V56" s="39">
        <f t="shared" si="82"/>
        <v>0.16165641894654237</v>
      </c>
      <c r="W56" s="39">
        <f t="shared" si="9"/>
        <v>0.18333605966526137</v>
      </c>
      <c r="X56" s="40">
        <f t="shared" si="83"/>
        <v>0.15278004972105114</v>
      </c>
      <c r="Y56" s="40" t="s">
        <v>21</v>
      </c>
      <c r="Z56" s="182">
        <f t="shared" si="85"/>
        <v>3.055600994421023</v>
      </c>
      <c r="AA56" s="182">
        <f t="shared" si="6"/>
        <v>0.50926683240350379</v>
      </c>
    </row>
    <row r="57" spans="1:27" s="182" customFormat="1" ht="15.75" thickBot="1" x14ac:dyDescent="0.3">
      <c r="A57" s="229">
        <f t="shared" si="11"/>
        <v>2759</v>
      </c>
      <c r="B57" s="230">
        <f t="shared" si="12"/>
        <v>47</v>
      </c>
      <c r="C57" s="218" t="str">
        <f t="shared" si="7"/>
        <v>24aX09-000_060_11</v>
      </c>
      <c r="D57" s="197">
        <f t="shared" si="86"/>
        <v>9</v>
      </c>
      <c r="E57" s="204">
        <f t="shared" si="77"/>
        <v>1.7290000000000001</v>
      </c>
      <c r="F57" s="198">
        <f t="shared" si="87"/>
        <v>19.211111111111112</v>
      </c>
      <c r="G57" s="198">
        <f t="shared" si="78"/>
        <v>15.36888888888889</v>
      </c>
      <c r="H57" s="198">
        <f t="shared" si="79"/>
        <v>9.6055555555555561</v>
      </c>
      <c r="I57" s="198">
        <f t="shared" ref="I57:J57" si="101">I56</f>
        <v>8</v>
      </c>
      <c r="J57" s="199">
        <f t="shared" si="101"/>
        <v>0</v>
      </c>
      <c r="K57" s="194" t="str">
        <f>D57&amp;-11</f>
        <v>9-11</v>
      </c>
      <c r="L57" s="198">
        <f t="shared" si="98"/>
        <v>0.2</v>
      </c>
      <c r="M57" s="49">
        <v>60</v>
      </c>
      <c r="N57" s="198">
        <f t="shared" si="90"/>
        <v>150</v>
      </c>
      <c r="O57" s="198">
        <f t="shared" si="91"/>
        <v>160</v>
      </c>
      <c r="P57" s="198">
        <f t="shared" si="92"/>
        <v>750</v>
      </c>
      <c r="R57" s="38">
        <f t="shared" si="93"/>
        <v>8</v>
      </c>
      <c r="S57" s="38">
        <f t="shared" si="93"/>
        <v>10</v>
      </c>
      <c r="T57" s="39">
        <f t="shared" si="80"/>
        <v>0.59082345962954208</v>
      </c>
      <c r="U57" s="39">
        <f t="shared" si="81"/>
        <v>0.75247987857608445</v>
      </c>
      <c r="V57" s="39">
        <f t="shared" si="82"/>
        <v>0.16165641894654237</v>
      </c>
      <c r="W57" s="39">
        <f t="shared" si="9"/>
        <v>0.18333605966526137</v>
      </c>
      <c r="X57" s="40">
        <f t="shared" si="83"/>
        <v>0.15278004972105114</v>
      </c>
      <c r="Y57" s="40" t="s">
        <v>21</v>
      </c>
      <c r="Z57" s="182">
        <f t="shared" si="85"/>
        <v>3.055600994421023</v>
      </c>
      <c r="AA57" s="182">
        <f t="shared" si="6"/>
        <v>0.50926683240350379</v>
      </c>
    </row>
    <row r="58" spans="1:27" s="182" customFormat="1" ht="15.75" thickBot="1" x14ac:dyDescent="0.3">
      <c r="A58" s="229">
        <f t="shared" si="11"/>
        <v>2760</v>
      </c>
      <c r="B58" s="230">
        <f t="shared" si="12"/>
        <v>48</v>
      </c>
      <c r="C58" s="218" t="str">
        <f t="shared" si="7"/>
        <v>24aX09-000_090_12</v>
      </c>
      <c r="D58" s="197">
        <f t="shared" si="86"/>
        <v>9</v>
      </c>
      <c r="E58" s="204">
        <f t="shared" si="77"/>
        <v>1.7290000000000001</v>
      </c>
      <c r="F58" s="198">
        <f t="shared" si="87"/>
        <v>19.211111111111112</v>
      </c>
      <c r="G58" s="198">
        <f t="shared" si="78"/>
        <v>15.36888888888889</v>
      </c>
      <c r="H58" s="198">
        <f t="shared" si="79"/>
        <v>9.6055555555555561</v>
      </c>
      <c r="I58" s="198">
        <f t="shared" ref="I58:J58" si="102">I57</f>
        <v>8</v>
      </c>
      <c r="J58" s="199">
        <f t="shared" si="102"/>
        <v>0</v>
      </c>
      <c r="K58" s="194" t="str">
        <f>D58&amp;-12</f>
        <v>9-12</v>
      </c>
      <c r="L58" s="198">
        <f t="shared" si="98"/>
        <v>0.2</v>
      </c>
      <c r="M58" s="49">
        <v>90</v>
      </c>
      <c r="N58" s="198">
        <f t="shared" si="90"/>
        <v>150</v>
      </c>
      <c r="O58" s="198">
        <f t="shared" si="91"/>
        <v>160</v>
      </c>
      <c r="P58" s="198">
        <f t="shared" si="92"/>
        <v>750</v>
      </c>
      <c r="R58" s="38">
        <f t="shared" si="93"/>
        <v>8</v>
      </c>
      <c r="S58" s="38">
        <f t="shared" si="93"/>
        <v>10</v>
      </c>
      <c r="T58" s="39">
        <f t="shared" si="80"/>
        <v>0.59082345962954208</v>
      </c>
      <c r="U58" s="39">
        <f t="shared" si="81"/>
        <v>0.75247987857608445</v>
      </c>
      <c r="V58" s="39">
        <f t="shared" si="82"/>
        <v>0.16165641894654237</v>
      </c>
      <c r="W58" s="39">
        <f t="shared" si="9"/>
        <v>0.18333605966526137</v>
      </c>
      <c r="X58" s="40">
        <f t="shared" si="83"/>
        <v>0.15278004972105114</v>
      </c>
      <c r="Y58" s="40" t="s">
        <v>21</v>
      </c>
      <c r="Z58" s="182">
        <f t="shared" si="85"/>
        <v>3.055600994421023</v>
      </c>
      <c r="AA58" s="182">
        <f t="shared" si="6"/>
        <v>0.50926683240350379</v>
      </c>
    </row>
    <row r="59" spans="1:27" ht="15.75" thickBot="1" x14ac:dyDescent="0.3">
      <c r="A59" s="229">
        <f t="shared" si="11"/>
        <v>2761</v>
      </c>
      <c r="B59" s="230">
        <f t="shared" si="12"/>
        <v>49</v>
      </c>
      <c r="C59" s="218" t="str">
        <f t="shared" si="7"/>
        <v>24aX11-000_000_01</v>
      </c>
      <c r="D59" s="231">
        <f t="shared" ref="D59" si="103">D58+2</f>
        <v>11</v>
      </c>
      <c r="E59" s="239">
        <f t="shared" ref="E59:E122" si="104">I_ref*(0.75*D59+5.6)</f>
        <v>1.9390000000000001</v>
      </c>
      <c r="F59" s="232">
        <f t="shared" si="87"/>
        <v>17.627272727272729</v>
      </c>
      <c r="G59" s="232">
        <f t="shared" ref="G59:G122" si="105">m_ty*F59</f>
        <v>14.101818181818183</v>
      </c>
      <c r="H59" s="232">
        <f t="shared" ref="H59:H122" si="106">m_tz*F59</f>
        <v>8.8136363636363644</v>
      </c>
      <c r="I59" s="232">
        <f>inflow</f>
        <v>8</v>
      </c>
      <c r="J59" s="233">
        <f>yaw_null</f>
        <v>0</v>
      </c>
      <c r="K59" s="228" t="str">
        <f t="shared" ref="K59" si="107">D59&amp;-1</f>
        <v>11-1</v>
      </c>
      <c r="L59" s="232">
        <f>alpha_n</f>
        <v>0.2</v>
      </c>
      <c r="M59" s="235">
        <v>0</v>
      </c>
      <c r="N59" s="232">
        <f>t_out</f>
        <v>150</v>
      </c>
      <c r="O59" s="232">
        <f>trig_t</f>
        <v>160</v>
      </c>
      <c r="P59" s="232">
        <f>N59+T_s1</f>
        <v>750</v>
      </c>
      <c r="Q59" s="217"/>
      <c r="R59" s="38">
        <f t="shared" ref="R59" si="108">S58</f>
        <v>10</v>
      </c>
      <c r="S59" s="38">
        <f>R59+v_step</f>
        <v>12</v>
      </c>
      <c r="T59" s="39">
        <f t="shared" ref="T59:T122" si="109">IF(wpd="Rayleigh",1-EXP(-PI()*((R59/2/v_ave)^2)),IF(wpd="Weibull",1-EXP(-((R59/weibull_A)^weibull_K))))</f>
        <v>0.75247987857608445</v>
      </c>
      <c r="U59" s="39">
        <f t="shared" ref="U59:U122" si="110">IF(wpd="Rayleigh",1-EXP(-PI()*((S59/2/v_ave)^2)),IF(wpd="Weibull",1-EXP(-((S59/weibull_A)^weibull_K))))</f>
        <v>0.86609427860023702</v>
      </c>
      <c r="V59" s="39">
        <f t="shared" ref="V59:V122" si="111">U59-T59</f>
        <v>0.11361440002415257</v>
      </c>
      <c r="W59" s="39">
        <f t="shared" si="9"/>
        <v>0.12885115578707076</v>
      </c>
      <c r="X59" s="40">
        <f t="shared" ref="X59:X122" si="112">T_N4*W59/12</f>
        <v>0.1073759631558923</v>
      </c>
      <c r="Y59" s="40" t="s">
        <v>21</v>
      </c>
      <c r="Z59" s="217">
        <f t="shared" si="85"/>
        <v>2.1475192631178461</v>
      </c>
      <c r="AA59" s="217">
        <f t="shared" ref="AA59:AA122" si="113">Z59*(P59-N59)/3600</f>
        <v>0.35791987718630769</v>
      </c>
    </row>
    <row r="60" spans="1:27" ht="15.75" thickBot="1" x14ac:dyDescent="0.3">
      <c r="A60" s="229">
        <f t="shared" si="11"/>
        <v>2762</v>
      </c>
      <c r="B60" s="230">
        <f t="shared" si="12"/>
        <v>50</v>
      </c>
      <c r="C60" s="218" t="str">
        <f t="shared" si="7"/>
        <v>24aX11-000_030_02</v>
      </c>
      <c r="D60" s="231">
        <f t="shared" ref="D60:D123" si="114">D59</f>
        <v>11</v>
      </c>
      <c r="E60" s="239">
        <f t="shared" si="104"/>
        <v>1.9390000000000001</v>
      </c>
      <c r="F60" s="232">
        <f t="shared" si="87"/>
        <v>17.627272727272729</v>
      </c>
      <c r="G60" s="232">
        <f t="shared" si="105"/>
        <v>14.101818181818183</v>
      </c>
      <c r="H60" s="232">
        <f t="shared" si="106"/>
        <v>8.8136363636363644</v>
      </c>
      <c r="I60" s="232">
        <f t="shared" ref="I60" si="115">I59</f>
        <v>8</v>
      </c>
      <c r="J60" s="233">
        <f t="shared" ref="J60" si="116">J59</f>
        <v>0</v>
      </c>
      <c r="K60" s="228" t="str">
        <f t="shared" ref="K60" si="117">D60&amp;-2</f>
        <v>11-2</v>
      </c>
      <c r="L60" s="232">
        <f t="shared" ref="L60:L123" si="118">L59</f>
        <v>0.2</v>
      </c>
      <c r="M60" s="235">
        <v>30</v>
      </c>
      <c r="N60" s="232">
        <f t="shared" ref="N60:N123" si="119">N59</f>
        <v>150</v>
      </c>
      <c r="O60" s="232">
        <f t="shared" ref="O60:O123" si="120">O59</f>
        <v>160</v>
      </c>
      <c r="P60" s="232">
        <f t="shared" ref="P60:P123" si="121">P59</f>
        <v>750</v>
      </c>
      <c r="Q60" s="217"/>
      <c r="R60" s="38">
        <f t="shared" ref="R60:S123" si="122">R59</f>
        <v>10</v>
      </c>
      <c r="S60" s="38">
        <f t="shared" ref="S60" si="123">S59</f>
        <v>12</v>
      </c>
      <c r="T60" s="39">
        <f t="shared" si="109"/>
        <v>0.75247987857608445</v>
      </c>
      <c r="U60" s="39">
        <f t="shared" si="110"/>
        <v>0.86609427860023702</v>
      </c>
      <c r="V60" s="39">
        <f t="shared" si="111"/>
        <v>0.11361440002415257</v>
      </c>
      <c r="W60" s="39">
        <f t="shared" si="9"/>
        <v>0.12885115578707076</v>
      </c>
      <c r="X60" s="40">
        <f t="shared" si="112"/>
        <v>0.1073759631558923</v>
      </c>
      <c r="Y60" s="40" t="s">
        <v>21</v>
      </c>
      <c r="Z60" s="217">
        <f t="shared" ref="Z60:Z123" si="124">X60*20</f>
        <v>2.1475192631178461</v>
      </c>
      <c r="AA60" s="217">
        <f t="shared" si="113"/>
        <v>0.35791987718630769</v>
      </c>
    </row>
    <row r="61" spans="1:27" ht="15.75" thickBot="1" x14ac:dyDescent="0.3">
      <c r="A61" s="229">
        <f t="shared" si="11"/>
        <v>2763</v>
      </c>
      <c r="B61" s="230">
        <f t="shared" si="12"/>
        <v>51</v>
      </c>
      <c r="C61" s="218" t="str">
        <f t="shared" si="7"/>
        <v>24aX11-000_060_03</v>
      </c>
      <c r="D61" s="231">
        <f t="shared" si="114"/>
        <v>11</v>
      </c>
      <c r="E61" s="239">
        <f t="shared" si="104"/>
        <v>1.9390000000000001</v>
      </c>
      <c r="F61" s="232">
        <f t="shared" ref="F61:F124" si="125">E61/D61*100</f>
        <v>17.627272727272729</v>
      </c>
      <c r="G61" s="232">
        <f t="shared" si="105"/>
        <v>14.101818181818183</v>
      </c>
      <c r="H61" s="232">
        <f t="shared" si="106"/>
        <v>8.8136363636363644</v>
      </c>
      <c r="I61" s="232">
        <f t="shared" ref="I61:J61" si="126">I60</f>
        <v>8</v>
      </c>
      <c r="J61" s="233">
        <f t="shared" si="126"/>
        <v>0</v>
      </c>
      <c r="K61" s="228" t="str">
        <f t="shared" ref="K61" si="127">D61&amp;-3</f>
        <v>11-3</v>
      </c>
      <c r="L61" s="232">
        <f t="shared" si="118"/>
        <v>0.2</v>
      </c>
      <c r="M61" s="235">
        <v>60</v>
      </c>
      <c r="N61" s="232">
        <f t="shared" si="119"/>
        <v>150</v>
      </c>
      <c r="O61" s="232">
        <f t="shared" si="120"/>
        <v>160</v>
      </c>
      <c r="P61" s="232">
        <f t="shared" si="121"/>
        <v>750</v>
      </c>
      <c r="Q61" s="217"/>
      <c r="R61" s="38">
        <f t="shared" si="122"/>
        <v>10</v>
      </c>
      <c r="S61" s="38">
        <f t="shared" si="122"/>
        <v>12</v>
      </c>
      <c r="T61" s="39">
        <f t="shared" si="109"/>
        <v>0.75247987857608445</v>
      </c>
      <c r="U61" s="39">
        <f t="shared" si="110"/>
        <v>0.86609427860023702</v>
      </c>
      <c r="V61" s="39">
        <f t="shared" si="111"/>
        <v>0.11361440002415257</v>
      </c>
      <c r="W61" s="39">
        <f t="shared" si="9"/>
        <v>0.12885115578707076</v>
      </c>
      <c r="X61" s="40">
        <f t="shared" si="112"/>
        <v>0.1073759631558923</v>
      </c>
      <c r="Y61" s="40" t="s">
        <v>21</v>
      </c>
      <c r="Z61" s="217">
        <f t="shared" si="124"/>
        <v>2.1475192631178461</v>
      </c>
      <c r="AA61" s="217">
        <f t="shared" si="113"/>
        <v>0.35791987718630769</v>
      </c>
    </row>
    <row r="62" spans="1:27" ht="15.75" thickBot="1" x14ac:dyDescent="0.3">
      <c r="A62" s="229">
        <f t="shared" si="11"/>
        <v>2764</v>
      </c>
      <c r="B62" s="230">
        <f t="shared" si="12"/>
        <v>52</v>
      </c>
      <c r="C62" s="218" t="str">
        <f t="shared" si="7"/>
        <v>24aX11-000_090_04</v>
      </c>
      <c r="D62" s="231">
        <f t="shared" si="114"/>
        <v>11</v>
      </c>
      <c r="E62" s="239">
        <f t="shared" si="104"/>
        <v>1.9390000000000001</v>
      </c>
      <c r="F62" s="232">
        <f t="shared" si="125"/>
        <v>17.627272727272729</v>
      </c>
      <c r="G62" s="232">
        <f t="shared" si="105"/>
        <v>14.101818181818183</v>
      </c>
      <c r="H62" s="232">
        <f t="shared" si="106"/>
        <v>8.8136363636363644</v>
      </c>
      <c r="I62" s="232">
        <f t="shared" ref="I62:J62" si="128">I61</f>
        <v>8</v>
      </c>
      <c r="J62" s="233">
        <f t="shared" si="128"/>
        <v>0</v>
      </c>
      <c r="K62" s="228" t="str">
        <f t="shared" ref="K62" si="129">D62&amp;-4</f>
        <v>11-4</v>
      </c>
      <c r="L62" s="232">
        <f t="shared" si="118"/>
        <v>0.2</v>
      </c>
      <c r="M62" s="235">
        <v>90</v>
      </c>
      <c r="N62" s="232">
        <f t="shared" si="119"/>
        <v>150</v>
      </c>
      <c r="O62" s="232">
        <f t="shared" si="120"/>
        <v>160</v>
      </c>
      <c r="P62" s="232">
        <f t="shared" si="121"/>
        <v>750</v>
      </c>
      <c r="Q62" s="217"/>
      <c r="R62" s="38">
        <f t="shared" si="122"/>
        <v>10</v>
      </c>
      <c r="S62" s="38">
        <f t="shared" si="122"/>
        <v>12</v>
      </c>
      <c r="T62" s="39">
        <f t="shared" si="109"/>
        <v>0.75247987857608445</v>
      </c>
      <c r="U62" s="39">
        <f t="shared" si="110"/>
        <v>0.86609427860023702</v>
      </c>
      <c r="V62" s="39">
        <f t="shared" si="111"/>
        <v>0.11361440002415257</v>
      </c>
      <c r="W62" s="39">
        <f t="shared" si="9"/>
        <v>0.12885115578707076</v>
      </c>
      <c r="X62" s="40">
        <f t="shared" si="112"/>
        <v>0.1073759631558923</v>
      </c>
      <c r="Y62" s="40" t="s">
        <v>21</v>
      </c>
      <c r="Z62" s="217">
        <f t="shared" si="124"/>
        <v>2.1475192631178461</v>
      </c>
      <c r="AA62" s="217">
        <f t="shared" si="113"/>
        <v>0.35791987718630769</v>
      </c>
    </row>
    <row r="63" spans="1:27" ht="15.75" thickBot="1" x14ac:dyDescent="0.3">
      <c r="A63" s="229">
        <f t="shared" si="11"/>
        <v>2765</v>
      </c>
      <c r="B63" s="230">
        <f t="shared" si="12"/>
        <v>53</v>
      </c>
      <c r="C63" s="218" t="str">
        <f t="shared" si="7"/>
        <v>24aX11-000_000_05</v>
      </c>
      <c r="D63" s="231">
        <f t="shared" si="114"/>
        <v>11</v>
      </c>
      <c r="E63" s="239">
        <f t="shared" si="104"/>
        <v>1.9390000000000001</v>
      </c>
      <c r="F63" s="232">
        <f t="shared" si="125"/>
        <v>17.627272727272729</v>
      </c>
      <c r="G63" s="232">
        <f t="shared" si="105"/>
        <v>14.101818181818183</v>
      </c>
      <c r="H63" s="232">
        <f t="shared" si="106"/>
        <v>8.8136363636363644</v>
      </c>
      <c r="I63" s="232">
        <f t="shared" ref="I63:J63" si="130">I62</f>
        <v>8</v>
      </c>
      <c r="J63" s="233">
        <f t="shared" si="130"/>
        <v>0</v>
      </c>
      <c r="K63" s="228" t="str">
        <f t="shared" ref="K63" si="131">D63&amp;-5</f>
        <v>11-5</v>
      </c>
      <c r="L63" s="232">
        <f t="shared" si="118"/>
        <v>0.2</v>
      </c>
      <c r="M63" s="235">
        <v>0</v>
      </c>
      <c r="N63" s="232">
        <f t="shared" si="119"/>
        <v>150</v>
      </c>
      <c r="O63" s="232">
        <f t="shared" si="120"/>
        <v>160</v>
      </c>
      <c r="P63" s="232">
        <f t="shared" si="121"/>
        <v>750</v>
      </c>
      <c r="Q63" s="217"/>
      <c r="R63" s="38">
        <f t="shared" si="122"/>
        <v>10</v>
      </c>
      <c r="S63" s="38">
        <f t="shared" si="122"/>
        <v>12</v>
      </c>
      <c r="T63" s="39">
        <f t="shared" si="109"/>
        <v>0.75247987857608445</v>
      </c>
      <c r="U63" s="39">
        <f t="shared" si="110"/>
        <v>0.86609427860023702</v>
      </c>
      <c r="V63" s="39">
        <f t="shared" si="111"/>
        <v>0.11361440002415257</v>
      </c>
      <c r="W63" s="39">
        <f t="shared" si="9"/>
        <v>0.12885115578707076</v>
      </c>
      <c r="X63" s="40">
        <f t="shared" si="112"/>
        <v>0.1073759631558923</v>
      </c>
      <c r="Y63" s="40" t="s">
        <v>21</v>
      </c>
      <c r="Z63" s="217">
        <f t="shared" si="124"/>
        <v>2.1475192631178461</v>
      </c>
      <c r="AA63" s="217">
        <f t="shared" si="113"/>
        <v>0.35791987718630769</v>
      </c>
    </row>
    <row r="64" spans="1:27" ht="15.75" thickBot="1" x14ac:dyDescent="0.3">
      <c r="A64" s="229">
        <f t="shared" si="11"/>
        <v>2766</v>
      </c>
      <c r="B64" s="230">
        <f t="shared" si="12"/>
        <v>54</v>
      </c>
      <c r="C64" s="218" t="str">
        <f t="shared" si="7"/>
        <v>24aX11-000_030_06</v>
      </c>
      <c r="D64" s="231">
        <f t="shared" si="114"/>
        <v>11</v>
      </c>
      <c r="E64" s="239">
        <f t="shared" si="104"/>
        <v>1.9390000000000001</v>
      </c>
      <c r="F64" s="232">
        <f t="shared" si="125"/>
        <v>17.627272727272729</v>
      </c>
      <c r="G64" s="232">
        <f t="shared" si="105"/>
        <v>14.101818181818183</v>
      </c>
      <c r="H64" s="232">
        <f t="shared" si="106"/>
        <v>8.8136363636363644</v>
      </c>
      <c r="I64" s="232">
        <f t="shared" ref="I64:J64" si="132">I63</f>
        <v>8</v>
      </c>
      <c r="J64" s="233">
        <f t="shared" si="132"/>
        <v>0</v>
      </c>
      <c r="K64" s="228" t="str">
        <f t="shared" ref="K64" si="133">D64&amp;-6</f>
        <v>11-6</v>
      </c>
      <c r="L64" s="232">
        <f t="shared" si="118"/>
        <v>0.2</v>
      </c>
      <c r="M64" s="235">
        <v>30</v>
      </c>
      <c r="N64" s="232">
        <f t="shared" si="119"/>
        <v>150</v>
      </c>
      <c r="O64" s="232">
        <f t="shared" si="120"/>
        <v>160</v>
      </c>
      <c r="P64" s="232">
        <f t="shared" si="121"/>
        <v>750</v>
      </c>
      <c r="Q64" s="217"/>
      <c r="R64" s="38">
        <f t="shared" si="122"/>
        <v>10</v>
      </c>
      <c r="S64" s="38">
        <f t="shared" si="122"/>
        <v>12</v>
      </c>
      <c r="T64" s="39">
        <f t="shared" si="109"/>
        <v>0.75247987857608445</v>
      </c>
      <c r="U64" s="39">
        <f t="shared" si="110"/>
        <v>0.86609427860023702</v>
      </c>
      <c r="V64" s="39">
        <f t="shared" si="111"/>
        <v>0.11361440002415257</v>
      </c>
      <c r="W64" s="39">
        <f t="shared" si="9"/>
        <v>0.12885115578707076</v>
      </c>
      <c r="X64" s="40">
        <f t="shared" si="112"/>
        <v>0.1073759631558923</v>
      </c>
      <c r="Y64" s="40" t="s">
        <v>21</v>
      </c>
      <c r="Z64" s="217">
        <f t="shared" si="124"/>
        <v>2.1475192631178461</v>
      </c>
      <c r="AA64" s="217">
        <f t="shared" si="113"/>
        <v>0.35791987718630769</v>
      </c>
    </row>
    <row r="65" spans="1:27" ht="15.75" thickBot="1" x14ac:dyDescent="0.3">
      <c r="A65" s="229">
        <f t="shared" si="11"/>
        <v>2767</v>
      </c>
      <c r="B65" s="230">
        <f t="shared" si="12"/>
        <v>55</v>
      </c>
      <c r="C65" s="218" t="str">
        <f t="shared" si="7"/>
        <v>24aX11-000_060_07</v>
      </c>
      <c r="D65" s="231">
        <f t="shared" si="114"/>
        <v>11</v>
      </c>
      <c r="E65" s="239">
        <f t="shared" si="104"/>
        <v>1.9390000000000001</v>
      </c>
      <c r="F65" s="232">
        <f t="shared" si="125"/>
        <v>17.627272727272729</v>
      </c>
      <c r="G65" s="232">
        <f t="shared" si="105"/>
        <v>14.101818181818183</v>
      </c>
      <c r="H65" s="232">
        <f t="shared" si="106"/>
        <v>8.8136363636363644</v>
      </c>
      <c r="I65" s="232">
        <f t="shared" ref="I65:J65" si="134">I64</f>
        <v>8</v>
      </c>
      <c r="J65" s="233">
        <f t="shared" si="134"/>
        <v>0</v>
      </c>
      <c r="K65" s="228" t="str">
        <f t="shared" ref="K65" si="135">D65&amp;-7</f>
        <v>11-7</v>
      </c>
      <c r="L65" s="232">
        <f t="shared" si="118"/>
        <v>0.2</v>
      </c>
      <c r="M65" s="235">
        <v>60</v>
      </c>
      <c r="N65" s="232">
        <f t="shared" si="119"/>
        <v>150</v>
      </c>
      <c r="O65" s="232">
        <f t="shared" si="120"/>
        <v>160</v>
      </c>
      <c r="P65" s="232">
        <f t="shared" si="121"/>
        <v>750</v>
      </c>
      <c r="Q65" s="217"/>
      <c r="R65" s="38">
        <f t="shared" si="122"/>
        <v>10</v>
      </c>
      <c r="S65" s="38">
        <f t="shared" si="122"/>
        <v>12</v>
      </c>
      <c r="T65" s="39">
        <f t="shared" si="109"/>
        <v>0.75247987857608445</v>
      </c>
      <c r="U65" s="39">
        <f t="shared" si="110"/>
        <v>0.86609427860023702</v>
      </c>
      <c r="V65" s="39">
        <f t="shared" si="111"/>
        <v>0.11361440002415257</v>
      </c>
      <c r="W65" s="39">
        <f t="shared" si="9"/>
        <v>0.12885115578707076</v>
      </c>
      <c r="X65" s="40">
        <f t="shared" si="112"/>
        <v>0.1073759631558923</v>
      </c>
      <c r="Y65" s="40" t="s">
        <v>21</v>
      </c>
      <c r="Z65" s="217">
        <f t="shared" si="124"/>
        <v>2.1475192631178461</v>
      </c>
      <c r="AA65" s="217">
        <f t="shared" si="113"/>
        <v>0.35791987718630769</v>
      </c>
    </row>
    <row r="66" spans="1:27" ht="15.75" thickBot="1" x14ac:dyDescent="0.3">
      <c r="A66" s="229">
        <f t="shared" si="11"/>
        <v>2768</v>
      </c>
      <c r="B66" s="230">
        <f t="shared" si="12"/>
        <v>56</v>
      </c>
      <c r="C66" s="218" t="str">
        <f t="shared" si="7"/>
        <v>24aX11-000_090_08</v>
      </c>
      <c r="D66" s="231">
        <f t="shared" si="114"/>
        <v>11</v>
      </c>
      <c r="E66" s="239">
        <f t="shared" si="104"/>
        <v>1.9390000000000001</v>
      </c>
      <c r="F66" s="232">
        <f t="shared" si="125"/>
        <v>17.627272727272729</v>
      </c>
      <c r="G66" s="232">
        <f t="shared" si="105"/>
        <v>14.101818181818183</v>
      </c>
      <c r="H66" s="232">
        <f t="shared" si="106"/>
        <v>8.8136363636363644</v>
      </c>
      <c r="I66" s="232">
        <f t="shared" ref="I66:J66" si="136">I65</f>
        <v>8</v>
      </c>
      <c r="J66" s="233">
        <f t="shared" si="136"/>
        <v>0</v>
      </c>
      <c r="K66" s="228" t="str">
        <f t="shared" ref="K66" si="137">D66&amp;-8</f>
        <v>11-8</v>
      </c>
      <c r="L66" s="232">
        <f t="shared" si="118"/>
        <v>0.2</v>
      </c>
      <c r="M66" s="235">
        <v>90</v>
      </c>
      <c r="N66" s="232">
        <f t="shared" si="119"/>
        <v>150</v>
      </c>
      <c r="O66" s="232">
        <f t="shared" si="120"/>
        <v>160</v>
      </c>
      <c r="P66" s="232">
        <f t="shared" si="121"/>
        <v>750</v>
      </c>
      <c r="Q66" s="217"/>
      <c r="R66" s="38">
        <f t="shared" si="122"/>
        <v>10</v>
      </c>
      <c r="S66" s="38">
        <f t="shared" si="122"/>
        <v>12</v>
      </c>
      <c r="T66" s="39">
        <f t="shared" si="109"/>
        <v>0.75247987857608445</v>
      </c>
      <c r="U66" s="39">
        <f t="shared" si="110"/>
        <v>0.86609427860023702</v>
      </c>
      <c r="V66" s="39">
        <f t="shared" si="111"/>
        <v>0.11361440002415257</v>
      </c>
      <c r="W66" s="39">
        <f t="shared" si="9"/>
        <v>0.12885115578707076</v>
      </c>
      <c r="X66" s="40">
        <f t="shared" si="112"/>
        <v>0.1073759631558923</v>
      </c>
      <c r="Y66" s="40" t="s">
        <v>21</v>
      </c>
      <c r="Z66" s="217">
        <f t="shared" si="124"/>
        <v>2.1475192631178461</v>
      </c>
      <c r="AA66" s="217">
        <f t="shared" si="113"/>
        <v>0.35791987718630769</v>
      </c>
    </row>
    <row r="67" spans="1:27" ht="15.75" thickBot="1" x14ac:dyDescent="0.3">
      <c r="A67" s="229">
        <f t="shared" si="11"/>
        <v>2769</v>
      </c>
      <c r="B67" s="230">
        <f t="shared" si="12"/>
        <v>57</v>
      </c>
      <c r="C67" s="218" t="str">
        <f t="shared" si="7"/>
        <v>24aX11-000_000_09</v>
      </c>
      <c r="D67" s="231">
        <f t="shared" si="114"/>
        <v>11</v>
      </c>
      <c r="E67" s="239">
        <f t="shared" si="104"/>
        <v>1.9390000000000001</v>
      </c>
      <c r="F67" s="232">
        <f t="shared" si="125"/>
        <v>17.627272727272729</v>
      </c>
      <c r="G67" s="232">
        <f t="shared" si="105"/>
        <v>14.101818181818183</v>
      </c>
      <c r="H67" s="232">
        <f t="shared" si="106"/>
        <v>8.8136363636363644</v>
      </c>
      <c r="I67" s="232">
        <f t="shared" ref="I67:J67" si="138">I66</f>
        <v>8</v>
      </c>
      <c r="J67" s="233">
        <f t="shared" si="138"/>
        <v>0</v>
      </c>
      <c r="K67" s="228" t="str">
        <f t="shared" ref="K67" si="139">D67&amp;-9</f>
        <v>11-9</v>
      </c>
      <c r="L67" s="232">
        <f t="shared" si="118"/>
        <v>0.2</v>
      </c>
      <c r="M67" s="235">
        <v>0</v>
      </c>
      <c r="N67" s="232">
        <f t="shared" si="119"/>
        <v>150</v>
      </c>
      <c r="O67" s="232">
        <f t="shared" si="120"/>
        <v>160</v>
      </c>
      <c r="P67" s="232">
        <f t="shared" si="121"/>
        <v>750</v>
      </c>
      <c r="Q67" s="217"/>
      <c r="R67" s="38">
        <f t="shared" si="122"/>
        <v>10</v>
      </c>
      <c r="S67" s="38">
        <f t="shared" si="122"/>
        <v>12</v>
      </c>
      <c r="T67" s="39">
        <f t="shared" si="109"/>
        <v>0.75247987857608445</v>
      </c>
      <c r="U67" s="39">
        <f t="shared" si="110"/>
        <v>0.86609427860023702</v>
      </c>
      <c r="V67" s="39">
        <f t="shared" si="111"/>
        <v>0.11361440002415257</v>
      </c>
      <c r="W67" s="39">
        <f t="shared" si="9"/>
        <v>0.12885115578707076</v>
      </c>
      <c r="X67" s="40">
        <f t="shared" si="112"/>
        <v>0.1073759631558923</v>
      </c>
      <c r="Y67" s="40" t="s">
        <v>21</v>
      </c>
      <c r="Z67" s="217">
        <f t="shared" si="124"/>
        <v>2.1475192631178461</v>
      </c>
      <c r="AA67" s="217">
        <f t="shared" si="113"/>
        <v>0.35791987718630769</v>
      </c>
    </row>
    <row r="68" spans="1:27" ht="15.75" thickBot="1" x14ac:dyDescent="0.3">
      <c r="A68" s="229">
        <f t="shared" si="11"/>
        <v>2770</v>
      </c>
      <c r="B68" s="230">
        <f t="shared" si="12"/>
        <v>58</v>
      </c>
      <c r="C68" s="218" t="str">
        <f t="shared" si="7"/>
        <v>24aX11-000_030_10</v>
      </c>
      <c r="D68" s="231">
        <f t="shared" si="114"/>
        <v>11</v>
      </c>
      <c r="E68" s="239">
        <f t="shared" si="104"/>
        <v>1.9390000000000001</v>
      </c>
      <c r="F68" s="232">
        <f t="shared" si="125"/>
        <v>17.627272727272729</v>
      </c>
      <c r="G68" s="232">
        <f t="shared" si="105"/>
        <v>14.101818181818183</v>
      </c>
      <c r="H68" s="232">
        <f t="shared" si="106"/>
        <v>8.8136363636363644</v>
      </c>
      <c r="I68" s="232">
        <f t="shared" ref="I68:J68" si="140">I67</f>
        <v>8</v>
      </c>
      <c r="J68" s="233">
        <f t="shared" si="140"/>
        <v>0</v>
      </c>
      <c r="K68" s="228" t="str">
        <f t="shared" ref="K68" si="141">D68&amp;-10</f>
        <v>11-10</v>
      </c>
      <c r="L68" s="232">
        <f t="shared" si="118"/>
        <v>0.2</v>
      </c>
      <c r="M68" s="235">
        <v>30</v>
      </c>
      <c r="N68" s="232">
        <f t="shared" si="119"/>
        <v>150</v>
      </c>
      <c r="O68" s="232">
        <f t="shared" si="120"/>
        <v>160</v>
      </c>
      <c r="P68" s="232">
        <f t="shared" si="121"/>
        <v>750</v>
      </c>
      <c r="Q68" s="217"/>
      <c r="R68" s="38">
        <f t="shared" si="122"/>
        <v>10</v>
      </c>
      <c r="S68" s="38">
        <f t="shared" si="122"/>
        <v>12</v>
      </c>
      <c r="T68" s="39">
        <f t="shared" si="109"/>
        <v>0.75247987857608445</v>
      </c>
      <c r="U68" s="39">
        <f t="shared" si="110"/>
        <v>0.86609427860023702</v>
      </c>
      <c r="V68" s="39">
        <f t="shared" si="111"/>
        <v>0.11361440002415257</v>
      </c>
      <c r="W68" s="39">
        <f t="shared" si="9"/>
        <v>0.12885115578707076</v>
      </c>
      <c r="X68" s="40">
        <f t="shared" si="112"/>
        <v>0.1073759631558923</v>
      </c>
      <c r="Y68" s="40" t="s">
        <v>21</v>
      </c>
      <c r="Z68" s="217">
        <f t="shared" si="124"/>
        <v>2.1475192631178461</v>
      </c>
      <c r="AA68" s="217">
        <f t="shared" si="113"/>
        <v>0.35791987718630769</v>
      </c>
    </row>
    <row r="69" spans="1:27" ht="15.75" thickBot="1" x14ac:dyDescent="0.3">
      <c r="A69" s="229">
        <f t="shared" si="11"/>
        <v>2771</v>
      </c>
      <c r="B69" s="230">
        <f t="shared" si="12"/>
        <v>59</v>
      </c>
      <c r="C69" s="218" t="str">
        <f t="shared" si="7"/>
        <v>24aX11-000_060_11</v>
      </c>
      <c r="D69" s="231">
        <f t="shared" si="114"/>
        <v>11</v>
      </c>
      <c r="E69" s="239">
        <f t="shared" si="104"/>
        <v>1.9390000000000001</v>
      </c>
      <c r="F69" s="232">
        <f t="shared" si="125"/>
        <v>17.627272727272729</v>
      </c>
      <c r="G69" s="232">
        <f t="shared" si="105"/>
        <v>14.101818181818183</v>
      </c>
      <c r="H69" s="232">
        <f t="shared" si="106"/>
        <v>8.8136363636363644</v>
      </c>
      <c r="I69" s="232">
        <f t="shared" ref="I69:J69" si="142">I68</f>
        <v>8</v>
      </c>
      <c r="J69" s="233">
        <f t="shared" si="142"/>
        <v>0</v>
      </c>
      <c r="K69" s="228" t="str">
        <f t="shared" ref="K69" si="143">D69&amp;-11</f>
        <v>11-11</v>
      </c>
      <c r="L69" s="232">
        <f t="shared" si="118"/>
        <v>0.2</v>
      </c>
      <c r="M69" s="235">
        <v>60</v>
      </c>
      <c r="N69" s="232">
        <f t="shared" si="119"/>
        <v>150</v>
      </c>
      <c r="O69" s="232">
        <f t="shared" si="120"/>
        <v>160</v>
      </c>
      <c r="P69" s="232">
        <f t="shared" si="121"/>
        <v>750</v>
      </c>
      <c r="Q69" s="217"/>
      <c r="R69" s="38">
        <f t="shared" si="122"/>
        <v>10</v>
      </c>
      <c r="S69" s="38">
        <f t="shared" si="122"/>
        <v>12</v>
      </c>
      <c r="T69" s="39">
        <f t="shared" si="109"/>
        <v>0.75247987857608445</v>
      </c>
      <c r="U69" s="39">
        <f t="shared" si="110"/>
        <v>0.86609427860023702</v>
      </c>
      <c r="V69" s="39">
        <f t="shared" si="111"/>
        <v>0.11361440002415257</v>
      </c>
      <c r="W69" s="39">
        <f t="shared" si="9"/>
        <v>0.12885115578707076</v>
      </c>
      <c r="X69" s="40">
        <f t="shared" si="112"/>
        <v>0.1073759631558923</v>
      </c>
      <c r="Y69" s="40" t="s">
        <v>21</v>
      </c>
      <c r="Z69" s="217">
        <f t="shared" si="124"/>
        <v>2.1475192631178461</v>
      </c>
      <c r="AA69" s="217">
        <f t="shared" si="113"/>
        <v>0.35791987718630769</v>
      </c>
    </row>
    <row r="70" spans="1:27" ht="15.75" thickBot="1" x14ac:dyDescent="0.3">
      <c r="A70" s="229">
        <f t="shared" si="11"/>
        <v>2772</v>
      </c>
      <c r="B70" s="230">
        <f t="shared" si="12"/>
        <v>60</v>
      </c>
      <c r="C70" s="218" t="str">
        <f t="shared" si="7"/>
        <v>24aX11-000_090_12</v>
      </c>
      <c r="D70" s="231">
        <f t="shared" si="114"/>
        <v>11</v>
      </c>
      <c r="E70" s="239">
        <f t="shared" si="104"/>
        <v>1.9390000000000001</v>
      </c>
      <c r="F70" s="232">
        <f t="shared" si="125"/>
        <v>17.627272727272729</v>
      </c>
      <c r="G70" s="232">
        <f t="shared" si="105"/>
        <v>14.101818181818183</v>
      </c>
      <c r="H70" s="232">
        <f t="shared" si="106"/>
        <v>8.8136363636363644</v>
      </c>
      <c r="I70" s="232">
        <f t="shared" ref="I70:J70" si="144">I69</f>
        <v>8</v>
      </c>
      <c r="J70" s="233">
        <f t="shared" si="144"/>
        <v>0</v>
      </c>
      <c r="K70" s="228" t="str">
        <f t="shared" ref="K70" si="145">D70&amp;-12</f>
        <v>11-12</v>
      </c>
      <c r="L70" s="232">
        <f t="shared" si="118"/>
        <v>0.2</v>
      </c>
      <c r="M70" s="235">
        <v>90</v>
      </c>
      <c r="N70" s="232">
        <f t="shared" si="119"/>
        <v>150</v>
      </c>
      <c r="O70" s="232">
        <f t="shared" si="120"/>
        <v>160</v>
      </c>
      <c r="P70" s="232">
        <f t="shared" si="121"/>
        <v>750</v>
      </c>
      <c r="Q70" s="217"/>
      <c r="R70" s="38">
        <f t="shared" si="122"/>
        <v>10</v>
      </c>
      <c r="S70" s="38">
        <f t="shared" si="122"/>
        <v>12</v>
      </c>
      <c r="T70" s="39">
        <f t="shared" si="109"/>
        <v>0.75247987857608445</v>
      </c>
      <c r="U70" s="39">
        <f t="shared" si="110"/>
        <v>0.86609427860023702</v>
      </c>
      <c r="V70" s="39">
        <f t="shared" si="111"/>
        <v>0.11361440002415257</v>
      </c>
      <c r="W70" s="39">
        <f t="shared" si="9"/>
        <v>0.12885115578707076</v>
      </c>
      <c r="X70" s="40">
        <f t="shared" si="112"/>
        <v>0.1073759631558923</v>
      </c>
      <c r="Y70" s="40" t="s">
        <v>21</v>
      </c>
      <c r="Z70" s="217">
        <f t="shared" si="124"/>
        <v>2.1475192631178461</v>
      </c>
      <c r="AA70" s="217">
        <f t="shared" si="113"/>
        <v>0.35791987718630769</v>
      </c>
    </row>
    <row r="71" spans="1:27" ht="15.75" thickBot="1" x14ac:dyDescent="0.3">
      <c r="A71" s="229">
        <f t="shared" si="11"/>
        <v>2773</v>
      </c>
      <c r="B71" s="230">
        <f t="shared" si="12"/>
        <v>61</v>
      </c>
      <c r="C71" s="218" t="str">
        <f t="shared" si="7"/>
        <v>24aX13-000_000_01</v>
      </c>
      <c r="D71" s="231">
        <f t="shared" ref="D71" si="146">D70+2</f>
        <v>13</v>
      </c>
      <c r="E71" s="239">
        <f t="shared" si="104"/>
        <v>2.149</v>
      </c>
      <c r="F71" s="232">
        <f t="shared" si="125"/>
        <v>16.530769230769231</v>
      </c>
      <c r="G71" s="232">
        <f t="shared" si="105"/>
        <v>13.224615384615385</v>
      </c>
      <c r="H71" s="232">
        <f t="shared" si="106"/>
        <v>8.2653846153846153</v>
      </c>
      <c r="I71" s="232">
        <f>inflow</f>
        <v>8</v>
      </c>
      <c r="J71" s="233">
        <f>yaw_null</f>
        <v>0</v>
      </c>
      <c r="K71" s="228" t="str">
        <f t="shared" ref="K71" si="147">D71&amp;-1</f>
        <v>13-1</v>
      </c>
      <c r="L71" s="232">
        <f>alpha_n</f>
        <v>0.2</v>
      </c>
      <c r="M71" s="235">
        <v>0</v>
      </c>
      <c r="N71" s="232">
        <f>t_out</f>
        <v>150</v>
      </c>
      <c r="O71" s="232">
        <f>trig_t</f>
        <v>160</v>
      </c>
      <c r="P71" s="232">
        <f>N71+T_s1</f>
        <v>750</v>
      </c>
      <c r="Q71" s="217"/>
      <c r="R71" s="38">
        <f t="shared" ref="R71" si="148">S70</f>
        <v>12</v>
      </c>
      <c r="S71" s="38">
        <f>R71+v_step</f>
        <v>14</v>
      </c>
      <c r="T71" s="39">
        <f t="shared" si="109"/>
        <v>0.86609427860023702</v>
      </c>
      <c r="U71" s="39">
        <f t="shared" si="110"/>
        <v>0.93521468146599684</v>
      </c>
      <c r="V71" s="39">
        <f t="shared" si="111"/>
        <v>6.9120402865759822E-2</v>
      </c>
      <c r="W71" s="39">
        <f t="shared" si="9"/>
        <v>7.8390096641163351E-2</v>
      </c>
      <c r="X71" s="40">
        <f t="shared" si="112"/>
        <v>6.532508053430279E-2</v>
      </c>
      <c r="Y71" s="40" t="s">
        <v>21</v>
      </c>
      <c r="Z71" s="217">
        <f t="shared" si="124"/>
        <v>1.3065016106860559</v>
      </c>
      <c r="AA71" s="217">
        <f t="shared" si="113"/>
        <v>0.21775026844767598</v>
      </c>
    </row>
    <row r="72" spans="1:27" ht="15.75" thickBot="1" x14ac:dyDescent="0.3">
      <c r="A72" s="229">
        <f t="shared" si="11"/>
        <v>2774</v>
      </c>
      <c r="B72" s="230">
        <f t="shared" si="12"/>
        <v>62</v>
      </c>
      <c r="C72" s="218" t="str">
        <f t="shared" si="7"/>
        <v>24aX13-000_030_02</v>
      </c>
      <c r="D72" s="231">
        <f t="shared" ref="D72" si="149">D71</f>
        <v>13</v>
      </c>
      <c r="E72" s="239">
        <f t="shared" si="104"/>
        <v>2.149</v>
      </c>
      <c r="F72" s="232">
        <f t="shared" si="125"/>
        <v>16.530769230769231</v>
      </c>
      <c r="G72" s="232">
        <f t="shared" si="105"/>
        <v>13.224615384615385</v>
      </c>
      <c r="H72" s="232">
        <f t="shared" si="106"/>
        <v>8.2653846153846153</v>
      </c>
      <c r="I72" s="232">
        <f t="shared" ref="I72" si="150">I71</f>
        <v>8</v>
      </c>
      <c r="J72" s="233">
        <f t="shared" ref="J72" si="151">J71</f>
        <v>0</v>
      </c>
      <c r="K72" s="228" t="str">
        <f t="shared" ref="K72" si="152">D72&amp;-2</f>
        <v>13-2</v>
      </c>
      <c r="L72" s="232">
        <f t="shared" ref="L72" si="153">L71</f>
        <v>0.2</v>
      </c>
      <c r="M72" s="235">
        <v>30</v>
      </c>
      <c r="N72" s="232">
        <f t="shared" ref="N72" si="154">N71</f>
        <v>150</v>
      </c>
      <c r="O72" s="232">
        <f t="shared" ref="O72" si="155">O71</f>
        <v>160</v>
      </c>
      <c r="P72" s="232">
        <f t="shared" ref="P72" si="156">P71</f>
        <v>750</v>
      </c>
      <c r="Q72" s="217"/>
      <c r="R72" s="38">
        <f t="shared" ref="R72:S72" si="157">R71</f>
        <v>12</v>
      </c>
      <c r="S72" s="38">
        <f t="shared" si="157"/>
        <v>14</v>
      </c>
      <c r="T72" s="39">
        <f t="shared" si="109"/>
        <v>0.86609427860023702</v>
      </c>
      <c r="U72" s="39">
        <f t="shared" si="110"/>
        <v>0.93521468146599684</v>
      </c>
      <c r="V72" s="39">
        <f t="shared" si="111"/>
        <v>6.9120402865759822E-2</v>
      </c>
      <c r="W72" s="39">
        <f t="shared" si="9"/>
        <v>7.8390096641163351E-2</v>
      </c>
      <c r="X72" s="40">
        <f t="shared" si="112"/>
        <v>6.532508053430279E-2</v>
      </c>
      <c r="Y72" s="40" t="s">
        <v>21</v>
      </c>
      <c r="Z72" s="217">
        <f t="shared" si="124"/>
        <v>1.3065016106860559</v>
      </c>
      <c r="AA72" s="217">
        <f t="shared" si="113"/>
        <v>0.21775026844767598</v>
      </c>
    </row>
    <row r="73" spans="1:27" ht="15.75" thickBot="1" x14ac:dyDescent="0.3">
      <c r="A73" s="229">
        <f t="shared" si="11"/>
        <v>2775</v>
      </c>
      <c r="B73" s="230">
        <f t="shared" si="12"/>
        <v>63</v>
      </c>
      <c r="C73" s="218" t="str">
        <f t="shared" si="7"/>
        <v>24aX13-000_060_03</v>
      </c>
      <c r="D73" s="231">
        <f t="shared" si="114"/>
        <v>13</v>
      </c>
      <c r="E73" s="239">
        <f t="shared" si="104"/>
        <v>2.149</v>
      </c>
      <c r="F73" s="232">
        <f t="shared" si="125"/>
        <v>16.530769230769231</v>
      </c>
      <c r="G73" s="232">
        <f t="shared" si="105"/>
        <v>13.224615384615385</v>
      </c>
      <c r="H73" s="232">
        <f t="shared" si="106"/>
        <v>8.2653846153846153</v>
      </c>
      <c r="I73" s="232">
        <f t="shared" ref="I73:J73" si="158">I72</f>
        <v>8</v>
      </c>
      <c r="J73" s="233">
        <f t="shared" si="158"/>
        <v>0</v>
      </c>
      <c r="K73" s="228" t="str">
        <f t="shared" ref="K73" si="159">D73&amp;-3</f>
        <v>13-3</v>
      </c>
      <c r="L73" s="232">
        <f t="shared" si="118"/>
        <v>0.2</v>
      </c>
      <c r="M73" s="235">
        <v>60</v>
      </c>
      <c r="N73" s="232">
        <f t="shared" si="119"/>
        <v>150</v>
      </c>
      <c r="O73" s="232">
        <f t="shared" si="120"/>
        <v>160</v>
      </c>
      <c r="P73" s="232">
        <f t="shared" si="121"/>
        <v>750</v>
      </c>
      <c r="Q73" s="217"/>
      <c r="R73" s="38">
        <f t="shared" si="122"/>
        <v>12</v>
      </c>
      <c r="S73" s="38">
        <f t="shared" si="122"/>
        <v>14</v>
      </c>
      <c r="T73" s="39">
        <f t="shared" si="109"/>
        <v>0.86609427860023702</v>
      </c>
      <c r="U73" s="39">
        <f t="shared" si="110"/>
        <v>0.93521468146599684</v>
      </c>
      <c r="V73" s="39">
        <f t="shared" si="111"/>
        <v>6.9120402865759822E-2</v>
      </c>
      <c r="W73" s="39">
        <f t="shared" si="9"/>
        <v>7.8390096641163351E-2</v>
      </c>
      <c r="X73" s="40">
        <f t="shared" si="112"/>
        <v>6.532508053430279E-2</v>
      </c>
      <c r="Y73" s="40" t="s">
        <v>21</v>
      </c>
      <c r="Z73" s="217">
        <f t="shared" si="124"/>
        <v>1.3065016106860559</v>
      </c>
      <c r="AA73" s="217">
        <f t="shared" si="113"/>
        <v>0.21775026844767598</v>
      </c>
    </row>
    <row r="74" spans="1:27" ht="15.75" thickBot="1" x14ac:dyDescent="0.3">
      <c r="A74" s="229">
        <f t="shared" si="11"/>
        <v>2776</v>
      </c>
      <c r="B74" s="230">
        <f t="shared" si="12"/>
        <v>64</v>
      </c>
      <c r="C74" s="218" t="str">
        <f t="shared" si="7"/>
        <v>24aX13-000_090_04</v>
      </c>
      <c r="D74" s="231">
        <f t="shared" si="114"/>
        <v>13</v>
      </c>
      <c r="E74" s="239">
        <f t="shared" si="104"/>
        <v>2.149</v>
      </c>
      <c r="F74" s="232">
        <f t="shared" si="125"/>
        <v>16.530769230769231</v>
      </c>
      <c r="G74" s="232">
        <f t="shared" si="105"/>
        <v>13.224615384615385</v>
      </c>
      <c r="H74" s="232">
        <f t="shared" si="106"/>
        <v>8.2653846153846153</v>
      </c>
      <c r="I74" s="232">
        <f t="shared" ref="I74:J74" si="160">I73</f>
        <v>8</v>
      </c>
      <c r="J74" s="233">
        <f t="shared" si="160"/>
        <v>0</v>
      </c>
      <c r="K74" s="228" t="str">
        <f t="shared" ref="K74" si="161">D74&amp;-4</f>
        <v>13-4</v>
      </c>
      <c r="L74" s="232">
        <f t="shared" si="118"/>
        <v>0.2</v>
      </c>
      <c r="M74" s="235">
        <v>90</v>
      </c>
      <c r="N74" s="232">
        <f t="shared" si="119"/>
        <v>150</v>
      </c>
      <c r="O74" s="232">
        <f t="shared" si="120"/>
        <v>160</v>
      </c>
      <c r="P74" s="232">
        <f t="shared" si="121"/>
        <v>750</v>
      </c>
      <c r="Q74" s="217"/>
      <c r="R74" s="38">
        <f t="shared" si="122"/>
        <v>12</v>
      </c>
      <c r="S74" s="38">
        <f t="shared" si="122"/>
        <v>14</v>
      </c>
      <c r="T74" s="39">
        <f t="shared" si="109"/>
        <v>0.86609427860023702</v>
      </c>
      <c r="U74" s="39">
        <f t="shared" si="110"/>
        <v>0.93521468146599684</v>
      </c>
      <c r="V74" s="39">
        <f t="shared" si="111"/>
        <v>6.9120402865759822E-2</v>
      </c>
      <c r="W74" s="39">
        <f t="shared" si="9"/>
        <v>7.8390096641163351E-2</v>
      </c>
      <c r="X74" s="40">
        <f t="shared" si="112"/>
        <v>6.532508053430279E-2</v>
      </c>
      <c r="Y74" s="40" t="s">
        <v>21</v>
      </c>
      <c r="Z74" s="217">
        <f t="shared" si="124"/>
        <v>1.3065016106860559</v>
      </c>
      <c r="AA74" s="217">
        <f t="shared" si="113"/>
        <v>0.21775026844767598</v>
      </c>
    </row>
    <row r="75" spans="1:27" ht="15.75" thickBot="1" x14ac:dyDescent="0.3">
      <c r="A75" s="229">
        <f t="shared" si="11"/>
        <v>2777</v>
      </c>
      <c r="B75" s="230">
        <f t="shared" si="12"/>
        <v>65</v>
      </c>
      <c r="C75" s="218" t="str">
        <f t="shared" si="7"/>
        <v>24aX13-000_000_05</v>
      </c>
      <c r="D75" s="231">
        <f t="shared" si="114"/>
        <v>13</v>
      </c>
      <c r="E75" s="239">
        <f t="shared" si="104"/>
        <v>2.149</v>
      </c>
      <c r="F75" s="232">
        <f t="shared" si="125"/>
        <v>16.530769230769231</v>
      </c>
      <c r="G75" s="232">
        <f t="shared" si="105"/>
        <v>13.224615384615385</v>
      </c>
      <c r="H75" s="232">
        <f t="shared" si="106"/>
        <v>8.2653846153846153</v>
      </c>
      <c r="I75" s="232">
        <f t="shared" ref="I75:J75" si="162">I74</f>
        <v>8</v>
      </c>
      <c r="J75" s="233">
        <f t="shared" si="162"/>
        <v>0</v>
      </c>
      <c r="K75" s="228" t="str">
        <f t="shared" ref="K75" si="163">D75&amp;-5</f>
        <v>13-5</v>
      </c>
      <c r="L75" s="232">
        <f t="shared" si="118"/>
        <v>0.2</v>
      </c>
      <c r="M75" s="235">
        <v>0</v>
      </c>
      <c r="N75" s="232">
        <f t="shared" si="119"/>
        <v>150</v>
      </c>
      <c r="O75" s="232">
        <f t="shared" si="120"/>
        <v>160</v>
      </c>
      <c r="P75" s="232">
        <f t="shared" si="121"/>
        <v>750</v>
      </c>
      <c r="Q75" s="217"/>
      <c r="R75" s="38">
        <f t="shared" si="122"/>
        <v>12</v>
      </c>
      <c r="S75" s="38">
        <f t="shared" si="122"/>
        <v>14</v>
      </c>
      <c r="T75" s="39">
        <f t="shared" si="109"/>
        <v>0.86609427860023702</v>
      </c>
      <c r="U75" s="39">
        <f t="shared" si="110"/>
        <v>0.93521468146599684</v>
      </c>
      <c r="V75" s="39">
        <f t="shared" si="111"/>
        <v>6.9120402865759822E-2</v>
      </c>
      <c r="W75" s="39">
        <f t="shared" si="9"/>
        <v>7.8390096641163351E-2</v>
      </c>
      <c r="X75" s="40">
        <f t="shared" si="112"/>
        <v>6.532508053430279E-2</v>
      </c>
      <c r="Y75" s="40" t="s">
        <v>21</v>
      </c>
      <c r="Z75" s="217">
        <f t="shared" si="124"/>
        <v>1.3065016106860559</v>
      </c>
      <c r="AA75" s="217">
        <f t="shared" si="113"/>
        <v>0.21775026844767598</v>
      </c>
    </row>
    <row r="76" spans="1:27" ht="15.75" thickBot="1" x14ac:dyDescent="0.3">
      <c r="A76" s="229">
        <f t="shared" si="11"/>
        <v>2778</v>
      </c>
      <c r="B76" s="230">
        <f t="shared" si="12"/>
        <v>66</v>
      </c>
      <c r="C76" s="218" t="str">
        <f t="shared" ref="C76:C139" si="164">TEXT(RIGHT($B$2,LEN($B$2)-3),"000")&amp;"X"&amp;TEXT(D76,"00")&amp;"-"&amp;IF(J76&lt;0,TEXT(360+J76,"000"),TEXT(J76,"000"))&amp;"_"&amp;TEXT(M76,"000")&amp;"_"&amp;TEXT(RIGHT(K76,LEN(K76)-FIND("-",K76)),"00")</f>
        <v>24aX13-000_030_06</v>
      </c>
      <c r="D76" s="231">
        <f t="shared" si="114"/>
        <v>13</v>
      </c>
      <c r="E76" s="239">
        <f t="shared" si="104"/>
        <v>2.149</v>
      </c>
      <c r="F76" s="232">
        <f t="shared" si="125"/>
        <v>16.530769230769231</v>
      </c>
      <c r="G76" s="232">
        <f t="shared" si="105"/>
        <v>13.224615384615385</v>
      </c>
      <c r="H76" s="232">
        <f t="shared" si="106"/>
        <v>8.2653846153846153</v>
      </c>
      <c r="I76" s="232">
        <f t="shared" ref="I76:J76" si="165">I75</f>
        <v>8</v>
      </c>
      <c r="J76" s="233">
        <f t="shared" si="165"/>
        <v>0</v>
      </c>
      <c r="K76" s="228" t="str">
        <f t="shared" ref="K76" si="166">D76&amp;-6</f>
        <v>13-6</v>
      </c>
      <c r="L76" s="232">
        <f t="shared" si="118"/>
        <v>0.2</v>
      </c>
      <c r="M76" s="235">
        <v>30</v>
      </c>
      <c r="N76" s="232">
        <f t="shared" si="119"/>
        <v>150</v>
      </c>
      <c r="O76" s="232">
        <f t="shared" si="120"/>
        <v>160</v>
      </c>
      <c r="P76" s="232">
        <f t="shared" si="121"/>
        <v>750</v>
      </c>
      <c r="Q76" s="217"/>
      <c r="R76" s="38">
        <f t="shared" si="122"/>
        <v>12</v>
      </c>
      <c r="S76" s="38">
        <f t="shared" si="122"/>
        <v>14</v>
      </c>
      <c r="T76" s="39">
        <f t="shared" si="109"/>
        <v>0.86609427860023702</v>
      </c>
      <c r="U76" s="39">
        <f t="shared" si="110"/>
        <v>0.93521468146599684</v>
      </c>
      <c r="V76" s="39">
        <f t="shared" si="111"/>
        <v>6.9120402865759822E-2</v>
      </c>
      <c r="W76" s="39">
        <f t="shared" ref="W76:W139" si="167">V76/(V$11+V$23+V$35+V$47+V$59+V$71+V$83+V$95+V$107+V$119+V$131+V$143)</f>
        <v>7.8390096641163351E-2</v>
      </c>
      <c r="X76" s="40">
        <f t="shared" si="112"/>
        <v>6.532508053430279E-2</v>
      </c>
      <c r="Y76" s="40" t="s">
        <v>21</v>
      </c>
      <c r="Z76" s="217">
        <f t="shared" si="124"/>
        <v>1.3065016106860559</v>
      </c>
      <c r="AA76" s="217">
        <f t="shared" si="113"/>
        <v>0.21775026844767598</v>
      </c>
    </row>
    <row r="77" spans="1:27" ht="15.75" thickBot="1" x14ac:dyDescent="0.3">
      <c r="A77" s="229">
        <f t="shared" ref="A77:A140" si="168">A76+1</f>
        <v>2779</v>
      </c>
      <c r="B77" s="230">
        <f t="shared" ref="B77:B140" si="169">B76+1</f>
        <v>67</v>
      </c>
      <c r="C77" s="218" t="str">
        <f t="shared" si="164"/>
        <v>24aX13-000_060_07</v>
      </c>
      <c r="D77" s="231">
        <f t="shared" si="114"/>
        <v>13</v>
      </c>
      <c r="E77" s="239">
        <f t="shared" si="104"/>
        <v>2.149</v>
      </c>
      <c r="F77" s="232">
        <f t="shared" si="125"/>
        <v>16.530769230769231</v>
      </c>
      <c r="G77" s="232">
        <f t="shared" si="105"/>
        <v>13.224615384615385</v>
      </c>
      <c r="H77" s="232">
        <f t="shared" si="106"/>
        <v>8.2653846153846153</v>
      </c>
      <c r="I77" s="232">
        <f t="shared" ref="I77:J77" si="170">I76</f>
        <v>8</v>
      </c>
      <c r="J77" s="233">
        <f t="shared" si="170"/>
        <v>0</v>
      </c>
      <c r="K77" s="228" t="str">
        <f t="shared" ref="K77" si="171">D77&amp;-7</f>
        <v>13-7</v>
      </c>
      <c r="L77" s="232">
        <f t="shared" si="118"/>
        <v>0.2</v>
      </c>
      <c r="M77" s="235">
        <v>60</v>
      </c>
      <c r="N77" s="232">
        <f t="shared" si="119"/>
        <v>150</v>
      </c>
      <c r="O77" s="232">
        <f t="shared" si="120"/>
        <v>160</v>
      </c>
      <c r="P77" s="232">
        <f t="shared" si="121"/>
        <v>750</v>
      </c>
      <c r="Q77" s="217"/>
      <c r="R77" s="38">
        <f t="shared" si="122"/>
        <v>12</v>
      </c>
      <c r="S77" s="38">
        <f t="shared" si="122"/>
        <v>14</v>
      </c>
      <c r="T77" s="39">
        <f t="shared" si="109"/>
        <v>0.86609427860023702</v>
      </c>
      <c r="U77" s="39">
        <f t="shared" si="110"/>
        <v>0.93521468146599684</v>
      </c>
      <c r="V77" s="39">
        <f t="shared" si="111"/>
        <v>6.9120402865759822E-2</v>
      </c>
      <c r="W77" s="39">
        <f t="shared" si="167"/>
        <v>7.8390096641163351E-2</v>
      </c>
      <c r="X77" s="40">
        <f t="shared" si="112"/>
        <v>6.532508053430279E-2</v>
      </c>
      <c r="Y77" s="40" t="s">
        <v>21</v>
      </c>
      <c r="Z77" s="217">
        <f t="shared" si="124"/>
        <v>1.3065016106860559</v>
      </c>
      <c r="AA77" s="217">
        <f t="shared" si="113"/>
        <v>0.21775026844767598</v>
      </c>
    </row>
    <row r="78" spans="1:27" ht="15.75" thickBot="1" x14ac:dyDescent="0.3">
      <c r="A78" s="229">
        <f t="shared" si="168"/>
        <v>2780</v>
      </c>
      <c r="B78" s="230">
        <f t="shared" si="169"/>
        <v>68</v>
      </c>
      <c r="C78" s="218" t="str">
        <f t="shared" si="164"/>
        <v>24aX13-000_090_08</v>
      </c>
      <c r="D78" s="231">
        <f t="shared" si="114"/>
        <v>13</v>
      </c>
      <c r="E78" s="239">
        <f t="shared" si="104"/>
        <v>2.149</v>
      </c>
      <c r="F78" s="232">
        <f t="shared" si="125"/>
        <v>16.530769230769231</v>
      </c>
      <c r="G78" s="232">
        <f t="shared" si="105"/>
        <v>13.224615384615385</v>
      </c>
      <c r="H78" s="232">
        <f t="shared" si="106"/>
        <v>8.2653846153846153</v>
      </c>
      <c r="I78" s="232">
        <f t="shared" ref="I78:J78" si="172">I77</f>
        <v>8</v>
      </c>
      <c r="J78" s="233">
        <f t="shared" si="172"/>
        <v>0</v>
      </c>
      <c r="K78" s="228" t="str">
        <f t="shared" ref="K78" si="173">D78&amp;-8</f>
        <v>13-8</v>
      </c>
      <c r="L78" s="232">
        <f t="shared" si="118"/>
        <v>0.2</v>
      </c>
      <c r="M78" s="235">
        <v>90</v>
      </c>
      <c r="N78" s="232">
        <f t="shared" si="119"/>
        <v>150</v>
      </c>
      <c r="O78" s="232">
        <f t="shared" si="120"/>
        <v>160</v>
      </c>
      <c r="P78" s="232">
        <f t="shared" si="121"/>
        <v>750</v>
      </c>
      <c r="Q78" s="217"/>
      <c r="R78" s="38">
        <f t="shared" si="122"/>
        <v>12</v>
      </c>
      <c r="S78" s="38">
        <f t="shared" si="122"/>
        <v>14</v>
      </c>
      <c r="T78" s="39">
        <f t="shared" si="109"/>
        <v>0.86609427860023702</v>
      </c>
      <c r="U78" s="39">
        <f t="shared" si="110"/>
        <v>0.93521468146599684</v>
      </c>
      <c r="V78" s="39">
        <f t="shared" si="111"/>
        <v>6.9120402865759822E-2</v>
      </c>
      <c r="W78" s="39">
        <f t="shared" si="167"/>
        <v>7.8390096641163351E-2</v>
      </c>
      <c r="X78" s="40">
        <f t="shared" si="112"/>
        <v>6.532508053430279E-2</v>
      </c>
      <c r="Y78" s="40" t="s">
        <v>21</v>
      </c>
      <c r="Z78" s="217">
        <f t="shared" si="124"/>
        <v>1.3065016106860559</v>
      </c>
      <c r="AA78" s="217">
        <f t="shared" si="113"/>
        <v>0.21775026844767598</v>
      </c>
    </row>
    <row r="79" spans="1:27" ht="15.75" thickBot="1" x14ac:dyDescent="0.3">
      <c r="A79" s="229">
        <f t="shared" si="168"/>
        <v>2781</v>
      </c>
      <c r="B79" s="230">
        <f t="shared" si="169"/>
        <v>69</v>
      </c>
      <c r="C79" s="218" t="str">
        <f t="shared" si="164"/>
        <v>24aX13-000_000_09</v>
      </c>
      <c r="D79" s="231">
        <f t="shared" si="114"/>
        <v>13</v>
      </c>
      <c r="E79" s="239">
        <f t="shared" si="104"/>
        <v>2.149</v>
      </c>
      <c r="F79" s="232">
        <f t="shared" si="125"/>
        <v>16.530769230769231</v>
      </c>
      <c r="G79" s="232">
        <f t="shared" si="105"/>
        <v>13.224615384615385</v>
      </c>
      <c r="H79" s="232">
        <f t="shared" si="106"/>
        <v>8.2653846153846153</v>
      </c>
      <c r="I79" s="232">
        <f t="shared" ref="I79:J79" si="174">I78</f>
        <v>8</v>
      </c>
      <c r="J79" s="233">
        <f t="shared" si="174"/>
        <v>0</v>
      </c>
      <c r="K79" s="228" t="str">
        <f t="shared" ref="K79" si="175">D79&amp;-9</f>
        <v>13-9</v>
      </c>
      <c r="L79" s="232">
        <f t="shared" si="118"/>
        <v>0.2</v>
      </c>
      <c r="M79" s="235">
        <v>0</v>
      </c>
      <c r="N79" s="232">
        <f t="shared" si="119"/>
        <v>150</v>
      </c>
      <c r="O79" s="232">
        <f t="shared" si="120"/>
        <v>160</v>
      </c>
      <c r="P79" s="232">
        <f t="shared" si="121"/>
        <v>750</v>
      </c>
      <c r="Q79" s="217"/>
      <c r="R79" s="38">
        <f t="shared" si="122"/>
        <v>12</v>
      </c>
      <c r="S79" s="38">
        <f t="shared" si="122"/>
        <v>14</v>
      </c>
      <c r="T79" s="39">
        <f t="shared" si="109"/>
        <v>0.86609427860023702</v>
      </c>
      <c r="U79" s="39">
        <f t="shared" si="110"/>
        <v>0.93521468146599684</v>
      </c>
      <c r="V79" s="39">
        <f t="shared" si="111"/>
        <v>6.9120402865759822E-2</v>
      </c>
      <c r="W79" s="39">
        <f t="shared" si="167"/>
        <v>7.8390096641163351E-2</v>
      </c>
      <c r="X79" s="40">
        <f t="shared" si="112"/>
        <v>6.532508053430279E-2</v>
      </c>
      <c r="Y79" s="40" t="s">
        <v>21</v>
      </c>
      <c r="Z79" s="217">
        <f t="shared" si="124"/>
        <v>1.3065016106860559</v>
      </c>
      <c r="AA79" s="217">
        <f t="shared" si="113"/>
        <v>0.21775026844767598</v>
      </c>
    </row>
    <row r="80" spans="1:27" ht="15.75" thickBot="1" x14ac:dyDescent="0.3">
      <c r="A80" s="229">
        <f t="shared" si="168"/>
        <v>2782</v>
      </c>
      <c r="B80" s="230">
        <f t="shared" si="169"/>
        <v>70</v>
      </c>
      <c r="C80" s="218" t="str">
        <f t="shared" si="164"/>
        <v>24aX13-000_030_10</v>
      </c>
      <c r="D80" s="231">
        <f t="shared" si="114"/>
        <v>13</v>
      </c>
      <c r="E80" s="239">
        <f t="shared" si="104"/>
        <v>2.149</v>
      </c>
      <c r="F80" s="232">
        <f t="shared" si="125"/>
        <v>16.530769230769231</v>
      </c>
      <c r="G80" s="232">
        <f t="shared" si="105"/>
        <v>13.224615384615385</v>
      </c>
      <c r="H80" s="232">
        <f t="shared" si="106"/>
        <v>8.2653846153846153</v>
      </c>
      <c r="I80" s="232">
        <f t="shared" ref="I80:J80" si="176">I79</f>
        <v>8</v>
      </c>
      <c r="J80" s="233">
        <f t="shared" si="176"/>
        <v>0</v>
      </c>
      <c r="K80" s="228" t="str">
        <f t="shared" ref="K80" si="177">D80&amp;-10</f>
        <v>13-10</v>
      </c>
      <c r="L80" s="232">
        <f t="shared" si="118"/>
        <v>0.2</v>
      </c>
      <c r="M80" s="235">
        <v>30</v>
      </c>
      <c r="N80" s="232">
        <f t="shared" si="119"/>
        <v>150</v>
      </c>
      <c r="O80" s="232">
        <f t="shared" si="120"/>
        <v>160</v>
      </c>
      <c r="P80" s="232">
        <f t="shared" si="121"/>
        <v>750</v>
      </c>
      <c r="Q80" s="217"/>
      <c r="R80" s="38">
        <f t="shared" si="122"/>
        <v>12</v>
      </c>
      <c r="S80" s="38">
        <f t="shared" si="122"/>
        <v>14</v>
      </c>
      <c r="T80" s="39">
        <f t="shared" si="109"/>
        <v>0.86609427860023702</v>
      </c>
      <c r="U80" s="39">
        <f t="shared" si="110"/>
        <v>0.93521468146599684</v>
      </c>
      <c r="V80" s="39">
        <f t="shared" si="111"/>
        <v>6.9120402865759822E-2</v>
      </c>
      <c r="W80" s="39">
        <f t="shared" si="167"/>
        <v>7.8390096641163351E-2</v>
      </c>
      <c r="X80" s="40">
        <f t="shared" si="112"/>
        <v>6.532508053430279E-2</v>
      </c>
      <c r="Y80" s="40" t="s">
        <v>21</v>
      </c>
      <c r="Z80" s="217">
        <f t="shared" si="124"/>
        <v>1.3065016106860559</v>
      </c>
      <c r="AA80" s="217">
        <f t="shared" si="113"/>
        <v>0.21775026844767598</v>
      </c>
    </row>
    <row r="81" spans="1:27" ht="15.75" thickBot="1" x14ac:dyDescent="0.3">
      <c r="A81" s="229">
        <f t="shared" si="168"/>
        <v>2783</v>
      </c>
      <c r="B81" s="230">
        <f t="shared" si="169"/>
        <v>71</v>
      </c>
      <c r="C81" s="218" t="str">
        <f t="shared" si="164"/>
        <v>24aX13-000_060_11</v>
      </c>
      <c r="D81" s="231">
        <f t="shared" si="114"/>
        <v>13</v>
      </c>
      <c r="E81" s="239">
        <f t="shared" si="104"/>
        <v>2.149</v>
      </c>
      <c r="F81" s="232">
        <f t="shared" si="125"/>
        <v>16.530769230769231</v>
      </c>
      <c r="G81" s="232">
        <f t="shared" si="105"/>
        <v>13.224615384615385</v>
      </c>
      <c r="H81" s="232">
        <f t="shared" si="106"/>
        <v>8.2653846153846153</v>
      </c>
      <c r="I81" s="232">
        <f t="shared" ref="I81:J81" si="178">I80</f>
        <v>8</v>
      </c>
      <c r="J81" s="233">
        <f t="shared" si="178"/>
        <v>0</v>
      </c>
      <c r="K81" s="228" t="str">
        <f t="shared" ref="K81" si="179">D81&amp;-11</f>
        <v>13-11</v>
      </c>
      <c r="L81" s="232">
        <f t="shared" si="118"/>
        <v>0.2</v>
      </c>
      <c r="M81" s="235">
        <v>60</v>
      </c>
      <c r="N81" s="232">
        <f t="shared" si="119"/>
        <v>150</v>
      </c>
      <c r="O81" s="232">
        <f t="shared" si="120"/>
        <v>160</v>
      </c>
      <c r="P81" s="232">
        <f t="shared" si="121"/>
        <v>750</v>
      </c>
      <c r="Q81" s="217"/>
      <c r="R81" s="38">
        <f t="shared" si="122"/>
        <v>12</v>
      </c>
      <c r="S81" s="38">
        <f t="shared" si="122"/>
        <v>14</v>
      </c>
      <c r="T81" s="39">
        <f t="shared" si="109"/>
        <v>0.86609427860023702</v>
      </c>
      <c r="U81" s="39">
        <f t="shared" si="110"/>
        <v>0.93521468146599684</v>
      </c>
      <c r="V81" s="39">
        <f t="shared" si="111"/>
        <v>6.9120402865759822E-2</v>
      </c>
      <c r="W81" s="39">
        <f t="shared" si="167"/>
        <v>7.8390096641163351E-2</v>
      </c>
      <c r="X81" s="40">
        <f t="shared" si="112"/>
        <v>6.532508053430279E-2</v>
      </c>
      <c r="Y81" s="40" t="s">
        <v>21</v>
      </c>
      <c r="Z81" s="217">
        <f t="shared" si="124"/>
        <v>1.3065016106860559</v>
      </c>
      <c r="AA81" s="217">
        <f t="shared" si="113"/>
        <v>0.21775026844767598</v>
      </c>
    </row>
    <row r="82" spans="1:27" ht="15.75" thickBot="1" x14ac:dyDescent="0.3">
      <c r="A82" s="229">
        <f t="shared" si="168"/>
        <v>2784</v>
      </c>
      <c r="B82" s="230">
        <f t="shared" si="169"/>
        <v>72</v>
      </c>
      <c r="C82" s="218" t="str">
        <f t="shared" si="164"/>
        <v>24aX13-000_090_12</v>
      </c>
      <c r="D82" s="231">
        <f t="shared" si="114"/>
        <v>13</v>
      </c>
      <c r="E82" s="239">
        <f t="shared" si="104"/>
        <v>2.149</v>
      </c>
      <c r="F82" s="232">
        <f t="shared" si="125"/>
        <v>16.530769230769231</v>
      </c>
      <c r="G82" s="232">
        <f t="shared" si="105"/>
        <v>13.224615384615385</v>
      </c>
      <c r="H82" s="232">
        <f t="shared" si="106"/>
        <v>8.2653846153846153</v>
      </c>
      <c r="I82" s="232">
        <f t="shared" ref="I82:J82" si="180">I81</f>
        <v>8</v>
      </c>
      <c r="J82" s="233">
        <f t="shared" si="180"/>
        <v>0</v>
      </c>
      <c r="K82" s="228" t="str">
        <f t="shared" ref="K82" si="181">D82&amp;-12</f>
        <v>13-12</v>
      </c>
      <c r="L82" s="232">
        <f t="shared" si="118"/>
        <v>0.2</v>
      </c>
      <c r="M82" s="235">
        <v>90</v>
      </c>
      <c r="N82" s="232">
        <f t="shared" si="119"/>
        <v>150</v>
      </c>
      <c r="O82" s="232">
        <f t="shared" si="120"/>
        <v>160</v>
      </c>
      <c r="P82" s="232">
        <f t="shared" si="121"/>
        <v>750</v>
      </c>
      <c r="Q82" s="217"/>
      <c r="R82" s="38">
        <f t="shared" si="122"/>
        <v>12</v>
      </c>
      <c r="S82" s="38">
        <f t="shared" si="122"/>
        <v>14</v>
      </c>
      <c r="T82" s="39">
        <f t="shared" si="109"/>
        <v>0.86609427860023702</v>
      </c>
      <c r="U82" s="39">
        <f t="shared" si="110"/>
        <v>0.93521468146599684</v>
      </c>
      <c r="V82" s="39">
        <f t="shared" si="111"/>
        <v>6.9120402865759822E-2</v>
      </c>
      <c r="W82" s="39">
        <f t="shared" si="167"/>
        <v>7.8390096641163351E-2</v>
      </c>
      <c r="X82" s="40">
        <f t="shared" si="112"/>
        <v>6.532508053430279E-2</v>
      </c>
      <c r="Y82" s="40" t="s">
        <v>21</v>
      </c>
      <c r="Z82" s="217">
        <f t="shared" si="124"/>
        <v>1.3065016106860559</v>
      </c>
      <c r="AA82" s="217">
        <f t="shared" si="113"/>
        <v>0.21775026844767598</v>
      </c>
    </row>
    <row r="83" spans="1:27" ht="15.75" thickBot="1" x14ac:dyDescent="0.3">
      <c r="A83" s="229">
        <f t="shared" si="168"/>
        <v>2785</v>
      </c>
      <c r="B83" s="230">
        <f t="shared" si="169"/>
        <v>73</v>
      </c>
      <c r="C83" s="218" t="str">
        <f t="shared" si="164"/>
        <v>24aX15-000_000_01</v>
      </c>
      <c r="D83" s="231">
        <f t="shared" ref="D83" si="182">D82+2</f>
        <v>15</v>
      </c>
      <c r="E83" s="239">
        <f t="shared" si="104"/>
        <v>2.3590000000000004</v>
      </c>
      <c r="F83" s="232">
        <f t="shared" si="125"/>
        <v>15.72666666666667</v>
      </c>
      <c r="G83" s="232">
        <f t="shared" si="105"/>
        <v>12.581333333333337</v>
      </c>
      <c r="H83" s="232">
        <f t="shared" si="106"/>
        <v>7.8633333333333351</v>
      </c>
      <c r="I83" s="232">
        <f>inflow</f>
        <v>8</v>
      </c>
      <c r="J83" s="233">
        <f>yaw_null</f>
        <v>0</v>
      </c>
      <c r="K83" s="228" t="str">
        <f t="shared" ref="K83" si="183">D83&amp;-1</f>
        <v>15-1</v>
      </c>
      <c r="L83" s="232">
        <f>alpha_n</f>
        <v>0.2</v>
      </c>
      <c r="M83" s="235">
        <v>0</v>
      </c>
      <c r="N83" s="232">
        <f>t_out</f>
        <v>150</v>
      </c>
      <c r="O83" s="232">
        <f>trig_t</f>
        <v>160</v>
      </c>
      <c r="P83" s="232">
        <f>N83+T_s1</f>
        <v>750</v>
      </c>
      <c r="Q83" s="217"/>
      <c r="R83" s="38">
        <f t="shared" ref="R83" si="184">S82</f>
        <v>14</v>
      </c>
      <c r="S83" s="38">
        <f>R83+v_step</f>
        <v>16</v>
      </c>
      <c r="T83" s="39">
        <f t="shared" si="109"/>
        <v>0.93521468146599684</v>
      </c>
      <c r="U83" s="39">
        <f t="shared" si="110"/>
        <v>0.97196872164248893</v>
      </c>
      <c r="V83" s="39">
        <f t="shared" si="111"/>
        <v>3.6754040176492087E-2</v>
      </c>
      <c r="W83" s="39">
        <f t="shared" si="167"/>
        <v>4.1683101398930819E-2</v>
      </c>
      <c r="X83" s="40">
        <f t="shared" si="112"/>
        <v>3.4735917832442349E-2</v>
      </c>
      <c r="Y83" s="40" t="s">
        <v>21</v>
      </c>
      <c r="Z83" s="217">
        <f t="shared" si="124"/>
        <v>0.69471835664884696</v>
      </c>
      <c r="AA83" s="217">
        <f t="shared" si="113"/>
        <v>0.11578639277480783</v>
      </c>
    </row>
    <row r="84" spans="1:27" ht="15.75" thickBot="1" x14ac:dyDescent="0.3">
      <c r="A84" s="229">
        <f t="shared" si="168"/>
        <v>2786</v>
      </c>
      <c r="B84" s="230">
        <f t="shared" si="169"/>
        <v>74</v>
      </c>
      <c r="C84" s="218" t="str">
        <f t="shared" si="164"/>
        <v>24aX15-000_030_02</v>
      </c>
      <c r="D84" s="231">
        <f t="shared" ref="D84" si="185">D83</f>
        <v>15</v>
      </c>
      <c r="E84" s="239">
        <f t="shared" si="104"/>
        <v>2.3590000000000004</v>
      </c>
      <c r="F84" s="232">
        <f t="shared" si="125"/>
        <v>15.72666666666667</v>
      </c>
      <c r="G84" s="232">
        <f t="shared" si="105"/>
        <v>12.581333333333337</v>
      </c>
      <c r="H84" s="232">
        <f t="shared" si="106"/>
        <v>7.8633333333333351</v>
      </c>
      <c r="I84" s="232">
        <f t="shared" ref="I84" si="186">I83</f>
        <v>8</v>
      </c>
      <c r="J84" s="233">
        <f t="shared" ref="J84" si="187">J83</f>
        <v>0</v>
      </c>
      <c r="K84" s="228" t="str">
        <f t="shared" ref="K84" si="188">D84&amp;-2</f>
        <v>15-2</v>
      </c>
      <c r="L84" s="232">
        <f t="shared" ref="L84" si="189">L83</f>
        <v>0.2</v>
      </c>
      <c r="M84" s="235">
        <v>30</v>
      </c>
      <c r="N84" s="232">
        <f t="shared" ref="N84" si="190">N83</f>
        <v>150</v>
      </c>
      <c r="O84" s="232">
        <f t="shared" ref="O84" si="191">O83</f>
        <v>160</v>
      </c>
      <c r="P84" s="232">
        <f t="shared" ref="P84" si="192">P83</f>
        <v>750</v>
      </c>
      <c r="Q84" s="217"/>
      <c r="R84" s="38">
        <f t="shared" ref="R84:S84" si="193">R83</f>
        <v>14</v>
      </c>
      <c r="S84" s="38">
        <f t="shared" si="193"/>
        <v>16</v>
      </c>
      <c r="T84" s="39">
        <f t="shared" si="109"/>
        <v>0.93521468146599684</v>
      </c>
      <c r="U84" s="39">
        <f t="shared" si="110"/>
        <v>0.97196872164248893</v>
      </c>
      <c r="V84" s="39">
        <f t="shared" si="111"/>
        <v>3.6754040176492087E-2</v>
      </c>
      <c r="W84" s="39">
        <f t="shared" si="167"/>
        <v>4.1683101398930819E-2</v>
      </c>
      <c r="X84" s="40">
        <f t="shared" si="112"/>
        <v>3.4735917832442349E-2</v>
      </c>
      <c r="Y84" s="40" t="s">
        <v>21</v>
      </c>
      <c r="Z84" s="217">
        <f t="shared" si="124"/>
        <v>0.69471835664884696</v>
      </c>
      <c r="AA84" s="217">
        <f t="shared" si="113"/>
        <v>0.11578639277480783</v>
      </c>
    </row>
    <row r="85" spans="1:27" ht="15.75" thickBot="1" x14ac:dyDescent="0.3">
      <c r="A85" s="229">
        <f t="shared" si="168"/>
        <v>2787</v>
      </c>
      <c r="B85" s="230">
        <f t="shared" si="169"/>
        <v>75</v>
      </c>
      <c r="C85" s="218" t="str">
        <f t="shared" si="164"/>
        <v>24aX15-000_060_03</v>
      </c>
      <c r="D85" s="231">
        <f t="shared" si="114"/>
        <v>15</v>
      </c>
      <c r="E85" s="239">
        <f t="shared" si="104"/>
        <v>2.3590000000000004</v>
      </c>
      <c r="F85" s="232">
        <f t="shared" si="125"/>
        <v>15.72666666666667</v>
      </c>
      <c r="G85" s="232">
        <f t="shared" si="105"/>
        <v>12.581333333333337</v>
      </c>
      <c r="H85" s="232">
        <f t="shared" si="106"/>
        <v>7.8633333333333351</v>
      </c>
      <c r="I85" s="232">
        <f t="shared" ref="I85:J85" si="194">I84</f>
        <v>8</v>
      </c>
      <c r="J85" s="233">
        <f t="shared" si="194"/>
        <v>0</v>
      </c>
      <c r="K85" s="228" t="str">
        <f t="shared" ref="K85" si="195">D85&amp;-3</f>
        <v>15-3</v>
      </c>
      <c r="L85" s="232">
        <f t="shared" si="118"/>
        <v>0.2</v>
      </c>
      <c r="M85" s="235">
        <v>60</v>
      </c>
      <c r="N85" s="232">
        <f t="shared" si="119"/>
        <v>150</v>
      </c>
      <c r="O85" s="232">
        <f t="shared" si="120"/>
        <v>160</v>
      </c>
      <c r="P85" s="232">
        <f t="shared" si="121"/>
        <v>750</v>
      </c>
      <c r="Q85" s="217"/>
      <c r="R85" s="38">
        <f t="shared" si="122"/>
        <v>14</v>
      </c>
      <c r="S85" s="38">
        <f t="shared" si="122"/>
        <v>16</v>
      </c>
      <c r="T85" s="39">
        <f t="shared" si="109"/>
        <v>0.93521468146599684</v>
      </c>
      <c r="U85" s="39">
        <f t="shared" si="110"/>
        <v>0.97196872164248893</v>
      </c>
      <c r="V85" s="39">
        <f t="shared" si="111"/>
        <v>3.6754040176492087E-2</v>
      </c>
      <c r="W85" s="39">
        <f t="shared" si="167"/>
        <v>4.1683101398930819E-2</v>
      </c>
      <c r="X85" s="40">
        <f t="shared" si="112"/>
        <v>3.4735917832442349E-2</v>
      </c>
      <c r="Y85" s="40" t="s">
        <v>21</v>
      </c>
      <c r="Z85" s="217">
        <f t="shared" si="124"/>
        <v>0.69471835664884696</v>
      </c>
      <c r="AA85" s="217">
        <f t="shared" si="113"/>
        <v>0.11578639277480783</v>
      </c>
    </row>
    <row r="86" spans="1:27" ht="15.75" thickBot="1" x14ac:dyDescent="0.3">
      <c r="A86" s="229">
        <f t="shared" si="168"/>
        <v>2788</v>
      </c>
      <c r="B86" s="230">
        <f t="shared" si="169"/>
        <v>76</v>
      </c>
      <c r="C86" s="218" t="str">
        <f t="shared" si="164"/>
        <v>24aX15-000_090_04</v>
      </c>
      <c r="D86" s="231">
        <f t="shared" si="114"/>
        <v>15</v>
      </c>
      <c r="E86" s="239">
        <f t="shared" si="104"/>
        <v>2.3590000000000004</v>
      </c>
      <c r="F86" s="232">
        <f t="shared" si="125"/>
        <v>15.72666666666667</v>
      </c>
      <c r="G86" s="232">
        <f t="shared" si="105"/>
        <v>12.581333333333337</v>
      </c>
      <c r="H86" s="232">
        <f t="shared" si="106"/>
        <v>7.8633333333333351</v>
      </c>
      <c r="I86" s="232">
        <f t="shared" ref="I86:J86" si="196">I85</f>
        <v>8</v>
      </c>
      <c r="J86" s="233">
        <f t="shared" si="196"/>
        <v>0</v>
      </c>
      <c r="K86" s="228" t="str">
        <f t="shared" ref="K86" si="197">D86&amp;-4</f>
        <v>15-4</v>
      </c>
      <c r="L86" s="232">
        <f t="shared" si="118"/>
        <v>0.2</v>
      </c>
      <c r="M86" s="235">
        <v>90</v>
      </c>
      <c r="N86" s="232">
        <f t="shared" si="119"/>
        <v>150</v>
      </c>
      <c r="O86" s="232">
        <f t="shared" si="120"/>
        <v>160</v>
      </c>
      <c r="P86" s="232">
        <f t="shared" si="121"/>
        <v>750</v>
      </c>
      <c r="Q86" s="217"/>
      <c r="R86" s="38">
        <f t="shared" si="122"/>
        <v>14</v>
      </c>
      <c r="S86" s="38">
        <f t="shared" si="122"/>
        <v>16</v>
      </c>
      <c r="T86" s="39">
        <f t="shared" si="109"/>
        <v>0.93521468146599684</v>
      </c>
      <c r="U86" s="39">
        <f t="shared" si="110"/>
        <v>0.97196872164248893</v>
      </c>
      <c r="V86" s="39">
        <f t="shared" si="111"/>
        <v>3.6754040176492087E-2</v>
      </c>
      <c r="W86" s="39">
        <f t="shared" si="167"/>
        <v>4.1683101398930819E-2</v>
      </c>
      <c r="X86" s="40">
        <f t="shared" si="112"/>
        <v>3.4735917832442349E-2</v>
      </c>
      <c r="Y86" s="40" t="s">
        <v>21</v>
      </c>
      <c r="Z86" s="217">
        <f t="shared" si="124"/>
        <v>0.69471835664884696</v>
      </c>
      <c r="AA86" s="217">
        <f t="shared" si="113"/>
        <v>0.11578639277480783</v>
      </c>
    </row>
    <row r="87" spans="1:27" ht="15.75" thickBot="1" x14ac:dyDescent="0.3">
      <c r="A87" s="229">
        <f t="shared" si="168"/>
        <v>2789</v>
      </c>
      <c r="B87" s="230">
        <f t="shared" si="169"/>
        <v>77</v>
      </c>
      <c r="C87" s="218" t="str">
        <f t="shared" si="164"/>
        <v>24aX15-000_000_05</v>
      </c>
      <c r="D87" s="231">
        <f t="shared" si="114"/>
        <v>15</v>
      </c>
      <c r="E87" s="239">
        <f t="shared" si="104"/>
        <v>2.3590000000000004</v>
      </c>
      <c r="F87" s="232">
        <f t="shared" si="125"/>
        <v>15.72666666666667</v>
      </c>
      <c r="G87" s="232">
        <f t="shared" si="105"/>
        <v>12.581333333333337</v>
      </c>
      <c r="H87" s="232">
        <f t="shared" si="106"/>
        <v>7.8633333333333351</v>
      </c>
      <c r="I87" s="232">
        <f t="shared" ref="I87:J87" si="198">I86</f>
        <v>8</v>
      </c>
      <c r="J87" s="233">
        <f t="shared" si="198"/>
        <v>0</v>
      </c>
      <c r="K87" s="228" t="str">
        <f t="shared" ref="K87" si="199">D87&amp;-5</f>
        <v>15-5</v>
      </c>
      <c r="L87" s="232">
        <f t="shared" si="118"/>
        <v>0.2</v>
      </c>
      <c r="M87" s="235">
        <v>0</v>
      </c>
      <c r="N87" s="232">
        <f t="shared" si="119"/>
        <v>150</v>
      </c>
      <c r="O87" s="232">
        <f t="shared" si="120"/>
        <v>160</v>
      </c>
      <c r="P87" s="232">
        <f t="shared" si="121"/>
        <v>750</v>
      </c>
      <c r="Q87" s="217"/>
      <c r="R87" s="38">
        <f t="shared" si="122"/>
        <v>14</v>
      </c>
      <c r="S87" s="38">
        <f t="shared" si="122"/>
        <v>16</v>
      </c>
      <c r="T87" s="39">
        <f t="shared" si="109"/>
        <v>0.93521468146599684</v>
      </c>
      <c r="U87" s="39">
        <f t="shared" si="110"/>
        <v>0.97196872164248893</v>
      </c>
      <c r="V87" s="39">
        <f t="shared" si="111"/>
        <v>3.6754040176492087E-2</v>
      </c>
      <c r="W87" s="39">
        <f t="shared" si="167"/>
        <v>4.1683101398930819E-2</v>
      </c>
      <c r="X87" s="40">
        <f t="shared" si="112"/>
        <v>3.4735917832442349E-2</v>
      </c>
      <c r="Y87" s="40" t="s">
        <v>21</v>
      </c>
      <c r="Z87" s="217">
        <f t="shared" si="124"/>
        <v>0.69471835664884696</v>
      </c>
      <c r="AA87" s="217">
        <f t="shared" si="113"/>
        <v>0.11578639277480783</v>
      </c>
    </row>
    <row r="88" spans="1:27" ht="15.75" thickBot="1" x14ac:dyDescent="0.3">
      <c r="A88" s="229">
        <f t="shared" si="168"/>
        <v>2790</v>
      </c>
      <c r="B88" s="230">
        <f t="shared" si="169"/>
        <v>78</v>
      </c>
      <c r="C88" s="218" t="str">
        <f t="shared" si="164"/>
        <v>24aX15-000_030_06</v>
      </c>
      <c r="D88" s="231">
        <f t="shared" si="114"/>
        <v>15</v>
      </c>
      <c r="E88" s="239">
        <f t="shared" si="104"/>
        <v>2.3590000000000004</v>
      </c>
      <c r="F88" s="232">
        <f t="shared" si="125"/>
        <v>15.72666666666667</v>
      </c>
      <c r="G88" s="232">
        <f t="shared" si="105"/>
        <v>12.581333333333337</v>
      </c>
      <c r="H88" s="232">
        <f t="shared" si="106"/>
        <v>7.8633333333333351</v>
      </c>
      <c r="I88" s="232">
        <f t="shared" ref="I88:J88" si="200">I87</f>
        <v>8</v>
      </c>
      <c r="J88" s="233">
        <f t="shared" si="200"/>
        <v>0</v>
      </c>
      <c r="K88" s="228" t="str">
        <f t="shared" ref="K88" si="201">D88&amp;-6</f>
        <v>15-6</v>
      </c>
      <c r="L88" s="232">
        <f t="shared" si="118"/>
        <v>0.2</v>
      </c>
      <c r="M88" s="235">
        <v>30</v>
      </c>
      <c r="N88" s="232">
        <f t="shared" si="119"/>
        <v>150</v>
      </c>
      <c r="O88" s="232">
        <f t="shared" si="120"/>
        <v>160</v>
      </c>
      <c r="P88" s="232">
        <f t="shared" si="121"/>
        <v>750</v>
      </c>
      <c r="Q88" s="217"/>
      <c r="R88" s="38">
        <f t="shared" si="122"/>
        <v>14</v>
      </c>
      <c r="S88" s="38">
        <f t="shared" si="122"/>
        <v>16</v>
      </c>
      <c r="T88" s="39">
        <f t="shared" si="109"/>
        <v>0.93521468146599684</v>
      </c>
      <c r="U88" s="39">
        <f t="shared" si="110"/>
        <v>0.97196872164248893</v>
      </c>
      <c r="V88" s="39">
        <f t="shared" si="111"/>
        <v>3.6754040176492087E-2</v>
      </c>
      <c r="W88" s="39">
        <f t="shared" si="167"/>
        <v>4.1683101398930819E-2</v>
      </c>
      <c r="X88" s="40">
        <f t="shared" si="112"/>
        <v>3.4735917832442349E-2</v>
      </c>
      <c r="Y88" s="40" t="s">
        <v>21</v>
      </c>
      <c r="Z88" s="217">
        <f t="shared" si="124"/>
        <v>0.69471835664884696</v>
      </c>
      <c r="AA88" s="217">
        <f t="shared" si="113"/>
        <v>0.11578639277480783</v>
      </c>
    </row>
    <row r="89" spans="1:27" ht="15.75" thickBot="1" x14ac:dyDescent="0.3">
      <c r="A89" s="229">
        <f t="shared" si="168"/>
        <v>2791</v>
      </c>
      <c r="B89" s="230">
        <f t="shared" si="169"/>
        <v>79</v>
      </c>
      <c r="C89" s="218" t="str">
        <f t="shared" si="164"/>
        <v>24aX15-000_060_07</v>
      </c>
      <c r="D89" s="231">
        <f t="shared" si="114"/>
        <v>15</v>
      </c>
      <c r="E89" s="239">
        <f t="shared" si="104"/>
        <v>2.3590000000000004</v>
      </c>
      <c r="F89" s="232">
        <f t="shared" si="125"/>
        <v>15.72666666666667</v>
      </c>
      <c r="G89" s="232">
        <f t="shared" si="105"/>
        <v>12.581333333333337</v>
      </c>
      <c r="H89" s="232">
        <f t="shared" si="106"/>
        <v>7.8633333333333351</v>
      </c>
      <c r="I89" s="232">
        <f t="shared" ref="I89:J89" si="202">I88</f>
        <v>8</v>
      </c>
      <c r="J89" s="233">
        <f t="shared" si="202"/>
        <v>0</v>
      </c>
      <c r="K89" s="228" t="str">
        <f t="shared" ref="K89" si="203">D89&amp;-7</f>
        <v>15-7</v>
      </c>
      <c r="L89" s="232">
        <f t="shared" si="118"/>
        <v>0.2</v>
      </c>
      <c r="M89" s="235">
        <v>60</v>
      </c>
      <c r="N89" s="232">
        <f t="shared" si="119"/>
        <v>150</v>
      </c>
      <c r="O89" s="232">
        <f t="shared" si="120"/>
        <v>160</v>
      </c>
      <c r="P89" s="232">
        <f t="shared" si="121"/>
        <v>750</v>
      </c>
      <c r="Q89" s="217"/>
      <c r="R89" s="38">
        <f t="shared" si="122"/>
        <v>14</v>
      </c>
      <c r="S89" s="38">
        <f t="shared" si="122"/>
        <v>16</v>
      </c>
      <c r="T89" s="39">
        <f t="shared" si="109"/>
        <v>0.93521468146599684</v>
      </c>
      <c r="U89" s="39">
        <f t="shared" si="110"/>
        <v>0.97196872164248893</v>
      </c>
      <c r="V89" s="39">
        <f t="shared" si="111"/>
        <v>3.6754040176492087E-2</v>
      </c>
      <c r="W89" s="39">
        <f t="shared" si="167"/>
        <v>4.1683101398930819E-2</v>
      </c>
      <c r="X89" s="40">
        <f t="shared" si="112"/>
        <v>3.4735917832442349E-2</v>
      </c>
      <c r="Y89" s="40" t="s">
        <v>21</v>
      </c>
      <c r="Z89" s="217">
        <f t="shared" si="124"/>
        <v>0.69471835664884696</v>
      </c>
      <c r="AA89" s="217">
        <f t="shared" si="113"/>
        <v>0.11578639277480783</v>
      </c>
    </row>
    <row r="90" spans="1:27" ht="15.75" thickBot="1" x14ac:dyDescent="0.3">
      <c r="A90" s="229">
        <f t="shared" si="168"/>
        <v>2792</v>
      </c>
      <c r="B90" s="230">
        <f t="shared" si="169"/>
        <v>80</v>
      </c>
      <c r="C90" s="218" t="str">
        <f t="shared" si="164"/>
        <v>24aX15-000_090_08</v>
      </c>
      <c r="D90" s="231">
        <f t="shared" si="114"/>
        <v>15</v>
      </c>
      <c r="E90" s="239">
        <f t="shared" si="104"/>
        <v>2.3590000000000004</v>
      </c>
      <c r="F90" s="232">
        <f t="shared" si="125"/>
        <v>15.72666666666667</v>
      </c>
      <c r="G90" s="232">
        <f t="shared" si="105"/>
        <v>12.581333333333337</v>
      </c>
      <c r="H90" s="232">
        <f t="shared" si="106"/>
        <v>7.8633333333333351</v>
      </c>
      <c r="I90" s="232">
        <f t="shared" ref="I90:J90" si="204">I89</f>
        <v>8</v>
      </c>
      <c r="J90" s="233">
        <f t="shared" si="204"/>
        <v>0</v>
      </c>
      <c r="K90" s="228" t="str">
        <f t="shared" ref="K90" si="205">D90&amp;-8</f>
        <v>15-8</v>
      </c>
      <c r="L90" s="232">
        <f t="shared" si="118"/>
        <v>0.2</v>
      </c>
      <c r="M90" s="235">
        <v>90</v>
      </c>
      <c r="N90" s="232">
        <f t="shared" si="119"/>
        <v>150</v>
      </c>
      <c r="O90" s="232">
        <f t="shared" si="120"/>
        <v>160</v>
      </c>
      <c r="P90" s="232">
        <f t="shared" si="121"/>
        <v>750</v>
      </c>
      <c r="Q90" s="217"/>
      <c r="R90" s="38">
        <f t="shared" si="122"/>
        <v>14</v>
      </c>
      <c r="S90" s="38">
        <f t="shared" si="122"/>
        <v>16</v>
      </c>
      <c r="T90" s="39">
        <f t="shared" si="109"/>
        <v>0.93521468146599684</v>
      </c>
      <c r="U90" s="39">
        <f t="shared" si="110"/>
        <v>0.97196872164248893</v>
      </c>
      <c r="V90" s="39">
        <f t="shared" si="111"/>
        <v>3.6754040176492087E-2</v>
      </c>
      <c r="W90" s="39">
        <f t="shared" si="167"/>
        <v>4.1683101398930819E-2</v>
      </c>
      <c r="X90" s="40">
        <f t="shared" si="112"/>
        <v>3.4735917832442349E-2</v>
      </c>
      <c r="Y90" s="40" t="s">
        <v>21</v>
      </c>
      <c r="Z90" s="217">
        <f t="shared" si="124"/>
        <v>0.69471835664884696</v>
      </c>
      <c r="AA90" s="217">
        <f t="shared" si="113"/>
        <v>0.11578639277480783</v>
      </c>
    </row>
    <row r="91" spans="1:27" ht="15.75" thickBot="1" x14ac:dyDescent="0.3">
      <c r="A91" s="229">
        <f t="shared" si="168"/>
        <v>2793</v>
      </c>
      <c r="B91" s="230">
        <f t="shared" si="169"/>
        <v>81</v>
      </c>
      <c r="C91" s="218" t="str">
        <f t="shared" si="164"/>
        <v>24aX15-000_000_09</v>
      </c>
      <c r="D91" s="231">
        <f t="shared" si="114"/>
        <v>15</v>
      </c>
      <c r="E91" s="239">
        <f t="shared" si="104"/>
        <v>2.3590000000000004</v>
      </c>
      <c r="F91" s="232">
        <f t="shared" si="125"/>
        <v>15.72666666666667</v>
      </c>
      <c r="G91" s="232">
        <f t="shared" si="105"/>
        <v>12.581333333333337</v>
      </c>
      <c r="H91" s="232">
        <f t="shared" si="106"/>
        <v>7.8633333333333351</v>
      </c>
      <c r="I91" s="232">
        <f t="shared" ref="I91:J91" si="206">I90</f>
        <v>8</v>
      </c>
      <c r="J91" s="233">
        <f t="shared" si="206"/>
        <v>0</v>
      </c>
      <c r="K91" s="228" t="str">
        <f t="shared" ref="K91" si="207">D91&amp;-9</f>
        <v>15-9</v>
      </c>
      <c r="L91" s="232">
        <f t="shared" si="118"/>
        <v>0.2</v>
      </c>
      <c r="M91" s="235">
        <v>0</v>
      </c>
      <c r="N91" s="232">
        <f t="shared" si="119"/>
        <v>150</v>
      </c>
      <c r="O91" s="232">
        <f t="shared" si="120"/>
        <v>160</v>
      </c>
      <c r="P91" s="232">
        <f t="shared" si="121"/>
        <v>750</v>
      </c>
      <c r="Q91" s="217"/>
      <c r="R91" s="38">
        <f t="shared" si="122"/>
        <v>14</v>
      </c>
      <c r="S91" s="38">
        <f t="shared" si="122"/>
        <v>16</v>
      </c>
      <c r="T91" s="39">
        <f t="shared" si="109"/>
        <v>0.93521468146599684</v>
      </c>
      <c r="U91" s="39">
        <f t="shared" si="110"/>
        <v>0.97196872164248893</v>
      </c>
      <c r="V91" s="39">
        <f t="shared" si="111"/>
        <v>3.6754040176492087E-2</v>
      </c>
      <c r="W91" s="39">
        <f t="shared" si="167"/>
        <v>4.1683101398930819E-2</v>
      </c>
      <c r="X91" s="40">
        <f t="shared" si="112"/>
        <v>3.4735917832442349E-2</v>
      </c>
      <c r="Y91" s="40" t="s">
        <v>21</v>
      </c>
      <c r="Z91" s="217">
        <f t="shared" si="124"/>
        <v>0.69471835664884696</v>
      </c>
      <c r="AA91" s="217">
        <f t="shared" si="113"/>
        <v>0.11578639277480783</v>
      </c>
    </row>
    <row r="92" spans="1:27" ht="15.75" thickBot="1" x14ac:dyDescent="0.3">
      <c r="A92" s="229">
        <f t="shared" si="168"/>
        <v>2794</v>
      </c>
      <c r="B92" s="230">
        <f t="shared" si="169"/>
        <v>82</v>
      </c>
      <c r="C92" s="218" t="str">
        <f t="shared" si="164"/>
        <v>24aX15-000_030_10</v>
      </c>
      <c r="D92" s="231">
        <f t="shared" si="114"/>
        <v>15</v>
      </c>
      <c r="E92" s="239">
        <f t="shared" si="104"/>
        <v>2.3590000000000004</v>
      </c>
      <c r="F92" s="232">
        <f t="shared" si="125"/>
        <v>15.72666666666667</v>
      </c>
      <c r="G92" s="232">
        <f t="shared" si="105"/>
        <v>12.581333333333337</v>
      </c>
      <c r="H92" s="232">
        <f t="shared" si="106"/>
        <v>7.8633333333333351</v>
      </c>
      <c r="I92" s="232">
        <f t="shared" ref="I92:J92" si="208">I91</f>
        <v>8</v>
      </c>
      <c r="J92" s="233">
        <f t="shared" si="208"/>
        <v>0</v>
      </c>
      <c r="K92" s="228" t="str">
        <f t="shared" ref="K92" si="209">D92&amp;-10</f>
        <v>15-10</v>
      </c>
      <c r="L92" s="232">
        <f t="shared" si="118"/>
        <v>0.2</v>
      </c>
      <c r="M92" s="235">
        <v>30</v>
      </c>
      <c r="N92" s="232">
        <f t="shared" si="119"/>
        <v>150</v>
      </c>
      <c r="O92" s="232">
        <f t="shared" si="120"/>
        <v>160</v>
      </c>
      <c r="P92" s="232">
        <f t="shared" si="121"/>
        <v>750</v>
      </c>
      <c r="Q92" s="217"/>
      <c r="R92" s="38">
        <f t="shared" si="122"/>
        <v>14</v>
      </c>
      <c r="S92" s="38">
        <f t="shared" si="122"/>
        <v>16</v>
      </c>
      <c r="T92" s="39">
        <f t="shared" si="109"/>
        <v>0.93521468146599684</v>
      </c>
      <c r="U92" s="39">
        <f t="shared" si="110"/>
        <v>0.97196872164248893</v>
      </c>
      <c r="V92" s="39">
        <f t="shared" si="111"/>
        <v>3.6754040176492087E-2</v>
      </c>
      <c r="W92" s="39">
        <f t="shared" si="167"/>
        <v>4.1683101398930819E-2</v>
      </c>
      <c r="X92" s="40">
        <f t="shared" si="112"/>
        <v>3.4735917832442349E-2</v>
      </c>
      <c r="Y92" s="40" t="s">
        <v>21</v>
      </c>
      <c r="Z92" s="217">
        <f t="shared" si="124"/>
        <v>0.69471835664884696</v>
      </c>
      <c r="AA92" s="217">
        <f t="shared" si="113"/>
        <v>0.11578639277480783</v>
      </c>
    </row>
    <row r="93" spans="1:27" ht="15.75" thickBot="1" x14ac:dyDescent="0.3">
      <c r="A93" s="229">
        <f t="shared" si="168"/>
        <v>2795</v>
      </c>
      <c r="B93" s="230">
        <f t="shared" si="169"/>
        <v>83</v>
      </c>
      <c r="C93" s="218" t="str">
        <f t="shared" si="164"/>
        <v>24aX15-000_060_11</v>
      </c>
      <c r="D93" s="231">
        <f t="shared" si="114"/>
        <v>15</v>
      </c>
      <c r="E93" s="239">
        <f t="shared" si="104"/>
        <v>2.3590000000000004</v>
      </c>
      <c r="F93" s="232">
        <f t="shared" si="125"/>
        <v>15.72666666666667</v>
      </c>
      <c r="G93" s="232">
        <f t="shared" si="105"/>
        <v>12.581333333333337</v>
      </c>
      <c r="H93" s="232">
        <f t="shared" si="106"/>
        <v>7.8633333333333351</v>
      </c>
      <c r="I93" s="232">
        <f t="shared" ref="I93:J93" si="210">I92</f>
        <v>8</v>
      </c>
      <c r="J93" s="233">
        <f t="shared" si="210"/>
        <v>0</v>
      </c>
      <c r="K93" s="228" t="str">
        <f t="shared" ref="K93" si="211">D93&amp;-11</f>
        <v>15-11</v>
      </c>
      <c r="L93" s="232">
        <f t="shared" si="118"/>
        <v>0.2</v>
      </c>
      <c r="M93" s="235">
        <v>60</v>
      </c>
      <c r="N93" s="232">
        <f t="shared" si="119"/>
        <v>150</v>
      </c>
      <c r="O93" s="232">
        <f t="shared" si="120"/>
        <v>160</v>
      </c>
      <c r="P93" s="232">
        <f t="shared" si="121"/>
        <v>750</v>
      </c>
      <c r="Q93" s="217"/>
      <c r="R93" s="38">
        <f t="shared" si="122"/>
        <v>14</v>
      </c>
      <c r="S93" s="38">
        <f t="shared" si="122"/>
        <v>16</v>
      </c>
      <c r="T93" s="39">
        <f t="shared" si="109"/>
        <v>0.93521468146599684</v>
      </c>
      <c r="U93" s="39">
        <f t="shared" si="110"/>
        <v>0.97196872164248893</v>
      </c>
      <c r="V93" s="39">
        <f t="shared" si="111"/>
        <v>3.6754040176492087E-2</v>
      </c>
      <c r="W93" s="39">
        <f t="shared" si="167"/>
        <v>4.1683101398930819E-2</v>
      </c>
      <c r="X93" s="40">
        <f t="shared" si="112"/>
        <v>3.4735917832442349E-2</v>
      </c>
      <c r="Y93" s="40" t="s">
        <v>21</v>
      </c>
      <c r="Z93" s="217">
        <f t="shared" si="124"/>
        <v>0.69471835664884696</v>
      </c>
      <c r="AA93" s="217">
        <f t="shared" si="113"/>
        <v>0.11578639277480783</v>
      </c>
    </row>
    <row r="94" spans="1:27" ht="15.75" thickBot="1" x14ac:dyDescent="0.3">
      <c r="A94" s="229">
        <f t="shared" si="168"/>
        <v>2796</v>
      </c>
      <c r="B94" s="230">
        <f t="shared" si="169"/>
        <v>84</v>
      </c>
      <c r="C94" s="218" t="str">
        <f t="shared" si="164"/>
        <v>24aX15-000_090_12</v>
      </c>
      <c r="D94" s="231">
        <f t="shared" si="114"/>
        <v>15</v>
      </c>
      <c r="E94" s="239">
        <f t="shared" si="104"/>
        <v>2.3590000000000004</v>
      </c>
      <c r="F94" s="232">
        <f t="shared" si="125"/>
        <v>15.72666666666667</v>
      </c>
      <c r="G94" s="232">
        <f t="shared" si="105"/>
        <v>12.581333333333337</v>
      </c>
      <c r="H94" s="232">
        <f t="shared" si="106"/>
        <v>7.8633333333333351</v>
      </c>
      <c r="I94" s="232">
        <f t="shared" ref="I94:J94" si="212">I93</f>
        <v>8</v>
      </c>
      <c r="J94" s="233">
        <f t="shared" si="212"/>
        <v>0</v>
      </c>
      <c r="K94" s="228" t="str">
        <f t="shared" ref="K94" si="213">D94&amp;-12</f>
        <v>15-12</v>
      </c>
      <c r="L94" s="232">
        <f t="shared" si="118"/>
        <v>0.2</v>
      </c>
      <c r="M94" s="235">
        <v>90</v>
      </c>
      <c r="N94" s="232">
        <f t="shared" si="119"/>
        <v>150</v>
      </c>
      <c r="O94" s="232">
        <f t="shared" si="120"/>
        <v>160</v>
      </c>
      <c r="P94" s="232">
        <f t="shared" si="121"/>
        <v>750</v>
      </c>
      <c r="Q94" s="217"/>
      <c r="R94" s="38">
        <f t="shared" si="122"/>
        <v>14</v>
      </c>
      <c r="S94" s="38">
        <f t="shared" si="122"/>
        <v>16</v>
      </c>
      <c r="T94" s="39">
        <f t="shared" si="109"/>
        <v>0.93521468146599684</v>
      </c>
      <c r="U94" s="39">
        <f t="shared" si="110"/>
        <v>0.97196872164248893</v>
      </c>
      <c r="V94" s="39">
        <f t="shared" si="111"/>
        <v>3.6754040176492087E-2</v>
      </c>
      <c r="W94" s="39">
        <f t="shared" si="167"/>
        <v>4.1683101398930819E-2</v>
      </c>
      <c r="X94" s="40">
        <f t="shared" si="112"/>
        <v>3.4735917832442349E-2</v>
      </c>
      <c r="Y94" s="40" t="s">
        <v>21</v>
      </c>
      <c r="Z94" s="217">
        <f t="shared" si="124"/>
        <v>0.69471835664884696</v>
      </c>
      <c r="AA94" s="217">
        <f t="shared" si="113"/>
        <v>0.11578639277480783</v>
      </c>
    </row>
    <row r="95" spans="1:27" ht="15.75" thickBot="1" x14ac:dyDescent="0.3">
      <c r="A95" s="229">
        <f t="shared" si="168"/>
        <v>2797</v>
      </c>
      <c r="B95" s="230">
        <f t="shared" si="169"/>
        <v>85</v>
      </c>
      <c r="C95" s="218" t="str">
        <f t="shared" si="164"/>
        <v>24aX17-000_000_01</v>
      </c>
      <c r="D95" s="231">
        <f t="shared" ref="D95" si="214">D94+2</f>
        <v>17</v>
      </c>
      <c r="E95" s="239">
        <f t="shared" si="104"/>
        <v>2.5690000000000004</v>
      </c>
      <c r="F95" s="232">
        <f t="shared" si="125"/>
        <v>15.111764705882354</v>
      </c>
      <c r="G95" s="232">
        <f t="shared" si="105"/>
        <v>12.089411764705885</v>
      </c>
      <c r="H95" s="232">
        <f t="shared" si="106"/>
        <v>7.5558823529411772</v>
      </c>
      <c r="I95" s="232">
        <f>inflow</f>
        <v>8</v>
      </c>
      <c r="J95" s="233">
        <f>yaw_null</f>
        <v>0</v>
      </c>
      <c r="K95" s="228" t="str">
        <f t="shared" ref="K95" si="215">D95&amp;-1</f>
        <v>17-1</v>
      </c>
      <c r="L95" s="232">
        <f>alpha_n</f>
        <v>0.2</v>
      </c>
      <c r="M95" s="235">
        <v>0</v>
      </c>
      <c r="N95" s="232">
        <f>t_out</f>
        <v>150</v>
      </c>
      <c r="O95" s="232">
        <f>trig_t</f>
        <v>160</v>
      </c>
      <c r="P95" s="232">
        <f>N95+T_s1</f>
        <v>750</v>
      </c>
      <c r="Q95" s="217"/>
      <c r="R95" s="38">
        <f t="shared" ref="R95" si="216">S94</f>
        <v>16</v>
      </c>
      <c r="S95" s="38">
        <f>R95+v_step</f>
        <v>18</v>
      </c>
      <c r="T95" s="39">
        <f t="shared" si="109"/>
        <v>0.97196872164248893</v>
      </c>
      <c r="U95" s="39">
        <f t="shared" si="110"/>
        <v>0.98915328946183989</v>
      </c>
      <c r="V95" s="39">
        <f t="shared" si="111"/>
        <v>1.718456781935096E-2</v>
      </c>
      <c r="W95" s="39">
        <f t="shared" si="167"/>
        <v>1.948917940643052E-2</v>
      </c>
      <c r="X95" s="40">
        <f t="shared" si="112"/>
        <v>1.6240982838692099E-2</v>
      </c>
      <c r="Y95" s="40" t="s">
        <v>21</v>
      </c>
      <c r="Z95" s="217">
        <f t="shared" si="124"/>
        <v>0.324819656773842</v>
      </c>
      <c r="AA95" s="217">
        <f t="shared" si="113"/>
        <v>5.4136609462307E-2</v>
      </c>
    </row>
    <row r="96" spans="1:27" ht="15.75" thickBot="1" x14ac:dyDescent="0.3">
      <c r="A96" s="229">
        <f t="shared" si="168"/>
        <v>2798</v>
      </c>
      <c r="B96" s="230">
        <f t="shared" si="169"/>
        <v>86</v>
      </c>
      <c r="C96" s="218" t="str">
        <f t="shared" si="164"/>
        <v>24aX17-000_030_02</v>
      </c>
      <c r="D96" s="231">
        <f t="shared" ref="D96" si="217">D95</f>
        <v>17</v>
      </c>
      <c r="E96" s="239">
        <f t="shared" si="104"/>
        <v>2.5690000000000004</v>
      </c>
      <c r="F96" s="232">
        <f t="shared" si="125"/>
        <v>15.111764705882354</v>
      </c>
      <c r="G96" s="232">
        <f t="shared" si="105"/>
        <v>12.089411764705885</v>
      </c>
      <c r="H96" s="232">
        <f t="shared" si="106"/>
        <v>7.5558823529411772</v>
      </c>
      <c r="I96" s="232">
        <f t="shared" ref="I96" si="218">I95</f>
        <v>8</v>
      </c>
      <c r="J96" s="233">
        <f t="shared" ref="J96" si="219">J95</f>
        <v>0</v>
      </c>
      <c r="K96" s="228" t="str">
        <f t="shared" ref="K96" si="220">D96&amp;-2</f>
        <v>17-2</v>
      </c>
      <c r="L96" s="232">
        <f t="shared" ref="L96" si="221">L95</f>
        <v>0.2</v>
      </c>
      <c r="M96" s="235">
        <v>30</v>
      </c>
      <c r="N96" s="232">
        <f t="shared" ref="N96" si="222">N95</f>
        <v>150</v>
      </c>
      <c r="O96" s="232">
        <f t="shared" ref="O96" si="223">O95</f>
        <v>160</v>
      </c>
      <c r="P96" s="232">
        <f t="shared" ref="P96" si="224">P95</f>
        <v>750</v>
      </c>
      <c r="Q96" s="217"/>
      <c r="R96" s="38">
        <f t="shared" ref="R96:S96" si="225">R95</f>
        <v>16</v>
      </c>
      <c r="S96" s="38">
        <f t="shared" si="225"/>
        <v>18</v>
      </c>
      <c r="T96" s="39">
        <f t="shared" si="109"/>
        <v>0.97196872164248893</v>
      </c>
      <c r="U96" s="39">
        <f t="shared" si="110"/>
        <v>0.98915328946183989</v>
      </c>
      <c r="V96" s="39">
        <f t="shared" si="111"/>
        <v>1.718456781935096E-2</v>
      </c>
      <c r="W96" s="39">
        <f t="shared" si="167"/>
        <v>1.948917940643052E-2</v>
      </c>
      <c r="X96" s="40">
        <f t="shared" si="112"/>
        <v>1.6240982838692099E-2</v>
      </c>
      <c r="Y96" s="40" t="s">
        <v>21</v>
      </c>
      <c r="Z96" s="217">
        <f t="shared" si="124"/>
        <v>0.324819656773842</v>
      </c>
      <c r="AA96" s="217">
        <f t="shared" si="113"/>
        <v>5.4136609462307E-2</v>
      </c>
    </row>
    <row r="97" spans="1:27" ht="15.75" thickBot="1" x14ac:dyDescent="0.3">
      <c r="A97" s="229">
        <f t="shared" si="168"/>
        <v>2799</v>
      </c>
      <c r="B97" s="230">
        <f t="shared" si="169"/>
        <v>87</v>
      </c>
      <c r="C97" s="218" t="str">
        <f t="shared" si="164"/>
        <v>24aX17-000_060_03</v>
      </c>
      <c r="D97" s="231">
        <f t="shared" si="114"/>
        <v>17</v>
      </c>
      <c r="E97" s="239">
        <f t="shared" si="104"/>
        <v>2.5690000000000004</v>
      </c>
      <c r="F97" s="232">
        <f t="shared" si="125"/>
        <v>15.111764705882354</v>
      </c>
      <c r="G97" s="232">
        <f t="shared" si="105"/>
        <v>12.089411764705885</v>
      </c>
      <c r="H97" s="232">
        <f t="shared" si="106"/>
        <v>7.5558823529411772</v>
      </c>
      <c r="I97" s="232">
        <f t="shared" ref="I97:J97" si="226">I96</f>
        <v>8</v>
      </c>
      <c r="J97" s="233">
        <f t="shared" si="226"/>
        <v>0</v>
      </c>
      <c r="K97" s="228" t="str">
        <f t="shared" ref="K97" si="227">D97&amp;-3</f>
        <v>17-3</v>
      </c>
      <c r="L97" s="232">
        <f t="shared" si="118"/>
        <v>0.2</v>
      </c>
      <c r="M97" s="235">
        <v>60</v>
      </c>
      <c r="N97" s="232">
        <f t="shared" si="119"/>
        <v>150</v>
      </c>
      <c r="O97" s="232">
        <f t="shared" si="120"/>
        <v>160</v>
      </c>
      <c r="P97" s="232">
        <f t="shared" si="121"/>
        <v>750</v>
      </c>
      <c r="Q97" s="217"/>
      <c r="R97" s="38">
        <f t="shared" si="122"/>
        <v>16</v>
      </c>
      <c r="S97" s="38">
        <f t="shared" si="122"/>
        <v>18</v>
      </c>
      <c r="T97" s="39">
        <f t="shared" si="109"/>
        <v>0.97196872164248893</v>
      </c>
      <c r="U97" s="39">
        <f t="shared" si="110"/>
        <v>0.98915328946183989</v>
      </c>
      <c r="V97" s="39">
        <f t="shared" si="111"/>
        <v>1.718456781935096E-2</v>
      </c>
      <c r="W97" s="39">
        <f t="shared" si="167"/>
        <v>1.948917940643052E-2</v>
      </c>
      <c r="X97" s="40">
        <f t="shared" si="112"/>
        <v>1.6240982838692099E-2</v>
      </c>
      <c r="Y97" s="40" t="s">
        <v>21</v>
      </c>
      <c r="Z97" s="217">
        <f t="shared" si="124"/>
        <v>0.324819656773842</v>
      </c>
      <c r="AA97" s="217">
        <f t="shared" si="113"/>
        <v>5.4136609462307E-2</v>
      </c>
    </row>
    <row r="98" spans="1:27" ht="15.75" thickBot="1" x14ac:dyDescent="0.3">
      <c r="A98" s="229">
        <f t="shared" si="168"/>
        <v>2800</v>
      </c>
      <c r="B98" s="230">
        <f t="shared" si="169"/>
        <v>88</v>
      </c>
      <c r="C98" s="218" t="str">
        <f t="shared" si="164"/>
        <v>24aX17-000_090_04</v>
      </c>
      <c r="D98" s="231">
        <f t="shared" si="114"/>
        <v>17</v>
      </c>
      <c r="E98" s="239">
        <f t="shared" si="104"/>
        <v>2.5690000000000004</v>
      </c>
      <c r="F98" s="232">
        <f t="shared" si="125"/>
        <v>15.111764705882354</v>
      </c>
      <c r="G98" s="232">
        <f t="shared" si="105"/>
        <v>12.089411764705885</v>
      </c>
      <c r="H98" s="232">
        <f t="shared" si="106"/>
        <v>7.5558823529411772</v>
      </c>
      <c r="I98" s="232">
        <f t="shared" ref="I98:J98" si="228">I97</f>
        <v>8</v>
      </c>
      <c r="J98" s="233">
        <f t="shared" si="228"/>
        <v>0</v>
      </c>
      <c r="K98" s="228" t="str">
        <f t="shared" ref="K98" si="229">D98&amp;-4</f>
        <v>17-4</v>
      </c>
      <c r="L98" s="232">
        <f t="shared" si="118"/>
        <v>0.2</v>
      </c>
      <c r="M98" s="235">
        <v>90</v>
      </c>
      <c r="N98" s="232">
        <f t="shared" si="119"/>
        <v>150</v>
      </c>
      <c r="O98" s="232">
        <f t="shared" si="120"/>
        <v>160</v>
      </c>
      <c r="P98" s="232">
        <f t="shared" si="121"/>
        <v>750</v>
      </c>
      <c r="Q98" s="217"/>
      <c r="R98" s="38">
        <f t="shared" si="122"/>
        <v>16</v>
      </c>
      <c r="S98" s="38">
        <f t="shared" si="122"/>
        <v>18</v>
      </c>
      <c r="T98" s="39">
        <f t="shared" si="109"/>
        <v>0.97196872164248893</v>
      </c>
      <c r="U98" s="39">
        <f t="shared" si="110"/>
        <v>0.98915328946183989</v>
      </c>
      <c r="V98" s="39">
        <f t="shared" si="111"/>
        <v>1.718456781935096E-2</v>
      </c>
      <c r="W98" s="39">
        <f t="shared" si="167"/>
        <v>1.948917940643052E-2</v>
      </c>
      <c r="X98" s="40">
        <f t="shared" si="112"/>
        <v>1.6240982838692099E-2</v>
      </c>
      <c r="Y98" s="40" t="s">
        <v>21</v>
      </c>
      <c r="Z98" s="217">
        <f t="shared" si="124"/>
        <v>0.324819656773842</v>
      </c>
      <c r="AA98" s="217">
        <f t="shared" si="113"/>
        <v>5.4136609462307E-2</v>
      </c>
    </row>
    <row r="99" spans="1:27" ht="15.75" thickBot="1" x14ac:dyDescent="0.3">
      <c r="A99" s="229">
        <f t="shared" si="168"/>
        <v>2801</v>
      </c>
      <c r="B99" s="230">
        <f t="shared" si="169"/>
        <v>89</v>
      </c>
      <c r="C99" s="218" t="str">
        <f t="shared" si="164"/>
        <v>24aX17-000_000_05</v>
      </c>
      <c r="D99" s="231">
        <f t="shared" si="114"/>
        <v>17</v>
      </c>
      <c r="E99" s="239">
        <f t="shared" si="104"/>
        <v>2.5690000000000004</v>
      </c>
      <c r="F99" s="232">
        <f t="shared" si="125"/>
        <v>15.111764705882354</v>
      </c>
      <c r="G99" s="232">
        <f t="shared" si="105"/>
        <v>12.089411764705885</v>
      </c>
      <c r="H99" s="232">
        <f t="shared" si="106"/>
        <v>7.5558823529411772</v>
      </c>
      <c r="I99" s="232">
        <f t="shared" ref="I99:J99" si="230">I98</f>
        <v>8</v>
      </c>
      <c r="J99" s="233">
        <f t="shared" si="230"/>
        <v>0</v>
      </c>
      <c r="K99" s="228" t="str">
        <f t="shared" ref="K99" si="231">D99&amp;-5</f>
        <v>17-5</v>
      </c>
      <c r="L99" s="232">
        <f t="shared" si="118"/>
        <v>0.2</v>
      </c>
      <c r="M99" s="235">
        <v>0</v>
      </c>
      <c r="N99" s="232">
        <f t="shared" si="119"/>
        <v>150</v>
      </c>
      <c r="O99" s="232">
        <f t="shared" si="120"/>
        <v>160</v>
      </c>
      <c r="P99" s="232">
        <f t="shared" si="121"/>
        <v>750</v>
      </c>
      <c r="Q99" s="217"/>
      <c r="R99" s="38">
        <f t="shared" si="122"/>
        <v>16</v>
      </c>
      <c r="S99" s="38">
        <f t="shared" si="122"/>
        <v>18</v>
      </c>
      <c r="T99" s="39">
        <f t="shared" si="109"/>
        <v>0.97196872164248893</v>
      </c>
      <c r="U99" s="39">
        <f t="shared" si="110"/>
        <v>0.98915328946183989</v>
      </c>
      <c r="V99" s="39">
        <f t="shared" si="111"/>
        <v>1.718456781935096E-2</v>
      </c>
      <c r="W99" s="39">
        <f t="shared" si="167"/>
        <v>1.948917940643052E-2</v>
      </c>
      <c r="X99" s="40">
        <f t="shared" si="112"/>
        <v>1.6240982838692099E-2</v>
      </c>
      <c r="Y99" s="40" t="s">
        <v>21</v>
      </c>
      <c r="Z99" s="217">
        <f t="shared" si="124"/>
        <v>0.324819656773842</v>
      </c>
      <c r="AA99" s="217">
        <f t="shared" si="113"/>
        <v>5.4136609462307E-2</v>
      </c>
    </row>
    <row r="100" spans="1:27" ht="15.75" thickBot="1" x14ac:dyDescent="0.3">
      <c r="A100" s="229">
        <f t="shared" si="168"/>
        <v>2802</v>
      </c>
      <c r="B100" s="230">
        <f t="shared" si="169"/>
        <v>90</v>
      </c>
      <c r="C100" s="218" t="str">
        <f t="shared" si="164"/>
        <v>24aX17-000_030_06</v>
      </c>
      <c r="D100" s="231">
        <f t="shared" si="114"/>
        <v>17</v>
      </c>
      <c r="E100" s="239">
        <f t="shared" si="104"/>
        <v>2.5690000000000004</v>
      </c>
      <c r="F100" s="232">
        <f t="shared" si="125"/>
        <v>15.111764705882354</v>
      </c>
      <c r="G100" s="232">
        <f t="shared" si="105"/>
        <v>12.089411764705885</v>
      </c>
      <c r="H100" s="232">
        <f t="shared" si="106"/>
        <v>7.5558823529411772</v>
      </c>
      <c r="I100" s="232">
        <f t="shared" ref="I100:J100" si="232">I99</f>
        <v>8</v>
      </c>
      <c r="J100" s="233">
        <f t="shared" si="232"/>
        <v>0</v>
      </c>
      <c r="K100" s="228" t="str">
        <f t="shared" ref="K100" si="233">D100&amp;-6</f>
        <v>17-6</v>
      </c>
      <c r="L100" s="232">
        <f t="shared" si="118"/>
        <v>0.2</v>
      </c>
      <c r="M100" s="235">
        <v>30</v>
      </c>
      <c r="N100" s="232">
        <f t="shared" si="119"/>
        <v>150</v>
      </c>
      <c r="O100" s="232">
        <f t="shared" si="120"/>
        <v>160</v>
      </c>
      <c r="P100" s="232">
        <f t="shared" si="121"/>
        <v>750</v>
      </c>
      <c r="Q100" s="217"/>
      <c r="R100" s="38">
        <f t="shared" si="122"/>
        <v>16</v>
      </c>
      <c r="S100" s="38">
        <f t="shared" si="122"/>
        <v>18</v>
      </c>
      <c r="T100" s="39">
        <f t="shared" si="109"/>
        <v>0.97196872164248893</v>
      </c>
      <c r="U100" s="39">
        <f t="shared" si="110"/>
        <v>0.98915328946183989</v>
      </c>
      <c r="V100" s="39">
        <f t="shared" si="111"/>
        <v>1.718456781935096E-2</v>
      </c>
      <c r="W100" s="39">
        <f t="shared" si="167"/>
        <v>1.948917940643052E-2</v>
      </c>
      <c r="X100" s="40">
        <f t="shared" si="112"/>
        <v>1.6240982838692099E-2</v>
      </c>
      <c r="Y100" s="40" t="s">
        <v>21</v>
      </c>
      <c r="Z100" s="217">
        <f t="shared" si="124"/>
        <v>0.324819656773842</v>
      </c>
      <c r="AA100" s="217">
        <f t="shared" si="113"/>
        <v>5.4136609462307E-2</v>
      </c>
    </row>
    <row r="101" spans="1:27" ht="15.75" thickBot="1" x14ac:dyDescent="0.3">
      <c r="A101" s="229">
        <f t="shared" si="168"/>
        <v>2803</v>
      </c>
      <c r="B101" s="230">
        <f t="shared" si="169"/>
        <v>91</v>
      </c>
      <c r="C101" s="218" t="str">
        <f t="shared" si="164"/>
        <v>24aX17-000_060_07</v>
      </c>
      <c r="D101" s="231">
        <f t="shared" si="114"/>
        <v>17</v>
      </c>
      <c r="E101" s="239">
        <f t="shared" si="104"/>
        <v>2.5690000000000004</v>
      </c>
      <c r="F101" s="232">
        <f t="shared" si="125"/>
        <v>15.111764705882354</v>
      </c>
      <c r="G101" s="232">
        <f t="shared" si="105"/>
        <v>12.089411764705885</v>
      </c>
      <c r="H101" s="232">
        <f t="shared" si="106"/>
        <v>7.5558823529411772</v>
      </c>
      <c r="I101" s="232">
        <f t="shared" ref="I101:J101" si="234">I100</f>
        <v>8</v>
      </c>
      <c r="J101" s="233">
        <f t="shared" si="234"/>
        <v>0</v>
      </c>
      <c r="K101" s="228" t="str">
        <f t="shared" ref="K101" si="235">D101&amp;-7</f>
        <v>17-7</v>
      </c>
      <c r="L101" s="232">
        <f t="shared" si="118"/>
        <v>0.2</v>
      </c>
      <c r="M101" s="235">
        <v>60</v>
      </c>
      <c r="N101" s="232">
        <f t="shared" si="119"/>
        <v>150</v>
      </c>
      <c r="O101" s="232">
        <f t="shared" si="120"/>
        <v>160</v>
      </c>
      <c r="P101" s="232">
        <f t="shared" si="121"/>
        <v>750</v>
      </c>
      <c r="Q101" s="217"/>
      <c r="R101" s="38">
        <f t="shared" si="122"/>
        <v>16</v>
      </c>
      <c r="S101" s="38">
        <f t="shared" si="122"/>
        <v>18</v>
      </c>
      <c r="T101" s="39">
        <f t="shared" si="109"/>
        <v>0.97196872164248893</v>
      </c>
      <c r="U101" s="39">
        <f t="shared" si="110"/>
        <v>0.98915328946183989</v>
      </c>
      <c r="V101" s="39">
        <f t="shared" si="111"/>
        <v>1.718456781935096E-2</v>
      </c>
      <c r="W101" s="39">
        <f t="shared" si="167"/>
        <v>1.948917940643052E-2</v>
      </c>
      <c r="X101" s="40">
        <f t="shared" si="112"/>
        <v>1.6240982838692099E-2</v>
      </c>
      <c r="Y101" s="40" t="s">
        <v>21</v>
      </c>
      <c r="Z101" s="217">
        <f t="shared" si="124"/>
        <v>0.324819656773842</v>
      </c>
      <c r="AA101" s="217">
        <f t="shared" si="113"/>
        <v>5.4136609462307E-2</v>
      </c>
    </row>
    <row r="102" spans="1:27" ht="15.75" thickBot="1" x14ac:dyDescent="0.3">
      <c r="A102" s="229">
        <f t="shared" si="168"/>
        <v>2804</v>
      </c>
      <c r="B102" s="230">
        <f t="shared" si="169"/>
        <v>92</v>
      </c>
      <c r="C102" s="218" t="str">
        <f t="shared" si="164"/>
        <v>24aX17-000_090_08</v>
      </c>
      <c r="D102" s="231">
        <f t="shared" si="114"/>
        <v>17</v>
      </c>
      <c r="E102" s="239">
        <f t="shared" si="104"/>
        <v>2.5690000000000004</v>
      </c>
      <c r="F102" s="232">
        <f t="shared" si="125"/>
        <v>15.111764705882354</v>
      </c>
      <c r="G102" s="232">
        <f t="shared" si="105"/>
        <v>12.089411764705885</v>
      </c>
      <c r="H102" s="232">
        <f t="shared" si="106"/>
        <v>7.5558823529411772</v>
      </c>
      <c r="I102" s="232">
        <f t="shared" ref="I102:J102" si="236">I101</f>
        <v>8</v>
      </c>
      <c r="J102" s="233">
        <f t="shared" si="236"/>
        <v>0</v>
      </c>
      <c r="K102" s="228" t="str">
        <f t="shared" ref="K102" si="237">D102&amp;-8</f>
        <v>17-8</v>
      </c>
      <c r="L102" s="232">
        <f t="shared" si="118"/>
        <v>0.2</v>
      </c>
      <c r="M102" s="235">
        <v>90</v>
      </c>
      <c r="N102" s="232">
        <f t="shared" si="119"/>
        <v>150</v>
      </c>
      <c r="O102" s="232">
        <f t="shared" si="120"/>
        <v>160</v>
      </c>
      <c r="P102" s="232">
        <f t="shared" si="121"/>
        <v>750</v>
      </c>
      <c r="Q102" s="217"/>
      <c r="R102" s="38">
        <f t="shared" si="122"/>
        <v>16</v>
      </c>
      <c r="S102" s="38">
        <f t="shared" si="122"/>
        <v>18</v>
      </c>
      <c r="T102" s="39">
        <f t="shared" si="109"/>
        <v>0.97196872164248893</v>
      </c>
      <c r="U102" s="39">
        <f t="shared" si="110"/>
        <v>0.98915328946183989</v>
      </c>
      <c r="V102" s="39">
        <f t="shared" si="111"/>
        <v>1.718456781935096E-2</v>
      </c>
      <c r="W102" s="39">
        <f t="shared" si="167"/>
        <v>1.948917940643052E-2</v>
      </c>
      <c r="X102" s="40">
        <f t="shared" si="112"/>
        <v>1.6240982838692099E-2</v>
      </c>
      <c r="Y102" s="40" t="s">
        <v>21</v>
      </c>
      <c r="Z102" s="217">
        <f t="shared" si="124"/>
        <v>0.324819656773842</v>
      </c>
      <c r="AA102" s="217">
        <f t="shared" si="113"/>
        <v>5.4136609462307E-2</v>
      </c>
    </row>
    <row r="103" spans="1:27" ht="15.75" thickBot="1" x14ac:dyDescent="0.3">
      <c r="A103" s="229">
        <f t="shared" si="168"/>
        <v>2805</v>
      </c>
      <c r="B103" s="230">
        <f t="shared" si="169"/>
        <v>93</v>
      </c>
      <c r="C103" s="218" t="str">
        <f t="shared" si="164"/>
        <v>24aX17-000_000_09</v>
      </c>
      <c r="D103" s="231">
        <f t="shared" si="114"/>
        <v>17</v>
      </c>
      <c r="E103" s="239">
        <f t="shared" si="104"/>
        <v>2.5690000000000004</v>
      </c>
      <c r="F103" s="232">
        <f t="shared" si="125"/>
        <v>15.111764705882354</v>
      </c>
      <c r="G103" s="232">
        <f t="shared" si="105"/>
        <v>12.089411764705885</v>
      </c>
      <c r="H103" s="232">
        <f t="shared" si="106"/>
        <v>7.5558823529411772</v>
      </c>
      <c r="I103" s="232">
        <f t="shared" ref="I103:J103" si="238">I102</f>
        <v>8</v>
      </c>
      <c r="J103" s="233">
        <f t="shared" si="238"/>
        <v>0</v>
      </c>
      <c r="K103" s="228" t="str">
        <f t="shared" ref="K103" si="239">D103&amp;-9</f>
        <v>17-9</v>
      </c>
      <c r="L103" s="232">
        <f t="shared" si="118"/>
        <v>0.2</v>
      </c>
      <c r="M103" s="235">
        <v>0</v>
      </c>
      <c r="N103" s="232">
        <f t="shared" si="119"/>
        <v>150</v>
      </c>
      <c r="O103" s="232">
        <f t="shared" si="120"/>
        <v>160</v>
      </c>
      <c r="P103" s="232">
        <f t="shared" si="121"/>
        <v>750</v>
      </c>
      <c r="Q103" s="217"/>
      <c r="R103" s="38">
        <f t="shared" si="122"/>
        <v>16</v>
      </c>
      <c r="S103" s="38">
        <f t="shared" si="122"/>
        <v>18</v>
      </c>
      <c r="T103" s="39">
        <f t="shared" si="109"/>
        <v>0.97196872164248893</v>
      </c>
      <c r="U103" s="39">
        <f t="shared" si="110"/>
        <v>0.98915328946183989</v>
      </c>
      <c r="V103" s="39">
        <f t="shared" si="111"/>
        <v>1.718456781935096E-2</v>
      </c>
      <c r="W103" s="39">
        <f t="shared" si="167"/>
        <v>1.948917940643052E-2</v>
      </c>
      <c r="X103" s="40">
        <f t="shared" si="112"/>
        <v>1.6240982838692099E-2</v>
      </c>
      <c r="Y103" s="40" t="s">
        <v>21</v>
      </c>
      <c r="Z103" s="217">
        <f t="shared" si="124"/>
        <v>0.324819656773842</v>
      </c>
      <c r="AA103" s="217">
        <f t="shared" si="113"/>
        <v>5.4136609462307E-2</v>
      </c>
    </row>
    <row r="104" spans="1:27" ht="15.75" thickBot="1" x14ac:dyDescent="0.3">
      <c r="A104" s="229">
        <f t="shared" si="168"/>
        <v>2806</v>
      </c>
      <c r="B104" s="230">
        <f t="shared" si="169"/>
        <v>94</v>
      </c>
      <c r="C104" s="218" t="str">
        <f t="shared" si="164"/>
        <v>24aX17-000_030_10</v>
      </c>
      <c r="D104" s="231">
        <f t="shared" si="114"/>
        <v>17</v>
      </c>
      <c r="E104" s="239">
        <f t="shared" si="104"/>
        <v>2.5690000000000004</v>
      </c>
      <c r="F104" s="232">
        <f t="shared" si="125"/>
        <v>15.111764705882354</v>
      </c>
      <c r="G104" s="232">
        <f t="shared" si="105"/>
        <v>12.089411764705885</v>
      </c>
      <c r="H104" s="232">
        <f t="shared" si="106"/>
        <v>7.5558823529411772</v>
      </c>
      <c r="I104" s="232">
        <f t="shared" ref="I104:J104" si="240">I103</f>
        <v>8</v>
      </c>
      <c r="J104" s="233">
        <f t="shared" si="240"/>
        <v>0</v>
      </c>
      <c r="K104" s="228" t="str">
        <f t="shared" ref="K104" si="241">D104&amp;-10</f>
        <v>17-10</v>
      </c>
      <c r="L104" s="232">
        <f t="shared" si="118"/>
        <v>0.2</v>
      </c>
      <c r="M104" s="235">
        <v>30</v>
      </c>
      <c r="N104" s="232">
        <f t="shared" si="119"/>
        <v>150</v>
      </c>
      <c r="O104" s="232">
        <f t="shared" si="120"/>
        <v>160</v>
      </c>
      <c r="P104" s="232">
        <f t="shared" si="121"/>
        <v>750</v>
      </c>
      <c r="Q104" s="217"/>
      <c r="R104" s="38">
        <f t="shared" si="122"/>
        <v>16</v>
      </c>
      <c r="S104" s="38">
        <f t="shared" si="122"/>
        <v>18</v>
      </c>
      <c r="T104" s="39">
        <f t="shared" si="109"/>
        <v>0.97196872164248893</v>
      </c>
      <c r="U104" s="39">
        <f t="shared" si="110"/>
        <v>0.98915328946183989</v>
      </c>
      <c r="V104" s="39">
        <f t="shared" si="111"/>
        <v>1.718456781935096E-2</v>
      </c>
      <c r="W104" s="39">
        <f t="shared" si="167"/>
        <v>1.948917940643052E-2</v>
      </c>
      <c r="X104" s="40">
        <f t="shared" si="112"/>
        <v>1.6240982838692099E-2</v>
      </c>
      <c r="Y104" s="40" t="s">
        <v>21</v>
      </c>
      <c r="Z104" s="217">
        <f t="shared" si="124"/>
        <v>0.324819656773842</v>
      </c>
      <c r="AA104" s="217">
        <f t="shared" si="113"/>
        <v>5.4136609462307E-2</v>
      </c>
    </row>
    <row r="105" spans="1:27" ht="15.75" thickBot="1" x14ac:dyDescent="0.3">
      <c r="A105" s="229">
        <f t="shared" si="168"/>
        <v>2807</v>
      </c>
      <c r="B105" s="230">
        <f t="shared" si="169"/>
        <v>95</v>
      </c>
      <c r="C105" s="218" t="str">
        <f t="shared" si="164"/>
        <v>24aX17-000_060_11</v>
      </c>
      <c r="D105" s="231">
        <f t="shared" si="114"/>
        <v>17</v>
      </c>
      <c r="E105" s="239">
        <f t="shared" si="104"/>
        <v>2.5690000000000004</v>
      </c>
      <c r="F105" s="232">
        <f t="shared" si="125"/>
        <v>15.111764705882354</v>
      </c>
      <c r="G105" s="232">
        <f t="shared" si="105"/>
        <v>12.089411764705885</v>
      </c>
      <c r="H105" s="232">
        <f t="shared" si="106"/>
        <v>7.5558823529411772</v>
      </c>
      <c r="I105" s="232">
        <f t="shared" ref="I105:J105" si="242">I104</f>
        <v>8</v>
      </c>
      <c r="J105" s="233">
        <f t="shared" si="242"/>
        <v>0</v>
      </c>
      <c r="K105" s="228" t="str">
        <f t="shared" ref="K105" si="243">D105&amp;-11</f>
        <v>17-11</v>
      </c>
      <c r="L105" s="232">
        <f t="shared" si="118"/>
        <v>0.2</v>
      </c>
      <c r="M105" s="235">
        <v>60</v>
      </c>
      <c r="N105" s="232">
        <f t="shared" si="119"/>
        <v>150</v>
      </c>
      <c r="O105" s="232">
        <f t="shared" si="120"/>
        <v>160</v>
      </c>
      <c r="P105" s="232">
        <f t="shared" si="121"/>
        <v>750</v>
      </c>
      <c r="Q105" s="217"/>
      <c r="R105" s="38">
        <f t="shared" si="122"/>
        <v>16</v>
      </c>
      <c r="S105" s="38">
        <f t="shared" si="122"/>
        <v>18</v>
      </c>
      <c r="T105" s="39">
        <f t="shared" si="109"/>
        <v>0.97196872164248893</v>
      </c>
      <c r="U105" s="39">
        <f t="shared" si="110"/>
        <v>0.98915328946183989</v>
      </c>
      <c r="V105" s="39">
        <f t="shared" si="111"/>
        <v>1.718456781935096E-2</v>
      </c>
      <c r="W105" s="39">
        <f t="shared" si="167"/>
        <v>1.948917940643052E-2</v>
      </c>
      <c r="X105" s="40">
        <f t="shared" si="112"/>
        <v>1.6240982838692099E-2</v>
      </c>
      <c r="Y105" s="40" t="s">
        <v>21</v>
      </c>
      <c r="Z105" s="217">
        <f t="shared" si="124"/>
        <v>0.324819656773842</v>
      </c>
      <c r="AA105" s="217">
        <f t="shared" si="113"/>
        <v>5.4136609462307E-2</v>
      </c>
    </row>
    <row r="106" spans="1:27" ht="15.75" thickBot="1" x14ac:dyDescent="0.3">
      <c r="A106" s="229">
        <f t="shared" si="168"/>
        <v>2808</v>
      </c>
      <c r="B106" s="230">
        <f t="shared" si="169"/>
        <v>96</v>
      </c>
      <c r="C106" s="218" t="str">
        <f t="shared" si="164"/>
        <v>24aX17-000_090_12</v>
      </c>
      <c r="D106" s="231">
        <f t="shared" si="114"/>
        <v>17</v>
      </c>
      <c r="E106" s="239">
        <f t="shared" si="104"/>
        <v>2.5690000000000004</v>
      </c>
      <c r="F106" s="232">
        <f t="shared" si="125"/>
        <v>15.111764705882354</v>
      </c>
      <c r="G106" s="232">
        <f t="shared" si="105"/>
        <v>12.089411764705885</v>
      </c>
      <c r="H106" s="232">
        <f t="shared" si="106"/>
        <v>7.5558823529411772</v>
      </c>
      <c r="I106" s="232">
        <f t="shared" ref="I106:J106" si="244">I105</f>
        <v>8</v>
      </c>
      <c r="J106" s="233">
        <f t="shared" si="244"/>
        <v>0</v>
      </c>
      <c r="K106" s="228" t="str">
        <f t="shared" ref="K106" si="245">D106&amp;-12</f>
        <v>17-12</v>
      </c>
      <c r="L106" s="232">
        <f t="shared" si="118"/>
        <v>0.2</v>
      </c>
      <c r="M106" s="235">
        <v>90</v>
      </c>
      <c r="N106" s="232">
        <f t="shared" si="119"/>
        <v>150</v>
      </c>
      <c r="O106" s="232">
        <f t="shared" si="120"/>
        <v>160</v>
      </c>
      <c r="P106" s="232">
        <f t="shared" si="121"/>
        <v>750</v>
      </c>
      <c r="Q106" s="217"/>
      <c r="R106" s="38">
        <f t="shared" si="122"/>
        <v>16</v>
      </c>
      <c r="S106" s="38">
        <f t="shared" si="122"/>
        <v>18</v>
      </c>
      <c r="T106" s="39">
        <f t="shared" si="109"/>
        <v>0.97196872164248893</v>
      </c>
      <c r="U106" s="39">
        <f t="shared" si="110"/>
        <v>0.98915328946183989</v>
      </c>
      <c r="V106" s="39">
        <f t="shared" si="111"/>
        <v>1.718456781935096E-2</v>
      </c>
      <c r="W106" s="39">
        <f t="shared" si="167"/>
        <v>1.948917940643052E-2</v>
      </c>
      <c r="X106" s="40">
        <f t="shared" si="112"/>
        <v>1.6240982838692099E-2</v>
      </c>
      <c r="Y106" s="40" t="s">
        <v>21</v>
      </c>
      <c r="Z106" s="217">
        <f t="shared" si="124"/>
        <v>0.324819656773842</v>
      </c>
      <c r="AA106" s="217">
        <f t="shared" si="113"/>
        <v>5.4136609462307E-2</v>
      </c>
    </row>
    <row r="107" spans="1:27" ht="15.75" thickBot="1" x14ac:dyDescent="0.3">
      <c r="A107" s="229">
        <f t="shared" si="168"/>
        <v>2809</v>
      </c>
      <c r="B107" s="230">
        <f t="shared" si="169"/>
        <v>97</v>
      </c>
      <c r="C107" s="218" t="str">
        <f t="shared" si="164"/>
        <v>24aX19-000_000_01</v>
      </c>
      <c r="D107" s="231">
        <f t="shared" ref="D107" si="246">D106+2</f>
        <v>19</v>
      </c>
      <c r="E107" s="239">
        <f t="shared" si="104"/>
        <v>2.7790000000000004</v>
      </c>
      <c r="F107" s="232">
        <f t="shared" si="125"/>
        <v>14.626315789473686</v>
      </c>
      <c r="G107" s="232">
        <f t="shared" si="105"/>
        <v>11.70105263157895</v>
      </c>
      <c r="H107" s="232">
        <f t="shared" si="106"/>
        <v>7.3131578947368432</v>
      </c>
      <c r="I107" s="232">
        <f>inflow</f>
        <v>8</v>
      </c>
      <c r="J107" s="233">
        <f>yaw_null</f>
        <v>0</v>
      </c>
      <c r="K107" s="228" t="str">
        <f t="shared" ref="K107" si="247">D107&amp;-1</f>
        <v>19-1</v>
      </c>
      <c r="L107" s="232">
        <f>alpha_n</f>
        <v>0.2</v>
      </c>
      <c r="M107" s="235">
        <v>0</v>
      </c>
      <c r="N107" s="232">
        <f>t_out</f>
        <v>150</v>
      </c>
      <c r="O107" s="232">
        <f>trig_t</f>
        <v>160</v>
      </c>
      <c r="P107" s="232">
        <f>N107+T_s1</f>
        <v>750</v>
      </c>
      <c r="Q107" s="217"/>
      <c r="R107" s="38">
        <f t="shared" ref="R107" si="248">S106</f>
        <v>18</v>
      </c>
      <c r="S107" s="38">
        <f>R107+v_step</f>
        <v>20</v>
      </c>
      <c r="T107" s="39">
        <f t="shared" si="109"/>
        <v>0.98915328946183989</v>
      </c>
      <c r="U107" s="39">
        <f t="shared" si="110"/>
        <v>0.99624645144977986</v>
      </c>
      <c r="V107" s="39">
        <f t="shared" si="111"/>
        <v>7.0931619879399666E-3</v>
      </c>
      <c r="W107" s="39">
        <f t="shared" si="167"/>
        <v>8.0444214829870839E-3</v>
      </c>
      <c r="X107" s="40">
        <f t="shared" si="112"/>
        <v>6.7036845691559035E-3</v>
      </c>
      <c r="Y107" s="40" t="s">
        <v>21</v>
      </c>
      <c r="Z107" s="217">
        <f t="shared" si="124"/>
        <v>0.13407369138311806</v>
      </c>
      <c r="AA107" s="217">
        <f t="shared" si="113"/>
        <v>2.2345615230519675E-2</v>
      </c>
    </row>
    <row r="108" spans="1:27" ht="15.75" thickBot="1" x14ac:dyDescent="0.3">
      <c r="A108" s="229">
        <f t="shared" si="168"/>
        <v>2810</v>
      </c>
      <c r="B108" s="230">
        <f t="shared" si="169"/>
        <v>98</v>
      </c>
      <c r="C108" s="218" t="str">
        <f t="shared" si="164"/>
        <v>24aX19-000_030_02</v>
      </c>
      <c r="D108" s="231">
        <f t="shared" ref="D108" si="249">D107</f>
        <v>19</v>
      </c>
      <c r="E108" s="239">
        <f t="shared" si="104"/>
        <v>2.7790000000000004</v>
      </c>
      <c r="F108" s="232">
        <f t="shared" si="125"/>
        <v>14.626315789473686</v>
      </c>
      <c r="G108" s="232">
        <f t="shared" si="105"/>
        <v>11.70105263157895</v>
      </c>
      <c r="H108" s="232">
        <f t="shared" si="106"/>
        <v>7.3131578947368432</v>
      </c>
      <c r="I108" s="232">
        <f t="shared" ref="I108" si="250">I107</f>
        <v>8</v>
      </c>
      <c r="J108" s="233">
        <f t="shared" ref="J108" si="251">J107</f>
        <v>0</v>
      </c>
      <c r="K108" s="228" t="str">
        <f t="shared" ref="K108" si="252">D108&amp;-2</f>
        <v>19-2</v>
      </c>
      <c r="L108" s="232">
        <f t="shared" ref="L108" si="253">L107</f>
        <v>0.2</v>
      </c>
      <c r="M108" s="235">
        <v>30</v>
      </c>
      <c r="N108" s="232">
        <f t="shared" ref="N108" si="254">N107</f>
        <v>150</v>
      </c>
      <c r="O108" s="232">
        <f t="shared" ref="O108" si="255">O107</f>
        <v>160</v>
      </c>
      <c r="P108" s="232">
        <f t="shared" ref="P108" si="256">P107</f>
        <v>750</v>
      </c>
      <c r="Q108" s="217"/>
      <c r="R108" s="38">
        <f t="shared" ref="R108:S108" si="257">R107</f>
        <v>18</v>
      </c>
      <c r="S108" s="38">
        <f t="shared" si="257"/>
        <v>20</v>
      </c>
      <c r="T108" s="39">
        <f t="shared" si="109"/>
        <v>0.98915328946183989</v>
      </c>
      <c r="U108" s="39">
        <f t="shared" si="110"/>
        <v>0.99624645144977986</v>
      </c>
      <c r="V108" s="39">
        <f t="shared" si="111"/>
        <v>7.0931619879399666E-3</v>
      </c>
      <c r="W108" s="39">
        <f t="shared" si="167"/>
        <v>8.0444214829870839E-3</v>
      </c>
      <c r="X108" s="40">
        <f t="shared" si="112"/>
        <v>6.7036845691559035E-3</v>
      </c>
      <c r="Y108" s="40" t="s">
        <v>21</v>
      </c>
      <c r="Z108" s="217">
        <f t="shared" si="124"/>
        <v>0.13407369138311806</v>
      </c>
      <c r="AA108" s="217">
        <f t="shared" si="113"/>
        <v>2.2345615230519675E-2</v>
      </c>
    </row>
    <row r="109" spans="1:27" ht="15.75" thickBot="1" x14ac:dyDescent="0.3">
      <c r="A109" s="229">
        <f t="shared" si="168"/>
        <v>2811</v>
      </c>
      <c r="B109" s="230">
        <f t="shared" si="169"/>
        <v>99</v>
      </c>
      <c r="C109" s="218" t="str">
        <f t="shared" si="164"/>
        <v>24aX19-000_060_03</v>
      </c>
      <c r="D109" s="231">
        <f t="shared" si="114"/>
        <v>19</v>
      </c>
      <c r="E109" s="239">
        <f t="shared" si="104"/>
        <v>2.7790000000000004</v>
      </c>
      <c r="F109" s="232">
        <f t="shared" si="125"/>
        <v>14.626315789473686</v>
      </c>
      <c r="G109" s="232">
        <f t="shared" si="105"/>
        <v>11.70105263157895</v>
      </c>
      <c r="H109" s="232">
        <f t="shared" si="106"/>
        <v>7.3131578947368432</v>
      </c>
      <c r="I109" s="232">
        <f t="shared" ref="I109:J109" si="258">I108</f>
        <v>8</v>
      </c>
      <c r="J109" s="233">
        <f t="shared" si="258"/>
        <v>0</v>
      </c>
      <c r="K109" s="228" t="str">
        <f t="shared" ref="K109" si="259">D109&amp;-3</f>
        <v>19-3</v>
      </c>
      <c r="L109" s="232">
        <f t="shared" si="118"/>
        <v>0.2</v>
      </c>
      <c r="M109" s="235">
        <v>60</v>
      </c>
      <c r="N109" s="232">
        <f t="shared" si="119"/>
        <v>150</v>
      </c>
      <c r="O109" s="232">
        <f t="shared" si="120"/>
        <v>160</v>
      </c>
      <c r="P109" s="232">
        <f t="shared" si="121"/>
        <v>750</v>
      </c>
      <c r="Q109" s="217"/>
      <c r="R109" s="38">
        <f t="shared" si="122"/>
        <v>18</v>
      </c>
      <c r="S109" s="38">
        <f t="shared" si="122"/>
        <v>20</v>
      </c>
      <c r="T109" s="39">
        <f t="shared" si="109"/>
        <v>0.98915328946183989</v>
      </c>
      <c r="U109" s="39">
        <f t="shared" si="110"/>
        <v>0.99624645144977986</v>
      </c>
      <c r="V109" s="39">
        <f t="shared" si="111"/>
        <v>7.0931619879399666E-3</v>
      </c>
      <c r="W109" s="39">
        <f t="shared" si="167"/>
        <v>8.0444214829870839E-3</v>
      </c>
      <c r="X109" s="40">
        <f t="shared" si="112"/>
        <v>6.7036845691559035E-3</v>
      </c>
      <c r="Y109" s="40" t="s">
        <v>21</v>
      </c>
      <c r="Z109" s="217">
        <f t="shared" si="124"/>
        <v>0.13407369138311806</v>
      </c>
      <c r="AA109" s="217">
        <f t="shared" si="113"/>
        <v>2.2345615230519675E-2</v>
      </c>
    </row>
    <row r="110" spans="1:27" ht="15.75" thickBot="1" x14ac:dyDescent="0.3">
      <c r="A110" s="229">
        <f t="shared" si="168"/>
        <v>2812</v>
      </c>
      <c r="B110" s="230">
        <f t="shared" si="169"/>
        <v>100</v>
      </c>
      <c r="C110" s="218" t="str">
        <f t="shared" si="164"/>
        <v>24aX19-000_090_04</v>
      </c>
      <c r="D110" s="231">
        <f t="shared" si="114"/>
        <v>19</v>
      </c>
      <c r="E110" s="239">
        <f t="shared" si="104"/>
        <v>2.7790000000000004</v>
      </c>
      <c r="F110" s="232">
        <f t="shared" si="125"/>
        <v>14.626315789473686</v>
      </c>
      <c r="G110" s="232">
        <f t="shared" si="105"/>
        <v>11.70105263157895</v>
      </c>
      <c r="H110" s="232">
        <f t="shared" si="106"/>
        <v>7.3131578947368432</v>
      </c>
      <c r="I110" s="232">
        <f t="shared" ref="I110:J110" si="260">I109</f>
        <v>8</v>
      </c>
      <c r="J110" s="233">
        <f t="shared" si="260"/>
        <v>0</v>
      </c>
      <c r="K110" s="228" t="str">
        <f t="shared" ref="K110" si="261">D110&amp;-4</f>
        <v>19-4</v>
      </c>
      <c r="L110" s="232">
        <f t="shared" si="118"/>
        <v>0.2</v>
      </c>
      <c r="M110" s="235">
        <v>90</v>
      </c>
      <c r="N110" s="232">
        <f t="shared" si="119"/>
        <v>150</v>
      </c>
      <c r="O110" s="232">
        <f t="shared" si="120"/>
        <v>160</v>
      </c>
      <c r="P110" s="232">
        <f t="shared" si="121"/>
        <v>750</v>
      </c>
      <c r="Q110" s="217"/>
      <c r="R110" s="38">
        <f t="shared" si="122"/>
        <v>18</v>
      </c>
      <c r="S110" s="38">
        <f t="shared" si="122"/>
        <v>20</v>
      </c>
      <c r="T110" s="39">
        <f t="shared" si="109"/>
        <v>0.98915328946183989</v>
      </c>
      <c r="U110" s="39">
        <f t="shared" si="110"/>
        <v>0.99624645144977986</v>
      </c>
      <c r="V110" s="39">
        <f t="shared" si="111"/>
        <v>7.0931619879399666E-3</v>
      </c>
      <c r="W110" s="39">
        <f t="shared" si="167"/>
        <v>8.0444214829870839E-3</v>
      </c>
      <c r="X110" s="40">
        <f t="shared" si="112"/>
        <v>6.7036845691559035E-3</v>
      </c>
      <c r="Y110" s="40" t="s">
        <v>21</v>
      </c>
      <c r="Z110" s="217">
        <f t="shared" si="124"/>
        <v>0.13407369138311806</v>
      </c>
      <c r="AA110" s="217">
        <f t="shared" si="113"/>
        <v>2.2345615230519675E-2</v>
      </c>
    </row>
    <row r="111" spans="1:27" ht="15.75" thickBot="1" x14ac:dyDescent="0.3">
      <c r="A111" s="229">
        <f t="shared" si="168"/>
        <v>2813</v>
      </c>
      <c r="B111" s="230">
        <f t="shared" si="169"/>
        <v>101</v>
      </c>
      <c r="C111" s="218" t="str">
        <f t="shared" si="164"/>
        <v>24aX19-000_000_05</v>
      </c>
      <c r="D111" s="231">
        <f t="shared" si="114"/>
        <v>19</v>
      </c>
      <c r="E111" s="239">
        <f t="shared" si="104"/>
        <v>2.7790000000000004</v>
      </c>
      <c r="F111" s="232">
        <f t="shared" si="125"/>
        <v>14.626315789473686</v>
      </c>
      <c r="G111" s="232">
        <f t="shared" si="105"/>
        <v>11.70105263157895</v>
      </c>
      <c r="H111" s="232">
        <f t="shared" si="106"/>
        <v>7.3131578947368432</v>
      </c>
      <c r="I111" s="232">
        <f t="shared" ref="I111:J111" si="262">I110</f>
        <v>8</v>
      </c>
      <c r="J111" s="233">
        <f t="shared" si="262"/>
        <v>0</v>
      </c>
      <c r="K111" s="228" t="str">
        <f t="shared" ref="K111" si="263">D111&amp;-5</f>
        <v>19-5</v>
      </c>
      <c r="L111" s="232">
        <f t="shared" si="118"/>
        <v>0.2</v>
      </c>
      <c r="M111" s="235">
        <v>0</v>
      </c>
      <c r="N111" s="232">
        <f t="shared" si="119"/>
        <v>150</v>
      </c>
      <c r="O111" s="232">
        <f t="shared" si="120"/>
        <v>160</v>
      </c>
      <c r="P111" s="232">
        <f t="shared" si="121"/>
        <v>750</v>
      </c>
      <c r="Q111" s="217"/>
      <c r="R111" s="38">
        <f t="shared" si="122"/>
        <v>18</v>
      </c>
      <c r="S111" s="38">
        <f t="shared" si="122"/>
        <v>20</v>
      </c>
      <c r="T111" s="39">
        <f t="shared" si="109"/>
        <v>0.98915328946183989</v>
      </c>
      <c r="U111" s="39">
        <f t="shared" si="110"/>
        <v>0.99624645144977986</v>
      </c>
      <c r="V111" s="39">
        <f t="shared" si="111"/>
        <v>7.0931619879399666E-3</v>
      </c>
      <c r="W111" s="39">
        <f t="shared" si="167"/>
        <v>8.0444214829870839E-3</v>
      </c>
      <c r="X111" s="40">
        <f t="shared" si="112"/>
        <v>6.7036845691559035E-3</v>
      </c>
      <c r="Y111" s="40" t="s">
        <v>21</v>
      </c>
      <c r="Z111" s="217">
        <f t="shared" si="124"/>
        <v>0.13407369138311806</v>
      </c>
      <c r="AA111" s="217">
        <f t="shared" si="113"/>
        <v>2.2345615230519675E-2</v>
      </c>
    </row>
    <row r="112" spans="1:27" ht="15.75" thickBot="1" x14ac:dyDescent="0.3">
      <c r="A112" s="229">
        <f t="shared" si="168"/>
        <v>2814</v>
      </c>
      <c r="B112" s="230">
        <f t="shared" si="169"/>
        <v>102</v>
      </c>
      <c r="C112" s="218" t="str">
        <f t="shared" si="164"/>
        <v>24aX19-000_030_06</v>
      </c>
      <c r="D112" s="231">
        <f t="shared" si="114"/>
        <v>19</v>
      </c>
      <c r="E112" s="239">
        <f t="shared" si="104"/>
        <v>2.7790000000000004</v>
      </c>
      <c r="F112" s="232">
        <f t="shared" si="125"/>
        <v>14.626315789473686</v>
      </c>
      <c r="G112" s="232">
        <f t="shared" si="105"/>
        <v>11.70105263157895</v>
      </c>
      <c r="H112" s="232">
        <f t="shared" si="106"/>
        <v>7.3131578947368432</v>
      </c>
      <c r="I112" s="232">
        <f t="shared" ref="I112:J112" si="264">I111</f>
        <v>8</v>
      </c>
      <c r="J112" s="233">
        <f t="shared" si="264"/>
        <v>0</v>
      </c>
      <c r="K112" s="228" t="str">
        <f t="shared" ref="K112" si="265">D112&amp;-6</f>
        <v>19-6</v>
      </c>
      <c r="L112" s="232">
        <f t="shared" si="118"/>
        <v>0.2</v>
      </c>
      <c r="M112" s="235">
        <v>30</v>
      </c>
      <c r="N112" s="232">
        <f t="shared" si="119"/>
        <v>150</v>
      </c>
      <c r="O112" s="232">
        <f t="shared" si="120"/>
        <v>160</v>
      </c>
      <c r="P112" s="232">
        <f t="shared" si="121"/>
        <v>750</v>
      </c>
      <c r="Q112" s="217"/>
      <c r="R112" s="38">
        <f t="shared" si="122"/>
        <v>18</v>
      </c>
      <c r="S112" s="38">
        <f t="shared" si="122"/>
        <v>20</v>
      </c>
      <c r="T112" s="39">
        <f t="shared" si="109"/>
        <v>0.98915328946183989</v>
      </c>
      <c r="U112" s="39">
        <f t="shared" si="110"/>
        <v>0.99624645144977986</v>
      </c>
      <c r="V112" s="39">
        <f t="shared" si="111"/>
        <v>7.0931619879399666E-3</v>
      </c>
      <c r="W112" s="39">
        <f t="shared" si="167"/>
        <v>8.0444214829870839E-3</v>
      </c>
      <c r="X112" s="40">
        <f t="shared" si="112"/>
        <v>6.7036845691559035E-3</v>
      </c>
      <c r="Y112" s="40" t="s">
        <v>21</v>
      </c>
      <c r="Z112" s="217">
        <f t="shared" si="124"/>
        <v>0.13407369138311806</v>
      </c>
      <c r="AA112" s="217">
        <f t="shared" si="113"/>
        <v>2.2345615230519675E-2</v>
      </c>
    </row>
    <row r="113" spans="1:27" ht="15.75" thickBot="1" x14ac:dyDescent="0.3">
      <c r="A113" s="229">
        <f t="shared" si="168"/>
        <v>2815</v>
      </c>
      <c r="B113" s="230">
        <f t="shared" si="169"/>
        <v>103</v>
      </c>
      <c r="C113" s="218" t="str">
        <f t="shared" si="164"/>
        <v>24aX19-000_060_07</v>
      </c>
      <c r="D113" s="231">
        <f t="shared" si="114"/>
        <v>19</v>
      </c>
      <c r="E113" s="239">
        <f t="shared" si="104"/>
        <v>2.7790000000000004</v>
      </c>
      <c r="F113" s="232">
        <f t="shared" si="125"/>
        <v>14.626315789473686</v>
      </c>
      <c r="G113" s="232">
        <f t="shared" si="105"/>
        <v>11.70105263157895</v>
      </c>
      <c r="H113" s="232">
        <f t="shared" si="106"/>
        <v>7.3131578947368432</v>
      </c>
      <c r="I113" s="232">
        <f t="shared" ref="I113:J113" si="266">I112</f>
        <v>8</v>
      </c>
      <c r="J113" s="233">
        <f t="shared" si="266"/>
        <v>0</v>
      </c>
      <c r="K113" s="228" t="str">
        <f t="shared" ref="K113" si="267">D113&amp;-7</f>
        <v>19-7</v>
      </c>
      <c r="L113" s="232">
        <f t="shared" si="118"/>
        <v>0.2</v>
      </c>
      <c r="M113" s="235">
        <v>60</v>
      </c>
      <c r="N113" s="232">
        <f t="shared" si="119"/>
        <v>150</v>
      </c>
      <c r="O113" s="232">
        <f t="shared" si="120"/>
        <v>160</v>
      </c>
      <c r="P113" s="232">
        <f t="shared" si="121"/>
        <v>750</v>
      </c>
      <c r="Q113" s="217"/>
      <c r="R113" s="38">
        <f t="shared" si="122"/>
        <v>18</v>
      </c>
      <c r="S113" s="38">
        <f t="shared" si="122"/>
        <v>20</v>
      </c>
      <c r="T113" s="39">
        <f t="shared" si="109"/>
        <v>0.98915328946183989</v>
      </c>
      <c r="U113" s="39">
        <f t="shared" si="110"/>
        <v>0.99624645144977986</v>
      </c>
      <c r="V113" s="39">
        <f t="shared" si="111"/>
        <v>7.0931619879399666E-3</v>
      </c>
      <c r="W113" s="39">
        <f t="shared" si="167"/>
        <v>8.0444214829870839E-3</v>
      </c>
      <c r="X113" s="40">
        <f t="shared" si="112"/>
        <v>6.7036845691559035E-3</v>
      </c>
      <c r="Y113" s="40" t="s">
        <v>21</v>
      </c>
      <c r="Z113" s="217">
        <f t="shared" si="124"/>
        <v>0.13407369138311806</v>
      </c>
      <c r="AA113" s="217">
        <f t="shared" si="113"/>
        <v>2.2345615230519675E-2</v>
      </c>
    </row>
    <row r="114" spans="1:27" ht="15.75" thickBot="1" x14ac:dyDescent="0.3">
      <c r="A114" s="229">
        <f t="shared" si="168"/>
        <v>2816</v>
      </c>
      <c r="B114" s="230">
        <f t="shared" si="169"/>
        <v>104</v>
      </c>
      <c r="C114" s="218" t="str">
        <f t="shared" si="164"/>
        <v>24aX19-000_090_08</v>
      </c>
      <c r="D114" s="231">
        <f t="shared" si="114"/>
        <v>19</v>
      </c>
      <c r="E114" s="239">
        <f t="shared" si="104"/>
        <v>2.7790000000000004</v>
      </c>
      <c r="F114" s="232">
        <f t="shared" si="125"/>
        <v>14.626315789473686</v>
      </c>
      <c r="G114" s="232">
        <f t="shared" si="105"/>
        <v>11.70105263157895</v>
      </c>
      <c r="H114" s="232">
        <f t="shared" si="106"/>
        <v>7.3131578947368432</v>
      </c>
      <c r="I114" s="232">
        <f t="shared" ref="I114:J114" si="268">I113</f>
        <v>8</v>
      </c>
      <c r="J114" s="233">
        <f t="shared" si="268"/>
        <v>0</v>
      </c>
      <c r="K114" s="228" t="str">
        <f t="shared" ref="K114" si="269">D114&amp;-8</f>
        <v>19-8</v>
      </c>
      <c r="L114" s="232">
        <f t="shared" si="118"/>
        <v>0.2</v>
      </c>
      <c r="M114" s="235">
        <v>90</v>
      </c>
      <c r="N114" s="232">
        <f t="shared" si="119"/>
        <v>150</v>
      </c>
      <c r="O114" s="232">
        <f t="shared" si="120"/>
        <v>160</v>
      </c>
      <c r="P114" s="232">
        <f t="shared" si="121"/>
        <v>750</v>
      </c>
      <c r="Q114" s="217"/>
      <c r="R114" s="38">
        <f t="shared" si="122"/>
        <v>18</v>
      </c>
      <c r="S114" s="38">
        <f t="shared" si="122"/>
        <v>20</v>
      </c>
      <c r="T114" s="39">
        <f t="shared" si="109"/>
        <v>0.98915328946183989</v>
      </c>
      <c r="U114" s="39">
        <f t="shared" si="110"/>
        <v>0.99624645144977986</v>
      </c>
      <c r="V114" s="39">
        <f t="shared" si="111"/>
        <v>7.0931619879399666E-3</v>
      </c>
      <c r="W114" s="39">
        <f t="shared" si="167"/>
        <v>8.0444214829870839E-3</v>
      </c>
      <c r="X114" s="40">
        <f t="shared" si="112"/>
        <v>6.7036845691559035E-3</v>
      </c>
      <c r="Y114" s="40" t="s">
        <v>21</v>
      </c>
      <c r="Z114" s="217">
        <f t="shared" si="124"/>
        <v>0.13407369138311806</v>
      </c>
      <c r="AA114" s="217">
        <f t="shared" si="113"/>
        <v>2.2345615230519675E-2</v>
      </c>
    </row>
    <row r="115" spans="1:27" ht="15.75" thickBot="1" x14ac:dyDescent="0.3">
      <c r="A115" s="229">
        <f t="shared" si="168"/>
        <v>2817</v>
      </c>
      <c r="B115" s="230">
        <f t="shared" si="169"/>
        <v>105</v>
      </c>
      <c r="C115" s="218" t="str">
        <f t="shared" si="164"/>
        <v>24aX19-000_000_09</v>
      </c>
      <c r="D115" s="231">
        <f t="shared" si="114"/>
        <v>19</v>
      </c>
      <c r="E115" s="239">
        <f t="shared" si="104"/>
        <v>2.7790000000000004</v>
      </c>
      <c r="F115" s="232">
        <f t="shared" si="125"/>
        <v>14.626315789473686</v>
      </c>
      <c r="G115" s="232">
        <f t="shared" si="105"/>
        <v>11.70105263157895</v>
      </c>
      <c r="H115" s="232">
        <f t="shared" si="106"/>
        <v>7.3131578947368432</v>
      </c>
      <c r="I115" s="232">
        <f t="shared" ref="I115:J115" si="270">I114</f>
        <v>8</v>
      </c>
      <c r="J115" s="233">
        <f t="shared" si="270"/>
        <v>0</v>
      </c>
      <c r="K115" s="228" t="str">
        <f t="shared" ref="K115" si="271">D115&amp;-9</f>
        <v>19-9</v>
      </c>
      <c r="L115" s="232">
        <f t="shared" si="118"/>
        <v>0.2</v>
      </c>
      <c r="M115" s="235">
        <v>0</v>
      </c>
      <c r="N115" s="232">
        <f t="shared" si="119"/>
        <v>150</v>
      </c>
      <c r="O115" s="232">
        <f t="shared" si="120"/>
        <v>160</v>
      </c>
      <c r="P115" s="232">
        <f t="shared" si="121"/>
        <v>750</v>
      </c>
      <c r="Q115" s="217"/>
      <c r="R115" s="38">
        <f t="shared" si="122"/>
        <v>18</v>
      </c>
      <c r="S115" s="38">
        <f t="shared" si="122"/>
        <v>20</v>
      </c>
      <c r="T115" s="39">
        <f t="shared" si="109"/>
        <v>0.98915328946183989</v>
      </c>
      <c r="U115" s="39">
        <f t="shared" si="110"/>
        <v>0.99624645144977986</v>
      </c>
      <c r="V115" s="39">
        <f t="shared" si="111"/>
        <v>7.0931619879399666E-3</v>
      </c>
      <c r="W115" s="39">
        <f t="shared" si="167"/>
        <v>8.0444214829870839E-3</v>
      </c>
      <c r="X115" s="40">
        <f t="shared" si="112"/>
        <v>6.7036845691559035E-3</v>
      </c>
      <c r="Y115" s="40" t="s">
        <v>21</v>
      </c>
      <c r="Z115" s="217">
        <f t="shared" si="124"/>
        <v>0.13407369138311806</v>
      </c>
      <c r="AA115" s="217">
        <f t="shared" si="113"/>
        <v>2.2345615230519675E-2</v>
      </c>
    </row>
    <row r="116" spans="1:27" ht="15.75" thickBot="1" x14ac:dyDescent="0.3">
      <c r="A116" s="229">
        <f t="shared" si="168"/>
        <v>2818</v>
      </c>
      <c r="B116" s="230">
        <f t="shared" si="169"/>
        <v>106</v>
      </c>
      <c r="C116" s="218" t="str">
        <f t="shared" si="164"/>
        <v>24aX19-000_030_10</v>
      </c>
      <c r="D116" s="231">
        <f t="shared" si="114"/>
        <v>19</v>
      </c>
      <c r="E116" s="239">
        <f t="shared" si="104"/>
        <v>2.7790000000000004</v>
      </c>
      <c r="F116" s="232">
        <f t="shared" si="125"/>
        <v>14.626315789473686</v>
      </c>
      <c r="G116" s="232">
        <f t="shared" si="105"/>
        <v>11.70105263157895</v>
      </c>
      <c r="H116" s="232">
        <f t="shared" si="106"/>
        <v>7.3131578947368432</v>
      </c>
      <c r="I116" s="232">
        <f t="shared" ref="I116:J116" si="272">I115</f>
        <v>8</v>
      </c>
      <c r="J116" s="233">
        <f t="shared" si="272"/>
        <v>0</v>
      </c>
      <c r="K116" s="228" t="str">
        <f t="shared" ref="K116" si="273">D116&amp;-10</f>
        <v>19-10</v>
      </c>
      <c r="L116" s="232">
        <f t="shared" si="118"/>
        <v>0.2</v>
      </c>
      <c r="M116" s="235">
        <v>30</v>
      </c>
      <c r="N116" s="232">
        <f t="shared" si="119"/>
        <v>150</v>
      </c>
      <c r="O116" s="232">
        <f t="shared" si="120"/>
        <v>160</v>
      </c>
      <c r="P116" s="232">
        <f t="shared" si="121"/>
        <v>750</v>
      </c>
      <c r="Q116" s="217"/>
      <c r="R116" s="38">
        <f t="shared" si="122"/>
        <v>18</v>
      </c>
      <c r="S116" s="38">
        <f t="shared" si="122"/>
        <v>20</v>
      </c>
      <c r="T116" s="39">
        <f t="shared" si="109"/>
        <v>0.98915328946183989</v>
      </c>
      <c r="U116" s="39">
        <f t="shared" si="110"/>
        <v>0.99624645144977986</v>
      </c>
      <c r="V116" s="39">
        <f t="shared" si="111"/>
        <v>7.0931619879399666E-3</v>
      </c>
      <c r="W116" s="39">
        <f t="shared" si="167"/>
        <v>8.0444214829870839E-3</v>
      </c>
      <c r="X116" s="40">
        <f t="shared" si="112"/>
        <v>6.7036845691559035E-3</v>
      </c>
      <c r="Y116" s="40" t="s">
        <v>21</v>
      </c>
      <c r="Z116" s="217">
        <f t="shared" si="124"/>
        <v>0.13407369138311806</v>
      </c>
      <c r="AA116" s="217">
        <f t="shared" si="113"/>
        <v>2.2345615230519675E-2</v>
      </c>
    </row>
    <row r="117" spans="1:27" ht="15.75" thickBot="1" x14ac:dyDescent="0.3">
      <c r="A117" s="229">
        <f t="shared" si="168"/>
        <v>2819</v>
      </c>
      <c r="B117" s="230">
        <f t="shared" si="169"/>
        <v>107</v>
      </c>
      <c r="C117" s="218" t="str">
        <f t="shared" si="164"/>
        <v>24aX19-000_060_11</v>
      </c>
      <c r="D117" s="231">
        <f t="shared" si="114"/>
        <v>19</v>
      </c>
      <c r="E117" s="239">
        <f t="shared" si="104"/>
        <v>2.7790000000000004</v>
      </c>
      <c r="F117" s="232">
        <f t="shared" si="125"/>
        <v>14.626315789473686</v>
      </c>
      <c r="G117" s="232">
        <f t="shared" si="105"/>
        <v>11.70105263157895</v>
      </c>
      <c r="H117" s="232">
        <f t="shared" si="106"/>
        <v>7.3131578947368432</v>
      </c>
      <c r="I117" s="232">
        <f t="shared" ref="I117:J117" si="274">I116</f>
        <v>8</v>
      </c>
      <c r="J117" s="233">
        <f t="shared" si="274"/>
        <v>0</v>
      </c>
      <c r="K117" s="228" t="str">
        <f t="shared" ref="K117" si="275">D117&amp;-11</f>
        <v>19-11</v>
      </c>
      <c r="L117" s="232">
        <f t="shared" si="118"/>
        <v>0.2</v>
      </c>
      <c r="M117" s="235">
        <v>60</v>
      </c>
      <c r="N117" s="232">
        <f t="shared" si="119"/>
        <v>150</v>
      </c>
      <c r="O117" s="232">
        <f t="shared" si="120"/>
        <v>160</v>
      </c>
      <c r="P117" s="232">
        <f t="shared" si="121"/>
        <v>750</v>
      </c>
      <c r="Q117" s="217"/>
      <c r="R117" s="38">
        <f t="shared" si="122"/>
        <v>18</v>
      </c>
      <c r="S117" s="38">
        <f t="shared" si="122"/>
        <v>20</v>
      </c>
      <c r="T117" s="39">
        <f t="shared" si="109"/>
        <v>0.98915328946183989</v>
      </c>
      <c r="U117" s="39">
        <f t="shared" si="110"/>
        <v>0.99624645144977986</v>
      </c>
      <c r="V117" s="39">
        <f t="shared" si="111"/>
        <v>7.0931619879399666E-3</v>
      </c>
      <c r="W117" s="39">
        <f t="shared" si="167"/>
        <v>8.0444214829870839E-3</v>
      </c>
      <c r="X117" s="40">
        <f t="shared" si="112"/>
        <v>6.7036845691559035E-3</v>
      </c>
      <c r="Y117" s="40" t="s">
        <v>21</v>
      </c>
      <c r="Z117" s="217">
        <f t="shared" si="124"/>
        <v>0.13407369138311806</v>
      </c>
      <c r="AA117" s="217">
        <f t="shared" si="113"/>
        <v>2.2345615230519675E-2</v>
      </c>
    </row>
    <row r="118" spans="1:27" ht="15.75" thickBot="1" x14ac:dyDescent="0.3">
      <c r="A118" s="229">
        <f t="shared" si="168"/>
        <v>2820</v>
      </c>
      <c r="B118" s="230">
        <f t="shared" si="169"/>
        <v>108</v>
      </c>
      <c r="C118" s="218" t="str">
        <f t="shared" si="164"/>
        <v>24aX19-000_090_12</v>
      </c>
      <c r="D118" s="231">
        <f t="shared" si="114"/>
        <v>19</v>
      </c>
      <c r="E118" s="239">
        <f t="shared" si="104"/>
        <v>2.7790000000000004</v>
      </c>
      <c r="F118" s="232">
        <f t="shared" si="125"/>
        <v>14.626315789473686</v>
      </c>
      <c r="G118" s="232">
        <f t="shared" si="105"/>
        <v>11.70105263157895</v>
      </c>
      <c r="H118" s="232">
        <f t="shared" si="106"/>
        <v>7.3131578947368432</v>
      </c>
      <c r="I118" s="232">
        <f t="shared" ref="I118:J118" si="276">I117</f>
        <v>8</v>
      </c>
      <c r="J118" s="233">
        <f t="shared" si="276"/>
        <v>0</v>
      </c>
      <c r="K118" s="228" t="str">
        <f t="shared" ref="K118" si="277">D118&amp;-12</f>
        <v>19-12</v>
      </c>
      <c r="L118" s="232">
        <f t="shared" si="118"/>
        <v>0.2</v>
      </c>
      <c r="M118" s="235">
        <v>90</v>
      </c>
      <c r="N118" s="232">
        <f t="shared" si="119"/>
        <v>150</v>
      </c>
      <c r="O118" s="232">
        <f t="shared" si="120"/>
        <v>160</v>
      </c>
      <c r="P118" s="232">
        <f t="shared" si="121"/>
        <v>750</v>
      </c>
      <c r="Q118" s="217"/>
      <c r="R118" s="38">
        <f t="shared" si="122"/>
        <v>18</v>
      </c>
      <c r="S118" s="38">
        <f t="shared" si="122"/>
        <v>20</v>
      </c>
      <c r="T118" s="39">
        <f t="shared" si="109"/>
        <v>0.98915328946183989</v>
      </c>
      <c r="U118" s="39">
        <f t="shared" si="110"/>
        <v>0.99624645144977986</v>
      </c>
      <c r="V118" s="39">
        <f t="shared" si="111"/>
        <v>7.0931619879399666E-3</v>
      </c>
      <c r="W118" s="39">
        <f t="shared" si="167"/>
        <v>8.0444214829870839E-3</v>
      </c>
      <c r="X118" s="40">
        <f t="shared" si="112"/>
        <v>6.7036845691559035E-3</v>
      </c>
      <c r="Y118" s="40" t="s">
        <v>21</v>
      </c>
      <c r="Z118" s="217">
        <f t="shared" si="124"/>
        <v>0.13407369138311806</v>
      </c>
      <c r="AA118" s="217">
        <f t="shared" si="113"/>
        <v>2.2345615230519675E-2</v>
      </c>
    </row>
    <row r="119" spans="1:27" ht="15.75" thickBot="1" x14ac:dyDescent="0.3">
      <c r="A119" s="229">
        <f t="shared" si="168"/>
        <v>2821</v>
      </c>
      <c r="B119" s="230">
        <f t="shared" si="169"/>
        <v>109</v>
      </c>
      <c r="C119" s="218" t="str">
        <f t="shared" si="164"/>
        <v>24aX21-000_000_01</v>
      </c>
      <c r="D119" s="231">
        <f t="shared" ref="D119" si="278">D118+2</f>
        <v>21</v>
      </c>
      <c r="E119" s="239">
        <f t="shared" si="104"/>
        <v>2.9890000000000003</v>
      </c>
      <c r="F119" s="232">
        <f t="shared" si="125"/>
        <v>14.233333333333334</v>
      </c>
      <c r="G119" s="232">
        <f t="shared" si="105"/>
        <v>11.386666666666668</v>
      </c>
      <c r="H119" s="232">
        <f t="shared" si="106"/>
        <v>7.1166666666666671</v>
      </c>
      <c r="I119" s="232">
        <f>inflow</f>
        <v>8</v>
      </c>
      <c r="J119" s="233">
        <f>yaw_null</f>
        <v>0</v>
      </c>
      <c r="K119" s="228" t="str">
        <f t="shared" ref="K119" si="279">D119&amp;-1</f>
        <v>21-1</v>
      </c>
      <c r="L119" s="232">
        <f>alpha_n</f>
        <v>0.2</v>
      </c>
      <c r="M119" s="235">
        <v>0</v>
      </c>
      <c r="N119" s="232">
        <f>t_out</f>
        <v>150</v>
      </c>
      <c r="O119" s="232">
        <f>trig_t</f>
        <v>160</v>
      </c>
      <c r="P119" s="232">
        <f>N119+T_s1</f>
        <v>750</v>
      </c>
      <c r="Q119" s="217"/>
      <c r="R119" s="38">
        <f t="shared" ref="R119" si="280">S118</f>
        <v>20</v>
      </c>
      <c r="S119" s="38">
        <f>R119+v_step</f>
        <v>22</v>
      </c>
      <c r="T119" s="39">
        <f t="shared" si="109"/>
        <v>0.99624645144977986</v>
      </c>
      <c r="U119" s="39">
        <f t="shared" si="110"/>
        <v>0.99883835115349351</v>
      </c>
      <c r="V119" s="39">
        <f t="shared" si="111"/>
        <v>2.5918997037136515E-3</v>
      </c>
      <c r="W119" s="39">
        <f t="shared" si="167"/>
        <v>2.9394977435666064E-3</v>
      </c>
      <c r="X119" s="40">
        <f t="shared" si="112"/>
        <v>2.4495814529721721E-3</v>
      </c>
      <c r="Y119" s="40" t="s">
        <v>21</v>
      </c>
      <c r="Z119" s="217">
        <f t="shared" si="124"/>
        <v>4.8991629059443445E-2</v>
      </c>
      <c r="AA119" s="217">
        <f t="shared" si="113"/>
        <v>8.1652715099072414E-3</v>
      </c>
    </row>
    <row r="120" spans="1:27" ht="15.75" thickBot="1" x14ac:dyDescent="0.3">
      <c r="A120" s="229">
        <f t="shared" si="168"/>
        <v>2822</v>
      </c>
      <c r="B120" s="230">
        <f t="shared" si="169"/>
        <v>110</v>
      </c>
      <c r="C120" s="218" t="str">
        <f t="shared" si="164"/>
        <v>24aX21-000_030_02</v>
      </c>
      <c r="D120" s="231">
        <f t="shared" ref="D120" si="281">D119</f>
        <v>21</v>
      </c>
      <c r="E120" s="239">
        <f t="shared" si="104"/>
        <v>2.9890000000000003</v>
      </c>
      <c r="F120" s="232">
        <f t="shared" si="125"/>
        <v>14.233333333333334</v>
      </c>
      <c r="G120" s="232">
        <f t="shared" si="105"/>
        <v>11.386666666666668</v>
      </c>
      <c r="H120" s="232">
        <f t="shared" si="106"/>
        <v>7.1166666666666671</v>
      </c>
      <c r="I120" s="232">
        <f t="shared" ref="I120" si="282">I119</f>
        <v>8</v>
      </c>
      <c r="J120" s="233">
        <f t="shared" ref="J120" si="283">J119</f>
        <v>0</v>
      </c>
      <c r="K120" s="228" t="str">
        <f t="shared" ref="K120" si="284">D120&amp;-2</f>
        <v>21-2</v>
      </c>
      <c r="L120" s="232">
        <f t="shared" ref="L120" si="285">L119</f>
        <v>0.2</v>
      </c>
      <c r="M120" s="235">
        <v>30</v>
      </c>
      <c r="N120" s="232">
        <f t="shared" ref="N120" si="286">N119</f>
        <v>150</v>
      </c>
      <c r="O120" s="232">
        <f t="shared" ref="O120" si="287">O119</f>
        <v>160</v>
      </c>
      <c r="P120" s="232">
        <f t="shared" ref="P120" si="288">P119</f>
        <v>750</v>
      </c>
      <c r="Q120" s="217"/>
      <c r="R120" s="38">
        <f t="shared" ref="R120:S120" si="289">R119</f>
        <v>20</v>
      </c>
      <c r="S120" s="38">
        <f t="shared" si="289"/>
        <v>22</v>
      </c>
      <c r="T120" s="39">
        <f t="shared" si="109"/>
        <v>0.99624645144977986</v>
      </c>
      <c r="U120" s="39">
        <f t="shared" si="110"/>
        <v>0.99883835115349351</v>
      </c>
      <c r="V120" s="39">
        <f t="shared" si="111"/>
        <v>2.5918997037136515E-3</v>
      </c>
      <c r="W120" s="39">
        <f t="shared" si="167"/>
        <v>2.9394977435666064E-3</v>
      </c>
      <c r="X120" s="40">
        <f t="shared" si="112"/>
        <v>2.4495814529721721E-3</v>
      </c>
      <c r="Y120" s="40" t="s">
        <v>21</v>
      </c>
      <c r="Z120" s="217">
        <f t="shared" si="124"/>
        <v>4.8991629059443445E-2</v>
      </c>
      <c r="AA120" s="217">
        <f t="shared" si="113"/>
        <v>8.1652715099072414E-3</v>
      </c>
    </row>
    <row r="121" spans="1:27" ht="15.75" thickBot="1" x14ac:dyDescent="0.3">
      <c r="A121" s="229">
        <f t="shared" si="168"/>
        <v>2823</v>
      </c>
      <c r="B121" s="230">
        <f t="shared" si="169"/>
        <v>111</v>
      </c>
      <c r="C121" s="218" t="str">
        <f t="shared" si="164"/>
        <v>24aX21-000_060_03</v>
      </c>
      <c r="D121" s="231">
        <f t="shared" si="114"/>
        <v>21</v>
      </c>
      <c r="E121" s="239">
        <f t="shared" si="104"/>
        <v>2.9890000000000003</v>
      </c>
      <c r="F121" s="232">
        <f t="shared" si="125"/>
        <v>14.233333333333334</v>
      </c>
      <c r="G121" s="232">
        <f t="shared" si="105"/>
        <v>11.386666666666668</v>
      </c>
      <c r="H121" s="232">
        <f t="shared" si="106"/>
        <v>7.1166666666666671</v>
      </c>
      <c r="I121" s="232">
        <f t="shared" ref="I121:J121" si="290">I120</f>
        <v>8</v>
      </c>
      <c r="J121" s="233">
        <f t="shared" si="290"/>
        <v>0</v>
      </c>
      <c r="K121" s="228" t="str">
        <f t="shared" ref="K121" si="291">D121&amp;-3</f>
        <v>21-3</v>
      </c>
      <c r="L121" s="232">
        <f t="shared" si="118"/>
        <v>0.2</v>
      </c>
      <c r="M121" s="235">
        <v>60</v>
      </c>
      <c r="N121" s="232">
        <f t="shared" si="119"/>
        <v>150</v>
      </c>
      <c r="O121" s="232">
        <f t="shared" si="120"/>
        <v>160</v>
      </c>
      <c r="P121" s="232">
        <f t="shared" si="121"/>
        <v>750</v>
      </c>
      <c r="Q121" s="217"/>
      <c r="R121" s="38">
        <f t="shared" si="122"/>
        <v>20</v>
      </c>
      <c r="S121" s="38">
        <f t="shared" si="122"/>
        <v>22</v>
      </c>
      <c r="T121" s="39">
        <f t="shared" si="109"/>
        <v>0.99624645144977986</v>
      </c>
      <c r="U121" s="39">
        <f t="shared" si="110"/>
        <v>0.99883835115349351</v>
      </c>
      <c r="V121" s="39">
        <f t="shared" si="111"/>
        <v>2.5918997037136515E-3</v>
      </c>
      <c r="W121" s="39">
        <f t="shared" si="167"/>
        <v>2.9394977435666064E-3</v>
      </c>
      <c r="X121" s="40">
        <f t="shared" si="112"/>
        <v>2.4495814529721721E-3</v>
      </c>
      <c r="Y121" s="40" t="s">
        <v>21</v>
      </c>
      <c r="Z121" s="217">
        <f t="shared" si="124"/>
        <v>4.8991629059443445E-2</v>
      </c>
      <c r="AA121" s="217">
        <f t="shared" si="113"/>
        <v>8.1652715099072414E-3</v>
      </c>
    </row>
    <row r="122" spans="1:27" ht="15.75" thickBot="1" x14ac:dyDescent="0.3">
      <c r="A122" s="229">
        <f t="shared" si="168"/>
        <v>2824</v>
      </c>
      <c r="B122" s="230">
        <f t="shared" si="169"/>
        <v>112</v>
      </c>
      <c r="C122" s="218" t="str">
        <f t="shared" si="164"/>
        <v>24aX21-000_090_04</v>
      </c>
      <c r="D122" s="231">
        <f t="shared" si="114"/>
        <v>21</v>
      </c>
      <c r="E122" s="239">
        <f t="shared" si="104"/>
        <v>2.9890000000000003</v>
      </c>
      <c r="F122" s="232">
        <f t="shared" si="125"/>
        <v>14.233333333333334</v>
      </c>
      <c r="G122" s="232">
        <f t="shared" si="105"/>
        <v>11.386666666666668</v>
      </c>
      <c r="H122" s="232">
        <f t="shared" si="106"/>
        <v>7.1166666666666671</v>
      </c>
      <c r="I122" s="232">
        <f t="shared" ref="I122:J122" si="292">I121</f>
        <v>8</v>
      </c>
      <c r="J122" s="233">
        <f t="shared" si="292"/>
        <v>0</v>
      </c>
      <c r="K122" s="228" t="str">
        <f t="shared" ref="K122" si="293">D122&amp;-4</f>
        <v>21-4</v>
      </c>
      <c r="L122" s="232">
        <f t="shared" si="118"/>
        <v>0.2</v>
      </c>
      <c r="M122" s="235">
        <v>90</v>
      </c>
      <c r="N122" s="232">
        <f t="shared" si="119"/>
        <v>150</v>
      </c>
      <c r="O122" s="232">
        <f t="shared" si="120"/>
        <v>160</v>
      </c>
      <c r="P122" s="232">
        <f t="shared" si="121"/>
        <v>750</v>
      </c>
      <c r="Q122" s="217"/>
      <c r="R122" s="38">
        <f t="shared" si="122"/>
        <v>20</v>
      </c>
      <c r="S122" s="38">
        <f t="shared" si="122"/>
        <v>22</v>
      </c>
      <c r="T122" s="39">
        <f t="shared" si="109"/>
        <v>0.99624645144977986</v>
      </c>
      <c r="U122" s="39">
        <f t="shared" si="110"/>
        <v>0.99883835115349351</v>
      </c>
      <c r="V122" s="39">
        <f t="shared" si="111"/>
        <v>2.5918997037136515E-3</v>
      </c>
      <c r="W122" s="39">
        <f t="shared" si="167"/>
        <v>2.9394977435666064E-3</v>
      </c>
      <c r="X122" s="40">
        <f t="shared" si="112"/>
        <v>2.4495814529721721E-3</v>
      </c>
      <c r="Y122" s="40" t="s">
        <v>21</v>
      </c>
      <c r="Z122" s="217">
        <f t="shared" si="124"/>
        <v>4.8991629059443445E-2</v>
      </c>
      <c r="AA122" s="217">
        <f t="shared" si="113"/>
        <v>8.1652715099072414E-3</v>
      </c>
    </row>
    <row r="123" spans="1:27" ht="15.75" thickBot="1" x14ac:dyDescent="0.3">
      <c r="A123" s="229">
        <f t="shared" si="168"/>
        <v>2825</v>
      </c>
      <c r="B123" s="230">
        <f t="shared" si="169"/>
        <v>113</v>
      </c>
      <c r="C123" s="218" t="str">
        <f t="shared" si="164"/>
        <v>24aX21-000_000_05</v>
      </c>
      <c r="D123" s="231">
        <f t="shared" si="114"/>
        <v>21</v>
      </c>
      <c r="E123" s="239">
        <f t="shared" ref="E123:E154" si="294">I_ref*(0.75*D123+5.6)</f>
        <v>2.9890000000000003</v>
      </c>
      <c r="F123" s="232">
        <f t="shared" si="125"/>
        <v>14.233333333333334</v>
      </c>
      <c r="G123" s="232">
        <f t="shared" ref="G123:G154" si="295">m_ty*F123</f>
        <v>11.386666666666668</v>
      </c>
      <c r="H123" s="232">
        <f t="shared" ref="H123:H154" si="296">m_tz*F123</f>
        <v>7.1166666666666671</v>
      </c>
      <c r="I123" s="232">
        <f t="shared" ref="I123:J123" si="297">I122</f>
        <v>8</v>
      </c>
      <c r="J123" s="233">
        <f t="shared" si="297"/>
        <v>0</v>
      </c>
      <c r="K123" s="228" t="str">
        <f t="shared" ref="K123" si="298">D123&amp;-5</f>
        <v>21-5</v>
      </c>
      <c r="L123" s="232">
        <f t="shared" si="118"/>
        <v>0.2</v>
      </c>
      <c r="M123" s="235">
        <v>0</v>
      </c>
      <c r="N123" s="232">
        <f t="shared" si="119"/>
        <v>150</v>
      </c>
      <c r="O123" s="232">
        <f t="shared" si="120"/>
        <v>160</v>
      </c>
      <c r="P123" s="232">
        <f t="shared" si="121"/>
        <v>750</v>
      </c>
      <c r="Q123" s="217"/>
      <c r="R123" s="38">
        <f t="shared" si="122"/>
        <v>20</v>
      </c>
      <c r="S123" s="38">
        <f t="shared" si="122"/>
        <v>22</v>
      </c>
      <c r="T123" s="39">
        <f t="shared" ref="T123:T154" si="299">IF(wpd="Rayleigh",1-EXP(-PI()*((R123/2/v_ave)^2)),IF(wpd="Weibull",1-EXP(-((R123/weibull_A)^weibull_K))))</f>
        <v>0.99624645144977986</v>
      </c>
      <c r="U123" s="39">
        <f t="shared" ref="U123:U154" si="300">IF(wpd="Rayleigh",1-EXP(-PI()*((S123/2/v_ave)^2)),IF(wpd="Weibull",1-EXP(-((S123/weibull_A)^weibull_K))))</f>
        <v>0.99883835115349351</v>
      </c>
      <c r="V123" s="39">
        <f t="shared" ref="V123:V153" si="301">U123-T123</f>
        <v>2.5918997037136515E-3</v>
      </c>
      <c r="W123" s="39">
        <f t="shared" si="167"/>
        <v>2.9394977435666064E-3</v>
      </c>
      <c r="X123" s="40">
        <f t="shared" ref="X123:X153" si="302">T_N4*W123/12</f>
        <v>2.4495814529721721E-3</v>
      </c>
      <c r="Y123" s="40" t="s">
        <v>21</v>
      </c>
      <c r="Z123" s="217">
        <f t="shared" si="124"/>
        <v>4.8991629059443445E-2</v>
      </c>
      <c r="AA123" s="217">
        <f t="shared" ref="AA123:AA154" si="303">Z123*(P123-N123)/3600</f>
        <v>8.1652715099072414E-3</v>
      </c>
    </row>
    <row r="124" spans="1:27" ht="15.75" thickBot="1" x14ac:dyDescent="0.3">
      <c r="A124" s="229">
        <f t="shared" si="168"/>
        <v>2826</v>
      </c>
      <c r="B124" s="230">
        <f t="shared" si="169"/>
        <v>114</v>
      </c>
      <c r="C124" s="218" t="str">
        <f t="shared" si="164"/>
        <v>24aX21-000_030_06</v>
      </c>
      <c r="D124" s="231">
        <f t="shared" ref="D124:D154" si="304">D123</f>
        <v>21</v>
      </c>
      <c r="E124" s="239">
        <f t="shared" si="294"/>
        <v>2.9890000000000003</v>
      </c>
      <c r="F124" s="232">
        <f t="shared" si="125"/>
        <v>14.233333333333334</v>
      </c>
      <c r="G124" s="232">
        <f t="shared" si="295"/>
        <v>11.386666666666668</v>
      </c>
      <c r="H124" s="232">
        <f t="shared" si="296"/>
        <v>7.1166666666666671</v>
      </c>
      <c r="I124" s="232">
        <f t="shared" ref="I124:J124" si="305">I123</f>
        <v>8</v>
      </c>
      <c r="J124" s="233">
        <f t="shared" si="305"/>
        <v>0</v>
      </c>
      <c r="K124" s="228" t="str">
        <f t="shared" ref="K124" si="306">D124&amp;-6</f>
        <v>21-6</v>
      </c>
      <c r="L124" s="232">
        <f t="shared" ref="L124:L154" si="307">L123</f>
        <v>0.2</v>
      </c>
      <c r="M124" s="235">
        <v>30</v>
      </c>
      <c r="N124" s="232">
        <f t="shared" ref="N124:P139" si="308">N123</f>
        <v>150</v>
      </c>
      <c r="O124" s="232">
        <f t="shared" si="308"/>
        <v>160</v>
      </c>
      <c r="P124" s="232">
        <f t="shared" si="308"/>
        <v>750</v>
      </c>
      <c r="Q124" s="217"/>
      <c r="R124" s="38">
        <f t="shared" ref="R124:S154" si="309">R123</f>
        <v>20</v>
      </c>
      <c r="S124" s="38">
        <f t="shared" si="309"/>
        <v>22</v>
      </c>
      <c r="T124" s="39">
        <f t="shared" si="299"/>
        <v>0.99624645144977986</v>
      </c>
      <c r="U124" s="39">
        <f t="shared" si="300"/>
        <v>0.99883835115349351</v>
      </c>
      <c r="V124" s="39">
        <f t="shared" si="301"/>
        <v>2.5918997037136515E-3</v>
      </c>
      <c r="W124" s="39">
        <f t="shared" si="167"/>
        <v>2.9394977435666064E-3</v>
      </c>
      <c r="X124" s="40">
        <f t="shared" si="302"/>
        <v>2.4495814529721721E-3</v>
      </c>
      <c r="Y124" s="40" t="s">
        <v>21</v>
      </c>
      <c r="Z124" s="217">
        <f t="shared" ref="Z124:Z154" si="310">X124*20</f>
        <v>4.8991629059443445E-2</v>
      </c>
      <c r="AA124" s="217">
        <f t="shared" si="303"/>
        <v>8.1652715099072414E-3</v>
      </c>
    </row>
    <row r="125" spans="1:27" ht="15.75" thickBot="1" x14ac:dyDescent="0.3">
      <c r="A125" s="229">
        <f t="shared" si="168"/>
        <v>2827</v>
      </c>
      <c r="B125" s="230">
        <f t="shared" si="169"/>
        <v>115</v>
      </c>
      <c r="C125" s="218" t="str">
        <f t="shared" si="164"/>
        <v>24aX21-000_060_07</v>
      </c>
      <c r="D125" s="231">
        <f t="shared" si="304"/>
        <v>21</v>
      </c>
      <c r="E125" s="239">
        <f t="shared" si="294"/>
        <v>2.9890000000000003</v>
      </c>
      <c r="F125" s="232">
        <f t="shared" ref="F125:F154" si="311">E125/D125*100</f>
        <v>14.233333333333334</v>
      </c>
      <c r="G125" s="232">
        <f t="shared" si="295"/>
        <v>11.386666666666668</v>
      </c>
      <c r="H125" s="232">
        <f t="shared" si="296"/>
        <v>7.1166666666666671</v>
      </c>
      <c r="I125" s="232">
        <f t="shared" ref="I125:J125" si="312">I124</f>
        <v>8</v>
      </c>
      <c r="J125" s="233">
        <f t="shared" si="312"/>
        <v>0</v>
      </c>
      <c r="K125" s="228" t="str">
        <f t="shared" ref="K125" si="313">D125&amp;-7</f>
        <v>21-7</v>
      </c>
      <c r="L125" s="232">
        <f t="shared" si="307"/>
        <v>0.2</v>
      </c>
      <c r="M125" s="235">
        <v>60</v>
      </c>
      <c r="N125" s="232">
        <f t="shared" si="308"/>
        <v>150</v>
      </c>
      <c r="O125" s="232">
        <f t="shared" si="308"/>
        <v>160</v>
      </c>
      <c r="P125" s="232">
        <f t="shared" si="308"/>
        <v>750</v>
      </c>
      <c r="Q125" s="217"/>
      <c r="R125" s="38">
        <f t="shared" si="309"/>
        <v>20</v>
      </c>
      <c r="S125" s="38">
        <f t="shared" si="309"/>
        <v>22</v>
      </c>
      <c r="T125" s="39">
        <f t="shared" si="299"/>
        <v>0.99624645144977986</v>
      </c>
      <c r="U125" s="39">
        <f t="shared" si="300"/>
        <v>0.99883835115349351</v>
      </c>
      <c r="V125" s="39">
        <f t="shared" si="301"/>
        <v>2.5918997037136515E-3</v>
      </c>
      <c r="W125" s="39">
        <f t="shared" si="167"/>
        <v>2.9394977435666064E-3</v>
      </c>
      <c r="X125" s="40">
        <f t="shared" si="302"/>
        <v>2.4495814529721721E-3</v>
      </c>
      <c r="Y125" s="40" t="s">
        <v>21</v>
      </c>
      <c r="Z125" s="217">
        <f t="shared" si="310"/>
        <v>4.8991629059443445E-2</v>
      </c>
      <c r="AA125" s="217">
        <f t="shared" si="303"/>
        <v>8.1652715099072414E-3</v>
      </c>
    </row>
    <row r="126" spans="1:27" ht="15.75" thickBot="1" x14ac:dyDescent="0.3">
      <c r="A126" s="229">
        <f t="shared" si="168"/>
        <v>2828</v>
      </c>
      <c r="B126" s="230">
        <f t="shared" si="169"/>
        <v>116</v>
      </c>
      <c r="C126" s="218" t="str">
        <f t="shared" si="164"/>
        <v>24aX21-000_090_08</v>
      </c>
      <c r="D126" s="231">
        <f t="shared" si="304"/>
        <v>21</v>
      </c>
      <c r="E126" s="239">
        <f t="shared" si="294"/>
        <v>2.9890000000000003</v>
      </c>
      <c r="F126" s="232">
        <f t="shared" si="311"/>
        <v>14.233333333333334</v>
      </c>
      <c r="G126" s="232">
        <f t="shared" si="295"/>
        <v>11.386666666666668</v>
      </c>
      <c r="H126" s="232">
        <f t="shared" si="296"/>
        <v>7.1166666666666671</v>
      </c>
      <c r="I126" s="232">
        <f t="shared" ref="I126:J126" si="314">I125</f>
        <v>8</v>
      </c>
      <c r="J126" s="233">
        <f t="shared" si="314"/>
        <v>0</v>
      </c>
      <c r="K126" s="228" t="str">
        <f t="shared" ref="K126" si="315">D126&amp;-8</f>
        <v>21-8</v>
      </c>
      <c r="L126" s="232">
        <f t="shared" si="307"/>
        <v>0.2</v>
      </c>
      <c r="M126" s="235">
        <v>90</v>
      </c>
      <c r="N126" s="232">
        <f t="shared" si="308"/>
        <v>150</v>
      </c>
      <c r="O126" s="232">
        <f t="shared" si="308"/>
        <v>160</v>
      </c>
      <c r="P126" s="232">
        <f t="shared" si="308"/>
        <v>750</v>
      </c>
      <c r="Q126" s="217"/>
      <c r="R126" s="38">
        <f t="shared" si="309"/>
        <v>20</v>
      </c>
      <c r="S126" s="38">
        <f t="shared" si="309"/>
        <v>22</v>
      </c>
      <c r="T126" s="39">
        <f t="shared" si="299"/>
        <v>0.99624645144977986</v>
      </c>
      <c r="U126" s="39">
        <f t="shared" si="300"/>
        <v>0.99883835115349351</v>
      </c>
      <c r="V126" s="39">
        <f t="shared" si="301"/>
        <v>2.5918997037136515E-3</v>
      </c>
      <c r="W126" s="39">
        <f t="shared" si="167"/>
        <v>2.9394977435666064E-3</v>
      </c>
      <c r="X126" s="40">
        <f t="shared" si="302"/>
        <v>2.4495814529721721E-3</v>
      </c>
      <c r="Y126" s="40" t="s">
        <v>21</v>
      </c>
      <c r="Z126" s="217">
        <f t="shared" si="310"/>
        <v>4.8991629059443445E-2</v>
      </c>
      <c r="AA126" s="217">
        <f t="shared" si="303"/>
        <v>8.1652715099072414E-3</v>
      </c>
    </row>
    <row r="127" spans="1:27" ht="15.75" thickBot="1" x14ac:dyDescent="0.3">
      <c r="A127" s="229">
        <f t="shared" si="168"/>
        <v>2829</v>
      </c>
      <c r="B127" s="230">
        <f t="shared" si="169"/>
        <v>117</v>
      </c>
      <c r="C127" s="218" t="str">
        <f t="shared" si="164"/>
        <v>24aX21-000_000_09</v>
      </c>
      <c r="D127" s="231">
        <f t="shared" si="304"/>
        <v>21</v>
      </c>
      <c r="E127" s="239">
        <f t="shared" si="294"/>
        <v>2.9890000000000003</v>
      </c>
      <c r="F127" s="232">
        <f t="shared" si="311"/>
        <v>14.233333333333334</v>
      </c>
      <c r="G127" s="232">
        <f t="shared" si="295"/>
        <v>11.386666666666668</v>
      </c>
      <c r="H127" s="232">
        <f t="shared" si="296"/>
        <v>7.1166666666666671</v>
      </c>
      <c r="I127" s="232">
        <f t="shared" ref="I127:J127" si="316">I126</f>
        <v>8</v>
      </c>
      <c r="J127" s="233">
        <f t="shared" si="316"/>
        <v>0</v>
      </c>
      <c r="K127" s="228" t="str">
        <f t="shared" ref="K127" si="317">D127&amp;-9</f>
        <v>21-9</v>
      </c>
      <c r="L127" s="232">
        <f t="shared" si="307"/>
        <v>0.2</v>
      </c>
      <c r="M127" s="235">
        <v>0</v>
      </c>
      <c r="N127" s="232">
        <f t="shared" si="308"/>
        <v>150</v>
      </c>
      <c r="O127" s="232">
        <f t="shared" si="308"/>
        <v>160</v>
      </c>
      <c r="P127" s="232">
        <f t="shared" si="308"/>
        <v>750</v>
      </c>
      <c r="Q127" s="217"/>
      <c r="R127" s="38">
        <f t="shared" si="309"/>
        <v>20</v>
      </c>
      <c r="S127" s="38">
        <f t="shared" si="309"/>
        <v>22</v>
      </c>
      <c r="T127" s="39">
        <f t="shared" si="299"/>
        <v>0.99624645144977986</v>
      </c>
      <c r="U127" s="39">
        <f t="shared" si="300"/>
        <v>0.99883835115349351</v>
      </c>
      <c r="V127" s="39">
        <f t="shared" si="301"/>
        <v>2.5918997037136515E-3</v>
      </c>
      <c r="W127" s="39">
        <f t="shared" si="167"/>
        <v>2.9394977435666064E-3</v>
      </c>
      <c r="X127" s="40">
        <f t="shared" si="302"/>
        <v>2.4495814529721721E-3</v>
      </c>
      <c r="Y127" s="40" t="s">
        <v>21</v>
      </c>
      <c r="Z127" s="217">
        <f t="shared" si="310"/>
        <v>4.8991629059443445E-2</v>
      </c>
      <c r="AA127" s="217">
        <f t="shared" si="303"/>
        <v>8.1652715099072414E-3</v>
      </c>
    </row>
    <row r="128" spans="1:27" ht="15.75" thickBot="1" x14ac:dyDescent="0.3">
      <c r="A128" s="229">
        <f t="shared" si="168"/>
        <v>2830</v>
      </c>
      <c r="B128" s="230">
        <f t="shared" si="169"/>
        <v>118</v>
      </c>
      <c r="C128" s="218" t="str">
        <f t="shared" si="164"/>
        <v>24aX21-000_030_10</v>
      </c>
      <c r="D128" s="231">
        <f t="shared" si="304"/>
        <v>21</v>
      </c>
      <c r="E128" s="239">
        <f t="shared" si="294"/>
        <v>2.9890000000000003</v>
      </c>
      <c r="F128" s="232">
        <f t="shared" si="311"/>
        <v>14.233333333333334</v>
      </c>
      <c r="G128" s="232">
        <f t="shared" si="295"/>
        <v>11.386666666666668</v>
      </c>
      <c r="H128" s="232">
        <f t="shared" si="296"/>
        <v>7.1166666666666671</v>
      </c>
      <c r="I128" s="232">
        <f t="shared" ref="I128:J128" si="318">I127</f>
        <v>8</v>
      </c>
      <c r="J128" s="233">
        <f t="shared" si="318"/>
        <v>0</v>
      </c>
      <c r="K128" s="228" t="str">
        <f t="shared" ref="K128" si="319">D128&amp;-10</f>
        <v>21-10</v>
      </c>
      <c r="L128" s="232">
        <f t="shared" si="307"/>
        <v>0.2</v>
      </c>
      <c r="M128" s="235">
        <v>30</v>
      </c>
      <c r="N128" s="232">
        <f t="shared" si="308"/>
        <v>150</v>
      </c>
      <c r="O128" s="232">
        <f t="shared" si="308"/>
        <v>160</v>
      </c>
      <c r="P128" s="232">
        <f t="shared" si="308"/>
        <v>750</v>
      </c>
      <c r="Q128" s="217"/>
      <c r="R128" s="38">
        <f t="shared" si="309"/>
        <v>20</v>
      </c>
      <c r="S128" s="38">
        <f t="shared" si="309"/>
        <v>22</v>
      </c>
      <c r="T128" s="39">
        <f t="shared" si="299"/>
        <v>0.99624645144977986</v>
      </c>
      <c r="U128" s="39">
        <f t="shared" si="300"/>
        <v>0.99883835115349351</v>
      </c>
      <c r="V128" s="39">
        <f t="shared" si="301"/>
        <v>2.5918997037136515E-3</v>
      </c>
      <c r="W128" s="39">
        <f t="shared" si="167"/>
        <v>2.9394977435666064E-3</v>
      </c>
      <c r="X128" s="40">
        <f t="shared" si="302"/>
        <v>2.4495814529721721E-3</v>
      </c>
      <c r="Y128" s="40" t="s">
        <v>21</v>
      </c>
      <c r="Z128" s="217">
        <f t="shared" si="310"/>
        <v>4.8991629059443445E-2</v>
      </c>
      <c r="AA128" s="217">
        <f t="shared" si="303"/>
        <v>8.1652715099072414E-3</v>
      </c>
    </row>
    <row r="129" spans="1:27" ht="15.75" thickBot="1" x14ac:dyDescent="0.3">
      <c r="A129" s="229">
        <f t="shared" si="168"/>
        <v>2831</v>
      </c>
      <c r="B129" s="230">
        <f t="shared" si="169"/>
        <v>119</v>
      </c>
      <c r="C129" s="218" t="str">
        <f t="shared" si="164"/>
        <v>24aX21-000_060_11</v>
      </c>
      <c r="D129" s="231">
        <f t="shared" si="304"/>
        <v>21</v>
      </c>
      <c r="E129" s="239">
        <f t="shared" si="294"/>
        <v>2.9890000000000003</v>
      </c>
      <c r="F129" s="232">
        <f t="shared" si="311"/>
        <v>14.233333333333334</v>
      </c>
      <c r="G129" s="232">
        <f t="shared" si="295"/>
        <v>11.386666666666668</v>
      </c>
      <c r="H129" s="232">
        <f t="shared" si="296"/>
        <v>7.1166666666666671</v>
      </c>
      <c r="I129" s="232">
        <f t="shared" ref="I129:J129" si="320">I128</f>
        <v>8</v>
      </c>
      <c r="J129" s="233">
        <f t="shared" si="320"/>
        <v>0</v>
      </c>
      <c r="K129" s="228" t="str">
        <f t="shared" ref="K129" si="321">D129&amp;-11</f>
        <v>21-11</v>
      </c>
      <c r="L129" s="232">
        <f t="shared" si="307"/>
        <v>0.2</v>
      </c>
      <c r="M129" s="235">
        <v>60</v>
      </c>
      <c r="N129" s="232">
        <f t="shared" si="308"/>
        <v>150</v>
      </c>
      <c r="O129" s="232">
        <f t="shared" si="308"/>
        <v>160</v>
      </c>
      <c r="P129" s="232">
        <f t="shared" si="308"/>
        <v>750</v>
      </c>
      <c r="Q129" s="217"/>
      <c r="R129" s="38">
        <f t="shared" si="309"/>
        <v>20</v>
      </c>
      <c r="S129" s="38">
        <f t="shared" si="309"/>
        <v>22</v>
      </c>
      <c r="T129" s="39">
        <f t="shared" si="299"/>
        <v>0.99624645144977986</v>
      </c>
      <c r="U129" s="39">
        <f t="shared" si="300"/>
        <v>0.99883835115349351</v>
      </c>
      <c r="V129" s="39">
        <f t="shared" si="301"/>
        <v>2.5918997037136515E-3</v>
      </c>
      <c r="W129" s="39">
        <f t="shared" si="167"/>
        <v>2.9394977435666064E-3</v>
      </c>
      <c r="X129" s="40">
        <f t="shared" si="302"/>
        <v>2.4495814529721721E-3</v>
      </c>
      <c r="Y129" s="40" t="s">
        <v>21</v>
      </c>
      <c r="Z129" s="217">
        <f t="shared" si="310"/>
        <v>4.8991629059443445E-2</v>
      </c>
      <c r="AA129" s="217">
        <f t="shared" si="303"/>
        <v>8.1652715099072414E-3</v>
      </c>
    </row>
    <row r="130" spans="1:27" ht="15.75" thickBot="1" x14ac:dyDescent="0.3">
      <c r="A130" s="229">
        <f t="shared" si="168"/>
        <v>2832</v>
      </c>
      <c r="B130" s="230">
        <f t="shared" si="169"/>
        <v>120</v>
      </c>
      <c r="C130" s="218" t="str">
        <f t="shared" si="164"/>
        <v>24aX21-000_090_12</v>
      </c>
      <c r="D130" s="231">
        <f t="shared" si="304"/>
        <v>21</v>
      </c>
      <c r="E130" s="239">
        <f t="shared" si="294"/>
        <v>2.9890000000000003</v>
      </c>
      <c r="F130" s="232">
        <f t="shared" si="311"/>
        <v>14.233333333333334</v>
      </c>
      <c r="G130" s="232">
        <f t="shared" si="295"/>
        <v>11.386666666666668</v>
      </c>
      <c r="H130" s="232">
        <f t="shared" si="296"/>
        <v>7.1166666666666671</v>
      </c>
      <c r="I130" s="232">
        <f t="shared" ref="I130:J130" si="322">I129</f>
        <v>8</v>
      </c>
      <c r="J130" s="233">
        <f t="shared" si="322"/>
        <v>0</v>
      </c>
      <c r="K130" s="228" t="str">
        <f t="shared" ref="K130" si="323">D130&amp;-12</f>
        <v>21-12</v>
      </c>
      <c r="L130" s="232">
        <f t="shared" si="307"/>
        <v>0.2</v>
      </c>
      <c r="M130" s="235">
        <v>90</v>
      </c>
      <c r="N130" s="232">
        <f t="shared" si="308"/>
        <v>150</v>
      </c>
      <c r="O130" s="232">
        <f t="shared" si="308"/>
        <v>160</v>
      </c>
      <c r="P130" s="232">
        <f t="shared" si="308"/>
        <v>750</v>
      </c>
      <c r="Q130" s="217"/>
      <c r="R130" s="38">
        <f t="shared" si="309"/>
        <v>20</v>
      </c>
      <c r="S130" s="38">
        <f t="shared" si="309"/>
        <v>22</v>
      </c>
      <c r="T130" s="39">
        <f t="shared" si="299"/>
        <v>0.99624645144977986</v>
      </c>
      <c r="U130" s="39">
        <f t="shared" si="300"/>
        <v>0.99883835115349351</v>
      </c>
      <c r="V130" s="39">
        <f t="shared" si="301"/>
        <v>2.5918997037136515E-3</v>
      </c>
      <c r="W130" s="39">
        <f t="shared" si="167"/>
        <v>2.9394977435666064E-3</v>
      </c>
      <c r="X130" s="40">
        <f t="shared" si="302"/>
        <v>2.4495814529721721E-3</v>
      </c>
      <c r="Y130" s="40" t="s">
        <v>21</v>
      </c>
      <c r="Z130" s="217">
        <f t="shared" si="310"/>
        <v>4.8991629059443445E-2</v>
      </c>
      <c r="AA130" s="217">
        <f t="shared" si="303"/>
        <v>8.1652715099072414E-3</v>
      </c>
    </row>
    <row r="131" spans="1:27" ht="15.75" thickBot="1" x14ac:dyDescent="0.3">
      <c r="A131" s="229">
        <f t="shared" si="168"/>
        <v>2833</v>
      </c>
      <c r="B131" s="230">
        <f t="shared" si="169"/>
        <v>121</v>
      </c>
      <c r="C131" s="218" t="str">
        <f t="shared" si="164"/>
        <v>24aX23-000_000_01</v>
      </c>
      <c r="D131" s="231">
        <f t="shared" ref="D131" si="324">D130+2</f>
        <v>23</v>
      </c>
      <c r="E131" s="239">
        <f t="shared" si="294"/>
        <v>3.1990000000000003</v>
      </c>
      <c r="F131" s="232">
        <f t="shared" si="311"/>
        <v>13.908695652173913</v>
      </c>
      <c r="G131" s="232">
        <f t="shared" si="295"/>
        <v>11.126956521739132</v>
      </c>
      <c r="H131" s="232">
        <f t="shared" si="296"/>
        <v>6.9543478260869565</v>
      </c>
      <c r="I131" s="232">
        <f>inflow</f>
        <v>8</v>
      </c>
      <c r="J131" s="233">
        <f>yaw_null</f>
        <v>0</v>
      </c>
      <c r="K131" s="228" t="str">
        <f t="shared" ref="K131" si="325">D131&amp;-1</f>
        <v>23-1</v>
      </c>
      <c r="L131" s="232">
        <f>alpha_n</f>
        <v>0.2</v>
      </c>
      <c r="M131" s="235">
        <v>0</v>
      </c>
      <c r="N131" s="232">
        <f>t_out</f>
        <v>150</v>
      </c>
      <c r="O131" s="232">
        <f>trig_t</f>
        <v>160</v>
      </c>
      <c r="P131" s="232">
        <f>N131+T_s1</f>
        <v>750</v>
      </c>
      <c r="Q131" s="217"/>
      <c r="R131" s="38">
        <f t="shared" ref="R131" si="326">S130</f>
        <v>22</v>
      </c>
      <c r="S131" s="38">
        <f>R131+v_step</f>
        <v>24</v>
      </c>
      <c r="T131" s="39">
        <f t="shared" si="299"/>
        <v>0.99883835115349351</v>
      </c>
      <c r="U131" s="39">
        <f t="shared" si="300"/>
        <v>0.99967848848331109</v>
      </c>
      <c r="V131" s="39">
        <f t="shared" si="301"/>
        <v>8.4013732981758071E-4</v>
      </c>
      <c r="W131" s="39">
        <f t="shared" si="167"/>
        <v>9.528076189624378E-4</v>
      </c>
      <c r="X131" s="40">
        <f t="shared" si="302"/>
        <v>7.9400634913536492E-4</v>
      </c>
      <c r="Y131" s="40" t="s">
        <v>21</v>
      </c>
      <c r="Z131" s="217">
        <f t="shared" si="310"/>
        <v>1.5880126982707299E-2</v>
      </c>
      <c r="AA131" s="217">
        <f t="shared" si="303"/>
        <v>2.6466878304512165E-3</v>
      </c>
    </row>
    <row r="132" spans="1:27" ht="15.75" thickBot="1" x14ac:dyDescent="0.3">
      <c r="A132" s="229">
        <f t="shared" si="168"/>
        <v>2834</v>
      </c>
      <c r="B132" s="230">
        <f t="shared" si="169"/>
        <v>122</v>
      </c>
      <c r="C132" s="218" t="str">
        <f t="shared" si="164"/>
        <v>24aX23-000_030_02</v>
      </c>
      <c r="D132" s="231">
        <f t="shared" ref="D132" si="327">D131</f>
        <v>23</v>
      </c>
      <c r="E132" s="239">
        <f t="shared" si="294"/>
        <v>3.1990000000000003</v>
      </c>
      <c r="F132" s="232">
        <f t="shared" si="311"/>
        <v>13.908695652173913</v>
      </c>
      <c r="G132" s="232">
        <f t="shared" si="295"/>
        <v>11.126956521739132</v>
      </c>
      <c r="H132" s="232">
        <f t="shared" si="296"/>
        <v>6.9543478260869565</v>
      </c>
      <c r="I132" s="232">
        <f t="shared" ref="I132" si="328">I131</f>
        <v>8</v>
      </c>
      <c r="J132" s="233">
        <f t="shared" ref="J132" si="329">J131</f>
        <v>0</v>
      </c>
      <c r="K132" s="228" t="str">
        <f t="shared" ref="K132" si="330">D132&amp;-2</f>
        <v>23-2</v>
      </c>
      <c r="L132" s="232">
        <f t="shared" ref="L132" si="331">L131</f>
        <v>0.2</v>
      </c>
      <c r="M132" s="235">
        <v>30</v>
      </c>
      <c r="N132" s="232">
        <f t="shared" ref="N132" si="332">N131</f>
        <v>150</v>
      </c>
      <c r="O132" s="232">
        <f t="shared" ref="O132" si="333">O131</f>
        <v>160</v>
      </c>
      <c r="P132" s="232">
        <f t="shared" ref="P132" si="334">P131</f>
        <v>750</v>
      </c>
      <c r="Q132" s="217"/>
      <c r="R132" s="38">
        <f t="shared" ref="R132:S132" si="335">R131</f>
        <v>22</v>
      </c>
      <c r="S132" s="38">
        <f t="shared" si="335"/>
        <v>24</v>
      </c>
      <c r="T132" s="39">
        <f t="shared" si="299"/>
        <v>0.99883835115349351</v>
      </c>
      <c r="U132" s="39">
        <f t="shared" si="300"/>
        <v>0.99967848848331109</v>
      </c>
      <c r="V132" s="39">
        <f t="shared" si="301"/>
        <v>8.4013732981758071E-4</v>
      </c>
      <c r="W132" s="39">
        <f t="shared" si="167"/>
        <v>9.528076189624378E-4</v>
      </c>
      <c r="X132" s="40">
        <f t="shared" si="302"/>
        <v>7.9400634913536492E-4</v>
      </c>
      <c r="Y132" s="40" t="s">
        <v>21</v>
      </c>
      <c r="Z132" s="217">
        <f t="shared" si="310"/>
        <v>1.5880126982707299E-2</v>
      </c>
      <c r="AA132" s="217">
        <f t="shared" si="303"/>
        <v>2.6466878304512165E-3</v>
      </c>
    </row>
    <row r="133" spans="1:27" ht="15.75" thickBot="1" x14ac:dyDescent="0.3">
      <c r="A133" s="229">
        <f t="shared" si="168"/>
        <v>2835</v>
      </c>
      <c r="B133" s="230">
        <f t="shared" si="169"/>
        <v>123</v>
      </c>
      <c r="C133" s="218" t="str">
        <f t="shared" si="164"/>
        <v>24aX23-000_060_03</v>
      </c>
      <c r="D133" s="231">
        <f t="shared" si="304"/>
        <v>23</v>
      </c>
      <c r="E133" s="239">
        <f t="shared" si="294"/>
        <v>3.1990000000000003</v>
      </c>
      <c r="F133" s="232">
        <f t="shared" si="311"/>
        <v>13.908695652173913</v>
      </c>
      <c r="G133" s="232">
        <f t="shared" si="295"/>
        <v>11.126956521739132</v>
      </c>
      <c r="H133" s="232">
        <f t="shared" si="296"/>
        <v>6.9543478260869565</v>
      </c>
      <c r="I133" s="232">
        <f t="shared" ref="I133:J133" si="336">I132</f>
        <v>8</v>
      </c>
      <c r="J133" s="233">
        <f t="shared" si="336"/>
        <v>0</v>
      </c>
      <c r="K133" s="228" t="str">
        <f t="shared" ref="K133" si="337">D133&amp;-3</f>
        <v>23-3</v>
      </c>
      <c r="L133" s="232">
        <f t="shared" si="307"/>
        <v>0.2</v>
      </c>
      <c r="M133" s="235">
        <v>60</v>
      </c>
      <c r="N133" s="232">
        <f t="shared" si="308"/>
        <v>150</v>
      </c>
      <c r="O133" s="232">
        <f t="shared" si="308"/>
        <v>160</v>
      </c>
      <c r="P133" s="232">
        <f t="shared" si="308"/>
        <v>750</v>
      </c>
      <c r="Q133" s="217"/>
      <c r="R133" s="38">
        <f t="shared" si="309"/>
        <v>22</v>
      </c>
      <c r="S133" s="38">
        <f t="shared" si="309"/>
        <v>24</v>
      </c>
      <c r="T133" s="39">
        <f t="shared" si="299"/>
        <v>0.99883835115349351</v>
      </c>
      <c r="U133" s="39">
        <f t="shared" si="300"/>
        <v>0.99967848848331109</v>
      </c>
      <c r="V133" s="39">
        <f t="shared" si="301"/>
        <v>8.4013732981758071E-4</v>
      </c>
      <c r="W133" s="39">
        <f t="shared" si="167"/>
        <v>9.528076189624378E-4</v>
      </c>
      <c r="X133" s="40">
        <f t="shared" si="302"/>
        <v>7.9400634913536492E-4</v>
      </c>
      <c r="Y133" s="40" t="s">
        <v>21</v>
      </c>
      <c r="Z133" s="217">
        <f t="shared" si="310"/>
        <v>1.5880126982707299E-2</v>
      </c>
      <c r="AA133" s="217">
        <f t="shared" si="303"/>
        <v>2.6466878304512165E-3</v>
      </c>
    </row>
    <row r="134" spans="1:27" ht="15.75" thickBot="1" x14ac:dyDescent="0.3">
      <c r="A134" s="229">
        <f t="shared" si="168"/>
        <v>2836</v>
      </c>
      <c r="B134" s="230">
        <f t="shared" si="169"/>
        <v>124</v>
      </c>
      <c r="C134" s="218" t="str">
        <f t="shared" si="164"/>
        <v>24aX23-000_090_04</v>
      </c>
      <c r="D134" s="231">
        <f t="shared" si="304"/>
        <v>23</v>
      </c>
      <c r="E134" s="239">
        <f t="shared" si="294"/>
        <v>3.1990000000000003</v>
      </c>
      <c r="F134" s="232">
        <f t="shared" si="311"/>
        <v>13.908695652173913</v>
      </c>
      <c r="G134" s="232">
        <f t="shared" si="295"/>
        <v>11.126956521739132</v>
      </c>
      <c r="H134" s="232">
        <f t="shared" si="296"/>
        <v>6.9543478260869565</v>
      </c>
      <c r="I134" s="232">
        <f t="shared" ref="I134:J134" si="338">I133</f>
        <v>8</v>
      </c>
      <c r="J134" s="233">
        <f t="shared" si="338"/>
        <v>0</v>
      </c>
      <c r="K134" s="228" t="str">
        <f t="shared" ref="K134" si="339">D134&amp;-4</f>
        <v>23-4</v>
      </c>
      <c r="L134" s="232">
        <f t="shared" si="307"/>
        <v>0.2</v>
      </c>
      <c r="M134" s="235">
        <v>90</v>
      </c>
      <c r="N134" s="232">
        <f t="shared" si="308"/>
        <v>150</v>
      </c>
      <c r="O134" s="232">
        <f t="shared" si="308"/>
        <v>160</v>
      </c>
      <c r="P134" s="232">
        <f t="shared" si="308"/>
        <v>750</v>
      </c>
      <c r="Q134" s="217"/>
      <c r="R134" s="38">
        <f t="shared" si="309"/>
        <v>22</v>
      </c>
      <c r="S134" s="38">
        <f t="shared" si="309"/>
        <v>24</v>
      </c>
      <c r="T134" s="39">
        <f t="shared" si="299"/>
        <v>0.99883835115349351</v>
      </c>
      <c r="U134" s="39">
        <f t="shared" si="300"/>
        <v>0.99967848848331109</v>
      </c>
      <c r="V134" s="39">
        <f t="shared" si="301"/>
        <v>8.4013732981758071E-4</v>
      </c>
      <c r="W134" s="39">
        <f t="shared" si="167"/>
        <v>9.528076189624378E-4</v>
      </c>
      <c r="X134" s="40">
        <f t="shared" si="302"/>
        <v>7.9400634913536492E-4</v>
      </c>
      <c r="Y134" s="40" t="s">
        <v>21</v>
      </c>
      <c r="Z134" s="217">
        <f t="shared" si="310"/>
        <v>1.5880126982707299E-2</v>
      </c>
      <c r="AA134" s="217">
        <f t="shared" si="303"/>
        <v>2.6466878304512165E-3</v>
      </c>
    </row>
    <row r="135" spans="1:27" ht="15.75" thickBot="1" x14ac:dyDescent="0.3">
      <c r="A135" s="229">
        <f t="shared" si="168"/>
        <v>2837</v>
      </c>
      <c r="B135" s="230">
        <f t="shared" si="169"/>
        <v>125</v>
      </c>
      <c r="C135" s="218" t="str">
        <f t="shared" si="164"/>
        <v>24aX23-000_000_05</v>
      </c>
      <c r="D135" s="231">
        <f t="shared" si="304"/>
        <v>23</v>
      </c>
      <c r="E135" s="239">
        <f t="shared" si="294"/>
        <v>3.1990000000000003</v>
      </c>
      <c r="F135" s="232">
        <f t="shared" si="311"/>
        <v>13.908695652173913</v>
      </c>
      <c r="G135" s="232">
        <f t="shared" si="295"/>
        <v>11.126956521739132</v>
      </c>
      <c r="H135" s="232">
        <f t="shared" si="296"/>
        <v>6.9543478260869565</v>
      </c>
      <c r="I135" s="232">
        <f t="shared" ref="I135:J135" si="340">I134</f>
        <v>8</v>
      </c>
      <c r="J135" s="233">
        <f t="shared" si="340"/>
        <v>0</v>
      </c>
      <c r="K135" s="228" t="str">
        <f t="shared" ref="K135" si="341">D135&amp;-5</f>
        <v>23-5</v>
      </c>
      <c r="L135" s="232">
        <f t="shared" si="307"/>
        <v>0.2</v>
      </c>
      <c r="M135" s="235">
        <v>0</v>
      </c>
      <c r="N135" s="232">
        <f t="shared" si="308"/>
        <v>150</v>
      </c>
      <c r="O135" s="232">
        <f t="shared" si="308"/>
        <v>160</v>
      </c>
      <c r="P135" s="232">
        <f t="shared" si="308"/>
        <v>750</v>
      </c>
      <c r="Q135" s="217"/>
      <c r="R135" s="38">
        <f t="shared" si="309"/>
        <v>22</v>
      </c>
      <c r="S135" s="38">
        <f t="shared" si="309"/>
        <v>24</v>
      </c>
      <c r="T135" s="39">
        <f t="shared" si="299"/>
        <v>0.99883835115349351</v>
      </c>
      <c r="U135" s="39">
        <f t="shared" si="300"/>
        <v>0.99967848848331109</v>
      </c>
      <c r="V135" s="39">
        <f t="shared" si="301"/>
        <v>8.4013732981758071E-4</v>
      </c>
      <c r="W135" s="39">
        <f t="shared" si="167"/>
        <v>9.528076189624378E-4</v>
      </c>
      <c r="X135" s="40">
        <f t="shared" si="302"/>
        <v>7.9400634913536492E-4</v>
      </c>
      <c r="Y135" s="40" t="s">
        <v>21</v>
      </c>
      <c r="Z135" s="217">
        <f t="shared" si="310"/>
        <v>1.5880126982707299E-2</v>
      </c>
      <c r="AA135" s="217">
        <f t="shared" si="303"/>
        <v>2.6466878304512165E-3</v>
      </c>
    </row>
    <row r="136" spans="1:27" ht="15.75" thickBot="1" x14ac:dyDescent="0.3">
      <c r="A136" s="229">
        <f t="shared" si="168"/>
        <v>2838</v>
      </c>
      <c r="B136" s="230">
        <f t="shared" si="169"/>
        <v>126</v>
      </c>
      <c r="C136" s="218" t="str">
        <f t="shared" si="164"/>
        <v>24aX23-000_030_06</v>
      </c>
      <c r="D136" s="231">
        <f t="shared" si="304"/>
        <v>23</v>
      </c>
      <c r="E136" s="239">
        <f t="shared" si="294"/>
        <v>3.1990000000000003</v>
      </c>
      <c r="F136" s="232">
        <f t="shared" si="311"/>
        <v>13.908695652173913</v>
      </c>
      <c r="G136" s="232">
        <f t="shared" si="295"/>
        <v>11.126956521739132</v>
      </c>
      <c r="H136" s="232">
        <f t="shared" si="296"/>
        <v>6.9543478260869565</v>
      </c>
      <c r="I136" s="232">
        <f t="shared" ref="I136:J136" si="342">I135</f>
        <v>8</v>
      </c>
      <c r="J136" s="233">
        <f t="shared" si="342"/>
        <v>0</v>
      </c>
      <c r="K136" s="228" t="str">
        <f t="shared" ref="K136" si="343">D136&amp;-6</f>
        <v>23-6</v>
      </c>
      <c r="L136" s="232">
        <f t="shared" si="307"/>
        <v>0.2</v>
      </c>
      <c r="M136" s="235">
        <v>30</v>
      </c>
      <c r="N136" s="232">
        <f t="shared" si="308"/>
        <v>150</v>
      </c>
      <c r="O136" s="232">
        <f t="shared" si="308"/>
        <v>160</v>
      </c>
      <c r="P136" s="232">
        <f t="shared" si="308"/>
        <v>750</v>
      </c>
      <c r="Q136" s="217"/>
      <c r="R136" s="38">
        <f t="shared" si="309"/>
        <v>22</v>
      </c>
      <c r="S136" s="38">
        <f t="shared" si="309"/>
        <v>24</v>
      </c>
      <c r="T136" s="39">
        <f t="shared" si="299"/>
        <v>0.99883835115349351</v>
      </c>
      <c r="U136" s="39">
        <f t="shared" si="300"/>
        <v>0.99967848848331109</v>
      </c>
      <c r="V136" s="39">
        <f t="shared" si="301"/>
        <v>8.4013732981758071E-4</v>
      </c>
      <c r="W136" s="39">
        <f t="shared" si="167"/>
        <v>9.528076189624378E-4</v>
      </c>
      <c r="X136" s="40">
        <f t="shared" si="302"/>
        <v>7.9400634913536492E-4</v>
      </c>
      <c r="Y136" s="40" t="s">
        <v>21</v>
      </c>
      <c r="Z136" s="217">
        <f t="shared" si="310"/>
        <v>1.5880126982707299E-2</v>
      </c>
      <c r="AA136" s="217">
        <f t="shared" si="303"/>
        <v>2.6466878304512165E-3</v>
      </c>
    </row>
    <row r="137" spans="1:27" ht="15.75" thickBot="1" x14ac:dyDescent="0.3">
      <c r="A137" s="229">
        <f t="shared" si="168"/>
        <v>2839</v>
      </c>
      <c r="B137" s="230">
        <f t="shared" si="169"/>
        <v>127</v>
      </c>
      <c r="C137" s="218" t="str">
        <f t="shared" si="164"/>
        <v>24aX23-000_060_07</v>
      </c>
      <c r="D137" s="231">
        <f t="shared" si="304"/>
        <v>23</v>
      </c>
      <c r="E137" s="239">
        <f t="shared" si="294"/>
        <v>3.1990000000000003</v>
      </c>
      <c r="F137" s="232">
        <f t="shared" si="311"/>
        <v>13.908695652173913</v>
      </c>
      <c r="G137" s="232">
        <f t="shared" si="295"/>
        <v>11.126956521739132</v>
      </c>
      <c r="H137" s="232">
        <f t="shared" si="296"/>
        <v>6.9543478260869565</v>
      </c>
      <c r="I137" s="232">
        <f t="shared" ref="I137:J137" si="344">I136</f>
        <v>8</v>
      </c>
      <c r="J137" s="233">
        <f t="shared" si="344"/>
        <v>0</v>
      </c>
      <c r="K137" s="228" t="str">
        <f t="shared" ref="K137" si="345">D137&amp;-7</f>
        <v>23-7</v>
      </c>
      <c r="L137" s="232">
        <f t="shared" si="307"/>
        <v>0.2</v>
      </c>
      <c r="M137" s="235">
        <v>60</v>
      </c>
      <c r="N137" s="232">
        <f t="shared" si="308"/>
        <v>150</v>
      </c>
      <c r="O137" s="232">
        <f t="shared" si="308"/>
        <v>160</v>
      </c>
      <c r="P137" s="232">
        <f t="shared" si="308"/>
        <v>750</v>
      </c>
      <c r="Q137" s="217"/>
      <c r="R137" s="38">
        <f t="shared" si="309"/>
        <v>22</v>
      </c>
      <c r="S137" s="38">
        <f t="shared" si="309"/>
        <v>24</v>
      </c>
      <c r="T137" s="39">
        <f t="shared" si="299"/>
        <v>0.99883835115349351</v>
      </c>
      <c r="U137" s="39">
        <f t="shared" si="300"/>
        <v>0.99967848848331109</v>
      </c>
      <c r="V137" s="39">
        <f t="shared" si="301"/>
        <v>8.4013732981758071E-4</v>
      </c>
      <c r="W137" s="39">
        <f t="shared" si="167"/>
        <v>9.528076189624378E-4</v>
      </c>
      <c r="X137" s="40">
        <f t="shared" si="302"/>
        <v>7.9400634913536492E-4</v>
      </c>
      <c r="Y137" s="40" t="s">
        <v>21</v>
      </c>
      <c r="Z137" s="217">
        <f t="shared" si="310"/>
        <v>1.5880126982707299E-2</v>
      </c>
      <c r="AA137" s="217">
        <f t="shared" si="303"/>
        <v>2.6466878304512165E-3</v>
      </c>
    </row>
    <row r="138" spans="1:27" ht="15.75" thickBot="1" x14ac:dyDescent="0.3">
      <c r="A138" s="229">
        <f t="shared" si="168"/>
        <v>2840</v>
      </c>
      <c r="B138" s="230">
        <f t="shared" si="169"/>
        <v>128</v>
      </c>
      <c r="C138" s="218" t="str">
        <f t="shared" si="164"/>
        <v>24aX23-000_090_08</v>
      </c>
      <c r="D138" s="231">
        <f t="shared" si="304"/>
        <v>23</v>
      </c>
      <c r="E138" s="239">
        <f t="shared" si="294"/>
        <v>3.1990000000000003</v>
      </c>
      <c r="F138" s="232">
        <f t="shared" si="311"/>
        <v>13.908695652173913</v>
      </c>
      <c r="G138" s="232">
        <f t="shared" si="295"/>
        <v>11.126956521739132</v>
      </c>
      <c r="H138" s="232">
        <f t="shared" si="296"/>
        <v>6.9543478260869565</v>
      </c>
      <c r="I138" s="232">
        <f t="shared" ref="I138:J138" si="346">I137</f>
        <v>8</v>
      </c>
      <c r="J138" s="233">
        <f t="shared" si="346"/>
        <v>0</v>
      </c>
      <c r="K138" s="228" t="str">
        <f t="shared" ref="K138" si="347">D138&amp;-8</f>
        <v>23-8</v>
      </c>
      <c r="L138" s="232">
        <f t="shared" si="307"/>
        <v>0.2</v>
      </c>
      <c r="M138" s="235">
        <v>90</v>
      </c>
      <c r="N138" s="232">
        <f t="shared" si="308"/>
        <v>150</v>
      </c>
      <c r="O138" s="232">
        <f t="shared" si="308"/>
        <v>160</v>
      </c>
      <c r="P138" s="232">
        <f t="shared" si="308"/>
        <v>750</v>
      </c>
      <c r="Q138" s="217"/>
      <c r="R138" s="38">
        <f t="shared" si="309"/>
        <v>22</v>
      </c>
      <c r="S138" s="38">
        <f t="shared" si="309"/>
        <v>24</v>
      </c>
      <c r="T138" s="39">
        <f t="shared" si="299"/>
        <v>0.99883835115349351</v>
      </c>
      <c r="U138" s="39">
        <f t="shared" si="300"/>
        <v>0.99967848848331109</v>
      </c>
      <c r="V138" s="39">
        <f t="shared" si="301"/>
        <v>8.4013732981758071E-4</v>
      </c>
      <c r="W138" s="39">
        <f t="shared" si="167"/>
        <v>9.528076189624378E-4</v>
      </c>
      <c r="X138" s="40">
        <f t="shared" si="302"/>
        <v>7.9400634913536492E-4</v>
      </c>
      <c r="Y138" s="40" t="s">
        <v>21</v>
      </c>
      <c r="Z138" s="217">
        <f t="shared" si="310"/>
        <v>1.5880126982707299E-2</v>
      </c>
      <c r="AA138" s="217">
        <f t="shared" si="303"/>
        <v>2.6466878304512165E-3</v>
      </c>
    </row>
    <row r="139" spans="1:27" ht="15.75" thickBot="1" x14ac:dyDescent="0.3">
      <c r="A139" s="229">
        <f t="shared" si="168"/>
        <v>2841</v>
      </c>
      <c r="B139" s="230">
        <f t="shared" si="169"/>
        <v>129</v>
      </c>
      <c r="C139" s="218" t="str">
        <f t="shared" si="164"/>
        <v>24aX23-000_000_09</v>
      </c>
      <c r="D139" s="231">
        <f t="shared" si="304"/>
        <v>23</v>
      </c>
      <c r="E139" s="239">
        <f t="shared" si="294"/>
        <v>3.1990000000000003</v>
      </c>
      <c r="F139" s="232">
        <f t="shared" si="311"/>
        <v>13.908695652173913</v>
      </c>
      <c r="G139" s="232">
        <f t="shared" si="295"/>
        <v>11.126956521739132</v>
      </c>
      <c r="H139" s="232">
        <f t="shared" si="296"/>
        <v>6.9543478260869565</v>
      </c>
      <c r="I139" s="232">
        <f t="shared" ref="I139:J139" si="348">I138</f>
        <v>8</v>
      </c>
      <c r="J139" s="233">
        <f t="shared" si="348"/>
        <v>0</v>
      </c>
      <c r="K139" s="228" t="str">
        <f t="shared" ref="K139" si="349">D139&amp;-9</f>
        <v>23-9</v>
      </c>
      <c r="L139" s="232">
        <f t="shared" si="307"/>
        <v>0.2</v>
      </c>
      <c r="M139" s="235">
        <v>0</v>
      </c>
      <c r="N139" s="232">
        <f t="shared" si="308"/>
        <v>150</v>
      </c>
      <c r="O139" s="232">
        <f t="shared" si="308"/>
        <v>160</v>
      </c>
      <c r="P139" s="232">
        <f t="shared" si="308"/>
        <v>750</v>
      </c>
      <c r="Q139" s="217"/>
      <c r="R139" s="38">
        <f t="shared" si="309"/>
        <v>22</v>
      </c>
      <c r="S139" s="38">
        <f t="shared" si="309"/>
        <v>24</v>
      </c>
      <c r="T139" s="39">
        <f t="shared" si="299"/>
        <v>0.99883835115349351</v>
      </c>
      <c r="U139" s="39">
        <f t="shared" si="300"/>
        <v>0.99967848848331109</v>
      </c>
      <c r="V139" s="39">
        <f t="shared" si="301"/>
        <v>8.4013732981758071E-4</v>
      </c>
      <c r="W139" s="39">
        <f t="shared" si="167"/>
        <v>9.528076189624378E-4</v>
      </c>
      <c r="X139" s="40">
        <f t="shared" si="302"/>
        <v>7.9400634913536492E-4</v>
      </c>
      <c r="Y139" s="40" t="s">
        <v>21</v>
      </c>
      <c r="Z139" s="217">
        <f t="shared" si="310"/>
        <v>1.5880126982707299E-2</v>
      </c>
      <c r="AA139" s="217">
        <f t="shared" si="303"/>
        <v>2.6466878304512165E-3</v>
      </c>
    </row>
    <row r="140" spans="1:27" ht="15.75" thickBot="1" x14ac:dyDescent="0.3">
      <c r="A140" s="229">
        <f t="shared" si="168"/>
        <v>2842</v>
      </c>
      <c r="B140" s="230">
        <f t="shared" si="169"/>
        <v>130</v>
      </c>
      <c r="C140" s="218" t="str">
        <f t="shared" ref="C140:C154" si="350">TEXT(RIGHT($B$2,LEN($B$2)-3),"000")&amp;"X"&amp;TEXT(D140,"00")&amp;"-"&amp;IF(J140&lt;0,TEXT(360+J140,"000"),TEXT(J140,"000"))&amp;"_"&amp;TEXT(M140,"000")&amp;"_"&amp;TEXT(RIGHT(K140,LEN(K140)-FIND("-",K140)),"00")</f>
        <v>24aX23-000_030_10</v>
      </c>
      <c r="D140" s="231">
        <f t="shared" si="304"/>
        <v>23</v>
      </c>
      <c r="E140" s="239">
        <f t="shared" si="294"/>
        <v>3.1990000000000003</v>
      </c>
      <c r="F140" s="232">
        <f t="shared" si="311"/>
        <v>13.908695652173913</v>
      </c>
      <c r="G140" s="232">
        <f t="shared" si="295"/>
        <v>11.126956521739132</v>
      </c>
      <c r="H140" s="232">
        <f t="shared" si="296"/>
        <v>6.9543478260869565</v>
      </c>
      <c r="I140" s="232">
        <f t="shared" ref="I140:J140" si="351">I139</f>
        <v>8</v>
      </c>
      <c r="J140" s="233">
        <f t="shared" si="351"/>
        <v>0</v>
      </c>
      <c r="K140" s="228" t="str">
        <f t="shared" ref="K140" si="352">D140&amp;-10</f>
        <v>23-10</v>
      </c>
      <c r="L140" s="232">
        <f t="shared" si="307"/>
        <v>0.2</v>
      </c>
      <c r="M140" s="235">
        <v>30</v>
      </c>
      <c r="N140" s="232">
        <f t="shared" ref="N140:P154" si="353">N139</f>
        <v>150</v>
      </c>
      <c r="O140" s="232">
        <f t="shared" si="353"/>
        <v>160</v>
      </c>
      <c r="P140" s="232">
        <f t="shared" si="353"/>
        <v>750</v>
      </c>
      <c r="Q140" s="217"/>
      <c r="R140" s="38">
        <f t="shared" si="309"/>
        <v>22</v>
      </c>
      <c r="S140" s="38">
        <f t="shared" si="309"/>
        <v>24</v>
      </c>
      <c r="T140" s="39">
        <f t="shared" si="299"/>
        <v>0.99883835115349351</v>
      </c>
      <c r="U140" s="39">
        <f t="shared" si="300"/>
        <v>0.99967848848331109</v>
      </c>
      <c r="V140" s="39">
        <f t="shared" si="301"/>
        <v>8.4013732981758071E-4</v>
      </c>
      <c r="W140" s="39">
        <f t="shared" ref="W140:W153" si="354">V140/(V$11+V$23+V$35+V$47+V$59+V$71+V$83+V$95+V$107+V$119+V$131+V$143)</f>
        <v>9.528076189624378E-4</v>
      </c>
      <c r="X140" s="40">
        <f t="shared" si="302"/>
        <v>7.9400634913536492E-4</v>
      </c>
      <c r="Y140" s="40" t="s">
        <v>21</v>
      </c>
      <c r="Z140" s="217">
        <f t="shared" si="310"/>
        <v>1.5880126982707299E-2</v>
      </c>
      <c r="AA140" s="217">
        <f t="shared" si="303"/>
        <v>2.6466878304512165E-3</v>
      </c>
    </row>
    <row r="141" spans="1:27" ht="15.75" thickBot="1" x14ac:dyDescent="0.3">
      <c r="A141" s="229">
        <f t="shared" ref="A141:A154" si="355">A140+1</f>
        <v>2843</v>
      </c>
      <c r="B141" s="230">
        <f t="shared" ref="B141:B154" si="356">B140+1</f>
        <v>131</v>
      </c>
      <c r="C141" s="218" t="str">
        <f t="shared" si="350"/>
        <v>24aX23-000_060_11</v>
      </c>
      <c r="D141" s="231">
        <f t="shared" si="304"/>
        <v>23</v>
      </c>
      <c r="E141" s="239">
        <f t="shared" si="294"/>
        <v>3.1990000000000003</v>
      </c>
      <c r="F141" s="232">
        <f t="shared" si="311"/>
        <v>13.908695652173913</v>
      </c>
      <c r="G141" s="232">
        <f t="shared" si="295"/>
        <v>11.126956521739132</v>
      </c>
      <c r="H141" s="232">
        <f t="shared" si="296"/>
        <v>6.9543478260869565</v>
      </c>
      <c r="I141" s="232">
        <f t="shared" ref="I141:J141" si="357">I140</f>
        <v>8</v>
      </c>
      <c r="J141" s="233">
        <f t="shared" si="357"/>
        <v>0</v>
      </c>
      <c r="K141" s="228" t="str">
        <f t="shared" ref="K141" si="358">D141&amp;-11</f>
        <v>23-11</v>
      </c>
      <c r="L141" s="232">
        <f t="shared" si="307"/>
        <v>0.2</v>
      </c>
      <c r="M141" s="235">
        <v>60</v>
      </c>
      <c r="N141" s="232">
        <f t="shared" si="353"/>
        <v>150</v>
      </c>
      <c r="O141" s="232">
        <f t="shared" si="353"/>
        <v>160</v>
      </c>
      <c r="P141" s="232">
        <f t="shared" si="353"/>
        <v>750</v>
      </c>
      <c r="Q141" s="217"/>
      <c r="R141" s="38">
        <f t="shared" si="309"/>
        <v>22</v>
      </c>
      <c r="S141" s="38">
        <f t="shared" si="309"/>
        <v>24</v>
      </c>
      <c r="T141" s="39">
        <f t="shared" si="299"/>
        <v>0.99883835115349351</v>
      </c>
      <c r="U141" s="39">
        <f t="shared" si="300"/>
        <v>0.99967848848331109</v>
      </c>
      <c r="V141" s="39">
        <f t="shared" si="301"/>
        <v>8.4013732981758071E-4</v>
      </c>
      <c r="W141" s="39">
        <f t="shared" si="354"/>
        <v>9.528076189624378E-4</v>
      </c>
      <c r="X141" s="40">
        <f t="shared" si="302"/>
        <v>7.9400634913536492E-4</v>
      </c>
      <c r="Y141" s="40" t="s">
        <v>21</v>
      </c>
      <c r="Z141" s="217">
        <f t="shared" si="310"/>
        <v>1.5880126982707299E-2</v>
      </c>
      <c r="AA141" s="217">
        <f t="shared" si="303"/>
        <v>2.6466878304512165E-3</v>
      </c>
    </row>
    <row r="142" spans="1:27" ht="15.75" thickBot="1" x14ac:dyDescent="0.3">
      <c r="A142" s="229">
        <f t="shared" si="355"/>
        <v>2844</v>
      </c>
      <c r="B142" s="230">
        <f t="shared" si="356"/>
        <v>132</v>
      </c>
      <c r="C142" s="218" t="str">
        <f t="shared" si="350"/>
        <v>24aX23-000_090_12</v>
      </c>
      <c r="D142" s="231">
        <f t="shared" si="304"/>
        <v>23</v>
      </c>
      <c r="E142" s="239">
        <f t="shared" si="294"/>
        <v>3.1990000000000003</v>
      </c>
      <c r="F142" s="232">
        <f t="shared" si="311"/>
        <v>13.908695652173913</v>
      </c>
      <c r="G142" s="232">
        <f t="shared" si="295"/>
        <v>11.126956521739132</v>
      </c>
      <c r="H142" s="232">
        <f t="shared" si="296"/>
        <v>6.9543478260869565</v>
      </c>
      <c r="I142" s="232">
        <f t="shared" ref="I142:J142" si="359">I141</f>
        <v>8</v>
      </c>
      <c r="J142" s="233">
        <f t="shared" si="359"/>
        <v>0</v>
      </c>
      <c r="K142" s="228" t="str">
        <f t="shared" ref="K142" si="360">D142&amp;-12</f>
        <v>23-12</v>
      </c>
      <c r="L142" s="232">
        <f t="shared" si="307"/>
        <v>0.2</v>
      </c>
      <c r="M142" s="235">
        <v>90</v>
      </c>
      <c r="N142" s="232">
        <f t="shared" si="353"/>
        <v>150</v>
      </c>
      <c r="O142" s="232">
        <f t="shared" si="353"/>
        <v>160</v>
      </c>
      <c r="P142" s="232">
        <f t="shared" si="353"/>
        <v>750</v>
      </c>
      <c r="Q142" s="217"/>
      <c r="R142" s="38">
        <f t="shared" si="309"/>
        <v>22</v>
      </c>
      <c r="S142" s="38">
        <f t="shared" si="309"/>
        <v>24</v>
      </c>
      <c r="T142" s="39">
        <f t="shared" si="299"/>
        <v>0.99883835115349351</v>
      </c>
      <c r="U142" s="39">
        <f t="shared" si="300"/>
        <v>0.99967848848331109</v>
      </c>
      <c r="V142" s="39">
        <f t="shared" si="301"/>
        <v>8.4013732981758071E-4</v>
      </c>
      <c r="W142" s="39">
        <f t="shared" si="354"/>
        <v>9.528076189624378E-4</v>
      </c>
      <c r="X142" s="40">
        <f t="shared" si="302"/>
        <v>7.9400634913536492E-4</v>
      </c>
      <c r="Y142" s="40" t="s">
        <v>21</v>
      </c>
      <c r="Z142" s="217">
        <f t="shared" si="310"/>
        <v>1.5880126982707299E-2</v>
      </c>
      <c r="AA142" s="217">
        <f t="shared" si="303"/>
        <v>2.6466878304512165E-3</v>
      </c>
    </row>
    <row r="143" spans="1:27" ht="15.75" thickBot="1" x14ac:dyDescent="0.3">
      <c r="A143" s="229">
        <f t="shared" si="355"/>
        <v>2845</v>
      </c>
      <c r="B143" s="230">
        <f t="shared" si="356"/>
        <v>133</v>
      </c>
      <c r="C143" s="218" t="str">
        <f t="shared" si="350"/>
        <v>24aX25-000_000_01</v>
      </c>
      <c r="D143" s="231">
        <f t="shared" ref="D143" si="361">D142+2</f>
        <v>25</v>
      </c>
      <c r="E143" s="239">
        <f t="shared" si="294"/>
        <v>3.4090000000000007</v>
      </c>
      <c r="F143" s="232">
        <f t="shared" si="311"/>
        <v>13.636000000000003</v>
      </c>
      <c r="G143" s="232">
        <f t="shared" si="295"/>
        <v>10.908800000000003</v>
      </c>
      <c r="H143" s="232">
        <f t="shared" si="296"/>
        <v>6.8180000000000014</v>
      </c>
      <c r="I143" s="232">
        <f>inflow</f>
        <v>8</v>
      </c>
      <c r="J143" s="233">
        <f>yaw_null</f>
        <v>0</v>
      </c>
      <c r="K143" s="228" t="str">
        <f t="shared" ref="K143" si="362">D143&amp;-1</f>
        <v>25-1</v>
      </c>
      <c r="L143" s="232">
        <f>alpha_n</f>
        <v>0.2</v>
      </c>
      <c r="M143" s="235">
        <v>0</v>
      </c>
      <c r="N143" s="232">
        <f>t_out</f>
        <v>150</v>
      </c>
      <c r="O143" s="232">
        <f>trig_t</f>
        <v>160</v>
      </c>
      <c r="P143" s="232">
        <f>N143+T_s1</f>
        <v>750</v>
      </c>
      <c r="Q143" s="217"/>
      <c r="R143" s="38">
        <f t="shared" ref="R143" si="363">S142</f>
        <v>24</v>
      </c>
      <c r="S143" s="38">
        <f>D143</f>
        <v>25</v>
      </c>
      <c r="T143" s="39">
        <f t="shared" si="299"/>
        <v>0.99967848848331109</v>
      </c>
      <c r="U143" s="39">
        <f t="shared" si="300"/>
        <v>0.99983779445975174</v>
      </c>
      <c r="V143" s="39">
        <f t="shared" si="301"/>
        <v>1.5930597644064903E-4</v>
      </c>
      <c r="W143" s="39">
        <f t="shared" si="354"/>
        <v>1.8067040079252137E-4</v>
      </c>
      <c r="X143" s="40">
        <f t="shared" si="302"/>
        <v>1.5055866732710112E-4</v>
      </c>
      <c r="Y143" s="40" t="s">
        <v>21</v>
      </c>
      <c r="Z143" s="217">
        <f t="shared" si="310"/>
        <v>3.0111733465420223E-3</v>
      </c>
      <c r="AA143" s="217">
        <f t="shared" si="303"/>
        <v>5.0186222442367046E-4</v>
      </c>
    </row>
    <row r="144" spans="1:27" ht="15.75" thickBot="1" x14ac:dyDescent="0.3">
      <c r="A144" s="229">
        <f t="shared" si="355"/>
        <v>2846</v>
      </c>
      <c r="B144" s="230">
        <f t="shared" si="356"/>
        <v>134</v>
      </c>
      <c r="C144" s="218" t="str">
        <f t="shared" si="350"/>
        <v>24aX25-000_030_02</v>
      </c>
      <c r="D144" s="231">
        <f t="shared" ref="D144" si="364">D143</f>
        <v>25</v>
      </c>
      <c r="E144" s="239">
        <f t="shared" si="294"/>
        <v>3.4090000000000007</v>
      </c>
      <c r="F144" s="232">
        <f t="shared" si="311"/>
        <v>13.636000000000003</v>
      </c>
      <c r="G144" s="232">
        <f t="shared" si="295"/>
        <v>10.908800000000003</v>
      </c>
      <c r="H144" s="232">
        <f t="shared" si="296"/>
        <v>6.8180000000000014</v>
      </c>
      <c r="I144" s="232">
        <f t="shared" ref="I144" si="365">I143</f>
        <v>8</v>
      </c>
      <c r="J144" s="233">
        <f t="shared" ref="J144" si="366">J143</f>
        <v>0</v>
      </c>
      <c r="K144" s="228" t="str">
        <f t="shared" ref="K144" si="367">D144&amp;-2</f>
        <v>25-2</v>
      </c>
      <c r="L144" s="232">
        <f t="shared" ref="L144" si="368">L143</f>
        <v>0.2</v>
      </c>
      <c r="M144" s="235">
        <v>30</v>
      </c>
      <c r="N144" s="232">
        <f t="shared" ref="N144" si="369">N143</f>
        <v>150</v>
      </c>
      <c r="O144" s="232">
        <f t="shared" ref="O144" si="370">O143</f>
        <v>160</v>
      </c>
      <c r="P144" s="232">
        <f t="shared" ref="P144" si="371">P143</f>
        <v>750</v>
      </c>
      <c r="Q144" s="217"/>
      <c r="R144" s="38">
        <f t="shared" ref="R144" si="372">R143</f>
        <v>24</v>
      </c>
      <c r="S144" s="38">
        <f t="shared" ref="S144:S154" si="373">D144</f>
        <v>25</v>
      </c>
      <c r="T144" s="39">
        <f t="shared" si="299"/>
        <v>0.99967848848331109</v>
      </c>
      <c r="U144" s="39">
        <f t="shared" si="300"/>
        <v>0.99983779445975174</v>
      </c>
      <c r="V144" s="39">
        <f t="shared" si="301"/>
        <v>1.5930597644064903E-4</v>
      </c>
      <c r="W144" s="39">
        <f t="shared" si="354"/>
        <v>1.8067040079252137E-4</v>
      </c>
      <c r="X144" s="40">
        <f t="shared" si="302"/>
        <v>1.5055866732710112E-4</v>
      </c>
      <c r="Y144" s="40" t="s">
        <v>21</v>
      </c>
      <c r="Z144" s="217">
        <f t="shared" si="310"/>
        <v>3.0111733465420223E-3</v>
      </c>
      <c r="AA144" s="217">
        <f t="shared" si="303"/>
        <v>5.0186222442367046E-4</v>
      </c>
    </row>
    <row r="145" spans="1:27" ht="15.75" thickBot="1" x14ac:dyDescent="0.3">
      <c r="A145" s="229">
        <f t="shared" si="355"/>
        <v>2847</v>
      </c>
      <c r="B145" s="230">
        <f t="shared" si="356"/>
        <v>135</v>
      </c>
      <c r="C145" s="218" t="str">
        <f t="shared" si="350"/>
        <v>24aX25-000_060_03</v>
      </c>
      <c r="D145" s="231">
        <f t="shared" si="304"/>
        <v>25</v>
      </c>
      <c r="E145" s="239">
        <f t="shared" si="294"/>
        <v>3.4090000000000007</v>
      </c>
      <c r="F145" s="232">
        <f t="shared" si="311"/>
        <v>13.636000000000003</v>
      </c>
      <c r="G145" s="232">
        <f t="shared" si="295"/>
        <v>10.908800000000003</v>
      </c>
      <c r="H145" s="232">
        <f t="shared" si="296"/>
        <v>6.8180000000000014</v>
      </c>
      <c r="I145" s="232">
        <f t="shared" ref="I145:J145" si="374">I144</f>
        <v>8</v>
      </c>
      <c r="J145" s="233">
        <f t="shared" si="374"/>
        <v>0</v>
      </c>
      <c r="K145" s="228" t="str">
        <f t="shared" ref="K145" si="375">D145&amp;-3</f>
        <v>25-3</v>
      </c>
      <c r="L145" s="232">
        <f t="shared" si="307"/>
        <v>0.2</v>
      </c>
      <c r="M145" s="235">
        <v>60</v>
      </c>
      <c r="N145" s="232">
        <f t="shared" si="353"/>
        <v>150</v>
      </c>
      <c r="O145" s="232">
        <f t="shared" si="353"/>
        <v>160</v>
      </c>
      <c r="P145" s="232">
        <f t="shared" si="353"/>
        <v>750</v>
      </c>
      <c r="Q145" s="217"/>
      <c r="R145" s="38">
        <f t="shared" si="309"/>
        <v>24</v>
      </c>
      <c r="S145" s="38">
        <f t="shared" si="373"/>
        <v>25</v>
      </c>
      <c r="T145" s="39">
        <f t="shared" si="299"/>
        <v>0.99967848848331109</v>
      </c>
      <c r="U145" s="39">
        <f t="shared" si="300"/>
        <v>0.99983779445975174</v>
      </c>
      <c r="V145" s="39">
        <f t="shared" si="301"/>
        <v>1.5930597644064903E-4</v>
      </c>
      <c r="W145" s="39">
        <f t="shared" si="354"/>
        <v>1.8067040079252137E-4</v>
      </c>
      <c r="X145" s="40">
        <f t="shared" si="302"/>
        <v>1.5055866732710112E-4</v>
      </c>
      <c r="Y145" s="40" t="s">
        <v>21</v>
      </c>
      <c r="Z145" s="217">
        <f t="shared" si="310"/>
        <v>3.0111733465420223E-3</v>
      </c>
      <c r="AA145" s="217">
        <f t="shared" si="303"/>
        <v>5.0186222442367046E-4</v>
      </c>
    </row>
    <row r="146" spans="1:27" ht="15.75" thickBot="1" x14ac:dyDescent="0.3">
      <c r="A146" s="229">
        <f t="shared" si="355"/>
        <v>2848</v>
      </c>
      <c r="B146" s="230">
        <f t="shared" si="356"/>
        <v>136</v>
      </c>
      <c r="C146" s="218" t="str">
        <f t="shared" si="350"/>
        <v>24aX25-000_090_04</v>
      </c>
      <c r="D146" s="231">
        <f t="shared" si="304"/>
        <v>25</v>
      </c>
      <c r="E146" s="239">
        <f t="shared" si="294"/>
        <v>3.4090000000000007</v>
      </c>
      <c r="F146" s="232">
        <f t="shared" si="311"/>
        <v>13.636000000000003</v>
      </c>
      <c r="G146" s="232">
        <f t="shared" si="295"/>
        <v>10.908800000000003</v>
      </c>
      <c r="H146" s="232">
        <f t="shared" si="296"/>
        <v>6.8180000000000014</v>
      </c>
      <c r="I146" s="232">
        <f t="shared" ref="I146:J146" si="376">I145</f>
        <v>8</v>
      </c>
      <c r="J146" s="233">
        <f t="shared" si="376"/>
        <v>0</v>
      </c>
      <c r="K146" s="228" t="str">
        <f t="shared" ref="K146" si="377">D146&amp;-4</f>
        <v>25-4</v>
      </c>
      <c r="L146" s="232">
        <f t="shared" si="307"/>
        <v>0.2</v>
      </c>
      <c r="M146" s="235">
        <v>90</v>
      </c>
      <c r="N146" s="232">
        <f t="shared" si="353"/>
        <v>150</v>
      </c>
      <c r="O146" s="232">
        <f t="shared" si="353"/>
        <v>160</v>
      </c>
      <c r="P146" s="232">
        <f t="shared" si="353"/>
        <v>750</v>
      </c>
      <c r="Q146" s="217"/>
      <c r="R146" s="38">
        <f t="shared" si="309"/>
        <v>24</v>
      </c>
      <c r="S146" s="38">
        <f t="shared" si="373"/>
        <v>25</v>
      </c>
      <c r="T146" s="39">
        <f t="shared" si="299"/>
        <v>0.99967848848331109</v>
      </c>
      <c r="U146" s="39">
        <f t="shared" si="300"/>
        <v>0.99983779445975174</v>
      </c>
      <c r="V146" s="39">
        <f t="shared" si="301"/>
        <v>1.5930597644064903E-4</v>
      </c>
      <c r="W146" s="39">
        <f t="shared" si="354"/>
        <v>1.8067040079252137E-4</v>
      </c>
      <c r="X146" s="40">
        <f t="shared" si="302"/>
        <v>1.5055866732710112E-4</v>
      </c>
      <c r="Y146" s="40" t="s">
        <v>21</v>
      </c>
      <c r="Z146" s="217">
        <f t="shared" si="310"/>
        <v>3.0111733465420223E-3</v>
      </c>
      <c r="AA146" s="217">
        <f t="shared" si="303"/>
        <v>5.0186222442367046E-4</v>
      </c>
    </row>
    <row r="147" spans="1:27" ht="15.75" thickBot="1" x14ac:dyDescent="0.3">
      <c r="A147" s="229">
        <f t="shared" si="355"/>
        <v>2849</v>
      </c>
      <c r="B147" s="230">
        <f t="shared" si="356"/>
        <v>137</v>
      </c>
      <c r="C147" s="218" t="str">
        <f t="shared" si="350"/>
        <v>24aX25-000_000_05</v>
      </c>
      <c r="D147" s="231">
        <f t="shared" si="304"/>
        <v>25</v>
      </c>
      <c r="E147" s="239">
        <f t="shared" si="294"/>
        <v>3.4090000000000007</v>
      </c>
      <c r="F147" s="232">
        <f t="shared" si="311"/>
        <v>13.636000000000003</v>
      </c>
      <c r="G147" s="232">
        <f t="shared" si="295"/>
        <v>10.908800000000003</v>
      </c>
      <c r="H147" s="232">
        <f t="shared" si="296"/>
        <v>6.8180000000000014</v>
      </c>
      <c r="I147" s="232">
        <f t="shared" ref="I147:J147" si="378">I146</f>
        <v>8</v>
      </c>
      <c r="J147" s="233">
        <f t="shared" si="378"/>
        <v>0</v>
      </c>
      <c r="K147" s="228" t="str">
        <f t="shared" ref="K147" si="379">D147&amp;-5</f>
        <v>25-5</v>
      </c>
      <c r="L147" s="232">
        <f t="shared" si="307"/>
        <v>0.2</v>
      </c>
      <c r="M147" s="235">
        <v>0</v>
      </c>
      <c r="N147" s="232">
        <f t="shared" si="353"/>
        <v>150</v>
      </c>
      <c r="O147" s="232">
        <f t="shared" si="353"/>
        <v>160</v>
      </c>
      <c r="P147" s="232">
        <f t="shared" si="353"/>
        <v>750</v>
      </c>
      <c r="Q147" s="217"/>
      <c r="R147" s="38">
        <f t="shared" si="309"/>
        <v>24</v>
      </c>
      <c r="S147" s="38">
        <f t="shared" si="373"/>
        <v>25</v>
      </c>
      <c r="T147" s="39">
        <f t="shared" si="299"/>
        <v>0.99967848848331109</v>
      </c>
      <c r="U147" s="39">
        <f t="shared" si="300"/>
        <v>0.99983779445975174</v>
      </c>
      <c r="V147" s="39">
        <f t="shared" si="301"/>
        <v>1.5930597644064903E-4</v>
      </c>
      <c r="W147" s="39">
        <f t="shared" si="354"/>
        <v>1.8067040079252137E-4</v>
      </c>
      <c r="X147" s="40">
        <f t="shared" si="302"/>
        <v>1.5055866732710112E-4</v>
      </c>
      <c r="Y147" s="40" t="s">
        <v>21</v>
      </c>
      <c r="Z147" s="217">
        <f t="shared" si="310"/>
        <v>3.0111733465420223E-3</v>
      </c>
      <c r="AA147" s="217">
        <f t="shared" si="303"/>
        <v>5.0186222442367046E-4</v>
      </c>
    </row>
    <row r="148" spans="1:27" ht="15.75" thickBot="1" x14ac:dyDescent="0.3">
      <c r="A148" s="229">
        <f t="shared" si="355"/>
        <v>2850</v>
      </c>
      <c r="B148" s="230">
        <f t="shared" si="356"/>
        <v>138</v>
      </c>
      <c r="C148" s="218" t="str">
        <f t="shared" si="350"/>
        <v>24aX25-000_030_06</v>
      </c>
      <c r="D148" s="231">
        <f t="shared" si="304"/>
        <v>25</v>
      </c>
      <c r="E148" s="239">
        <f t="shared" si="294"/>
        <v>3.4090000000000007</v>
      </c>
      <c r="F148" s="232">
        <f t="shared" si="311"/>
        <v>13.636000000000003</v>
      </c>
      <c r="G148" s="232">
        <f t="shared" si="295"/>
        <v>10.908800000000003</v>
      </c>
      <c r="H148" s="232">
        <f t="shared" si="296"/>
        <v>6.8180000000000014</v>
      </c>
      <c r="I148" s="232">
        <f t="shared" ref="I148:J148" si="380">I147</f>
        <v>8</v>
      </c>
      <c r="J148" s="233">
        <f t="shared" si="380"/>
        <v>0</v>
      </c>
      <c r="K148" s="228" t="str">
        <f t="shared" ref="K148" si="381">D148&amp;-6</f>
        <v>25-6</v>
      </c>
      <c r="L148" s="232">
        <f t="shared" si="307"/>
        <v>0.2</v>
      </c>
      <c r="M148" s="235">
        <v>30</v>
      </c>
      <c r="N148" s="232">
        <f t="shared" si="353"/>
        <v>150</v>
      </c>
      <c r="O148" s="232">
        <f t="shared" si="353"/>
        <v>160</v>
      </c>
      <c r="P148" s="232">
        <f t="shared" si="353"/>
        <v>750</v>
      </c>
      <c r="Q148" s="217"/>
      <c r="R148" s="38">
        <f t="shared" si="309"/>
        <v>24</v>
      </c>
      <c r="S148" s="38">
        <f t="shared" si="373"/>
        <v>25</v>
      </c>
      <c r="T148" s="39">
        <f t="shared" si="299"/>
        <v>0.99967848848331109</v>
      </c>
      <c r="U148" s="39">
        <f t="shared" si="300"/>
        <v>0.99983779445975174</v>
      </c>
      <c r="V148" s="39">
        <f t="shared" si="301"/>
        <v>1.5930597644064903E-4</v>
      </c>
      <c r="W148" s="39">
        <f t="shared" si="354"/>
        <v>1.8067040079252137E-4</v>
      </c>
      <c r="X148" s="40">
        <f t="shared" si="302"/>
        <v>1.5055866732710112E-4</v>
      </c>
      <c r="Y148" s="40" t="s">
        <v>21</v>
      </c>
      <c r="Z148" s="217">
        <f t="shared" si="310"/>
        <v>3.0111733465420223E-3</v>
      </c>
      <c r="AA148" s="217">
        <f t="shared" si="303"/>
        <v>5.0186222442367046E-4</v>
      </c>
    </row>
    <row r="149" spans="1:27" ht="15.75" thickBot="1" x14ac:dyDescent="0.3">
      <c r="A149" s="229">
        <f t="shared" si="355"/>
        <v>2851</v>
      </c>
      <c r="B149" s="230">
        <f t="shared" si="356"/>
        <v>139</v>
      </c>
      <c r="C149" s="218" t="str">
        <f t="shared" si="350"/>
        <v>24aX25-000_060_07</v>
      </c>
      <c r="D149" s="231">
        <f t="shared" si="304"/>
        <v>25</v>
      </c>
      <c r="E149" s="239">
        <f t="shared" si="294"/>
        <v>3.4090000000000007</v>
      </c>
      <c r="F149" s="232">
        <f t="shared" si="311"/>
        <v>13.636000000000003</v>
      </c>
      <c r="G149" s="232">
        <f t="shared" si="295"/>
        <v>10.908800000000003</v>
      </c>
      <c r="H149" s="232">
        <f t="shared" si="296"/>
        <v>6.8180000000000014</v>
      </c>
      <c r="I149" s="232">
        <f t="shared" ref="I149:J149" si="382">I148</f>
        <v>8</v>
      </c>
      <c r="J149" s="233">
        <f t="shared" si="382"/>
        <v>0</v>
      </c>
      <c r="K149" s="228" t="str">
        <f t="shared" ref="K149" si="383">D149&amp;-7</f>
        <v>25-7</v>
      </c>
      <c r="L149" s="232">
        <f t="shared" si="307"/>
        <v>0.2</v>
      </c>
      <c r="M149" s="235">
        <v>60</v>
      </c>
      <c r="N149" s="232">
        <f t="shared" si="353"/>
        <v>150</v>
      </c>
      <c r="O149" s="232">
        <f t="shared" si="353"/>
        <v>160</v>
      </c>
      <c r="P149" s="232">
        <f t="shared" si="353"/>
        <v>750</v>
      </c>
      <c r="Q149" s="217"/>
      <c r="R149" s="38">
        <f t="shared" si="309"/>
        <v>24</v>
      </c>
      <c r="S149" s="38">
        <f t="shared" si="373"/>
        <v>25</v>
      </c>
      <c r="T149" s="39">
        <f t="shared" si="299"/>
        <v>0.99967848848331109</v>
      </c>
      <c r="U149" s="39">
        <f t="shared" si="300"/>
        <v>0.99983779445975174</v>
      </c>
      <c r="V149" s="39">
        <f t="shared" si="301"/>
        <v>1.5930597644064903E-4</v>
      </c>
      <c r="W149" s="39">
        <f t="shared" si="354"/>
        <v>1.8067040079252137E-4</v>
      </c>
      <c r="X149" s="40">
        <f t="shared" si="302"/>
        <v>1.5055866732710112E-4</v>
      </c>
      <c r="Y149" s="40" t="s">
        <v>21</v>
      </c>
      <c r="Z149" s="217">
        <f t="shared" si="310"/>
        <v>3.0111733465420223E-3</v>
      </c>
      <c r="AA149" s="217">
        <f t="shared" si="303"/>
        <v>5.0186222442367046E-4</v>
      </c>
    </row>
    <row r="150" spans="1:27" ht="15.75" thickBot="1" x14ac:dyDescent="0.3">
      <c r="A150" s="229">
        <f t="shared" si="355"/>
        <v>2852</v>
      </c>
      <c r="B150" s="230">
        <f t="shared" si="356"/>
        <v>140</v>
      </c>
      <c r="C150" s="218" t="str">
        <f t="shared" si="350"/>
        <v>24aX25-000_090_08</v>
      </c>
      <c r="D150" s="231">
        <f t="shared" si="304"/>
        <v>25</v>
      </c>
      <c r="E150" s="239">
        <f t="shared" si="294"/>
        <v>3.4090000000000007</v>
      </c>
      <c r="F150" s="232">
        <f t="shared" si="311"/>
        <v>13.636000000000003</v>
      </c>
      <c r="G150" s="232">
        <f t="shared" si="295"/>
        <v>10.908800000000003</v>
      </c>
      <c r="H150" s="232">
        <f t="shared" si="296"/>
        <v>6.8180000000000014</v>
      </c>
      <c r="I150" s="232">
        <f t="shared" ref="I150:J150" si="384">I149</f>
        <v>8</v>
      </c>
      <c r="J150" s="233">
        <f t="shared" si="384"/>
        <v>0</v>
      </c>
      <c r="K150" s="228" t="str">
        <f t="shared" ref="K150" si="385">D150&amp;-8</f>
        <v>25-8</v>
      </c>
      <c r="L150" s="232">
        <f t="shared" si="307"/>
        <v>0.2</v>
      </c>
      <c r="M150" s="235">
        <v>90</v>
      </c>
      <c r="N150" s="232">
        <f t="shared" si="353"/>
        <v>150</v>
      </c>
      <c r="O150" s="232">
        <f t="shared" si="353"/>
        <v>160</v>
      </c>
      <c r="P150" s="232">
        <f t="shared" si="353"/>
        <v>750</v>
      </c>
      <c r="Q150" s="217"/>
      <c r="R150" s="38">
        <f t="shared" si="309"/>
        <v>24</v>
      </c>
      <c r="S150" s="38">
        <f t="shared" si="373"/>
        <v>25</v>
      </c>
      <c r="T150" s="39">
        <f t="shared" si="299"/>
        <v>0.99967848848331109</v>
      </c>
      <c r="U150" s="39">
        <f t="shared" si="300"/>
        <v>0.99983779445975174</v>
      </c>
      <c r="V150" s="39">
        <f t="shared" si="301"/>
        <v>1.5930597644064903E-4</v>
      </c>
      <c r="W150" s="39">
        <f t="shared" si="354"/>
        <v>1.8067040079252137E-4</v>
      </c>
      <c r="X150" s="40">
        <f t="shared" si="302"/>
        <v>1.5055866732710112E-4</v>
      </c>
      <c r="Y150" s="40" t="s">
        <v>21</v>
      </c>
      <c r="Z150" s="217">
        <f t="shared" si="310"/>
        <v>3.0111733465420223E-3</v>
      </c>
      <c r="AA150" s="217">
        <f t="shared" si="303"/>
        <v>5.0186222442367046E-4</v>
      </c>
    </row>
    <row r="151" spans="1:27" ht="15.75" thickBot="1" x14ac:dyDescent="0.3">
      <c r="A151" s="229">
        <f t="shared" si="355"/>
        <v>2853</v>
      </c>
      <c r="B151" s="230">
        <f t="shared" si="356"/>
        <v>141</v>
      </c>
      <c r="C151" s="218" t="str">
        <f t="shared" si="350"/>
        <v>24aX25-000_000_09</v>
      </c>
      <c r="D151" s="231">
        <f t="shared" si="304"/>
        <v>25</v>
      </c>
      <c r="E151" s="239">
        <f t="shared" si="294"/>
        <v>3.4090000000000007</v>
      </c>
      <c r="F151" s="232">
        <f t="shared" si="311"/>
        <v>13.636000000000003</v>
      </c>
      <c r="G151" s="232">
        <f t="shared" si="295"/>
        <v>10.908800000000003</v>
      </c>
      <c r="H151" s="232">
        <f t="shared" si="296"/>
        <v>6.8180000000000014</v>
      </c>
      <c r="I151" s="232">
        <f t="shared" ref="I151:J151" si="386">I150</f>
        <v>8</v>
      </c>
      <c r="J151" s="233">
        <f t="shared" si="386"/>
        <v>0</v>
      </c>
      <c r="K151" s="228" t="str">
        <f t="shared" ref="K151" si="387">D151&amp;-9</f>
        <v>25-9</v>
      </c>
      <c r="L151" s="232">
        <f t="shared" si="307"/>
        <v>0.2</v>
      </c>
      <c r="M151" s="235">
        <v>0</v>
      </c>
      <c r="N151" s="232">
        <f t="shared" si="353"/>
        <v>150</v>
      </c>
      <c r="O151" s="232">
        <f t="shared" si="353"/>
        <v>160</v>
      </c>
      <c r="P151" s="232">
        <f t="shared" si="353"/>
        <v>750</v>
      </c>
      <c r="Q151" s="217"/>
      <c r="R151" s="38">
        <f t="shared" si="309"/>
        <v>24</v>
      </c>
      <c r="S151" s="38">
        <f t="shared" si="373"/>
        <v>25</v>
      </c>
      <c r="T151" s="39">
        <f t="shared" si="299"/>
        <v>0.99967848848331109</v>
      </c>
      <c r="U151" s="39">
        <f t="shared" si="300"/>
        <v>0.99983779445975174</v>
      </c>
      <c r="V151" s="39">
        <f t="shared" si="301"/>
        <v>1.5930597644064903E-4</v>
      </c>
      <c r="W151" s="39">
        <f t="shared" si="354"/>
        <v>1.8067040079252137E-4</v>
      </c>
      <c r="X151" s="40">
        <f t="shared" si="302"/>
        <v>1.5055866732710112E-4</v>
      </c>
      <c r="Y151" s="40" t="s">
        <v>21</v>
      </c>
      <c r="Z151" s="217">
        <f t="shared" si="310"/>
        <v>3.0111733465420223E-3</v>
      </c>
      <c r="AA151" s="217">
        <f t="shared" si="303"/>
        <v>5.0186222442367046E-4</v>
      </c>
    </row>
    <row r="152" spans="1:27" ht="15.75" thickBot="1" x14ac:dyDescent="0.3">
      <c r="A152" s="229">
        <f t="shared" si="355"/>
        <v>2854</v>
      </c>
      <c r="B152" s="230">
        <f t="shared" si="356"/>
        <v>142</v>
      </c>
      <c r="C152" s="218" t="str">
        <f t="shared" si="350"/>
        <v>24aX25-000_030_10</v>
      </c>
      <c r="D152" s="231">
        <f t="shared" si="304"/>
        <v>25</v>
      </c>
      <c r="E152" s="239">
        <f t="shared" si="294"/>
        <v>3.4090000000000007</v>
      </c>
      <c r="F152" s="232">
        <f t="shared" si="311"/>
        <v>13.636000000000003</v>
      </c>
      <c r="G152" s="232">
        <f t="shared" si="295"/>
        <v>10.908800000000003</v>
      </c>
      <c r="H152" s="232">
        <f t="shared" si="296"/>
        <v>6.8180000000000014</v>
      </c>
      <c r="I152" s="232">
        <f t="shared" ref="I152:J152" si="388">I151</f>
        <v>8</v>
      </c>
      <c r="J152" s="233">
        <f t="shared" si="388"/>
        <v>0</v>
      </c>
      <c r="K152" s="228" t="str">
        <f t="shared" ref="K152" si="389">D152&amp;-10</f>
        <v>25-10</v>
      </c>
      <c r="L152" s="232">
        <f t="shared" si="307"/>
        <v>0.2</v>
      </c>
      <c r="M152" s="235">
        <v>30</v>
      </c>
      <c r="N152" s="232">
        <f t="shared" si="353"/>
        <v>150</v>
      </c>
      <c r="O152" s="232">
        <f t="shared" si="353"/>
        <v>160</v>
      </c>
      <c r="P152" s="232">
        <f t="shared" si="353"/>
        <v>750</v>
      </c>
      <c r="Q152" s="217"/>
      <c r="R152" s="38">
        <f t="shared" si="309"/>
        <v>24</v>
      </c>
      <c r="S152" s="38">
        <f t="shared" si="373"/>
        <v>25</v>
      </c>
      <c r="T152" s="39">
        <f t="shared" si="299"/>
        <v>0.99967848848331109</v>
      </c>
      <c r="U152" s="39">
        <f t="shared" si="300"/>
        <v>0.99983779445975174</v>
      </c>
      <c r="V152" s="39">
        <f t="shared" si="301"/>
        <v>1.5930597644064903E-4</v>
      </c>
      <c r="W152" s="39">
        <f t="shared" si="354"/>
        <v>1.8067040079252137E-4</v>
      </c>
      <c r="X152" s="40">
        <f t="shared" si="302"/>
        <v>1.5055866732710112E-4</v>
      </c>
      <c r="Y152" s="40" t="s">
        <v>21</v>
      </c>
      <c r="Z152" s="217">
        <f t="shared" si="310"/>
        <v>3.0111733465420223E-3</v>
      </c>
      <c r="AA152" s="217">
        <f t="shared" si="303"/>
        <v>5.0186222442367046E-4</v>
      </c>
    </row>
    <row r="153" spans="1:27" ht="15.75" thickBot="1" x14ac:dyDescent="0.3">
      <c r="A153" s="229">
        <f t="shared" si="355"/>
        <v>2855</v>
      </c>
      <c r="B153" s="230">
        <f t="shared" si="356"/>
        <v>143</v>
      </c>
      <c r="C153" s="218" t="str">
        <f t="shared" si="350"/>
        <v>24aX25-000_060_11</v>
      </c>
      <c r="D153" s="231">
        <f t="shared" si="304"/>
        <v>25</v>
      </c>
      <c r="E153" s="239">
        <f t="shared" si="294"/>
        <v>3.4090000000000007</v>
      </c>
      <c r="F153" s="232">
        <f t="shared" si="311"/>
        <v>13.636000000000003</v>
      </c>
      <c r="G153" s="232">
        <f t="shared" si="295"/>
        <v>10.908800000000003</v>
      </c>
      <c r="H153" s="232">
        <f t="shared" si="296"/>
        <v>6.8180000000000014</v>
      </c>
      <c r="I153" s="232">
        <f t="shared" ref="I153:J153" si="390">I152</f>
        <v>8</v>
      </c>
      <c r="J153" s="233">
        <f t="shared" si="390"/>
        <v>0</v>
      </c>
      <c r="K153" s="228" t="str">
        <f t="shared" ref="K153" si="391">D153&amp;-11</f>
        <v>25-11</v>
      </c>
      <c r="L153" s="232">
        <f t="shared" si="307"/>
        <v>0.2</v>
      </c>
      <c r="M153" s="235">
        <v>60</v>
      </c>
      <c r="N153" s="232">
        <f t="shared" si="353"/>
        <v>150</v>
      </c>
      <c r="O153" s="232">
        <f t="shared" si="353"/>
        <v>160</v>
      </c>
      <c r="P153" s="232">
        <f t="shared" si="353"/>
        <v>750</v>
      </c>
      <c r="Q153" s="217"/>
      <c r="R153" s="38">
        <f t="shared" si="309"/>
        <v>24</v>
      </c>
      <c r="S153" s="38">
        <f t="shared" si="373"/>
        <v>25</v>
      </c>
      <c r="T153" s="39">
        <f t="shared" si="299"/>
        <v>0.99967848848331109</v>
      </c>
      <c r="U153" s="39">
        <f t="shared" si="300"/>
        <v>0.99983779445975174</v>
      </c>
      <c r="V153" s="39">
        <f t="shared" si="301"/>
        <v>1.5930597644064903E-4</v>
      </c>
      <c r="W153" s="39">
        <f t="shared" si="354"/>
        <v>1.8067040079252137E-4</v>
      </c>
      <c r="X153" s="40">
        <f t="shared" si="302"/>
        <v>1.5055866732710112E-4</v>
      </c>
      <c r="Y153" s="40" t="s">
        <v>21</v>
      </c>
      <c r="Z153" s="217">
        <f t="shared" si="310"/>
        <v>3.0111733465420223E-3</v>
      </c>
      <c r="AA153" s="217">
        <f t="shared" si="303"/>
        <v>5.0186222442367046E-4</v>
      </c>
    </row>
    <row r="154" spans="1:27" x14ac:dyDescent="0.25">
      <c r="A154" s="229">
        <f t="shared" si="355"/>
        <v>2856</v>
      </c>
      <c r="B154" s="230">
        <f t="shared" si="356"/>
        <v>144</v>
      </c>
      <c r="C154" s="218" t="str">
        <f t="shared" si="350"/>
        <v>24aX25-000_090_12</v>
      </c>
      <c r="D154" s="231">
        <f t="shared" si="304"/>
        <v>25</v>
      </c>
      <c r="E154" s="239">
        <f t="shared" si="294"/>
        <v>3.4090000000000007</v>
      </c>
      <c r="F154" s="232">
        <f t="shared" si="311"/>
        <v>13.636000000000003</v>
      </c>
      <c r="G154" s="232">
        <f t="shared" si="295"/>
        <v>10.908800000000003</v>
      </c>
      <c r="H154" s="232">
        <f t="shared" si="296"/>
        <v>6.8180000000000014</v>
      </c>
      <c r="I154" s="232">
        <f t="shared" ref="I154:J154" si="392">I153</f>
        <v>8</v>
      </c>
      <c r="J154" s="233">
        <f t="shared" si="392"/>
        <v>0</v>
      </c>
      <c r="K154" s="228" t="str">
        <f t="shared" ref="K154" si="393">D154&amp;-12</f>
        <v>25-12</v>
      </c>
      <c r="L154" s="232">
        <f t="shared" si="307"/>
        <v>0.2</v>
      </c>
      <c r="M154" s="235">
        <v>90</v>
      </c>
      <c r="N154" s="232">
        <f t="shared" si="353"/>
        <v>150</v>
      </c>
      <c r="O154" s="232">
        <f t="shared" si="353"/>
        <v>160</v>
      </c>
      <c r="P154" s="232">
        <f t="shared" si="353"/>
        <v>750</v>
      </c>
      <c r="Q154" s="217"/>
      <c r="R154" s="38">
        <f t="shared" si="309"/>
        <v>24</v>
      </c>
      <c r="S154" s="38">
        <f t="shared" si="373"/>
        <v>25</v>
      </c>
      <c r="T154" s="39">
        <f t="shared" si="299"/>
        <v>0.99967848848331109</v>
      </c>
      <c r="U154" s="39">
        <f t="shared" si="300"/>
        <v>0.99983779445975174</v>
      </c>
      <c r="V154" s="39">
        <f>U154-T154</f>
        <v>1.5930597644064903E-4</v>
      </c>
      <c r="W154" s="39">
        <f>V154/(V$11+V$23+V$35+V$47+V$59+V$71+V$83+V$95+V$107+V$119+V$131+V$143)</f>
        <v>1.8067040079252137E-4</v>
      </c>
      <c r="X154" s="40">
        <f>T_N4*W154/12</f>
        <v>1.5055866732710112E-4</v>
      </c>
      <c r="Y154" s="40" t="s">
        <v>21</v>
      </c>
      <c r="Z154" s="217">
        <f t="shared" si="310"/>
        <v>3.0111733465420223E-3</v>
      </c>
      <c r="AA154" s="217">
        <f t="shared" si="303"/>
        <v>5.0186222442367046E-4</v>
      </c>
    </row>
  </sheetData>
  <mergeCells count="1">
    <mergeCell ref="R8:Y8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B154"/>
  <sheetViews>
    <sheetView topLeftCell="C1" zoomScaleNormal="100" workbookViewId="0">
      <selection activeCell="I2" sqref="I1:I7"/>
    </sheetView>
  </sheetViews>
  <sheetFormatPr defaultColWidth="9" defaultRowHeight="15" x14ac:dyDescent="0.15"/>
  <cols>
    <col min="1" max="1" width="7" style="182" customWidth="1"/>
    <col min="2" max="2" width="7.375" style="182" customWidth="1"/>
    <col min="3" max="3" width="22.875" style="182" customWidth="1"/>
    <col min="4" max="4" width="6.875" style="182" customWidth="1"/>
    <col min="5" max="5" width="7.375" style="182" customWidth="1"/>
    <col min="6" max="6" width="8.125" style="182" customWidth="1"/>
    <col min="7" max="8" width="7.375" style="182" customWidth="1"/>
    <col min="9" max="9" width="8" style="182" customWidth="1"/>
    <col min="10" max="10" width="9" style="182"/>
    <col min="11" max="11" width="8.875" style="182" customWidth="1"/>
    <col min="12" max="12" width="7.375" style="182" customWidth="1"/>
    <col min="13" max="13" width="7.125" style="182" customWidth="1"/>
    <col min="14" max="14" width="6.75" style="182" customWidth="1"/>
    <col min="15" max="15" width="7.625" style="182" customWidth="1"/>
    <col min="16" max="16" width="7" style="182" customWidth="1"/>
    <col min="17" max="16384" width="9" style="182"/>
  </cols>
  <sheetData>
    <row r="1" spans="1:28" x14ac:dyDescent="0.15">
      <c r="H1" s="181" t="s">
        <v>135</v>
      </c>
      <c r="I1" s="216" t="s">
        <v>3957</v>
      </c>
      <c r="J1" s="180"/>
    </row>
    <row r="2" spans="1:28" x14ac:dyDescent="0.15">
      <c r="B2" s="181" t="s">
        <v>3701</v>
      </c>
      <c r="C2" s="181"/>
      <c r="D2" s="181"/>
      <c r="E2" s="181"/>
      <c r="F2" s="181"/>
      <c r="G2" s="181"/>
      <c r="H2" s="181"/>
      <c r="I2" s="216" t="s">
        <v>3928</v>
      </c>
      <c r="J2" s="180"/>
    </row>
    <row r="3" spans="1:28" x14ac:dyDescent="0.15">
      <c r="B3" s="181" t="s">
        <v>88</v>
      </c>
      <c r="C3" s="181"/>
      <c r="D3" s="181"/>
      <c r="E3" s="181" t="s">
        <v>95</v>
      </c>
      <c r="F3" s="181"/>
      <c r="G3" s="181"/>
      <c r="H3" s="181"/>
      <c r="I3" s="240" t="s">
        <v>3939</v>
      </c>
      <c r="J3" s="180"/>
    </row>
    <row r="4" spans="1:28" x14ac:dyDescent="0.15">
      <c r="B4" s="181" t="s">
        <v>89</v>
      </c>
      <c r="C4" s="181"/>
      <c r="D4" s="181"/>
      <c r="E4" s="181" t="s">
        <v>893</v>
      </c>
      <c r="F4" s="181"/>
      <c r="G4" s="181"/>
      <c r="H4" s="181"/>
      <c r="I4" s="216" t="s">
        <v>3937</v>
      </c>
      <c r="J4" s="180"/>
    </row>
    <row r="5" spans="1:28" x14ac:dyDescent="0.15">
      <c r="B5" s="181" t="s">
        <v>91</v>
      </c>
      <c r="C5" s="181"/>
      <c r="D5" s="181"/>
      <c r="E5" s="181" t="s">
        <v>890</v>
      </c>
      <c r="F5" s="181"/>
      <c r="G5" s="181"/>
      <c r="H5" s="181"/>
      <c r="I5" s="240" t="s">
        <v>3940</v>
      </c>
      <c r="J5" s="180"/>
      <c r="K5" s="181"/>
    </row>
    <row r="6" spans="1:28" x14ac:dyDescent="0.15">
      <c r="B6" s="181" t="s">
        <v>93</v>
      </c>
      <c r="C6" s="181"/>
      <c r="D6" s="181"/>
      <c r="E6" s="181" t="s">
        <v>891</v>
      </c>
      <c r="F6" s="181"/>
      <c r="G6" s="181"/>
      <c r="H6" s="181"/>
      <c r="I6" s="216" t="s">
        <v>3932</v>
      </c>
      <c r="J6" s="180"/>
    </row>
    <row r="7" spans="1:28" x14ac:dyDescent="0.15">
      <c r="I7" s="216" t="s">
        <v>3930</v>
      </c>
      <c r="Q7" s="182">
        <v>17</v>
      </c>
      <c r="R7" s="182">
        <v>18</v>
      </c>
      <c r="S7" s="217">
        <v>19</v>
      </c>
      <c r="T7" s="217">
        <v>20</v>
      </c>
      <c r="U7" s="217">
        <v>21</v>
      </c>
      <c r="V7" s="217">
        <v>22</v>
      </c>
      <c r="W7" s="217">
        <v>23</v>
      </c>
      <c r="X7" s="217">
        <v>24</v>
      </c>
      <c r="Y7" s="217">
        <v>25</v>
      </c>
    </row>
    <row r="8" spans="1:28" ht="15.75" thickBot="1" x14ac:dyDescent="0.2">
      <c r="A8" s="182">
        <v>1</v>
      </c>
      <c r="B8" s="182">
        <v>2</v>
      </c>
      <c r="C8" s="182">
        <v>3</v>
      </c>
      <c r="D8" s="182">
        <v>4</v>
      </c>
      <c r="E8" s="182">
        <v>5</v>
      </c>
      <c r="F8" s="182">
        <v>6</v>
      </c>
      <c r="G8" s="182">
        <v>7</v>
      </c>
      <c r="H8" s="182">
        <v>8</v>
      </c>
      <c r="I8" s="182">
        <v>9</v>
      </c>
      <c r="J8" s="182">
        <v>10</v>
      </c>
      <c r="K8" s="182">
        <v>11</v>
      </c>
      <c r="L8" s="182">
        <v>12</v>
      </c>
      <c r="M8" s="182">
        <v>13</v>
      </c>
      <c r="N8" s="182">
        <v>14</v>
      </c>
      <c r="O8" s="182">
        <v>15</v>
      </c>
      <c r="P8" s="182">
        <v>16</v>
      </c>
      <c r="R8" s="273" t="s">
        <v>249</v>
      </c>
      <c r="S8" s="274"/>
      <c r="T8" s="274"/>
      <c r="U8" s="274"/>
      <c r="V8" s="274"/>
      <c r="W8" s="274"/>
      <c r="X8" s="274"/>
      <c r="Y8" s="275"/>
    </row>
    <row r="9" spans="1:28" x14ac:dyDescent="0.25">
      <c r="A9" s="183" t="s">
        <v>97</v>
      </c>
      <c r="B9" s="184" t="s">
        <v>96</v>
      </c>
      <c r="C9" s="183" t="s">
        <v>0</v>
      </c>
      <c r="D9" s="184" t="s">
        <v>137</v>
      </c>
      <c r="E9" s="201" t="s">
        <v>142</v>
      </c>
      <c r="F9" s="184" t="s">
        <v>119</v>
      </c>
      <c r="G9" s="184" t="s">
        <v>120</v>
      </c>
      <c r="H9" s="184" t="s">
        <v>121</v>
      </c>
      <c r="I9" s="184" t="s">
        <v>144</v>
      </c>
      <c r="J9" s="184" t="s">
        <v>140</v>
      </c>
      <c r="K9" s="185" t="s">
        <v>3</v>
      </c>
      <c r="L9" s="184" t="s">
        <v>141</v>
      </c>
      <c r="M9" s="184" t="s">
        <v>13</v>
      </c>
      <c r="N9" s="186" t="s">
        <v>138</v>
      </c>
      <c r="O9" s="200" t="s">
        <v>160</v>
      </c>
      <c r="P9" s="186" t="s">
        <v>139</v>
      </c>
      <c r="R9" s="28" t="s">
        <v>77</v>
      </c>
      <c r="S9" s="28" t="s">
        <v>78</v>
      </c>
      <c r="T9" s="28" t="s">
        <v>79</v>
      </c>
      <c r="U9" s="28" t="s">
        <v>80</v>
      </c>
      <c r="V9" s="28" t="s">
        <v>81</v>
      </c>
      <c r="W9" s="28" t="s">
        <v>86</v>
      </c>
      <c r="X9" s="28" t="s">
        <v>85</v>
      </c>
      <c r="Y9" s="28" t="s">
        <v>250</v>
      </c>
    </row>
    <row r="10" spans="1:28" ht="15.75" thickBot="1" x14ac:dyDescent="0.3">
      <c r="A10" s="187" t="s">
        <v>76</v>
      </c>
      <c r="B10" s="188" t="str">
        <f>B2</f>
        <v>DLC24b</v>
      </c>
      <c r="C10" s="187"/>
      <c r="D10" s="188" t="s">
        <v>4</v>
      </c>
      <c r="E10" s="202" t="s">
        <v>4</v>
      </c>
      <c r="F10" s="188" t="s">
        <v>5</v>
      </c>
      <c r="G10" s="188" t="s">
        <v>5</v>
      </c>
      <c r="H10" s="188" t="s">
        <v>5</v>
      </c>
      <c r="I10" s="188" t="s">
        <v>6</v>
      </c>
      <c r="J10" s="188" t="s">
        <v>6</v>
      </c>
      <c r="K10" s="189"/>
      <c r="L10" s="188"/>
      <c r="M10" s="190" t="s">
        <v>7</v>
      </c>
      <c r="N10" s="190" t="s">
        <v>7</v>
      </c>
      <c r="O10" s="190" t="s">
        <v>7</v>
      </c>
      <c r="P10" s="190" t="s">
        <v>7</v>
      </c>
      <c r="R10" s="207" t="s">
        <v>83</v>
      </c>
      <c r="S10" s="28" t="s">
        <v>83</v>
      </c>
      <c r="T10" s="28" t="s">
        <v>76</v>
      </c>
      <c r="U10" s="28" t="s">
        <v>76</v>
      </c>
      <c r="V10" s="28" t="s">
        <v>76</v>
      </c>
      <c r="W10" s="207"/>
      <c r="X10" s="28" t="s">
        <v>76</v>
      </c>
      <c r="Y10" s="28" t="s">
        <v>251</v>
      </c>
      <c r="AB10" s="182" t="s">
        <v>133</v>
      </c>
    </row>
    <row r="11" spans="1:28" x14ac:dyDescent="0.25">
      <c r="A11" s="195">
        <f>DLC24a!A154+1</f>
        <v>2857</v>
      </c>
      <c r="B11" s="196">
        <v>1</v>
      </c>
      <c r="C11" s="229" t="str">
        <f>TEXT(RIGHT($B$2,LEN($B$2)-3),"000")&amp;"X"&amp;TEXT(D11,"00")&amp;"-"&amp;IF(J11&lt;0,TEXT(360+J11,"000"),TEXT(J11,"000"))&amp;"_"&amp;TEXT(M11,"000")&amp;"_"&amp;TEXT(RIGHT(K11,LEN(K11)-FIND("-",K11)),"00")</f>
        <v>24bX03-000_000_01</v>
      </c>
      <c r="D11" s="226">
        <v>3</v>
      </c>
      <c r="E11" s="204">
        <f t="shared" ref="E11:E22" si="0">I_ref*(0.75*D11+5.6)</f>
        <v>1.099</v>
      </c>
      <c r="F11" s="198">
        <f>E11/D11*100</f>
        <v>36.633333333333333</v>
      </c>
      <c r="G11" s="198">
        <f t="shared" ref="G11:G22" si="1">m_ty*F11</f>
        <v>29.306666666666668</v>
      </c>
      <c r="H11" s="198">
        <f t="shared" ref="H11:H22" si="2">m_tz*F11</f>
        <v>18.316666666666666</v>
      </c>
      <c r="I11" s="192">
        <f>inflow</f>
        <v>8</v>
      </c>
      <c r="J11" s="193">
        <f>yaw_null</f>
        <v>0</v>
      </c>
      <c r="K11" s="194" t="str">
        <f>D11&amp;-1</f>
        <v>3-1</v>
      </c>
      <c r="L11" s="198">
        <f>alpha_n</f>
        <v>0.2</v>
      </c>
      <c r="M11" s="49">
        <v>0</v>
      </c>
      <c r="N11" s="198">
        <f>t_out</f>
        <v>150</v>
      </c>
      <c r="O11" s="198">
        <f>trig_t</f>
        <v>160</v>
      </c>
      <c r="P11" s="198">
        <f>N11+T_s1</f>
        <v>750</v>
      </c>
      <c r="R11" s="38">
        <f t="shared" ref="R11:R22" si="3">v_in</f>
        <v>3</v>
      </c>
      <c r="S11" s="38">
        <f>R11+v_step/2</f>
        <v>4</v>
      </c>
      <c r="T11" s="39">
        <f t="shared" ref="T11:U26" si="4">IF(wpd="Rayleigh",1-EXP(-PI()*((R11/2/v_ave)^2)),IF(wpd="Weibull",1-EXP(-((R11/weibull_A)^weibull_K))))</f>
        <v>0.11808862170182366</v>
      </c>
      <c r="U11" s="39">
        <f t="shared" si="4"/>
        <v>0.20020684760703333</v>
      </c>
      <c r="V11" s="39">
        <f>U11-T11</f>
        <v>8.2118225905209674E-2</v>
      </c>
      <c r="W11" s="39">
        <f>V11/(V$11+V$23+V$35+V$47+V$59+V$71+V$83+V$95+V$107+V$119+V$131+V$143)</f>
        <v>9.3131049557280493E-2</v>
      </c>
      <c r="X11" s="40">
        <f t="shared" ref="X11:X22" si="5">T_G*W11/12</f>
        <v>0.15521841592880081</v>
      </c>
      <c r="Y11" s="40" t="s">
        <v>3709</v>
      </c>
      <c r="Z11" s="182">
        <f>X11*20</f>
        <v>3.1043683185760163</v>
      </c>
      <c r="AA11" s="182">
        <f t="shared" ref="AA11:AA58" si="6">Z11*(P11-N11)/3600</f>
        <v>0.51739471976266938</v>
      </c>
      <c r="AB11" s="176">
        <f>SUM(X11:X22,X23:X34,X35:X46,X47:X58,X59:X70,X71:X82,X83:X94,X95:X106,X107:X118,X119:X130,X131:X142,X143:X154)</f>
        <v>19.999999999999954</v>
      </c>
    </row>
    <row r="12" spans="1:28" x14ac:dyDescent="0.25">
      <c r="A12" s="195">
        <f t="shared" ref="A12:B12" si="7">A11+1</f>
        <v>2858</v>
      </c>
      <c r="B12" s="196">
        <f t="shared" si="7"/>
        <v>2</v>
      </c>
      <c r="C12" s="229" t="str">
        <f t="shared" ref="C12:C75" si="8">TEXT(RIGHT($B$2,LEN($B$2)-3),"000")&amp;"X"&amp;TEXT(D12,"00")&amp;"-"&amp;IF(J12&lt;0,TEXT(360+J12,"000"),TEXT(J12,"000"))&amp;"_"&amp;TEXT(M12,"000")&amp;"_"&amp;TEXT(RIGHT(K12,LEN(K12)-FIND("-",K12)),"00")</f>
        <v>24bX03-000_030_02</v>
      </c>
      <c r="D12" s="231">
        <f>D11</f>
        <v>3</v>
      </c>
      <c r="E12" s="204">
        <f t="shared" si="0"/>
        <v>1.099</v>
      </c>
      <c r="F12" s="198">
        <f>E12/D12*100</f>
        <v>36.633333333333333</v>
      </c>
      <c r="G12" s="198">
        <f t="shared" si="1"/>
        <v>29.306666666666668</v>
      </c>
      <c r="H12" s="198">
        <f t="shared" si="2"/>
        <v>18.316666666666666</v>
      </c>
      <c r="I12" s="198">
        <f t="shared" ref="I12:J16" si="9">I11</f>
        <v>8</v>
      </c>
      <c r="J12" s="199">
        <f t="shared" si="9"/>
        <v>0</v>
      </c>
      <c r="K12" s="194" t="str">
        <f>D12&amp;-2</f>
        <v>3-2</v>
      </c>
      <c r="L12" s="198">
        <f t="shared" ref="L12:L22" si="10">L11</f>
        <v>0.2</v>
      </c>
      <c r="M12" s="49">
        <v>30</v>
      </c>
      <c r="N12" s="198">
        <f t="shared" ref="N12:P22" si="11">N11</f>
        <v>150</v>
      </c>
      <c r="O12" s="198">
        <f t="shared" si="11"/>
        <v>160</v>
      </c>
      <c r="P12" s="198">
        <f t="shared" si="11"/>
        <v>750</v>
      </c>
      <c r="R12" s="38">
        <f t="shared" si="3"/>
        <v>3</v>
      </c>
      <c r="S12" s="38">
        <f>S11</f>
        <v>4</v>
      </c>
      <c r="T12" s="39">
        <f t="shared" si="4"/>
        <v>0.11808862170182366</v>
      </c>
      <c r="U12" s="39">
        <f t="shared" si="4"/>
        <v>0.20020684760703333</v>
      </c>
      <c r="V12" s="39">
        <f t="shared" ref="V12:V75" si="12">U12-T12</f>
        <v>8.2118225905209674E-2</v>
      </c>
      <c r="W12" s="39">
        <f t="shared" ref="W12:W75" si="13">V12/(V$11+V$23+V$35+V$47+V$59+V$71+V$83+V$95+V$107+V$119+V$131+V$143)</f>
        <v>9.3131049557280493E-2</v>
      </c>
      <c r="X12" s="40">
        <f t="shared" si="5"/>
        <v>0.15521841592880081</v>
      </c>
      <c r="Y12" s="40" t="s">
        <v>3709</v>
      </c>
      <c r="Z12" s="182">
        <f t="shared" ref="Z12:Z22" si="14">X12*20</f>
        <v>3.1043683185760163</v>
      </c>
      <c r="AA12" s="182">
        <f t="shared" si="6"/>
        <v>0.51739471976266938</v>
      </c>
    </row>
    <row r="13" spans="1:28" x14ac:dyDescent="0.25">
      <c r="A13" s="229">
        <f t="shared" ref="A13:B13" si="15">A12+1</f>
        <v>2859</v>
      </c>
      <c r="B13" s="230">
        <f t="shared" si="15"/>
        <v>3</v>
      </c>
      <c r="C13" s="229" t="str">
        <f t="shared" si="8"/>
        <v>24bX03-000_060_03</v>
      </c>
      <c r="D13" s="231">
        <f t="shared" ref="D13:D22" si="16">D12</f>
        <v>3</v>
      </c>
      <c r="E13" s="204">
        <f t="shared" si="0"/>
        <v>1.099</v>
      </c>
      <c r="F13" s="198">
        <f t="shared" ref="F13:F22" si="17">E13/D13*100</f>
        <v>36.633333333333333</v>
      </c>
      <c r="G13" s="198">
        <f t="shared" si="1"/>
        <v>29.306666666666668</v>
      </c>
      <c r="H13" s="198">
        <f t="shared" si="2"/>
        <v>18.316666666666666</v>
      </c>
      <c r="I13" s="198">
        <f t="shared" si="9"/>
        <v>8</v>
      </c>
      <c r="J13" s="199">
        <f t="shared" si="9"/>
        <v>0</v>
      </c>
      <c r="K13" s="194" t="str">
        <f>D13&amp;-3</f>
        <v>3-3</v>
      </c>
      <c r="L13" s="198">
        <f t="shared" si="10"/>
        <v>0.2</v>
      </c>
      <c r="M13" s="49">
        <v>60</v>
      </c>
      <c r="N13" s="198">
        <f t="shared" si="11"/>
        <v>150</v>
      </c>
      <c r="O13" s="198">
        <f t="shared" si="11"/>
        <v>160</v>
      </c>
      <c r="P13" s="198">
        <f t="shared" si="11"/>
        <v>750</v>
      </c>
      <c r="R13" s="38">
        <f t="shared" si="3"/>
        <v>3</v>
      </c>
      <c r="S13" s="38">
        <f t="shared" ref="S13:S22" si="18">S12</f>
        <v>4</v>
      </c>
      <c r="T13" s="39">
        <f t="shared" si="4"/>
        <v>0.11808862170182366</v>
      </c>
      <c r="U13" s="39">
        <f t="shared" si="4"/>
        <v>0.20020684760703333</v>
      </c>
      <c r="V13" s="39">
        <f t="shared" si="12"/>
        <v>8.2118225905209674E-2</v>
      </c>
      <c r="W13" s="39">
        <f t="shared" si="13"/>
        <v>9.3131049557280493E-2</v>
      </c>
      <c r="X13" s="40">
        <f t="shared" si="5"/>
        <v>0.15521841592880081</v>
      </c>
      <c r="Y13" s="40" t="s">
        <v>3709</v>
      </c>
      <c r="Z13" s="182">
        <f t="shared" si="14"/>
        <v>3.1043683185760163</v>
      </c>
      <c r="AA13" s="182">
        <f t="shared" si="6"/>
        <v>0.51739471976266938</v>
      </c>
    </row>
    <row r="14" spans="1:28" x14ac:dyDescent="0.25">
      <c r="A14" s="229">
        <f t="shared" ref="A14:B14" si="19">A13+1</f>
        <v>2860</v>
      </c>
      <c r="B14" s="230">
        <f t="shared" si="19"/>
        <v>4</v>
      </c>
      <c r="C14" s="229" t="str">
        <f t="shared" si="8"/>
        <v>24bX03-000_090_04</v>
      </c>
      <c r="D14" s="231">
        <f t="shared" si="16"/>
        <v>3</v>
      </c>
      <c r="E14" s="204">
        <f t="shared" si="0"/>
        <v>1.099</v>
      </c>
      <c r="F14" s="198">
        <f t="shared" si="17"/>
        <v>36.633333333333333</v>
      </c>
      <c r="G14" s="198">
        <f t="shared" si="1"/>
        <v>29.306666666666668</v>
      </c>
      <c r="H14" s="198">
        <f t="shared" si="2"/>
        <v>18.316666666666666</v>
      </c>
      <c r="I14" s="198">
        <f t="shared" si="9"/>
        <v>8</v>
      </c>
      <c r="J14" s="199">
        <f t="shared" si="9"/>
        <v>0</v>
      </c>
      <c r="K14" s="194" t="str">
        <f>D14&amp;-4</f>
        <v>3-4</v>
      </c>
      <c r="L14" s="198">
        <f t="shared" si="10"/>
        <v>0.2</v>
      </c>
      <c r="M14" s="49">
        <v>90</v>
      </c>
      <c r="N14" s="198">
        <f t="shared" si="11"/>
        <v>150</v>
      </c>
      <c r="O14" s="198">
        <f t="shared" si="11"/>
        <v>160</v>
      </c>
      <c r="P14" s="198">
        <f t="shared" si="11"/>
        <v>750</v>
      </c>
      <c r="R14" s="38">
        <f t="shared" si="3"/>
        <v>3</v>
      </c>
      <c r="S14" s="38">
        <f t="shared" si="18"/>
        <v>4</v>
      </c>
      <c r="T14" s="39">
        <f t="shared" si="4"/>
        <v>0.11808862170182366</v>
      </c>
      <c r="U14" s="39">
        <f t="shared" si="4"/>
        <v>0.20020684760703333</v>
      </c>
      <c r="V14" s="39">
        <f t="shared" si="12"/>
        <v>8.2118225905209674E-2</v>
      </c>
      <c r="W14" s="39">
        <f t="shared" si="13"/>
        <v>9.3131049557280493E-2</v>
      </c>
      <c r="X14" s="40">
        <f t="shared" si="5"/>
        <v>0.15521841592880081</v>
      </c>
      <c r="Y14" s="40" t="s">
        <v>3709</v>
      </c>
      <c r="Z14" s="182">
        <f t="shared" si="14"/>
        <v>3.1043683185760163</v>
      </c>
      <c r="AA14" s="182">
        <f t="shared" si="6"/>
        <v>0.51739471976266938</v>
      </c>
    </row>
    <row r="15" spans="1:28" x14ac:dyDescent="0.25">
      <c r="A15" s="229">
        <f t="shared" ref="A15:B15" si="20">A14+1</f>
        <v>2861</v>
      </c>
      <c r="B15" s="230">
        <f t="shared" si="20"/>
        <v>5</v>
      </c>
      <c r="C15" s="229" t="str">
        <f t="shared" si="8"/>
        <v>24bX03-000_000_05</v>
      </c>
      <c r="D15" s="231">
        <f t="shared" si="16"/>
        <v>3</v>
      </c>
      <c r="E15" s="204">
        <f t="shared" si="0"/>
        <v>1.099</v>
      </c>
      <c r="F15" s="198">
        <f t="shared" si="17"/>
        <v>36.633333333333333</v>
      </c>
      <c r="G15" s="198">
        <f t="shared" si="1"/>
        <v>29.306666666666668</v>
      </c>
      <c r="H15" s="198">
        <f t="shared" si="2"/>
        <v>18.316666666666666</v>
      </c>
      <c r="I15" s="198">
        <f t="shared" si="9"/>
        <v>8</v>
      </c>
      <c r="J15" s="199">
        <f t="shared" si="9"/>
        <v>0</v>
      </c>
      <c r="K15" s="194" t="str">
        <f>D15&amp;-5</f>
        <v>3-5</v>
      </c>
      <c r="L15" s="198">
        <f t="shared" si="10"/>
        <v>0.2</v>
      </c>
      <c r="M15" s="49">
        <v>0</v>
      </c>
      <c r="N15" s="198">
        <f t="shared" si="11"/>
        <v>150</v>
      </c>
      <c r="O15" s="198">
        <f t="shared" si="11"/>
        <v>160</v>
      </c>
      <c r="P15" s="198">
        <f t="shared" si="11"/>
        <v>750</v>
      </c>
      <c r="R15" s="38">
        <f t="shared" si="3"/>
        <v>3</v>
      </c>
      <c r="S15" s="38">
        <f t="shared" si="18"/>
        <v>4</v>
      </c>
      <c r="T15" s="39">
        <f t="shared" si="4"/>
        <v>0.11808862170182366</v>
      </c>
      <c r="U15" s="39">
        <f t="shared" si="4"/>
        <v>0.20020684760703333</v>
      </c>
      <c r="V15" s="39">
        <f t="shared" si="12"/>
        <v>8.2118225905209674E-2</v>
      </c>
      <c r="W15" s="39">
        <f t="shared" si="13"/>
        <v>9.3131049557280493E-2</v>
      </c>
      <c r="X15" s="40">
        <f t="shared" si="5"/>
        <v>0.15521841592880081</v>
      </c>
      <c r="Y15" s="40" t="s">
        <v>3709</v>
      </c>
      <c r="Z15" s="182">
        <f t="shared" si="14"/>
        <v>3.1043683185760163</v>
      </c>
      <c r="AA15" s="182">
        <f t="shared" si="6"/>
        <v>0.51739471976266938</v>
      </c>
    </row>
    <row r="16" spans="1:28" x14ac:dyDescent="0.25">
      <c r="A16" s="229">
        <f t="shared" ref="A16:B16" si="21">A15+1</f>
        <v>2862</v>
      </c>
      <c r="B16" s="230">
        <f t="shared" si="21"/>
        <v>6</v>
      </c>
      <c r="C16" s="229" t="str">
        <f t="shared" si="8"/>
        <v>24bX03-000_030_06</v>
      </c>
      <c r="D16" s="231">
        <f t="shared" si="16"/>
        <v>3</v>
      </c>
      <c r="E16" s="204">
        <f t="shared" si="0"/>
        <v>1.099</v>
      </c>
      <c r="F16" s="198">
        <f t="shared" si="17"/>
        <v>36.633333333333333</v>
      </c>
      <c r="G16" s="198">
        <f t="shared" si="1"/>
        <v>29.306666666666668</v>
      </c>
      <c r="H16" s="198">
        <f t="shared" si="2"/>
        <v>18.316666666666666</v>
      </c>
      <c r="I16" s="198">
        <f t="shared" si="9"/>
        <v>8</v>
      </c>
      <c r="J16" s="199">
        <f t="shared" si="9"/>
        <v>0</v>
      </c>
      <c r="K16" s="194" t="str">
        <f>D16&amp;-6</f>
        <v>3-6</v>
      </c>
      <c r="L16" s="198">
        <f t="shared" si="10"/>
        <v>0.2</v>
      </c>
      <c r="M16" s="49">
        <v>30</v>
      </c>
      <c r="N16" s="198">
        <f t="shared" si="11"/>
        <v>150</v>
      </c>
      <c r="O16" s="198">
        <f t="shared" si="11"/>
        <v>160</v>
      </c>
      <c r="P16" s="198">
        <f t="shared" si="11"/>
        <v>750</v>
      </c>
      <c r="R16" s="38">
        <f t="shared" si="3"/>
        <v>3</v>
      </c>
      <c r="S16" s="38">
        <f t="shared" si="18"/>
        <v>4</v>
      </c>
      <c r="T16" s="39">
        <f t="shared" si="4"/>
        <v>0.11808862170182366</v>
      </c>
      <c r="U16" s="39">
        <f t="shared" si="4"/>
        <v>0.20020684760703333</v>
      </c>
      <c r="V16" s="39">
        <f t="shared" si="12"/>
        <v>8.2118225905209674E-2</v>
      </c>
      <c r="W16" s="39">
        <f t="shared" si="13"/>
        <v>9.3131049557280493E-2</v>
      </c>
      <c r="X16" s="40">
        <f t="shared" si="5"/>
        <v>0.15521841592880081</v>
      </c>
      <c r="Y16" s="40" t="s">
        <v>3709</v>
      </c>
      <c r="Z16" s="182">
        <f t="shared" si="14"/>
        <v>3.1043683185760163</v>
      </c>
      <c r="AA16" s="182">
        <f t="shared" si="6"/>
        <v>0.51739471976266938</v>
      </c>
    </row>
    <row r="17" spans="1:27" x14ac:dyDescent="0.25">
      <c r="A17" s="229">
        <f t="shared" ref="A17:B17" si="22">A16+1</f>
        <v>2863</v>
      </c>
      <c r="B17" s="230">
        <f t="shared" si="22"/>
        <v>7</v>
      </c>
      <c r="C17" s="229" t="str">
        <f t="shared" si="8"/>
        <v>24bX03-000_060_07</v>
      </c>
      <c r="D17" s="231">
        <f>D16</f>
        <v>3</v>
      </c>
      <c r="E17" s="204">
        <f t="shared" si="0"/>
        <v>1.099</v>
      </c>
      <c r="F17" s="198">
        <f t="shared" si="17"/>
        <v>36.633333333333333</v>
      </c>
      <c r="G17" s="198">
        <f t="shared" si="1"/>
        <v>29.306666666666668</v>
      </c>
      <c r="H17" s="198">
        <f t="shared" si="2"/>
        <v>18.316666666666666</v>
      </c>
      <c r="I17" s="198">
        <f t="shared" ref="I17:J22" si="23">I16</f>
        <v>8</v>
      </c>
      <c r="J17" s="199">
        <f t="shared" si="23"/>
        <v>0</v>
      </c>
      <c r="K17" s="194" t="str">
        <f>D17&amp;-7</f>
        <v>3-7</v>
      </c>
      <c r="L17" s="198">
        <f t="shared" si="10"/>
        <v>0.2</v>
      </c>
      <c r="M17" s="49">
        <v>60</v>
      </c>
      <c r="N17" s="198">
        <f t="shared" si="11"/>
        <v>150</v>
      </c>
      <c r="O17" s="198">
        <f t="shared" si="11"/>
        <v>160</v>
      </c>
      <c r="P17" s="198">
        <f t="shared" si="11"/>
        <v>750</v>
      </c>
      <c r="R17" s="38">
        <f t="shared" si="3"/>
        <v>3</v>
      </c>
      <c r="S17" s="38">
        <f t="shared" si="18"/>
        <v>4</v>
      </c>
      <c r="T17" s="39">
        <f t="shared" si="4"/>
        <v>0.11808862170182366</v>
      </c>
      <c r="U17" s="39">
        <f t="shared" si="4"/>
        <v>0.20020684760703333</v>
      </c>
      <c r="V17" s="39">
        <f t="shared" si="12"/>
        <v>8.2118225905209674E-2</v>
      </c>
      <c r="W17" s="39">
        <f t="shared" si="13"/>
        <v>9.3131049557280493E-2</v>
      </c>
      <c r="X17" s="40">
        <f t="shared" si="5"/>
        <v>0.15521841592880081</v>
      </c>
      <c r="Y17" s="40" t="s">
        <v>3709</v>
      </c>
      <c r="Z17" s="182">
        <f t="shared" si="14"/>
        <v>3.1043683185760163</v>
      </c>
      <c r="AA17" s="182">
        <f t="shared" si="6"/>
        <v>0.51739471976266938</v>
      </c>
    </row>
    <row r="18" spans="1:27" x14ac:dyDescent="0.25">
      <c r="A18" s="229">
        <f t="shared" ref="A18:B18" si="24">A17+1</f>
        <v>2864</v>
      </c>
      <c r="B18" s="230">
        <f t="shared" si="24"/>
        <v>8</v>
      </c>
      <c r="C18" s="229" t="str">
        <f t="shared" si="8"/>
        <v>24bX03-000_090_08</v>
      </c>
      <c r="D18" s="231">
        <f t="shared" si="16"/>
        <v>3</v>
      </c>
      <c r="E18" s="204">
        <f t="shared" si="0"/>
        <v>1.099</v>
      </c>
      <c r="F18" s="198">
        <f t="shared" si="17"/>
        <v>36.633333333333333</v>
      </c>
      <c r="G18" s="198">
        <f t="shared" si="1"/>
        <v>29.306666666666668</v>
      </c>
      <c r="H18" s="198">
        <f t="shared" si="2"/>
        <v>18.316666666666666</v>
      </c>
      <c r="I18" s="198">
        <f t="shared" si="23"/>
        <v>8</v>
      </c>
      <c r="J18" s="199">
        <f t="shared" si="23"/>
        <v>0</v>
      </c>
      <c r="K18" s="194" t="str">
        <f>D18&amp;-8</f>
        <v>3-8</v>
      </c>
      <c r="L18" s="198">
        <f t="shared" si="10"/>
        <v>0.2</v>
      </c>
      <c r="M18" s="49">
        <v>90</v>
      </c>
      <c r="N18" s="198">
        <f t="shared" si="11"/>
        <v>150</v>
      </c>
      <c r="O18" s="198">
        <f t="shared" si="11"/>
        <v>160</v>
      </c>
      <c r="P18" s="198">
        <f t="shared" si="11"/>
        <v>750</v>
      </c>
      <c r="R18" s="38">
        <f t="shared" si="3"/>
        <v>3</v>
      </c>
      <c r="S18" s="38">
        <f t="shared" si="18"/>
        <v>4</v>
      </c>
      <c r="T18" s="39">
        <f t="shared" si="4"/>
        <v>0.11808862170182366</v>
      </c>
      <c r="U18" s="39">
        <f t="shared" si="4"/>
        <v>0.20020684760703333</v>
      </c>
      <c r="V18" s="39">
        <f t="shared" si="12"/>
        <v>8.2118225905209674E-2</v>
      </c>
      <c r="W18" s="39">
        <f t="shared" si="13"/>
        <v>9.3131049557280493E-2</v>
      </c>
      <c r="X18" s="40">
        <f t="shared" si="5"/>
        <v>0.15521841592880081</v>
      </c>
      <c r="Y18" s="40" t="s">
        <v>3709</v>
      </c>
      <c r="Z18" s="182">
        <f t="shared" si="14"/>
        <v>3.1043683185760163</v>
      </c>
      <c r="AA18" s="182">
        <f t="shared" si="6"/>
        <v>0.51739471976266938</v>
      </c>
    </row>
    <row r="19" spans="1:27" x14ac:dyDescent="0.25">
      <c r="A19" s="229">
        <f t="shared" ref="A19:B19" si="25">A18+1</f>
        <v>2865</v>
      </c>
      <c r="B19" s="230">
        <f t="shared" si="25"/>
        <v>9</v>
      </c>
      <c r="C19" s="229" t="str">
        <f t="shared" si="8"/>
        <v>24bX03-000_000_09</v>
      </c>
      <c r="D19" s="231">
        <f t="shared" si="16"/>
        <v>3</v>
      </c>
      <c r="E19" s="204">
        <f t="shared" si="0"/>
        <v>1.099</v>
      </c>
      <c r="F19" s="198">
        <f t="shared" si="17"/>
        <v>36.633333333333333</v>
      </c>
      <c r="G19" s="198">
        <f t="shared" si="1"/>
        <v>29.306666666666668</v>
      </c>
      <c r="H19" s="198">
        <f t="shared" si="2"/>
        <v>18.316666666666666</v>
      </c>
      <c r="I19" s="198">
        <f t="shared" si="23"/>
        <v>8</v>
      </c>
      <c r="J19" s="199">
        <f t="shared" si="23"/>
        <v>0</v>
      </c>
      <c r="K19" s="194" t="str">
        <f>D19&amp;-9</f>
        <v>3-9</v>
      </c>
      <c r="L19" s="198">
        <f t="shared" si="10"/>
        <v>0.2</v>
      </c>
      <c r="M19" s="49">
        <v>0</v>
      </c>
      <c r="N19" s="198">
        <f t="shared" si="11"/>
        <v>150</v>
      </c>
      <c r="O19" s="198">
        <f t="shared" si="11"/>
        <v>160</v>
      </c>
      <c r="P19" s="198">
        <f t="shared" si="11"/>
        <v>750</v>
      </c>
      <c r="R19" s="38">
        <f t="shared" si="3"/>
        <v>3</v>
      </c>
      <c r="S19" s="38">
        <f t="shared" si="18"/>
        <v>4</v>
      </c>
      <c r="T19" s="39">
        <f t="shared" si="4"/>
        <v>0.11808862170182366</v>
      </c>
      <c r="U19" s="39">
        <f t="shared" si="4"/>
        <v>0.20020684760703333</v>
      </c>
      <c r="V19" s="39">
        <f t="shared" si="12"/>
        <v>8.2118225905209674E-2</v>
      </c>
      <c r="W19" s="39">
        <f t="shared" si="13"/>
        <v>9.3131049557280493E-2</v>
      </c>
      <c r="X19" s="40">
        <f t="shared" si="5"/>
        <v>0.15521841592880081</v>
      </c>
      <c r="Y19" s="40" t="s">
        <v>3709</v>
      </c>
      <c r="Z19" s="182">
        <f t="shared" si="14"/>
        <v>3.1043683185760163</v>
      </c>
      <c r="AA19" s="182">
        <f t="shared" si="6"/>
        <v>0.51739471976266938</v>
      </c>
    </row>
    <row r="20" spans="1:27" x14ac:dyDescent="0.25">
      <c r="A20" s="229">
        <f t="shared" ref="A20:B20" si="26">A19+1</f>
        <v>2866</v>
      </c>
      <c r="B20" s="230">
        <f t="shared" si="26"/>
        <v>10</v>
      </c>
      <c r="C20" s="229" t="str">
        <f t="shared" si="8"/>
        <v>24bX03-000_030_10</v>
      </c>
      <c r="D20" s="231">
        <f t="shared" si="16"/>
        <v>3</v>
      </c>
      <c r="E20" s="204">
        <f t="shared" si="0"/>
        <v>1.099</v>
      </c>
      <c r="F20" s="198">
        <f t="shared" si="17"/>
        <v>36.633333333333333</v>
      </c>
      <c r="G20" s="198">
        <f t="shared" si="1"/>
        <v>29.306666666666668</v>
      </c>
      <c r="H20" s="198">
        <f t="shared" si="2"/>
        <v>18.316666666666666</v>
      </c>
      <c r="I20" s="198">
        <f t="shared" si="23"/>
        <v>8</v>
      </c>
      <c r="J20" s="199">
        <f t="shared" si="23"/>
        <v>0</v>
      </c>
      <c r="K20" s="194" t="str">
        <f>D20&amp;-10</f>
        <v>3-10</v>
      </c>
      <c r="L20" s="198">
        <f t="shared" si="10"/>
        <v>0.2</v>
      </c>
      <c r="M20" s="49">
        <v>30</v>
      </c>
      <c r="N20" s="198">
        <f t="shared" si="11"/>
        <v>150</v>
      </c>
      <c r="O20" s="198">
        <f t="shared" si="11"/>
        <v>160</v>
      </c>
      <c r="P20" s="198">
        <f t="shared" si="11"/>
        <v>750</v>
      </c>
      <c r="R20" s="38">
        <f t="shared" si="3"/>
        <v>3</v>
      </c>
      <c r="S20" s="38">
        <f t="shared" si="18"/>
        <v>4</v>
      </c>
      <c r="T20" s="39">
        <f t="shared" si="4"/>
        <v>0.11808862170182366</v>
      </c>
      <c r="U20" s="39">
        <f t="shared" si="4"/>
        <v>0.20020684760703333</v>
      </c>
      <c r="V20" s="39">
        <f t="shared" si="12"/>
        <v>8.2118225905209674E-2</v>
      </c>
      <c r="W20" s="39">
        <f t="shared" si="13"/>
        <v>9.3131049557280493E-2</v>
      </c>
      <c r="X20" s="40">
        <f t="shared" si="5"/>
        <v>0.15521841592880081</v>
      </c>
      <c r="Y20" s="40" t="s">
        <v>3709</v>
      </c>
      <c r="Z20" s="182">
        <f t="shared" si="14"/>
        <v>3.1043683185760163</v>
      </c>
      <c r="AA20" s="182">
        <f t="shared" si="6"/>
        <v>0.51739471976266938</v>
      </c>
    </row>
    <row r="21" spans="1:27" x14ac:dyDescent="0.25">
      <c r="A21" s="229">
        <f t="shared" ref="A21:B21" si="27">A20+1</f>
        <v>2867</v>
      </c>
      <c r="B21" s="230">
        <f t="shared" si="27"/>
        <v>11</v>
      </c>
      <c r="C21" s="229" t="str">
        <f t="shared" si="8"/>
        <v>24bX03-000_060_11</v>
      </c>
      <c r="D21" s="231">
        <f t="shared" si="16"/>
        <v>3</v>
      </c>
      <c r="E21" s="204">
        <f t="shared" si="0"/>
        <v>1.099</v>
      </c>
      <c r="F21" s="198">
        <f t="shared" si="17"/>
        <v>36.633333333333333</v>
      </c>
      <c r="G21" s="198">
        <f t="shared" si="1"/>
        <v>29.306666666666668</v>
      </c>
      <c r="H21" s="198">
        <f t="shared" si="2"/>
        <v>18.316666666666666</v>
      </c>
      <c r="I21" s="198">
        <f t="shared" si="23"/>
        <v>8</v>
      </c>
      <c r="J21" s="199">
        <f t="shared" si="23"/>
        <v>0</v>
      </c>
      <c r="K21" s="194" t="str">
        <f>D21&amp;-11</f>
        <v>3-11</v>
      </c>
      <c r="L21" s="198">
        <f t="shared" si="10"/>
        <v>0.2</v>
      </c>
      <c r="M21" s="49">
        <v>60</v>
      </c>
      <c r="N21" s="198">
        <f t="shared" si="11"/>
        <v>150</v>
      </c>
      <c r="O21" s="198">
        <f t="shared" si="11"/>
        <v>160</v>
      </c>
      <c r="P21" s="198">
        <f t="shared" si="11"/>
        <v>750</v>
      </c>
      <c r="R21" s="38">
        <f t="shared" si="3"/>
        <v>3</v>
      </c>
      <c r="S21" s="38">
        <f t="shared" si="18"/>
        <v>4</v>
      </c>
      <c r="T21" s="39">
        <f t="shared" si="4"/>
        <v>0.11808862170182366</v>
      </c>
      <c r="U21" s="39">
        <f t="shared" si="4"/>
        <v>0.20020684760703333</v>
      </c>
      <c r="V21" s="39">
        <f t="shared" si="12"/>
        <v>8.2118225905209674E-2</v>
      </c>
      <c r="W21" s="39">
        <f t="shared" si="13"/>
        <v>9.3131049557280493E-2</v>
      </c>
      <c r="X21" s="40">
        <f t="shared" si="5"/>
        <v>0.15521841592880081</v>
      </c>
      <c r="Y21" s="40" t="s">
        <v>3709</v>
      </c>
      <c r="Z21" s="182">
        <f t="shared" si="14"/>
        <v>3.1043683185760163</v>
      </c>
      <c r="AA21" s="182">
        <f t="shared" si="6"/>
        <v>0.51739471976266938</v>
      </c>
    </row>
    <row r="22" spans="1:27" x14ac:dyDescent="0.25">
      <c r="A22" s="229">
        <f t="shared" ref="A22:B22" si="28">A21+1</f>
        <v>2868</v>
      </c>
      <c r="B22" s="230">
        <f t="shared" si="28"/>
        <v>12</v>
      </c>
      <c r="C22" s="229" t="str">
        <f t="shared" si="8"/>
        <v>24bX03-000_090_12</v>
      </c>
      <c r="D22" s="231">
        <f t="shared" si="16"/>
        <v>3</v>
      </c>
      <c r="E22" s="204">
        <f t="shared" si="0"/>
        <v>1.099</v>
      </c>
      <c r="F22" s="198">
        <f t="shared" si="17"/>
        <v>36.633333333333333</v>
      </c>
      <c r="G22" s="198">
        <f t="shared" si="1"/>
        <v>29.306666666666668</v>
      </c>
      <c r="H22" s="198">
        <f t="shared" si="2"/>
        <v>18.316666666666666</v>
      </c>
      <c r="I22" s="198">
        <f t="shared" si="23"/>
        <v>8</v>
      </c>
      <c r="J22" s="199">
        <f t="shared" si="23"/>
        <v>0</v>
      </c>
      <c r="K22" s="194" t="str">
        <f>D22&amp;-12</f>
        <v>3-12</v>
      </c>
      <c r="L22" s="198">
        <f t="shared" si="10"/>
        <v>0.2</v>
      </c>
      <c r="M22" s="49">
        <v>90</v>
      </c>
      <c r="N22" s="198">
        <f t="shared" si="11"/>
        <v>150</v>
      </c>
      <c r="O22" s="198">
        <f t="shared" si="11"/>
        <v>160</v>
      </c>
      <c r="P22" s="198">
        <f t="shared" si="11"/>
        <v>750</v>
      </c>
      <c r="R22" s="38">
        <f t="shared" si="3"/>
        <v>3</v>
      </c>
      <c r="S22" s="38">
        <f t="shared" si="18"/>
        <v>4</v>
      </c>
      <c r="T22" s="39">
        <f t="shared" si="4"/>
        <v>0.11808862170182366</v>
      </c>
      <c r="U22" s="39">
        <f t="shared" si="4"/>
        <v>0.20020684760703333</v>
      </c>
      <c r="V22" s="39">
        <f t="shared" si="12"/>
        <v>8.2118225905209674E-2</v>
      </c>
      <c r="W22" s="39">
        <f t="shared" si="13"/>
        <v>9.3131049557280493E-2</v>
      </c>
      <c r="X22" s="40">
        <f t="shared" si="5"/>
        <v>0.15521841592880081</v>
      </c>
      <c r="Y22" s="40" t="s">
        <v>3709</v>
      </c>
      <c r="Z22" s="182">
        <f t="shared" si="14"/>
        <v>3.1043683185760163</v>
      </c>
      <c r="AA22" s="182">
        <f t="shared" si="6"/>
        <v>0.51739471976266938</v>
      </c>
    </row>
    <row r="23" spans="1:27" x14ac:dyDescent="0.25">
      <c r="A23" s="229">
        <f t="shared" ref="A23:B23" si="29">A22+1</f>
        <v>2869</v>
      </c>
      <c r="B23" s="230">
        <f t="shared" si="29"/>
        <v>13</v>
      </c>
      <c r="C23" s="229" t="str">
        <f t="shared" si="8"/>
        <v>24bX05-000_000_01</v>
      </c>
      <c r="D23" s="231">
        <f>D22+2</f>
        <v>5</v>
      </c>
      <c r="E23" s="204">
        <f t="shared" ref="E23:E34" si="30">I_ref*(0.75*D23+5.6)</f>
        <v>1.3090000000000002</v>
      </c>
      <c r="F23" s="198">
        <f>E23/D23*100</f>
        <v>26.180000000000003</v>
      </c>
      <c r="G23" s="198">
        <f t="shared" ref="G23:G34" si="31">m_ty*F23</f>
        <v>20.944000000000003</v>
      </c>
      <c r="H23" s="198">
        <f t="shared" ref="H23:H34" si="32">m_tz*F23</f>
        <v>13.090000000000002</v>
      </c>
      <c r="I23" s="198">
        <f>inflow</f>
        <v>8</v>
      </c>
      <c r="J23" s="199">
        <f>yaw_null</f>
        <v>0</v>
      </c>
      <c r="K23" s="194" t="str">
        <f>D23&amp;-1</f>
        <v>5-1</v>
      </c>
      <c r="L23" s="198">
        <f>alpha_n</f>
        <v>0.2</v>
      </c>
      <c r="M23" s="49">
        <v>0</v>
      </c>
      <c r="N23" s="198">
        <f>t_out</f>
        <v>150</v>
      </c>
      <c r="O23" s="198">
        <f>trig_t</f>
        <v>160</v>
      </c>
      <c r="P23" s="198">
        <f>N23+T_s1</f>
        <v>750</v>
      </c>
      <c r="R23" s="38">
        <f>R22+v_step/2</f>
        <v>4</v>
      </c>
      <c r="S23" s="38">
        <f>R23+v_step</f>
        <v>6</v>
      </c>
      <c r="T23" s="39">
        <f t="shared" si="4"/>
        <v>0.20020684760703333</v>
      </c>
      <c r="U23" s="39">
        <f t="shared" si="4"/>
        <v>0.39507743723572908</v>
      </c>
      <c r="V23" s="39">
        <f t="shared" si="12"/>
        <v>0.19487058962869575</v>
      </c>
      <c r="W23" s="39">
        <f t="shared" si="13"/>
        <v>0.22100456189732626</v>
      </c>
      <c r="X23" s="40">
        <f t="shared" ref="X23:X34" si="33">T_G*W23/12</f>
        <v>0.36834093649554372</v>
      </c>
      <c r="Y23" s="40" t="s">
        <v>3709</v>
      </c>
      <c r="Z23" s="182">
        <f>X23*20</f>
        <v>7.3668187299108743</v>
      </c>
      <c r="AA23" s="182">
        <f t="shared" si="6"/>
        <v>1.2278031216518124</v>
      </c>
    </row>
    <row r="24" spans="1:27" x14ac:dyDescent="0.25">
      <c r="A24" s="229">
        <f t="shared" ref="A24:B24" si="34">A23+1</f>
        <v>2870</v>
      </c>
      <c r="B24" s="230">
        <f t="shared" si="34"/>
        <v>14</v>
      </c>
      <c r="C24" s="229" t="str">
        <f t="shared" si="8"/>
        <v>24bX05-000_030_02</v>
      </c>
      <c r="D24" s="231">
        <f>D23</f>
        <v>5</v>
      </c>
      <c r="E24" s="204">
        <f t="shared" si="30"/>
        <v>1.3090000000000002</v>
      </c>
      <c r="F24" s="198">
        <f>E24/D24*100</f>
        <v>26.180000000000003</v>
      </c>
      <c r="G24" s="198">
        <f t="shared" si="31"/>
        <v>20.944000000000003</v>
      </c>
      <c r="H24" s="198">
        <f t="shared" si="32"/>
        <v>13.090000000000002</v>
      </c>
      <c r="I24" s="198">
        <f t="shared" ref="I24:J33" si="35">I23</f>
        <v>8</v>
      </c>
      <c r="J24" s="199">
        <f t="shared" ref="J24:J28" si="36">J23</f>
        <v>0</v>
      </c>
      <c r="K24" s="194" t="str">
        <f>D24&amp;-2</f>
        <v>5-2</v>
      </c>
      <c r="L24" s="198">
        <f t="shared" ref="L24:L34" si="37">L23</f>
        <v>0.2</v>
      </c>
      <c r="M24" s="49">
        <v>30</v>
      </c>
      <c r="N24" s="198">
        <f t="shared" ref="N24:P34" si="38">N23</f>
        <v>150</v>
      </c>
      <c r="O24" s="198">
        <f t="shared" si="38"/>
        <v>160</v>
      </c>
      <c r="P24" s="198">
        <f t="shared" si="38"/>
        <v>750</v>
      </c>
      <c r="R24" s="38">
        <f>R23</f>
        <v>4</v>
      </c>
      <c r="S24" s="38">
        <f>S23</f>
        <v>6</v>
      </c>
      <c r="T24" s="39">
        <f t="shared" si="4"/>
        <v>0.20020684760703333</v>
      </c>
      <c r="U24" s="39">
        <f t="shared" si="4"/>
        <v>0.39507743723572908</v>
      </c>
      <c r="V24" s="39">
        <f t="shared" si="12"/>
        <v>0.19487058962869575</v>
      </c>
      <c r="W24" s="39">
        <f t="shared" si="13"/>
        <v>0.22100456189732626</v>
      </c>
      <c r="X24" s="40">
        <f t="shared" si="33"/>
        <v>0.36834093649554372</v>
      </c>
      <c r="Y24" s="40" t="s">
        <v>3709</v>
      </c>
      <c r="Z24" s="182">
        <f t="shared" ref="Z24:Z34" si="39">X24*20</f>
        <v>7.3668187299108743</v>
      </c>
      <c r="AA24" s="182">
        <f t="shared" si="6"/>
        <v>1.2278031216518124</v>
      </c>
    </row>
    <row r="25" spans="1:27" x14ac:dyDescent="0.25">
      <c r="A25" s="229">
        <f t="shared" ref="A25:B25" si="40">A24+1</f>
        <v>2871</v>
      </c>
      <c r="B25" s="230">
        <f t="shared" si="40"/>
        <v>15</v>
      </c>
      <c r="C25" s="229" t="str">
        <f t="shared" si="8"/>
        <v>24bX05-000_060_03</v>
      </c>
      <c r="D25" s="231">
        <f t="shared" ref="D25:D34" si="41">D24</f>
        <v>5</v>
      </c>
      <c r="E25" s="204">
        <f t="shared" si="30"/>
        <v>1.3090000000000002</v>
      </c>
      <c r="F25" s="198">
        <f t="shared" ref="F25:F34" si="42">E25/D25*100</f>
        <v>26.180000000000003</v>
      </c>
      <c r="G25" s="198">
        <f t="shared" si="31"/>
        <v>20.944000000000003</v>
      </c>
      <c r="H25" s="198">
        <f t="shared" si="32"/>
        <v>13.090000000000002</v>
      </c>
      <c r="I25" s="198">
        <f t="shared" si="35"/>
        <v>8</v>
      </c>
      <c r="J25" s="199">
        <f t="shared" si="36"/>
        <v>0</v>
      </c>
      <c r="K25" s="194" t="str">
        <f>D25&amp;-3</f>
        <v>5-3</v>
      </c>
      <c r="L25" s="198">
        <f t="shared" si="37"/>
        <v>0.2</v>
      </c>
      <c r="M25" s="49">
        <v>60</v>
      </c>
      <c r="N25" s="198">
        <f t="shared" si="38"/>
        <v>150</v>
      </c>
      <c r="O25" s="198">
        <f t="shared" si="38"/>
        <v>160</v>
      </c>
      <c r="P25" s="198">
        <f t="shared" si="38"/>
        <v>750</v>
      </c>
      <c r="R25" s="38">
        <f t="shared" ref="R25:S34" si="43">R24</f>
        <v>4</v>
      </c>
      <c r="S25" s="38">
        <f t="shared" si="43"/>
        <v>6</v>
      </c>
      <c r="T25" s="39">
        <f t="shared" si="4"/>
        <v>0.20020684760703333</v>
      </c>
      <c r="U25" s="39">
        <f t="shared" si="4"/>
        <v>0.39507743723572908</v>
      </c>
      <c r="V25" s="39">
        <f t="shared" si="12"/>
        <v>0.19487058962869575</v>
      </c>
      <c r="W25" s="39">
        <f t="shared" si="13"/>
        <v>0.22100456189732626</v>
      </c>
      <c r="X25" s="40">
        <f t="shared" si="33"/>
        <v>0.36834093649554372</v>
      </c>
      <c r="Y25" s="40" t="s">
        <v>3709</v>
      </c>
      <c r="Z25" s="182">
        <f t="shared" si="39"/>
        <v>7.3668187299108743</v>
      </c>
      <c r="AA25" s="182">
        <f t="shared" si="6"/>
        <v>1.2278031216518124</v>
      </c>
    </row>
    <row r="26" spans="1:27" x14ac:dyDescent="0.25">
      <c r="A26" s="229">
        <f t="shared" ref="A26:B26" si="44">A25+1</f>
        <v>2872</v>
      </c>
      <c r="B26" s="230">
        <f t="shared" si="44"/>
        <v>16</v>
      </c>
      <c r="C26" s="229" t="str">
        <f t="shared" si="8"/>
        <v>24bX05-000_090_04</v>
      </c>
      <c r="D26" s="231">
        <f t="shared" si="41"/>
        <v>5</v>
      </c>
      <c r="E26" s="204">
        <f t="shared" si="30"/>
        <v>1.3090000000000002</v>
      </c>
      <c r="F26" s="198">
        <f t="shared" si="42"/>
        <v>26.180000000000003</v>
      </c>
      <c r="G26" s="198">
        <f t="shared" si="31"/>
        <v>20.944000000000003</v>
      </c>
      <c r="H26" s="198">
        <f t="shared" si="32"/>
        <v>13.090000000000002</v>
      </c>
      <c r="I26" s="198">
        <f t="shared" si="35"/>
        <v>8</v>
      </c>
      <c r="J26" s="199">
        <f t="shared" si="36"/>
        <v>0</v>
      </c>
      <c r="K26" s="194" t="str">
        <f>D26&amp;-4</f>
        <v>5-4</v>
      </c>
      <c r="L26" s="198">
        <f t="shared" si="37"/>
        <v>0.2</v>
      </c>
      <c r="M26" s="49">
        <v>90</v>
      </c>
      <c r="N26" s="198">
        <f t="shared" si="38"/>
        <v>150</v>
      </c>
      <c r="O26" s="198">
        <f t="shared" si="38"/>
        <v>160</v>
      </c>
      <c r="P26" s="198">
        <f t="shared" si="38"/>
        <v>750</v>
      </c>
      <c r="R26" s="38">
        <f t="shared" si="43"/>
        <v>4</v>
      </c>
      <c r="S26" s="38">
        <f t="shared" si="43"/>
        <v>6</v>
      </c>
      <c r="T26" s="39">
        <f t="shared" si="4"/>
        <v>0.20020684760703333</v>
      </c>
      <c r="U26" s="39">
        <f t="shared" si="4"/>
        <v>0.39507743723572908</v>
      </c>
      <c r="V26" s="39">
        <f t="shared" si="12"/>
        <v>0.19487058962869575</v>
      </c>
      <c r="W26" s="39">
        <f t="shared" si="13"/>
        <v>0.22100456189732626</v>
      </c>
      <c r="X26" s="40">
        <f t="shared" si="33"/>
        <v>0.36834093649554372</v>
      </c>
      <c r="Y26" s="40" t="s">
        <v>3709</v>
      </c>
      <c r="Z26" s="182">
        <f t="shared" si="39"/>
        <v>7.3668187299108743</v>
      </c>
      <c r="AA26" s="182">
        <f t="shared" si="6"/>
        <v>1.2278031216518124</v>
      </c>
    </row>
    <row r="27" spans="1:27" x14ac:dyDescent="0.25">
      <c r="A27" s="229">
        <f t="shared" ref="A27:B27" si="45">A26+1</f>
        <v>2873</v>
      </c>
      <c r="B27" s="230">
        <f t="shared" si="45"/>
        <v>17</v>
      </c>
      <c r="C27" s="229" t="str">
        <f t="shared" si="8"/>
        <v>24bX05-000_000_05</v>
      </c>
      <c r="D27" s="231">
        <f t="shared" si="41"/>
        <v>5</v>
      </c>
      <c r="E27" s="204">
        <f t="shared" si="30"/>
        <v>1.3090000000000002</v>
      </c>
      <c r="F27" s="198">
        <f t="shared" si="42"/>
        <v>26.180000000000003</v>
      </c>
      <c r="G27" s="198">
        <f t="shared" si="31"/>
        <v>20.944000000000003</v>
      </c>
      <c r="H27" s="198">
        <f t="shared" si="32"/>
        <v>13.090000000000002</v>
      </c>
      <c r="I27" s="198">
        <f t="shared" si="35"/>
        <v>8</v>
      </c>
      <c r="J27" s="199">
        <f t="shared" si="36"/>
        <v>0</v>
      </c>
      <c r="K27" s="194" t="str">
        <f>D27&amp;-5</f>
        <v>5-5</v>
      </c>
      <c r="L27" s="198">
        <f t="shared" si="37"/>
        <v>0.2</v>
      </c>
      <c r="M27" s="49">
        <v>0</v>
      </c>
      <c r="N27" s="198">
        <f t="shared" si="38"/>
        <v>150</v>
      </c>
      <c r="O27" s="198">
        <f t="shared" si="38"/>
        <v>160</v>
      </c>
      <c r="P27" s="198">
        <f t="shared" si="38"/>
        <v>750</v>
      </c>
      <c r="R27" s="38">
        <f t="shared" si="43"/>
        <v>4</v>
      </c>
      <c r="S27" s="38">
        <f t="shared" si="43"/>
        <v>6</v>
      </c>
      <c r="T27" s="39">
        <f t="shared" ref="T27:U42" si="46">IF(wpd="Rayleigh",1-EXP(-PI()*((R27/2/v_ave)^2)),IF(wpd="Weibull",1-EXP(-((R27/weibull_A)^weibull_K))))</f>
        <v>0.20020684760703333</v>
      </c>
      <c r="U27" s="39">
        <f t="shared" si="46"/>
        <v>0.39507743723572908</v>
      </c>
      <c r="V27" s="39">
        <f t="shared" si="12"/>
        <v>0.19487058962869575</v>
      </c>
      <c r="W27" s="39">
        <f t="shared" si="13"/>
        <v>0.22100456189732626</v>
      </c>
      <c r="X27" s="40">
        <f t="shared" si="33"/>
        <v>0.36834093649554372</v>
      </c>
      <c r="Y27" s="40" t="s">
        <v>3709</v>
      </c>
      <c r="Z27" s="182">
        <f t="shared" si="39"/>
        <v>7.3668187299108743</v>
      </c>
      <c r="AA27" s="182">
        <f t="shared" si="6"/>
        <v>1.2278031216518124</v>
      </c>
    </row>
    <row r="28" spans="1:27" x14ac:dyDescent="0.25">
      <c r="A28" s="229">
        <f t="shared" ref="A28:B28" si="47">A27+1</f>
        <v>2874</v>
      </c>
      <c r="B28" s="230">
        <f t="shared" si="47"/>
        <v>18</v>
      </c>
      <c r="C28" s="229" t="str">
        <f t="shared" si="8"/>
        <v>24bX05-000_030_06</v>
      </c>
      <c r="D28" s="231">
        <f t="shared" si="41"/>
        <v>5</v>
      </c>
      <c r="E28" s="204">
        <f t="shared" si="30"/>
        <v>1.3090000000000002</v>
      </c>
      <c r="F28" s="198">
        <f t="shared" si="42"/>
        <v>26.180000000000003</v>
      </c>
      <c r="G28" s="198">
        <f t="shared" si="31"/>
        <v>20.944000000000003</v>
      </c>
      <c r="H28" s="198">
        <f t="shared" si="32"/>
        <v>13.090000000000002</v>
      </c>
      <c r="I28" s="198">
        <f t="shared" si="35"/>
        <v>8</v>
      </c>
      <c r="J28" s="199">
        <f t="shared" si="36"/>
        <v>0</v>
      </c>
      <c r="K28" s="194" t="str">
        <f>D28&amp;-6</f>
        <v>5-6</v>
      </c>
      <c r="L28" s="198">
        <f t="shared" si="37"/>
        <v>0.2</v>
      </c>
      <c r="M28" s="49">
        <v>30</v>
      </c>
      <c r="N28" s="198">
        <f t="shared" si="38"/>
        <v>150</v>
      </c>
      <c r="O28" s="198">
        <f t="shared" si="38"/>
        <v>160</v>
      </c>
      <c r="P28" s="198">
        <f t="shared" si="38"/>
        <v>750</v>
      </c>
      <c r="R28" s="38">
        <f t="shared" si="43"/>
        <v>4</v>
      </c>
      <c r="S28" s="38">
        <f t="shared" si="43"/>
        <v>6</v>
      </c>
      <c r="T28" s="39">
        <f t="shared" si="46"/>
        <v>0.20020684760703333</v>
      </c>
      <c r="U28" s="39">
        <f t="shared" si="46"/>
        <v>0.39507743723572908</v>
      </c>
      <c r="V28" s="39">
        <f t="shared" si="12"/>
        <v>0.19487058962869575</v>
      </c>
      <c r="W28" s="39">
        <f t="shared" si="13"/>
        <v>0.22100456189732626</v>
      </c>
      <c r="X28" s="40">
        <f t="shared" si="33"/>
        <v>0.36834093649554372</v>
      </c>
      <c r="Y28" s="40" t="s">
        <v>3709</v>
      </c>
      <c r="Z28" s="182">
        <f t="shared" si="39"/>
        <v>7.3668187299108743</v>
      </c>
      <c r="AA28" s="182">
        <f t="shared" si="6"/>
        <v>1.2278031216518124</v>
      </c>
    </row>
    <row r="29" spans="1:27" x14ac:dyDescent="0.25">
      <c r="A29" s="229">
        <f t="shared" ref="A29:B29" si="48">A28+1</f>
        <v>2875</v>
      </c>
      <c r="B29" s="230">
        <f t="shared" si="48"/>
        <v>19</v>
      </c>
      <c r="C29" s="229" t="str">
        <f t="shared" si="8"/>
        <v>24bX05-000_060_07</v>
      </c>
      <c r="D29" s="231">
        <f>D28</f>
        <v>5</v>
      </c>
      <c r="E29" s="204">
        <f t="shared" si="30"/>
        <v>1.3090000000000002</v>
      </c>
      <c r="F29" s="198">
        <f t="shared" si="42"/>
        <v>26.180000000000003</v>
      </c>
      <c r="G29" s="198">
        <f t="shared" si="31"/>
        <v>20.944000000000003</v>
      </c>
      <c r="H29" s="198">
        <f t="shared" si="32"/>
        <v>13.090000000000002</v>
      </c>
      <c r="I29" s="198">
        <f t="shared" si="35"/>
        <v>8</v>
      </c>
      <c r="J29" s="199">
        <f t="shared" si="35"/>
        <v>0</v>
      </c>
      <c r="K29" s="194" t="str">
        <f>D29&amp;-7</f>
        <v>5-7</v>
      </c>
      <c r="L29" s="198">
        <f t="shared" si="37"/>
        <v>0.2</v>
      </c>
      <c r="M29" s="49">
        <v>60</v>
      </c>
      <c r="N29" s="198">
        <f t="shared" si="38"/>
        <v>150</v>
      </c>
      <c r="O29" s="198">
        <f t="shared" si="38"/>
        <v>160</v>
      </c>
      <c r="P29" s="198">
        <f t="shared" si="38"/>
        <v>750</v>
      </c>
      <c r="R29" s="38">
        <f t="shared" si="43"/>
        <v>4</v>
      </c>
      <c r="S29" s="38">
        <f t="shared" si="43"/>
        <v>6</v>
      </c>
      <c r="T29" s="39">
        <f t="shared" si="46"/>
        <v>0.20020684760703333</v>
      </c>
      <c r="U29" s="39">
        <f t="shared" si="46"/>
        <v>0.39507743723572908</v>
      </c>
      <c r="V29" s="39">
        <f t="shared" si="12"/>
        <v>0.19487058962869575</v>
      </c>
      <c r="W29" s="39">
        <f t="shared" si="13"/>
        <v>0.22100456189732626</v>
      </c>
      <c r="X29" s="40">
        <f t="shared" si="33"/>
        <v>0.36834093649554372</v>
      </c>
      <c r="Y29" s="40" t="s">
        <v>3709</v>
      </c>
      <c r="Z29" s="182">
        <f t="shared" si="39"/>
        <v>7.3668187299108743</v>
      </c>
      <c r="AA29" s="182">
        <f t="shared" si="6"/>
        <v>1.2278031216518124</v>
      </c>
    </row>
    <row r="30" spans="1:27" x14ac:dyDescent="0.25">
      <c r="A30" s="229">
        <f t="shared" ref="A30:B30" si="49">A29+1</f>
        <v>2876</v>
      </c>
      <c r="B30" s="230">
        <f t="shared" si="49"/>
        <v>20</v>
      </c>
      <c r="C30" s="229" t="str">
        <f t="shared" si="8"/>
        <v>24bX05-000_090_08</v>
      </c>
      <c r="D30" s="231">
        <f t="shared" si="41"/>
        <v>5</v>
      </c>
      <c r="E30" s="204">
        <f t="shared" si="30"/>
        <v>1.3090000000000002</v>
      </c>
      <c r="F30" s="198">
        <f t="shared" si="42"/>
        <v>26.180000000000003</v>
      </c>
      <c r="G30" s="198">
        <f t="shared" si="31"/>
        <v>20.944000000000003</v>
      </c>
      <c r="H30" s="198">
        <f t="shared" si="32"/>
        <v>13.090000000000002</v>
      </c>
      <c r="I30" s="198">
        <f t="shared" si="35"/>
        <v>8</v>
      </c>
      <c r="J30" s="199">
        <f t="shared" si="35"/>
        <v>0</v>
      </c>
      <c r="K30" s="194" t="str">
        <f>D30&amp;-8</f>
        <v>5-8</v>
      </c>
      <c r="L30" s="198">
        <f t="shared" si="37"/>
        <v>0.2</v>
      </c>
      <c r="M30" s="49">
        <v>90</v>
      </c>
      <c r="N30" s="198">
        <f t="shared" si="38"/>
        <v>150</v>
      </c>
      <c r="O30" s="198">
        <f t="shared" si="38"/>
        <v>160</v>
      </c>
      <c r="P30" s="198">
        <f t="shared" si="38"/>
        <v>750</v>
      </c>
      <c r="R30" s="38">
        <f t="shared" si="43"/>
        <v>4</v>
      </c>
      <c r="S30" s="38">
        <f t="shared" si="43"/>
        <v>6</v>
      </c>
      <c r="T30" s="39">
        <f t="shared" si="46"/>
        <v>0.20020684760703333</v>
      </c>
      <c r="U30" s="39">
        <f t="shared" si="46"/>
        <v>0.39507743723572908</v>
      </c>
      <c r="V30" s="39">
        <f t="shared" si="12"/>
        <v>0.19487058962869575</v>
      </c>
      <c r="W30" s="39">
        <f t="shared" si="13"/>
        <v>0.22100456189732626</v>
      </c>
      <c r="X30" s="40">
        <f t="shared" si="33"/>
        <v>0.36834093649554372</v>
      </c>
      <c r="Y30" s="40" t="s">
        <v>3709</v>
      </c>
      <c r="Z30" s="182">
        <f t="shared" si="39"/>
        <v>7.3668187299108743</v>
      </c>
      <c r="AA30" s="182">
        <f t="shared" si="6"/>
        <v>1.2278031216518124</v>
      </c>
    </row>
    <row r="31" spans="1:27" x14ac:dyDescent="0.25">
      <c r="A31" s="229">
        <f t="shared" ref="A31:B31" si="50">A30+1</f>
        <v>2877</v>
      </c>
      <c r="B31" s="230">
        <f t="shared" si="50"/>
        <v>21</v>
      </c>
      <c r="C31" s="229" t="str">
        <f t="shared" si="8"/>
        <v>24bX05-000_000_09</v>
      </c>
      <c r="D31" s="231">
        <f t="shared" si="41"/>
        <v>5</v>
      </c>
      <c r="E31" s="204">
        <f t="shared" si="30"/>
        <v>1.3090000000000002</v>
      </c>
      <c r="F31" s="198">
        <f t="shared" si="42"/>
        <v>26.180000000000003</v>
      </c>
      <c r="G31" s="198">
        <f t="shared" si="31"/>
        <v>20.944000000000003</v>
      </c>
      <c r="H31" s="198">
        <f t="shared" si="32"/>
        <v>13.090000000000002</v>
      </c>
      <c r="I31" s="198">
        <f t="shared" si="35"/>
        <v>8</v>
      </c>
      <c r="J31" s="199">
        <f t="shared" si="35"/>
        <v>0</v>
      </c>
      <c r="K31" s="194" t="str">
        <f>D31&amp;-9</f>
        <v>5-9</v>
      </c>
      <c r="L31" s="198">
        <f t="shared" si="37"/>
        <v>0.2</v>
      </c>
      <c r="M31" s="49">
        <v>0</v>
      </c>
      <c r="N31" s="198">
        <f t="shared" si="38"/>
        <v>150</v>
      </c>
      <c r="O31" s="198">
        <f t="shared" si="38"/>
        <v>160</v>
      </c>
      <c r="P31" s="198">
        <f t="shared" si="38"/>
        <v>750</v>
      </c>
      <c r="R31" s="38">
        <f t="shared" si="43"/>
        <v>4</v>
      </c>
      <c r="S31" s="38">
        <f t="shared" si="43"/>
        <v>6</v>
      </c>
      <c r="T31" s="39">
        <f t="shared" si="46"/>
        <v>0.20020684760703333</v>
      </c>
      <c r="U31" s="39">
        <f t="shared" si="46"/>
        <v>0.39507743723572908</v>
      </c>
      <c r="V31" s="39">
        <f t="shared" si="12"/>
        <v>0.19487058962869575</v>
      </c>
      <c r="W31" s="39">
        <f t="shared" si="13"/>
        <v>0.22100456189732626</v>
      </c>
      <c r="X31" s="40">
        <f t="shared" si="33"/>
        <v>0.36834093649554372</v>
      </c>
      <c r="Y31" s="40" t="s">
        <v>3709</v>
      </c>
      <c r="Z31" s="182">
        <f t="shared" si="39"/>
        <v>7.3668187299108743</v>
      </c>
      <c r="AA31" s="182">
        <f t="shared" si="6"/>
        <v>1.2278031216518124</v>
      </c>
    </row>
    <row r="32" spans="1:27" x14ac:dyDescent="0.25">
      <c r="A32" s="229">
        <f t="shared" ref="A32:B32" si="51">A31+1</f>
        <v>2878</v>
      </c>
      <c r="B32" s="230">
        <f t="shared" si="51"/>
        <v>22</v>
      </c>
      <c r="C32" s="229" t="str">
        <f t="shared" si="8"/>
        <v>24bX05-000_030_10</v>
      </c>
      <c r="D32" s="231">
        <f t="shared" si="41"/>
        <v>5</v>
      </c>
      <c r="E32" s="204">
        <f t="shared" si="30"/>
        <v>1.3090000000000002</v>
      </c>
      <c r="F32" s="198">
        <f t="shared" si="42"/>
        <v>26.180000000000003</v>
      </c>
      <c r="G32" s="198">
        <f t="shared" si="31"/>
        <v>20.944000000000003</v>
      </c>
      <c r="H32" s="198">
        <f t="shared" si="32"/>
        <v>13.090000000000002</v>
      </c>
      <c r="I32" s="198">
        <f t="shared" si="35"/>
        <v>8</v>
      </c>
      <c r="J32" s="199">
        <f t="shared" si="35"/>
        <v>0</v>
      </c>
      <c r="K32" s="194" t="str">
        <f>D32&amp;-10</f>
        <v>5-10</v>
      </c>
      <c r="L32" s="198">
        <f t="shared" si="37"/>
        <v>0.2</v>
      </c>
      <c r="M32" s="49">
        <v>30</v>
      </c>
      <c r="N32" s="198">
        <f t="shared" si="38"/>
        <v>150</v>
      </c>
      <c r="O32" s="198">
        <f t="shared" si="38"/>
        <v>160</v>
      </c>
      <c r="P32" s="198">
        <f t="shared" si="38"/>
        <v>750</v>
      </c>
      <c r="R32" s="38">
        <f t="shared" si="43"/>
        <v>4</v>
      </c>
      <c r="S32" s="38">
        <f t="shared" si="43"/>
        <v>6</v>
      </c>
      <c r="T32" s="39">
        <f t="shared" si="46"/>
        <v>0.20020684760703333</v>
      </c>
      <c r="U32" s="39">
        <f t="shared" si="46"/>
        <v>0.39507743723572908</v>
      </c>
      <c r="V32" s="39">
        <f t="shared" si="12"/>
        <v>0.19487058962869575</v>
      </c>
      <c r="W32" s="39">
        <f t="shared" si="13"/>
        <v>0.22100456189732626</v>
      </c>
      <c r="X32" s="40">
        <f t="shared" si="33"/>
        <v>0.36834093649554372</v>
      </c>
      <c r="Y32" s="40" t="s">
        <v>3709</v>
      </c>
      <c r="Z32" s="182">
        <f t="shared" si="39"/>
        <v>7.3668187299108743</v>
      </c>
      <c r="AA32" s="182">
        <f t="shared" si="6"/>
        <v>1.2278031216518124</v>
      </c>
    </row>
    <row r="33" spans="1:27" x14ac:dyDescent="0.25">
      <c r="A33" s="229">
        <f t="shared" ref="A33:B33" si="52">A32+1</f>
        <v>2879</v>
      </c>
      <c r="B33" s="230">
        <f t="shared" si="52"/>
        <v>23</v>
      </c>
      <c r="C33" s="229" t="str">
        <f t="shared" si="8"/>
        <v>24bX05-000_060_11</v>
      </c>
      <c r="D33" s="231">
        <f t="shared" si="41"/>
        <v>5</v>
      </c>
      <c r="E33" s="204">
        <f t="shared" si="30"/>
        <v>1.3090000000000002</v>
      </c>
      <c r="F33" s="198">
        <f t="shared" si="42"/>
        <v>26.180000000000003</v>
      </c>
      <c r="G33" s="198">
        <f t="shared" si="31"/>
        <v>20.944000000000003</v>
      </c>
      <c r="H33" s="198">
        <f t="shared" si="32"/>
        <v>13.090000000000002</v>
      </c>
      <c r="I33" s="198">
        <f t="shared" si="35"/>
        <v>8</v>
      </c>
      <c r="J33" s="199">
        <f t="shared" si="35"/>
        <v>0</v>
      </c>
      <c r="K33" s="194" t="str">
        <f>D33&amp;-11</f>
        <v>5-11</v>
      </c>
      <c r="L33" s="198">
        <f t="shared" si="37"/>
        <v>0.2</v>
      </c>
      <c r="M33" s="49">
        <v>60</v>
      </c>
      <c r="N33" s="198">
        <f t="shared" si="38"/>
        <v>150</v>
      </c>
      <c r="O33" s="198">
        <f t="shared" si="38"/>
        <v>160</v>
      </c>
      <c r="P33" s="198">
        <f t="shared" si="38"/>
        <v>750</v>
      </c>
      <c r="R33" s="38">
        <f t="shared" si="43"/>
        <v>4</v>
      </c>
      <c r="S33" s="38">
        <f t="shared" si="43"/>
        <v>6</v>
      </c>
      <c r="T33" s="39">
        <f t="shared" si="46"/>
        <v>0.20020684760703333</v>
      </c>
      <c r="U33" s="39">
        <f t="shared" si="46"/>
        <v>0.39507743723572908</v>
      </c>
      <c r="V33" s="39">
        <f t="shared" si="12"/>
        <v>0.19487058962869575</v>
      </c>
      <c r="W33" s="39">
        <f t="shared" si="13"/>
        <v>0.22100456189732626</v>
      </c>
      <c r="X33" s="40">
        <f t="shared" si="33"/>
        <v>0.36834093649554372</v>
      </c>
      <c r="Y33" s="40" t="s">
        <v>3709</v>
      </c>
      <c r="Z33" s="182">
        <f t="shared" si="39"/>
        <v>7.3668187299108743</v>
      </c>
      <c r="AA33" s="182">
        <f t="shared" si="6"/>
        <v>1.2278031216518124</v>
      </c>
    </row>
    <row r="34" spans="1:27" x14ac:dyDescent="0.25">
      <c r="A34" s="229">
        <f t="shared" ref="A34:B34" si="53">A33+1</f>
        <v>2880</v>
      </c>
      <c r="B34" s="230">
        <f t="shared" si="53"/>
        <v>24</v>
      </c>
      <c r="C34" s="229" t="str">
        <f t="shared" si="8"/>
        <v>24bX05-000_090_12</v>
      </c>
      <c r="D34" s="231">
        <f t="shared" si="41"/>
        <v>5</v>
      </c>
      <c r="E34" s="204">
        <f t="shared" si="30"/>
        <v>1.3090000000000002</v>
      </c>
      <c r="F34" s="198">
        <f t="shared" si="42"/>
        <v>26.180000000000003</v>
      </c>
      <c r="G34" s="198">
        <f t="shared" si="31"/>
        <v>20.944000000000003</v>
      </c>
      <c r="H34" s="198">
        <f t="shared" si="32"/>
        <v>13.090000000000002</v>
      </c>
      <c r="I34" s="198">
        <f t="shared" ref="I34:J34" si="54">I33</f>
        <v>8</v>
      </c>
      <c r="J34" s="199">
        <f t="shared" si="54"/>
        <v>0</v>
      </c>
      <c r="K34" s="194" t="str">
        <f>D34&amp;-12</f>
        <v>5-12</v>
      </c>
      <c r="L34" s="198">
        <f t="shared" si="37"/>
        <v>0.2</v>
      </c>
      <c r="M34" s="49">
        <v>90</v>
      </c>
      <c r="N34" s="198">
        <f t="shared" si="38"/>
        <v>150</v>
      </c>
      <c r="O34" s="198">
        <f t="shared" si="38"/>
        <v>160</v>
      </c>
      <c r="P34" s="198">
        <f t="shared" si="38"/>
        <v>750</v>
      </c>
      <c r="R34" s="38">
        <f t="shared" si="43"/>
        <v>4</v>
      </c>
      <c r="S34" s="38">
        <f t="shared" si="43"/>
        <v>6</v>
      </c>
      <c r="T34" s="39">
        <f t="shared" si="46"/>
        <v>0.20020684760703333</v>
      </c>
      <c r="U34" s="39">
        <f t="shared" si="46"/>
        <v>0.39507743723572908</v>
      </c>
      <c r="V34" s="39">
        <f t="shared" si="12"/>
        <v>0.19487058962869575</v>
      </c>
      <c r="W34" s="39">
        <f t="shared" si="13"/>
        <v>0.22100456189732626</v>
      </c>
      <c r="X34" s="40">
        <f t="shared" si="33"/>
        <v>0.36834093649554372</v>
      </c>
      <c r="Y34" s="40" t="s">
        <v>3709</v>
      </c>
      <c r="Z34" s="182">
        <f t="shared" si="39"/>
        <v>7.3668187299108743</v>
      </c>
      <c r="AA34" s="182">
        <f t="shared" si="6"/>
        <v>1.2278031216518124</v>
      </c>
    </row>
    <row r="35" spans="1:27" x14ac:dyDescent="0.25">
      <c r="A35" s="229">
        <f t="shared" ref="A35:B35" si="55">A34+1</f>
        <v>2881</v>
      </c>
      <c r="B35" s="230">
        <f t="shared" si="55"/>
        <v>25</v>
      </c>
      <c r="C35" s="229" t="str">
        <f t="shared" si="8"/>
        <v>24bX07-000_000_01</v>
      </c>
      <c r="D35" s="231">
        <f>D34+2</f>
        <v>7</v>
      </c>
      <c r="E35" s="204">
        <f t="shared" ref="E35:E46" si="56">I_ref*(0.75*D35+5.6)</f>
        <v>1.5190000000000001</v>
      </c>
      <c r="F35" s="198">
        <f>E35/D35*100</f>
        <v>21.700000000000003</v>
      </c>
      <c r="G35" s="198">
        <f t="shared" ref="G35:G46" si="57">m_ty*F35</f>
        <v>17.360000000000003</v>
      </c>
      <c r="H35" s="198">
        <f t="shared" ref="H35:H46" si="58">m_tz*F35</f>
        <v>10.850000000000001</v>
      </c>
      <c r="I35" s="198">
        <f>inflow</f>
        <v>8</v>
      </c>
      <c r="J35" s="199">
        <f>yaw_null</f>
        <v>0</v>
      </c>
      <c r="K35" s="194" t="str">
        <f>D35&amp;-1</f>
        <v>7-1</v>
      </c>
      <c r="L35" s="198">
        <f>alpha_n</f>
        <v>0.2</v>
      </c>
      <c r="M35" s="49">
        <v>0</v>
      </c>
      <c r="N35" s="198">
        <f>t_out</f>
        <v>150</v>
      </c>
      <c r="O35" s="198">
        <f>trig_t</f>
        <v>160</v>
      </c>
      <c r="P35" s="198">
        <f>N35+T_s1</f>
        <v>750</v>
      </c>
      <c r="R35" s="38">
        <f>S34</f>
        <v>6</v>
      </c>
      <c r="S35" s="38">
        <f>R35+v_step</f>
        <v>8</v>
      </c>
      <c r="T35" s="39">
        <f t="shared" si="46"/>
        <v>0.39507743723572908</v>
      </c>
      <c r="U35" s="39">
        <f t="shared" si="46"/>
        <v>0.59082345962954208</v>
      </c>
      <c r="V35" s="39">
        <f t="shared" si="12"/>
        <v>0.195746022393813</v>
      </c>
      <c r="W35" s="39">
        <f t="shared" si="13"/>
        <v>0.22199739840022775</v>
      </c>
      <c r="X35" s="40">
        <f t="shared" ref="X35:X46" si="59">T_G*W35/12</f>
        <v>0.36999566400037959</v>
      </c>
      <c r="Y35" s="40" t="s">
        <v>3709</v>
      </c>
      <c r="Z35" s="182">
        <f>X35*20</f>
        <v>7.399913280007592</v>
      </c>
      <c r="AA35" s="182">
        <f t="shared" si="6"/>
        <v>1.2333188800012653</v>
      </c>
    </row>
    <row r="36" spans="1:27" x14ac:dyDescent="0.25">
      <c r="A36" s="229">
        <f t="shared" ref="A36:B36" si="60">A35+1</f>
        <v>2882</v>
      </c>
      <c r="B36" s="230">
        <f t="shared" si="60"/>
        <v>26</v>
      </c>
      <c r="C36" s="229" t="str">
        <f t="shared" si="8"/>
        <v>24bX07-000_030_02</v>
      </c>
      <c r="D36" s="231">
        <f>D35</f>
        <v>7</v>
      </c>
      <c r="E36" s="204">
        <f t="shared" si="56"/>
        <v>1.5190000000000001</v>
      </c>
      <c r="F36" s="198">
        <f>E36/D36*100</f>
        <v>21.700000000000003</v>
      </c>
      <c r="G36" s="198">
        <f t="shared" si="57"/>
        <v>17.360000000000003</v>
      </c>
      <c r="H36" s="198">
        <f t="shared" si="58"/>
        <v>10.850000000000001</v>
      </c>
      <c r="I36" s="198">
        <f t="shared" ref="I36:J45" si="61">I35</f>
        <v>8</v>
      </c>
      <c r="J36" s="199">
        <f t="shared" si="61"/>
        <v>0</v>
      </c>
      <c r="K36" s="194" t="str">
        <f>D36&amp;-2</f>
        <v>7-2</v>
      </c>
      <c r="L36" s="198">
        <f t="shared" ref="L36:L46" si="62">L35</f>
        <v>0.2</v>
      </c>
      <c r="M36" s="49">
        <v>30</v>
      </c>
      <c r="N36" s="198">
        <f t="shared" ref="N36:P46" si="63">N35</f>
        <v>150</v>
      </c>
      <c r="O36" s="198">
        <f t="shared" si="63"/>
        <v>160</v>
      </c>
      <c r="P36" s="198">
        <f t="shared" si="63"/>
        <v>750</v>
      </c>
      <c r="R36" s="38">
        <f>R35</f>
        <v>6</v>
      </c>
      <c r="S36" s="38">
        <f t="shared" ref="S36" si="64">S35</f>
        <v>8</v>
      </c>
      <c r="T36" s="39">
        <f t="shared" si="46"/>
        <v>0.39507743723572908</v>
      </c>
      <c r="U36" s="39">
        <f t="shared" si="46"/>
        <v>0.59082345962954208</v>
      </c>
      <c r="V36" s="39">
        <f t="shared" si="12"/>
        <v>0.195746022393813</v>
      </c>
      <c r="W36" s="39">
        <f t="shared" si="13"/>
        <v>0.22199739840022775</v>
      </c>
      <c r="X36" s="40">
        <f t="shared" si="59"/>
        <v>0.36999566400037959</v>
      </c>
      <c r="Y36" s="40" t="s">
        <v>3709</v>
      </c>
      <c r="Z36" s="182">
        <f t="shared" ref="Z36:Z46" si="65">X36*20</f>
        <v>7.399913280007592</v>
      </c>
      <c r="AA36" s="182">
        <f t="shared" si="6"/>
        <v>1.2333188800012653</v>
      </c>
    </row>
    <row r="37" spans="1:27" x14ac:dyDescent="0.25">
      <c r="A37" s="229">
        <f t="shared" ref="A37:B37" si="66">A36+1</f>
        <v>2883</v>
      </c>
      <c r="B37" s="230">
        <f t="shared" si="66"/>
        <v>27</v>
      </c>
      <c r="C37" s="229" t="str">
        <f t="shared" si="8"/>
        <v>24bX07-000_060_03</v>
      </c>
      <c r="D37" s="231">
        <f t="shared" ref="D37:D46" si="67">D36</f>
        <v>7</v>
      </c>
      <c r="E37" s="204">
        <f t="shared" si="56"/>
        <v>1.5190000000000001</v>
      </c>
      <c r="F37" s="198">
        <f t="shared" ref="F37:F46" si="68">E37/D37*100</f>
        <v>21.700000000000003</v>
      </c>
      <c r="G37" s="198">
        <f t="shared" si="57"/>
        <v>17.360000000000003</v>
      </c>
      <c r="H37" s="198">
        <f t="shared" si="58"/>
        <v>10.850000000000001</v>
      </c>
      <c r="I37" s="198">
        <f t="shared" si="61"/>
        <v>8</v>
      </c>
      <c r="J37" s="199">
        <f t="shared" si="61"/>
        <v>0</v>
      </c>
      <c r="K37" s="194" t="str">
        <f>D37&amp;-3</f>
        <v>7-3</v>
      </c>
      <c r="L37" s="198">
        <f t="shared" si="62"/>
        <v>0.2</v>
      </c>
      <c r="M37" s="49">
        <v>60</v>
      </c>
      <c r="N37" s="198">
        <f t="shared" si="63"/>
        <v>150</v>
      </c>
      <c r="O37" s="198">
        <f t="shared" si="63"/>
        <v>160</v>
      </c>
      <c r="P37" s="198">
        <f t="shared" si="63"/>
        <v>750</v>
      </c>
      <c r="R37" s="38">
        <f t="shared" ref="R37:S46" si="69">R36</f>
        <v>6</v>
      </c>
      <c r="S37" s="38">
        <f t="shared" si="69"/>
        <v>8</v>
      </c>
      <c r="T37" s="39">
        <f t="shared" si="46"/>
        <v>0.39507743723572908</v>
      </c>
      <c r="U37" s="39">
        <f t="shared" si="46"/>
        <v>0.59082345962954208</v>
      </c>
      <c r="V37" s="39">
        <f t="shared" si="12"/>
        <v>0.195746022393813</v>
      </c>
      <c r="W37" s="39">
        <f t="shared" si="13"/>
        <v>0.22199739840022775</v>
      </c>
      <c r="X37" s="40">
        <f t="shared" si="59"/>
        <v>0.36999566400037959</v>
      </c>
      <c r="Y37" s="40" t="s">
        <v>3709</v>
      </c>
      <c r="Z37" s="182">
        <f t="shared" si="65"/>
        <v>7.399913280007592</v>
      </c>
      <c r="AA37" s="182">
        <f t="shared" si="6"/>
        <v>1.2333188800012653</v>
      </c>
    </row>
    <row r="38" spans="1:27" x14ac:dyDescent="0.25">
      <c r="A38" s="229">
        <f t="shared" ref="A38:B38" si="70">A37+1</f>
        <v>2884</v>
      </c>
      <c r="B38" s="230">
        <f t="shared" si="70"/>
        <v>28</v>
      </c>
      <c r="C38" s="229" t="str">
        <f t="shared" si="8"/>
        <v>24bX07-000_090_04</v>
      </c>
      <c r="D38" s="231">
        <f t="shared" si="67"/>
        <v>7</v>
      </c>
      <c r="E38" s="204">
        <f t="shared" si="56"/>
        <v>1.5190000000000001</v>
      </c>
      <c r="F38" s="198">
        <f t="shared" si="68"/>
        <v>21.700000000000003</v>
      </c>
      <c r="G38" s="198">
        <f t="shared" si="57"/>
        <v>17.360000000000003</v>
      </c>
      <c r="H38" s="198">
        <f t="shared" si="58"/>
        <v>10.850000000000001</v>
      </c>
      <c r="I38" s="198">
        <f t="shared" si="61"/>
        <v>8</v>
      </c>
      <c r="J38" s="199">
        <f t="shared" si="61"/>
        <v>0</v>
      </c>
      <c r="K38" s="194" t="str">
        <f>D38&amp;-4</f>
        <v>7-4</v>
      </c>
      <c r="L38" s="198">
        <f t="shared" si="62"/>
        <v>0.2</v>
      </c>
      <c r="M38" s="49">
        <v>90</v>
      </c>
      <c r="N38" s="198">
        <f t="shared" si="63"/>
        <v>150</v>
      </c>
      <c r="O38" s="198">
        <f t="shared" si="63"/>
        <v>160</v>
      </c>
      <c r="P38" s="198">
        <f t="shared" si="63"/>
        <v>750</v>
      </c>
      <c r="R38" s="38">
        <f t="shared" si="69"/>
        <v>6</v>
      </c>
      <c r="S38" s="38">
        <f t="shared" si="69"/>
        <v>8</v>
      </c>
      <c r="T38" s="39">
        <f t="shared" si="46"/>
        <v>0.39507743723572908</v>
      </c>
      <c r="U38" s="39">
        <f t="shared" si="46"/>
        <v>0.59082345962954208</v>
      </c>
      <c r="V38" s="39">
        <f t="shared" si="12"/>
        <v>0.195746022393813</v>
      </c>
      <c r="W38" s="39">
        <f t="shared" si="13"/>
        <v>0.22199739840022775</v>
      </c>
      <c r="X38" s="40">
        <f t="shared" si="59"/>
        <v>0.36999566400037959</v>
      </c>
      <c r="Y38" s="40" t="s">
        <v>3709</v>
      </c>
      <c r="Z38" s="182">
        <f t="shared" si="65"/>
        <v>7.399913280007592</v>
      </c>
      <c r="AA38" s="182">
        <f t="shared" si="6"/>
        <v>1.2333188800012653</v>
      </c>
    </row>
    <row r="39" spans="1:27" x14ac:dyDescent="0.25">
      <c r="A39" s="229">
        <f t="shared" ref="A39:B39" si="71">A38+1</f>
        <v>2885</v>
      </c>
      <c r="B39" s="230">
        <f t="shared" si="71"/>
        <v>29</v>
      </c>
      <c r="C39" s="229" t="str">
        <f t="shared" si="8"/>
        <v>24bX07-000_000_05</v>
      </c>
      <c r="D39" s="231">
        <f t="shared" si="67"/>
        <v>7</v>
      </c>
      <c r="E39" s="204">
        <f t="shared" si="56"/>
        <v>1.5190000000000001</v>
      </c>
      <c r="F39" s="198">
        <f t="shared" si="68"/>
        <v>21.700000000000003</v>
      </c>
      <c r="G39" s="198">
        <f t="shared" si="57"/>
        <v>17.360000000000003</v>
      </c>
      <c r="H39" s="198">
        <f t="shared" si="58"/>
        <v>10.850000000000001</v>
      </c>
      <c r="I39" s="198">
        <f t="shared" si="61"/>
        <v>8</v>
      </c>
      <c r="J39" s="199">
        <f t="shared" si="61"/>
        <v>0</v>
      </c>
      <c r="K39" s="194" t="str">
        <f>D39&amp;-5</f>
        <v>7-5</v>
      </c>
      <c r="L39" s="198">
        <f t="shared" si="62"/>
        <v>0.2</v>
      </c>
      <c r="M39" s="49">
        <v>0</v>
      </c>
      <c r="N39" s="198">
        <f t="shared" si="63"/>
        <v>150</v>
      </c>
      <c r="O39" s="198">
        <f t="shared" si="63"/>
        <v>160</v>
      </c>
      <c r="P39" s="198">
        <f t="shared" si="63"/>
        <v>750</v>
      </c>
      <c r="R39" s="38">
        <f t="shared" si="69"/>
        <v>6</v>
      </c>
      <c r="S39" s="38">
        <f t="shared" si="69"/>
        <v>8</v>
      </c>
      <c r="T39" s="39">
        <f t="shared" si="46"/>
        <v>0.39507743723572908</v>
      </c>
      <c r="U39" s="39">
        <f t="shared" si="46"/>
        <v>0.59082345962954208</v>
      </c>
      <c r="V39" s="39">
        <f t="shared" si="12"/>
        <v>0.195746022393813</v>
      </c>
      <c r="W39" s="39">
        <f t="shared" si="13"/>
        <v>0.22199739840022775</v>
      </c>
      <c r="X39" s="40">
        <f t="shared" si="59"/>
        <v>0.36999566400037959</v>
      </c>
      <c r="Y39" s="40" t="s">
        <v>3709</v>
      </c>
      <c r="Z39" s="182">
        <f t="shared" si="65"/>
        <v>7.399913280007592</v>
      </c>
      <c r="AA39" s="182">
        <f t="shared" si="6"/>
        <v>1.2333188800012653</v>
      </c>
    </row>
    <row r="40" spans="1:27" x14ac:dyDescent="0.25">
      <c r="A40" s="229">
        <f t="shared" ref="A40:B40" si="72">A39+1</f>
        <v>2886</v>
      </c>
      <c r="B40" s="230">
        <f t="shared" si="72"/>
        <v>30</v>
      </c>
      <c r="C40" s="229" t="str">
        <f t="shared" si="8"/>
        <v>24bX07-000_030_06</v>
      </c>
      <c r="D40" s="231">
        <f t="shared" si="67"/>
        <v>7</v>
      </c>
      <c r="E40" s="204">
        <f t="shared" si="56"/>
        <v>1.5190000000000001</v>
      </c>
      <c r="F40" s="198">
        <f t="shared" si="68"/>
        <v>21.700000000000003</v>
      </c>
      <c r="G40" s="198">
        <f t="shared" si="57"/>
        <v>17.360000000000003</v>
      </c>
      <c r="H40" s="198">
        <f t="shared" si="58"/>
        <v>10.850000000000001</v>
      </c>
      <c r="I40" s="198">
        <f t="shared" si="61"/>
        <v>8</v>
      </c>
      <c r="J40" s="199">
        <f t="shared" si="61"/>
        <v>0</v>
      </c>
      <c r="K40" s="194" t="str">
        <f>D40&amp;-6</f>
        <v>7-6</v>
      </c>
      <c r="L40" s="198">
        <f t="shared" si="62"/>
        <v>0.2</v>
      </c>
      <c r="M40" s="49">
        <v>30</v>
      </c>
      <c r="N40" s="198">
        <f t="shared" si="63"/>
        <v>150</v>
      </c>
      <c r="O40" s="198">
        <f t="shared" si="63"/>
        <v>160</v>
      </c>
      <c r="P40" s="198">
        <f t="shared" si="63"/>
        <v>750</v>
      </c>
      <c r="R40" s="38">
        <f t="shared" si="69"/>
        <v>6</v>
      </c>
      <c r="S40" s="38">
        <f t="shared" si="69"/>
        <v>8</v>
      </c>
      <c r="T40" s="39">
        <f t="shared" si="46"/>
        <v>0.39507743723572908</v>
      </c>
      <c r="U40" s="39">
        <f t="shared" si="46"/>
        <v>0.59082345962954208</v>
      </c>
      <c r="V40" s="39">
        <f t="shared" si="12"/>
        <v>0.195746022393813</v>
      </c>
      <c r="W40" s="39">
        <f t="shared" si="13"/>
        <v>0.22199739840022775</v>
      </c>
      <c r="X40" s="40">
        <f t="shared" si="59"/>
        <v>0.36999566400037959</v>
      </c>
      <c r="Y40" s="40" t="s">
        <v>3709</v>
      </c>
      <c r="Z40" s="182">
        <f t="shared" si="65"/>
        <v>7.399913280007592</v>
      </c>
      <c r="AA40" s="182">
        <f t="shared" si="6"/>
        <v>1.2333188800012653</v>
      </c>
    </row>
    <row r="41" spans="1:27" x14ac:dyDescent="0.25">
      <c r="A41" s="229">
        <f t="shared" ref="A41:B41" si="73">A40+1</f>
        <v>2887</v>
      </c>
      <c r="B41" s="230">
        <f t="shared" si="73"/>
        <v>31</v>
      </c>
      <c r="C41" s="229" t="str">
        <f t="shared" si="8"/>
        <v>24bX07-000_060_07</v>
      </c>
      <c r="D41" s="231">
        <f>D40</f>
        <v>7</v>
      </c>
      <c r="E41" s="204">
        <f t="shared" si="56"/>
        <v>1.5190000000000001</v>
      </c>
      <c r="F41" s="198">
        <f t="shared" si="68"/>
        <v>21.700000000000003</v>
      </c>
      <c r="G41" s="198">
        <f t="shared" si="57"/>
        <v>17.360000000000003</v>
      </c>
      <c r="H41" s="198">
        <f t="shared" si="58"/>
        <v>10.850000000000001</v>
      </c>
      <c r="I41" s="198">
        <f t="shared" si="61"/>
        <v>8</v>
      </c>
      <c r="J41" s="199">
        <f t="shared" si="61"/>
        <v>0</v>
      </c>
      <c r="K41" s="194" t="str">
        <f>D41&amp;-7</f>
        <v>7-7</v>
      </c>
      <c r="L41" s="198">
        <f t="shared" si="62"/>
        <v>0.2</v>
      </c>
      <c r="M41" s="49">
        <v>60</v>
      </c>
      <c r="N41" s="198">
        <f t="shared" si="63"/>
        <v>150</v>
      </c>
      <c r="O41" s="198">
        <f t="shared" si="63"/>
        <v>160</v>
      </c>
      <c r="P41" s="198">
        <f t="shared" si="63"/>
        <v>750</v>
      </c>
      <c r="R41" s="38">
        <f t="shared" si="69"/>
        <v>6</v>
      </c>
      <c r="S41" s="38">
        <f t="shared" si="69"/>
        <v>8</v>
      </c>
      <c r="T41" s="39">
        <f t="shared" si="46"/>
        <v>0.39507743723572908</v>
      </c>
      <c r="U41" s="39">
        <f t="shared" si="46"/>
        <v>0.59082345962954208</v>
      </c>
      <c r="V41" s="39">
        <f t="shared" si="12"/>
        <v>0.195746022393813</v>
      </c>
      <c r="W41" s="39">
        <f t="shared" si="13"/>
        <v>0.22199739840022775</v>
      </c>
      <c r="X41" s="40">
        <f t="shared" si="59"/>
        <v>0.36999566400037959</v>
      </c>
      <c r="Y41" s="40" t="s">
        <v>3709</v>
      </c>
      <c r="Z41" s="182">
        <f t="shared" si="65"/>
        <v>7.399913280007592</v>
      </c>
      <c r="AA41" s="182">
        <f t="shared" si="6"/>
        <v>1.2333188800012653</v>
      </c>
    </row>
    <row r="42" spans="1:27" x14ac:dyDescent="0.25">
      <c r="A42" s="229">
        <f t="shared" ref="A42:B42" si="74">A41+1</f>
        <v>2888</v>
      </c>
      <c r="B42" s="230">
        <f t="shared" si="74"/>
        <v>32</v>
      </c>
      <c r="C42" s="229" t="str">
        <f t="shared" si="8"/>
        <v>24bX07-000_090_08</v>
      </c>
      <c r="D42" s="231">
        <f t="shared" si="67"/>
        <v>7</v>
      </c>
      <c r="E42" s="204">
        <f t="shared" si="56"/>
        <v>1.5190000000000001</v>
      </c>
      <c r="F42" s="198">
        <f t="shared" si="68"/>
        <v>21.700000000000003</v>
      </c>
      <c r="G42" s="198">
        <f t="shared" si="57"/>
        <v>17.360000000000003</v>
      </c>
      <c r="H42" s="198">
        <f t="shared" si="58"/>
        <v>10.850000000000001</v>
      </c>
      <c r="I42" s="198">
        <f t="shared" si="61"/>
        <v>8</v>
      </c>
      <c r="J42" s="199">
        <f t="shared" si="61"/>
        <v>0</v>
      </c>
      <c r="K42" s="194" t="str">
        <f>D42&amp;-8</f>
        <v>7-8</v>
      </c>
      <c r="L42" s="198">
        <f t="shared" si="62"/>
        <v>0.2</v>
      </c>
      <c r="M42" s="49">
        <v>90</v>
      </c>
      <c r="N42" s="198">
        <f t="shared" si="63"/>
        <v>150</v>
      </c>
      <c r="O42" s="198">
        <f t="shared" si="63"/>
        <v>160</v>
      </c>
      <c r="P42" s="198">
        <f t="shared" si="63"/>
        <v>750</v>
      </c>
      <c r="R42" s="38">
        <f t="shared" si="69"/>
        <v>6</v>
      </c>
      <c r="S42" s="38">
        <f t="shared" si="69"/>
        <v>8</v>
      </c>
      <c r="T42" s="39">
        <f t="shared" si="46"/>
        <v>0.39507743723572908</v>
      </c>
      <c r="U42" s="39">
        <f t="shared" si="46"/>
        <v>0.59082345962954208</v>
      </c>
      <c r="V42" s="39">
        <f t="shared" si="12"/>
        <v>0.195746022393813</v>
      </c>
      <c r="W42" s="39">
        <f t="shared" si="13"/>
        <v>0.22199739840022775</v>
      </c>
      <c r="X42" s="40">
        <f t="shared" si="59"/>
        <v>0.36999566400037959</v>
      </c>
      <c r="Y42" s="40" t="s">
        <v>3709</v>
      </c>
      <c r="Z42" s="182">
        <f t="shared" si="65"/>
        <v>7.399913280007592</v>
      </c>
      <c r="AA42" s="182">
        <f t="shared" si="6"/>
        <v>1.2333188800012653</v>
      </c>
    </row>
    <row r="43" spans="1:27" x14ac:dyDescent="0.25">
      <c r="A43" s="229">
        <f t="shared" ref="A43:B43" si="75">A42+1</f>
        <v>2889</v>
      </c>
      <c r="B43" s="230">
        <f t="shared" si="75"/>
        <v>33</v>
      </c>
      <c r="C43" s="229" t="str">
        <f t="shared" si="8"/>
        <v>24bX07-000_000_09</v>
      </c>
      <c r="D43" s="231">
        <f t="shared" si="67"/>
        <v>7</v>
      </c>
      <c r="E43" s="204">
        <f t="shared" si="56"/>
        <v>1.5190000000000001</v>
      </c>
      <c r="F43" s="198">
        <f t="shared" si="68"/>
        <v>21.700000000000003</v>
      </c>
      <c r="G43" s="198">
        <f t="shared" si="57"/>
        <v>17.360000000000003</v>
      </c>
      <c r="H43" s="198">
        <f t="shared" si="58"/>
        <v>10.850000000000001</v>
      </c>
      <c r="I43" s="198">
        <f t="shared" si="61"/>
        <v>8</v>
      </c>
      <c r="J43" s="199">
        <f t="shared" si="61"/>
        <v>0</v>
      </c>
      <c r="K43" s="194" t="str">
        <f>D43&amp;-9</f>
        <v>7-9</v>
      </c>
      <c r="L43" s="198">
        <f t="shared" si="62"/>
        <v>0.2</v>
      </c>
      <c r="M43" s="49">
        <v>0</v>
      </c>
      <c r="N43" s="198">
        <f t="shared" si="63"/>
        <v>150</v>
      </c>
      <c r="O43" s="198">
        <f t="shared" si="63"/>
        <v>160</v>
      </c>
      <c r="P43" s="198">
        <f t="shared" si="63"/>
        <v>750</v>
      </c>
      <c r="R43" s="38">
        <f t="shared" si="69"/>
        <v>6</v>
      </c>
      <c r="S43" s="38">
        <f t="shared" si="69"/>
        <v>8</v>
      </c>
      <c r="T43" s="39">
        <f t="shared" ref="T43:U58" si="76">IF(wpd="Rayleigh",1-EXP(-PI()*((R43/2/v_ave)^2)),IF(wpd="Weibull",1-EXP(-((R43/weibull_A)^weibull_K))))</f>
        <v>0.39507743723572908</v>
      </c>
      <c r="U43" s="39">
        <f t="shared" si="76"/>
        <v>0.59082345962954208</v>
      </c>
      <c r="V43" s="39">
        <f t="shared" si="12"/>
        <v>0.195746022393813</v>
      </c>
      <c r="W43" s="39">
        <f t="shared" si="13"/>
        <v>0.22199739840022775</v>
      </c>
      <c r="X43" s="40">
        <f t="shared" si="59"/>
        <v>0.36999566400037959</v>
      </c>
      <c r="Y43" s="40" t="s">
        <v>3709</v>
      </c>
      <c r="Z43" s="182">
        <f t="shared" si="65"/>
        <v>7.399913280007592</v>
      </c>
      <c r="AA43" s="182">
        <f t="shared" si="6"/>
        <v>1.2333188800012653</v>
      </c>
    </row>
    <row r="44" spans="1:27" x14ac:dyDescent="0.25">
      <c r="A44" s="229">
        <f t="shared" ref="A44:B44" si="77">A43+1</f>
        <v>2890</v>
      </c>
      <c r="B44" s="230">
        <f t="shared" si="77"/>
        <v>34</v>
      </c>
      <c r="C44" s="229" t="str">
        <f t="shared" si="8"/>
        <v>24bX07-000_030_10</v>
      </c>
      <c r="D44" s="231">
        <f t="shared" si="67"/>
        <v>7</v>
      </c>
      <c r="E44" s="204">
        <f t="shared" si="56"/>
        <v>1.5190000000000001</v>
      </c>
      <c r="F44" s="198">
        <f t="shared" si="68"/>
        <v>21.700000000000003</v>
      </c>
      <c r="G44" s="198">
        <f t="shared" si="57"/>
        <v>17.360000000000003</v>
      </c>
      <c r="H44" s="198">
        <f t="shared" si="58"/>
        <v>10.850000000000001</v>
      </c>
      <c r="I44" s="198">
        <f t="shared" si="61"/>
        <v>8</v>
      </c>
      <c r="J44" s="199">
        <f t="shared" si="61"/>
        <v>0</v>
      </c>
      <c r="K44" s="194" t="str">
        <f>D44&amp;-10</f>
        <v>7-10</v>
      </c>
      <c r="L44" s="198">
        <f t="shared" si="62"/>
        <v>0.2</v>
      </c>
      <c r="M44" s="49">
        <v>30</v>
      </c>
      <c r="N44" s="198">
        <f t="shared" si="63"/>
        <v>150</v>
      </c>
      <c r="O44" s="198">
        <f t="shared" si="63"/>
        <v>160</v>
      </c>
      <c r="P44" s="198">
        <f t="shared" si="63"/>
        <v>750</v>
      </c>
      <c r="R44" s="38">
        <f t="shared" si="69"/>
        <v>6</v>
      </c>
      <c r="S44" s="38">
        <f t="shared" si="69"/>
        <v>8</v>
      </c>
      <c r="T44" s="39">
        <f t="shared" si="76"/>
        <v>0.39507743723572908</v>
      </c>
      <c r="U44" s="39">
        <f t="shared" si="76"/>
        <v>0.59082345962954208</v>
      </c>
      <c r="V44" s="39">
        <f t="shared" si="12"/>
        <v>0.195746022393813</v>
      </c>
      <c r="W44" s="39">
        <f t="shared" si="13"/>
        <v>0.22199739840022775</v>
      </c>
      <c r="X44" s="40">
        <f t="shared" si="59"/>
        <v>0.36999566400037959</v>
      </c>
      <c r="Y44" s="40" t="s">
        <v>3709</v>
      </c>
      <c r="Z44" s="182">
        <f t="shared" si="65"/>
        <v>7.399913280007592</v>
      </c>
      <c r="AA44" s="182">
        <f t="shared" si="6"/>
        <v>1.2333188800012653</v>
      </c>
    </row>
    <row r="45" spans="1:27" x14ac:dyDescent="0.25">
      <c r="A45" s="229">
        <f t="shared" ref="A45:B45" si="78">A44+1</f>
        <v>2891</v>
      </c>
      <c r="B45" s="230">
        <f t="shared" si="78"/>
        <v>35</v>
      </c>
      <c r="C45" s="229" t="str">
        <f t="shared" si="8"/>
        <v>24bX07-000_060_11</v>
      </c>
      <c r="D45" s="231">
        <f t="shared" si="67"/>
        <v>7</v>
      </c>
      <c r="E45" s="204">
        <f t="shared" si="56"/>
        <v>1.5190000000000001</v>
      </c>
      <c r="F45" s="198">
        <f t="shared" si="68"/>
        <v>21.700000000000003</v>
      </c>
      <c r="G45" s="198">
        <f t="shared" si="57"/>
        <v>17.360000000000003</v>
      </c>
      <c r="H45" s="198">
        <f t="shared" si="58"/>
        <v>10.850000000000001</v>
      </c>
      <c r="I45" s="198">
        <f t="shared" si="61"/>
        <v>8</v>
      </c>
      <c r="J45" s="199">
        <f t="shared" si="61"/>
        <v>0</v>
      </c>
      <c r="K45" s="194" t="str">
        <f>D45&amp;-11</f>
        <v>7-11</v>
      </c>
      <c r="L45" s="198">
        <f t="shared" si="62"/>
        <v>0.2</v>
      </c>
      <c r="M45" s="49">
        <v>60</v>
      </c>
      <c r="N45" s="198">
        <f t="shared" si="63"/>
        <v>150</v>
      </c>
      <c r="O45" s="198">
        <f t="shared" si="63"/>
        <v>160</v>
      </c>
      <c r="P45" s="198">
        <f t="shared" si="63"/>
        <v>750</v>
      </c>
      <c r="R45" s="38">
        <f t="shared" si="69"/>
        <v>6</v>
      </c>
      <c r="S45" s="38">
        <f t="shared" si="69"/>
        <v>8</v>
      </c>
      <c r="T45" s="39">
        <f t="shared" si="76"/>
        <v>0.39507743723572908</v>
      </c>
      <c r="U45" s="39">
        <f t="shared" si="76"/>
        <v>0.59082345962954208</v>
      </c>
      <c r="V45" s="39">
        <f t="shared" si="12"/>
        <v>0.195746022393813</v>
      </c>
      <c r="W45" s="39">
        <f t="shared" si="13"/>
        <v>0.22199739840022775</v>
      </c>
      <c r="X45" s="40">
        <f t="shared" si="59"/>
        <v>0.36999566400037959</v>
      </c>
      <c r="Y45" s="40" t="s">
        <v>3709</v>
      </c>
      <c r="Z45" s="182">
        <f t="shared" si="65"/>
        <v>7.399913280007592</v>
      </c>
      <c r="AA45" s="182">
        <f t="shared" si="6"/>
        <v>1.2333188800012653</v>
      </c>
    </row>
    <row r="46" spans="1:27" x14ac:dyDescent="0.25">
      <c r="A46" s="229">
        <f t="shared" ref="A46:B46" si="79">A45+1</f>
        <v>2892</v>
      </c>
      <c r="B46" s="230">
        <f t="shared" si="79"/>
        <v>36</v>
      </c>
      <c r="C46" s="229" t="str">
        <f t="shared" si="8"/>
        <v>24bX07-000_090_12</v>
      </c>
      <c r="D46" s="231">
        <f t="shared" si="67"/>
        <v>7</v>
      </c>
      <c r="E46" s="204">
        <f t="shared" si="56"/>
        <v>1.5190000000000001</v>
      </c>
      <c r="F46" s="198">
        <f t="shared" si="68"/>
        <v>21.700000000000003</v>
      </c>
      <c r="G46" s="198">
        <f t="shared" si="57"/>
        <v>17.360000000000003</v>
      </c>
      <c r="H46" s="198">
        <f t="shared" si="58"/>
        <v>10.850000000000001</v>
      </c>
      <c r="I46" s="198">
        <f t="shared" ref="I46:J46" si="80">I45</f>
        <v>8</v>
      </c>
      <c r="J46" s="199">
        <f t="shared" si="80"/>
        <v>0</v>
      </c>
      <c r="K46" s="194" t="str">
        <f>D46&amp;-12</f>
        <v>7-12</v>
      </c>
      <c r="L46" s="198">
        <f t="shared" si="62"/>
        <v>0.2</v>
      </c>
      <c r="M46" s="49">
        <v>90</v>
      </c>
      <c r="N46" s="198">
        <f t="shared" si="63"/>
        <v>150</v>
      </c>
      <c r="O46" s="198">
        <f t="shared" si="63"/>
        <v>160</v>
      </c>
      <c r="P46" s="198">
        <f t="shared" si="63"/>
        <v>750</v>
      </c>
      <c r="R46" s="38">
        <f t="shared" si="69"/>
        <v>6</v>
      </c>
      <c r="S46" s="38">
        <f t="shared" si="69"/>
        <v>8</v>
      </c>
      <c r="T46" s="39">
        <f t="shared" si="76"/>
        <v>0.39507743723572908</v>
      </c>
      <c r="U46" s="39">
        <f t="shared" si="76"/>
        <v>0.59082345962954208</v>
      </c>
      <c r="V46" s="39">
        <f t="shared" si="12"/>
        <v>0.195746022393813</v>
      </c>
      <c r="W46" s="39">
        <f t="shared" si="13"/>
        <v>0.22199739840022775</v>
      </c>
      <c r="X46" s="40">
        <f t="shared" si="59"/>
        <v>0.36999566400037959</v>
      </c>
      <c r="Y46" s="40" t="s">
        <v>3709</v>
      </c>
      <c r="Z46" s="182">
        <f t="shared" si="65"/>
        <v>7.399913280007592</v>
      </c>
      <c r="AA46" s="182">
        <f t="shared" si="6"/>
        <v>1.2333188800012653</v>
      </c>
    </row>
    <row r="47" spans="1:27" x14ac:dyDescent="0.25">
      <c r="A47" s="229">
        <f t="shared" ref="A47:B47" si="81">A46+1</f>
        <v>2893</v>
      </c>
      <c r="B47" s="230">
        <f t="shared" si="81"/>
        <v>37</v>
      </c>
      <c r="C47" s="229" t="str">
        <f t="shared" si="8"/>
        <v>24bX09-000_000_01</v>
      </c>
      <c r="D47" s="231">
        <f>D46+2</f>
        <v>9</v>
      </c>
      <c r="E47" s="204">
        <f t="shared" ref="E47:E94" si="82">I_ref*(0.75*D47+5.6)</f>
        <v>1.7290000000000001</v>
      </c>
      <c r="F47" s="198">
        <f>E47/D47*100</f>
        <v>19.211111111111112</v>
      </c>
      <c r="G47" s="198">
        <f t="shared" ref="G47:G94" si="83">m_ty*F47</f>
        <v>15.36888888888889</v>
      </c>
      <c r="H47" s="198">
        <f t="shared" ref="H47:H94" si="84">m_tz*F47</f>
        <v>9.6055555555555561</v>
      </c>
      <c r="I47" s="198">
        <f>inflow</f>
        <v>8</v>
      </c>
      <c r="J47" s="199">
        <f>yaw_null</f>
        <v>0</v>
      </c>
      <c r="K47" s="194" t="str">
        <f>D47&amp;-1</f>
        <v>9-1</v>
      </c>
      <c r="L47" s="198">
        <f>alpha_n</f>
        <v>0.2</v>
      </c>
      <c r="M47" s="49">
        <v>0</v>
      </c>
      <c r="N47" s="198">
        <f>t_out</f>
        <v>150</v>
      </c>
      <c r="O47" s="198">
        <f>trig_t</f>
        <v>160</v>
      </c>
      <c r="P47" s="198">
        <f>N47+T_s1</f>
        <v>750</v>
      </c>
      <c r="R47" s="38">
        <f>S46</f>
        <v>8</v>
      </c>
      <c r="S47" s="38">
        <f>R47+v_step</f>
        <v>10</v>
      </c>
      <c r="T47" s="39">
        <f t="shared" si="76"/>
        <v>0.59082345962954208</v>
      </c>
      <c r="U47" s="39">
        <f t="shared" si="76"/>
        <v>0.75247987857608445</v>
      </c>
      <c r="V47" s="39">
        <f t="shared" si="12"/>
        <v>0.16165641894654237</v>
      </c>
      <c r="W47" s="39">
        <f t="shared" si="13"/>
        <v>0.18333605966526137</v>
      </c>
      <c r="X47" s="40">
        <f t="shared" ref="X47:X58" si="85">T_G*W47/12</f>
        <v>0.30556009944210227</v>
      </c>
      <c r="Y47" s="40" t="s">
        <v>3709</v>
      </c>
      <c r="Z47" s="182">
        <f>X47*20</f>
        <v>6.1112019888420459</v>
      </c>
      <c r="AA47" s="182">
        <f t="shared" si="6"/>
        <v>1.0185336648070076</v>
      </c>
    </row>
    <row r="48" spans="1:27" x14ac:dyDescent="0.25">
      <c r="A48" s="229">
        <f t="shared" ref="A48:B48" si="86">A47+1</f>
        <v>2894</v>
      </c>
      <c r="B48" s="230">
        <f t="shared" si="86"/>
        <v>38</v>
      </c>
      <c r="C48" s="229" t="str">
        <f t="shared" si="8"/>
        <v>24bX09-000_030_02</v>
      </c>
      <c r="D48" s="231">
        <f>D47</f>
        <v>9</v>
      </c>
      <c r="E48" s="204">
        <f t="shared" si="82"/>
        <v>1.7290000000000001</v>
      </c>
      <c r="F48" s="198">
        <f>E48/D48*100</f>
        <v>19.211111111111112</v>
      </c>
      <c r="G48" s="198">
        <f t="shared" si="83"/>
        <v>15.36888888888889</v>
      </c>
      <c r="H48" s="198">
        <f t="shared" si="84"/>
        <v>9.6055555555555561</v>
      </c>
      <c r="I48" s="198">
        <f t="shared" ref="I48:J57" si="87">I47</f>
        <v>8</v>
      </c>
      <c r="J48" s="199">
        <f t="shared" si="87"/>
        <v>0</v>
      </c>
      <c r="K48" s="194" t="str">
        <f>D48&amp;-2</f>
        <v>9-2</v>
      </c>
      <c r="L48" s="198">
        <f t="shared" ref="L48:L58" si="88">L47</f>
        <v>0.2</v>
      </c>
      <c r="M48" s="49">
        <v>30</v>
      </c>
      <c r="N48" s="198">
        <f t="shared" ref="N48:P58" si="89">N47</f>
        <v>150</v>
      </c>
      <c r="O48" s="198">
        <f t="shared" si="89"/>
        <v>160</v>
      </c>
      <c r="P48" s="198">
        <f t="shared" si="89"/>
        <v>750</v>
      </c>
      <c r="R48" s="38">
        <f>R47</f>
        <v>8</v>
      </c>
      <c r="S48" s="38">
        <f t="shared" ref="S48" si="90">S47</f>
        <v>10</v>
      </c>
      <c r="T48" s="39">
        <f t="shared" si="76"/>
        <v>0.59082345962954208</v>
      </c>
      <c r="U48" s="39">
        <f t="shared" si="76"/>
        <v>0.75247987857608445</v>
      </c>
      <c r="V48" s="39">
        <f t="shared" si="12"/>
        <v>0.16165641894654237</v>
      </c>
      <c r="W48" s="39">
        <f t="shared" si="13"/>
        <v>0.18333605966526137</v>
      </c>
      <c r="X48" s="40">
        <f t="shared" si="85"/>
        <v>0.30556009944210227</v>
      </c>
      <c r="Y48" s="40" t="s">
        <v>3709</v>
      </c>
      <c r="Z48" s="182">
        <f t="shared" ref="Z48:Z58" si="91">X48*20</f>
        <v>6.1112019888420459</v>
      </c>
      <c r="AA48" s="182">
        <f t="shared" si="6"/>
        <v>1.0185336648070076</v>
      </c>
    </row>
    <row r="49" spans="1:27" x14ac:dyDescent="0.25">
      <c r="A49" s="229">
        <f t="shared" ref="A49:B49" si="92">A48+1</f>
        <v>2895</v>
      </c>
      <c r="B49" s="230">
        <f t="shared" si="92"/>
        <v>39</v>
      </c>
      <c r="C49" s="229" t="str">
        <f t="shared" si="8"/>
        <v>24bX09-000_060_03</v>
      </c>
      <c r="D49" s="231">
        <f t="shared" ref="D49:D58" si="93">D48</f>
        <v>9</v>
      </c>
      <c r="E49" s="204">
        <f t="shared" si="82"/>
        <v>1.7290000000000001</v>
      </c>
      <c r="F49" s="198">
        <f t="shared" ref="F49:F96" si="94">E49/D49*100</f>
        <v>19.211111111111112</v>
      </c>
      <c r="G49" s="198">
        <f t="shared" si="83"/>
        <v>15.36888888888889</v>
      </c>
      <c r="H49" s="198">
        <f t="shared" si="84"/>
        <v>9.6055555555555561</v>
      </c>
      <c r="I49" s="198">
        <f t="shared" si="87"/>
        <v>8</v>
      </c>
      <c r="J49" s="199">
        <f t="shared" si="87"/>
        <v>0</v>
      </c>
      <c r="K49" s="194" t="str">
        <f>D49&amp;-3</f>
        <v>9-3</v>
      </c>
      <c r="L49" s="198">
        <f t="shared" si="88"/>
        <v>0.2</v>
      </c>
      <c r="M49" s="49">
        <v>60</v>
      </c>
      <c r="N49" s="198">
        <f t="shared" si="89"/>
        <v>150</v>
      </c>
      <c r="O49" s="198">
        <f t="shared" si="89"/>
        <v>160</v>
      </c>
      <c r="P49" s="198">
        <f t="shared" si="89"/>
        <v>750</v>
      </c>
      <c r="R49" s="38">
        <f t="shared" ref="R49:S58" si="95">R48</f>
        <v>8</v>
      </c>
      <c r="S49" s="38">
        <f t="shared" si="95"/>
        <v>10</v>
      </c>
      <c r="T49" s="39">
        <f t="shared" si="76"/>
        <v>0.59082345962954208</v>
      </c>
      <c r="U49" s="39">
        <f t="shared" si="76"/>
        <v>0.75247987857608445</v>
      </c>
      <c r="V49" s="39">
        <f t="shared" si="12"/>
        <v>0.16165641894654237</v>
      </c>
      <c r="W49" s="39">
        <f t="shared" si="13"/>
        <v>0.18333605966526137</v>
      </c>
      <c r="X49" s="40">
        <f t="shared" si="85"/>
        <v>0.30556009944210227</v>
      </c>
      <c r="Y49" s="40" t="s">
        <v>3709</v>
      </c>
      <c r="Z49" s="182">
        <f t="shared" si="91"/>
        <v>6.1112019888420459</v>
      </c>
      <c r="AA49" s="182">
        <f t="shared" si="6"/>
        <v>1.0185336648070076</v>
      </c>
    </row>
    <row r="50" spans="1:27" x14ac:dyDescent="0.25">
      <c r="A50" s="229">
        <f t="shared" ref="A50:B50" si="96">A49+1</f>
        <v>2896</v>
      </c>
      <c r="B50" s="230">
        <f t="shared" si="96"/>
        <v>40</v>
      </c>
      <c r="C50" s="229" t="str">
        <f t="shared" si="8"/>
        <v>24bX09-000_090_04</v>
      </c>
      <c r="D50" s="231">
        <f t="shared" si="93"/>
        <v>9</v>
      </c>
      <c r="E50" s="204">
        <f t="shared" si="82"/>
        <v>1.7290000000000001</v>
      </c>
      <c r="F50" s="198">
        <f t="shared" si="94"/>
        <v>19.211111111111112</v>
      </c>
      <c r="G50" s="198">
        <f t="shared" si="83"/>
        <v>15.36888888888889</v>
      </c>
      <c r="H50" s="198">
        <f t="shared" si="84"/>
        <v>9.6055555555555561</v>
      </c>
      <c r="I50" s="198">
        <f t="shared" si="87"/>
        <v>8</v>
      </c>
      <c r="J50" s="199">
        <f t="shared" si="87"/>
        <v>0</v>
      </c>
      <c r="K50" s="194" t="str">
        <f>D50&amp;-4</f>
        <v>9-4</v>
      </c>
      <c r="L50" s="198">
        <f t="shared" si="88"/>
        <v>0.2</v>
      </c>
      <c r="M50" s="49">
        <v>90</v>
      </c>
      <c r="N50" s="198">
        <f t="shared" si="89"/>
        <v>150</v>
      </c>
      <c r="O50" s="198">
        <f t="shared" si="89"/>
        <v>160</v>
      </c>
      <c r="P50" s="198">
        <f t="shared" si="89"/>
        <v>750</v>
      </c>
      <c r="R50" s="38">
        <f t="shared" si="95"/>
        <v>8</v>
      </c>
      <c r="S50" s="38">
        <f t="shared" si="95"/>
        <v>10</v>
      </c>
      <c r="T50" s="39">
        <f t="shared" si="76"/>
        <v>0.59082345962954208</v>
      </c>
      <c r="U50" s="39">
        <f t="shared" si="76"/>
        <v>0.75247987857608445</v>
      </c>
      <c r="V50" s="39">
        <f t="shared" si="12"/>
        <v>0.16165641894654237</v>
      </c>
      <c r="W50" s="39">
        <f t="shared" si="13"/>
        <v>0.18333605966526137</v>
      </c>
      <c r="X50" s="40">
        <f t="shared" si="85"/>
        <v>0.30556009944210227</v>
      </c>
      <c r="Y50" s="40" t="s">
        <v>3709</v>
      </c>
      <c r="Z50" s="182">
        <f t="shared" si="91"/>
        <v>6.1112019888420459</v>
      </c>
      <c r="AA50" s="182">
        <f t="shared" si="6"/>
        <v>1.0185336648070076</v>
      </c>
    </row>
    <row r="51" spans="1:27" x14ac:dyDescent="0.25">
      <c r="A51" s="229">
        <f t="shared" ref="A51:B51" si="97">A50+1</f>
        <v>2897</v>
      </c>
      <c r="B51" s="230">
        <f t="shared" si="97"/>
        <v>41</v>
      </c>
      <c r="C51" s="229" t="str">
        <f t="shared" si="8"/>
        <v>24bX09-000_000_05</v>
      </c>
      <c r="D51" s="231">
        <f t="shared" si="93"/>
        <v>9</v>
      </c>
      <c r="E51" s="204">
        <f t="shared" si="82"/>
        <v>1.7290000000000001</v>
      </c>
      <c r="F51" s="198">
        <f t="shared" si="94"/>
        <v>19.211111111111112</v>
      </c>
      <c r="G51" s="198">
        <f t="shared" si="83"/>
        <v>15.36888888888889</v>
      </c>
      <c r="H51" s="198">
        <f t="shared" si="84"/>
        <v>9.6055555555555561</v>
      </c>
      <c r="I51" s="198">
        <f t="shared" si="87"/>
        <v>8</v>
      </c>
      <c r="J51" s="199">
        <f t="shared" si="87"/>
        <v>0</v>
      </c>
      <c r="K51" s="194" t="str">
        <f>D51&amp;-5</f>
        <v>9-5</v>
      </c>
      <c r="L51" s="198">
        <f t="shared" si="88"/>
        <v>0.2</v>
      </c>
      <c r="M51" s="49">
        <v>0</v>
      </c>
      <c r="N51" s="198">
        <f t="shared" si="89"/>
        <v>150</v>
      </c>
      <c r="O51" s="198">
        <f t="shared" si="89"/>
        <v>160</v>
      </c>
      <c r="P51" s="198">
        <f t="shared" si="89"/>
        <v>750</v>
      </c>
      <c r="R51" s="38">
        <f t="shared" si="95"/>
        <v>8</v>
      </c>
      <c r="S51" s="38">
        <f t="shared" si="95"/>
        <v>10</v>
      </c>
      <c r="T51" s="39">
        <f t="shared" si="76"/>
        <v>0.59082345962954208</v>
      </c>
      <c r="U51" s="39">
        <f t="shared" si="76"/>
        <v>0.75247987857608445</v>
      </c>
      <c r="V51" s="39">
        <f t="shared" si="12"/>
        <v>0.16165641894654237</v>
      </c>
      <c r="W51" s="39">
        <f t="shared" si="13"/>
        <v>0.18333605966526137</v>
      </c>
      <c r="X51" s="40">
        <f t="shared" si="85"/>
        <v>0.30556009944210227</v>
      </c>
      <c r="Y51" s="40" t="s">
        <v>3709</v>
      </c>
      <c r="Z51" s="182">
        <f t="shared" si="91"/>
        <v>6.1112019888420459</v>
      </c>
      <c r="AA51" s="182">
        <f t="shared" si="6"/>
        <v>1.0185336648070076</v>
      </c>
    </row>
    <row r="52" spans="1:27" x14ac:dyDescent="0.25">
      <c r="A52" s="229">
        <f t="shared" ref="A52:B52" si="98">A51+1</f>
        <v>2898</v>
      </c>
      <c r="B52" s="230">
        <f t="shared" si="98"/>
        <v>42</v>
      </c>
      <c r="C52" s="229" t="str">
        <f t="shared" si="8"/>
        <v>24bX09-000_030_06</v>
      </c>
      <c r="D52" s="231">
        <f t="shared" si="93"/>
        <v>9</v>
      </c>
      <c r="E52" s="204">
        <f t="shared" si="82"/>
        <v>1.7290000000000001</v>
      </c>
      <c r="F52" s="198">
        <f t="shared" si="94"/>
        <v>19.211111111111112</v>
      </c>
      <c r="G52" s="198">
        <f t="shared" si="83"/>
        <v>15.36888888888889</v>
      </c>
      <c r="H52" s="198">
        <f t="shared" si="84"/>
        <v>9.6055555555555561</v>
      </c>
      <c r="I52" s="198">
        <f t="shared" si="87"/>
        <v>8</v>
      </c>
      <c r="J52" s="199">
        <f t="shared" si="87"/>
        <v>0</v>
      </c>
      <c r="K52" s="194" t="str">
        <f>D52&amp;-6</f>
        <v>9-6</v>
      </c>
      <c r="L52" s="198">
        <f t="shared" si="88"/>
        <v>0.2</v>
      </c>
      <c r="M52" s="49">
        <v>30</v>
      </c>
      <c r="N52" s="198">
        <f t="shared" si="89"/>
        <v>150</v>
      </c>
      <c r="O52" s="198">
        <f t="shared" si="89"/>
        <v>160</v>
      </c>
      <c r="P52" s="198">
        <f t="shared" si="89"/>
        <v>750</v>
      </c>
      <c r="R52" s="38">
        <f t="shared" si="95"/>
        <v>8</v>
      </c>
      <c r="S52" s="38">
        <f t="shared" si="95"/>
        <v>10</v>
      </c>
      <c r="T52" s="39">
        <f t="shared" si="76"/>
        <v>0.59082345962954208</v>
      </c>
      <c r="U52" s="39">
        <f t="shared" si="76"/>
        <v>0.75247987857608445</v>
      </c>
      <c r="V52" s="39">
        <f t="shared" si="12"/>
        <v>0.16165641894654237</v>
      </c>
      <c r="W52" s="39">
        <f t="shared" si="13"/>
        <v>0.18333605966526137</v>
      </c>
      <c r="X52" s="40">
        <f t="shared" si="85"/>
        <v>0.30556009944210227</v>
      </c>
      <c r="Y52" s="40" t="s">
        <v>3709</v>
      </c>
      <c r="Z52" s="182">
        <f t="shared" si="91"/>
        <v>6.1112019888420459</v>
      </c>
      <c r="AA52" s="182">
        <f t="shared" si="6"/>
        <v>1.0185336648070076</v>
      </c>
    </row>
    <row r="53" spans="1:27" x14ac:dyDescent="0.25">
      <c r="A53" s="229">
        <f t="shared" ref="A53:B53" si="99">A52+1</f>
        <v>2899</v>
      </c>
      <c r="B53" s="230">
        <f t="shared" si="99"/>
        <v>43</v>
      </c>
      <c r="C53" s="229" t="str">
        <f t="shared" si="8"/>
        <v>24bX09-000_060_07</v>
      </c>
      <c r="D53" s="231">
        <f>D52</f>
        <v>9</v>
      </c>
      <c r="E53" s="204">
        <f t="shared" si="82"/>
        <v>1.7290000000000001</v>
      </c>
      <c r="F53" s="198">
        <f t="shared" si="94"/>
        <v>19.211111111111112</v>
      </c>
      <c r="G53" s="198">
        <f t="shared" si="83"/>
        <v>15.36888888888889</v>
      </c>
      <c r="H53" s="198">
        <f t="shared" si="84"/>
        <v>9.6055555555555561</v>
      </c>
      <c r="I53" s="198">
        <f t="shared" si="87"/>
        <v>8</v>
      </c>
      <c r="J53" s="199">
        <f t="shared" si="87"/>
        <v>0</v>
      </c>
      <c r="K53" s="194" t="str">
        <f>D53&amp;-7</f>
        <v>9-7</v>
      </c>
      <c r="L53" s="198">
        <f t="shared" si="88"/>
        <v>0.2</v>
      </c>
      <c r="M53" s="49">
        <v>60</v>
      </c>
      <c r="N53" s="198">
        <f t="shared" si="89"/>
        <v>150</v>
      </c>
      <c r="O53" s="198">
        <f t="shared" si="89"/>
        <v>160</v>
      </c>
      <c r="P53" s="198">
        <f t="shared" si="89"/>
        <v>750</v>
      </c>
      <c r="R53" s="38">
        <f t="shared" si="95"/>
        <v>8</v>
      </c>
      <c r="S53" s="38">
        <f t="shared" si="95"/>
        <v>10</v>
      </c>
      <c r="T53" s="39">
        <f t="shared" si="76"/>
        <v>0.59082345962954208</v>
      </c>
      <c r="U53" s="39">
        <f t="shared" si="76"/>
        <v>0.75247987857608445</v>
      </c>
      <c r="V53" s="39">
        <f t="shared" si="12"/>
        <v>0.16165641894654237</v>
      </c>
      <c r="W53" s="39">
        <f t="shared" si="13"/>
        <v>0.18333605966526137</v>
      </c>
      <c r="X53" s="40">
        <f t="shared" si="85"/>
        <v>0.30556009944210227</v>
      </c>
      <c r="Y53" s="40" t="s">
        <v>3709</v>
      </c>
      <c r="Z53" s="182">
        <f t="shared" si="91"/>
        <v>6.1112019888420459</v>
      </c>
      <c r="AA53" s="182">
        <f t="shared" si="6"/>
        <v>1.0185336648070076</v>
      </c>
    </row>
    <row r="54" spans="1:27" x14ac:dyDescent="0.25">
      <c r="A54" s="229">
        <f t="shared" ref="A54:B54" si="100">A53+1</f>
        <v>2900</v>
      </c>
      <c r="B54" s="230">
        <f t="shared" si="100"/>
        <v>44</v>
      </c>
      <c r="C54" s="229" t="str">
        <f t="shared" si="8"/>
        <v>24bX09-000_090_08</v>
      </c>
      <c r="D54" s="231">
        <f t="shared" si="93"/>
        <v>9</v>
      </c>
      <c r="E54" s="204">
        <f t="shared" si="82"/>
        <v>1.7290000000000001</v>
      </c>
      <c r="F54" s="198">
        <f t="shared" si="94"/>
        <v>19.211111111111112</v>
      </c>
      <c r="G54" s="198">
        <f t="shared" si="83"/>
        <v>15.36888888888889</v>
      </c>
      <c r="H54" s="198">
        <f t="shared" si="84"/>
        <v>9.6055555555555561</v>
      </c>
      <c r="I54" s="198">
        <f t="shared" si="87"/>
        <v>8</v>
      </c>
      <c r="J54" s="199">
        <f t="shared" si="87"/>
        <v>0</v>
      </c>
      <c r="K54" s="194" t="str">
        <f>D54&amp;-8</f>
        <v>9-8</v>
      </c>
      <c r="L54" s="198">
        <f t="shared" si="88"/>
        <v>0.2</v>
      </c>
      <c r="M54" s="49">
        <v>90</v>
      </c>
      <c r="N54" s="198">
        <f t="shared" si="89"/>
        <v>150</v>
      </c>
      <c r="O54" s="198">
        <f t="shared" si="89"/>
        <v>160</v>
      </c>
      <c r="P54" s="198">
        <f t="shared" si="89"/>
        <v>750</v>
      </c>
      <c r="R54" s="38">
        <f t="shared" si="95"/>
        <v>8</v>
      </c>
      <c r="S54" s="38">
        <f t="shared" si="95"/>
        <v>10</v>
      </c>
      <c r="T54" s="39">
        <f t="shared" si="76"/>
        <v>0.59082345962954208</v>
      </c>
      <c r="U54" s="39">
        <f t="shared" si="76"/>
        <v>0.75247987857608445</v>
      </c>
      <c r="V54" s="39">
        <f t="shared" si="12"/>
        <v>0.16165641894654237</v>
      </c>
      <c r="W54" s="39">
        <f t="shared" si="13"/>
        <v>0.18333605966526137</v>
      </c>
      <c r="X54" s="40">
        <f t="shared" si="85"/>
        <v>0.30556009944210227</v>
      </c>
      <c r="Y54" s="40" t="s">
        <v>3709</v>
      </c>
      <c r="Z54" s="182">
        <f t="shared" si="91"/>
        <v>6.1112019888420459</v>
      </c>
      <c r="AA54" s="182">
        <f t="shared" si="6"/>
        <v>1.0185336648070076</v>
      </c>
    </row>
    <row r="55" spans="1:27" x14ac:dyDescent="0.25">
      <c r="A55" s="229">
        <f t="shared" ref="A55:B55" si="101">A54+1</f>
        <v>2901</v>
      </c>
      <c r="B55" s="230">
        <f t="shared" si="101"/>
        <v>45</v>
      </c>
      <c r="C55" s="229" t="str">
        <f t="shared" si="8"/>
        <v>24bX09-000_000_09</v>
      </c>
      <c r="D55" s="231">
        <f t="shared" si="93"/>
        <v>9</v>
      </c>
      <c r="E55" s="204">
        <f t="shared" si="82"/>
        <v>1.7290000000000001</v>
      </c>
      <c r="F55" s="198">
        <f t="shared" si="94"/>
        <v>19.211111111111112</v>
      </c>
      <c r="G55" s="198">
        <f t="shared" si="83"/>
        <v>15.36888888888889</v>
      </c>
      <c r="H55" s="198">
        <f t="shared" si="84"/>
        <v>9.6055555555555561</v>
      </c>
      <c r="I55" s="198">
        <f t="shared" si="87"/>
        <v>8</v>
      </c>
      <c r="J55" s="199">
        <f t="shared" si="87"/>
        <v>0</v>
      </c>
      <c r="K55" s="194" t="str">
        <f>D55&amp;-9</f>
        <v>9-9</v>
      </c>
      <c r="L55" s="198">
        <f t="shared" si="88"/>
        <v>0.2</v>
      </c>
      <c r="M55" s="49">
        <v>0</v>
      </c>
      <c r="N55" s="198">
        <f t="shared" si="89"/>
        <v>150</v>
      </c>
      <c r="O55" s="198">
        <f t="shared" si="89"/>
        <v>160</v>
      </c>
      <c r="P55" s="198">
        <f t="shared" si="89"/>
        <v>750</v>
      </c>
      <c r="R55" s="38">
        <f t="shared" si="95"/>
        <v>8</v>
      </c>
      <c r="S55" s="38">
        <f t="shared" si="95"/>
        <v>10</v>
      </c>
      <c r="T55" s="39">
        <f t="shared" si="76"/>
        <v>0.59082345962954208</v>
      </c>
      <c r="U55" s="39">
        <f t="shared" si="76"/>
        <v>0.75247987857608445</v>
      </c>
      <c r="V55" s="39">
        <f t="shared" si="12"/>
        <v>0.16165641894654237</v>
      </c>
      <c r="W55" s="39">
        <f t="shared" si="13"/>
        <v>0.18333605966526137</v>
      </c>
      <c r="X55" s="40">
        <f t="shared" si="85"/>
        <v>0.30556009944210227</v>
      </c>
      <c r="Y55" s="40" t="s">
        <v>3709</v>
      </c>
      <c r="Z55" s="182">
        <f t="shared" si="91"/>
        <v>6.1112019888420459</v>
      </c>
      <c r="AA55" s="182">
        <f t="shared" si="6"/>
        <v>1.0185336648070076</v>
      </c>
    </row>
    <row r="56" spans="1:27" x14ac:dyDescent="0.25">
      <c r="A56" s="229">
        <f t="shared" ref="A56:B56" si="102">A55+1</f>
        <v>2902</v>
      </c>
      <c r="B56" s="230">
        <f t="shared" si="102"/>
        <v>46</v>
      </c>
      <c r="C56" s="229" t="str">
        <f t="shared" si="8"/>
        <v>24bX09-000_030_10</v>
      </c>
      <c r="D56" s="231">
        <f t="shared" si="93"/>
        <v>9</v>
      </c>
      <c r="E56" s="204">
        <f t="shared" si="82"/>
        <v>1.7290000000000001</v>
      </c>
      <c r="F56" s="198">
        <f t="shared" si="94"/>
        <v>19.211111111111112</v>
      </c>
      <c r="G56" s="198">
        <f t="shared" si="83"/>
        <v>15.36888888888889</v>
      </c>
      <c r="H56" s="198">
        <f t="shared" si="84"/>
        <v>9.6055555555555561</v>
      </c>
      <c r="I56" s="198">
        <f t="shared" si="87"/>
        <v>8</v>
      </c>
      <c r="J56" s="199">
        <f t="shared" si="87"/>
        <v>0</v>
      </c>
      <c r="K56" s="194" t="str">
        <f>D56&amp;-10</f>
        <v>9-10</v>
      </c>
      <c r="L56" s="198">
        <f t="shared" si="88"/>
        <v>0.2</v>
      </c>
      <c r="M56" s="49">
        <v>30</v>
      </c>
      <c r="N56" s="198">
        <f t="shared" si="89"/>
        <v>150</v>
      </c>
      <c r="O56" s="198">
        <f t="shared" si="89"/>
        <v>160</v>
      </c>
      <c r="P56" s="198">
        <f t="shared" si="89"/>
        <v>750</v>
      </c>
      <c r="R56" s="38">
        <f t="shared" si="95"/>
        <v>8</v>
      </c>
      <c r="S56" s="38">
        <f t="shared" si="95"/>
        <v>10</v>
      </c>
      <c r="T56" s="39">
        <f t="shared" si="76"/>
        <v>0.59082345962954208</v>
      </c>
      <c r="U56" s="39">
        <f t="shared" si="76"/>
        <v>0.75247987857608445</v>
      </c>
      <c r="V56" s="39">
        <f t="shared" si="12"/>
        <v>0.16165641894654237</v>
      </c>
      <c r="W56" s="39">
        <f t="shared" si="13"/>
        <v>0.18333605966526137</v>
      </c>
      <c r="X56" s="40">
        <f t="shared" si="85"/>
        <v>0.30556009944210227</v>
      </c>
      <c r="Y56" s="40" t="s">
        <v>3709</v>
      </c>
      <c r="Z56" s="182">
        <f t="shared" si="91"/>
        <v>6.1112019888420459</v>
      </c>
      <c r="AA56" s="182">
        <f t="shared" si="6"/>
        <v>1.0185336648070076</v>
      </c>
    </row>
    <row r="57" spans="1:27" x14ac:dyDescent="0.25">
      <c r="A57" s="229">
        <f t="shared" ref="A57:B57" si="103">A56+1</f>
        <v>2903</v>
      </c>
      <c r="B57" s="230">
        <f t="shared" si="103"/>
        <v>47</v>
      </c>
      <c r="C57" s="229" t="str">
        <f t="shared" si="8"/>
        <v>24bX09-000_060_11</v>
      </c>
      <c r="D57" s="231">
        <f t="shared" si="93"/>
        <v>9</v>
      </c>
      <c r="E57" s="204">
        <f t="shared" si="82"/>
        <v>1.7290000000000001</v>
      </c>
      <c r="F57" s="198">
        <f t="shared" si="94"/>
        <v>19.211111111111112</v>
      </c>
      <c r="G57" s="198">
        <f t="shared" si="83"/>
        <v>15.36888888888889</v>
      </c>
      <c r="H57" s="198">
        <f t="shared" si="84"/>
        <v>9.6055555555555561</v>
      </c>
      <c r="I57" s="198">
        <f t="shared" si="87"/>
        <v>8</v>
      </c>
      <c r="J57" s="199">
        <f t="shared" si="87"/>
        <v>0</v>
      </c>
      <c r="K57" s="194" t="str">
        <f>D57&amp;-11</f>
        <v>9-11</v>
      </c>
      <c r="L57" s="198">
        <f t="shared" si="88"/>
        <v>0.2</v>
      </c>
      <c r="M57" s="49">
        <v>60</v>
      </c>
      <c r="N57" s="198">
        <f t="shared" si="89"/>
        <v>150</v>
      </c>
      <c r="O57" s="198">
        <f t="shared" si="89"/>
        <v>160</v>
      </c>
      <c r="P57" s="198">
        <f t="shared" si="89"/>
        <v>750</v>
      </c>
      <c r="R57" s="38">
        <f t="shared" si="95"/>
        <v>8</v>
      </c>
      <c r="S57" s="38">
        <f t="shared" si="95"/>
        <v>10</v>
      </c>
      <c r="T57" s="39">
        <f t="shared" si="76"/>
        <v>0.59082345962954208</v>
      </c>
      <c r="U57" s="39">
        <f t="shared" si="76"/>
        <v>0.75247987857608445</v>
      </c>
      <c r="V57" s="39">
        <f t="shared" si="12"/>
        <v>0.16165641894654237</v>
      </c>
      <c r="W57" s="39">
        <f t="shared" si="13"/>
        <v>0.18333605966526137</v>
      </c>
      <c r="X57" s="40">
        <f t="shared" si="85"/>
        <v>0.30556009944210227</v>
      </c>
      <c r="Y57" s="40" t="s">
        <v>3709</v>
      </c>
      <c r="Z57" s="182">
        <f t="shared" si="91"/>
        <v>6.1112019888420459</v>
      </c>
      <c r="AA57" s="182">
        <f t="shared" si="6"/>
        <v>1.0185336648070076</v>
      </c>
    </row>
    <row r="58" spans="1:27" ht="15.75" thickBot="1" x14ac:dyDescent="0.3">
      <c r="A58" s="229">
        <f t="shared" ref="A58:B58" si="104">A57+1</f>
        <v>2904</v>
      </c>
      <c r="B58" s="230">
        <f t="shared" si="104"/>
        <v>48</v>
      </c>
      <c r="C58" s="229" t="str">
        <f t="shared" si="8"/>
        <v>24bX09-000_090_12</v>
      </c>
      <c r="D58" s="231">
        <f t="shared" si="93"/>
        <v>9</v>
      </c>
      <c r="E58" s="204">
        <f t="shared" si="82"/>
        <v>1.7290000000000001</v>
      </c>
      <c r="F58" s="198">
        <f t="shared" si="94"/>
        <v>19.211111111111112</v>
      </c>
      <c r="G58" s="198">
        <f t="shared" si="83"/>
        <v>15.36888888888889</v>
      </c>
      <c r="H58" s="198">
        <f t="shared" si="84"/>
        <v>9.6055555555555561</v>
      </c>
      <c r="I58" s="198">
        <f t="shared" ref="I58:J58" si="105">I57</f>
        <v>8</v>
      </c>
      <c r="J58" s="199">
        <f t="shared" si="105"/>
        <v>0</v>
      </c>
      <c r="K58" s="194" t="str">
        <f>D58&amp;-12</f>
        <v>9-12</v>
      </c>
      <c r="L58" s="198">
        <f t="shared" si="88"/>
        <v>0.2</v>
      </c>
      <c r="M58" s="49">
        <v>90</v>
      </c>
      <c r="N58" s="198">
        <f t="shared" si="89"/>
        <v>150</v>
      </c>
      <c r="O58" s="198">
        <f t="shared" si="89"/>
        <v>160</v>
      </c>
      <c r="P58" s="198">
        <f t="shared" si="89"/>
        <v>750</v>
      </c>
      <c r="R58" s="38">
        <f t="shared" si="95"/>
        <v>8</v>
      </c>
      <c r="S58" s="38">
        <f t="shared" si="95"/>
        <v>10</v>
      </c>
      <c r="T58" s="39">
        <f t="shared" si="76"/>
        <v>0.59082345962954208</v>
      </c>
      <c r="U58" s="39">
        <f t="shared" si="76"/>
        <v>0.75247987857608445</v>
      </c>
      <c r="V58" s="39">
        <f t="shared" si="12"/>
        <v>0.16165641894654237</v>
      </c>
      <c r="W58" s="39">
        <f t="shared" si="13"/>
        <v>0.18333605966526137</v>
      </c>
      <c r="X58" s="40">
        <f t="shared" si="85"/>
        <v>0.30556009944210227</v>
      </c>
      <c r="Y58" s="40" t="s">
        <v>3709</v>
      </c>
      <c r="Z58" s="182">
        <f t="shared" si="91"/>
        <v>6.1112019888420459</v>
      </c>
      <c r="AA58" s="182">
        <f t="shared" si="6"/>
        <v>1.0185336648070076</v>
      </c>
    </row>
    <row r="59" spans="1:27" x14ac:dyDescent="0.25">
      <c r="A59" s="229">
        <f t="shared" ref="A59:B59" si="106">A58+1</f>
        <v>2905</v>
      </c>
      <c r="B59" s="230">
        <f t="shared" si="106"/>
        <v>49</v>
      </c>
      <c r="C59" s="229" t="str">
        <f t="shared" si="8"/>
        <v>24bX11-000_000_01</v>
      </c>
      <c r="D59" s="231">
        <f t="shared" ref="D59" si="107">D58+2</f>
        <v>11</v>
      </c>
      <c r="E59" s="239">
        <f t="shared" si="82"/>
        <v>1.9390000000000001</v>
      </c>
      <c r="F59" s="232">
        <f t="shared" si="94"/>
        <v>17.627272727272729</v>
      </c>
      <c r="G59" s="232">
        <f t="shared" si="83"/>
        <v>14.101818181818183</v>
      </c>
      <c r="H59" s="232">
        <f t="shared" si="84"/>
        <v>8.8136363636363644</v>
      </c>
      <c r="I59" s="227">
        <f>inflow</f>
        <v>8</v>
      </c>
      <c r="J59" s="193">
        <f>yaw_null</f>
        <v>0</v>
      </c>
      <c r="K59" s="228" t="str">
        <f t="shared" ref="K59" si="108">D59&amp;-1</f>
        <v>11-1</v>
      </c>
      <c r="L59" s="232">
        <f>alpha_n</f>
        <v>0.2</v>
      </c>
      <c r="M59" s="235">
        <v>0</v>
      </c>
      <c r="N59" s="232">
        <f>t_out</f>
        <v>150</v>
      </c>
      <c r="O59" s="232">
        <f>trig_t</f>
        <v>160</v>
      </c>
      <c r="P59" s="232">
        <f>N59+T_s1</f>
        <v>750</v>
      </c>
      <c r="R59" s="38">
        <f t="shared" ref="R59" si="109">S58</f>
        <v>10</v>
      </c>
      <c r="S59" s="38">
        <f>R59+v_step</f>
        <v>12</v>
      </c>
      <c r="T59" s="39">
        <f t="shared" ref="T59:U122" si="110">IF(wpd="Rayleigh",1-EXP(-PI()*((R59/2/v_ave)^2)),IF(wpd="Weibull",1-EXP(-((R59/weibull_A)^weibull_K))))</f>
        <v>0.75247987857608445</v>
      </c>
      <c r="U59" s="39">
        <f t="shared" si="110"/>
        <v>0.86609427860023702</v>
      </c>
      <c r="V59" s="39">
        <f t="shared" si="12"/>
        <v>0.11361440002415257</v>
      </c>
      <c r="W59" s="39">
        <f t="shared" si="13"/>
        <v>0.12885115578707076</v>
      </c>
      <c r="X59" s="40">
        <f t="shared" ref="X59:X122" si="111">T_G*W59/12</f>
        <v>0.21475192631178461</v>
      </c>
      <c r="Y59" s="40" t="s">
        <v>21</v>
      </c>
      <c r="Z59" s="217">
        <f t="shared" ref="Z59:Z122" si="112">X59*20</f>
        <v>4.2950385262356923</v>
      </c>
      <c r="AA59" s="217">
        <f t="shared" ref="AA59:AA122" si="113">Z59*(P59-N59)/3600</f>
        <v>0.71583975437261538</v>
      </c>
    </row>
    <row r="60" spans="1:27" x14ac:dyDescent="0.25">
      <c r="A60" s="229">
        <f t="shared" ref="A60:B60" si="114">A59+1</f>
        <v>2906</v>
      </c>
      <c r="B60" s="230">
        <f t="shared" si="114"/>
        <v>50</v>
      </c>
      <c r="C60" s="229" t="str">
        <f t="shared" si="8"/>
        <v>24bX11-000_030_02</v>
      </c>
      <c r="D60" s="231">
        <f t="shared" ref="D60:D123" si="115">D59</f>
        <v>11</v>
      </c>
      <c r="E60" s="239">
        <f t="shared" si="82"/>
        <v>1.9390000000000001</v>
      </c>
      <c r="F60" s="232">
        <f t="shared" si="94"/>
        <v>17.627272727272729</v>
      </c>
      <c r="G60" s="232">
        <f t="shared" si="83"/>
        <v>14.101818181818183</v>
      </c>
      <c r="H60" s="232">
        <f t="shared" si="84"/>
        <v>8.8136363636363644</v>
      </c>
      <c r="I60" s="232">
        <f t="shared" ref="I60:J60" si="116">I59</f>
        <v>8</v>
      </c>
      <c r="J60" s="233">
        <f t="shared" si="116"/>
        <v>0</v>
      </c>
      <c r="K60" s="228" t="str">
        <f t="shared" ref="K60" si="117">D60&amp;-2</f>
        <v>11-2</v>
      </c>
      <c r="L60" s="232">
        <f t="shared" ref="L60:L118" si="118">L59</f>
        <v>0.2</v>
      </c>
      <c r="M60" s="235">
        <v>30</v>
      </c>
      <c r="N60" s="232">
        <f t="shared" ref="N60:P60" si="119">N59</f>
        <v>150</v>
      </c>
      <c r="O60" s="232">
        <f t="shared" si="119"/>
        <v>160</v>
      </c>
      <c r="P60" s="232">
        <f t="shared" si="119"/>
        <v>750</v>
      </c>
      <c r="R60" s="38">
        <f t="shared" ref="R60:S123" si="120">R59</f>
        <v>10</v>
      </c>
      <c r="S60" s="38">
        <f t="shared" si="120"/>
        <v>12</v>
      </c>
      <c r="T60" s="39">
        <f t="shared" si="110"/>
        <v>0.75247987857608445</v>
      </c>
      <c r="U60" s="39">
        <f t="shared" si="110"/>
        <v>0.86609427860023702</v>
      </c>
      <c r="V60" s="39">
        <f t="shared" si="12"/>
        <v>0.11361440002415257</v>
      </c>
      <c r="W60" s="39">
        <f t="shared" si="13"/>
        <v>0.12885115578707076</v>
      </c>
      <c r="X60" s="40">
        <f t="shared" si="111"/>
        <v>0.21475192631178461</v>
      </c>
      <c r="Y60" s="40" t="s">
        <v>21</v>
      </c>
      <c r="Z60" s="217">
        <f t="shared" si="112"/>
        <v>4.2950385262356923</v>
      </c>
      <c r="AA60" s="217">
        <f t="shared" si="113"/>
        <v>0.71583975437261538</v>
      </c>
    </row>
    <row r="61" spans="1:27" x14ac:dyDescent="0.25">
      <c r="A61" s="229">
        <f t="shared" ref="A61:B61" si="121">A60+1</f>
        <v>2907</v>
      </c>
      <c r="B61" s="230">
        <f t="shared" si="121"/>
        <v>51</v>
      </c>
      <c r="C61" s="229" t="str">
        <f t="shared" si="8"/>
        <v>24bX11-000_060_03</v>
      </c>
      <c r="D61" s="231">
        <f t="shared" si="115"/>
        <v>11</v>
      </c>
      <c r="E61" s="239">
        <f t="shared" si="82"/>
        <v>1.9390000000000001</v>
      </c>
      <c r="F61" s="232">
        <f t="shared" si="94"/>
        <v>17.627272727272729</v>
      </c>
      <c r="G61" s="232">
        <f t="shared" si="83"/>
        <v>14.101818181818183</v>
      </c>
      <c r="H61" s="232">
        <f t="shared" si="84"/>
        <v>8.8136363636363644</v>
      </c>
      <c r="I61" s="232">
        <f t="shared" ref="I61:J61" si="122">I60</f>
        <v>8</v>
      </c>
      <c r="J61" s="233">
        <f t="shared" si="122"/>
        <v>0</v>
      </c>
      <c r="K61" s="228" t="str">
        <f t="shared" ref="K61" si="123">D61&amp;-3</f>
        <v>11-3</v>
      </c>
      <c r="L61" s="232">
        <f t="shared" si="118"/>
        <v>0.2</v>
      </c>
      <c r="M61" s="235">
        <v>60</v>
      </c>
      <c r="N61" s="232">
        <f t="shared" ref="N61:P61" si="124">N60</f>
        <v>150</v>
      </c>
      <c r="O61" s="232">
        <f t="shared" si="124"/>
        <v>160</v>
      </c>
      <c r="P61" s="232">
        <f t="shared" si="124"/>
        <v>750</v>
      </c>
      <c r="R61" s="38">
        <f t="shared" si="120"/>
        <v>10</v>
      </c>
      <c r="S61" s="38">
        <f t="shared" si="120"/>
        <v>12</v>
      </c>
      <c r="T61" s="39">
        <f t="shared" si="110"/>
        <v>0.75247987857608445</v>
      </c>
      <c r="U61" s="39">
        <f t="shared" si="110"/>
        <v>0.86609427860023702</v>
      </c>
      <c r="V61" s="39">
        <f t="shared" si="12"/>
        <v>0.11361440002415257</v>
      </c>
      <c r="W61" s="39">
        <f t="shared" si="13"/>
        <v>0.12885115578707076</v>
      </c>
      <c r="X61" s="40">
        <f t="shared" si="111"/>
        <v>0.21475192631178461</v>
      </c>
      <c r="Y61" s="40" t="s">
        <v>21</v>
      </c>
      <c r="Z61" s="217">
        <f t="shared" si="112"/>
        <v>4.2950385262356923</v>
      </c>
      <c r="AA61" s="217">
        <f t="shared" si="113"/>
        <v>0.71583975437261538</v>
      </c>
    </row>
    <row r="62" spans="1:27" x14ac:dyDescent="0.25">
      <c r="A62" s="229">
        <f t="shared" ref="A62:B62" si="125">A61+1</f>
        <v>2908</v>
      </c>
      <c r="B62" s="230">
        <f t="shared" si="125"/>
        <v>52</v>
      </c>
      <c r="C62" s="229" t="str">
        <f t="shared" si="8"/>
        <v>24bX11-000_090_04</v>
      </c>
      <c r="D62" s="231">
        <f t="shared" si="115"/>
        <v>11</v>
      </c>
      <c r="E62" s="239">
        <f t="shared" si="82"/>
        <v>1.9390000000000001</v>
      </c>
      <c r="F62" s="232">
        <f t="shared" si="94"/>
        <v>17.627272727272729</v>
      </c>
      <c r="G62" s="232">
        <f t="shared" si="83"/>
        <v>14.101818181818183</v>
      </c>
      <c r="H62" s="232">
        <f t="shared" si="84"/>
        <v>8.8136363636363644</v>
      </c>
      <c r="I62" s="232">
        <f t="shared" ref="I62:J62" si="126">I61</f>
        <v>8</v>
      </c>
      <c r="J62" s="233">
        <f t="shared" si="126"/>
        <v>0</v>
      </c>
      <c r="K62" s="228" t="str">
        <f t="shared" ref="K62" si="127">D62&amp;-4</f>
        <v>11-4</v>
      </c>
      <c r="L62" s="232">
        <f t="shared" si="118"/>
        <v>0.2</v>
      </c>
      <c r="M62" s="235">
        <v>90</v>
      </c>
      <c r="N62" s="232">
        <f t="shared" ref="N62:P62" si="128">N61</f>
        <v>150</v>
      </c>
      <c r="O62" s="232">
        <f t="shared" si="128"/>
        <v>160</v>
      </c>
      <c r="P62" s="232">
        <f t="shared" si="128"/>
        <v>750</v>
      </c>
      <c r="R62" s="38">
        <f t="shared" si="120"/>
        <v>10</v>
      </c>
      <c r="S62" s="38">
        <f t="shared" si="120"/>
        <v>12</v>
      </c>
      <c r="T62" s="39">
        <f t="shared" si="110"/>
        <v>0.75247987857608445</v>
      </c>
      <c r="U62" s="39">
        <f t="shared" si="110"/>
        <v>0.86609427860023702</v>
      </c>
      <c r="V62" s="39">
        <f t="shared" si="12"/>
        <v>0.11361440002415257</v>
      </c>
      <c r="W62" s="39">
        <f t="shared" si="13"/>
        <v>0.12885115578707076</v>
      </c>
      <c r="X62" s="40">
        <f t="shared" si="111"/>
        <v>0.21475192631178461</v>
      </c>
      <c r="Y62" s="40" t="s">
        <v>21</v>
      </c>
      <c r="Z62" s="217">
        <f t="shared" si="112"/>
        <v>4.2950385262356923</v>
      </c>
      <c r="AA62" s="217">
        <f t="shared" si="113"/>
        <v>0.71583975437261538</v>
      </c>
    </row>
    <row r="63" spans="1:27" x14ac:dyDescent="0.25">
      <c r="A63" s="229">
        <f t="shared" ref="A63:B63" si="129">A62+1</f>
        <v>2909</v>
      </c>
      <c r="B63" s="230">
        <f t="shared" si="129"/>
        <v>53</v>
      </c>
      <c r="C63" s="229" t="str">
        <f t="shared" si="8"/>
        <v>24bX11-000_000_05</v>
      </c>
      <c r="D63" s="231">
        <f t="shared" si="115"/>
        <v>11</v>
      </c>
      <c r="E63" s="239">
        <f t="shared" si="82"/>
        <v>1.9390000000000001</v>
      </c>
      <c r="F63" s="232">
        <f t="shared" si="94"/>
        <v>17.627272727272729</v>
      </c>
      <c r="G63" s="232">
        <f t="shared" si="83"/>
        <v>14.101818181818183</v>
      </c>
      <c r="H63" s="232">
        <f t="shared" si="84"/>
        <v>8.8136363636363644</v>
      </c>
      <c r="I63" s="232">
        <f t="shared" ref="I63:J63" si="130">I62</f>
        <v>8</v>
      </c>
      <c r="J63" s="233">
        <f t="shared" si="130"/>
        <v>0</v>
      </c>
      <c r="K63" s="228" t="str">
        <f t="shared" ref="K63" si="131">D63&amp;-5</f>
        <v>11-5</v>
      </c>
      <c r="L63" s="232">
        <f t="shared" si="118"/>
        <v>0.2</v>
      </c>
      <c r="M63" s="235">
        <v>0</v>
      </c>
      <c r="N63" s="232">
        <f t="shared" ref="N63:P63" si="132">N62</f>
        <v>150</v>
      </c>
      <c r="O63" s="232">
        <f t="shared" si="132"/>
        <v>160</v>
      </c>
      <c r="P63" s="232">
        <f t="shared" si="132"/>
        <v>750</v>
      </c>
      <c r="R63" s="38">
        <f t="shared" si="120"/>
        <v>10</v>
      </c>
      <c r="S63" s="38">
        <f t="shared" si="120"/>
        <v>12</v>
      </c>
      <c r="T63" s="39">
        <f t="shared" si="110"/>
        <v>0.75247987857608445</v>
      </c>
      <c r="U63" s="39">
        <f t="shared" si="110"/>
        <v>0.86609427860023702</v>
      </c>
      <c r="V63" s="39">
        <f t="shared" si="12"/>
        <v>0.11361440002415257</v>
      </c>
      <c r="W63" s="39">
        <f t="shared" si="13"/>
        <v>0.12885115578707076</v>
      </c>
      <c r="X63" s="40">
        <f t="shared" si="111"/>
        <v>0.21475192631178461</v>
      </c>
      <c r="Y63" s="40" t="s">
        <v>21</v>
      </c>
      <c r="Z63" s="217">
        <f t="shared" si="112"/>
        <v>4.2950385262356923</v>
      </c>
      <c r="AA63" s="217">
        <f t="shared" si="113"/>
        <v>0.71583975437261538</v>
      </c>
    </row>
    <row r="64" spans="1:27" x14ac:dyDescent="0.25">
      <c r="A64" s="229">
        <f t="shared" ref="A64:B64" si="133">A63+1</f>
        <v>2910</v>
      </c>
      <c r="B64" s="230">
        <f t="shared" si="133"/>
        <v>54</v>
      </c>
      <c r="C64" s="229" t="str">
        <f t="shared" si="8"/>
        <v>24bX11-000_030_06</v>
      </c>
      <c r="D64" s="231">
        <f t="shared" si="115"/>
        <v>11</v>
      </c>
      <c r="E64" s="239">
        <f t="shared" si="82"/>
        <v>1.9390000000000001</v>
      </c>
      <c r="F64" s="232">
        <f t="shared" si="94"/>
        <v>17.627272727272729</v>
      </c>
      <c r="G64" s="232">
        <f t="shared" si="83"/>
        <v>14.101818181818183</v>
      </c>
      <c r="H64" s="232">
        <f t="shared" si="84"/>
        <v>8.8136363636363644</v>
      </c>
      <c r="I64" s="232">
        <f t="shared" ref="I64:J64" si="134">I63</f>
        <v>8</v>
      </c>
      <c r="J64" s="233">
        <f t="shared" si="134"/>
        <v>0</v>
      </c>
      <c r="K64" s="228" t="str">
        <f t="shared" ref="K64" si="135">D64&amp;-6</f>
        <v>11-6</v>
      </c>
      <c r="L64" s="232">
        <f t="shared" si="118"/>
        <v>0.2</v>
      </c>
      <c r="M64" s="235">
        <v>30</v>
      </c>
      <c r="N64" s="232">
        <f t="shared" ref="N64:P64" si="136">N63</f>
        <v>150</v>
      </c>
      <c r="O64" s="232">
        <f t="shared" si="136"/>
        <v>160</v>
      </c>
      <c r="P64" s="232">
        <f t="shared" si="136"/>
        <v>750</v>
      </c>
      <c r="R64" s="38">
        <f t="shared" si="120"/>
        <v>10</v>
      </c>
      <c r="S64" s="38">
        <f t="shared" si="120"/>
        <v>12</v>
      </c>
      <c r="T64" s="39">
        <f t="shared" si="110"/>
        <v>0.75247987857608445</v>
      </c>
      <c r="U64" s="39">
        <f t="shared" si="110"/>
        <v>0.86609427860023702</v>
      </c>
      <c r="V64" s="39">
        <f t="shared" si="12"/>
        <v>0.11361440002415257</v>
      </c>
      <c r="W64" s="39">
        <f t="shared" si="13"/>
        <v>0.12885115578707076</v>
      </c>
      <c r="X64" s="40">
        <f t="shared" si="111"/>
        <v>0.21475192631178461</v>
      </c>
      <c r="Y64" s="40" t="s">
        <v>21</v>
      </c>
      <c r="Z64" s="217">
        <f t="shared" si="112"/>
        <v>4.2950385262356923</v>
      </c>
      <c r="AA64" s="217">
        <f t="shared" si="113"/>
        <v>0.71583975437261538</v>
      </c>
    </row>
    <row r="65" spans="1:27" x14ac:dyDescent="0.25">
      <c r="A65" s="229">
        <f t="shared" ref="A65:B65" si="137">A64+1</f>
        <v>2911</v>
      </c>
      <c r="B65" s="230">
        <f t="shared" si="137"/>
        <v>55</v>
      </c>
      <c r="C65" s="229" t="str">
        <f t="shared" si="8"/>
        <v>24bX11-000_060_07</v>
      </c>
      <c r="D65" s="231">
        <f t="shared" si="115"/>
        <v>11</v>
      </c>
      <c r="E65" s="239">
        <f t="shared" si="82"/>
        <v>1.9390000000000001</v>
      </c>
      <c r="F65" s="232">
        <f t="shared" si="94"/>
        <v>17.627272727272729</v>
      </c>
      <c r="G65" s="232">
        <f t="shared" si="83"/>
        <v>14.101818181818183</v>
      </c>
      <c r="H65" s="232">
        <f t="shared" si="84"/>
        <v>8.8136363636363644</v>
      </c>
      <c r="I65" s="232">
        <f t="shared" ref="I65:J65" si="138">I64</f>
        <v>8</v>
      </c>
      <c r="J65" s="233">
        <f t="shared" si="138"/>
        <v>0</v>
      </c>
      <c r="K65" s="228" t="str">
        <f t="shared" ref="K65" si="139">D65&amp;-7</f>
        <v>11-7</v>
      </c>
      <c r="L65" s="232">
        <f t="shared" si="118"/>
        <v>0.2</v>
      </c>
      <c r="M65" s="235">
        <v>60</v>
      </c>
      <c r="N65" s="232">
        <f t="shared" ref="N65:P65" si="140">N64</f>
        <v>150</v>
      </c>
      <c r="O65" s="232">
        <f t="shared" si="140"/>
        <v>160</v>
      </c>
      <c r="P65" s="232">
        <f t="shared" si="140"/>
        <v>750</v>
      </c>
      <c r="R65" s="38">
        <f t="shared" si="120"/>
        <v>10</v>
      </c>
      <c r="S65" s="38">
        <f t="shared" si="120"/>
        <v>12</v>
      </c>
      <c r="T65" s="39">
        <f t="shared" si="110"/>
        <v>0.75247987857608445</v>
      </c>
      <c r="U65" s="39">
        <f t="shared" si="110"/>
        <v>0.86609427860023702</v>
      </c>
      <c r="V65" s="39">
        <f t="shared" si="12"/>
        <v>0.11361440002415257</v>
      </c>
      <c r="W65" s="39">
        <f t="shared" si="13"/>
        <v>0.12885115578707076</v>
      </c>
      <c r="X65" s="40">
        <f t="shared" si="111"/>
        <v>0.21475192631178461</v>
      </c>
      <c r="Y65" s="40" t="s">
        <v>21</v>
      </c>
      <c r="Z65" s="217">
        <f t="shared" si="112"/>
        <v>4.2950385262356923</v>
      </c>
      <c r="AA65" s="217">
        <f t="shared" si="113"/>
        <v>0.71583975437261538</v>
      </c>
    </row>
    <row r="66" spans="1:27" x14ac:dyDescent="0.25">
      <c r="A66" s="229">
        <f t="shared" ref="A66:B66" si="141">A65+1</f>
        <v>2912</v>
      </c>
      <c r="B66" s="230">
        <f t="shared" si="141"/>
        <v>56</v>
      </c>
      <c r="C66" s="229" t="str">
        <f t="shared" si="8"/>
        <v>24bX11-000_090_08</v>
      </c>
      <c r="D66" s="231">
        <f t="shared" si="115"/>
        <v>11</v>
      </c>
      <c r="E66" s="239">
        <f t="shared" si="82"/>
        <v>1.9390000000000001</v>
      </c>
      <c r="F66" s="232">
        <f t="shared" si="94"/>
        <v>17.627272727272729</v>
      </c>
      <c r="G66" s="232">
        <f t="shared" si="83"/>
        <v>14.101818181818183</v>
      </c>
      <c r="H66" s="232">
        <f t="shared" si="84"/>
        <v>8.8136363636363644</v>
      </c>
      <c r="I66" s="232">
        <f t="shared" ref="I66:J66" si="142">I65</f>
        <v>8</v>
      </c>
      <c r="J66" s="233">
        <f t="shared" si="142"/>
        <v>0</v>
      </c>
      <c r="K66" s="228" t="str">
        <f t="shared" ref="K66" si="143">D66&amp;-8</f>
        <v>11-8</v>
      </c>
      <c r="L66" s="232">
        <f t="shared" si="118"/>
        <v>0.2</v>
      </c>
      <c r="M66" s="235">
        <v>90</v>
      </c>
      <c r="N66" s="232">
        <f t="shared" ref="N66:P66" si="144">N65</f>
        <v>150</v>
      </c>
      <c r="O66" s="232">
        <f t="shared" si="144"/>
        <v>160</v>
      </c>
      <c r="P66" s="232">
        <f t="shared" si="144"/>
        <v>750</v>
      </c>
      <c r="R66" s="38">
        <f t="shared" si="120"/>
        <v>10</v>
      </c>
      <c r="S66" s="38">
        <f t="shared" si="120"/>
        <v>12</v>
      </c>
      <c r="T66" s="39">
        <f t="shared" si="110"/>
        <v>0.75247987857608445</v>
      </c>
      <c r="U66" s="39">
        <f t="shared" si="110"/>
        <v>0.86609427860023702</v>
      </c>
      <c r="V66" s="39">
        <f t="shared" si="12"/>
        <v>0.11361440002415257</v>
      </c>
      <c r="W66" s="39">
        <f t="shared" si="13"/>
        <v>0.12885115578707076</v>
      </c>
      <c r="X66" s="40">
        <f t="shared" si="111"/>
        <v>0.21475192631178461</v>
      </c>
      <c r="Y66" s="40" t="s">
        <v>21</v>
      </c>
      <c r="Z66" s="217">
        <f t="shared" si="112"/>
        <v>4.2950385262356923</v>
      </c>
      <c r="AA66" s="217">
        <f t="shared" si="113"/>
        <v>0.71583975437261538</v>
      </c>
    </row>
    <row r="67" spans="1:27" x14ac:dyDescent="0.25">
      <c r="A67" s="229">
        <f t="shared" ref="A67:B67" si="145">A66+1</f>
        <v>2913</v>
      </c>
      <c r="B67" s="230">
        <f t="shared" si="145"/>
        <v>57</v>
      </c>
      <c r="C67" s="229" t="str">
        <f t="shared" si="8"/>
        <v>24bX11-000_000_09</v>
      </c>
      <c r="D67" s="231">
        <f t="shared" si="115"/>
        <v>11</v>
      </c>
      <c r="E67" s="239">
        <f t="shared" si="82"/>
        <v>1.9390000000000001</v>
      </c>
      <c r="F67" s="232">
        <f t="shared" si="94"/>
        <v>17.627272727272729</v>
      </c>
      <c r="G67" s="232">
        <f t="shared" si="83"/>
        <v>14.101818181818183</v>
      </c>
      <c r="H67" s="232">
        <f t="shared" si="84"/>
        <v>8.8136363636363644</v>
      </c>
      <c r="I67" s="232">
        <f t="shared" ref="I67:J67" si="146">I66</f>
        <v>8</v>
      </c>
      <c r="J67" s="233">
        <f t="shared" si="146"/>
        <v>0</v>
      </c>
      <c r="K67" s="228" t="str">
        <f t="shared" ref="K67" si="147">D67&amp;-9</f>
        <v>11-9</v>
      </c>
      <c r="L67" s="232">
        <f t="shared" si="118"/>
        <v>0.2</v>
      </c>
      <c r="M67" s="235">
        <v>0</v>
      </c>
      <c r="N67" s="232">
        <f t="shared" ref="N67:P67" si="148">N66</f>
        <v>150</v>
      </c>
      <c r="O67" s="232">
        <f t="shared" si="148"/>
        <v>160</v>
      </c>
      <c r="P67" s="232">
        <f t="shared" si="148"/>
        <v>750</v>
      </c>
      <c r="R67" s="38">
        <f t="shared" si="120"/>
        <v>10</v>
      </c>
      <c r="S67" s="38">
        <f t="shared" si="120"/>
        <v>12</v>
      </c>
      <c r="T67" s="39">
        <f t="shared" si="110"/>
        <v>0.75247987857608445</v>
      </c>
      <c r="U67" s="39">
        <f t="shared" si="110"/>
        <v>0.86609427860023702</v>
      </c>
      <c r="V67" s="39">
        <f t="shared" si="12"/>
        <v>0.11361440002415257</v>
      </c>
      <c r="W67" s="39">
        <f t="shared" si="13"/>
        <v>0.12885115578707076</v>
      </c>
      <c r="X67" s="40">
        <f t="shared" si="111"/>
        <v>0.21475192631178461</v>
      </c>
      <c r="Y67" s="40" t="s">
        <v>21</v>
      </c>
      <c r="Z67" s="217">
        <f t="shared" si="112"/>
        <v>4.2950385262356923</v>
      </c>
      <c r="AA67" s="217">
        <f t="shared" si="113"/>
        <v>0.71583975437261538</v>
      </c>
    </row>
    <row r="68" spans="1:27" x14ac:dyDescent="0.25">
      <c r="A68" s="229">
        <f t="shared" ref="A68:B68" si="149">A67+1</f>
        <v>2914</v>
      </c>
      <c r="B68" s="230">
        <f t="shared" si="149"/>
        <v>58</v>
      </c>
      <c r="C68" s="229" t="str">
        <f t="shared" si="8"/>
        <v>24bX11-000_030_10</v>
      </c>
      <c r="D68" s="231">
        <f t="shared" si="115"/>
        <v>11</v>
      </c>
      <c r="E68" s="239">
        <f t="shared" si="82"/>
        <v>1.9390000000000001</v>
      </c>
      <c r="F68" s="232">
        <f t="shared" si="94"/>
        <v>17.627272727272729</v>
      </c>
      <c r="G68" s="232">
        <f t="shared" si="83"/>
        <v>14.101818181818183</v>
      </c>
      <c r="H68" s="232">
        <f t="shared" si="84"/>
        <v>8.8136363636363644</v>
      </c>
      <c r="I68" s="232">
        <f t="shared" ref="I68:J68" si="150">I67</f>
        <v>8</v>
      </c>
      <c r="J68" s="233">
        <f t="shared" si="150"/>
        <v>0</v>
      </c>
      <c r="K68" s="228" t="str">
        <f t="shared" ref="K68" si="151">D68&amp;-10</f>
        <v>11-10</v>
      </c>
      <c r="L68" s="232">
        <f t="shared" si="118"/>
        <v>0.2</v>
      </c>
      <c r="M68" s="235">
        <v>30</v>
      </c>
      <c r="N68" s="232">
        <f t="shared" ref="N68:P68" si="152">N67</f>
        <v>150</v>
      </c>
      <c r="O68" s="232">
        <f t="shared" si="152"/>
        <v>160</v>
      </c>
      <c r="P68" s="232">
        <f t="shared" si="152"/>
        <v>750</v>
      </c>
      <c r="R68" s="38">
        <f t="shared" si="120"/>
        <v>10</v>
      </c>
      <c r="S68" s="38">
        <f t="shared" si="120"/>
        <v>12</v>
      </c>
      <c r="T68" s="39">
        <f t="shared" si="110"/>
        <v>0.75247987857608445</v>
      </c>
      <c r="U68" s="39">
        <f t="shared" si="110"/>
        <v>0.86609427860023702</v>
      </c>
      <c r="V68" s="39">
        <f t="shared" si="12"/>
        <v>0.11361440002415257</v>
      </c>
      <c r="W68" s="39">
        <f t="shared" si="13"/>
        <v>0.12885115578707076</v>
      </c>
      <c r="X68" s="40">
        <f t="shared" si="111"/>
        <v>0.21475192631178461</v>
      </c>
      <c r="Y68" s="40" t="s">
        <v>21</v>
      </c>
      <c r="Z68" s="217">
        <f t="shared" si="112"/>
        <v>4.2950385262356923</v>
      </c>
      <c r="AA68" s="217">
        <f t="shared" si="113"/>
        <v>0.71583975437261538</v>
      </c>
    </row>
    <row r="69" spans="1:27" x14ac:dyDescent="0.25">
      <c r="A69" s="229">
        <f t="shared" ref="A69:B69" si="153">A68+1</f>
        <v>2915</v>
      </c>
      <c r="B69" s="230">
        <f t="shared" si="153"/>
        <v>59</v>
      </c>
      <c r="C69" s="229" t="str">
        <f t="shared" si="8"/>
        <v>24bX11-000_060_11</v>
      </c>
      <c r="D69" s="231">
        <f t="shared" si="115"/>
        <v>11</v>
      </c>
      <c r="E69" s="239">
        <f t="shared" si="82"/>
        <v>1.9390000000000001</v>
      </c>
      <c r="F69" s="232">
        <f t="shared" si="94"/>
        <v>17.627272727272729</v>
      </c>
      <c r="G69" s="232">
        <f t="shared" si="83"/>
        <v>14.101818181818183</v>
      </c>
      <c r="H69" s="232">
        <f t="shared" si="84"/>
        <v>8.8136363636363644</v>
      </c>
      <c r="I69" s="232">
        <f t="shared" ref="I69:J69" si="154">I68</f>
        <v>8</v>
      </c>
      <c r="J69" s="233">
        <f t="shared" si="154"/>
        <v>0</v>
      </c>
      <c r="K69" s="228" t="str">
        <f t="shared" ref="K69" si="155">D69&amp;-11</f>
        <v>11-11</v>
      </c>
      <c r="L69" s="232">
        <f t="shared" si="118"/>
        <v>0.2</v>
      </c>
      <c r="M69" s="235">
        <v>60</v>
      </c>
      <c r="N69" s="232">
        <f t="shared" ref="N69:P69" si="156">N68</f>
        <v>150</v>
      </c>
      <c r="O69" s="232">
        <f t="shared" si="156"/>
        <v>160</v>
      </c>
      <c r="P69" s="232">
        <f t="shared" si="156"/>
        <v>750</v>
      </c>
      <c r="R69" s="38">
        <f t="shared" si="120"/>
        <v>10</v>
      </c>
      <c r="S69" s="38">
        <f t="shared" si="120"/>
        <v>12</v>
      </c>
      <c r="T69" s="39">
        <f t="shared" si="110"/>
        <v>0.75247987857608445</v>
      </c>
      <c r="U69" s="39">
        <f t="shared" si="110"/>
        <v>0.86609427860023702</v>
      </c>
      <c r="V69" s="39">
        <f t="shared" si="12"/>
        <v>0.11361440002415257</v>
      </c>
      <c r="W69" s="39">
        <f t="shared" si="13"/>
        <v>0.12885115578707076</v>
      </c>
      <c r="X69" s="40">
        <f t="shared" si="111"/>
        <v>0.21475192631178461</v>
      </c>
      <c r="Y69" s="40" t="s">
        <v>21</v>
      </c>
      <c r="Z69" s="217">
        <f t="shared" si="112"/>
        <v>4.2950385262356923</v>
      </c>
      <c r="AA69" s="217">
        <f t="shared" si="113"/>
        <v>0.71583975437261538</v>
      </c>
    </row>
    <row r="70" spans="1:27" x14ac:dyDescent="0.25">
      <c r="A70" s="229">
        <f t="shared" ref="A70:B70" si="157">A69+1</f>
        <v>2916</v>
      </c>
      <c r="B70" s="230">
        <f t="shared" si="157"/>
        <v>60</v>
      </c>
      <c r="C70" s="229" t="str">
        <f t="shared" si="8"/>
        <v>24bX11-000_090_12</v>
      </c>
      <c r="D70" s="231">
        <f t="shared" si="115"/>
        <v>11</v>
      </c>
      <c r="E70" s="239">
        <f t="shared" si="82"/>
        <v>1.9390000000000001</v>
      </c>
      <c r="F70" s="232">
        <f t="shared" si="94"/>
        <v>17.627272727272729</v>
      </c>
      <c r="G70" s="232">
        <f t="shared" si="83"/>
        <v>14.101818181818183</v>
      </c>
      <c r="H70" s="232">
        <f t="shared" si="84"/>
        <v>8.8136363636363644</v>
      </c>
      <c r="I70" s="232">
        <f t="shared" ref="I70:J70" si="158">I69</f>
        <v>8</v>
      </c>
      <c r="J70" s="233">
        <f t="shared" si="158"/>
        <v>0</v>
      </c>
      <c r="K70" s="228" t="str">
        <f t="shared" ref="K70" si="159">D70&amp;-12</f>
        <v>11-12</v>
      </c>
      <c r="L70" s="232">
        <f t="shared" si="118"/>
        <v>0.2</v>
      </c>
      <c r="M70" s="235">
        <v>90</v>
      </c>
      <c r="N70" s="232">
        <f t="shared" ref="N70:P70" si="160">N69</f>
        <v>150</v>
      </c>
      <c r="O70" s="232">
        <f t="shared" si="160"/>
        <v>160</v>
      </c>
      <c r="P70" s="232">
        <f t="shared" si="160"/>
        <v>750</v>
      </c>
      <c r="R70" s="38">
        <f t="shared" si="120"/>
        <v>10</v>
      </c>
      <c r="S70" s="38">
        <f t="shared" si="120"/>
        <v>12</v>
      </c>
      <c r="T70" s="39">
        <f t="shared" si="110"/>
        <v>0.75247987857608445</v>
      </c>
      <c r="U70" s="39">
        <f t="shared" si="110"/>
        <v>0.86609427860023702</v>
      </c>
      <c r="V70" s="39">
        <f t="shared" si="12"/>
        <v>0.11361440002415257</v>
      </c>
      <c r="W70" s="39">
        <f t="shared" si="13"/>
        <v>0.12885115578707076</v>
      </c>
      <c r="X70" s="40">
        <f t="shared" si="111"/>
        <v>0.21475192631178461</v>
      </c>
      <c r="Y70" s="40" t="s">
        <v>21</v>
      </c>
      <c r="Z70" s="217">
        <f t="shared" si="112"/>
        <v>4.2950385262356923</v>
      </c>
      <c r="AA70" s="217">
        <f t="shared" si="113"/>
        <v>0.71583975437261538</v>
      </c>
    </row>
    <row r="71" spans="1:27" x14ac:dyDescent="0.25">
      <c r="A71" s="229">
        <f t="shared" ref="A71:B71" si="161">A70+1</f>
        <v>2917</v>
      </c>
      <c r="B71" s="230">
        <f t="shared" si="161"/>
        <v>61</v>
      </c>
      <c r="C71" s="229" t="str">
        <f t="shared" si="8"/>
        <v>24bX13-000_000_01</v>
      </c>
      <c r="D71" s="231">
        <f t="shared" ref="D71" si="162">D70+2</f>
        <v>13</v>
      </c>
      <c r="E71" s="239">
        <f t="shared" si="82"/>
        <v>2.149</v>
      </c>
      <c r="F71" s="232">
        <f t="shared" si="94"/>
        <v>16.530769230769231</v>
      </c>
      <c r="G71" s="232">
        <f t="shared" si="83"/>
        <v>13.224615384615385</v>
      </c>
      <c r="H71" s="232">
        <f t="shared" si="84"/>
        <v>8.2653846153846153</v>
      </c>
      <c r="I71" s="232">
        <f>inflow</f>
        <v>8</v>
      </c>
      <c r="J71" s="233">
        <f>yaw_null</f>
        <v>0</v>
      </c>
      <c r="K71" s="228" t="str">
        <f t="shared" ref="K71" si="163">D71&amp;-1</f>
        <v>13-1</v>
      </c>
      <c r="L71" s="232">
        <f>alpha_n</f>
        <v>0.2</v>
      </c>
      <c r="M71" s="235">
        <v>0</v>
      </c>
      <c r="N71" s="232">
        <f>t_out</f>
        <v>150</v>
      </c>
      <c r="O71" s="232">
        <f>trig_t</f>
        <v>160</v>
      </c>
      <c r="P71" s="232">
        <f>N71+T_s1</f>
        <v>750</v>
      </c>
      <c r="R71" s="38">
        <f t="shared" ref="R71" si="164">S70</f>
        <v>12</v>
      </c>
      <c r="S71" s="38">
        <f>R71+v_step</f>
        <v>14</v>
      </c>
      <c r="T71" s="39">
        <f t="shared" si="110"/>
        <v>0.86609427860023702</v>
      </c>
      <c r="U71" s="39">
        <f t="shared" si="110"/>
        <v>0.93521468146599684</v>
      </c>
      <c r="V71" s="39">
        <f t="shared" si="12"/>
        <v>6.9120402865759822E-2</v>
      </c>
      <c r="W71" s="39">
        <f t="shared" si="13"/>
        <v>7.8390096641163351E-2</v>
      </c>
      <c r="X71" s="40">
        <f t="shared" si="111"/>
        <v>0.13065016106860558</v>
      </c>
      <c r="Y71" s="40" t="s">
        <v>21</v>
      </c>
      <c r="Z71" s="217">
        <f t="shared" si="112"/>
        <v>2.6130032213721117</v>
      </c>
      <c r="AA71" s="217">
        <f t="shared" si="113"/>
        <v>0.43550053689535195</v>
      </c>
    </row>
    <row r="72" spans="1:27" x14ac:dyDescent="0.25">
      <c r="A72" s="229">
        <f t="shared" ref="A72:B72" si="165">A71+1</f>
        <v>2918</v>
      </c>
      <c r="B72" s="230">
        <f t="shared" si="165"/>
        <v>62</v>
      </c>
      <c r="C72" s="229" t="str">
        <f t="shared" si="8"/>
        <v>24bX13-000_030_02</v>
      </c>
      <c r="D72" s="231">
        <f t="shared" ref="D72" si="166">D71</f>
        <v>13</v>
      </c>
      <c r="E72" s="239">
        <f t="shared" si="82"/>
        <v>2.149</v>
      </c>
      <c r="F72" s="232">
        <f t="shared" si="94"/>
        <v>16.530769230769231</v>
      </c>
      <c r="G72" s="232">
        <f t="shared" si="83"/>
        <v>13.224615384615385</v>
      </c>
      <c r="H72" s="232">
        <f t="shared" si="84"/>
        <v>8.2653846153846153</v>
      </c>
      <c r="I72" s="232">
        <f t="shared" ref="I72:J76" si="167">I71</f>
        <v>8</v>
      </c>
      <c r="J72" s="233">
        <f t="shared" si="167"/>
        <v>0</v>
      </c>
      <c r="K72" s="228" t="str">
        <f t="shared" ref="K72" si="168">D72&amp;-2</f>
        <v>13-2</v>
      </c>
      <c r="L72" s="232">
        <f t="shared" ref="L72:L130" si="169">L71</f>
        <v>0.2</v>
      </c>
      <c r="M72" s="235">
        <v>30</v>
      </c>
      <c r="N72" s="232">
        <f t="shared" ref="N72:P72" si="170">N71</f>
        <v>150</v>
      </c>
      <c r="O72" s="232">
        <f t="shared" si="170"/>
        <v>160</v>
      </c>
      <c r="P72" s="232">
        <f t="shared" si="170"/>
        <v>750</v>
      </c>
      <c r="R72" s="38">
        <f t="shared" ref="R72:S72" si="171">R71</f>
        <v>12</v>
      </c>
      <c r="S72" s="38">
        <f t="shared" si="171"/>
        <v>14</v>
      </c>
      <c r="T72" s="39">
        <f t="shared" si="110"/>
        <v>0.86609427860023702</v>
      </c>
      <c r="U72" s="39">
        <f t="shared" si="110"/>
        <v>0.93521468146599684</v>
      </c>
      <c r="V72" s="39">
        <f t="shared" si="12"/>
        <v>6.9120402865759822E-2</v>
      </c>
      <c r="W72" s="39">
        <f t="shared" si="13"/>
        <v>7.8390096641163351E-2</v>
      </c>
      <c r="X72" s="40">
        <f t="shared" si="111"/>
        <v>0.13065016106860558</v>
      </c>
      <c r="Y72" s="40" t="s">
        <v>21</v>
      </c>
      <c r="Z72" s="217">
        <f t="shared" si="112"/>
        <v>2.6130032213721117</v>
      </c>
      <c r="AA72" s="217">
        <f t="shared" si="113"/>
        <v>0.43550053689535195</v>
      </c>
    </row>
    <row r="73" spans="1:27" x14ac:dyDescent="0.25">
      <c r="A73" s="229">
        <f t="shared" ref="A73:B73" si="172">A72+1</f>
        <v>2919</v>
      </c>
      <c r="B73" s="230">
        <f t="shared" si="172"/>
        <v>63</v>
      </c>
      <c r="C73" s="229" t="str">
        <f t="shared" si="8"/>
        <v>24bX13-000_060_03</v>
      </c>
      <c r="D73" s="231">
        <f t="shared" si="115"/>
        <v>13</v>
      </c>
      <c r="E73" s="239">
        <f t="shared" si="82"/>
        <v>2.149</v>
      </c>
      <c r="F73" s="232">
        <f t="shared" si="94"/>
        <v>16.530769230769231</v>
      </c>
      <c r="G73" s="232">
        <f t="shared" si="83"/>
        <v>13.224615384615385</v>
      </c>
      <c r="H73" s="232">
        <f t="shared" si="84"/>
        <v>8.2653846153846153</v>
      </c>
      <c r="I73" s="232">
        <f t="shared" ref="I73" si="173">I72</f>
        <v>8</v>
      </c>
      <c r="J73" s="233">
        <f t="shared" si="167"/>
        <v>0</v>
      </c>
      <c r="K73" s="228" t="str">
        <f t="shared" ref="K73" si="174">D73&amp;-3</f>
        <v>13-3</v>
      </c>
      <c r="L73" s="232">
        <f t="shared" si="169"/>
        <v>0.2</v>
      </c>
      <c r="M73" s="235">
        <v>60</v>
      </c>
      <c r="N73" s="232">
        <f t="shared" ref="N73:P73" si="175">N72</f>
        <v>150</v>
      </c>
      <c r="O73" s="232">
        <f t="shared" si="175"/>
        <v>160</v>
      </c>
      <c r="P73" s="232">
        <f t="shared" si="175"/>
        <v>750</v>
      </c>
      <c r="R73" s="38">
        <f t="shared" si="120"/>
        <v>12</v>
      </c>
      <c r="S73" s="38">
        <f t="shared" si="120"/>
        <v>14</v>
      </c>
      <c r="T73" s="39">
        <f t="shared" si="110"/>
        <v>0.86609427860023702</v>
      </c>
      <c r="U73" s="39">
        <f t="shared" si="110"/>
        <v>0.93521468146599684</v>
      </c>
      <c r="V73" s="39">
        <f t="shared" si="12"/>
        <v>6.9120402865759822E-2</v>
      </c>
      <c r="W73" s="39">
        <f t="shared" si="13"/>
        <v>7.8390096641163351E-2</v>
      </c>
      <c r="X73" s="40">
        <f t="shared" si="111"/>
        <v>0.13065016106860558</v>
      </c>
      <c r="Y73" s="40" t="s">
        <v>21</v>
      </c>
      <c r="Z73" s="217">
        <f t="shared" si="112"/>
        <v>2.6130032213721117</v>
      </c>
      <c r="AA73" s="217">
        <f t="shared" si="113"/>
        <v>0.43550053689535195</v>
      </c>
    </row>
    <row r="74" spans="1:27" x14ac:dyDescent="0.25">
      <c r="A74" s="229">
        <f t="shared" ref="A74:B74" si="176">A73+1</f>
        <v>2920</v>
      </c>
      <c r="B74" s="230">
        <f t="shared" si="176"/>
        <v>64</v>
      </c>
      <c r="C74" s="229" t="str">
        <f t="shared" si="8"/>
        <v>24bX13-000_090_04</v>
      </c>
      <c r="D74" s="231">
        <f t="shared" si="115"/>
        <v>13</v>
      </c>
      <c r="E74" s="239">
        <f t="shared" si="82"/>
        <v>2.149</v>
      </c>
      <c r="F74" s="232">
        <f t="shared" si="94"/>
        <v>16.530769230769231</v>
      </c>
      <c r="G74" s="232">
        <f t="shared" si="83"/>
        <v>13.224615384615385</v>
      </c>
      <c r="H74" s="232">
        <f t="shared" si="84"/>
        <v>8.2653846153846153</v>
      </c>
      <c r="I74" s="232">
        <f t="shared" ref="I74" si="177">I73</f>
        <v>8</v>
      </c>
      <c r="J74" s="233">
        <f t="shared" si="167"/>
        <v>0</v>
      </c>
      <c r="K74" s="228" t="str">
        <f t="shared" ref="K74" si="178">D74&amp;-4</f>
        <v>13-4</v>
      </c>
      <c r="L74" s="232">
        <f t="shared" si="169"/>
        <v>0.2</v>
      </c>
      <c r="M74" s="235">
        <v>90</v>
      </c>
      <c r="N74" s="232">
        <f t="shared" ref="N74:P74" si="179">N73</f>
        <v>150</v>
      </c>
      <c r="O74" s="232">
        <f t="shared" si="179"/>
        <v>160</v>
      </c>
      <c r="P74" s="232">
        <f t="shared" si="179"/>
        <v>750</v>
      </c>
      <c r="R74" s="38">
        <f t="shared" si="120"/>
        <v>12</v>
      </c>
      <c r="S74" s="38">
        <f t="shared" si="120"/>
        <v>14</v>
      </c>
      <c r="T74" s="39">
        <f t="shared" si="110"/>
        <v>0.86609427860023702</v>
      </c>
      <c r="U74" s="39">
        <f t="shared" si="110"/>
        <v>0.93521468146599684</v>
      </c>
      <c r="V74" s="39">
        <f t="shared" si="12"/>
        <v>6.9120402865759822E-2</v>
      </c>
      <c r="W74" s="39">
        <f t="shared" si="13"/>
        <v>7.8390096641163351E-2</v>
      </c>
      <c r="X74" s="40">
        <f t="shared" si="111"/>
        <v>0.13065016106860558</v>
      </c>
      <c r="Y74" s="40" t="s">
        <v>21</v>
      </c>
      <c r="Z74" s="217">
        <f t="shared" si="112"/>
        <v>2.6130032213721117</v>
      </c>
      <c r="AA74" s="217">
        <f t="shared" si="113"/>
        <v>0.43550053689535195</v>
      </c>
    </row>
    <row r="75" spans="1:27" x14ac:dyDescent="0.25">
      <c r="A75" s="229">
        <f t="shared" ref="A75:B75" si="180">A74+1</f>
        <v>2921</v>
      </c>
      <c r="B75" s="230">
        <f t="shared" si="180"/>
        <v>65</v>
      </c>
      <c r="C75" s="229" t="str">
        <f t="shared" si="8"/>
        <v>24bX13-000_000_05</v>
      </c>
      <c r="D75" s="231">
        <f t="shared" si="115"/>
        <v>13</v>
      </c>
      <c r="E75" s="239">
        <f t="shared" si="82"/>
        <v>2.149</v>
      </c>
      <c r="F75" s="232">
        <f t="shared" si="94"/>
        <v>16.530769230769231</v>
      </c>
      <c r="G75" s="232">
        <f t="shared" si="83"/>
        <v>13.224615384615385</v>
      </c>
      <c r="H75" s="232">
        <f t="shared" si="84"/>
        <v>8.2653846153846153</v>
      </c>
      <c r="I75" s="232">
        <f t="shared" ref="I75" si="181">I74</f>
        <v>8</v>
      </c>
      <c r="J75" s="233">
        <f t="shared" si="167"/>
        <v>0</v>
      </c>
      <c r="K75" s="228" t="str">
        <f t="shared" ref="K75" si="182">D75&amp;-5</f>
        <v>13-5</v>
      </c>
      <c r="L75" s="232">
        <f t="shared" si="169"/>
        <v>0.2</v>
      </c>
      <c r="M75" s="235">
        <v>0</v>
      </c>
      <c r="N75" s="232">
        <f t="shared" ref="N75:P75" si="183">N74</f>
        <v>150</v>
      </c>
      <c r="O75" s="232">
        <f t="shared" si="183"/>
        <v>160</v>
      </c>
      <c r="P75" s="232">
        <f t="shared" si="183"/>
        <v>750</v>
      </c>
      <c r="R75" s="38">
        <f t="shared" si="120"/>
        <v>12</v>
      </c>
      <c r="S75" s="38">
        <f t="shared" si="120"/>
        <v>14</v>
      </c>
      <c r="T75" s="39">
        <f t="shared" si="110"/>
        <v>0.86609427860023702</v>
      </c>
      <c r="U75" s="39">
        <f t="shared" si="110"/>
        <v>0.93521468146599684</v>
      </c>
      <c r="V75" s="39">
        <f t="shared" si="12"/>
        <v>6.9120402865759822E-2</v>
      </c>
      <c r="W75" s="39">
        <f t="shared" si="13"/>
        <v>7.8390096641163351E-2</v>
      </c>
      <c r="X75" s="40">
        <f t="shared" si="111"/>
        <v>0.13065016106860558</v>
      </c>
      <c r="Y75" s="40" t="s">
        <v>21</v>
      </c>
      <c r="Z75" s="217">
        <f t="shared" si="112"/>
        <v>2.6130032213721117</v>
      </c>
      <c r="AA75" s="217">
        <f t="shared" si="113"/>
        <v>0.43550053689535195</v>
      </c>
    </row>
    <row r="76" spans="1:27" x14ac:dyDescent="0.25">
      <c r="A76" s="229">
        <f t="shared" ref="A76:B76" si="184">A75+1</f>
        <v>2922</v>
      </c>
      <c r="B76" s="230">
        <f t="shared" si="184"/>
        <v>66</v>
      </c>
      <c r="C76" s="229" t="str">
        <f t="shared" ref="C76:C139" si="185">TEXT(RIGHT($B$2,LEN($B$2)-3),"000")&amp;"X"&amp;TEXT(D76,"00")&amp;"-"&amp;IF(J76&lt;0,TEXT(360+J76,"000"),TEXT(J76,"000"))&amp;"_"&amp;TEXT(M76,"000")&amp;"_"&amp;TEXT(RIGHT(K76,LEN(K76)-FIND("-",K76)),"00")</f>
        <v>24bX13-000_030_06</v>
      </c>
      <c r="D76" s="231">
        <f t="shared" si="115"/>
        <v>13</v>
      </c>
      <c r="E76" s="239">
        <f t="shared" si="82"/>
        <v>2.149</v>
      </c>
      <c r="F76" s="232">
        <f t="shared" si="94"/>
        <v>16.530769230769231</v>
      </c>
      <c r="G76" s="232">
        <f t="shared" si="83"/>
        <v>13.224615384615385</v>
      </c>
      <c r="H76" s="232">
        <f t="shared" si="84"/>
        <v>8.2653846153846153</v>
      </c>
      <c r="I76" s="232">
        <f t="shared" ref="I76" si="186">I75</f>
        <v>8</v>
      </c>
      <c r="J76" s="233">
        <f t="shared" si="167"/>
        <v>0</v>
      </c>
      <c r="K76" s="228" t="str">
        <f t="shared" ref="K76" si="187">D76&amp;-6</f>
        <v>13-6</v>
      </c>
      <c r="L76" s="232">
        <f t="shared" si="169"/>
        <v>0.2</v>
      </c>
      <c r="M76" s="235">
        <v>30</v>
      </c>
      <c r="N76" s="232">
        <f t="shared" ref="N76:P76" si="188">N75</f>
        <v>150</v>
      </c>
      <c r="O76" s="232">
        <f t="shared" si="188"/>
        <v>160</v>
      </c>
      <c r="P76" s="232">
        <f t="shared" si="188"/>
        <v>750</v>
      </c>
      <c r="R76" s="38">
        <f t="shared" si="120"/>
        <v>12</v>
      </c>
      <c r="S76" s="38">
        <f t="shared" si="120"/>
        <v>14</v>
      </c>
      <c r="T76" s="39">
        <f t="shared" si="110"/>
        <v>0.86609427860023702</v>
      </c>
      <c r="U76" s="39">
        <f t="shared" si="110"/>
        <v>0.93521468146599684</v>
      </c>
      <c r="V76" s="39">
        <f t="shared" ref="V76:V139" si="189">U76-T76</f>
        <v>6.9120402865759822E-2</v>
      </c>
      <c r="W76" s="39">
        <f t="shared" ref="W76:W139" si="190">V76/(V$11+V$23+V$35+V$47+V$59+V$71+V$83+V$95+V$107+V$119+V$131+V$143)</f>
        <v>7.8390096641163351E-2</v>
      </c>
      <c r="X76" s="40">
        <f t="shared" si="111"/>
        <v>0.13065016106860558</v>
      </c>
      <c r="Y76" s="40" t="s">
        <v>21</v>
      </c>
      <c r="Z76" s="217">
        <f t="shared" si="112"/>
        <v>2.6130032213721117</v>
      </c>
      <c r="AA76" s="217">
        <f t="shared" si="113"/>
        <v>0.43550053689535195</v>
      </c>
    </row>
    <row r="77" spans="1:27" x14ac:dyDescent="0.25">
      <c r="A77" s="229">
        <f t="shared" ref="A77:B77" si="191">A76+1</f>
        <v>2923</v>
      </c>
      <c r="B77" s="230">
        <f t="shared" si="191"/>
        <v>67</v>
      </c>
      <c r="C77" s="229" t="str">
        <f t="shared" si="185"/>
        <v>24bX13-000_060_07</v>
      </c>
      <c r="D77" s="231">
        <f t="shared" si="115"/>
        <v>13</v>
      </c>
      <c r="E77" s="239">
        <f t="shared" si="82"/>
        <v>2.149</v>
      </c>
      <c r="F77" s="232">
        <f t="shared" si="94"/>
        <v>16.530769230769231</v>
      </c>
      <c r="G77" s="232">
        <f t="shared" si="83"/>
        <v>13.224615384615385</v>
      </c>
      <c r="H77" s="232">
        <f t="shared" si="84"/>
        <v>8.2653846153846153</v>
      </c>
      <c r="I77" s="232">
        <f t="shared" ref="I77:J77" si="192">I76</f>
        <v>8</v>
      </c>
      <c r="J77" s="233">
        <f t="shared" si="192"/>
        <v>0</v>
      </c>
      <c r="K77" s="228" t="str">
        <f t="shared" ref="K77" si="193">D77&amp;-7</f>
        <v>13-7</v>
      </c>
      <c r="L77" s="232">
        <f t="shared" si="169"/>
        <v>0.2</v>
      </c>
      <c r="M77" s="235">
        <v>60</v>
      </c>
      <c r="N77" s="232">
        <f t="shared" ref="N77:P77" si="194">N76</f>
        <v>150</v>
      </c>
      <c r="O77" s="232">
        <f t="shared" si="194"/>
        <v>160</v>
      </c>
      <c r="P77" s="232">
        <f t="shared" si="194"/>
        <v>750</v>
      </c>
      <c r="R77" s="38">
        <f t="shared" si="120"/>
        <v>12</v>
      </c>
      <c r="S77" s="38">
        <f t="shared" si="120"/>
        <v>14</v>
      </c>
      <c r="T77" s="39">
        <f t="shared" si="110"/>
        <v>0.86609427860023702</v>
      </c>
      <c r="U77" s="39">
        <f t="shared" si="110"/>
        <v>0.93521468146599684</v>
      </c>
      <c r="V77" s="39">
        <f t="shared" si="189"/>
        <v>6.9120402865759822E-2</v>
      </c>
      <c r="W77" s="39">
        <f t="shared" si="190"/>
        <v>7.8390096641163351E-2</v>
      </c>
      <c r="X77" s="40">
        <f t="shared" si="111"/>
        <v>0.13065016106860558</v>
      </c>
      <c r="Y77" s="40" t="s">
        <v>21</v>
      </c>
      <c r="Z77" s="217">
        <f t="shared" si="112"/>
        <v>2.6130032213721117</v>
      </c>
      <c r="AA77" s="217">
        <f t="shared" si="113"/>
        <v>0.43550053689535195</v>
      </c>
    </row>
    <row r="78" spans="1:27" x14ac:dyDescent="0.25">
      <c r="A78" s="229">
        <f t="shared" ref="A78:B78" si="195">A77+1</f>
        <v>2924</v>
      </c>
      <c r="B78" s="230">
        <f t="shared" si="195"/>
        <v>68</v>
      </c>
      <c r="C78" s="229" t="str">
        <f t="shared" si="185"/>
        <v>24bX13-000_090_08</v>
      </c>
      <c r="D78" s="231">
        <f t="shared" si="115"/>
        <v>13</v>
      </c>
      <c r="E78" s="239">
        <f t="shared" si="82"/>
        <v>2.149</v>
      </c>
      <c r="F78" s="232">
        <f t="shared" si="94"/>
        <v>16.530769230769231</v>
      </c>
      <c r="G78" s="232">
        <f t="shared" si="83"/>
        <v>13.224615384615385</v>
      </c>
      <c r="H78" s="232">
        <f t="shared" si="84"/>
        <v>8.2653846153846153</v>
      </c>
      <c r="I78" s="232">
        <f t="shared" ref="I78:J78" si="196">I77</f>
        <v>8</v>
      </c>
      <c r="J78" s="233">
        <f t="shared" si="196"/>
        <v>0</v>
      </c>
      <c r="K78" s="228" t="str">
        <f t="shared" ref="K78" si="197">D78&amp;-8</f>
        <v>13-8</v>
      </c>
      <c r="L78" s="232">
        <f t="shared" si="169"/>
        <v>0.2</v>
      </c>
      <c r="M78" s="235">
        <v>90</v>
      </c>
      <c r="N78" s="232">
        <f t="shared" ref="N78:P78" si="198">N77</f>
        <v>150</v>
      </c>
      <c r="O78" s="232">
        <f t="shared" si="198"/>
        <v>160</v>
      </c>
      <c r="P78" s="232">
        <f t="shared" si="198"/>
        <v>750</v>
      </c>
      <c r="R78" s="38">
        <f t="shared" si="120"/>
        <v>12</v>
      </c>
      <c r="S78" s="38">
        <f t="shared" si="120"/>
        <v>14</v>
      </c>
      <c r="T78" s="39">
        <f t="shared" si="110"/>
        <v>0.86609427860023702</v>
      </c>
      <c r="U78" s="39">
        <f t="shared" si="110"/>
        <v>0.93521468146599684</v>
      </c>
      <c r="V78" s="39">
        <f t="shared" si="189"/>
        <v>6.9120402865759822E-2</v>
      </c>
      <c r="W78" s="39">
        <f t="shared" si="190"/>
        <v>7.8390096641163351E-2</v>
      </c>
      <c r="X78" s="40">
        <f t="shared" si="111"/>
        <v>0.13065016106860558</v>
      </c>
      <c r="Y78" s="40" t="s">
        <v>21</v>
      </c>
      <c r="Z78" s="217">
        <f t="shared" si="112"/>
        <v>2.6130032213721117</v>
      </c>
      <c r="AA78" s="217">
        <f t="shared" si="113"/>
        <v>0.43550053689535195</v>
      </c>
    </row>
    <row r="79" spans="1:27" x14ac:dyDescent="0.25">
      <c r="A79" s="229">
        <f t="shared" ref="A79:B79" si="199">A78+1</f>
        <v>2925</v>
      </c>
      <c r="B79" s="230">
        <f t="shared" si="199"/>
        <v>69</v>
      </c>
      <c r="C79" s="229" t="str">
        <f t="shared" si="185"/>
        <v>24bX13-000_000_09</v>
      </c>
      <c r="D79" s="231">
        <f t="shared" si="115"/>
        <v>13</v>
      </c>
      <c r="E79" s="239">
        <f t="shared" si="82"/>
        <v>2.149</v>
      </c>
      <c r="F79" s="232">
        <f t="shared" si="94"/>
        <v>16.530769230769231</v>
      </c>
      <c r="G79" s="232">
        <f t="shared" si="83"/>
        <v>13.224615384615385</v>
      </c>
      <c r="H79" s="232">
        <f t="shared" si="84"/>
        <v>8.2653846153846153</v>
      </c>
      <c r="I79" s="232">
        <f t="shared" ref="I79:J79" si="200">I78</f>
        <v>8</v>
      </c>
      <c r="J79" s="233">
        <f t="shared" si="200"/>
        <v>0</v>
      </c>
      <c r="K79" s="228" t="str">
        <f t="shared" ref="K79" si="201">D79&amp;-9</f>
        <v>13-9</v>
      </c>
      <c r="L79" s="232">
        <f t="shared" si="169"/>
        <v>0.2</v>
      </c>
      <c r="M79" s="235">
        <v>0</v>
      </c>
      <c r="N79" s="232">
        <f t="shared" ref="N79:P79" si="202">N78</f>
        <v>150</v>
      </c>
      <c r="O79" s="232">
        <f t="shared" si="202"/>
        <v>160</v>
      </c>
      <c r="P79" s="232">
        <f t="shared" si="202"/>
        <v>750</v>
      </c>
      <c r="R79" s="38">
        <f t="shared" si="120"/>
        <v>12</v>
      </c>
      <c r="S79" s="38">
        <f t="shared" si="120"/>
        <v>14</v>
      </c>
      <c r="T79" s="39">
        <f t="shared" si="110"/>
        <v>0.86609427860023702</v>
      </c>
      <c r="U79" s="39">
        <f t="shared" si="110"/>
        <v>0.93521468146599684</v>
      </c>
      <c r="V79" s="39">
        <f t="shared" si="189"/>
        <v>6.9120402865759822E-2</v>
      </c>
      <c r="W79" s="39">
        <f t="shared" si="190"/>
        <v>7.8390096641163351E-2</v>
      </c>
      <c r="X79" s="40">
        <f t="shared" si="111"/>
        <v>0.13065016106860558</v>
      </c>
      <c r="Y79" s="40" t="s">
        <v>21</v>
      </c>
      <c r="Z79" s="217">
        <f t="shared" si="112"/>
        <v>2.6130032213721117</v>
      </c>
      <c r="AA79" s="217">
        <f t="shared" si="113"/>
        <v>0.43550053689535195</v>
      </c>
    </row>
    <row r="80" spans="1:27" x14ac:dyDescent="0.25">
      <c r="A80" s="229">
        <f t="shared" ref="A80:B80" si="203">A79+1</f>
        <v>2926</v>
      </c>
      <c r="B80" s="230">
        <f t="shared" si="203"/>
        <v>70</v>
      </c>
      <c r="C80" s="229" t="str">
        <f t="shared" si="185"/>
        <v>24bX13-000_030_10</v>
      </c>
      <c r="D80" s="231">
        <f t="shared" si="115"/>
        <v>13</v>
      </c>
      <c r="E80" s="239">
        <f t="shared" si="82"/>
        <v>2.149</v>
      </c>
      <c r="F80" s="232">
        <f t="shared" si="94"/>
        <v>16.530769230769231</v>
      </c>
      <c r="G80" s="232">
        <f t="shared" si="83"/>
        <v>13.224615384615385</v>
      </c>
      <c r="H80" s="232">
        <f t="shared" si="84"/>
        <v>8.2653846153846153</v>
      </c>
      <c r="I80" s="232">
        <f t="shared" ref="I80:J80" si="204">I79</f>
        <v>8</v>
      </c>
      <c r="J80" s="233">
        <f t="shared" si="204"/>
        <v>0</v>
      </c>
      <c r="K80" s="228" t="str">
        <f t="shared" ref="K80" si="205">D80&amp;-10</f>
        <v>13-10</v>
      </c>
      <c r="L80" s="232">
        <f t="shared" si="169"/>
        <v>0.2</v>
      </c>
      <c r="M80" s="235">
        <v>30</v>
      </c>
      <c r="N80" s="232">
        <f t="shared" ref="N80:P80" si="206">N79</f>
        <v>150</v>
      </c>
      <c r="O80" s="232">
        <f t="shared" si="206"/>
        <v>160</v>
      </c>
      <c r="P80" s="232">
        <f t="shared" si="206"/>
        <v>750</v>
      </c>
      <c r="R80" s="38">
        <f t="shared" si="120"/>
        <v>12</v>
      </c>
      <c r="S80" s="38">
        <f t="shared" si="120"/>
        <v>14</v>
      </c>
      <c r="T80" s="39">
        <f t="shared" si="110"/>
        <v>0.86609427860023702</v>
      </c>
      <c r="U80" s="39">
        <f t="shared" si="110"/>
        <v>0.93521468146599684</v>
      </c>
      <c r="V80" s="39">
        <f t="shared" si="189"/>
        <v>6.9120402865759822E-2</v>
      </c>
      <c r="W80" s="39">
        <f t="shared" si="190"/>
        <v>7.8390096641163351E-2</v>
      </c>
      <c r="X80" s="40">
        <f t="shared" si="111"/>
        <v>0.13065016106860558</v>
      </c>
      <c r="Y80" s="40" t="s">
        <v>21</v>
      </c>
      <c r="Z80" s="217">
        <f t="shared" si="112"/>
        <v>2.6130032213721117</v>
      </c>
      <c r="AA80" s="217">
        <f t="shared" si="113"/>
        <v>0.43550053689535195</v>
      </c>
    </row>
    <row r="81" spans="1:27" x14ac:dyDescent="0.25">
      <c r="A81" s="229">
        <f t="shared" ref="A81:B81" si="207">A80+1</f>
        <v>2927</v>
      </c>
      <c r="B81" s="230">
        <f t="shared" si="207"/>
        <v>71</v>
      </c>
      <c r="C81" s="229" t="str">
        <f t="shared" si="185"/>
        <v>24bX13-000_060_11</v>
      </c>
      <c r="D81" s="231">
        <f t="shared" si="115"/>
        <v>13</v>
      </c>
      <c r="E81" s="239">
        <f t="shared" si="82"/>
        <v>2.149</v>
      </c>
      <c r="F81" s="232">
        <f t="shared" si="94"/>
        <v>16.530769230769231</v>
      </c>
      <c r="G81" s="232">
        <f t="shared" si="83"/>
        <v>13.224615384615385</v>
      </c>
      <c r="H81" s="232">
        <f t="shared" si="84"/>
        <v>8.2653846153846153</v>
      </c>
      <c r="I81" s="232">
        <f t="shared" ref="I81:J81" si="208">I80</f>
        <v>8</v>
      </c>
      <c r="J81" s="233">
        <f t="shared" si="208"/>
        <v>0</v>
      </c>
      <c r="K81" s="228" t="str">
        <f t="shared" ref="K81" si="209">D81&amp;-11</f>
        <v>13-11</v>
      </c>
      <c r="L81" s="232">
        <f t="shared" si="169"/>
        <v>0.2</v>
      </c>
      <c r="M81" s="235">
        <v>60</v>
      </c>
      <c r="N81" s="232">
        <f t="shared" ref="N81:P81" si="210">N80</f>
        <v>150</v>
      </c>
      <c r="O81" s="232">
        <f t="shared" si="210"/>
        <v>160</v>
      </c>
      <c r="P81" s="232">
        <f t="shared" si="210"/>
        <v>750</v>
      </c>
      <c r="R81" s="38">
        <f t="shared" si="120"/>
        <v>12</v>
      </c>
      <c r="S81" s="38">
        <f t="shared" si="120"/>
        <v>14</v>
      </c>
      <c r="T81" s="39">
        <f t="shared" si="110"/>
        <v>0.86609427860023702</v>
      </c>
      <c r="U81" s="39">
        <f t="shared" si="110"/>
        <v>0.93521468146599684</v>
      </c>
      <c r="V81" s="39">
        <f t="shared" si="189"/>
        <v>6.9120402865759822E-2</v>
      </c>
      <c r="W81" s="39">
        <f t="shared" si="190"/>
        <v>7.8390096641163351E-2</v>
      </c>
      <c r="X81" s="40">
        <f t="shared" si="111"/>
        <v>0.13065016106860558</v>
      </c>
      <c r="Y81" s="40" t="s">
        <v>21</v>
      </c>
      <c r="Z81" s="217">
        <f t="shared" si="112"/>
        <v>2.6130032213721117</v>
      </c>
      <c r="AA81" s="217">
        <f t="shared" si="113"/>
        <v>0.43550053689535195</v>
      </c>
    </row>
    <row r="82" spans="1:27" x14ac:dyDescent="0.25">
      <c r="A82" s="229">
        <f t="shared" ref="A82:B82" si="211">A81+1</f>
        <v>2928</v>
      </c>
      <c r="B82" s="230">
        <f t="shared" si="211"/>
        <v>72</v>
      </c>
      <c r="C82" s="229" t="str">
        <f t="shared" si="185"/>
        <v>24bX13-000_090_12</v>
      </c>
      <c r="D82" s="231">
        <f t="shared" si="115"/>
        <v>13</v>
      </c>
      <c r="E82" s="239">
        <f t="shared" si="82"/>
        <v>2.149</v>
      </c>
      <c r="F82" s="232">
        <f t="shared" si="94"/>
        <v>16.530769230769231</v>
      </c>
      <c r="G82" s="232">
        <f t="shared" si="83"/>
        <v>13.224615384615385</v>
      </c>
      <c r="H82" s="232">
        <f t="shared" si="84"/>
        <v>8.2653846153846153</v>
      </c>
      <c r="I82" s="232">
        <f t="shared" ref="I82:J82" si="212">I81</f>
        <v>8</v>
      </c>
      <c r="J82" s="233">
        <f t="shared" si="212"/>
        <v>0</v>
      </c>
      <c r="K82" s="228" t="str">
        <f t="shared" ref="K82" si="213">D82&amp;-12</f>
        <v>13-12</v>
      </c>
      <c r="L82" s="232">
        <f t="shared" si="169"/>
        <v>0.2</v>
      </c>
      <c r="M82" s="235">
        <v>90</v>
      </c>
      <c r="N82" s="232">
        <f t="shared" ref="N82:P82" si="214">N81</f>
        <v>150</v>
      </c>
      <c r="O82" s="232">
        <f t="shared" si="214"/>
        <v>160</v>
      </c>
      <c r="P82" s="232">
        <f t="shared" si="214"/>
        <v>750</v>
      </c>
      <c r="R82" s="38">
        <f t="shared" si="120"/>
        <v>12</v>
      </c>
      <c r="S82" s="38">
        <f t="shared" si="120"/>
        <v>14</v>
      </c>
      <c r="T82" s="39">
        <f t="shared" si="110"/>
        <v>0.86609427860023702</v>
      </c>
      <c r="U82" s="39">
        <f t="shared" si="110"/>
        <v>0.93521468146599684</v>
      </c>
      <c r="V82" s="39">
        <f t="shared" si="189"/>
        <v>6.9120402865759822E-2</v>
      </c>
      <c r="W82" s="39">
        <f t="shared" si="190"/>
        <v>7.8390096641163351E-2</v>
      </c>
      <c r="X82" s="40">
        <f t="shared" si="111"/>
        <v>0.13065016106860558</v>
      </c>
      <c r="Y82" s="40" t="s">
        <v>21</v>
      </c>
      <c r="Z82" s="217">
        <f t="shared" si="112"/>
        <v>2.6130032213721117</v>
      </c>
      <c r="AA82" s="217">
        <f t="shared" si="113"/>
        <v>0.43550053689535195</v>
      </c>
    </row>
    <row r="83" spans="1:27" x14ac:dyDescent="0.25">
      <c r="A83" s="229">
        <f t="shared" ref="A83:B83" si="215">A82+1</f>
        <v>2929</v>
      </c>
      <c r="B83" s="230">
        <f t="shared" si="215"/>
        <v>73</v>
      </c>
      <c r="C83" s="229" t="str">
        <f t="shared" si="185"/>
        <v>24bX15-000_000_01</v>
      </c>
      <c r="D83" s="231">
        <f t="shared" ref="D83" si="216">D82+2</f>
        <v>15</v>
      </c>
      <c r="E83" s="239">
        <f t="shared" si="82"/>
        <v>2.3590000000000004</v>
      </c>
      <c r="F83" s="232">
        <f t="shared" si="94"/>
        <v>15.72666666666667</v>
      </c>
      <c r="G83" s="232">
        <f t="shared" si="83"/>
        <v>12.581333333333337</v>
      </c>
      <c r="H83" s="232">
        <f t="shared" si="84"/>
        <v>7.8633333333333351</v>
      </c>
      <c r="I83" s="232">
        <f>inflow</f>
        <v>8</v>
      </c>
      <c r="J83" s="233">
        <f>yaw_null</f>
        <v>0</v>
      </c>
      <c r="K83" s="228" t="str">
        <f t="shared" ref="K83" si="217">D83&amp;-1</f>
        <v>15-1</v>
      </c>
      <c r="L83" s="232">
        <f>alpha_n</f>
        <v>0.2</v>
      </c>
      <c r="M83" s="235">
        <v>0</v>
      </c>
      <c r="N83" s="232">
        <f>t_out</f>
        <v>150</v>
      </c>
      <c r="O83" s="232">
        <f>trig_t</f>
        <v>160</v>
      </c>
      <c r="P83" s="232">
        <f>N83+T_s1</f>
        <v>750</v>
      </c>
      <c r="R83" s="38">
        <f t="shared" ref="R83" si="218">S82</f>
        <v>14</v>
      </c>
      <c r="S83" s="38">
        <f>R83+v_step</f>
        <v>16</v>
      </c>
      <c r="T83" s="39">
        <f t="shared" si="110"/>
        <v>0.93521468146599684</v>
      </c>
      <c r="U83" s="39">
        <f t="shared" si="110"/>
        <v>0.97196872164248893</v>
      </c>
      <c r="V83" s="39">
        <f t="shared" si="189"/>
        <v>3.6754040176492087E-2</v>
      </c>
      <c r="W83" s="39">
        <f t="shared" si="190"/>
        <v>4.1683101398930819E-2</v>
      </c>
      <c r="X83" s="40">
        <f t="shared" si="111"/>
        <v>6.9471835664884699E-2</v>
      </c>
      <c r="Y83" s="40" t="s">
        <v>21</v>
      </c>
      <c r="Z83" s="217">
        <f t="shared" si="112"/>
        <v>1.3894367132976939</v>
      </c>
      <c r="AA83" s="217">
        <f t="shared" si="113"/>
        <v>0.23157278554961566</v>
      </c>
    </row>
    <row r="84" spans="1:27" x14ac:dyDescent="0.25">
      <c r="A84" s="229">
        <f t="shared" ref="A84:B84" si="219">A83+1</f>
        <v>2930</v>
      </c>
      <c r="B84" s="230">
        <f t="shared" si="219"/>
        <v>74</v>
      </c>
      <c r="C84" s="229" t="str">
        <f t="shared" si="185"/>
        <v>24bX15-000_030_02</v>
      </c>
      <c r="D84" s="231">
        <f t="shared" ref="D84" si="220">D83</f>
        <v>15</v>
      </c>
      <c r="E84" s="239">
        <f t="shared" si="82"/>
        <v>2.3590000000000004</v>
      </c>
      <c r="F84" s="232">
        <f t="shared" si="94"/>
        <v>15.72666666666667</v>
      </c>
      <c r="G84" s="232">
        <f t="shared" si="83"/>
        <v>12.581333333333337</v>
      </c>
      <c r="H84" s="232">
        <f t="shared" si="84"/>
        <v>7.8633333333333351</v>
      </c>
      <c r="I84" s="232">
        <f t="shared" ref="I84:J84" si="221">I83</f>
        <v>8</v>
      </c>
      <c r="J84" s="233">
        <f t="shared" si="221"/>
        <v>0</v>
      </c>
      <c r="K84" s="228" t="str">
        <f t="shared" ref="K84" si="222">D84&amp;-2</f>
        <v>15-2</v>
      </c>
      <c r="L84" s="232">
        <f t="shared" ref="L84:L142" si="223">L83</f>
        <v>0.2</v>
      </c>
      <c r="M84" s="235">
        <v>30</v>
      </c>
      <c r="N84" s="232">
        <f t="shared" ref="N84:P84" si="224">N83</f>
        <v>150</v>
      </c>
      <c r="O84" s="232">
        <f t="shared" si="224"/>
        <v>160</v>
      </c>
      <c r="P84" s="232">
        <f t="shared" si="224"/>
        <v>750</v>
      </c>
      <c r="R84" s="38">
        <f t="shared" ref="R84:S84" si="225">R83</f>
        <v>14</v>
      </c>
      <c r="S84" s="38">
        <f t="shared" si="225"/>
        <v>16</v>
      </c>
      <c r="T84" s="39">
        <f t="shared" si="110"/>
        <v>0.93521468146599684</v>
      </c>
      <c r="U84" s="39">
        <f t="shared" si="110"/>
        <v>0.97196872164248893</v>
      </c>
      <c r="V84" s="39">
        <f t="shared" si="189"/>
        <v>3.6754040176492087E-2</v>
      </c>
      <c r="W84" s="39">
        <f t="shared" si="190"/>
        <v>4.1683101398930819E-2</v>
      </c>
      <c r="X84" s="40">
        <f t="shared" si="111"/>
        <v>6.9471835664884699E-2</v>
      </c>
      <c r="Y84" s="40" t="s">
        <v>21</v>
      </c>
      <c r="Z84" s="217">
        <f t="shared" si="112"/>
        <v>1.3894367132976939</v>
      </c>
      <c r="AA84" s="217">
        <f t="shared" si="113"/>
        <v>0.23157278554961566</v>
      </c>
    </row>
    <row r="85" spans="1:27" x14ac:dyDescent="0.25">
      <c r="A85" s="229">
        <f t="shared" ref="A85:B85" si="226">A84+1</f>
        <v>2931</v>
      </c>
      <c r="B85" s="230">
        <f t="shared" si="226"/>
        <v>75</v>
      </c>
      <c r="C85" s="229" t="str">
        <f t="shared" si="185"/>
        <v>24bX15-000_060_03</v>
      </c>
      <c r="D85" s="231">
        <f t="shared" si="115"/>
        <v>15</v>
      </c>
      <c r="E85" s="239">
        <f t="shared" si="82"/>
        <v>2.3590000000000004</v>
      </c>
      <c r="F85" s="232">
        <f t="shared" si="94"/>
        <v>15.72666666666667</v>
      </c>
      <c r="G85" s="232">
        <f t="shared" si="83"/>
        <v>12.581333333333337</v>
      </c>
      <c r="H85" s="232">
        <f t="shared" si="84"/>
        <v>7.8633333333333351</v>
      </c>
      <c r="I85" s="232">
        <f t="shared" ref="I85:J85" si="227">I84</f>
        <v>8</v>
      </c>
      <c r="J85" s="233">
        <f t="shared" si="227"/>
        <v>0</v>
      </c>
      <c r="K85" s="228" t="str">
        <f t="shared" ref="K85" si="228">D85&amp;-3</f>
        <v>15-3</v>
      </c>
      <c r="L85" s="232">
        <f t="shared" si="223"/>
        <v>0.2</v>
      </c>
      <c r="M85" s="235">
        <v>60</v>
      </c>
      <c r="N85" s="232">
        <f t="shared" ref="N85:P85" si="229">N84</f>
        <v>150</v>
      </c>
      <c r="O85" s="232">
        <f t="shared" si="229"/>
        <v>160</v>
      </c>
      <c r="P85" s="232">
        <f t="shared" si="229"/>
        <v>750</v>
      </c>
      <c r="R85" s="38">
        <f t="shared" si="120"/>
        <v>14</v>
      </c>
      <c r="S85" s="38">
        <f t="shared" si="120"/>
        <v>16</v>
      </c>
      <c r="T85" s="39">
        <f t="shared" si="110"/>
        <v>0.93521468146599684</v>
      </c>
      <c r="U85" s="39">
        <f t="shared" si="110"/>
        <v>0.97196872164248893</v>
      </c>
      <c r="V85" s="39">
        <f t="shared" si="189"/>
        <v>3.6754040176492087E-2</v>
      </c>
      <c r="W85" s="39">
        <f t="shared" si="190"/>
        <v>4.1683101398930819E-2</v>
      </c>
      <c r="X85" s="40">
        <f t="shared" si="111"/>
        <v>6.9471835664884699E-2</v>
      </c>
      <c r="Y85" s="40" t="s">
        <v>21</v>
      </c>
      <c r="Z85" s="217">
        <f t="shared" si="112"/>
        <v>1.3894367132976939</v>
      </c>
      <c r="AA85" s="217">
        <f t="shared" si="113"/>
        <v>0.23157278554961566</v>
      </c>
    </row>
    <row r="86" spans="1:27" x14ac:dyDescent="0.25">
      <c r="A86" s="229">
        <f t="shared" ref="A86:B86" si="230">A85+1</f>
        <v>2932</v>
      </c>
      <c r="B86" s="230">
        <f t="shared" si="230"/>
        <v>76</v>
      </c>
      <c r="C86" s="229" t="str">
        <f t="shared" si="185"/>
        <v>24bX15-000_090_04</v>
      </c>
      <c r="D86" s="231">
        <f t="shared" si="115"/>
        <v>15</v>
      </c>
      <c r="E86" s="239">
        <f t="shared" si="82"/>
        <v>2.3590000000000004</v>
      </c>
      <c r="F86" s="232">
        <f t="shared" si="94"/>
        <v>15.72666666666667</v>
      </c>
      <c r="G86" s="232">
        <f t="shared" si="83"/>
        <v>12.581333333333337</v>
      </c>
      <c r="H86" s="232">
        <f t="shared" si="84"/>
        <v>7.8633333333333351</v>
      </c>
      <c r="I86" s="232">
        <f t="shared" ref="I86:J86" si="231">I85</f>
        <v>8</v>
      </c>
      <c r="J86" s="233">
        <f t="shared" si="231"/>
        <v>0</v>
      </c>
      <c r="K86" s="228" t="str">
        <f t="shared" ref="K86" si="232">D86&amp;-4</f>
        <v>15-4</v>
      </c>
      <c r="L86" s="232">
        <f t="shared" si="223"/>
        <v>0.2</v>
      </c>
      <c r="M86" s="235">
        <v>90</v>
      </c>
      <c r="N86" s="232">
        <f t="shared" ref="N86:P86" si="233">N85</f>
        <v>150</v>
      </c>
      <c r="O86" s="232">
        <f t="shared" si="233"/>
        <v>160</v>
      </c>
      <c r="P86" s="232">
        <f t="shared" si="233"/>
        <v>750</v>
      </c>
      <c r="R86" s="38">
        <f t="shared" si="120"/>
        <v>14</v>
      </c>
      <c r="S86" s="38">
        <f t="shared" si="120"/>
        <v>16</v>
      </c>
      <c r="T86" s="39">
        <f t="shared" si="110"/>
        <v>0.93521468146599684</v>
      </c>
      <c r="U86" s="39">
        <f t="shared" si="110"/>
        <v>0.97196872164248893</v>
      </c>
      <c r="V86" s="39">
        <f t="shared" si="189"/>
        <v>3.6754040176492087E-2</v>
      </c>
      <c r="W86" s="39">
        <f t="shared" si="190"/>
        <v>4.1683101398930819E-2</v>
      </c>
      <c r="X86" s="40">
        <f t="shared" si="111"/>
        <v>6.9471835664884699E-2</v>
      </c>
      <c r="Y86" s="40" t="s">
        <v>21</v>
      </c>
      <c r="Z86" s="217">
        <f t="shared" si="112"/>
        <v>1.3894367132976939</v>
      </c>
      <c r="AA86" s="217">
        <f t="shared" si="113"/>
        <v>0.23157278554961566</v>
      </c>
    </row>
    <row r="87" spans="1:27" x14ac:dyDescent="0.25">
      <c r="A87" s="229">
        <f t="shared" ref="A87:B87" si="234">A86+1</f>
        <v>2933</v>
      </c>
      <c r="B87" s="230">
        <f t="shared" si="234"/>
        <v>77</v>
      </c>
      <c r="C87" s="229" t="str">
        <f t="shared" si="185"/>
        <v>24bX15-000_000_05</v>
      </c>
      <c r="D87" s="231">
        <f t="shared" si="115"/>
        <v>15</v>
      </c>
      <c r="E87" s="239">
        <f t="shared" si="82"/>
        <v>2.3590000000000004</v>
      </c>
      <c r="F87" s="232">
        <f t="shared" si="94"/>
        <v>15.72666666666667</v>
      </c>
      <c r="G87" s="232">
        <f t="shared" si="83"/>
        <v>12.581333333333337</v>
      </c>
      <c r="H87" s="232">
        <f t="shared" si="84"/>
        <v>7.8633333333333351</v>
      </c>
      <c r="I87" s="232">
        <f t="shared" ref="I87:J87" si="235">I86</f>
        <v>8</v>
      </c>
      <c r="J87" s="233">
        <f t="shared" si="235"/>
        <v>0</v>
      </c>
      <c r="K87" s="228" t="str">
        <f t="shared" ref="K87" si="236">D87&amp;-5</f>
        <v>15-5</v>
      </c>
      <c r="L87" s="232">
        <f t="shared" si="223"/>
        <v>0.2</v>
      </c>
      <c r="M87" s="235">
        <v>0</v>
      </c>
      <c r="N87" s="232">
        <f t="shared" ref="N87:P87" si="237">N86</f>
        <v>150</v>
      </c>
      <c r="O87" s="232">
        <f t="shared" si="237"/>
        <v>160</v>
      </c>
      <c r="P87" s="232">
        <f t="shared" si="237"/>
        <v>750</v>
      </c>
      <c r="R87" s="38">
        <f t="shared" si="120"/>
        <v>14</v>
      </c>
      <c r="S87" s="38">
        <f t="shared" si="120"/>
        <v>16</v>
      </c>
      <c r="T87" s="39">
        <f t="shared" si="110"/>
        <v>0.93521468146599684</v>
      </c>
      <c r="U87" s="39">
        <f t="shared" si="110"/>
        <v>0.97196872164248893</v>
      </c>
      <c r="V87" s="39">
        <f t="shared" si="189"/>
        <v>3.6754040176492087E-2</v>
      </c>
      <c r="W87" s="39">
        <f t="shared" si="190"/>
        <v>4.1683101398930819E-2</v>
      </c>
      <c r="X87" s="40">
        <f t="shared" si="111"/>
        <v>6.9471835664884699E-2</v>
      </c>
      <c r="Y87" s="40" t="s">
        <v>21</v>
      </c>
      <c r="Z87" s="217">
        <f t="shared" si="112"/>
        <v>1.3894367132976939</v>
      </c>
      <c r="AA87" s="217">
        <f t="shared" si="113"/>
        <v>0.23157278554961566</v>
      </c>
    </row>
    <row r="88" spans="1:27" x14ac:dyDescent="0.25">
      <c r="A88" s="229">
        <f t="shared" ref="A88:B88" si="238">A87+1</f>
        <v>2934</v>
      </c>
      <c r="B88" s="230">
        <f t="shared" si="238"/>
        <v>78</v>
      </c>
      <c r="C88" s="229" t="str">
        <f t="shared" si="185"/>
        <v>24bX15-000_030_06</v>
      </c>
      <c r="D88" s="231">
        <f t="shared" si="115"/>
        <v>15</v>
      </c>
      <c r="E88" s="239">
        <f t="shared" si="82"/>
        <v>2.3590000000000004</v>
      </c>
      <c r="F88" s="232">
        <f t="shared" si="94"/>
        <v>15.72666666666667</v>
      </c>
      <c r="G88" s="232">
        <f t="shared" si="83"/>
        <v>12.581333333333337</v>
      </c>
      <c r="H88" s="232">
        <f t="shared" si="84"/>
        <v>7.8633333333333351</v>
      </c>
      <c r="I88" s="232">
        <f t="shared" ref="I88:J88" si="239">I87</f>
        <v>8</v>
      </c>
      <c r="J88" s="233">
        <f t="shared" si="239"/>
        <v>0</v>
      </c>
      <c r="K88" s="228" t="str">
        <f t="shared" ref="K88" si="240">D88&amp;-6</f>
        <v>15-6</v>
      </c>
      <c r="L88" s="232">
        <f t="shared" si="223"/>
        <v>0.2</v>
      </c>
      <c r="M88" s="235">
        <v>30</v>
      </c>
      <c r="N88" s="232">
        <f t="shared" ref="N88:P88" si="241">N87</f>
        <v>150</v>
      </c>
      <c r="O88" s="232">
        <f t="shared" si="241"/>
        <v>160</v>
      </c>
      <c r="P88" s="232">
        <f t="shared" si="241"/>
        <v>750</v>
      </c>
      <c r="R88" s="38">
        <f t="shared" si="120"/>
        <v>14</v>
      </c>
      <c r="S88" s="38">
        <f t="shared" si="120"/>
        <v>16</v>
      </c>
      <c r="T88" s="39">
        <f t="shared" si="110"/>
        <v>0.93521468146599684</v>
      </c>
      <c r="U88" s="39">
        <f t="shared" si="110"/>
        <v>0.97196872164248893</v>
      </c>
      <c r="V88" s="39">
        <f t="shared" si="189"/>
        <v>3.6754040176492087E-2</v>
      </c>
      <c r="W88" s="39">
        <f t="shared" si="190"/>
        <v>4.1683101398930819E-2</v>
      </c>
      <c r="X88" s="40">
        <f t="shared" si="111"/>
        <v>6.9471835664884699E-2</v>
      </c>
      <c r="Y88" s="40" t="s">
        <v>21</v>
      </c>
      <c r="Z88" s="217">
        <f t="shared" si="112"/>
        <v>1.3894367132976939</v>
      </c>
      <c r="AA88" s="217">
        <f t="shared" si="113"/>
        <v>0.23157278554961566</v>
      </c>
    </row>
    <row r="89" spans="1:27" x14ac:dyDescent="0.25">
      <c r="A89" s="229">
        <f t="shared" ref="A89:B89" si="242">A88+1</f>
        <v>2935</v>
      </c>
      <c r="B89" s="230">
        <f t="shared" si="242"/>
        <v>79</v>
      </c>
      <c r="C89" s="229" t="str">
        <f t="shared" si="185"/>
        <v>24bX15-000_060_07</v>
      </c>
      <c r="D89" s="231">
        <f t="shared" si="115"/>
        <v>15</v>
      </c>
      <c r="E89" s="239">
        <f t="shared" si="82"/>
        <v>2.3590000000000004</v>
      </c>
      <c r="F89" s="232">
        <f t="shared" si="94"/>
        <v>15.72666666666667</v>
      </c>
      <c r="G89" s="232">
        <f t="shared" si="83"/>
        <v>12.581333333333337</v>
      </c>
      <c r="H89" s="232">
        <f t="shared" si="84"/>
        <v>7.8633333333333351</v>
      </c>
      <c r="I89" s="232">
        <f t="shared" ref="I89:J89" si="243">I88</f>
        <v>8</v>
      </c>
      <c r="J89" s="233">
        <f t="shared" si="243"/>
        <v>0</v>
      </c>
      <c r="K89" s="228" t="str">
        <f t="shared" ref="K89" si="244">D89&amp;-7</f>
        <v>15-7</v>
      </c>
      <c r="L89" s="232">
        <f t="shared" si="223"/>
        <v>0.2</v>
      </c>
      <c r="M89" s="235">
        <v>60</v>
      </c>
      <c r="N89" s="232">
        <f t="shared" ref="N89:P89" si="245">N88</f>
        <v>150</v>
      </c>
      <c r="O89" s="232">
        <f t="shared" si="245"/>
        <v>160</v>
      </c>
      <c r="P89" s="232">
        <f t="shared" si="245"/>
        <v>750</v>
      </c>
      <c r="R89" s="38">
        <f t="shared" si="120"/>
        <v>14</v>
      </c>
      <c r="S89" s="38">
        <f t="shared" si="120"/>
        <v>16</v>
      </c>
      <c r="T89" s="39">
        <f t="shared" si="110"/>
        <v>0.93521468146599684</v>
      </c>
      <c r="U89" s="39">
        <f t="shared" si="110"/>
        <v>0.97196872164248893</v>
      </c>
      <c r="V89" s="39">
        <f t="shared" si="189"/>
        <v>3.6754040176492087E-2</v>
      </c>
      <c r="W89" s="39">
        <f t="shared" si="190"/>
        <v>4.1683101398930819E-2</v>
      </c>
      <c r="X89" s="40">
        <f t="shared" si="111"/>
        <v>6.9471835664884699E-2</v>
      </c>
      <c r="Y89" s="40" t="s">
        <v>21</v>
      </c>
      <c r="Z89" s="217">
        <f t="shared" si="112"/>
        <v>1.3894367132976939</v>
      </c>
      <c r="AA89" s="217">
        <f t="shared" si="113"/>
        <v>0.23157278554961566</v>
      </c>
    </row>
    <row r="90" spans="1:27" x14ac:dyDescent="0.25">
      <c r="A90" s="229">
        <f t="shared" ref="A90:B90" si="246">A89+1</f>
        <v>2936</v>
      </c>
      <c r="B90" s="230">
        <f t="shared" si="246"/>
        <v>80</v>
      </c>
      <c r="C90" s="229" t="str">
        <f t="shared" si="185"/>
        <v>24bX15-000_090_08</v>
      </c>
      <c r="D90" s="231">
        <f t="shared" si="115"/>
        <v>15</v>
      </c>
      <c r="E90" s="239">
        <f t="shared" si="82"/>
        <v>2.3590000000000004</v>
      </c>
      <c r="F90" s="232">
        <f t="shared" si="94"/>
        <v>15.72666666666667</v>
      </c>
      <c r="G90" s="232">
        <f t="shared" si="83"/>
        <v>12.581333333333337</v>
      </c>
      <c r="H90" s="232">
        <f t="shared" si="84"/>
        <v>7.8633333333333351</v>
      </c>
      <c r="I90" s="232">
        <f t="shared" ref="I90:J90" si="247">I89</f>
        <v>8</v>
      </c>
      <c r="J90" s="233">
        <f t="shared" si="247"/>
        <v>0</v>
      </c>
      <c r="K90" s="228" t="str">
        <f t="shared" ref="K90" si="248">D90&amp;-8</f>
        <v>15-8</v>
      </c>
      <c r="L90" s="232">
        <f t="shared" si="223"/>
        <v>0.2</v>
      </c>
      <c r="M90" s="235">
        <v>90</v>
      </c>
      <c r="N90" s="232">
        <f t="shared" ref="N90:P90" si="249">N89</f>
        <v>150</v>
      </c>
      <c r="O90" s="232">
        <f t="shared" si="249"/>
        <v>160</v>
      </c>
      <c r="P90" s="232">
        <f t="shared" si="249"/>
        <v>750</v>
      </c>
      <c r="R90" s="38">
        <f t="shared" si="120"/>
        <v>14</v>
      </c>
      <c r="S90" s="38">
        <f t="shared" si="120"/>
        <v>16</v>
      </c>
      <c r="T90" s="39">
        <f t="shared" si="110"/>
        <v>0.93521468146599684</v>
      </c>
      <c r="U90" s="39">
        <f t="shared" si="110"/>
        <v>0.97196872164248893</v>
      </c>
      <c r="V90" s="39">
        <f t="shared" si="189"/>
        <v>3.6754040176492087E-2</v>
      </c>
      <c r="W90" s="39">
        <f t="shared" si="190"/>
        <v>4.1683101398930819E-2</v>
      </c>
      <c r="X90" s="40">
        <f t="shared" si="111"/>
        <v>6.9471835664884699E-2</v>
      </c>
      <c r="Y90" s="40" t="s">
        <v>21</v>
      </c>
      <c r="Z90" s="217">
        <f t="shared" si="112"/>
        <v>1.3894367132976939</v>
      </c>
      <c r="AA90" s="217">
        <f t="shared" si="113"/>
        <v>0.23157278554961566</v>
      </c>
    </row>
    <row r="91" spans="1:27" x14ac:dyDescent="0.25">
      <c r="A91" s="229">
        <f t="shared" ref="A91:B91" si="250">A90+1</f>
        <v>2937</v>
      </c>
      <c r="B91" s="230">
        <f t="shared" si="250"/>
        <v>81</v>
      </c>
      <c r="C91" s="229" t="str">
        <f t="shared" si="185"/>
        <v>24bX15-000_000_09</v>
      </c>
      <c r="D91" s="231">
        <f t="shared" si="115"/>
        <v>15</v>
      </c>
      <c r="E91" s="239">
        <f t="shared" si="82"/>
        <v>2.3590000000000004</v>
      </c>
      <c r="F91" s="232">
        <f t="shared" si="94"/>
        <v>15.72666666666667</v>
      </c>
      <c r="G91" s="232">
        <f t="shared" si="83"/>
        <v>12.581333333333337</v>
      </c>
      <c r="H91" s="232">
        <f t="shared" si="84"/>
        <v>7.8633333333333351</v>
      </c>
      <c r="I91" s="232">
        <f t="shared" ref="I91:J91" si="251">I90</f>
        <v>8</v>
      </c>
      <c r="J91" s="233">
        <f t="shared" si="251"/>
        <v>0</v>
      </c>
      <c r="K91" s="228" t="str">
        <f t="shared" ref="K91" si="252">D91&amp;-9</f>
        <v>15-9</v>
      </c>
      <c r="L91" s="232">
        <f t="shared" si="223"/>
        <v>0.2</v>
      </c>
      <c r="M91" s="235">
        <v>0</v>
      </c>
      <c r="N91" s="232">
        <f t="shared" ref="N91:P91" si="253">N90</f>
        <v>150</v>
      </c>
      <c r="O91" s="232">
        <f t="shared" si="253"/>
        <v>160</v>
      </c>
      <c r="P91" s="232">
        <f t="shared" si="253"/>
        <v>750</v>
      </c>
      <c r="R91" s="38">
        <f t="shared" si="120"/>
        <v>14</v>
      </c>
      <c r="S91" s="38">
        <f t="shared" si="120"/>
        <v>16</v>
      </c>
      <c r="T91" s="39">
        <f t="shared" si="110"/>
        <v>0.93521468146599684</v>
      </c>
      <c r="U91" s="39">
        <f t="shared" si="110"/>
        <v>0.97196872164248893</v>
      </c>
      <c r="V91" s="39">
        <f t="shared" si="189"/>
        <v>3.6754040176492087E-2</v>
      </c>
      <c r="W91" s="39">
        <f t="shared" si="190"/>
        <v>4.1683101398930819E-2</v>
      </c>
      <c r="X91" s="40">
        <f t="shared" si="111"/>
        <v>6.9471835664884699E-2</v>
      </c>
      <c r="Y91" s="40" t="s">
        <v>21</v>
      </c>
      <c r="Z91" s="217">
        <f t="shared" si="112"/>
        <v>1.3894367132976939</v>
      </c>
      <c r="AA91" s="217">
        <f t="shared" si="113"/>
        <v>0.23157278554961566</v>
      </c>
    </row>
    <row r="92" spans="1:27" x14ac:dyDescent="0.25">
      <c r="A92" s="229">
        <f t="shared" ref="A92:B92" si="254">A91+1</f>
        <v>2938</v>
      </c>
      <c r="B92" s="230">
        <f t="shared" si="254"/>
        <v>82</v>
      </c>
      <c r="C92" s="229" t="str">
        <f t="shared" si="185"/>
        <v>24bX15-000_030_10</v>
      </c>
      <c r="D92" s="231">
        <f t="shared" si="115"/>
        <v>15</v>
      </c>
      <c r="E92" s="239">
        <f t="shared" si="82"/>
        <v>2.3590000000000004</v>
      </c>
      <c r="F92" s="232">
        <f t="shared" si="94"/>
        <v>15.72666666666667</v>
      </c>
      <c r="G92" s="232">
        <f t="shared" si="83"/>
        <v>12.581333333333337</v>
      </c>
      <c r="H92" s="232">
        <f t="shared" si="84"/>
        <v>7.8633333333333351</v>
      </c>
      <c r="I92" s="232">
        <f t="shared" ref="I92:J92" si="255">I91</f>
        <v>8</v>
      </c>
      <c r="J92" s="233">
        <f t="shared" si="255"/>
        <v>0</v>
      </c>
      <c r="K92" s="228" t="str">
        <f t="shared" ref="K92" si="256">D92&amp;-10</f>
        <v>15-10</v>
      </c>
      <c r="L92" s="232">
        <f t="shared" si="223"/>
        <v>0.2</v>
      </c>
      <c r="M92" s="235">
        <v>30</v>
      </c>
      <c r="N92" s="232">
        <f t="shared" ref="N92:P92" si="257">N91</f>
        <v>150</v>
      </c>
      <c r="O92" s="232">
        <f t="shared" si="257"/>
        <v>160</v>
      </c>
      <c r="P92" s="232">
        <f t="shared" si="257"/>
        <v>750</v>
      </c>
      <c r="R92" s="38">
        <f t="shared" si="120"/>
        <v>14</v>
      </c>
      <c r="S92" s="38">
        <f t="shared" si="120"/>
        <v>16</v>
      </c>
      <c r="T92" s="39">
        <f t="shared" si="110"/>
        <v>0.93521468146599684</v>
      </c>
      <c r="U92" s="39">
        <f t="shared" si="110"/>
        <v>0.97196872164248893</v>
      </c>
      <c r="V92" s="39">
        <f t="shared" si="189"/>
        <v>3.6754040176492087E-2</v>
      </c>
      <c r="W92" s="39">
        <f t="shared" si="190"/>
        <v>4.1683101398930819E-2</v>
      </c>
      <c r="X92" s="40">
        <f t="shared" si="111"/>
        <v>6.9471835664884699E-2</v>
      </c>
      <c r="Y92" s="40" t="s">
        <v>21</v>
      </c>
      <c r="Z92" s="217">
        <f t="shared" si="112"/>
        <v>1.3894367132976939</v>
      </c>
      <c r="AA92" s="217">
        <f t="shared" si="113"/>
        <v>0.23157278554961566</v>
      </c>
    </row>
    <row r="93" spans="1:27" x14ac:dyDescent="0.25">
      <c r="A93" s="229">
        <f t="shared" ref="A93:B93" si="258">A92+1</f>
        <v>2939</v>
      </c>
      <c r="B93" s="230">
        <f t="shared" si="258"/>
        <v>83</v>
      </c>
      <c r="C93" s="229" t="str">
        <f t="shared" si="185"/>
        <v>24bX15-000_060_11</v>
      </c>
      <c r="D93" s="231">
        <f t="shared" si="115"/>
        <v>15</v>
      </c>
      <c r="E93" s="239">
        <f t="shared" si="82"/>
        <v>2.3590000000000004</v>
      </c>
      <c r="F93" s="232">
        <f t="shared" si="94"/>
        <v>15.72666666666667</v>
      </c>
      <c r="G93" s="232">
        <f t="shared" si="83"/>
        <v>12.581333333333337</v>
      </c>
      <c r="H93" s="232">
        <f t="shared" si="84"/>
        <v>7.8633333333333351</v>
      </c>
      <c r="I93" s="232">
        <f t="shared" ref="I93:J93" si="259">I92</f>
        <v>8</v>
      </c>
      <c r="J93" s="233">
        <f t="shared" si="259"/>
        <v>0</v>
      </c>
      <c r="K93" s="228" t="str">
        <f t="shared" ref="K93" si="260">D93&amp;-11</f>
        <v>15-11</v>
      </c>
      <c r="L93" s="232">
        <f t="shared" si="223"/>
        <v>0.2</v>
      </c>
      <c r="M93" s="235">
        <v>60</v>
      </c>
      <c r="N93" s="232">
        <f t="shared" ref="N93:P93" si="261">N92</f>
        <v>150</v>
      </c>
      <c r="O93" s="232">
        <f t="shared" si="261"/>
        <v>160</v>
      </c>
      <c r="P93" s="232">
        <f t="shared" si="261"/>
        <v>750</v>
      </c>
      <c r="R93" s="38">
        <f t="shared" si="120"/>
        <v>14</v>
      </c>
      <c r="S93" s="38">
        <f t="shared" si="120"/>
        <v>16</v>
      </c>
      <c r="T93" s="39">
        <f t="shared" si="110"/>
        <v>0.93521468146599684</v>
      </c>
      <c r="U93" s="39">
        <f t="shared" si="110"/>
        <v>0.97196872164248893</v>
      </c>
      <c r="V93" s="39">
        <f t="shared" si="189"/>
        <v>3.6754040176492087E-2</v>
      </c>
      <c r="W93" s="39">
        <f t="shared" si="190"/>
        <v>4.1683101398930819E-2</v>
      </c>
      <c r="X93" s="40">
        <f t="shared" si="111"/>
        <v>6.9471835664884699E-2</v>
      </c>
      <c r="Y93" s="40" t="s">
        <v>21</v>
      </c>
      <c r="Z93" s="217">
        <f t="shared" si="112"/>
        <v>1.3894367132976939</v>
      </c>
      <c r="AA93" s="217">
        <f t="shared" si="113"/>
        <v>0.23157278554961566</v>
      </c>
    </row>
    <row r="94" spans="1:27" x14ac:dyDescent="0.25">
      <c r="A94" s="229">
        <f t="shared" ref="A94:B94" si="262">A93+1</f>
        <v>2940</v>
      </c>
      <c r="B94" s="230">
        <f t="shared" si="262"/>
        <v>84</v>
      </c>
      <c r="C94" s="229" t="str">
        <f t="shared" si="185"/>
        <v>24bX15-000_090_12</v>
      </c>
      <c r="D94" s="231">
        <f t="shared" si="115"/>
        <v>15</v>
      </c>
      <c r="E94" s="239">
        <f t="shared" si="82"/>
        <v>2.3590000000000004</v>
      </c>
      <c r="F94" s="232">
        <f t="shared" si="94"/>
        <v>15.72666666666667</v>
      </c>
      <c r="G94" s="232">
        <f t="shared" si="83"/>
        <v>12.581333333333337</v>
      </c>
      <c r="H94" s="232">
        <f t="shared" si="84"/>
        <v>7.8633333333333351</v>
      </c>
      <c r="I94" s="232">
        <f t="shared" ref="I94:J94" si="263">I93</f>
        <v>8</v>
      </c>
      <c r="J94" s="233">
        <f t="shared" si="263"/>
        <v>0</v>
      </c>
      <c r="K94" s="228" t="str">
        <f t="shared" ref="K94" si="264">D94&amp;-12</f>
        <v>15-12</v>
      </c>
      <c r="L94" s="232">
        <f t="shared" si="223"/>
        <v>0.2</v>
      </c>
      <c r="M94" s="235">
        <v>90</v>
      </c>
      <c r="N94" s="232">
        <f t="shared" ref="N94:P94" si="265">N93</f>
        <v>150</v>
      </c>
      <c r="O94" s="232">
        <f t="shared" si="265"/>
        <v>160</v>
      </c>
      <c r="P94" s="232">
        <f t="shared" si="265"/>
        <v>750</v>
      </c>
      <c r="R94" s="38">
        <f t="shared" si="120"/>
        <v>14</v>
      </c>
      <c r="S94" s="38">
        <f t="shared" si="120"/>
        <v>16</v>
      </c>
      <c r="T94" s="39">
        <f t="shared" si="110"/>
        <v>0.93521468146599684</v>
      </c>
      <c r="U94" s="39">
        <f t="shared" si="110"/>
        <v>0.97196872164248893</v>
      </c>
      <c r="V94" s="39">
        <f t="shared" si="189"/>
        <v>3.6754040176492087E-2</v>
      </c>
      <c r="W94" s="39">
        <f t="shared" si="190"/>
        <v>4.1683101398930819E-2</v>
      </c>
      <c r="X94" s="40">
        <f t="shared" si="111"/>
        <v>6.9471835664884699E-2</v>
      </c>
      <c r="Y94" s="40" t="s">
        <v>21</v>
      </c>
      <c r="Z94" s="217">
        <f t="shared" si="112"/>
        <v>1.3894367132976939</v>
      </c>
      <c r="AA94" s="217">
        <f t="shared" si="113"/>
        <v>0.23157278554961566</v>
      </c>
    </row>
    <row r="95" spans="1:27" x14ac:dyDescent="0.25">
      <c r="A95" s="229">
        <f t="shared" ref="A95:B95" si="266">A94+1</f>
        <v>2941</v>
      </c>
      <c r="B95" s="230">
        <f t="shared" si="266"/>
        <v>85</v>
      </c>
      <c r="C95" s="229" t="str">
        <f t="shared" si="185"/>
        <v>24bX17-000_000_01</v>
      </c>
      <c r="D95" s="231">
        <f t="shared" ref="D95" si="267">D94+2</f>
        <v>17</v>
      </c>
      <c r="E95" s="239">
        <f t="shared" ref="E95:E154" si="268">I_ref*(0.75*D95+5.6)</f>
        <v>2.5690000000000004</v>
      </c>
      <c r="F95" s="232">
        <f t="shared" si="94"/>
        <v>15.111764705882354</v>
      </c>
      <c r="G95" s="232">
        <f t="shared" ref="G95:G154" si="269">m_ty*F95</f>
        <v>12.089411764705885</v>
      </c>
      <c r="H95" s="232">
        <f t="shared" ref="H95:H154" si="270">m_tz*F95</f>
        <v>7.5558823529411772</v>
      </c>
      <c r="I95" s="232">
        <f>inflow</f>
        <v>8</v>
      </c>
      <c r="J95" s="233">
        <f>yaw_null</f>
        <v>0</v>
      </c>
      <c r="K95" s="228" t="str">
        <f t="shared" ref="K95" si="271">D95&amp;-1</f>
        <v>17-1</v>
      </c>
      <c r="L95" s="232">
        <f>alpha_n</f>
        <v>0.2</v>
      </c>
      <c r="M95" s="235">
        <v>0</v>
      </c>
      <c r="N95" s="232">
        <f>t_out</f>
        <v>150</v>
      </c>
      <c r="O95" s="232">
        <f>trig_t</f>
        <v>160</v>
      </c>
      <c r="P95" s="232">
        <f>N95+T_s1</f>
        <v>750</v>
      </c>
      <c r="R95" s="38">
        <f t="shared" ref="R95" si="272">S94</f>
        <v>16</v>
      </c>
      <c r="S95" s="38">
        <f>R95+v_step</f>
        <v>18</v>
      </c>
      <c r="T95" s="39">
        <f t="shared" si="110"/>
        <v>0.97196872164248893</v>
      </c>
      <c r="U95" s="39">
        <f t="shared" si="110"/>
        <v>0.98915328946183989</v>
      </c>
      <c r="V95" s="39">
        <f t="shared" si="189"/>
        <v>1.718456781935096E-2</v>
      </c>
      <c r="W95" s="39">
        <f t="shared" si="190"/>
        <v>1.948917940643052E-2</v>
      </c>
      <c r="X95" s="40">
        <f t="shared" si="111"/>
        <v>3.2481965677384199E-2</v>
      </c>
      <c r="Y95" s="40" t="s">
        <v>21</v>
      </c>
      <c r="Z95" s="217">
        <f t="shared" si="112"/>
        <v>0.64963931354768401</v>
      </c>
      <c r="AA95" s="217">
        <f t="shared" si="113"/>
        <v>0.108273218924614</v>
      </c>
    </row>
    <row r="96" spans="1:27" x14ac:dyDescent="0.25">
      <c r="A96" s="229">
        <f t="shared" ref="A96:B96" si="273">A95+1</f>
        <v>2942</v>
      </c>
      <c r="B96" s="230">
        <f t="shared" si="273"/>
        <v>86</v>
      </c>
      <c r="C96" s="229" t="str">
        <f t="shared" si="185"/>
        <v>24bX17-000_030_02</v>
      </c>
      <c r="D96" s="231">
        <f t="shared" ref="D96" si="274">D95</f>
        <v>17</v>
      </c>
      <c r="E96" s="239">
        <f t="shared" si="268"/>
        <v>2.5690000000000004</v>
      </c>
      <c r="F96" s="232">
        <f t="shared" si="94"/>
        <v>15.111764705882354</v>
      </c>
      <c r="G96" s="232">
        <f t="shared" si="269"/>
        <v>12.089411764705885</v>
      </c>
      <c r="H96" s="232">
        <f t="shared" si="270"/>
        <v>7.5558823529411772</v>
      </c>
      <c r="I96" s="232">
        <f t="shared" ref="I96:J96" si="275">I95</f>
        <v>8</v>
      </c>
      <c r="J96" s="233">
        <f t="shared" si="275"/>
        <v>0</v>
      </c>
      <c r="K96" s="228" t="str">
        <f t="shared" ref="K96" si="276">D96&amp;-2</f>
        <v>17-2</v>
      </c>
      <c r="L96" s="232">
        <f t="shared" ref="L96:L154" si="277">L95</f>
        <v>0.2</v>
      </c>
      <c r="M96" s="235">
        <v>30</v>
      </c>
      <c r="N96" s="232">
        <f t="shared" ref="N96:P96" si="278">N95</f>
        <v>150</v>
      </c>
      <c r="O96" s="232">
        <f t="shared" si="278"/>
        <v>160</v>
      </c>
      <c r="P96" s="232">
        <f t="shared" si="278"/>
        <v>750</v>
      </c>
      <c r="R96" s="38">
        <f t="shared" ref="R96:S96" si="279">R95</f>
        <v>16</v>
      </c>
      <c r="S96" s="38">
        <f t="shared" si="279"/>
        <v>18</v>
      </c>
      <c r="T96" s="39">
        <f t="shared" si="110"/>
        <v>0.97196872164248893</v>
      </c>
      <c r="U96" s="39">
        <f t="shared" si="110"/>
        <v>0.98915328946183989</v>
      </c>
      <c r="V96" s="39">
        <f t="shared" si="189"/>
        <v>1.718456781935096E-2</v>
      </c>
      <c r="W96" s="39">
        <f t="shared" si="190"/>
        <v>1.948917940643052E-2</v>
      </c>
      <c r="X96" s="40">
        <f t="shared" si="111"/>
        <v>3.2481965677384199E-2</v>
      </c>
      <c r="Y96" s="40" t="s">
        <v>21</v>
      </c>
      <c r="Z96" s="217">
        <f t="shared" si="112"/>
        <v>0.64963931354768401</v>
      </c>
      <c r="AA96" s="217">
        <f t="shared" si="113"/>
        <v>0.108273218924614</v>
      </c>
    </row>
    <row r="97" spans="1:27" x14ac:dyDescent="0.25">
      <c r="A97" s="229">
        <f t="shared" ref="A97:B97" si="280">A96+1</f>
        <v>2943</v>
      </c>
      <c r="B97" s="230">
        <f t="shared" si="280"/>
        <v>87</v>
      </c>
      <c r="C97" s="229" t="str">
        <f t="shared" si="185"/>
        <v>24bX17-000_060_03</v>
      </c>
      <c r="D97" s="231">
        <f t="shared" si="115"/>
        <v>17</v>
      </c>
      <c r="E97" s="239">
        <f t="shared" si="268"/>
        <v>2.5690000000000004</v>
      </c>
      <c r="F97" s="232">
        <f t="shared" ref="F97:F154" si="281">E97/D97*100</f>
        <v>15.111764705882354</v>
      </c>
      <c r="G97" s="232">
        <f t="shared" si="269"/>
        <v>12.089411764705885</v>
      </c>
      <c r="H97" s="232">
        <f t="shared" si="270"/>
        <v>7.5558823529411772</v>
      </c>
      <c r="I97" s="232">
        <f t="shared" ref="I97:J97" si="282">I96</f>
        <v>8</v>
      </c>
      <c r="J97" s="233">
        <f t="shared" si="282"/>
        <v>0</v>
      </c>
      <c r="K97" s="228" t="str">
        <f t="shared" ref="K97" si="283">D97&amp;-3</f>
        <v>17-3</v>
      </c>
      <c r="L97" s="232">
        <f t="shared" si="277"/>
        <v>0.2</v>
      </c>
      <c r="M97" s="235">
        <v>60</v>
      </c>
      <c r="N97" s="232">
        <f t="shared" ref="N97:P97" si="284">N96</f>
        <v>150</v>
      </c>
      <c r="O97" s="232">
        <f t="shared" si="284"/>
        <v>160</v>
      </c>
      <c r="P97" s="232">
        <f t="shared" si="284"/>
        <v>750</v>
      </c>
      <c r="R97" s="38">
        <f t="shared" si="120"/>
        <v>16</v>
      </c>
      <c r="S97" s="38">
        <f t="shared" si="120"/>
        <v>18</v>
      </c>
      <c r="T97" s="39">
        <f t="shared" si="110"/>
        <v>0.97196872164248893</v>
      </c>
      <c r="U97" s="39">
        <f t="shared" si="110"/>
        <v>0.98915328946183989</v>
      </c>
      <c r="V97" s="39">
        <f t="shared" si="189"/>
        <v>1.718456781935096E-2</v>
      </c>
      <c r="W97" s="39">
        <f t="shared" si="190"/>
        <v>1.948917940643052E-2</v>
      </c>
      <c r="X97" s="40">
        <f t="shared" si="111"/>
        <v>3.2481965677384199E-2</v>
      </c>
      <c r="Y97" s="40" t="s">
        <v>21</v>
      </c>
      <c r="Z97" s="217">
        <f t="shared" si="112"/>
        <v>0.64963931354768401</v>
      </c>
      <c r="AA97" s="217">
        <f t="shared" si="113"/>
        <v>0.108273218924614</v>
      </c>
    </row>
    <row r="98" spans="1:27" x14ac:dyDescent="0.25">
      <c r="A98" s="229">
        <f t="shared" ref="A98:B98" si="285">A97+1</f>
        <v>2944</v>
      </c>
      <c r="B98" s="230">
        <f t="shared" si="285"/>
        <v>88</v>
      </c>
      <c r="C98" s="229" t="str">
        <f t="shared" si="185"/>
        <v>24bX17-000_090_04</v>
      </c>
      <c r="D98" s="231">
        <f t="shared" si="115"/>
        <v>17</v>
      </c>
      <c r="E98" s="239">
        <f t="shared" si="268"/>
        <v>2.5690000000000004</v>
      </c>
      <c r="F98" s="232">
        <f t="shared" si="281"/>
        <v>15.111764705882354</v>
      </c>
      <c r="G98" s="232">
        <f t="shared" si="269"/>
        <v>12.089411764705885</v>
      </c>
      <c r="H98" s="232">
        <f t="shared" si="270"/>
        <v>7.5558823529411772</v>
      </c>
      <c r="I98" s="232">
        <f t="shared" ref="I98:J98" si="286">I97</f>
        <v>8</v>
      </c>
      <c r="J98" s="233">
        <f t="shared" si="286"/>
        <v>0</v>
      </c>
      <c r="K98" s="228" t="str">
        <f t="shared" ref="K98" si="287">D98&amp;-4</f>
        <v>17-4</v>
      </c>
      <c r="L98" s="232">
        <f t="shared" si="277"/>
        <v>0.2</v>
      </c>
      <c r="M98" s="235">
        <v>90</v>
      </c>
      <c r="N98" s="232">
        <f t="shared" ref="N98:P98" si="288">N97</f>
        <v>150</v>
      </c>
      <c r="O98" s="232">
        <f t="shared" si="288"/>
        <v>160</v>
      </c>
      <c r="P98" s="232">
        <f t="shared" si="288"/>
        <v>750</v>
      </c>
      <c r="R98" s="38">
        <f t="shared" si="120"/>
        <v>16</v>
      </c>
      <c r="S98" s="38">
        <f t="shared" si="120"/>
        <v>18</v>
      </c>
      <c r="T98" s="39">
        <f t="shared" si="110"/>
        <v>0.97196872164248893</v>
      </c>
      <c r="U98" s="39">
        <f t="shared" si="110"/>
        <v>0.98915328946183989</v>
      </c>
      <c r="V98" s="39">
        <f t="shared" si="189"/>
        <v>1.718456781935096E-2</v>
      </c>
      <c r="W98" s="39">
        <f t="shared" si="190"/>
        <v>1.948917940643052E-2</v>
      </c>
      <c r="X98" s="40">
        <f t="shared" si="111"/>
        <v>3.2481965677384199E-2</v>
      </c>
      <c r="Y98" s="40" t="s">
        <v>21</v>
      </c>
      <c r="Z98" s="217">
        <f t="shared" si="112"/>
        <v>0.64963931354768401</v>
      </c>
      <c r="AA98" s="217">
        <f t="shared" si="113"/>
        <v>0.108273218924614</v>
      </c>
    </row>
    <row r="99" spans="1:27" x14ac:dyDescent="0.25">
      <c r="A99" s="229">
        <f t="shared" ref="A99:B99" si="289">A98+1</f>
        <v>2945</v>
      </c>
      <c r="B99" s="230">
        <f t="shared" si="289"/>
        <v>89</v>
      </c>
      <c r="C99" s="229" t="str">
        <f t="shared" si="185"/>
        <v>24bX17-000_000_05</v>
      </c>
      <c r="D99" s="231">
        <f t="shared" si="115"/>
        <v>17</v>
      </c>
      <c r="E99" s="239">
        <f t="shared" si="268"/>
        <v>2.5690000000000004</v>
      </c>
      <c r="F99" s="232">
        <f t="shared" si="281"/>
        <v>15.111764705882354</v>
      </c>
      <c r="G99" s="232">
        <f t="shared" si="269"/>
        <v>12.089411764705885</v>
      </c>
      <c r="H99" s="232">
        <f t="shared" si="270"/>
        <v>7.5558823529411772</v>
      </c>
      <c r="I99" s="232">
        <f t="shared" ref="I99:J99" si="290">I98</f>
        <v>8</v>
      </c>
      <c r="J99" s="233">
        <f t="shared" si="290"/>
        <v>0</v>
      </c>
      <c r="K99" s="228" t="str">
        <f t="shared" ref="K99" si="291">D99&amp;-5</f>
        <v>17-5</v>
      </c>
      <c r="L99" s="232">
        <f t="shared" si="277"/>
        <v>0.2</v>
      </c>
      <c r="M99" s="235">
        <v>0</v>
      </c>
      <c r="N99" s="232">
        <f t="shared" ref="N99:P99" si="292">N98</f>
        <v>150</v>
      </c>
      <c r="O99" s="232">
        <f t="shared" si="292"/>
        <v>160</v>
      </c>
      <c r="P99" s="232">
        <f t="shared" si="292"/>
        <v>750</v>
      </c>
      <c r="R99" s="38">
        <f t="shared" si="120"/>
        <v>16</v>
      </c>
      <c r="S99" s="38">
        <f t="shared" si="120"/>
        <v>18</v>
      </c>
      <c r="T99" s="39">
        <f t="shared" si="110"/>
        <v>0.97196872164248893</v>
      </c>
      <c r="U99" s="39">
        <f t="shared" si="110"/>
        <v>0.98915328946183989</v>
      </c>
      <c r="V99" s="39">
        <f t="shared" si="189"/>
        <v>1.718456781935096E-2</v>
      </c>
      <c r="W99" s="39">
        <f t="shared" si="190"/>
        <v>1.948917940643052E-2</v>
      </c>
      <c r="X99" s="40">
        <f t="shared" si="111"/>
        <v>3.2481965677384199E-2</v>
      </c>
      <c r="Y99" s="40" t="s">
        <v>21</v>
      </c>
      <c r="Z99" s="217">
        <f t="shared" si="112"/>
        <v>0.64963931354768401</v>
      </c>
      <c r="AA99" s="217">
        <f t="shared" si="113"/>
        <v>0.108273218924614</v>
      </c>
    </row>
    <row r="100" spans="1:27" x14ac:dyDescent="0.25">
      <c r="A100" s="229">
        <f t="shared" ref="A100:B100" si="293">A99+1</f>
        <v>2946</v>
      </c>
      <c r="B100" s="230">
        <f t="shared" si="293"/>
        <v>90</v>
      </c>
      <c r="C100" s="229" t="str">
        <f t="shared" si="185"/>
        <v>24bX17-000_030_06</v>
      </c>
      <c r="D100" s="231">
        <f t="shared" si="115"/>
        <v>17</v>
      </c>
      <c r="E100" s="239">
        <f t="shared" si="268"/>
        <v>2.5690000000000004</v>
      </c>
      <c r="F100" s="232">
        <f t="shared" si="281"/>
        <v>15.111764705882354</v>
      </c>
      <c r="G100" s="232">
        <f t="shared" si="269"/>
        <v>12.089411764705885</v>
      </c>
      <c r="H100" s="232">
        <f t="shared" si="270"/>
        <v>7.5558823529411772</v>
      </c>
      <c r="I100" s="232">
        <f t="shared" ref="I100:J100" si="294">I99</f>
        <v>8</v>
      </c>
      <c r="J100" s="233">
        <f t="shared" si="294"/>
        <v>0</v>
      </c>
      <c r="K100" s="228" t="str">
        <f t="shared" ref="K100" si="295">D100&amp;-6</f>
        <v>17-6</v>
      </c>
      <c r="L100" s="232">
        <f t="shared" si="277"/>
        <v>0.2</v>
      </c>
      <c r="M100" s="235">
        <v>30</v>
      </c>
      <c r="N100" s="232">
        <f t="shared" ref="N100:P100" si="296">N99</f>
        <v>150</v>
      </c>
      <c r="O100" s="232">
        <f t="shared" si="296"/>
        <v>160</v>
      </c>
      <c r="P100" s="232">
        <f t="shared" si="296"/>
        <v>750</v>
      </c>
      <c r="R100" s="38">
        <f t="shared" si="120"/>
        <v>16</v>
      </c>
      <c r="S100" s="38">
        <f t="shared" si="120"/>
        <v>18</v>
      </c>
      <c r="T100" s="39">
        <f t="shared" si="110"/>
        <v>0.97196872164248893</v>
      </c>
      <c r="U100" s="39">
        <f t="shared" si="110"/>
        <v>0.98915328946183989</v>
      </c>
      <c r="V100" s="39">
        <f t="shared" si="189"/>
        <v>1.718456781935096E-2</v>
      </c>
      <c r="W100" s="39">
        <f t="shared" si="190"/>
        <v>1.948917940643052E-2</v>
      </c>
      <c r="X100" s="40">
        <f t="shared" si="111"/>
        <v>3.2481965677384199E-2</v>
      </c>
      <c r="Y100" s="40" t="s">
        <v>21</v>
      </c>
      <c r="Z100" s="217">
        <f t="shared" si="112"/>
        <v>0.64963931354768401</v>
      </c>
      <c r="AA100" s="217">
        <f t="shared" si="113"/>
        <v>0.108273218924614</v>
      </c>
    </row>
    <row r="101" spans="1:27" x14ac:dyDescent="0.25">
      <c r="A101" s="229">
        <f t="shared" ref="A101:B101" si="297">A100+1</f>
        <v>2947</v>
      </c>
      <c r="B101" s="230">
        <f t="shared" si="297"/>
        <v>91</v>
      </c>
      <c r="C101" s="229" t="str">
        <f t="shared" si="185"/>
        <v>24bX17-000_060_07</v>
      </c>
      <c r="D101" s="231">
        <f t="shared" si="115"/>
        <v>17</v>
      </c>
      <c r="E101" s="239">
        <f t="shared" si="268"/>
        <v>2.5690000000000004</v>
      </c>
      <c r="F101" s="232">
        <f t="shared" si="281"/>
        <v>15.111764705882354</v>
      </c>
      <c r="G101" s="232">
        <f t="shared" si="269"/>
        <v>12.089411764705885</v>
      </c>
      <c r="H101" s="232">
        <f t="shared" si="270"/>
        <v>7.5558823529411772</v>
      </c>
      <c r="I101" s="232">
        <f t="shared" ref="I101:J101" si="298">I100</f>
        <v>8</v>
      </c>
      <c r="J101" s="233">
        <f t="shared" si="298"/>
        <v>0</v>
      </c>
      <c r="K101" s="228" t="str">
        <f t="shared" ref="K101" si="299">D101&amp;-7</f>
        <v>17-7</v>
      </c>
      <c r="L101" s="232">
        <f t="shared" si="277"/>
        <v>0.2</v>
      </c>
      <c r="M101" s="235">
        <v>60</v>
      </c>
      <c r="N101" s="232">
        <f t="shared" ref="N101:P101" si="300">N100</f>
        <v>150</v>
      </c>
      <c r="O101" s="232">
        <f t="shared" si="300"/>
        <v>160</v>
      </c>
      <c r="P101" s="232">
        <f t="shared" si="300"/>
        <v>750</v>
      </c>
      <c r="R101" s="38">
        <f t="shared" si="120"/>
        <v>16</v>
      </c>
      <c r="S101" s="38">
        <f t="shared" si="120"/>
        <v>18</v>
      </c>
      <c r="T101" s="39">
        <f t="shared" si="110"/>
        <v>0.97196872164248893</v>
      </c>
      <c r="U101" s="39">
        <f t="shared" si="110"/>
        <v>0.98915328946183989</v>
      </c>
      <c r="V101" s="39">
        <f t="shared" si="189"/>
        <v>1.718456781935096E-2</v>
      </c>
      <c r="W101" s="39">
        <f t="shared" si="190"/>
        <v>1.948917940643052E-2</v>
      </c>
      <c r="X101" s="40">
        <f t="shared" si="111"/>
        <v>3.2481965677384199E-2</v>
      </c>
      <c r="Y101" s="40" t="s">
        <v>21</v>
      </c>
      <c r="Z101" s="217">
        <f t="shared" si="112"/>
        <v>0.64963931354768401</v>
      </c>
      <c r="AA101" s="217">
        <f t="shared" si="113"/>
        <v>0.108273218924614</v>
      </c>
    </row>
    <row r="102" spans="1:27" x14ac:dyDescent="0.25">
      <c r="A102" s="229">
        <f t="shared" ref="A102:B102" si="301">A101+1</f>
        <v>2948</v>
      </c>
      <c r="B102" s="230">
        <f t="shared" si="301"/>
        <v>92</v>
      </c>
      <c r="C102" s="229" t="str">
        <f t="shared" si="185"/>
        <v>24bX17-000_090_08</v>
      </c>
      <c r="D102" s="231">
        <f t="shared" si="115"/>
        <v>17</v>
      </c>
      <c r="E102" s="239">
        <f t="shared" si="268"/>
        <v>2.5690000000000004</v>
      </c>
      <c r="F102" s="232">
        <f t="shared" si="281"/>
        <v>15.111764705882354</v>
      </c>
      <c r="G102" s="232">
        <f t="shared" si="269"/>
        <v>12.089411764705885</v>
      </c>
      <c r="H102" s="232">
        <f t="shared" si="270"/>
        <v>7.5558823529411772</v>
      </c>
      <c r="I102" s="232">
        <f t="shared" ref="I102:J102" si="302">I101</f>
        <v>8</v>
      </c>
      <c r="J102" s="233">
        <f t="shared" si="302"/>
        <v>0</v>
      </c>
      <c r="K102" s="228" t="str">
        <f t="shared" ref="K102" si="303">D102&amp;-8</f>
        <v>17-8</v>
      </c>
      <c r="L102" s="232">
        <f t="shared" si="277"/>
        <v>0.2</v>
      </c>
      <c r="M102" s="235">
        <v>90</v>
      </c>
      <c r="N102" s="232">
        <f t="shared" ref="N102:P102" si="304">N101</f>
        <v>150</v>
      </c>
      <c r="O102" s="232">
        <f t="shared" si="304"/>
        <v>160</v>
      </c>
      <c r="P102" s="232">
        <f t="shared" si="304"/>
        <v>750</v>
      </c>
      <c r="R102" s="38">
        <f t="shared" si="120"/>
        <v>16</v>
      </c>
      <c r="S102" s="38">
        <f t="shared" si="120"/>
        <v>18</v>
      </c>
      <c r="T102" s="39">
        <f t="shared" si="110"/>
        <v>0.97196872164248893</v>
      </c>
      <c r="U102" s="39">
        <f t="shared" si="110"/>
        <v>0.98915328946183989</v>
      </c>
      <c r="V102" s="39">
        <f t="shared" si="189"/>
        <v>1.718456781935096E-2</v>
      </c>
      <c r="W102" s="39">
        <f t="shared" si="190"/>
        <v>1.948917940643052E-2</v>
      </c>
      <c r="X102" s="40">
        <f t="shared" si="111"/>
        <v>3.2481965677384199E-2</v>
      </c>
      <c r="Y102" s="40" t="s">
        <v>21</v>
      </c>
      <c r="Z102" s="217">
        <f t="shared" si="112"/>
        <v>0.64963931354768401</v>
      </c>
      <c r="AA102" s="217">
        <f t="shared" si="113"/>
        <v>0.108273218924614</v>
      </c>
    </row>
    <row r="103" spans="1:27" x14ac:dyDescent="0.25">
      <c r="A103" s="229">
        <f t="shared" ref="A103:B103" si="305">A102+1</f>
        <v>2949</v>
      </c>
      <c r="B103" s="230">
        <f t="shared" si="305"/>
        <v>93</v>
      </c>
      <c r="C103" s="229" t="str">
        <f t="shared" si="185"/>
        <v>24bX17-000_000_09</v>
      </c>
      <c r="D103" s="231">
        <f t="shared" si="115"/>
        <v>17</v>
      </c>
      <c r="E103" s="239">
        <f t="shared" si="268"/>
        <v>2.5690000000000004</v>
      </c>
      <c r="F103" s="232">
        <f t="shared" si="281"/>
        <v>15.111764705882354</v>
      </c>
      <c r="G103" s="232">
        <f t="shared" si="269"/>
        <v>12.089411764705885</v>
      </c>
      <c r="H103" s="232">
        <f t="shared" si="270"/>
        <v>7.5558823529411772</v>
      </c>
      <c r="I103" s="232">
        <f t="shared" ref="I103:J103" si="306">I102</f>
        <v>8</v>
      </c>
      <c r="J103" s="233">
        <f t="shared" si="306"/>
        <v>0</v>
      </c>
      <c r="K103" s="228" t="str">
        <f t="shared" ref="K103" si="307">D103&amp;-9</f>
        <v>17-9</v>
      </c>
      <c r="L103" s="232">
        <f t="shared" si="277"/>
        <v>0.2</v>
      </c>
      <c r="M103" s="235">
        <v>0</v>
      </c>
      <c r="N103" s="232">
        <f t="shared" ref="N103:P103" si="308">N102</f>
        <v>150</v>
      </c>
      <c r="O103" s="232">
        <f t="shared" si="308"/>
        <v>160</v>
      </c>
      <c r="P103" s="232">
        <f t="shared" si="308"/>
        <v>750</v>
      </c>
      <c r="R103" s="38">
        <f t="shared" si="120"/>
        <v>16</v>
      </c>
      <c r="S103" s="38">
        <f t="shared" si="120"/>
        <v>18</v>
      </c>
      <c r="T103" s="39">
        <f t="shared" si="110"/>
        <v>0.97196872164248893</v>
      </c>
      <c r="U103" s="39">
        <f t="shared" si="110"/>
        <v>0.98915328946183989</v>
      </c>
      <c r="V103" s="39">
        <f t="shared" si="189"/>
        <v>1.718456781935096E-2</v>
      </c>
      <c r="W103" s="39">
        <f t="shared" si="190"/>
        <v>1.948917940643052E-2</v>
      </c>
      <c r="X103" s="40">
        <f t="shared" si="111"/>
        <v>3.2481965677384199E-2</v>
      </c>
      <c r="Y103" s="40" t="s">
        <v>21</v>
      </c>
      <c r="Z103" s="217">
        <f t="shared" si="112"/>
        <v>0.64963931354768401</v>
      </c>
      <c r="AA103" s="217">
        <f t="shared" si="113"/>
        <v>0.108273218924614</v>
      </c>
    </row>
    <row r="104" spans="1:27" x14ac:dyDescent="0.25">
      <c r="A104" s="229">
        <f t="shared" ref="A104:B104" si="309">A103+1</f>
        <v>2950</v>
      </c>
      <c r="B104" s="230">
        <f t="shared" si="309"/>
        <v>94</v>
      </c>
      <c r="C104" s="229" t="str">
        <f t="shared" si="185"/>
        <v>24bX17-000_030_10</v>
      </c>
      <c r="D104" s="231">
        <f t="shared" si="115"/>
        <v>17</v>
      </c>
      <c r="E104" s="239">
        <f t="shared" si="268"/>
        <v>2.5690000000000004</v>
      </c>
      <c r="F104" s="232">
        <f t="shared" si="281"/>
        <v>15.111764705882354</v>
      </c>
      <c r="G104" s="232">
        <f t="shared" si="269"/>
        <v>12.089411764705885</v>
      </c>
      <c r="H104" s="232">
        <f t="shared" si="270"/>
        <v>7.5558823529411772</v>
      </c>
      <c r="I104" s="232">
        <f t="shared" ref="I104:J104" si="310">I103</f>
        <v>8</v>
      </c>
      <c r="J104" s="233">
        <f t="shared" si="310"/>
        <v>0</v>
      </c>
      <c r="K104" s="228" t="str">
        <f t="shared" ref="K104" si="311">D104&amp;-10</f>
        <v>17-10</v>
      </c>
      <c r="L104" s="232">
        <f t="shared" si="277"/>
        <v>0.2</v>
      </c>
      <c r="M104" s="235">
        <v>30</v>
      </c>
      <c r="N104" s="232">
        <f t="shared" ref="N104:P104" si="312">N103</f>
        <v>150</v>
      </c>
      <c r="O104" s="232">
        <f t="shared" si="312"/>
        <v>160</v>
      </c>
      <c r="P104" s="232">
        <f t="shared" si="312"/>
        <v>750</v>
      </c>
      <c r="R104" s="38">
        <f t="shared" si="120"/>
        <v>16</v>
      </c>
      <c r="S104" s="38">
        <f t="shared" si="120"/>
        <v>18</v>
      </c>
      <c r="T104" s="39">
        <f t="shared" si="110"/>
        <v>0.97196872164248893</v>
      </c>
      <c r="U104" s="39">
        <f t="shared" si="110"/>
        <v>0.98915328946183989</v>
      </c>
      <c r="V104" s="39">
        <f t="shared" si="189"/>
        <v>1.718456781935096E-2</v>
      </c>
      <c r="W104" s="39">
        <f t="shared" si="190"/>
        <v>1.948917940643052E-2</v>
      </c>
      <c r="X104" s="40">
        <f t="shared" si="111"/>
        <v>3.2481965677384199E-2</v>
      </c>
      <c r="Y104" s="40" t="s">
        <v>21</v>
      </c>
      <c r="Z104" s="217">
        <f t="shared" si="112"/>
        <v>0.64963931354768401</v>
      </c>
      <c r="AA104" s="217">
        <f t="shared" si="113"/>
        <v>0.108273218924614</v>
      </c>
    </row>
    <row r="105" spans="1:27" x14ac:dyDescent="0.25">
      <c r="A105" s="229">
        <f t="shared" ref="A105:B105" si="313">A104+1</f>
        <v>2951</v>
      </c>
      <c r="B105" s="230">
        <f t="shared" si="313"/>
        <v>95</v>
      </c>
      <c r="C105" s="229" t="str">
        <f t="shared" si="185"/>
        <v>24bX17-000_060_11</v>
      </c>
      <c r="D105" s="231">
        <f t="shared" si="115"/>
        <v>17</v>
      </c>
      <c r="E105" s="239">
        <f t="shared" si="268"/>
        <v>2.5690000000000004</v>
      </c>
      <c r="F105" s="232">
        <f t="shared" si="281"/>
        <v>15.111764705882354</v>
      </c>
      <c r="G105" s="232">
        <f t="shared" si="269"/>
        <v>12.089411764705885</v>
      </c>
      <c r="H105" s="232">
        <f t="shared" si="270"/>
        <v>7.5558823529411772</v>
      </c>
      <c r="I105" s="232">
        <f t="shared" ref="I105:J105" si="314">I104</f>
        <v>8</v>
      </c>
      <c r="J105" s="233">
        <f t="shared" si="314"/>
        <v>0</v>
      </c>
      <c r="K105" s="228" t="str">
        <f t="shared" ref="K105" si="315">D105&amp;-11</f>
        <v>17-11</v>
      </c>
      <c r="L105" s="232">
        <f t="shared" si="277"/>
        <v>0.2</v>
      </c>
      <c r="M105" s="235">
        <v>60</v>
      </c>
      <c r="N105" s="232">
        <f t="shared" ref="N105:P105" si="316">N104</f>
        <v>150</v>
      </c>
      <c r="O105" s="232">
        <f t="shared" si="316"/>
        <v>160</v>
      </c>
      <c r="P105" s="232">
        <f t="shared" si="316"/>
        <v>750</v>
      </c>
      <c r="R105" s="38">
        <f t="shared" si="120"/>
        <v>16</v>
      </c>
      <c r="S105" s="38">
        <f t="shared" si="120"/>
        <v>18</v>
      </c>
      <c r="T105" s="39">
        <f t="shared" si="110"/>
        <v>0.97196872164248893</v>
      </c>
      <c r="U105" s="39">
        <f t="shared" si="110"/>
        <v>0.98915328946183989</v>
      </c>
      <c r="V105" s="39">
        <f t="shared" si="189"/>
        <v>1.718456781935096E-2</v>
      </c>
      <c r="W105" s="39">
        <f t="shared" si="190"/>
        <v>1.948917940643052E-2</v>
      </c>
      <c r="X105" s="40">
        <f t="shared" si="111"/>
        <v>3.2481965677384199E-2</v>
      </c>
      <c r="Y105" s="40" t="s">
        <v>21</v>
      </c>
      <c r="Z105" s="217">
        <f t="shared" si="112"/>
        <v>0.64963931354768401</v>
      </c>
      <c r="AA105" s="217">
        <f t="shared" si="113"/>
        <v>0.108273218924614</v>
      </c>
    </row>
    <row r="106" spans="1:27" ht="15.75" thickBot="1" x14ac:dyDescent="0.3">
      <c r="A106" s="229">
        <f t="shared" ref="A106:B106" si="317">A105+1</f>
        <v>2952</v>
      </c>
      <c r="B106" s="230">
        <f t="shared" si="317"/>
        <v>96</v>
      </c>
      <c r="C106" s="229" t="str">
        <f t="shared" si="185"/>
        <v>24bX17-000_090_12</v>
      </c>
      <c r="D106" s="231">
        <f t="shared" si="115"/>
        <v>17</v>
      </c>
      <c r="E106" s="239">
        <f t="shared" si="268"/>
        <v>2.5690000000000004</v>
      </c>
      <c r="F106" s="232">
        <f t="shared" si="281"/>
        <v>15.111764705882354</v>
      </c>
      <c r="G106" s="232">
        <f t="shared" si="269"/>
        <v>12.089411764705885</v>
      </c>
      <c r="H106" s="232">
        <f t="shared" si="270"/>
        <v>7.5558823529411772</v>
      </c>
      <c r="I106" s="232">
        <f t="shared" ref="I106:J106" si="318">I105</f>
        <v>8</v>
      </c>
      <c r="J106" s="233">
        <f t="shared" si="318"/>
        <v>0</v>
      </c>
      <c r="K106" s="228" t="str">
        <f t="shared" ref="K106" si="319">D106&amp;-12</f>
        <v>17-12</v>
      </c>
      <c r="L106" s="232">
        <f t="shared" si="277"/>
        <v>0.2</v>
      </c>
      <c r="M106" s="235">
        <v>90</v>
      </c>
      <c r="N106" s="232">
        <f t="shared" ref="N106:P106" si="320">N105</f>
        <v>150</v>
      </c>
      <c r="O106" s="232">
        <f t="shared" si="320"/>
        <v>160</v>
      </c>
      <c r="P106" s="232">
        <f t="shared" si="320"/>
        <v>750</v>
      </c>
      <c r="R106" s="38">
        <f t="shared" si="120"/>
        <v>16</v>
      </c>
      <c r="S106" s="38">
        <f t="shared" si="120"/>
        <v>18</v>
      </c>
      <c r="T106" s="39">
        <f t="shared" si="110"/>
        <v>0.97196872164248893</v>
      </c>
      <c r="U106" s="39">
        <f t="shared" si="110"/>
        <v>0.98915328946183989</v>
      </c>
      <c r="V106" s="39">
        <f t="shared" si="189"/>
        <v>1.718456781935096E-2</v>
      </c>
      <c r="W106" s="39">
        <f t="shared" si="190"/>
        <v>1.948917940643052E-2</v>
      </c>
      <c r="X106" s="40">
        <f t="shared" si="111"/>
        <v>3.2481965677384199E-2</v>
      </c>
      <c r="Y106" s="40" t="s">
        <v>21</v>
      </c>
      <c r="Z106" s="217">
        <f t="shared" si="112"/>
        <v>0.64963931354768401</v>
      </c>
      <c r="AA106" s="217">
        <f t="shared" si="113"/>
        <v>0.108273218924614</v>
      </c>
    </row>
    <row r="107" spans="1:27" x14ac:dyDescent="0.25">
      <c r="A107" s="229">
        <f t="shared" ref="A107:B107" si="321">A106+1</f>
        <v>2953</v>
      </c>
      <c r="B107" s="230">
        <f t="shared" si="321"/>
        <v>97</v>
      </c>
      <c r="C107" s="229" t="str">
        <f t="shared" si="185"/>
        <v>24bX19-000_000_01</v>
      </c>
      <c r="D107" s="231">
        <f t="shared" ref="D107" si="322">D106+2</f>
        <v>19</v>
      </c>
      <c r="E107" s="239">
        <f t="shared" si="268"/>
        <v>2.7790000000000004</v>
      </c>
      <c r="F107" s="232">
        <f t="shared" si="281"/>
        <v>14.626315789473686</v>
      </c>
      <c r="G107" s="232">
        <f t="shared" si="269"/>
        <v>11.70105263157895</v>
      </c>
      <c r="H107" s="232">
        <f t="shared" si="270"/>
        <v>7.3131578947368432</v>
      </c>
      <c r="I107" s="227">
        <f>inflow</f>
        <v>8</v>
      </c>
      <c r="J107" s="193">
        <f>yaw_null</f>
        <v>0</v>
      </c>
      <c r="K107" s="228" t="str">
        <f t="shared" ref="K107" si="323">D107&amp;-1</f>
        <v>19-1</v>
      </c>
      <c r="L107" s="232">
        <f>alpha_n</f>
        <v>0.2</v>
      </c>
      <c r="M107" s="235">
        <v>0</v>
      </c>
      <c r="N107" s="232">
        <f>t_out</f>
        <v>150</v>
      </c>
      <c r="O107" s="232">
        <f>trig_t</f>
        <v>160</v>
      </c>
      <c r="P107" s="232">
        <f>N107+T_s1</f>
        <v>750</v>
      </c>
      <c r="R107" s="38">
        <f t="shared" ref="R107" si="324">S106</f>
        <v>18</v>
      </c>
      <c r="S107" s="38">
        <f>R107+v_step</f>
        <v>20</v>
      </c>
      <c r="T107" s="39">
        <f t="shared" si="110"/>
        <v>0.98915328946183989</v>
      </c>
      <c r="U107" s="39">
        <f t="shared" si="110"/>
        <v>0.99624645144977986</v>
      </c>
      <c r="V107" s="39">
        <f t="shared" si="189"/>
        <v>7.0931619879399666E-3</v>
      </c>
      <c r="W107" s="39">
        <f t="shared" si="190"/>
        <v>8.0444214829870839E-3</v>
      </c>
      <c r="X107" s="40">
        <f t="shared" si="111"/>
        <v>1.3407369138311807E-2</v>
      </c>
      <c r="Y107" s="40" t="s">
        <v>21</v>
      </c>
      <c r="Z107" s="217">
        <f t="shared" si="112"/>
        <v>0.26814738276623612</v>
      </c>
      <c r="AA107" s="217">
        <f t="shared" si="113"/>
        <v>4.4691230461039351E-2</v>
      </c>
    </row>
    <row r="108" spans="1:27" x14ac:dyDescent="0.25">
      <c r="A108" s="229">
        <f t="shared" ref="A108:B108" si="325">A107+1</f>
        <v>2954</v>
      </c>
      <c r="B108" s="230">
        <f t="shared" si="325"/>
        <v>98</v>
      </c>
      <c r="C108" s="229" t="str">
        <f t="shared" si="185"/>
        <v>24bX19-000_030_02</v>
      </c>
      <c r="D108" s="231">
        <f t="shared" ref="D108" si="326">D107</f>
        <v>19</v>
      </c>
      <c r="E108" s="239">
        <f t="shared" si="268"/>
        <v>2.7790000000000004</v>
      </c>
      <c r="F108" s="232">
        <f t="shared" si="281"/>
        <v>14.626315789473686</v>
      </c>
      <c r="G108" s="232">
        <f t="shared" si="269"/>
        <v>11.70105263157895</v>
      </c>
      <c r="H108" s="232">
        <f t="shared" si="270"/>
        <v>7.3131578947368432</v>
      </c>
      <c r="I108" s="232">
        <f t="shared" ref="I108:J108" si="327">I107</f>
        <v>8</v>
      </c>
      <c r="J108" s="233">
        <f t="shared" si="327"/>
        <v>0</v>
      </c>
      <c r="K108" s="228" t="str">
        <f t="shared" ref="K108" si="328">D108&amp;-2</f>
        <v>19-2</v>
      </c>
      <c r="L108" s="232">
        <f t="shared" si="118"/>
        <v>0.2</v>
      </c>
      <c r="M108" s="235">
        <v>30</v>
      </c>
      <c r="N108" s="232">
        <f t="shared" ref="N108:P108" si="329">N107</f>
        <v>150</v>
      </c>
      <c r="O108" s="232">
        <f t="shared" si="329"/>
        <v>160</v>
      </c>
      <c r="P108" s="232">
        <f t="shared" si="329"/>
        <v>750</v>
      </c>
      <c r="R108" s="38">
        <f t="shared" ref="R108:S108" si="330">R107</f>
        <v>18</v>
      </c>
      <c r="S108" s="38">
        <f t="shared" si="330"/>
        <v>20</v>
      </c>
      <c r="T108" s="39">
        <f t="shared" si="110"/>
        <v>0.98915328946183989</v>
      </c>
      <c r="U108" s="39">
        <f t="shared" si="110"/>
        <v>0.99624645144977986</v>
      </c>
      <c r="V108" s="39">
        <f t="shared" si="189"/>
        <v>7.0931619879399666E-3</v>
      </c>
      <c r="W108" s="39">
        <f t="shared" si="190"/>
        <v>8.0444214829870839E-3</v>
      </c>
      <c r="X108" s="40">
        <f t="shared" si="111"/>
        <v>1.3407369138311807E-2</v>
      </c>
      <c r="Y108" s="40" t="s">
        <v>21</v>
      </c>
      <c r="Z108" s="217">
        <f t="shared" si="112"/>
        <v>0.26814738276623612</v>
      </c>
      <c r="AA108" s="217">
        <f t="shared" si="113"/>
        <v>4.4691230461039351E-2</v>
      </c>
    </row>
    <row r="109" spans="1:27" x14ac:dyDescent="0.25">
      <c r="A109" s="229">
        <f t="shared" ref="A109:B109" si="331">A108+1</f>
        <v>2955</v>
      </c>
      <c r="B109" s="230">
        <f t="shared" si="331"/>
        <v>99</v>
      </c>
      <c r="C109" s="229" t="str">
        <f t="shared" si="185"/>
        <v>24bX19-000_060_03</v>
      </c>
      <c r="D109" s="231">
        <f t="shared" si="115"/>
        <v>19</v>
      </c>
      <c r="E109" s="239">
        <f t="shared" si="268"/>
        <v>2.7790000000000004</v>
      </c>
      <c r="F109" s="232">
        <f t="shared" si="281"/>
        <v>14.626315789473686</v>
      </c>
      <c r="G109" s="232">
        <f t="shared" si="269"/>
        <v>11.70105263157895</v>
      </c>
      <c r="H109" s="232">
        <f t="shared" si="270"/>
        <v>7.3131578947368432</v>
      </c>
      <c r="I109" s="232">
        <f t="shared" ref="I109:J109" si="332">I108</f>
        <v>8</v>
      </c>
      <c r="J109" s="233">
        <f t="shared" si="332"/>
        <v>0</v>
      </c>
      <c r="K109" s="228" t="str">
        <f t="shared" ref="K109" si="333">D109&amp;-3</f>
        <v>19-3</v>
      </c>
      <c r="L109" s="232">
        <f t="shared" si="118"/>
        <v>0.2</v>
      </c>
      <c r="M109" s="235">
        <v>60</v>
      </c>
      <c r="N109" s="232">
        <f t="shared" ref="N109:P109" si="334">N108</f>
        <v>150</v>
      </c>
      <c r="O109" s="232">
        <f t="shared" si="334"/>
        <v>160</v>
      </c>
      <c r="P109" s="232">
        <f t="shared" si="334"/>
        <v>750</v>
      </c>
      <c r="R109" s="38">
        <f t="shared" si="120"/>
        <v>18</v>
      </c>
      <c r="S109" s="38">
        <f t="shared" si="120"/>
        <v>20</v>
      </c>
      <c r="T109" s="39">
        <f t="shared" si="110"/>
        <v>0.98915328946183989</v>
      </c>
      <c r="U109" s="39">
        <f t="shared" si="110"/>
        <v>0.99624645144977986</v>
      </c>
      <c r="V109" s="39">
        <f t="shared" si="189"/>
        <v>7.0931619879399666E-3</v>
      </c>
      <c r="W109" s="39">
        <f t="shared" si="190"/>
        <v>8.0444214829870839E-3</v>
      </c>
      <c r="X109" s="40">
        <f t="shared" si="111"/>
        <v>1.3407369138311807E-2</v>
      </c>
      <c r="Y109" s="40" t="s">
        <v>21</v>
      </c>
      <c r="Z109" s="217">
        <f t="shared" si="112"/>
        <v>0.26814738276623612</v>
      </c>
      <c r="AA109" s="217">
        <f t="shared" si="113"/>
        <v>4.4691230461039351E-2</v>
      </c>
    </row>
    <row r="110" spans="1:27" x14ac:dyDescent="0.25">
      <c r="A110" s="229">
        <f t="shared" ref="A110:B110" si="335">A109+1</f>
        <v>2956</v>
      </c>
      <c r="B110" s="230">
        <f t="shared" si="335"/>
        <v>100</v>
      </c>
      <c r="C110" s="229" t="str">
        <f t="shared" si="185"/>
        <v>24bX19-000_090_04</v>
      </c>
      <c r="D110" s="231">
        <f t="shared" si="115"/>
        <v>19</v>
      </c>
      <c r="E110" s="239">
        <f t="shared" si="268"/>
        <v>2.7790000000000004</v>
      </c>
      <c r="F110" s="232">
        <f t="shared" si="281"/>
        <v>14.626315789473686</v>
      </c>
      <c r="G110" s="232">
        <f t="shared" si="269"/>
        <v>11.70105263157895</v>
      </c>
      <c r="H110" s="232">
        <f t="shared" si="270"/>
        <v>7.3131578947368432</v>
      </c>
      <c r="I110" s="232">
        <f t="shared" ref="I110:J110" si="336">I109</f>
        <v>8</v>
      </c>
      <c r="J110" s="233">
        <f t="shared" si="336"/>
        <v>0</v>
      </c>
      <c r="K110" s="228" t="str">
        <f t="shared" ref="K110" si="337">D110&amp;-4</f>
        <v>19-4</v>
      </c>
      <c r="L110" s="232">
        <f t="shared" si="118"/>
        <v>0.2</v>
      </c>
      <c r="M110" s="235">
        <v>90</v>
      </c>
      <c r="N110" s="232">
        <f t="shared" ref="N110:P110" si="338">N109</f>
        <v>150</v>
      </c>
      <c r="O110" s="232">
        <f t="shared" si="338"/>
        <v>160</v>
      </c>
      <c r="P110" s="232">
        <f t="shared" si="338"/>
        <v>750</v>
      </c>
      <c r="R110" s="38">
        <f t="shared" si="120"/>
        <v>18</v>
      </c>
      <c r="S110" s="38">
        <f t="shared" si="120"/>
        <v>20</v>
      </c>
      <c r="T110" s="39">
        <f t="shared" si="110"/>
        <v>0.98915328946183989</v>
      </c>
      <c r="U110" s="39">
        <f t="shared" si="110"/>
        <v>0.99624645144977986</v>
      </c>
      <c r="V110" s="39">
        <f t="shared" si="189"/>
        <v>7.0931619879399666E-3</v>
      </c>
      <c r="W110" s="39">
        <f t="shared" si="190"/>
        <v>8.0444214829870839E-3</v>
      </c>
      <c r="X110" s="40">
        <f t="shared" si="111"/>
        <v>1.3407369138311807E-2</v>
      </c>
      <c r="Y110" s="40" t="s">
        <v>21</v>
      </c>
      <c r="Z110" s="217">
        <f t="shared" si="112"/>
        <v>0.26814738276623612</v>
      </c>
      <c r="AA110" s="217">
        <f t="shared" si="113"/>
        <v>4.4691230461039351E-2</v>
      </c>
    </row>
    <row r="111" spans="1:27" x14ac:dyDescent="0.25">
      <c r="A111" s="229">
        <f t="shared" ref="A111:B111" si="339">A110+1</f>
        <v>2957</v>
      </c>
      <c r="B111" s="230">
        <f t="shared" si="339"/>
        <v>101</v>
      </c>
      <c r="C111" s="229" t="str">
        <f t="shared" si="185"/>
        <v>24bX19-000_000_05</v>
      </c>
      <c r="D111" s="231">
        <f t="shared" si="115"/>
        <v>19</v>
      </c>
      <c r="E111" s="239">
        <f t="shared" si="268"/>
        <v>2.7790000000000004</v>
      </c>
      <c r="F111" s="232">
        <f t="shared" si="281"/>
        <v>14.626315789473686</v>
      </c>
      <c r="G111" s="232">
        <f t="shared" si="269"/>
        <v>11.70105263157895</v>
      </c>
      <c r="H111" s="232">
        <f t="shared" si="270"/>
        <v>7.3131578947368432</v>
      </c>
      <c r="I111" s="232">
        <f t="shared" ref="I111:J111" si="340">I110</f>
        <v>8</v>
      </c>
      <c r="J111" s="233">
        <f t="shared" si="340"/>
        <v>0</v>
      </c>
      <c r="K111" s="228" t="str">
        <f t="shared" ref="K111" si="341">D111&amp;-5</f>
        <v>19-5</v>
      </c>
      <c r="L111" s="232">
        <f t="shared" si="118"/>
        <v>0.2</v>
      </c>
      <c r="M111" s="235">
        <v>0</v>
      </c>
      <c r="N111" s="232">
        <f t="shared" ref="N111:P111" si="342">N110</f>
        <v>150</v>
      </c>
      <c r="O111" s="232">
        <f t="shared" si="342"/>
        <v>160</v>
      </c>
      <c r="P111" s="232">
        <f t="shared" si="342"/>
        <v>750</v>
      </c>
      <c r="R111" s="38">
        <f t="shared" si="120"/>
        <v>18</v>
      </c>
      <c r="S111" s="38">
        <f t="shared" si="120"/>
        <v>20</v>
      </c>
      <c r="T111" s="39">
        <f t="shared" si="110"/>
        <v>0.98915328946183989</v>
      </c>
      <c r="U111" s="39">
        <f t="shared" si="110"/>
        <v>0.99624645144977986</v>
      </c>
      <c r="V111" s="39">
        <f t="shared" si="189"/>
        <v>7.0931619879399666E-3</v>
      </c>
      <c r="W111" s="39">
        <f t="shared" si="190"/>
        <v>8.0444214829870839E-3</v>
      </c>
      <c r="X111" s="40">
        <f t="shared" si="111"/>
        <v>1.3407369138311807E-2</v>
      </c>
      <c r="Y111" s="40" t="s">
        <v>21</v>
      </c>
      <c r="Z111" s="217">
        <f t="shared" si="112"/>
        <v>0.26814738276623612</v>
      </c>
      <c r="AA111" s="217">
        <f t="shared" si="113"/>
        <v>4.4691230461039351E-2</v>
      </c>
    </row>
    <row r="112" spans="1:27" x14ac:dyDescent="0.25">
      <c r="A112" s="229">
        <f t="shared" ref="A112:B112" si="343">A111+1</f>
        <v>2958</v>
      </c>
      <c r="B112" s="230">
        <f t="shared" si="343"/>
        <v>102</v>
      </c>
      <c r="C112" s="229" t="str">
        <f t="shared" si="185"/>
        <v>24bX19-000_030_06</v>
      </c>
      <c r="D112" s="231">
        <f t="shared" si="115"/>
        <v>19</v>
      </c>
      <c r="E112" s="239">
        <f t="shared" si="268"/>
        <v>2.7790000000000004</v>
      </c>
      <c r="F112" s="232">
        <f t="shared" si="281"/>
        <v>14.626315789473686</v>
      </c>
      <c r="G112" s="232">
        <f t="shared" si="269"/>
        <v>11.70105263157895</v>
      </c>
      <c r="H112" s="232">
        <f t="shared" si="270"/>
        <v>7.3131578947368432</v>
      </c>
      <c r="I112" s="232">
        <f t="shared" ref="I112:J112" si="344">I111</f>
        <v>8</v>
      </c>
      <c r="J112" s="233">
        <f t="shared" si="344"/>
        <v>0</v>
      </c>
      <c r="K112" s="228" t="str">
        <f t="shared" ref="K112" si="345">D112&amp;-6</f>
        <v>19-6</v>
      </c>
      <c r="L112" s="232">
        <f t="shared" si="118"/>
        <v>0.2</v>
      </c>
      <c r="M112" s="235">
        <v>30</v>
      </c>
      <c r="N112" s="232">
        <f t="shared" ref="N112:P112" si="346">N111</f>
        <v>150</v>
      </c>
      <c r="O112" s="232">
        <f t="shared" si="346"/>
        <v>160</v>
      </c>
      <c r="P112" s="232">
        <f t="shared" si="346"/>
        <v>750</v>
      </c>
      <c r="R112" s="38">
        <f t="shared" si="120"/>
        <v>18</v>
      </c>
      <c r="S112" s="38">
        <f t="shared" si="120"/>
        <v>20</v>
      </c>
      <c r="T112" s="39">
        <f t="shared" si="110"/>
        <v>0.98915328946183989</v>
      </c>
      <c r="U112" s="39">
        <f t="shared" si="110"/>
        <v>0.99624645144977986</v>
      </c>
      <c r="V112" s="39">
        <f t="shared" si="189"/>
        <v>7.0931619879399666E-3</v>
      </c>
      <c r="W112" s="39">
        <f t="shared" si="190"/>
        <v>8.0444214829870839E-3</v>
      </c>
      <c r="X112" s="40">
        <f t="shared" si="111"/>
        <v>1.3407369138311807E-2</v>
      </c>
      <c r="Y112" s="40" t="s">
        <v>21</v>
      </c>
      <c r="Z112" s="217">
        <f t="shared" si="112"/>
        <v>0.26814738276623612</v>
      </c>
      <c r="AA112" s="217">
        <f t="shared" si="113"/>
        <v>4.4691230461039351E-2</v>
      </c>
    </row>
    <row r="113" spans="1:27" x14ac:dyDescent="0.25">
      <c r="A113" s="229">
        <f t="shared" ref="A113:B113" si="347">A112+1</f>
        <v>2959</v>
      </c>
      <c r="B113" s="230">
        <f t="shared" si="347"/>
        <v>103</v>
      </c>
      <c r="C113" s="229" t="str">
        <f t="shared" si="185"/>
        <v>24bX19-000_060_07</v>
      </c>
      <c r="D113" s="231">
        <f t="shared" si="115"/>
        <v>19</v>
      </c>
      <c r="E113" s="239">
        <f t="shared" si="268"/>
        <v>2.7790000000000004</v>
      </c>
      <c r="F113" s="232">
        <f t="shared" si="281"/>
        <v>14.626315789473686</v>
      </c>
      <c r="G113" s="232">
        <f t="shared" si="269"/>
        <v>11.70105263157895</v>
      </c>
      <c r="H113" s="232">
        <f t="shared" si="270"/>
        <v>7.3131578947368432</v>
      </c>
      <c r="I113" s="232">
        <f t="shared" ref="I113:J113" si="348">I112</f>
        <v>8</v>
      </c>
      <c r="J113" s="233">
        <f t="shared" si="348"/>
        <v>0</v>
      </c>
      <c r="K113" s="228" t="str">
        <f t="shared" ref="K113" si="349">D113&amp;-7</f>
        <v>19-7</v>
      </c>
      <c r="L113" s="232">
        <f t="shared" si="118"/>
        <v>0.2</v>
      </c>
      <c r="M113" s="235">
        <v>60</v>
      </c>
      <c r="N113" s="232">
        <f t="shared" ref="N113:P113" si="350">N112</f>
        <v>150</v>
      </c>
      <c r="O113" s="232">
        <f t="shared" si="350"/>
        <v>160</v>
      </c>
      <c r="P113" s="232">
        <f t="shared" si="350"/>
        <v>750</v>
      </c>
      <c r="R113" s="38">
        <f t="shared" si="120"/>
        <v>18</v>
      </c>
      <c r="S113" s="38">
        <f t="shared" si="120"/>
        <v>20</v>
      </c>
      <c r="T113" s="39">
        <f t="shared" si="110"/>
        <v>0.98915328946183989</v>
      </c>
      <c r="U113" s="39">
        <f t="shared" si="110"/>
        <v>0.99624645144977986</v>
      </c>
      <c r="V113" s="39">
        <f t="shared" si="189"/>
        <v>7.0931619879399666E-3</v>
      </c>
      <c r="W113" s="39">
        <f t="shared" si="190"/>
        <v>8.0444214829870839E-3</v>
      </c>
      <c r="X113" s="40">
        <f t="shared" si="111"/>
        <v>1.3407369138311807E-2</v>
      </c>
      <c r="Y113" s="40" t="s">
        <v>21</v>
      </c>
      <c r="Z113" s="217">
        <f t="shared" si="112"/>
        <v>0.26814738276623612</v>
      </c>
      <c r="AA113" s="217">
        <f t="shared" si="113"/>
        <v>4.4691230461039351E-2</v>
      </c>
    </row>
    <row r="114" spans="1:27" x14ac:dyDescent="0.25">
      <c r="A114" s="229">
        <f t="shared" ref="A114:B114" si="351">A113+1</f>
        <v>2960</v>
      </c>
      <c r="B114" s="230">
        <f t="shared" si="351"/>
        <v>104</v>
      </c>
      <c r="C114" s="229" t="str">
        <f t="shared" si="185"/>
        <v>24bX19-000_090_08</v>
      </c>
      <c r="D114" s="231">
        <f t="shared" si="115"/>
        <v>19</v>
      </c>
      <c r="E114" s="239">
        <f t="shared" si="268"/>
        <v>2.7790000000000004</v>
      </c>
      <c r="F114" s="232">
        <f t="shared" si="281"/>
        <v>14.626315789473686</v>
      </c>
      <c r="G114" s="232">
        <f t="shared" si="269"/>
        <v>11.70105263157895</v>
      </c>
      <c r="H114" s="232">
        <f t="shared" si="270"/>
        <v>7.3131578947368432</v>
      </c>
      <c r="I114" s="232">
        <f t="shared" ref="I114:J114" si="352">I113</f>
        <v>8</v>
      </c>
      <c r="J114" s="233">
        <f t="shared" si="352"/>
        <v>0</v>
      </c>
      <c r="K114" s="228" t="str">
        <f t="shared" ref="K114" si="353">D114&amp;-8</f>
        <v>19-8</v>
      </c>
      <c r="L114" s="232">
        <f t="shared" si="118"/>
        <v>0.2</v>
      </c>
      <c r="M114" s="235">
        <v>90</v>
      </c>
      <c r="N114" s="232">
        <f t="shared" ref="N114:P114" si="354">N113</f>
        <v>150</v>
      </c>
      <c r="O114" s="232">
        <f t="shared" si="354"/>
        <v>160</v>
      </c>
      <c r="P114" s="232">
        <f t="shared" si="354"/>
        <v>750</v>
      </c>
      <c r="R114" s="38">
        <f t="shared" si="120"/>
        <v>18</v>
      </c>
      <c r="S114" s="38">
        <f t="shared" si="120"/>
        <v>20</v>
      </c>
      <c r="T114" s="39">
        <f t="shared" si="110"/>
        <v>0.98915328946183989</v>
      </c>
      <c r="U114" s="39">
        <f t="shared" si="110"/>
        <v>0.99624645144977986</v>
      </c>
      <c r="V114" s="39">
        <f t="shared" si="189"/>
        <v>7.0931619879399666E-3</v>
      </c>
      <c r="W114" s="39">
        <f t="shared" si="190"/>
        <v>8.0444214829870839E-3</v>
      </c>
      <c r="X114" s="40">
        <f t="shared" si="111"/>
        <v>1.3407369138311807E-2</v>
      </c>
      <c r="Y114" s="40" t="s">
        <v>21</v>
      </c>
      <c r="Z114" s="217">
        <f t="shared" si="112"/>
        <v>0.26814738276623612</v>
      </c>
      <c r="AA114" s="217">
        <f t="shared" si="113"/>
        <v>4.4691230461039351E-2</v>
      </c>
    </row>
    <row r="115" spans="1:27" x14ac:dyDescent="0.25">
      <c r="A115" s="229">
        <f t="shared" ref="A115:B115" si="355">A114+1</f>
        <v>2961</v>
      </c>
      <c r="B115" s="230">
        <f t="shared" si="355"/>
        <v>105</v>
      </c>
      <c r="C115" s="229" t="str">
        <f t="shared" si="185"/>
        <v>24bX19-000_000_09</v>
      </c>
      <c r="D115" s="231">
        <f t="shared" si="115"/>
        <v>19</v>
      </c>
      <c r="E115" s="239">
        <f t="shared" si="268"/>
        <v>2.7790000000000004</v>
      </c>
      <c r="F115" s="232">
        <f t="shared" si="281"/>
        <v>14.626315789473686</v>
      </c>
      <c r="G115" s="232">
        <f t="shared" si="269"/>
        <v>11.70105263157895</v>
      </c>
      <c r="H115" s="232">
        <f t="shared" si="270"/>
        <v>7.3131578947368432</v>
      </c>
      <c r="I115" s="232">
        <f t="shared" ref="I115:J115" si="356">I114</f>
        <v>8</v>
      </c>
      <c r="J115" s="233">
        <f t="shared" si="356"/>
        <v>0</v>
      </c>
      <c r="K115" s="228" t="str">
        <f t="shared" ref="K115" si="357">D115&amp;-9</f>
        <v>19-9</v>
      </c>
      <c r="L115" s="232">
        <f t="shared" si="118"/>
        <v>0.2</v>
      </c>
      <c r="M115" s="235">
        <v>0</v>
      </c>
      <c r="N115" s="232">
        <f t="shared" ref="N115:P115" si="358">N114</f>
        <v>150</v>
      </c>
      <c r="O115" s="232">
        <f t="shared" si="358"/>
        <v>160</v>
      </c>
      <c r="P115" s="232">
        <f t="shared" si="358"/>
        <v>750</v>
      </c>
      <c r="R115" s="38">
        <f t="shared" si="120"/>
        <v>18</v>
      </c>
      <c r="S115" s="38">
        <f t="shared" si="120"/>
        <v>20</v>
      </c>
      <c r="T115" s="39">
        <f t="shared" si="110"/>
        <v>0.98915328946183989</v>
      </c>
      <c r="U115" s="39">
        <f t="shared" si="110"/>
        <v>0.99624645144977986</v>
      </c>
      <c r="V115" s="39">
        <f t="shared" si="189"/>
        <v>7.0931619879399666E-3</v>
      </c>
      <c r="W115" s="39">
        <f t="shared" si="190"/>
        <v>8.0444214829870839E-3</v>
      </c>
      <c r="X115" s="40">
        <f t="shared" si="111"/>
        <v>1.3407369138311807E-2</v>
      </c>
      <c r="Y115" s="40" t="s">
        <v>21</v>
      </c>
      <c r="Z115" s="217">
        <f t="shared" si="112"/>
        <v>0.26814738276623612</v>
      </c>
      <c r="AA115" s="217">
        <f t="shared" si="113"/>
        <v>4.4691230461039351E-2</v>
      </c>
    </row>
    <row r="116" spans="1:27" x14ac:dyDescent="0.25">
      <c r="A116" s="229">
        <f t="shared" ref="A116:B116" si="359">A115+1</f>
        <v>2962</v>
      </c>
      <c r="B116" s="230">
        <f t="shared" si="359"/>
        <v>106</v>
      </c>
      <c r="C116" s="229" t="str">
        <f t="shared" si="185"/>
        <v>24bX19-000_030_10</v>
      </c>
      <c r="D116" s="231">
        <f t="shared" si="115"/>
        <v>19</v>
      </c>
      <c r="E116" s="239">
        <f t="shared" si="268"/>
        <v>2.7790000000000004</v>
      </c>
      <c r="F116" s="232">
        <f t="shared" si="281"/>
        <v>14.626315789473686</v>
      </c>
      <c r="G116" s="232">
        <f t="shared" si="269"/>
        <v>11.70105263157895</v>
      </c>
      <c r="H116" s="232">
        <f t="shared" si="270"/>
        <v>7.3131578947368432</v>
      </c>
      <c r="I116" s="232">
        <f t="shared" ref="I116:J116" si="360">I115</f>
        <v>8</v>
      </c>
      <c r="J116" s="233">
        <f t="shared" si="360"/>
        <v>0</v>
      </c>
      <c r="K116" s="228" t="str">
        <f t="shared" ref="K116" si="361">D116&amp;-10</f>
        <v>19-10</v>
      </c>
      <c r="L116" s="232">
        <f t="shared" si="118"/>
        <v>0.2</v>
      </c>
      <c r="M116" s="235">
        <v>30</v>
      </c>
      <c r="N116" s="232">
        <f t="shared" ref="N116:P116" si="362">N115</f>
        <v>150</v>
      </c>
      <c r="O116" s="232">
        <f t="shared" si="362"/>
        <v>160</v>
      </c>
      <c r="P116" s="232">
        <f t="shared" si="362"/>
        <v>750</v>
      </c>
      <c r="R116" s="38">
        <f t="shared" si="120"/>
        <v>18</v>
      </c>
      <c r="S116" s="38">
        <f t="shared" si="120"/>
        <v>20</v>
      </c>
      <c r="T116" s="39">
        <f t="shared" si="110"/>
        <v>0.98915328946183989</v>
      </c>
      <c r="U116" s="39">
        <f t="shared" si="110"/>
        <v>0.99624645144977986</v>
      </c>
      <c r="V116" s="39">
        <f t="shared" si="189"/>
        <v>7.0931619879399666E-3</v>
      </c>
      <c r="W116" s="39">
        <f t="shared" si="190"/>
        <v>8.0444214829870839E-3</v>
      </c>
      <c r="X116" s="40">
        <f t="shared" si="111"/>
        <v>1.3407369138311807E-2</v>
      </c>
      <c r="Y116" s="40" t="s">
        <v>21</v>
      </c>
      <c r="Z116" s="217">
        <f t="shared" si="112"/>
        <v>0.26814738276623612</v>
      </c>
      <c r="AA116" s="217">
        <f t="shared" si="113"/>
        <v>4.4691230461039351E-2</v>
      </c>
    </row>
    <row r="117" spans="1:27" x14ac:dyDescent="0.25">
      <c r="A117" s="229">
        <f t="shared" ref="A117:B117" si="363">A116+1</f>
        <v>2963</v>
      </c>
      <c r="B117" s="230">
        <f t="shared" si="363"/>
        <v>107</v>
      </c>
      <c r="C117" s="229" t="str">
        <f t="shared" si="185"/>
        <v>24bX19-000_060_11</v>
      </c>
      <c r="D117" s="231">
        <f t="shared" si="115"/>
        <v>19</v>
      </c>
      <c r="E117" s="239">
        <f t="shared" si="268"/>
        <v>2.7790000000000004</v>
      </c>
      <c r="F117" s="232">
        <f t="shared" si="281"/>
        <v>14.626315789473686</v>
      </c>
      <c r="G117" s="232">
        <f t="shared" si="269"/>
        <v>11.70105263157895</v>
      </c>
      <c r="H117" s="232">
        <f t="shared" si="270"/>
        <v>7.3131578947368432</v>
      </c>
      <c r="I117" s="232">
        <f t="shared" ref="I117:J117" si="364">I116</f>
        <v>8</v>
      </c>
      <c r="J117" s="233">
        <f t="shared" si="364"/>
        <v>0</v>
      </c>
      <c r="K117" s="228" t="str">
        <f t="shared" ref="K117" si="365">D117&amp;-11</f>
        <v>19-11</v>
      </c>
      <c r="L117" s="232">
        <f t="shared" si="118"/>
        <v>0.2</v>
      </c>
      <c r="M117" s="235">
        <v>60</v>
      </c>
      <c r="N117" s="232">
        <f t="shared" ref="N117:P117" si="366">N116</f>
        <v>150</v>
      </c>
      <c r="O117" s="232">
        <f t="shared" si="366"/>
        <v>160</v>
      </c>
      <c r="P117" s="232">
        <f t="shared" si="366"/>
        <v>750</v>
      </c>
      <c r="R117" s="38">
        <f t="shared" si="120"/>
        <v>18</v>
      </c>
      <c r="S117" s="38">
        <f t="shared" si="120"/>
        <v>20</v>
      </c>
      <c r="T117" s="39">
        <f t="shared" si="110"/>
        <v>0.98915328946183989</v>
      </c>
      <c r="U117" s="39">
        <f t="shared" si="110"/>
        <v>0.99624645144977986</v>
      </c>
      <c r="V117" s="39">
        <f t="shared" si="189"/>
        <v>7.0931619879399666E-3</v>
      </c>
      <c r="W117" s="39">
        <f t="shared" si="190"/>
        <v>8.0444214829870839E-3</v>
      </c>
      <c r="X117" s="40">
        <f t="shared" si="111"/>
        <v>1.3407369138311807E-2</v>
      </c>
      <c r="Y117" s="40" t="s">
        <v>21</v>
      </c>
      <c r="Z117" s="217">
        <f t="shared" si="112"/>
        <v>0.26814738276623612</v>
      </c>
      <c r="AA117" s="217">
        <f t="shared" si="113"/>
        <v>4.4691230461039351E-2</v>
      </c>
    </row>
    <row r="118" spans="1:27" x14ac:dyDescent="0.25">
      <c r="A118" s="229">
        <f t="shared" ref="A118:B118" si="367">A117+1</f>
        <v>2964</v>
      </c>
      <c r="B118" s="230">
        <f t="shared" si="367"/>
        <v>108</v>
      </c>
      <c r="C118" s="229" t="str">
        <f t="shared" si="185"/>
        <v>24bX19-000_090_12</v>
      </c>
      <c r="D118" s="231">
        <f t="shared" si="115"/>
        <v>19</v>
      </c>
      <c r="E118" s="239">
        <f t="shared" si="268"/>
        <v>2.7790000000000004</v>
      </c>
      <c r="F118" s="232">
        <f t="shared" si="281"/>
        <v>14.626315789473686</v>
      </c>
      <c r="G118" s="232">
        <f t="shared" si="269"/>
        <v>11.70105263157895</v>
      </c>
      <c r="H118" s="232">
        <f t="shared" si="270"/>
        <v>7.3131578947368432</v>
      </c>
      <c r="I118" s="232">
        <f t="shared" ref="I118:J118" si="368">I117</f>
        <v>8</v>
      </c>
      <c r="J118" s="233">
        <f t="shared" si="368"/>
        <v>0</v>
      </c>
      <c r="K118" s="228" t="str">
        <f t="shared" ref="K118" si="369">D118&amp;-12</f>
        <v>19-12</v>
      </c>
      <c r="L118" s="232">
        <f t="shared" si="118"/>
        <v>0.2</v>
      </c>
      <c r="M118" s="235">
        <v>90</v>
      </c>
      <c r="N118" s="232">
        <f t="shared" ref="N118:P118" si="370">N117</f>
        <v>150</v>
      </c>
      <c r="O118" s="232">
        <f t="shared" si="370"/>
        <v>160</v>
      </c>
      <c r="P118" s="232">
        <f t="shared" si="370"/>
        <v>750</v>
      </c>
      <c r="R118" s="38">
        <f t="shared" si="120"/>
        <v>18</v>
      </c>
      <c r="S118" s="38">
        <f t="shared" si="120"/>
        <v>20</v>
      </c>
      <c r="T118" s="39">
        <f t="shared" si="110"/>
        <v>0.98915328946183989</v>
      </c>
      <c r="U118" s="39">
        <f t="shared" si="110"/>
        <v>0.99624645144977986</v>
      </c>
      <c r="V118" s="39">
        <f t="shared" si="189"/>
        <v>7.0931619879399666E-3</v>
      </c>
      <c r="W118" s="39">
        <f t="shared" si="190"/>
        <v>8.0444214829870839E-3</v>
      </c>
      <c r="X118" s="40">
        <f t="shared" si="111"/>
        <v>1.3407369138311807E-2</v>
      </c>
      <c r="Y118" s="40" t="s">
        <v>21</v>
      </c>
      <c r="Z118" s="217">
        <f t="shared" si="112"/>
        <v>0.26814738276623612</v>
      </c>
      <c r="AA118" s="217">
        <f t="shared" si="113"/>
        <v>4.4691230461039351E-2</v>
      </c>
    </row>
    <row r="119" spans="1:27" x14ac:dyDescent="0.25">
      <c r="A119" s="229">
        <f t="shared" ref="A119:B119" si="371">A118+1</f>
        <v>2965</v>
      </c>
      <c r="B119" s="230">
        <f t="shared" si="371"/>
        <v>109</v>
      </c>
      <c r="C119" s="229" t="str">
        <f t="shared" si="185"/>
        <v>24bX21-000_000_01</v>
      </c>
      <c r="D119" s="231">
        <f t="shared" ref="D119" si="372">D118+2</f>
        <v>21</v>
      </c>
      <c r="E119" s="239">
        <f t="shared" si="268"/>
        <v>2.9890000000000003</v>
      </c>
      <c r="F119" s="232">
        <f t="shared" si="281"/>
        <v>14.233333333333334</v>
      </c>
      <c r="G119" s="232">
        <f t="shared" si="269"/>
        <v>11.386666666666668</v>
      </c>
      <c r="H119" s="232">
        <f t="shared" si="270"/>
        <v>7.1166666666666671</v>
      </c>
      <c r="I119" s="232">
        <f>inflow</f>
        <v>8</v>
      </c>
      <c r="J119" s="233">
        <f>yaw_null</f>
        <v>0</v>
      </c>
      <c r="K119" s="228" t="str">
        <f t="shared" ref="K119" si="373">D119&amp;-1</f>
        <v>21-1</v>
      </c>
      <c r="L119" s="232">
        <f>alpha_n</f>
        <v>0.2</v>
      </c>
      <c r="M119" s="235">
        <v>0</v>
      </c>
      <c r="N119" s="232">
        <f>t_out</f>
        <v>150</v>
      </c>
      <c r="O119" s="232">
        <f>trig_t</f>
        <v>160</v>
      </c>
      <c r="P119" s="232">
        <f>N119+T_s1</f>
        <v>750</v>
      </c>
      <c r="R119" s="38">
        <f t="shared" ref="R119" si="374">S118</f>
        <v>20</v>
      </c>
      <c r="S119" s="38">
        <f>R119+v_step</f>
        <v>22</v>
      </c>
      <c r="T119" s="39">
        <f t="shared" si="110"/>
        <v>0.99624645144977986</v>
      </c>
      <c r="U119" s="39">
        <f t="shared" si="110"/>
        <v>0.99883835115349351</v>
      </c>
      <c r="V119" s="39">
        <f t="shared" si="189"/>
        <v>2.5918997037136515E-3</v>
      </c>
      <c r="W119" s="39">
        <f t="shared" si="190"/>
        <v>2.9394977435666064E-3</v>
      </c>
      <c r="X119" s="40">
        <f t="shared" si="111"/>
        <v>4.8991629059443442E-3</v>
      </c>
      <c r="Y119" s="40" t="s">
        <v>21</v>
      </c>
      <c r="Z119" s="217">
        <f t="shared" si="112"/>
        <v>9.798325811888689E-2</v>
      </c>
      <c r="AA119" s="217">
        <f t="shared" si="113"/>
        <v>1.6330543019814483E-2</v>
      </c>
    </row>
    <row r="120" spans="1:27" x14ac:dyDescent="0.25">
      <c r="A120" s="229">
        <f t="shared" ref="A120:B120" si="375">A119+1</f>
        <v>2966</v>
      </c>
      <c r="B120" s="230">
        <f t="shared" si="375"/>
        <v>110</v>
      </c>
      <c r="C120" s="229" t="str">
        <f t="shared" si="185"/>
        <v>24bX21-000_030_02</v>
      </c>
      <c r="D120" s="231">
        <f t="shared" ref="D120" si="376">D119</f>
        <v>21</v>
      </c>
      <c r="E120" s="239">
        <f t="shared" si="268"/>
        <v>2.9890000000000003</v>
      </c>
      <c r="F120" s="232">
        <f t="shared" si="281"/>
        <v>14.233333333333334</v>
      </c>
      <c r="G120" s="232">
        <f t="shared" si="269"/>
        <v>11.386666666666668</v>
      </c>
      <c r="H120" s="232">
        <f t="shared" si="270"/>
        <v>7.1166666666666671</v>
      </c>
      <c r="I120" s="232">
        <f t="shared" ref="I120:J124" si="377">I119</f>
        <v>8</v>
      </c>
      <c r="J120" s="233">
        <f t="shared" si="377"/>
        <v>0</v>
      </c>
      <c r="K120" s="228" t="str">
        <f t="shared" ref="K120" si="378">D120&amp;-2</f>
        <v>21-2</v>
      </c>
      <c r="L120" s="232">
        <f t="shared" si="169"/>
        <v>0.2</v>
      </c>
      <c r="M120" s="235">
        <v>30</v>
      </c>
      <c r="N120" s="232">
        <f t="shared" ref="N120:P120" si="379">N119</f>
        <v>150</v>
      </c>
      <c r="O120" s="232">
        <f t="shared" si="379"/>
        <v>160</v>
      </c>
      <c r="P120" s="232">
        <f t="shared" si="379"/>
        <v>750</v>
      </c>
      <c r="R120" s="38">
        <f t="shared" ref="R120:S120" si="380">R119</f>
        <v>20</v>
      </c>
      <c r="S120" s="38">
        <f t="shared" si="380"/>
        <v>22</v>
      </c>
      <c r="T120" s="39">
        <f t="shared" si="110"/>
        <v>0.99624645144977986</v>
      </c>
      <c r="U120" s="39">
        <f t="shared" si="110"/>
        <v>0.99883835115349351</v>
      </c>
      <c r="V120" s="39">
        <f t="shared" si="189"/>
        <v>2.5918997037136515E-3</v>
      </c>
      <c r="W120" s="39">
        <f t="shared" si="190"/>
        <v>2.9394977435666064E-3</v>
      </c>
      <c r="X120" s="40">
        <f t="shared" si="111"/>
        <v>4.8991629059443442E-3</v>
      </c>
      <c r="Y120" s="40" t="s">
        <v>21</v>
      </c>
      <c r="Z120" s="217">
        <f t="shared" si="112"/>
        <v>9.798325811888689E-2</v>
      </c>
      <c r="AA120" s="217">
        <f t="shared" si="113"/>
        <v>1.6330543019814483E-2</v>
      </c>
    </row>
    <row r="121" spans="1:27" x14ac:dyDescent="0.25">
      <c r="A121" s="229">
        <f t="shared" ref="A121:B121" si="381">A120+1</f>
        <v>2967</v>
      </c>
      <c r="B121" s="230">
        <f t="shared" si="381"/>
        <v>111</v>
      </c>
      <c r="C121" s="229" t="str">
        <f t="shared" si="185"/>
        <v>24bX21-000_060_03</v>
      </c>
      <c r="D121" s="231">
        <f t="shared" si="115"/>
        <v>21</v>
      </c>
      <c r="E121" s="239">
        <f t="shared" si="268"/>
        <v>2.9890000000000003</v>
      </c>
      <c r="F121" s="232">
        <f t="shared" si="281"/>
        <v>14.233333333333334</v>
      </c>
      <c r="G121" s="232">
        <f t="shared" si="269"/>
        <v>11.386666666666668</v>
      </c>
      <c r="H121" s="232">
        <f t="shared" si="270"/>
        <v>7.1166666666666671</v>
      </c>
      <c r="I121" s="232">
        <f t="shared" ref="I121" si="382">I120</f>
        <v>8</v>
      </c>
      <c r="J121" s="233">
        <f t="shared" si="377"/>
        <v>0</v>
      </c>
      <c r="K121" s="228" t="str">
        <f t="shared" ref="K121" si="383">D121&amp;-3</f>
        <v>21-3</v>
      </c>
      <c r="L121" s="232">
        <f t="shared" si="169"/>
        <v>0.2</v>
      </c>
      <c r="M121" s="235">
        <v>60</v>
      </c>
      <c r="N121" s="232">
        <f t="shared" ref="N121:P121" si="384">N120</f>
        <v>150</v>
      </c>
      <c r="O121" s="232">
        <f t="shared" si="384"/>
        <v>160</v>
      </c>
      <c r="P121" s="232">
        <f t="shared" si="384"/>
        <v>750</v>
      </c>
      <c r="R121" s="38">
        <f t="shared" si="120"/>
        <v>20</v>
      </c>
      <c r="S121" s="38">
        <f t="shared" si="120"/>
        <v>22</v>
      </c>
      <c r="T121" s="39">
        <f t="shared" si="110"/>
        <v>0.99624645144977986</v>
      </c>
      <c r="U121" s="39">
        <f t="shared" si="110"/>
        <v>0.99883835115349351</v>
      </c>
      <c r="V121" s="39">
        <f t="shared" si="189"/>
        <v>2.5918997037136515E-3</v>
      </c>
      <c r="W121" s="39">
        <f t="shared" si="190"/>
        <v>2.9394977435666064E-3</v>
      </c>
      <c r="X121" s="40">
        <f t="shared" si="111"/>
        <v>4.8991629059443442E-3</v>
      </c>
      <c r="Y121" s="40" t="s">
        <v>21</v>
      </c>
      <c r="Z121" s="217">
        <f t="shared" si="112"/>
        <v>9.798325811888689E-2</v>
      </c>
      <c r="AA121" s="217">
        <f t="shared" si="113"/>
        <v>1.6330543019814483E-2</v>
      </c>
    </row>
    <row r="122" spans="1:27" x14ac:dyDescent="0.25">
      <c r="A122" s="229">
        <f t="shared" ref="A122:B122" si="385">A121+1</f>
        <v>2968</v>
      </c>
      <c r="B122" s="230">
        <f t="shared" si="385"/>
        <v>112</v>
      </c>
      <c r="C122" s="229" t="str">
        <f t="shared" si="185"/>
        <v>24bX21-000_090_04</v>
      </c>
      <c r="D122" s="231">
        <f t="shared" si="115"/>
        <v>21</v>
      </c>
      <c r="E122" s="239">
        <f t="shared" si="268"/>
        <v>2.9890000000000003</v>
      </c>
      <c r="F122" s="232">
        <f t="shared" si="281"/>
        <v>14.233333333333334</v>
      </c>
      <c r="G122" s="232">
        <f t="shared" si="269"/>
        <v>11.386666666666668</v>
      </c>
      <c r="H122" s="232">
        <f t="shared" si="270"/>
        <v>7.1166666666666671</v>
      </c>
      <c r="I122" s="232">
        <f t="shared" ref="I122" si="386">I121</f>
        <v>8</v>
      </c>
      <c r="J122" s="233">
        <f t="shared" si="377"/>
        <v>0</v>
      </c>
      <c r="K122" s="228" t="str">
        <f t="shared" ref="K122" si="387">D122&amp;-4</f>
        <v>21-4</v>
      </c>
      <c r="L122" s="232">
        <f t="shared" si="169"/>
        <v>0.2</v>
      </c>
      <c r="M122" s="235">
        <v>90</v>
      </c>
      <c r="N122" s="232">
        <f t="shared" ref="N122:P122" si="388">N121</f>
        <v>150</v>
      </c>
      <c r="O122" s="232">
        <f t="shared" si="388"/>
        <v>160</v>
      </c>
      <c r="P122" s="232">
        <f t="shared" si="388"/>
        <v>750</v>
      </c>
      <c r="R122" s="38">
        <f t="shared" si="120"/>
        <v>20</v>
      </c>
      <c r="S122" s="38">
        <f t="shared" si="120"/>
        <v>22</v>
      </c>
      <c r="T122" s="39">
        <f t="shared" si="110"/>
        <v>0.99624645144977986</v>
      </c>
      <c r="U122" s="39">
        <f t="shared" si="110"/>
        <v>0.99883835115349351</v>
      </c>
      <c r="V122" s="39">
        <f t="shared" si="189"/>
        <v>2.5918997037136515E-3</v>
      </c>
      <c r="W122" s="39">
        <f t="shared" si="190"/>
        <v>2.9394977435666064E-3</v>
      </c>
      <c r="X122" s="40">
        <f t="shared" si="111"/>
        <v>4.8991629059443442E-3</v>
      </c>
      <c r="Y122" s="40" t="s">
        <v>21</v>
      </c>
      <c r="Z122" s="217">
        <f t="shared" si="112"/>
        <v>9.798325811888689E-2</v>
      </c>
      <c r="AA122" s="217">
        <f t="shared" si="113"/>
        <v>1.6330543019814483E-2</v>
      </c>
    </row>
    <row r="123" spans="1:27" x14ac:dyDescent="0.25">
      <c r="A123" s="229">
        <f t="shared" ref="A123:B123" si="389">A122+1</f>
        <v>2969</v>
      </c>
      <c r="B123" s="230">
        <f t="shared" si="389"/>
        <v>113</v>
      </c>
      <c r="C123" s="229" t="str">
        <f t="shared" si="185"/>
        <v>24bX21-000_000_05</v>
      </c>
      <c r="D123" s="231">
        <f t="shared" si="115"/>
        <v>21</v>
      </c>
      <c r="E123" s="239">
        <f t="shared" si="268"/>
        <v>2.9890000000000003</v>
      </c>
      <c r="F123" s="232">
        <f t="shared" si="281"/>
        <v>14.233333333333334</v>
      </c>
      <c r="G123" s="232">
        <f t="shared" si="269"/>
        <v>11.386666666666668</v>
      </c>
      <c r="H123" s="232">
        <f t="shared" si="270"/>
        <v>7.1166666666666671</v>
      </c>
      <c r="I123" s="232">
        <f t="shared" ref="I123" si="390">I122</f>
        <v>8</v>
      </c>
      <c r="J123" s="233">
        <f t="shared" si="377"/>
        <v>0</v>
      </c>
      <c r="K123" s="228" t="str">
        <f t="shared" ref="K123" si="391">D123&amp;-5</f>
        <v>21-5</v>
      </c>
      <c r="L123" s="232">
        <f t="shared" si="169"/>
        <v>0.2</v>
      </c>
      <c r="M123" s="235">
        <v>0</v>
      </c>
      <c r="N123" s="232">
        <f t="shared" ref="N123:P123" si="392">N122</f>
        <v>150</v>
      </c>
      <c r="O123" s="232">
        <f t="shared" si="392"/>
        <v>160</v>
      </c>
      <c r="P123" s="232">
        <f t="shared" si="392"/>
        <v>750</v>
      </c>
      <c r="R123" s="38">
        <f t="shared" si="120"/>
        <v>20</v>
      </c>
      <c r="S123" s="38">
        <f t="shared" si="120"/>
        <v>22</v>
      </c>
      <c r="T123" s="39">
        <f t="shared" ref="T123:U154" si="393">IF(wpd="Rayleigh",1-EXP(-PI()*((R123/2/v_ave)^2)),IF(wpd="Weibull",1-EXP(-((R123/weibull_A)^weibull_K))))</f>
        <v>0.99624645144977986</v>
      </c>
      <c r="U123" s="39">
        <f t="shared" si="393"/>
        <v>0.99883835115349351</v>
      </c>
      <c r="V123" s="39">
        <f t="shared" si="189"/>
        <v>2.5918997037136515E-3</v>
      </c>
      <c r="W123" s="39">
        <f t="shared" si="190"/>
        <v>2.9394977435666064E-3</v>
      </c>
      <c r="X123" s="40">
        <f t="shared" ref="X123:X154" si="394">T_G*W123/12</f>
        <v>4.8991629059443442E-3</v>
      </c>
      <c r="Y123" s="40" t="s">
        <v>21</v>
      </c>
      <c r="Z123" s="217">
        <f t="shared" ref="Z123:Z154" si="395">X123*20</f>
        <v>9.798325811888689E-2</v>
      </c>
      <c r="AA123" s="217">
        <f t="shared" ref="AA123:AA154" si="396">Z123*(P123-N123)/3600</f>
        <v>1.6330543019814483E-2</v>
      </c>
    </row>
    <row r="124" spans="1:27" x14ac:dyDescent="0.25">
      <c r="A124" s="229">
        <f t="shared" ref="A124:B124" si="397">A123+1</f>
        <v>2970</v>
      </c>
      <c r="B124" s="230">
        <f t="shared" si="397"/>
        <v>114</v>
      </c>
      <c r="C124" s="229" t="str">
        <f t="shared" si="185"/>
        <v>24bX21-000_030_06</v>
      </c>
      <c r="D124" s="231">
        <f t="shared" ref="D124:D154" si="398">D123</f>
        <v>21</v>
      </c>
      <c r="E124" s="239">
        <f t="shared" si="268"/>
        <v>2.9890000000000003</v>
      </c>
      <c r="F124" s="232">
        <f t="shared" si="281"/>
        <v>14.233333333333334</v>
      </c>
      <c r="G124" s="232">
        <f t="shared" si="269"/>
        <v>11.386666666666668</v>
      </c>
      <c r="H124" s="232">
        <f t="shared" si="270"/>
        <v>7.1166666666666671</v>
      </c>
      <c r="I124" s="232">
        <f t="shared" ref="I124" si="399">I123</f>
        <v>8</v>
      </c>
      <c r="J124" s="233">
        <f t="shared" si="377"/>
        <v>0</v>
      </c>
      <c r="K124" s="228" t="str">
        <f t="shared" ref="K124" si="400">D124&amp;-6</f>
        <v>21-6</v>
      </c>
      <c r="L124" s="232">
        <f t="shared" si="169"/>
        <v>0.2</v>
      </c>
      <c r="M124" s="235">
        <v>30</v>
      </c>
      <c r="N124" s="232">
        <f t="shared" ref="N124:P124" si="401">N123</f>
        <v>150</v>
      </c>
      <c r="O124" s="232">
        <f t="shared" si="401"/>
        <v>160</v>
      </c>
      <c r="P124" s="232">
        <f t="shared" si="401"/>
        <v>750</v>
      </c>
      <c r="R124" s="38">
        <f t="shared" ref="R124:S139" si="402">R123</f>
        <v>20</v>
      </c>
      <c r="S124" s="38">
        <f t="shared" si="402"/>
        <v>22</v>
      </c>
      <c r="T124" s="39">
        <f t="shared" si="393"/>
        <v>0.99624645144977986</v>
      </c>
      <c r="U124" s="39">
        <f t="shared" si="393"/>
        <v>0.99883835115349351</v>
      </c>
      <c r="V124" s="39">
        <f t="shared" si="189"/>
        <v>2.5918997037136515E-3</v>
      </c>
      <c r="W124" s="39">
        <f t="shared" si="190"/>
        <v>2.9394977435666064E-3</v>
      </c>
      <c r="X124" s="40">
        <f t="shared" si="394"/>
        <v>4.8991629059443442E-3</v>
      </c>
      <c r="Y124" s="40" t="s">
        <v>21</v>
      </c>
      <c r="Z124" s="217">
        <f t="shared" si="395"/>
        <v>9.798325811888689E-2</v>
      </c>
      <c r="AA124" s="217">
        <f t="shared" si="396"/>
        <v>1.6330543019814483E-2</v>
      </c>
    </row>
    <row r="125" spans="1:27" x14ac:dyDescent="0.25">
      <c r="A125" s="229">
        <f t="shared" ref="A125:B125" si="403">A124+1</f>
        <v>2971</v>
      </c>
      <c r="B125" s="230">
        <f t="shared" si="403"/>
        <v>115</v>
      </c>
      <c r="C125" s="229" t="str">
        <f t="shared" si="185"/>
        <v>24bX21-000_060_07</v>
      </c>
      <c r="D125" s="231">
        <f t="shared" si="398"/>
        <v>21</v>
      </c>
      <c r="E125" s="239">
        <f t="shared" si="268"/>
        <v>2.9890000000000003</v>
      </c>
      <c r="F125" s="232">
        <f t="shared" si="281"/>
        <v>14.233333333333334</v>
      </c>
      <c r="G125" s="232">
        <f t="shared" si="269"/>
        <v>11.386666666666668</v>
      </c>
      <c r="H125" s="232">
        <f t="shared" si="270"/>
        <v>7.1166666666666671</v>
      </c>
      <c r="I125" s="232">
        <f t="shared" ref="I125:J125" si="404">I124</f>
        <v>8</v>
      </c>
      <c r="J125" s="233">
        <f t="shared" si="404"/>
        <v>0</v>
      </c>
      <c r="K125" s="228" t="str">
        <f t="shared" ref="K125" si="405">D125&amp;-7</f>
        <v>21-7</v>
      </c>
      <c r="L125" s="232">
        <f t="shared" si="169"/>
        <v>0.2</v>
      </c>
      <c r="M125" s="235">
        <v>60</v>
      </c>
      <c r="N125" s="232">
        <f t="shared" ref="N125:P125" si="406">N124</f>
        <v>150</v>
      </c>
      <c r="O125" s="232">
        <f t="shared" si="406"/>
        <v>160</v>
      </c>
      <c r="P125" s="232">
        <f t="shared" si="406"/>
        <v>750</v>
      </c>
      <c r="R125" s="38">
        <f t="shared" si="402"/>
        <v>20</v>
      </c>
      <c r="S125" s="38">
        <f t="shared" si="402"/>
        <v>22</v>
      </c>
      <c r="T125" s="39">
        <f t="shared" si="393"/>
        <v>0.99624645144977986</v>
      </c>
      <c r="U125" s="39">
        <f t="shared" si="393"/>
        <v>0.99883835115349351</v>
      </c>
      <c r="V125" s="39">
        <f t="shared" si="189"/>
        <v>2.5918997037136515E-3</v>
      </c>
      <c r="W125" s="39">
        <f t="shared" si="190"/>
        <v>2.9394977435666064E-3</v>
      </c>
      <c r="X125" s="40">
        <f t="shared" si="394"/>
        <v>4.8991629059443442E-3</v>
      </c>
      <c r="Y125" s="40" t="s">
        <v>21</v>
      </c>
      <c r="Z125" s="217">
        <f t="shared" si="395"/>
        <v>9.798325811888689E-2</v>
      </c>
      <c r="AA125" s="217">
        <f t="shared" si="396"/>
        <v>1.6330543019814483E-2</v>
      </c>
    </row>
    <row r="126" spans="1:27" x14ac:dyDescent="0.25">
      <c r="A126" s="229">
        <f t="shared" ref="A126:B126" si="407">A125+1</f>
        <v>2972</v>
      </c>
      <c r="B126" s="230">
        <f t="shared" si="407"/>
        <v>116</v>
      </c>
      <c r="C126" s="229" t="str">
        <f t="shared" si="185"/>
        <v>24bX21-000_090_08</v>
      </c>
      <c r="D126" s="231">
        <f t="shared" si="398"/>
        <v>21</v>
      </c>
      <c r="E126" s="239">
        <f t="shared" si="268"/>
        <v>2.9890000000000003</v>
      </c>
      <c r="F126" s="232">
        <f t="shared" si="281"/>
        <v>14.233333333333334</v>
      </c>
      <c r="G126" s="232">
        <f t="shared" si="269"/>
        <v>11.386666666666668</v>
      </c>
      <c r="H126" s="232">
        <f t="shared" si="270"/>
        <v>7.1166666666666671</v>
      </c>
      <c r="I126" s="232">
        <f t="shared" ref="I126:J126" si="408">I125</f>
        <v>8</v>
      </c>
      <c r="J126" s="233">
        <f t="shared" si="408"/>
        <v>0</v>
      </c>
      <c r="K126" s="228" t="str">
        <f t="shared" ref="K126" si="409">D126&amp;-8</f>
        <v>21-8</v>
      </c>
      <c r="L126" s="232">
        <f t="shared" si="169"/>
        <v>0.2</v>
      </c>
      <c r="M126" s="235">
        <v>90</v>
      </c>
      <c r="N126" s="232">
        <f t="shared" ref="N126:P126" si="410">N125</f>
        <v>150</v>
      </c>
      <c r="O126" s="232">
        <f t="shared" si="410"/>
        <v>160</v>
      </c>
      <c r="P126" s="232">
        <f t="shared" si="410"/>
        <v>750</v>
      </c>
      <c r="R126" s="38">
        <f t="shared" si="402"/>
        <v>20</v>
      </c>
      <c r="S126" s="38">
        <f t="shared" si="402"/>
        <v>22</v>
      </c>
      <c r="T126" s="39">
        <f t="shared" si="393"/>
        <v>0.99624645144977986</v>
      </c>
      <c r="U126" s="39">
        <f t="shared" si="393"/>
        <v>0.99883835115349351</v>
      </c>
      <c r="V126" s="39">
        <f t="shared" si="189"/>
        <v>2.5918997037136515E-3</v>
      </c>
      <c r="W126" s="39">
        <f t="shared" si="190"/>
        <v>2.9394977435666064E-3</v>
      </c>
      <c r="X126" s="40">
        <f t="shared" si="394"/>
        <v>4.8991629059443442E-3</v>
      </c>
      <c r="Y126" s="40" t="s">
        <v>21</v>
      </c>
      <c r="Z126" s="217">
        <f t="shared" si="395"/>
        <v>9.798325811888689E-2</v>
      </c>
      <c r="AA126" s="217">
        <f t="shared" si="396"/>
        <v>1.6330543019814483E-2</v>
      </c>
    </row>
    <row r="127" spans="1:27" x14ac:dyDescent="0.25">
      <c r="A127" s="229">
        <f t="shared" ref="A127:B127" si="411">A126+1</f>
        <v>2973</v>
      </c>
      <c r="B127" s="230">
        <f t="shared" si="411"/>
        <v>117</v>
      </c>
      <c r="C127" s="229" t="str">
        <f t="shared" si="185"/>
        <v>24bX21-000_000_09</v>
      </c>
      <c r="D127" s="231">
        <f t="shared" si="398"/>
        <v>21</v>
      </c>
      <c r="E127" s="239">
        <f t="shared" si="268"/>
        <v>2.9890000000000003</v>
      </c>
      <c r="F127" s="232">
        <f t="shared" si="281"/>
        <v>14.233333333333334</v>
      </c>
      <c r="G127" s="232">
        <f t="shared" si="269"/>
        <v>11.386666666666668</v>
      </c>
      <c r="H127" s="232">
        <f t="shared" si="270"/>
        <v>7.1166666666666671</v>
      </c>
      <c r="I127" s="232">
        <f t="shared" ref="I127:J127" si="412">I126</f>
        <v>8</v>
      </c>
      <c r="J127" s="233">
        <f t="shared" si="412"/>
        <v>0</v>
      </c>
      <c r="K127" s="228" t="str">
        <f t="shared" ref="K127" si="413">D127&amp;-9</f>
        <v>21-9</v>
      </c>
      <c r="L127" s="232">
        <f t="shared" si="169"/>
        <v>0.2</v>
      </c>
      <c r="M127" s="235">
        <v>0</v>
      </c>
      <c r="N127" s="232">
        <f t="shared" ref="N127:P127" si="414">N126</f>
        <v>150</v>
      </c>
      <c r="O127" s="232">
        <f t="shared" si="414"/>
        <v>160</v>
      </c>
      <c r="P127" s="232">
        <f t="shared" si="414"/>
        <v>750</v>
      </c>
      <c r="R127" s="38">
        <f t="shared" si="402"/>
        <v>20</v>
      </c>
      <c r="S127" s="38">
        <f t="shared" si="402"/>
        <v>22</v>
      </c>
      <c r="T127" s="39">
        <f t="shared" si="393"/>
        <v>0.99624645144977986</v>
      </c>
      <c r="U127" s="39">
        <f t="shared" si="393"/>
        <v>0.99883835115349351</v>
      </c>
      <c r="V127" s="39">
        <f t="shared" si="189"/>
        <v>2.5918997037136515E-3</v>
      </c>
      <c r="W127" s="39">
        <f t="shared" si="190"/>
        <v>2.9394977435666064E-3</v>
      </c>
      <c r="X127" s="40">
        <f t="shared" si="394"/>
        <v>4.8991629059443442E-3</v>
      </c>
      <c r="Y127" s="40" t="s">
        <v>21</v>
      </c>
      <c r="Z127" s="217">
        <f t="shared" si="395"/>
        <v>9.798325811888689E-2</v>
      </c>
      <c r="AA127" s="217">
        <f t="shared" si="396"/>
        <v>1.6330543019814483E-2</v>
      </c>
    </row>
    <row r="128" spans="1:27" x14ac:dyDescent="0.25">
      <c r="A128" s="229">
        <f t="shared" ref="A128:B128" si="415">A127+1</f>
        <v>2974</v>
      </c>
      <c r="B128" s="230">
        <f t="shared" si="415"/>
        <v>118</v>
      </c>
      <c r="C128" s="229" t="str">
        <f t="shared" si="185"/>
        <v>24bX21-000_030_10</v>
      </c>
      <c r="D128" s="231">
        <f t="shared" si="398"/>
        <v>21</v>
      </c>
      <c r="E128" s="239">
        <f t="shared" si="268"/>
        <v>2.9890000000000003</v>
      </c>
      <c r="F128" s="232">
        <f t="shared" si="281"/>
        <v>14.233333333333334</v>
      </c>
      <c r="G128" s="232">
        <f t="shared" si="269"/>
        <v>11.386666666666668</v>
      </c>
      <c r="H128" s="232">
        <f t="shared" si="270"/>
        <v>7.1166666666666671</v>
      </c>
      <c r="I128" s="232">
        <f t="shared" ref="I128:J128" si="416">I127</f>
        <v>8</v>
      </c>
      <c r="J128" s="233">
        <f t="shared" si="416"/>
        <v>0</v>
      </c>
      <c r="K128" s="228" t="str">
        <f t="shared" ref="K128" si="417">D128&amp;-10</f>
        <v>21-10</v>
      </c>
      <c r="L128" s="232">
        <f t="shared" si="169"/>
        <v>0.2</v>
      </c>
      <c r="M128" s="235">
        <v>30</v>
      </c>
      <c r="N128" s="232">
        <f t="shared" ref="N128:P128" si="418">N127</f>
        <v>150</v>
      </c>
      <c r="O128" s="232">
        <f t="shared" si="418"/>
        <v>160</v>
      </c>
      <c r="P128" s="232">
        <f t="shared" si="418"/>
        <v>750</v>
      </c>
      <c r="R128" s="38">
        <f t="shared" si="402"/>
        <v>20</v>
      </c>
      <c r="S128" s="38">
        <f t="shared" si="402"/>
        <v>22</v>
      </c>
      <c r="T128" s="39">
        <f t="shared" si="393"/>
        <v>0.99624645144977986</v>
      </c>
      <c r="U128" s="39">
        <f t="shared" si="393"/>
        <v>0.99883835115349351</v>
      </c>
      <c r="V128" s="39">
        <f t="shared" si="189"/>
        <v>2.5918997037136515E-3</v>
      </c>
      <c r="W128" s="39">
        <f t="shared" si="190"/>
        <v>2.9394977435666064E-3</v>
      </c>
      <c r="X128" s="40">
        <f t="shared" si="394"/>
        <v>4.8991629059443442E-3</v>
      </c>
      <c r="Y128" s="40" t="s">
        <v>21</v>
      </c>
      <c r="Z128" s="217">
        <f t="shared" si="395"/>
        <v>9.798325811888689E-2</v>
      </c>
      <c r="AA128" s="217">
        <f t="shared" si="396"/>
        <v>1.6330543019814483E-2</v>
      </c>
    </row>
    <row r="129" spans="1:27" x14ac:dyDescent="0.25">
      <c r="A129" s="229">
        <f t="shared" ref="A129:B129" si="419">A128+1</f>
        <v>2975</v>
      </c>
      <c r="B129" s="230">
        <f t="shared" si="419"/>
        <v>119</v>
      </c>
      <c r="C129" s="229" t="str">
        <f t="shared" si="185"/>
        <v>24bX21-000_060_11</v>
      </c>
      <c r="D129" s="231">
        <f t="shared" si="398"/>
        <v>21</v>
      </c>
      <c r="E129" s="239">
        <f t="shared" si="268"/>
        <v>2.9890000000000003</v>
      </c>
      <c r="F129" s="232">
        <f t="shared" si="281"/>
        <v>14.233333333333334</v>
      </c>
      <c r="G129" s="232">
        <f t="shared" si="269"/>
        <v>11.386666666666668</v>
      </c>
      <c r="H129" s="232">
        <f t="shared" si="270"/>
        <v>7.1166666666666671</v>
      </c>
      <c r="I129" s="232">
        <f t="shared" ref="I129:J129" si="420">I128</f>
        <v>8</v>
      </c>
      <c r="J129" s="233">
        <f t="shared" si="420"/>
        <v>0</v>
      </c>
      <c r="K129" s="228" t="str">
        <f t="shared" ref="K129" si="421">D129&amp;-11</f>
        <v>21-11</v>
      </c>
      <c r="L129" s="232">
        <f t="shared" si="169"/>
        <v>0.2</v>
      </c>
      <c r="M129" s="235">
        <v>60</v>
      </c>
      <c r="N129" s="232">
        <f t="shared" ref="N129:P129" si="422">N128</f>
        <v>150</v>
      </c>
      <c r="O129" s="232">
        <f t="shared" si="422"/>
        <v>160</v>
      </c>
      <c r="P129" s="232">
        <f t="shared" si="422"/>
        <v>750</v>
      </c>
      <c r="R129" s="38">
        <f t="shared" si="402"/>
        <v>20</v>
      </c>
      <c r="S129" s="38">
        <f t="shared" si="402"/>
        <v>22</v>
      </c>
      <c r="T129" s="39">
        <f t="shared" si="393"/>
        <v>0.99624645144977986</v>
      </c>
      <c r="U129" s="39">
        <f t="shared" si="393"/>
        <v>0.99883835115349351</v>
      </c>
      <c r="V129" s="39">
        <f t="shared" si="189"/>
        <v>2.5918997037136515E-3</v>
      </c>
      <c r="W129" s="39">
        <f t="shared" si="190"/>
        <v>2.9394977435666064E-3</v>
      </c>
      <c r="X129" s="40">
        <f t="shared" si="394"/>
        <v>4.8991629059443442E-3</v>
      </c>
      <c r="Y129" s="40" t="s">
        <v>21</v>
      </c>
      <c r="Z129" s="217">
        <f t="shared" si="395"/>
        <v>9.798325811888689E-2</v>
      </c>
      <c r="AA129" s="217">
        <f t="shared" si="396"/>
        <v>1.6330543019814483E-2</v>
      </c>
    </row>
    <row r="130" spans="1:27" x14ac:dyDescent="0.25">
      <c r="A130" s="229">
        <f t="shared" ref="A130:B130" si="423">A129+1</f>
        <v>2976</v>
      </c>
      <c r="B130" s="230">
        <f t="shared" si="423"/>
        <v>120</v>
      </c>
      <c r="C130" s="229" t="str">
        <f t="shared" si="185"/>
        <v>24bX21-000_090_12</v>
      </c>
      <c r="D130" s="231">
        <f t="shared" si="398"/>
        <v>21</v>
      </c>
      <c r="E130" s="239">
        <f t="shared" si="268"/>
        <v>2.9890000000000003</v>
      </c>
      <c r="F130" s="232">
        <f t="shared" si="281"/>
        <v>14.233333333333334</v>
      </c>
      <c r="G130" s="232">
        <f t="shared" si="269"/>
        <v>11.386666666666668</v>
      </c>
      <c r="H130" s="232">
        <f t="shared" si="270"/>
        <v>7.1166666666666671</v>
      </c>
      <c r="I130" s="232">
        <f t="shared" ref="I130:J130" si="424">I129</f>
        <v>8</v>
      </c>
      <c r="J130" s="233">
        <f t="shared" si="424"/>
        <v>0</v>
      </c>
      <c r="K130" s="228" t="str">
        <f t="shared" ref="K130" si="425">D130&amp;-12</f>
        <v>21-12</v>
      </c>
      <c r="L130" s="232">
        <f t="shared" si="169"/>
        <v>0.2</v>
      </c>
      <c r="M130" s="235">
        <v>90</v>
      </c>
      <c r="N130" s="232">
        <f t="shared" ref="N130:P130" si="426">N129</f>
        <v>150</v>
      </c>
      <c r="O130" s="232">
        <f t="shared" si="426"/>
        <v>160</v>
      </c>
      <c r="P130" s="232">
        <f t="shared" si="426"/>
        <v>750</v>
      </c>
      <c r="R130" s="38">
        <f t="shared" si="402"/>
        <v>20</v>
      </c>
      <c r="S130" s="38">
        <f t="shared" si="402"/>
        <v>22</v>
      </c>
      <c r="T130" s="39">
        <f t="shared" si="393"/>
        <v>0.99624645144977986</v>
      </c>
      <c r="U130" s="39">
        <f t="shared" si="393"/>
        <v>0.99883835115349351</v>
      </c>
      <c r="V130" s="39">
        <f t="shared" si="189"/>
        <v>2.5918997037136515E-3</v>
      </c>
      <c r="W130" s="39">
        <f t="shared" si="190"/>
        <v>2.9394977435666064E-3</v>
      </c>
      <c r="X130" s="40">
        <f t="shared" si="394"/>
        <v>4.8991629059443442E-3</v>
      </c>
      <c r="Y130" s="40" t="s">
        <v>21</v>
      </c>
      <c r="Z130" s="217">
        <f t="shared" si="395"/>
        <v>9.798325811888689E-2</v>
      </c>
      <c r="AA130" s="217">
        <f t="shared" si="396"/>
        <v>1.6330543019814483E-2</v>
      </c>
    </row>
    <row r="131" spans="1:27" x14ac:dyDescent="0.25">
      <c r="A131" s="229">
        <f t="shared" ref="A131:B131" si="427">A130+1</f>
        <v>2977</v>
      </c>
      <c r="B131" s="230">
        <f t="shared" si="427"/>
        <v>121</v>
      </c>
      <c r="C131" s="229" t="str">
        <f t="shared" si="185"/>
        <v>24bX23-000_000_01</v>
      </c>
      <c r="D131" s="231">
        <f t="shared" ref="D131" si="428">D130+2</f>
        <v>23</v>
      </c>
      <c r="E131" s="239">
        <f t="shared" si="268"/>
        <v>3.1990000000000003</v>
      </c>
      <c r="F131" s="232">
        <f t="shared" si="281"/>
        <v>13.908695652173913</v>
      </c>
      <c r="G131" s="232">
        <f t="shared" si="269"/>
        <v>11.126956521739132</v>
      </c>
      <c r="H131" s="232">
        <f t="shared" si="270"/>
        <v>6.9543478260869565</v>
      </c>
      <c r="I131" s="232">
        <f>inflow</f>
        <v>8</v>
      </c>
      <c r="J131" s="233">
        <f>yaw_null</f>
        <v>0</v>
      </c>
      <c r="K131" s="228" t="str">
        <f t="shared" ref="K131" si="429">D131&amp;-1</f>
        <v>23-1</v>
      </c>
      <c r="L131" s="232">
        <f>alpha_n</f>
        <v>0.2</v>
      </c>
      <c r="M131" s="235">
        <v>0</v>
      </c>
      <c r="N131" s="232">
        <f>t_out</f>
        <v>150</v>
      </c>
      <c r="O131" s="232">
        <f>trig_t</f>
        <v>160</v>
      </c>
      <c r="P131" s="232">
        <f>N131+T_s1</f>
        <v>750</v>
      </c>
      <c r="R131" s="38">
        <f t="shared" ref="R131" si="430">S130</f>
        <v>22</v>
      </c>
      <c r="S131" s="38">
        <f>R131+v_step</f>
        <v>24</v>
      </c>
      <c r="T131" s="39">
        <f t="shared" si="393"/>
        <v>0.99883835115349351</v>
      </c>
      <c r="U131" s="39">
        <f t="shared" si="393"/>
        <v>0.99967848848331109</v>
      </c>
      <c r="V131" s="39">
        <f t="shared" si="189"/>
        <v>8.4013732981758071E-4</v>
      </c>
      <c r="W131" s="39">
        <f t="shared" si="190"/>
        <v>9.528076189624378E-4</v>
      </c>
      <c r="X131" s="40">
        <f t="shared" si="394"/>
        <v>1.5880126982707298E-3</v>
      </c>
      <c r="Y131" s="40" t="s">
        <v>21</v>
      </c>
      <c r="Z131" s="217">
        <f t="shared" si="395"/>
        <v>3.1760253965414598E-2</v>
      </c>
      <c r="AA131" s="217">
        <f t="shared" si="396"/>
        <v>5.2933756609024329E-3</v>
      </c>
    </row>
    <row r="132" spans="1:27" x14ac:dyDescent="0.25">
      <c r="A132" s="229">
        <f t="shared" ref="A132:B132" si="431">A131+1</f>
        <v>2978</v>
      </c>
      <c r="B132" s="230">
        <f t="shared" si="431"/>
        <v>122</v>
      </c>
      <c r="C132" s="229" t="str">
        <f t="shared" si="185"/>
        <v>24bX23-000_030_02</v>
      </c>
      <c r="D132" s="231">
        <f t="shared" ref="D132" si="432">D131</f>
        <v>23</v>
      </c>
      <c r="E132" s="239">
        <f t="shared" si="268"/>
        <v>3.1990000000000003</v>
      </c>
      <c r="F132" s="232">
        <f t="shared" si="281"/>
        <v>13.908695652173913</v>
      </c>
      <c r="G132" s="232">
        <f t="shared" si="269"/>
        <v>11.126956521739132</v>
      </c>
      <c r="H132" s="232">
        <f t="shared" si="270"/>
        <v>6.9543478260869565</v>
      </c>
      <c r="I132" s="232">
        <f t="shared" ref="I132:J132" si="433">I131</f>
        <v>8</v>
      </c>
      <c r="J132" s="233">
        <f t="shared" si="433"/>
        <v>0</v>
      </c>
      <c r="K132" s="228" t="str">
        <f t="shared" ref="K132" si="434">D132&amp;-2</f>
        <v>23-2</v>
      </c>
      <c r="L132" s="232">
        <f t="shared" si="223"/>
        <v>0.2</v>
      </c>
      <c r="M132" s="235">
        <v>30</v>
      </c>
      <c r="N132" s="232">
        <f t="shared" ref="N132:P132" si="435">N131</f>
        <v>150</v>
      </c>
      <c r="O132" s="232">
        <f t="shared" si="435"/>
        <v>160</v>
      </c>
      <c r="P132" s="232">
        <f t="shared" si="435"/>
        <v>750</v>
      </c>
      <c r="R132" s="38">
        <f t="shared" ref="R132:S132" si="436">R131</f>
        <v>22</v>
      </c>
      <c r="S132" s="38">
        <f t="shared" si="436"/>
        <v>24</v>
      </c>
      <c r="T132" s="39">
        <f t="shared" si="393"/>
        <v>0.99883835115349351</v>
      </c>
      <c r="U132" s="39">
        <f t="shared" si="393"/>
        <v>0.99967848848331109</v>
      </c>
      <c r="V132" s="39">
        <f t="shared" si="189"/>
        <v>8.4013732981758071E-4</v>
      </c>
      <c r="W132" s="39">
        <f t="shared" si="190"/>
        <v>9.528076189624378E-4</v>
      </c>
      <c r="X132" s="40">
        <f t="shared" si="394"/>
        <v>1.5880126982707298E-3</v>
      </c>
      <c r="Y132" s="40" t="s">
        <v>21</v>
      </c>
      <c r="Z132" s="217">
        <f t="shared" si="395"/>
        <v>3.1760253965414598E-2</v>
      </c>
      <c r="AA132" s="217">
        <f t="shared" si="396"/>
        <v>5.2933756609024329E-3</v>
      </c>
    </row>
    <row r="133" spans="1:27" x14ac:dyDescent="0.25">
      <c r="A133" s="229">
        <f t="shared" ref="A133:B133" si="437">A132+1</f>
        <v>2979</v>
      </c>
      <c r="B133" s="230">
        <f t="shared" si="437"/>
        <v>123</v>
      </c>
      <c r="C133" s="229" t="str">
        <f t="shared" si="185"/>
        <v>24bX23-000_060_03</v>
      </c>
      <c r="D133" s="231">
        <f t="shared" si="398"/>
        <v>23</v>
      </c>
      <c r="E133" s="239">
        <f t="shared" si="268"/>
        <v>3.1990000000000003</v>
      </c>
      <c r="F133" s="232">
        <f t="shared" si="281"/>
        <v>13.908695652173913</v>
      </c>
      <c r="G133" s="232">
        <f t="shared" si="269"/>
        <v>11.126956521739132</v>
      </c>
      <c r="H133" s="232">
        <f t="shared" si="270"/>
        <v>6.9543478260869565</v>
      </c>
      <c r="I133" s="232">
        <f t="shared" ref="I133:J133" si="438">I132</f>
        <v>8</v>
      </c>
      <c r="J133" s="233">
        <f t="shared" si="438"/>
        <v>0</v>
      </c>
      <c r="K133" s="228" t="str">
        <f t="shared" ref="K133" si="439">D133&amp;-3</f>
        <v>23-3</v>
      </c>
      <c r="L133" s="232">
        <f t="shared" si="223"/>
        <v>0.2</v>
      </c>
      <c r="M133" s="235">
        <v>60</v>
      </c>
      <c r="N133" s="232">
        <f t="shared" ref="N133:P133" si="440">N132</f>
        <v>150</v>
      </c>
      <c r="O133" s="232">
        <f t="shared" si="440"/>
        <v>160</v>
      </c>
      <c r="P133" s="232">
        <f t="shared" si="440"/>
        <v>750</v>
      </c>
      <c r="R133" s="38">
        <f t="shared" si="402"/>
        <v>22</v>
      </c>
      <c r="S133" s="38">
        <f t="shared" si="402"/>
        <v>24</v>
      </c>
      <c r="T133" s="39">
        <f t="shared" si="393"/>
        <v>0.99883835115349351</v>
      </c>
      <c r="U133" s="39">
        <f t="shared" si="393"/>
        <v>0.99967848848331109</v>
      </c>
      <c r="V133" s="39">
        <f t="shared" si="189"/>
        <v>8.4013732981758071E-4</v>
      </c>
      <c r="W133" s="39">
        <f t="shared" si="190"/>
        <v>9.528076189624378E-4</v>
      </c>
      <c r="X133" s="40">
        <f t="shared" si="394"/>
        <v>1.5880126982707298E-3</v>
      </c>
      <c r="Y133" s="40" t="s">
        <v>21</v>
      </c>
      <c r="Z133" s="217">
        <f t="shared" si="395"/>
        <v>3.1760253965414598E-2</v>
      </c>
      <c r="AA133" s="217">
        <f t="shared" si="396"/>
        <v>5.2933756609024329E-3</v>
      </c>
    </row>
    <row r="134" spans="1:27" x14ac:dyDescent="0.25">
      <c r="A134" s="229">
        <f t="shared" ref="A134:B134" si="441">A133+1</f>
        <v>2980</v>
      </c>
      <c r="B134" s="230">
        <f t="shared" si="441"/>
        <v>124</v>
      </c>
      <c r="C134" s="229" t="str">
        <f t="shared" si="185"/>
        <v>24bX23-000_090_04</v>
      </c>
      <c r="D134" s="231">
        <f t="shared" si="398"/>
        <v>23</v>
      </c>
      <c r="E134" s="239">
        <f t="shared" si="268"/>
        <v>3.1990000000000003</v>
      </c>
      <c r="F134" s="232">
        <f t="shared" si="281"/>
        <v>13.908695652173913</v>
      </c>
      <c r="G134" s="232">
        <f t="shared" si="269"/>
        <v>11.126956521739132</v>
      </c>
      <c r="H134" s="232">
        <f t="shared" si="270"/>
        <v>6.9543478260869565</v>
      </c>
      <c r="I134" s="232">
        <f t="shared" ref="I134:J134" si="442">I133</f>
        <v>8</v>
      </c>
      <c r="J134" s="233">
        <f t="shared" si="442"/>
        <v>0</v>
      </c>
      <c r="K134" s="228" t="str">
        <f t="shared" ref="K134" si="443">D134&amp;-4</f>
        <v>23-4</v>
      </c>
      <c r="L134" s="232">
        <f t="shared" si="223"/>
        <v>0.2</v>
      </c>
      <c r="M134" s="235">
        <v>90</v>
      </c>
      <c r="N134" s="232">
        <f t="shared" ref="N134:P134" si="444">N133</f>
        <v>150</v>
      </c>
      <c r="O134" s="232">
        <f t="shared" si="444"/>
        <v>160</v>
      </c>
      <c r="P134" s="232">
        <f t="shared" si="444"/>
        <v>750</v>
      </c>
      <c r="R134" s="38">
        <f t="shared" si="402"/>
        <v>22</v>
      </c>
      <c r="S134" s="38">
        <f t="shared" si="402"/>
        <v>24</v>
      </c>
      <c r="T134" s="39">
        <f t="shared" si="393"/>
        <v>0.99883835115349351</v>
      </c>
      <c r="U134" s="39">
        <f t="shared" si="393"/>
        <v>0.99967848848331109</v>
      </c>
      <c r="V134" s="39">
        <f t="shared" si="189"/>
        <v>8.4013732981758071E-4</v>
      </c>
      <c r="W134" s="39">
        <f t="shared" si="190"/>
        <v>9.528076189624378E-4</v>
      </c>
      <c r="X134" s="40">
        <f t="shared" si="394"/>
        <v>1.5880126982707298E-3</v>
      </c>
      <c r="Y134" s="40" t="s">
        <v>21</v>
      </c>
      <c r="Z134" s="217">
        <f t="shared" si="395"/>
        <v>3.1760253965414598E-2</v>
      </c>
      <c r="AA134" s="217">
        <f t="shared" si="396"/>
        <v>5.2933756609024329E-3</v>
      </c>
    </row>
    <row r="135" spans="1:27" x14ac:dyDescent="0.25">
      <c r="A135" s="229">
        <f t="shared" ref="A135:B135" si="445">A134+1</f>
        <v>2981</v>
      </c>
      <c r="B135" s="230">
        <f t="shared" si="445"/>
        <v>125</v>
      </c>
      <c r="C135" s="229" t="str">
        <f t="shared" si="185"/>
        <v>24bX23-000_000_05</v>
      </c>
      <c r="D135" s="231">
        <f t="shared" si="398"/>
        <v>23</v>
      </c>
      <c r="E135" s="239">
        <f t="shared" si="268"/>
        <v>3.1990000000000003</v>
      </c>
      <c r="F135" s="232">
        <f t="shared" si="281"/>
        <v>13.908695652173913</v>
      </c>
      <c r="G135" s="232">
        <f t="shared" si="269"/>
        <v>11.126956521739132</v>
      </c>
      <c r="H135" s="232">
        <f t="shared" si="270"/>
        <v>6.9543478260869565</v>
      </c>
      <c r="I135" s="232">
        <f t="shared" ref="I135:J135" si="446">I134</f>
        <v>8</v>
      </c>
      <c r="J135" s="233">
        <f t="shared" si="446"/>
        <v>0</v>
      </c>
      <c r="K135" s="228" t="str">
        <f t="shared" ref="K135" si="447">D135&amp;-5</f>
        <v>23-5</v>
      </c>
      <c r="L135" s="232">
        <f t="shared" si="223"/>
        <v>0.2</v>
      </c>
      <c r="M135" s="235">
        <v>0</v>
      </c>
      <c r="N135" s="232">
        <f t="shared" ref="N135:P135" si="448">N134</f>
        <v>150</v>
      </c>
      <c r="O135" s="232">
        <f t="shared" si="448"/>
        <v>160</v>
      </c>
      <c r="P135" s="232">
        <f t="shared" si="448"/>
        <v>750</v>
      </c>
      <c r="R135" s="38">
        <f t="shared" si="402"/>
        <v>22</v>
      </c>
      <c r="S135" s="38">
        <f t="shared" si="402"/>
        <v>24</v>
      </c>
      <c r="T135" s="39">
        <f t="shared" si="393"/>
        <v>0.99883835115349351</v>
      </c>
      <c r="U135" s="39">
        <f t="shared" si="393"/>
        <v>0.99967848848331109</v>
      </c>
      <c r="V135" s="39">
        <f t="shared" si="189"/>
        <v>8.4013732981758071E-4</v>
      </c>
      <c r="W135" s="39">
        <f t="shared" si="190"/>
        <v>9.528076189624378E-4</v>
      </c>
      <c r="X135" s="40">
        <f t="shared" si="394"/>
        <v>1.5880126982707298E-3</v>
      </c>
      <c r="Y135" s="40" t="s">
        <v>21</v>
      </c>
      <c r="Z135" s="217">
        <f t="shared" si="395"/>
        <v>3.1760253965414598E-2</v>
      </c>
      <c r="AA135" s="217">
        <f t="shared" si="396"/>
        <v>5.2933756609024329E-3</v>
      </c>
    </row>
    <row r="136" spans="1:27" x14ac:dyDescent="0.25">
      <c r="A136" s="229">
        <f t="shared" ref="A136:B136" si="449">A135+1</f>
        <v>2982</v>
      </c>
      <c r="B136" s="230">
        <f t="shared" si="449"/>
        <v>126</v>
      </c>
      <c r="C136" s="229" t="str">
        <f t="shared" si="185"/>
        <v>24bX23-000_030_06</v>
      </c>
      <c r="D136" s="231">
        <f t="shared" si="398"/>
        <v>23</v>
      </c>
      <c r="E136" s="239">
        <f t="shared" si="268"/>
        <v>3.1990000000000003</v>
      </c>
      <c r="F136" s="232">
        <f t="shared" si="281"/>
        <v>13.908695652173913</v>
      </c>
      <c r="G136" s="232">
        <f t="shared" si="269"/>
        <v>11.126956521739132</v>
      </c>
      <c r="H136" s="232">
        <f t="shared" si="270"/>
        <v>6.9543478260869565</v>
      </c>
      <c r="I136" s="232">
        <f t="shared" ref="I136:J136" si="450">I135</f>
        <v>8</v>
      </c>
      <c r="J136" s="233">
        <f t="shared" si="450"/>
        <v>0</v>
      </c>
      <c r="K136" s="228" t="str">
        <f t="shared" ref="K136" si="451">D136&amp;-6</f>
        <v>23-6</v>
      </c>
      <c r="L136" s="232">
        <f t="shared" si="223"/>
        <v>0.2</v>
      </c>
      <c r="M136" s="235">
        <v>30</v>
      </c>
      <c r="N136" s="232">
        <f t="shared" ref="N136:P136" si="452">N135</f>
        <v>150</v>
      </c>
      <c r="O136" s="232">
        <f t="shared" si="452"/>
        <v>160</v>
      </c>
      <c r="P136" s="232">
        <f t="shared" si="452"/>
        <v>750</v>
      </c>
      <c r="R136" s="38">
        <f t="shared" si="402"/>
        <v>22</v>
      </c>
      <c r="S136" s="38">
        <f t="shared" si="402"/>
        <v>24</v>
      </c>
      <c r="T136" s="39">
        <f t="shared" si="393"/>
        <v>0.99883835115349351</v>
      </c>
      <c r="U136" s="39">
        <f t="shared" si="393"/>
        <v>0.99967848848331109</v>
      </c>
      <c r="V136" s="39">
        <f t="shared" si="189"/>
        <v>8.4013732981758071E-4</v>
      </c>
      <c r="W136" s="39">
        <f t="shared" si="190"/>
        <v>9.528076189624378E-4</v>
      </c>
      <c r="X136" s="40">
        <f t="shared" si="394"/>
        <v>1.5880126982707298E-3</v>
      </c>
      <c r="Y136" s="40" t="s">
        <v>21</v>
      </c>
      <c r="Z136" s="217">
        <f t="shared" si="395"/>
        <v>3.1760253965414598E-2</v>
      </c>
      <c r="AA136" s="217">
        <f t="shared" si="396"/>
        <v>5.2933756609024329E-3</v>
      </c>
    </row>
    <row r="137" spans="1:27" x14ac:dyDescent="0.25">
      <c r="A137" s="229">
        <f t="shared" ref="A137:B137" si="453">A136+1</f>
        <v>2983</v>
      </c>
      <c r="B137" s="230">
        <f t="shared" si="453"/>
        <v>127</v>
      </c>
      <c r="C137" s="229" t="str">
        <f t="shared" si="185"/>
        <v>24bX23-000_060_07</v>
      </c>
      <c r="D137" s="231">
        <f t="shared" si="398"/>
        <v>23</v>
      </c>
      <c r="E137" s="239">
        <f t="shared" si="268"/>
        <v>3.1990000000000003</v>
      </c>
      <c r="F137" s="232">
        <f t="shared" si="281"/>
        <v>13.908695652173913</v>
      </c>
      <c r="G137" s="232">
        <f t="shared" si="269"/>
        <v>11.126956521739132</v>
      </c>
      <c r="H137" s="232">
        <f t="shared" si="270"/>
        <v>6.9543478260869565</v>
      </c>
      <c r="I137" s="232">
        <f t="shared" ref="I137:J137" si="454">I136</f>
        <v>8</v>
      </c>
      <c r="J137" s="233">
        <f t="shared" si="454"/>
        <v>0</v>
      </c>
      <c r="K137" s="228" t="str">
        <f t="shared" ref="K137" si="455">D137&amp;-7</f>
        <v>23-7</v>
      </c>
      <c r="L137" s="232">
        <f t="shared" si="223"/>
        <v>0.2</v>
      </c>
      <c r="M137" s="235">
        <v>60</v>
      </c>
      <c r="N137" s="232">
        <f t="shared" ref="N137:P137" si="456">N136</f>
        <v>150</v>
      </c>
      <c r="O137" s="232">
        <f t="shared" si="456"/>
        <v>160</v>
      </c>
      <c r="P137" s="232">
        <f t="shared" si="456"/>
        <v>750</v>
      </c>
      <c r="R137" s="38">
        <f t="shared" si="402"/>
        <v>22</v>
      </c>
      <c r="S137" s="38">
        <f t="shared" si="402"/>
        <v>24</v>
      </c>
      <c r="T137" s="39">
        <f t="shared" si="393"/>
        <v>0.99883835115349351</v>
      </c>
      <c r="U137" s="39">
        <f t="shared" si="393"/>
        <v>0.99967848848331109</v>
      </c>
      <c r="V137" s="39">
        <f t="shared" si="189"/>
        <v>8.4013732981758071E-4</v>
      </c>
      <c r="W137" s="39">
        <f t="shared" si="190"/>
        <v>9.528076189624378E-4</v>
      </c>
      <c r="X137" s="40">
        <f t="shared" si="394"/>
        <v>1.5880126982707298E-3</v>
      </c>
      <c r="Y137" s="40" t="s">
        <v>21</v>
      </c>
      <c r="Z137" s="217">
        <f t="shared" si="395"/>
        <v>3.1760253965414598E-2</v>
      </c>
      <c r="AA137" s="217">
        <f t="shared" si="396"/>
        <v>5.2933756609024329E-3</v>
      </c>
    </row>
    <row r="138" spans="1:27" x14ac:dyDescent="0.25">
      <c r="A138" s="229">
        <f t="shared" ref="A138:B138" si="457">A137+1</f>
        <v>2984</v>
      </c>
      <c r="B138" s="230">
        <f t="shared" si="457"/>
        <v>128</v>
      </c>
      <c r="C138" s="229" t="str">
        <f t="shared" si="185"/>
        <v>24bX23-000_090_08</v>
      </c>
      <c r="D138" s="231">
        <f t="shared" si="398"/>
        <v>23</v>
      </c>
      <c r="E138" s="239">
        <f t="shared" si="268"/>
        <v>3.1990000000000003</v>
      </c>
      <c r="F138" s="232">
        <f t="shared" si="281"/>
        <v>13.908695652173913</v>
      </c>
      <c r="G138" s="232">
        <f t="shared" si="269"/>
        <v>11.126956521739132</v>
      </c>
      <c r="H138" s="232">
        <f t="shared" si="270"/>
        <v>6.9543478260869565</v>
      </c>
      <c r="I138" s="232">
        <f t="shared" ref="I138:J138" si="458">I137</f>
        <v>8</v>
      </c>
      <c r="J138" s="233">
        <f t="shared" si="458"/>
        <v>0</v>
      </c>
      <c r="K138" s="228" t="str">
        <f t="shared" ref="K138" si="459">D138&amp;-8</f>
        <v>23-8</v>
      </c>
      <c r="L138" s="232">
        <f t="shared" si="223"/>
        <v>0.2</v>
      </c>
      <c r="M138" s="235">
        <v>90</v>
      </c>
      <c r="N138" s="232">
        <f t="shared" ref="N138:P138" si="460">N137</f>
        <v>150</v>
      </c>
      <c r="O138" s="232">
        <f t="shared" si="460"/>
        <v>160</v>
      </c>
      <c r="P138" s="232">
        <f t="shared" si="460"/>
        <v>750</v>
      </c>
      <c r="R138" s="38">
        <f t="shared" si="402"/>
        <v>22</v>
      </c>
      <c r="S138" s="38">
        <f t="shared" si="402"/>
        <v>24</v>
      </c>
      <c r="T138" s="39">
        <f t="shared" si="393"/>
        <v>0.99883835115349351</v>
      </c>
      <c r="U138" s="39">
        <f t="shared" si="393"/>
        <v>0.99967848848331109</v>
      </c>
      <c r="V138" s="39">
        <f t="shared" si="189"/>
        <v>8.4013732981758071E-4</v>
      </c>
      <c r="W138" s="39">
        <f t="shared" si="190"/>
        <v>9.528076189624378E-4</v>
      </c>
      <c r="X138" s="40">
        <f t="shared" si="394"/>
        <v>1.5880126982707298E-3</v>
      </c>
      <c r="Y138" s="40" t="s">
        <v>21</v>
      </c>
      <c r="Z138" s="217">
        <f t="shared" si="395"/>
        <v>3.1760253965414598E-2</v>
      </c>
      <c r="AA138" s="217">
        <f t="shared" si="396"/>
        <v>5.2933756609024329E-3</v>
      </c>
    </row>
    <row r="139" spans="1:27" x14ac:dyDescent="0.25">
      <c r="A139" s="229">
        <f t="shared" ref="A139:B139" si="461">A138+1</f>
        <v>2985</v>
      </c>
      <c r="B139" s="230">
        <f t="shared" si="461"/>
        <v>129</v>
      </c>
      <c r="C139" s="229" t="str">
        <f t="shared" si="185"/>
        <v>24bX23-000_000_09</v>
      </c>
      <c r="D139" s="231">
        <f t="shared" si="398"/>
        <v>23</v>
      </c>
      <c r="E139" s="239">
        <f t="shared" si="268"/>
        <v>3.1990000000000003</v>
      </c>
      <c r="F139" s="232">
        <f t="shared" si="281"/>
        <v>13.908695652173913</v>
      </c>
      <c r="G139" s="232">
        <f t="shared" si="269"/>
        <v>11.126956521739132</v>
      </c>
      <c r="H139" s="232">
        <f t="shared" si="270"/>
        <v>6.9543478260869565</v>
      </c>
      <c r="I139" s="232">
        <f t="shared" ref="I139:J139" si="462">I138</f>
        <v>8</v>
      </c>
      <c r="J139" s="233">
        <f t="shared" si="462"/>
        <v>0</v>
      </c>
      <c r="K139" s="228" t="str">
        <f t="shared" ref="K139" si="463">D139&amp;-9</f>
        <v>23-9</v>
      </c>
      <c r="L139" s="232">
        <f t="shared" si="223"/>
        <v>0.2</v>
      </c>
      <c r="M139" s="235">
        <v>0</v>
      </c>
      <c r="N139" s="232">
        <f t="shared" ref="N139:P139" si="464">N138</f>
        <v>150</v>
      </c>
      <c r="O139" s="232">
        <f t="shared" si="464"/>
        <v>160</v>
      </c>
      <c r="P139" s="232">
        <f t="shared" si="464"/>
        <v>750</v>
      </c>
      <c r="R139" s="38">
        <f t="shared" si="402"/>
        <v>22</v>
      </c>
      <c r="S139" s="38">
        <f t="shared" si="402"/>
        <v>24</v>
      </c>
      <c r="T139" s="39">
        <f t="shared" si="393"/>
        <v>0.99883835115349351</v>
      </c>
      <c r="U139" s="39">
        <f t="shared" si="393"/>
        <v>0.99967848848331109</v>
      </c>
      <c r="V139" s="39">
        <f t="shared" si="189"/>
        <v>8.4013732981758071E-4</v>
      </c>
      <c r="W139" s="39">
        <f t="shared" si="190"/>
        <v>9.528076189624378E-4</v>
      </c>
      <c r="X139" s="40">
        <f t="shared" si="394"/>
        <v>1.5880126982707298E-3</v>
      </c>
      <c r="Y139" s="40" t="s">
        <v>21</v>
      </c>
      <c r="Z139" s="217">
        <f t="shared" si="395"/>
        <v>3.1760253965414598E-2</v>
      </c>
      <c r="AA139" s="217">
        <f t="shared" si="396"/>
        <v>5.2933756609024329E-3</v>
      </c>
    </row>
    <row r="140" spans="1:27" x14ac:dyDescent="0.25">
      <c r="A140" s="229">
        <f t="shared" ref="A140:B140" si="465">A139+1</f>
        <v>2986</v>
      </c>
      <c r="B140" s="230">
        <f t="shared" si="465"/>
        <v>130</v>
      </c>
      <c r="C140" s="229" t="str">
        <f t="shared" ref="C140:C154" si="466">TEXT(RIGHT($B$2,LEN($B$2)-3),"000")&amp;"X"&amp;TEXT(D140,"00")&amp;"-"&amp;IF(J140&lt;0,TEXT(360+J140,"000"),TEXT(J140,"000"))&amp;"_"&amp;TEXT(M140,"000")&amp;"_"&amp;TEXT(RIGHT(K140,LEN(K140)-FIND("-",K140)),"00")</f>
        <v>24bX23-000_030_10</v>
      </c>
      <c r="D140" s="231">
        <f t="shared" si="398"/>
        <v>23</v>
      </c>
      <c r="E140" s="239">
        <f t="shared" si="268"/>
        <v>3.1990000000000003</v>
      </c>
      <c r="F140" s="232">
        <f t="shared" si="281"/>
        <v>13.908695652173913</v>
      </c>
      <c r="G140" s="232">
        <f t="shared" si="269"/>
        <v>11.126956521739132</v>
      </c>
      <c r="H140" s="232">
        <f t="shared" si="270"/>
        <v>6.9543478260869565</v>
      </c>
      <c r="I140" s="232">
        <f t="shared" ref="I140:J140" si="467">I139</f>
        <v>8</v>
      </c>
      <c r="J140" s="233">
        <f t="shared" si="467"/>
        <v>0</v>
      </c>
      <c r="K140" s="228" t="str">
        <f t="shared" ref="K140" si="468">D140&amp;-10</f>
        <v>23-10</v>
      </c>
      <c r="L140" s="232">
        <f t="shared" si="223"/>
        <v>0.2</v>
      </c>
      <c r="M140" s="235">
        <v>30</v>
      </c>
      <c r="N140" s="232">
        <f t="shared" ref="N140:P140" si="469">N139</f>
        <v>150</v>
      </c>
      <c r="O140" s="232">
        <f t="shared" si="469"/>
        <v>160</v>
      </c>
      <c r="P140" s="232">
        <f t="shared" si="469"/>
        <v>750</v>
      </c>
      <c r="R140" s="38">
        <f t="shared" ref="R140:S154" si="470">R139</f>
        <v>22</v>
      </c>
      <c r="S140" s="38">
        <f t="shared" si="470"/>
        <v>24</v>
      </c>
      <c r="T140" s="39">
        <f t="shared" si="393"/>
        <v>0.99883835115349351</v>
      </c>
      <c r="U140" s="39">
        <f t="shared" si="393"/>
        <v>0.99967848848331109</v>
      </c>
      <c r="V140" s="39">
        <f t="shared" ref="V140:V153" si="471">U140-T140</f>
        <v>8.4013732981758071E-4</v>
      </c>
      <c r="W140" s="39">
        <f t="shared" ref="W140:W153" si="472">V140/(V$11+V$23+V$35+V$47+V$59+V$71+V$83+V$95+V$107+V$119+V$131+V$143)</f>
        <v>9.528076189624378E-4</v>
      </c>
      <c r="X140" s="40">
        <f t="shared" si="394"/>
        <v>1.5880126982707298E-3</v>
      </c>
      <c r="Y140" s="40" t="s">
        <v>21</v>
      </c>
      <c r="Z140" s="217">
        <f t="shared" si="395"/>
        <v>3.1760253965414598E-2</v>
      </c>
      <c r="AA140" s="217">
        <f t="shared" si="396"/>
        <v>5.2933756609024329E-3</v>
      </c>
    </row>
    <row r="141" spans="1:27" x14ac:dyDescent="0.25">
      <c r="A141" s="229">
        <f t="shared" ref="A141:B141" si="473">A140+1</f>
        <v>2987</v>
      </c>
      <c r="B141" s="230">
        <f t="shared" si="473"/>
        <v>131</v>
      </c>
      <c r="C141" s="229" t="str">
        <f t="shared" si="466"/>
        <v>24bX23-000_060_11</v>
      </c>
      <c r="D141" s="231">
        <f t="shared" si="398"/>
        <v>23</v>
      </c>
      <c r="E141" s="239">
        <f t="shared" si="268"/>
        <v>3.1990000000000003</v>
      </c>
      <c r="F141" s="232">
        <f t="shared" si="281"/>
        <v>13.908695652173913</v>
      </c>
      <c r="G141" s="232">
        <f t="shared" si="269"/>
        <v>11.126956521739132</v>
      </c>
      <c r="H141" s="232">
        <f t="shared" si="270"/>
        <v>6.9543478260869565</v>
      </c>
      <c r="I141" s="232">
        <f t="shared" ref="I141:J141" si="474">I140</f>
        <v>8</v>
      </c>
      <c r="J141" s="233">
        <f t="shared" si="474"/>
        <v>0</v>
      </c>
      <c r="K141" s="228" t="str">
        <f t="shared" ref="K141" si="475">D141&amp;-11</f>
        <v>23-11</v>
      </c>
      <c r="L141" s="232">
        <f t="shared" si="223"/>
        <v>0.2</v>
      </c>
      <c r="M141" s="235">
        <v>60</v>
      </c>
      <c r="N141" s="232">
        <f t="shared" ref="N141:P141" si="476">N140</f>
        <v>150</v>
      </c>
      <c r="O141" s="232">
        <f t="shared" si="476"/>
        <v>160</v>
      </c>
      <c r="P141" s="232">
        <f t="shared" si="476"/>
        <v>750</v>
      </c>
      <c r="R141" s="38">
        <f t="shared" si="470"/>
        <v>22</v>
      </c>
      <c r="S141" s="38">
        <f t="shared" si="470"/>
        <v>24</v>
      </c>
      <c r="T141" s="39">
        <f t="shared" si="393"/>
        <v>0.99883835115349351</v>
      </c>
      <c r="U141" s="39">
        <f t="shared" si="393"/>
        <v>0.99967848848331109</v>
      </c>
      <c r="V141" s="39">
        <f t="shared" si="471"/>
        <v>8.4013732981758071E-4</v>
      </c>
      <c r="W141" s="39">
        <f t="shared" si="472"/>
        <v>9.528076189624378E-4</v>
      </c>
      <c r="X141" s="40">
        <f t="shared" si="394"/>
        <v>1.5880126982707298E-3</v>
      </c>
      <c r="Y141" s="40" t="s">
        <v>21</v>
      </c>
      <c r="Z141" s="217">
        <f t="shared" si="395"/>
        <v>3.1760253965414598E-2</v>
      </c>
      <c r="AA141" s="217">
        <f t="shared" si="396"/>
        <v>5.2933756609024329E-3</v>
      </c>
    </row>
    <row r="142" spans="1:27" x14ac:dyDescent="0.25">
      <c r="A142" s="229">
        <f t="shared" ref="A142:B142" si="477">A141+1</f>
        <v>2988</v>
      </c>
      <c r="B142" s="230">
        <f t="shared" si="477"/>
        <v>132</v>
      </c>
      <c r="C142" s="229" t="str">
        <f t="shared" si="466"/>
        <v>24bX23-000_090_12</v>
      </c>
      <c r="D142" s="231">
        <f t="shared" si="398"/>
        <v>23</v>
      </c>
      <c r="E142" s="239">
        <f t="shared" si="268"/>
        <v>3.1990000000000003</v>
      </c>
      <c r="F142" s="232">
        <f t="shared" si="281"/>
        <v>13.908695652173913</v>
      </c>
      <c r="G142" s="232">
        <f t="shared" si="269"/>
        <v>11.126956521739132</v>
      </c>
      <c r="H142" s="232">
        <f t="shared" si="270"/>
        <v>6.9543478260869565</v>
      </c>
      <c r="I142" s="232">
        <f t="shared" ref="I142:J142" si="478">I141</f>
        <v>8</v>
      </c>
      <c r="J142" s="233">
        <f t="shared" si="478"/>
        <v>0</v>
      </c>
      <c r="K142" s="228" t="str">
        <f t="shared" ref="K142" si="479">D142&amp;-12</f>
        <v>23-12</v>
      </c>
      <c r="L142" s="232">
        <f t="shared" si="223"/>
        <v>0.2</v>
      </c>
      <c r="M142" s="235">
        <v>90</v>
      </c>
      <c r="N142" s="232">
        <f t="shared" ref="N142:P142" si="480">N141</f>
        <v>150</v>
      </c>
      <c r="O142" s="232">
        <f t="shared" si="480"/>
        <v>160</v>
      </c>
      <c r="P142" s="232">
        <f t="shared" si="480"/>
        <v>750</v>
      </c>
      <c r="R142" s="38">
        <f t="shared" si="470"/>
        <v>22</v>
      </c>
      <c r="S142" s="38">
        <f t="shared" si="470"/>
        <v>24</v>
      </c>
      <c r="T142" s="39">
        <f t="shared" si="393"/>
        <v>0.99883835115349351</v>
      </c>
      <c r="U142" s="39">
        <f t="shared" si="393"/>
        <v>0.99967848848331109</v>
      </c>
      <c r="V142" s="39">
        <f t="shared" si="471"/>
        <v>8.4013732981758071E-4</v>
      </c>
      <c r="W142" s="39">
        <f t="shared" si="472"/>
        <v>9.528076189624378E-4</v>
      </c>
      <c r="X142" s="40">
        <f t="shared" si="394"/>
        <v>1.5880126982707298E-3</v>
      </c>
      <c r="Y142" s="40" t="s">
        <v>21</v>
      </c>
      <c r="Z142" s="217">
        <f t="shared" si="395"/>
        <v>3.1760253965414598E-2</v>
      </c>
      <c r="AA142" s="217">
        <f t="shared" si="396"/>
        <v>5.2933756609024329E-3</v>
      </c>
    </row>
    <row r="143" spans="1:27" x14ac:dyDescent="0.25">
      <c r="A143" s="229">
        <f t="shared" ref="A143:B143" si="481">A142+1</f>
        <v>2989</v>
      </c>
      <c r="B143" s="230">
        <f t="shared" si="481"/>
        <v>133</v>
      </c>
      <c r="C143" s="229" t="str">
        <f t="shared" si="466"/>
        <v>24bX25-000_000_01</v>
      </c>
      <c r="D143" s="231">
        <f t="shared" ref="D143" si="482">D142+2</f>
        <v>25</v>
      </c>
      <c r="E143" s="239">
        <f t="shared" si="268"/>
        <v>3.4090000000000007</v>
      </c>
      <c r="F143" s="232">
        <f t="shared" si="281"/>
        <v>13.636000000000003</v>
      </c>
      <c r="G143" s="232">
        <f t="shared" si="269"/>
        <v>10.908800000000003</v>
      </c>
      <c r="H143" s="232">
        <f t="shared" si="270"/>
        <v>6.8180000000000014</v>
      </c>
      <c r="I143" s="232">
        <f>inflow</f>
        <v>8</v>
      </c>
      <c r="J143" s="233">
        <f>yaw_null</f>
        <v>0</v>
      </c>
      <c r="K143" s="228" t="str">
        <f t="shared" ref="K143" si="483">D143&amp;-1</f>
        <v>25-1</v>
      </c>
      <c r="L143" s="232">
        <f>alpha_n</f>
        <v>0.2</v>
      </c>
      <c r="M143" s="235">
        <v>0</v>
      </c>
      <c r="N143" s="232">
        <f>t_out</f>
        <v>150</v>
      </c>
      <c r="O143" s="232">
        <f>trig_t</f>
        <v>160</v>
      </c>
      <c r="P143" s="232">
        <f>N143+T_s1</f>
        <v>750</v>
      </c>
      <c r="R143" s="38">
        <f t="shared" ref="R143" si="484">S142</f>
        <v>24</v>
      </c>
      <c r="S143" s="38">
        <f>D143</f>
        <v>25</v>
      </c>
      <c r="T143" s="39">
        <f t="shared" si="393"/>
        <v>0.99967848848331109</v>
      </c>
      <c r="U143" s="39">
        <f t="shared" si="393"/>
        <v>0.99983779445975174</v>
      </c>
      <c r="V143" s="39">
        <f t="shared" si="471"/>
        <v>1.5930597644064903E-4</v>
      </c>
      <c r="W143" s="39">
        <f t="shared" si="472"/>
        <v>1.8067040079252137E-4</v>
      </c>
      <c r="X143" s="40">
        <f t="shared" si="394"/>
        <v>3.0111733465420224E-4</v>
      </c>
      <c r="Y143" s="40" t="s">
        <v>21</v>
      </c>
      <c r="Z143" s="217">
        <f t="shared" si="395"/>
        <v>6.0223466930840446E-3</v>
      </c>
      <c r="AA143" s="217">
        <f t="shared" si="396"/>
        <v>1.0037244488473409E-3</v>
      </c>
    </row>
    <row r="144" spans="1:27" x14ac:dyDescent="0.25">
      <c r="A144" s="229">
        <f t="shared" ref="A144:B144" si="485">A143+1</f>
        <v>2990</v>
      </c>
      <c r="B144" s="230">
        <f t="shared" si="485"/>
        <v>134</v>
      </c>
      <c r="C144" s="229" t="str">
        <f t="shared" si="466"/>
        <v>24bX25-000_030_02</v>
      </c>
      <c r="D144" s="231">
        <f t="shared" ref="D144" si="486">D143</f>
        <v>25</v>
      </c>
      <c r="E144" s="239">
        <f t="shared" si="268"/>
        <v>3.4090000000000007</v>
      </c>
      <c r="F144" s="232">
        <f t="shared" si="281"/>
        <v>13.636000000000003</v>
      </c>
      <c r="G144" s="232">
        <f t="shared" si="269"/>
        <v>10.908800000000003</v>
      </c>
      <c r="H144" s="232">
        <f t="shared" si="270"/>
        <v>6.8180000000000014</v>
      </c>
      <c r="I144" s="232">
        <f t="shared" ref="I144:J144" si="487">I143</f>
        <v>8</v>
      </c>
      <c r="J144" s="233">
        <f t="shared" si="487"/>
        <v>0</v>
      </c>
      <c r="K144" s="228" t="str">
        <f t="shared" ref="K144" si="488">D144&amp;-2</f>
        <v>25-2</v>
      </c>
      <c r="L144" s="232">
        <f t="shared" si="277"/>
        <v>0.2</v>
      </c>
      <c r="M144" s="235">
        <v>30</v>
      </c>
      <c r="N144" s="232">
        <f t="shared" ref="N144:P144" si="489">N143</f>
        <v>150</v>
      </c>
      <c r="O144" s="232">
        <f t="shared" si="489"/>
        <v>160</v>
      </c>
      <c r="P144" s="232">
        <f t="shared" si="489"/>
        <v>750</v>
      </c>
      <c r="R144" s="38">
        <f t="shared" ref="R144" si="490">R143</f>
        <v>24</v>
      </c>
      <c r="S144" s="38">
        <f t="shared" ref="S144:S154" si="491">D144</f>
        <v>25</v>
      </c>
      <c r="T144" s="39">
        <f t="shared" si="393"/>
        <v>0.99967848848331109</v>
      </c>
      <c r="U144" s="39">
        <f t="shared" si="393"/>
        <v>0.99983779445975174</v>
      </c>
      <c r="V144" s="39">
        <f t="shared" si="471"/>
        <v>1.5930597644064903E-4</v>
      </c>
      <c r="W144" s="39">
        <f t="shared" si="472"/>
        <v>1.8067040079252137E-4</v>
      </c>
      <c r="X144" s="40">
        <f t="shared" si="394"/>
        <v>3.0111733465420224E-4</v>
      </c>
      <c r="Y144" s="40" t="s">
        <v>21</v>
      </c>
      <c r="Z144" s="217">
        <f t="shared" si="395"/>
        <v>6.0223466930840446E-3</v>
      </c>
      <c r="AA144" s="217">
        <f t="shared" si="396"/>
        <v>1.0037244488473409E-3</v>
      </c>
    </row>
    <row r="145" spans="1:27" x14ac:dyDescent="0.25">
      <c r="A145" s="229">
        <f t="shared" ref="A145:B145" si="492">A144+1</f>
        <v>2991</v>
      </c>
      <c r="B145" s="230">
        <f t="shared" si="492"/>
        <v>135</v>
      </c>
      <c r="C145" s="229" t="str">
        <f t="shared" si="466"/>
        <v>24bX25-000_060_03</v>
      </c>
      <c r="D145" s="231">
        <f t="shared" si="398"/>
        <v>25</v>
      </c>
      <c r="E145" s="239">
        <f t="shared" si="268"/>
        <v>3.4090000000000007</v>
      </c>
      <c r="F145" s="232">
        <f t="shared" si="281"/>
        <v>13.636000000000003</v>
      </c>
      <c r="G145" s="232">
        <f t="shared" si="269"/>
        <v>10.908800000000003</v>
      </c>
      <c r="H145" s="232">
        <f t="shared" si="270"/>
        <v>6.8180000000000014</v>
      </c>
      <c r="I145" s="232">
        <f t="shared" ref="I145:J145" si="493">I144</f>
        <v>8</v>
      </c>
      <c r="J145" s="233">
        <f t="shared" si="493"/>
        <v>0</v>
      </c>
      <c r="K145" s="228" t="str">
        <f t="shared" ref="K145" si="494">D145&amp;-3</f>
        <v>25-3</v>
      </c>
      <c r="L145" s="232">
        <f t="shared" si="277"/>
        <v>0.2</v>
      </c>
      <c r="M145" s="235">
        <v>60</v>
      </c>
      <c r="N145" s="232">
        <f t="shared" ref="N145:P145" si="495">N144</f>
        <v>150</v>
      </c>
      <c r="O145" s="232">
        <f t="shared" si="495"/>
        <v>160</v>
      </c>
      <c r="P145" s="232">
        <f t="shared" si="495"/>
        <v>750</v>
      </c>
      <c r="R145" s="38">
        <f t="shared" si="470"/>
        <v>24</v>
      </c>
      <c r="S145" s="38">
        <f t="shared" si="491"/>
        <v>25</v>
      </c>
      <c r="T145" s="39">
        <f t="shared" si="393"/>
        <v>0.99967848848331109</v>
      </c>
      <c r="U145" s="39">
        <f t="shared" si="393"/>
        <v>0.99983779445975174</v>
      </c>
      <c r="V145" s="39">
        <f t="shared" si="471"/>
        <v>1.5930597644064903E-4</v>
      </c>
      <c r="W145" s="39">
        <f t="shared" si="472"/>
        <v>1.8067040079252137E-4</v>
      </c>
      <c r="X145" s="40">
        <f t="shared" si="394"/>
        <v>3.0111733465420224E-4</v>
      </c>
      <c r="Y145" s="40" t="s">
        <v>21</v>
      </c>
      <c r="Z145" s="217">
        <f t="shared" si="395"/>
        <v>6.0223466930840446E-3</v>
      </c>
      <c r="AA145" s="217">
        <f t="shared" si="396"/>
        <v>1.0037244488473409E-3</v>
      </c>
    </row>
    <row r="146" spans="1:27" x14ac:dyDescent="0.25">
      <c r="A146" s="229">
        <f t="shared" ref="A146:B146" si="496">A145+1</f>
        <v>2992</v>
      </c>
      <c r="B146" s="230">
        <f t="shared" si="496"/>
        <v>136</v>
      </c>
      <c r="C146" s="229" t="str">
        <f t="shared" si="466"/>
        <v>24bX25-000_090_04</v>
      </c>
      <c r="D146" s="231">
        <f t="shared" si="398"/>
        <v>25</v>
      </c>
      <c r="E146" s="239">
        <f t="shared" si="268"/>
        <v>3.4090000000000007</v>
      </c>
      <c r="F146" s="232">
        <f t="shared" si="281"/>
        <v>13.636000000000003</v>
      </c>
      <c r="G146" s="232">
        <f t="shared" si="269"/>
        <v>10.908800000000003</v>
      </c>
      <c r="H146" s="232">
        <f t="shared" si="270"/>
        <v>6.8180000000000014</v>
      </c>
      <c r="I146" s="232">
        <f t="shared" ref="I146:J146" si="497">I145</f>
        <v>8</v>
      </c>
      <c r="J146" s="233">
        <f t="shared" si="497"/>
        <v>0</v>
      </c>
      <c r="K146" s="228" t="str">
        <f t="shared" ref="K146" si="498">D146&amp;-4</f>
        <v>25-4</v>
      </c>
      <c r="L146" s="232">
        <f t="shared" si="277"/>
        <v>0.2</v>
      </c>
      <c r="M146" s="235">
        <v>90</v>
      </c>
      <c r="N146" s="232">
        <f t="shared" ref="N146:P146" si="499">N145</f>
        <v>150</v>
      </c>
      <c r="O146" s="232">
        <f t="shared" si="499"/>
        <v>160</v>
      </c>
      <c r="P146" s="232">
        <f t="shared" si="499"/>
        <v>750</v>
      </c>
      <c r="R146" s="38">
        <f t="shared" si="470"/>
        <v>24</v>
      </c>
      <c r="S146" s="38">
        <f t="shared" si="491"/>
        <v>25</v>
      </c>
      <c r="T146" s="39">
        <f t="shared" si="393"/>
        <v>0.99967848848331109</v>
      </c>
      <c r="U146" s="39">
        <f t="shared" si="393"/>
        <v>0.99983779445975174</v>
      </c>
      <c r="V146" s="39">
        <f t="shared" si="471"/>
        <v>1.5930597644064903E-4</v>
      </c>
      <c r="W146" s="39">
        <f t="shared" si="472"/>
        <v>1.8067040079252137E-4</v>
      </c>
      <c r="X146" s="40">
        <f t="shared" si="394"/>
        <v>3.0111733465420224E-4</v>
      </c>
      <c r="Y146" s="40" t="s">
        <v>21</v>
      </c>
      <c r="Z146" s="217">
        <f t="shared" si="395"/>
        <v>6.0223466930840446E-3</v>
      </c>
      <c r="AA146" s="217">
        <f t="shared" si="396"/>
        <v>1.0037244488473409E-3</v>
      </c>
    </row>
    <row r="147" spans="1:27" x14ac:dyDescent="0.25">
      <c r="A147" s="229">
        <f t="shared" ref="A147:B147" si="500">A146+1</f>
        <v>2993</v>
      </c>
      <c r="B147" s="230">
        <f t="shared" si="500"/>
        <v>137</v>
      </c>
      <c r="C147" s="229" t="str">
        <f t="shared" si="466"/>
        <v>24bX25-000_000_05</v>
      </c>
      <c r="D147" s="231">
        <f t="shared" si="398"/>
        <v>25</v>
      </c>
      <c r="E147" s="239">
        <f t="shared" si="268"/>
        <v>3.4090000000000007</v>
      </c>
      <c r="F147" s="232">
        <f t="shared" si="281"/>
        <v>13.636000000000003</v>
      </c>
      <c r="G147" s="232">
        <f t="shared" si="269"/>
        <v>10.908800000000003</v>
      </c>
      <c r="H147" s="232">
        <f t="shared" si="270"/>
        <v>6.8180000000000014</v>
      </c>
      <c r="I147" s="232">
        <f t="shared" ref="I147:J147" si="501">I146</f>
        <v>8</v>
      </c>
      <c r="J147" s="233">
        <f t="shared" si="501"/>
        <v>0</v>
      </c>
      <c r="K147" s="228" t="str">
        <f t="shared" ref="K147" si="502">D147&amp;-5</f>
        <v>25-5</v>
      </c>
      <c r="L147" s="232">
        <f t="shared" si="277"/>
        <v>0.2</v>
      </c>
      <c r="M147" s="235">
        <v>0</v>
      </c>
      <c r="N147" s="232">
        <f t="shared" ref="N147:P147" si="503">N146</f>
        <v>150</v>
      </c>
      <c r="O147" s="232">
        <f t="shared" si="503"/>
        <v>160</v>
      </c>
      <c r="P147" s="232">
        <f t="shared" si="503"/>
        <v>750</v>
      </c>
      <c r="R147" s="38">
        <f t="shared" si="470"/>
        <v>24</v>
      </c>
      <c r="S147" s="38">
        <f t="shared" si="491"/>
        <v>25</v>
      </c>
      <c r="T147" s="39">
        <f t="shared" si="393"/>
        <v>0.99967848848331109</v>
      </c>
      <c r="U147" s="39">
        <f t="shared" si="393"/>
        <v>0.99983779445975174</v>
      </c>
      <c r="V147" s="39">
        <f t="shared" si="471"/>
        <v>1.5930597644064903E-4</v>
      </c>
      <c r="W147" s="39">
        <f t="shared" si="472"/>
        <v>1.8067040079252137E-4</v>
      </c>
      <c r="X147" s="40">
        <f t="shared" si="394"/>
        <v>3.0111733465420224E-4</v>
      </c>
      <c r="Y147" s="40" t="s">
        <v>21</v>
      </c>
      <c r="Z147" s="217">
        <f t="shared" si="395"/>
        <v>6.0223466930840446E-3</v>
      </c>
      <c r="AA147" s="217">
        <f t="shared" si="396"/>
        <v>1.0037244488473409E-3</v>
      </c>
    </row>
    <row r="148" spans="1:27" x14ac:dyDescent="0.25">
      <c r="A148" s="229">
        <f t="shared" ref="A148:B148" si="504">A147+1</f>
        <v>2994</v>
      </c>
      <c r="B148" s="230">
        <f t="shared" si="504"/>
        <v>138</v>
      </c>
      <c r="C148" s="229" t="str">
        <f t="shared" si="466"/>
        <v>24bX25-000_030_06</v>
      </c>
      <c r="D148" s="231">
        <f t="shared" si="398"/>
        <v>25</v>
      </c>
      <c r="E148" s="239">
        <f t="shared" si="268"/>
        <v>3.4090000000000007</v>
      </c>
      <c r="F148" s="232">
        <f t="shared" si="281"/>
        <v>13.636000000000003</v>
      </c>
      <c r="G148" s="232">
        <f t="shared" si="269"/>
        <v>10.908800000000003</v>
      </c>
      <c r="H148" s="232">
        <f t="shared" si="270"/>
        <v>6.8180000000000014</v>
      </c>
      <c r="I148" s="232">
        <f t="shared" ref="I148:J148" si="505">I147</f>
        <v>8</v>
      </c>
      <c r="J148" s="233">
        <f t="shared" si="505"/>
        <v>0</v>
      </c>
      <c r="K148" s="228" t="str">
        <f t="shared" ref="K148" si="506">D148&amp;-6</f>
        <v>25-6</v>
      </c>
      <c r="L148" s="232">
        <f t="shared" si="277"/>
        <v>0.2</v>
      </c>
      <c r="M148" s="235">
        <v>30</v>
      </c>
      <c r="N148" s="232">
        <f t="shared" ref="N148:P148" si="507">N147</f>
        <v>150</v>
      </c>
      <c r="O148" s="232">
        <f t="shared" si="507"/>
        <v>160</v>
      </c>
      <c r="P148" s="232">
        <f t="shared" si="507"/>
        <v>750</v>
      </c>
      <c r="R148" s="38">
        <f t="shared" si="470"/>
        <v>24</v>
      </c>
      <c r="S148" s="38">
        <f t="shared" si="491"/>
        <v>25</v>
      </c>
      <c r="T148" s="39">
        <f t="shared" si="393"/>
        <v>0.99967848848331109</v>
      </c>
      <c r="U148" s="39">
        <f t="shared" si="393"/>
        <v>0.99983779445975174</v>
      </c>
      <c r="V148" s="39">
        <f t="shared" si="471"/>
        <v>1.5930597644064903E-4</v>
      </c>
      <c r="W148" s="39">
        <f t="shared" si="472"/>
        <v>1.8067040079252137E-4</v>
      </c>
      <c r="X148" s="40">
        <f t="shared" si="394"/>
        <v>3.0111733465420224E-4</v>
      </c>
      <c r="Y148" s="40" t="s">
        <v>21</v>
      </c>
      <c r="Z148" s="217">
        <f t="shared" si="395"/>
        <v>6.0223466930840446E-3</v>
      </c>
      <c r="AA148" s="217">
        <f t="shared" si="396"/>
        <v>1.0037244488473409E-3</v>
      </c>
    </row>
    <row r="149" spans="1:27" x14ac:dyDescent="0.25">
      <c r="A149" s="229">
        <f t="shared" ref="A149:B149" si="508">A148+1</f>
        <v>2995</v>
      </c>
      <c r="B149" s="230">
        <f t="shared" si="508"/>
        <v>139</v>
      </c>
      <c r="C149" s="229" t="str">
        <f t="shared" si="466"/>
        <v>24bX25-000_060_07</v>
      </c>
      <c r="D149" s="231">
        <f t="shared" si="398"/>
        <v>25</v>
      </c>
      <c r="E149" s="239">
        <f t="shared" si="268"/>
        <v>3.4090000000000007</v>
      </c>
      <c r="F149" s="232">
        <f t="shared" si="281"/>
        <v>13.636000000000003</v>
      </c>
      <c r="G149" s="232">
        <f t="shared" si="269"/>
        <v>10.908800000000003</v>
      </c>
      <c r="H149" s="232">
        <f t="shared" si="270"/>
        <v>6.8180000000000014</v>
      </c>
      <c r="I149" s="232">
        <f t="shared" ref="I149:J149" si="509">I148</f>
        <v>8</v>
      </c>
      <c r="J149" s="233">
        <f t="shared" si="509"/>
        <v>0</v>
      </c>
      <c r="K149" s="228" t="str">
        <f t="shared" ref="K149" si="510">D149&amp;-7</f>
        <v>25-7</v>
      </c>
      <c r="L149" s="232">
        <f t="shared" si="277"/>
        <v>0.2</v>
      </c>
      <c r="M149" s="235">
        <v>60</v>
      </c>
      <c r="N149" s="232">
        <f t="shared" ref="N149:P149" si="511">N148</f>
        <v>150</v>
      </c>
      <c r="O149" s="232">
        <f t="shared" si="511"/>
        <v>160</v>
      </c>
      <c r="P149" s="232">
        <f t="shared" si="511"/>
        <v>750</v>
      </c>
      <c r="R149" s="38">
        <f t="shared" si="470"/>
        <v>24</v>
      </c>
      <c r="S149" s="38">
        <f t="shared" si="491"/>
        <v>25</v>
      </c>
      <c r="T149" s="39">
        <f t="shared" si="393"/>
        <v>0.99967848848331109</v>
      </c>
      <c r="U149" s="39">
        <f t="shared" si="393"/>
        <v>0.99983779445975174</v>
      </c>
      <c r="V149" s="39">
        <f t="shared" si="471"/>
        <v>1.5930597644064903E-4</v>
      </c>
      <c r="W149" s="39">
        <f t="shared" si="472"/>
        <v>1.8067040079252137E-4</v>
      </c>
      <c r="X149" s="40">
        <f t="shared" si="394"/>
        <v>3.0111733465420224E-4</v>
      </c>
      <c r="Y149" s="40" t="s">
        <v>21</v>
      </c>
      <c r="Z149" s="217">
        <f t="shared" si="395"/>
        <v>6.0223466930840446E-3</v>
      </c>
      <c r="AA149" s="217">
        <f t="shared" si="396"/>
        <v>1.0037244488473409E-3</v>
      </c>
    </row>
    <row r="150" spans="1:27" x14ac:dyDescent="0.25">
      <c r="A150" s="229">
        <f t="shared" ref="A150:B150" si="512">A149+1</f>
        <v>2996</v>
      </c>
      <c r="B150" s="230">
        <f t="shared" si="512"/>
        <v>140</v>
      </c>
      <c r="C150" s="229" t="str">
        <f t="shared" si="466"/>
        <v>24bX25-000_090_08</v>
      </c>
      <c r="D150" s="231">
        <f t="shared" si="398"/>
        <v>25</v>
      </c>
      <c r="E150" s="239">
        <f t="shared" si="268"/>
        <v>3.4090000000000007</v>
      </c>
      <c r="F150" s="232">
        <f t="shared" si="281"/>
        <v>13.636000000000003</v>
      </c>
      <c r="G150" s="232">
        <f t="shared" si="269"/>
        <v>10.908800000000003</v>
      </c>
      <c r="H150" s="232">
        <f t="shared" si="270"/>
        <v>6.8180000000000014</v>
      </c>
      <c r="I150" s="232">
        <f t="shared" ref="I150:J150" si="513">I149</f>
        <v>8</v>
      </c>
      <c r="J150" s="233">
        <f t="shared" si="513"/>
        <v>0</v>
      </c>
      <c r="K150" s="228" t="str">
        <f t="shared" ref="K150" si="514">D150&amp;-8</f>
        <v>25-8</v>
      </c>
      <c r="L150" s="232">
        <f t="shared" si="277"/>
        <v>0.2</v>
      </c>
      <c r="M150" s="235">
        <v>90</v>
      </c>
      <c r="N150" s="232">
        <f t="shared" ref="N150:P150" si="515">N149</f>
        <v>150</v>
      </c>
      <c r="O150" s="232">
        <f t="shared" si="515"/>
        <v>160</v>
      </c>
      <c r="P150" s="232">
        <f t="shared" si="515"/>
        <v>750</v>
      </c>
      <c r="R150" s="38">
        <f t="shared" si="470"/>
        <v>24</v>
      </c>
      <c r="S150" s="38">
        <f t="shared" si="491"/>
        <v>25</v>
      </c>
      <c r="T150" s="39">
        <f t="shared" si="393"/>
        <v>0.99967848848331109</v>
      </c>
      <c r="U150" s="39">
        <f t="shared" si="393"/>
        <v>0.99983779445975174</v>
      </c>
      <c r="V150" s="39">
        <f t="shared" si="471"/>
        <v>1.5930597644064903E-4</v>
      </c>
      <c r="W150" s="39">
        <f t="shared" si="472"/>
        <v>1.8067040079252137E-4</v>
      </c>
      <c r="X150" s="40">
        <f t="shared" si="394"/>
        <v>3.0111733465420224E-4</v>
      </c>
      <c r="Y150" s="40" t="s">
        <v>21</v>
      </c>
      <c r="Z150" s="217">
        <f t="shared" si="395"/>
        <v>6.0223466930840446E-3</v>
      </c>
      <c r="AA150" s="217">
        <f t="shared" si="396"/>
        <v>1.0037244488473409E-3</v>
      </c>
    </row>
    <row r="151" spans="1:27" x14ac:dyDescent="0.25">
      <c r="A151" s="229">
        <f t="shared" ref="A151:B151" si="516">A150+1</f>
        <v>2997</v>
      </c>
      <c r="B151" s="230">
        <f t="shared" si="516"/>
        <v>141</v>
      </c>
      <c r="C151" s="229" t="str">
        <f t="shared" si="466"/>
        <v>24bX25-000_000_09</v>
      </c>
      <c r="D151" s="231">
        <f t="shared" si="398"/>
        <v>25</v>
      </c>
      <c r="E151" s="239">
        <f t="shared" si="268"/>
        <v>3.4090000000000007</v>
      </c>
      <c r="F151" s="232">
        <f t="shared" si="281"/>
        <v>13.636000000000003</v>
      </c>
      <c r="G151" s="232">
        <f t="shared" si="269"/>
        <v>10.908800000000003</v>
      </c>
      <c r="H151" s="232">
        <f t="shared" si="270"/>
        <v>6.8180000000000014</v>
      </c>
      <c r="I151" s="232">
        <f t="shared" ref="I151:J151" si="517">I150</f>
        <v>8</v>
      </c>
      <c r="J151" s="233">
        <f t="shared" si="517"/>
        <v>0</v>
      </c>
      <c r="K151" s="228" t="str">
        <f t="shared" ref="K151" si="518">D151&amp;-9</f>
        <v>25-9</v>
      </c>
      <c r="L151" s="232">
        <f t="shared" si="277"/>
        <v>0.2</v>
      </c>
      <c r="M151" s="235">
        <v>0</v>
      </c>
      <c r="N151" s="232">
        <f t="shared" ref="N151:P151" si="519">N150</f>
        <v>150</v>
      </c>
      <c r="O151" s="232">
        <f t="shared" si="519"/>
        <v>160</v>
      </c>
      <c r="P151" s="232">
        <f t="shared" si="519"/>
        <v>750</v>
      </c>
      <c r="R151" s="38">
        <f t="shared" si="470"/>
        <v>24</v>
      </c>
      <c r="S151" s="38">
        <f t="shared" si="491"/>
        <v>25</v>
      </c>
      <c r="T151" s="39">
        <f t="shared" si="393"/>
        <v>0.99967848848331109</v>
      </c>
      <c r="U151" s="39">
        <f t="shared" si="393"/>
        <v>0.99983779445975174</v>
      </c>
      <c r="V151" s="39">
        <f t="shared" si="471"/>
        <v>1.5930597644064903E-4</v>
      </c>
      <c r="W151" s="39">
        <f t="shared" si="472"/>
        <v>1.8067040079252137E-4</v>
      </c>
      <c r="X151" s="40">
        <f t="shared" si="394"/>
        <v>3.0111733465420224E-4</v>
      </c>
      <c r="Y151" s="40" t="s">
        <v>21</v>
      </c>
      <c r="Z151" s="217">
        <f t="shared" si="395"/>
        <v>6.0223466930840446E-3</v>
      </c>
      <c r="AA151" s="217">
        <f t="shared" si="396"/>
        <v>1.0037244488473409E-3</v>
      </c>
    </row>
    <row r="152" spans="1:27" x14ac:dyDescent="0.25">
      <c r="A152" s="229">
        <f t="shared" ref="A152:B152" si="520">A151+1</f>
        <v>2998</v>
      </c>
      <c r="B152" s="230">
        <f t="shared" si="520"/>
        <v>142</v>
      </c>
      <c r="C152" s="229" t="str">
        <f t="shared" si="466"/>
        <v>24bX25-000_030_10</v>
      </c>
      <c r="D152" s="231">
        <f t="shared" si="398"/>
        <v>25</v>
      </c>
      <c r="E152" s="239">
        <f t="shared" si="268"/>
        <v>3.4090000000000007</v>
      </c>
      <c r="F152" s="232">
        <f t="shared" si="281"/>
        <v>13.636000000000003</v>
      </c>
      <c r="G152" s="232">
        <f t="shared" si="269"/>
        <v>10.908800000000003</v>
      </c>
      <c r="H152" s="232">
        <f t="shared" si="270"/>
        <v>6.8180000000000014</v>
      </c>
      <c r="I152" s="232">
        <f t="shared" ref="I152:J152" si="521">I151</f>
        <v>8</v>
      </c>
      <c r="J152" s="233">
        <f t="shared" si="521"/>
        <v>0</v>
      </c>
      <c r="K152" s="228" t="str">
        <f t="shared" ref="K152" si="522">D152&amp;-10</f>
        <v>25-10</v>
      </c>
      <c r="L152" s="232">
        <f t="shared" si="277"/>
        <v>0.2</v>
      </c>
      <c r="M152" s="235">
        <v>30</v>
      </c>
      <c r="N152" s="232">
        <f t="shared" ref="N152:P152" si="523">N151</f>
        <v>150</v>
      </c>
      <c r="O152" s="232">
        <f t="shared" si="523"/>
        <v>160</v>
      </c>
      <c r="P152" s="232">
        <f t="shared" si="523"/>
        <v>750</v>
      </c>
      <c r="R152" s="38">
        <f t="shared" si="470"/>
        <v>24</v>
      </c>
      <c r="S152" s="38">
        <f t="shared" si="491"/>
        <v>25</v>
      </c>
      <c r="T152" s="39">
        <f t="shared" si="393"/>
        <v>0.99967848848331109</v>
      </c>
      <c r="U152" s="39">
        <f t="shared" si="393"/>
        <v>0.99983779445975174</v>
      </c>
      <c r="V152" s="39">
        <f t="shared" si="471"/>
        <v>1.5930597644064903E-4</v>
      </c>
      <c r="W152" s="39">
        <f t="shared" si="472"/>
        <v>1.8067040079252137E-4</v>
      </c>
      <c r="X152" s="40">
        <f t="shared" si="394"/>
        <v>3.0111733465420224E-4</v>
      </c>
      <c r="Y152" s="40" t="s">
        <v>21</v>
      </c>
      <c r="Z152" s="217">
        <f t="shared" si="395"/>
        <v>6.0223466930840446E-3</v>
      </c>
      <c r="AA152" s="217">
        <f t="shared" si="396"/>
        <v>1.0037244488473409E-3</v>
      </c>
    </row>
    <row r="153" spans="1:27" x14ac:dyDescent="0.25">
      <c r="A153" s="229">
        <f t="shared" ref="A153:B153" si="524">A152+1</f>
        <v>2999</v>
      </c>
      <c r="B153" s="230">
        <f t="shared" si="524"/>
        <v>143</v>
      </c>
      <c r="C153" s="229" t="str">
        <f t="shared" si="466"/>
        <v>24bX25-000_060_11</v>
      </c>
      <c r="D153" s="231">
        <f t="shared" si="398"/>
        <v>25</v>
      </c>
      <c r="E153" s="239">
        <f t="shared" si="268"/>
        <v>3.4090000000000007</v>
      </c>
      <c r="F153" s="232">
        <f t="shared" si="281"/>
        <v>13.636000000000003</v>
      </c>
      <c r="G153" s="232">
        <f t="shared" si="269"/>
        <v>10.908800000000003</v>
      </c>
      <c r="H153" s="232">
        <f t="shared" si="270"/>
        <v>6.8180000000000014</v>
      </c>
      <c r="I153" s="232">
        <f t="shared" ref="I153:J153" si="525">I152</f>
        <v>8</v>
      </c>
      <c r="J153" s="233">
        <f t="shared" si="525"/>
        <v>0</v>
      </c>
      <c r="K153" s="228" t="str">
        <f t="shared" ref="K153" si="526">D153&amp;-11</f>
        <v>25-11</v>
      </c>
      <c r="L153" s="232">
        <f t="shared" si="277"/>
        <v>0.2</v>
      </c>
      <c r="M153" s="235">
        <v>60</v>
      </c>
      <c r="N153" s="232">
        <f t="shared" ref="N153:P153" si="527">N152</f>
        <v>150</v>
      </c>
      <c r="O153" s="232">
        <f t="shared" si="527"/>
        <v>160</v>
      </c>
      <c r="P153" s="232">
        <f t="shared" si="527"/>
        <v>750</v>
      </c>
      <c r="R153" s="38">
        <f t="shared" si="470"/>
        <v>24</v>
      </c>
      <c r="S153" s="38">
        <f t="shared" si="491"/>
        <v>25</v>
      </c>
      <c r="T153" s="39">
        <f t="shared" si="393"/>
        <v>0.99967848848331109</v>
      </c>
      <c r="U153" s="39">
        <f t="shared" si="393"/>
        <v>0.99983779445975174</v>
      </c>
      <c r="V153" s="39">
        <f t="shared" si="471"/>
        <v>1.5930597644064903E-4</v>
      </c>
      <c r="W153" s="39">
        <f t="shared" si="472"/>
        <v>1.8067040079252137E-4</v>
      </c>
      <c r="X153" s="40">
        <f t="shared" si="394"/>
        <v>3.0111733465420224E-4</v>
      </c>
      <c r="Y153" s="40" t="s">
        <v>21</v>
      </c>
      <c r="Z153" s="217">
        <f t="shared" si="395"/>
        <v>6.0223466930840446E-3</v>
      </c>
      <c r="AA153" s="217">
        <f t="shared" si="396"/>
        <v>1.0037244488473409E-3</v>
      </c>
    </row>
    <row r="154" spans="1:27" x14ac:dyDescent="0.25">
      <c r="A154" s="229">
        <f t="shared" ref="A154:B154" si="528">A153+1</f>
        <v>3000</v>
      </c>
      <c r="B154" s="230">
        <f t="shared" si="528"/>
        <v>144</v>
      </c>
      <c r="C154" s="229" t="str">
        <f t="shared" si="466"/>
        <v>24bX25-000_090_12</v>
      </c>
      <c r="D154" s="231">
        <f t="shared" si="398"/>
        <v>25</v>
      </c>
      <c r="E154" s="239">
        <f t="shared" si="268"/>
        <v>3.4090000000000007</v>
      </c>
      <c r="F154" s="232">
        <f t="shared" si="281"/>
        <v>13.636000000000003</v>
      </c>
      <c r="G154" s="232">
        <f t="shared" si="269"/>
        <v>10.908800000000003</v>
      </c>
      <c r="H154" s="232">
        <f t="shared" si="270"/>
        <v>6.8180000000000014</v>
      </c>
      <c r="I154" s="232">
        <f t="shared" ref="I154:J154" si="529">I153</f>
        <v>8</v>
      </c>
      <c r="J154" s="233">
        <f t="shared" si="529"/>
        <v>0</v>
      </c>
      <c r="K154" s="228" t="str">
        <f t="shared" ref="K154" si="530">D154&amp;-12</f>
        <v>25-12</v>
      </c>
      <c r="L154" s="232">
        <f t="shared" si="277"/>
        <v>0.2</v>
      </c>
      <c r="M154" s="235">
        <v>90</v>
      </c>
      <c r="N154" s="232">
        <f t="shared" ref="N154:P154" si="531">N153</f>
        <v>150</v>
      </c>
      <c r="O154" s="232">
        <f t="shared" si="531"/>
        <v>160</v>
      </c>
      <c r="P154" s="232">
        <f t="shared" si="531"/>
        <v>750</v>
      </c>
      <c r="R154" s="38">
        <f t="shared" si="470"/>
        <v>24</v>
      </c>
      <c r="S154" s="38">
        <f t="shared" si="491"/>
        <v>25</v>
      </c>
      <c r="T154" s="39">
        <f t="shared" si="393"/>
        <v>0.99967848848331109</v>
      </c>
      <c r="U154" s="39">
        <f t="shared" si="393"/>
        <v>0.99983779445975174</v>
      </c>
      <c r="V154" s="39">
        <f>U154-T154</f>
        <v>1.5930597644064903E-4</v>
      </c>
      <c r="W154" s="39">
        <f>V154/(V$11+V$23+V$35+V$47+V$59+V$71+V$83+V$95+V$107+V$119+V$131+V$143)</f>
        <v>1.8067040079252137E-4</v>
      </c>
      <c r="X154" s="40">
        <f t="shared" si="394"/>
        <v>3.0111733465420224E-4</v>
      </c>
      <c r="Y154" s="40" t="s">
        <v>21</v>
      </c>
      <c r="Z154" s="217">
        <f t="shared" si="395"/>
        <v>6.0223466930840446E-3</v>
      </c>
      <c r="AA154" s="217">
        <f t="shared" si="396"/>
        <v>1.0037244488473409E-3</v>
      </c>
    </row>
  </sheetData>
  <mergeCells count="1">
    <mergeCell ref="R8:Y8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A298"/>
  <sheetViews>
    <sheetView topLeftCell="B1" zoomScaleNormal="100" workbookViewId="0">
      <selection activeCell="N4" sqref="N4"/>
    </sheetView>
  </sheetViews>
  <sheetFormatPr defaultColWidth="9" defaultRowHeight="15" x14ac:dyDescent="0.15"/>
  <cols>
    <col min="1" max="1" width="7" style="182" customWidth="1"/>
    <col min="2" max="2" width="7.375" style="182" customWidth="1"/>
    <col min="3" max="3" width="23.875" style="182" customWidth="1"/>
    <col min="4" max="4" width="6.875" style="182" customWidth="1"/>
    <col min="5" max="5" width="7.375" style="182" customWidth="1"/>
    <col min="6" max="6" width="8.125" style="182" customWidth="1"/>
    <col min="7" max="8" width="7.375" style="182" customWidth="1"/>
    <col min="9" max="9" width="8" style="182" customWidth="1"/>
    <col min="10" max="10" width="9" style="182"/>
    <col min="11" max="11" width="8.875" style="182" customWidth="1"/>
    <col min="12" max="12" width="7.375" style="182" customWidth="1"/>
    <col min="13" max="13" width="7.125" style="182" customWidth="1"/>
    <col min="14" max="14" width="6.75" style="182" customWidth="1"/>
    <col min="15" max="15" width="7" style="182" customWidth="1"/>
    <col min="16" max="16384" width="9" style="182"/>
  </cols>
  <sheetData>
    <row r="1" spans="1:27" x14ac:dyDescent="0.15">
      <c r="H1" s="181" t="s">
        <v>135</v>
      </c>
      <c r="I1" s="216" t="s">
        <v>3983</v>
      </c>
      <c r="J1" s="180"/>
    </row>
    <row r="2" spans="1:27" x14ac:dyDescent="0.15">
      <c r="B2" s="181" t="s">
        <v>3702</v>
      </c>
      <c r="C2" s="181"/>
      <c r="D2" s="181"/>
      <c r="E2" s="181"/>
      <c r="F2" s="181"/>
      <c r="G2" s="181"/>
      <c r="H2" s="181"/>
      <c r="I2" s="216" t="s">
        <v>3928</v>
      </c>
      <c r="J2" s="180"/>
    </row>
    <row r="3" spans="1:27" x14ac:dyDescent="0.15">
      <c r="B3" s="181" t="s">
        <v>88</v>
      </c>
      <c r="C3" s="181"/>
      <c r="D3" s="181"/>
      <c r="E3" s="181" t="s">
        <v>95</v>
      </c>
      <c r="F3" s="181"/>
      <c r="G3" s="181"/>
      <c r="H3" s="181"/>
      <c r="I3" s="240" t="s">
        <v>3939</v>
      </c>
      <c r="J3" s="180"/>
    </row>
    <row r="4" spans="1:27" x14ac:dyDescent="0.15">
      <c r="B4" s="181" t="s">
        <v>89</v>
      </c>
      <c r="C4" s="181"/>
      <c r="D4" s="181"/>
      <c r="E4" s="181" t="s">
        <v>3707</v>
      </c>
      <c r="F4" s="181"/>
      <c r="G4" s="181"/>
      <c r="H4" s="181"/>
      <c r="I4" s="216" t="s">
        <v>3937</v>
      </c>
      <c r="J4" s="180"/>
    </row>
    <row r="5" spans="1:27" x14ac:dyDescent="0.15">
      <c r="B5" s="181" t="s">
        <v>91</v>
      </c>
      <c r="C5" s="181"/>
      <c r="D5" s="181"/>
      <c r="E5" s="181" t="s">
        <v>890</v>
      </c>
      <c r="F5" s="181"/>
      <c r="G5" s="181"/>
      <c r="H5" s="181"/>
      <c r="I5" s="240" t="s">
        <v>3940</v>
      </c>
      <c r="J5" s="180"/>
      <c r="K5" s="181"/>
    </row>
    <row r="6" spans="1:27" x14ac:dyDescent="0.15">
      <c r="B6" s="181" t="s">
        <v>93</v>
      </c>
      <c r="C6" s="181"/>
      <c r="D6" s="181"/>
      <c r="E6" s="181" t="s">
        <v>891</v>
      </c>
      <c r="F6" s="181"/>
      <c r="G6" s="181"/>
      <c r="H6" s="181"/>
      <c r="I6" s="216" t="s">
        <v>3932</v>
      </c>
      <c r="J6" s="180"/>
    </row>
    <row r="7" spans="1:27" x14ac:dyDescent="0.15">
      <c r="I7" s="216" t="s">
        <v>3930</v>
      </c>
      <c r="P7" s="182">
        <v>16</v>
      </c>
      <c r="Q7" s="182">
        <v>17</v>
      </c>
      <c r="R7" s="217">
        <v>18</v>
      </c>
      <c r="S7" s="217">
        <v>19</v>
      </c>
      <c r="T7" s="217">
        <v>20</v>
      </c>
      <c r="U7" s="217">
        <v>21</v>
      </c>
      <c r="V7" s="217">
        <v>22</v>
      </c>
      <c r="W7" s="217">
        <v>23</v>
      </c>
      <c r="X7" s="217">
        <v>24</v>
      </c>
    </row>
    <row r="8" spans="1:27" ht="15.75" thickBot="1" x14ac:dyDescent="0.2">
      <c r="A8" s="182">
        <v>1</v>
      </c>
      <c r="B8" s="182">
        <v>2</v>
      </c>
      <c r="C8" s="182">
        <v>3</v>
      </c>
      <c r="D8" s="182">
        <v>4</v>
      </c>
      <c r="E8" s="182">
        <v>5</v>
      </c>
      <c r="F8" s="182">
        <v>6</v>
      </c>
      <c r="G8" s="182">
        <v>7</v>
      </c>
      <c r="H8" s="182">
        <v>8</v>
      </c>
      <c r="I8" s="182">
        <v>9</v>
      </c>
      <c r="J8" s="182">
        <v>10</v>
      </c>
      <c r="K8" s="182">
        <v>11</v>
      </c>
      <c r="L8" s="182">
        <v>12</v>
      </c>
      <c r="M8" s="182">
        <v>13</v>
      </c>
      <c r="N8" s="182">
        <v>14</v>
      </c>
      <c r="O8" s="182">
        <v>15</v>
      </c>
      <c r="Q8" s="273" t="s">
        <v>249</v>
      </c>
      <c r="R8" s="274"/>
      <c r="S8" s="274"/>
      <c r="T8" s="274"/>
      <c r="U8" s="274"/>
      <c r="V8" s="274"/>
      <c r="W8" s="274"/>
      <c r="X8" s="275"/>
    </row>
    <row r="9" spans="1:27" x14ac:dyDescent="0.25">
      <c r="A9" s="183" t="s">
        <v>97</v>
      </c>
      <c r="B9" s="184" t="s">
        <v>96</v>
      </c>
      <c r="C9" s="183" t="s">
        <v>0</v>
      </c>
      <c r="D9" s="184" t="s">
        <v>137</v>
      </c>
      <c r="E9" s="201" t="s">
        <v>142</v>
      </c>
      <c r="F9" s="184" t="s">
        <v>119</v>
      </c>
      <c r="G9" s="184" t="s">
        <v>120</v>
      </c>
      <c r="H9" s="184" t="s">
        <v>121</v>
      </c>
      <c r="I9" s="184" t="s">
        <v>144</v>
      </c>
      <c r="J9" s="184" t="s">
        <v>140</v>
      </c>
      <c r="K9" s="185" t="s">
        <v>3</v>
      </c>
      <c r="L9" s="184" t="s">
        <v>141</v>
      </c>
      <c r="M9" s="184" t="s">
        <v>13</v>
      </c>
      <c r="N9" s="186" t="s">
        <v>138</v>
      </c>
      <c r="O9" s="186" t="s">
        <v>139</v>
      </c>
      <c r="Q9" s="28" t="s">
        <v>77</v>
      </c>
      <c r="R9" s="28" t="s">
        <v>78</v>
      </c>
      <c r="S9" s="28" t="s">
        <v>79</v>
      </c>
      <c r="T9" s="28" t="s">
        <v>80</v>
      </c>
      <c r="U9" s="28" t="s">
        <v>81</v>
      </c>
      <c r="V9" s="28" t="s">
        <v>86</v>
      </c>
      <c r="W9" s="28" t="s">
        <v>85</v>
      </c>
      <c r="X9" s="28" t="s">
        <v>250</v>
      </c>
    </row>
    <row r="10" spans="1:27" ht="15.75" thickBot="1" x14ac:dyDescent="0.3">
      <c r="A10" s="187" t="s">
        <v>76</v>
      </c>
      <c r="B10" s="188" t="str">
        <f>B2</f>
        <v>DLC24c</v>
      </c>
      <c r="C10" s="187"/>
      <c r="D10" s="188" t="s">
        <v>4</v>
      </c>
      <c r="E10" s="202" t="s">
        <v>4</v>
      </c>
      <c r="F10" s="188" t="s">
        <v>5</v>
      </c>
      <c r="G10" s="188" t="s">
        <v>5</v>
      </c>
      <c r="H10" s="188" t="s">
        <v>5</v>
      </c>
      <c r="I10" s="188" t="s">
        <v>6</v>
      </c>
      <c r="J10" s="188" t="s">
        <v>6</v>
      </c>
      <c r="K10" s="189"/>
      <c r="L10" s="188"/>
      <c r="M10" s="190" t="s">
        <v>7</v>
      </c>
      <c r="N10" s="190" t="s">
        <v>7</v>
      </c>
      <c r="O10" s="190" t="s">
        <v>7</v>
      </c>
      <c r="Q10" s="207" t="s">
        <v>83</v>
      </c>
      <c r="R10" s="28" t="s">
        <v>83</v>
      </c>
      <c r="S10" s="28" t="s">
        <v>76</v>
      </c>
      <c r="T10" s="28" t="s">
        <v>76</v>
      </c>
      <c r="U10" s="28" t="s">
        <v>76</v>
      </c>
      <c r="V10" s="207"/>
      <c r="W10" s="28" t="s">
        <v>76</v>
      </c>
      <c r="X10" s="28" t="s">
        <v>251</v>
      </c>
      <c r="AA10" s="182" t="s">
        <v>200</v>
      </c>
    </row>
    <row r="11" spans="1:27" x14ac:dyDescent="0.25">
      <c r="A11" s="195">
        <f>DLC24b!A154+1</f>
        <v>3001</v>
      </c>
      <c r="B11" s="196">
        <v>1</v>
      </c>
      <c r="C11" s="229" t="str">
        <f>TEXT(RIGHT($B$2,LEN($B$2)-3),"000")&amp;"X"&amp;TEXT(D11,"00")&amp;"_"&amp;IF(J11&lt;0,TEXT(360+J11,"000"),TEXT(J11,"000"))&amp;"-"&amp;TEXT(M11,"000")&amp;"_"&amp;TEXT(RIGHT(K11,LEN(K11)-FIND("-",K11)),"00")</f>
        <v>24cX03_025-000_01</v>
      </c>
      <c r="D11" s="226">
        <v>3</v>
      </c>
      <c r="E11" s="204">
        <f t="shared" ref="E11:E34" si="0">I_ref*(0.75*D11+5.6)</f>
        <v>1.099</v>
      </c>
      <c r="F11" s="198">
        <f t="shared" ref="F11:F34" si="1">E11/D11*100</f>
        <v>36.633333333333333</v>
      </c>
      <c r="G11" s="198">
        <f t="shared" ref="G11:G34" si="2">m_ty*F11</f>
        <v>29.306666666666668</v>
      </c>
      <c r="H11" s="198">
        <f t="shared" ref="H11:H34" si="3">m_tz*F11</f>
        <v>18.316666666666666</v>
      </c>
      <c r="I11" s="198">
        <f>inflow</f>
        <v>8</v>
      </c>
      <c r="J11" s="199">
        <v>25</v>
      </c>
      <c r="K11" s="194" t="str">
        <f>D11&amp;-1</f>
        <v>3-1</v>
      </c>
      <c r="L11" s="198">
        <f>alpha_n</f>
        <v>0.2</v>
      </c>
      <c r="M11" s="49">
        <v>0</v>
      </c>
      <c r="N11" s="198">
        <f>t_out</f>
        <v>150</v>
      </c>
      <c r="O11" s="198">
        <f>N11+T_s1</f>
        <v>750</v>
      </c>
      <c r="P11" s="56"/>
      <c r="Q11" s="38">
        <f t="shared" ref="Q11:Q22" si="4">v_in</f>
        <v>3</v>
      </c>
      <c r="R11" s="38">
        <f>Q11+v_step/2</f>
        <v>4</v>
      </c>
      <c r="S11" s="39">
        <f t="shared" ref="S11:T26" si="5">IF(wpd="Rayleigh",1-EXP(-PI()*((Q11/2/v_ave)^2)),IF(wpd="Weibull",1-EXP(-((Q11/weibull_A)^weibull_K))))</f>
        <v>0.11808862170182366</v>
      </c>
      <c r="T11" s="39">
        <f t="shared" si="5"/>
        <v>0.20020684760703333</v>
      </c>
      <c r="U11" s="39">
        <f>T11-S11</f>
        <v>8.2118225905209674E-2</v>
      </c>
      <c r="V11" s="39">
        <f>U11/(U$11+U$35+U$59+U$83+U$107+U$131+U$155+U$179+U$203+U$227+U$251+U$275)</f>
        <v>9.3131049557280493E-2</v>
      </c>
      <c r="W11" s="40">
        <f t="shared" ref="W11:W34" si="6">H_hy*V11/24</f>
        <v>9.3131049557280507E-2</v>
      </c>
      <c r="X11" s="40" t="s">
        <v>3710</v>
      </c>
      <c r="Y11" s="182">
        <f t="shared" ref="Y11:Y42" si="7">Z11*3600/(O11-N11)</f>
        <v>11.175725946873662</v>
      </c>
      <c r="Z11" s="182">
        <f>W11*20</f>
        <v>1.8626209911456102</v>
      </c>
      <c r="AA11" s="176">
        <f>SUM(W11:W298)</f>
        <v>23.999999999999972</v>
      </c>
    </row>
    <row r="12" spans="1:27" x14ac:dyDescent="0.25">
      <c r="A12" s="229">
        <f>A11+1</f>
        <v>3002</v>
      </c>
      <c r="B12" s="230">
        <f>B11+1</f>
        <v>2</v>
      </c>
      <c r="C12" s="229" t="str">
        <f t="shared" ref="C12:C75" si="8">TEXT(RIGHT($B$2,LEN($B$2)-3),"000")&amp;"X"&amp;TEXT(D12,"00")&amp;"_"&amp;IF(J12&lt;0,TEXT(360+J12,"000"),TEXT(J12,"000"))&amp;"-"&amp;TEXT(M12,"000")&amp;"_"&amp;TEXT(RIGHT(K12,LEN(K12)-FIND("-",K12)),"00")</f>
        <v>24cX03_025-030_02</v>
      </c>
      <c r="D12" s="231">
        <f>D11</f>
        <v>3</v>
      </c>
      <c r="E12" s="204">
        <f t="shared" si="0"/>
        <v>1.099</v>
      </c>
      <c r="F12" s="198">
        <f t="shared" si="1"/>
        <v>36.633333333333333</v>
      </c>
      <c r="G12" s="198">
        <f t="shared" si="2"/>
        <v>29.306666666666668</v>
      </c>
      <c r="H12" s="198">
        <f t="shared" si="3"/>
        <v>18.316666666666666</v>
      </c>
      <c r="I12" s="198">
        <f t="shared" ref="I12:J20" si="9">I11</f>
        <v>8</v>
      </c>
      <c r="J12" s="199">
        <f>J11</f>
        <v>25</v>
      </c>
      <c r="K12" s="194" t="str">
        <f>D12&amp;-2</f>
        <v>3-2</v>
      </c>
      <c r="L12" s="198">
        <f t="shared" ref="L12:L34" si="10">L11</f>
        <v>0.2</v>
      </c>
      <c r="M12" s="49">
        <v>30</v>
      </c>
      <c r="N12" s="198">
        <f t="shared" ref="N12:O15" si="11">N11</f>
        <v>150</v>
      </c>
      <c r="O12" s="198">
        <f t="shared" si="11"/>
        <v>750</v>
      </c>
      <c r="P12" s="56"/>
      <c r="Q12" s="38">
        <f t="shared" si="4"/>
        <v>3</v>
      </c>
      <c r="R12" s="38">
        <f>R11</f>
        <v>4</v>
      </c>
      <c r="S12" s="39">
        <f t="shared" si="5"/>
        <v>0.11808862170182366</v>
      </c>
      <c r="T12" s="39">
        <f t="shared" si="5"/>
        <v>0.20020684760703333</v>
      </c>
      <c r="U12" s="39">
        <f t="shared" ref="U12:U75" si="12">T12-S12</f>
        <v>8.2118225905209674E-2</v>
      </c>
      <c r="V12" s="39">
        <f t="shared" ref="V12:V75" si="13">U12/(U$11+U$35+U$59+U$83+U$107+U$131+U$155+U$179+U$203+U$227+U$251+U$275)</f>
        <v>9.3131049557280493E-2</v>
      </c>
      <c r="W12" s="40">
        <f t="shared" si="6"/>
        <v>9.3131049557280507E-2</v>
      </c>
      <c r="X12" s="40" t="s">
        <v>3710</v>
      </c>
      <c r="Y12" s="182">
        <f t="shared" si="7"/>
        <v>11.175725946873662</v>
      </c>
      <c r="Z12" s="182">
        <f t="shared" ref="Z12:Z34" si="14">W12*20</f>
        <v>1.8626209911456102</v>
      </c>
      <c r="AA12" s="176"/>
    </row>
    <row r="13" spans="1:27" x14ac:dyDescent="0.25">
      <c r="A13" s="229">
        <f t="shared" ref="A13:A76" si="15">A12+1</f>
        <v>3003</v>
      </c>
      <c r="B13" s="230">
        <f t="shared" ref="B13:B76" si="16">B12+1</f>
        <v>3</v>
      </c>
      <c r="C13" s="229" t="str">
        <f t="shared" si="8"/>
        <v>24cX03_025-060_03</v>
      </c>
      <c r="D13" s="231">
        <f t="shared" ref="D13:D22" si="17">D12</f>
        <v>3</v>
      </c>
      <c r="E13" s="204">
        <f t="shared" si="0"/>
        <v>1.099</v>
      </c>
      <c r="F13" s="198">
        <f t="shared" si="1"/>
        <v>36.633333333333333</v>
      </c>
      <c r="G13" s="198">
        <f t="shared" si="2"/>
        <v>29.306666666666668</v>
      </c>
      <c r="H13" s="198">
        <f t="shared" si="3"/>
        <v>18.316666666666666</v>
      </c>
      <c r="I13" s="198">
        <f t="shared" si="9"/>
        <v>8</v>
      </c>
      <c r="J13" s="199">
        <f t="shared" si="9"/>
        <v>25</v>
      </c>
      <c r="K13" s="194" t="str">
        <f>D13&amp;-3</f>
        <v>3-3</v>
      </c>
      <c r="L13" s="198">
        <f t="shared" si="10"/>
        <v>0.2</v>
      </c>
      <c r="M13" s="49">
        <v>60</v>
      </c>
      <c r="N13" s="198">
        <f t="shared" si="11"/>
        <v>150</v>
      </c>
      <c r="O13" s="198">
        <f t="shared" si="11"/>
        <v>750</v>
      </c>
      <c r="P13" s="56"/>
      <c r="Q13" s="38">
        <f t="shared" si="4"/>
        <v>3</v>
      </c>
      <c r="R13" s="38">
        <f t="shared" ref="R13:R22" si="18">R12</f>
        <v>4</v>
      </c>
      <c r="S13" s="39">
        <f t="shared" si="5"/>
        <v>0.11808862170182366</v>
      </c>
      <c r="T13" s="39">
        <f t="shared" si="5"/>
        <v>0.20020684760703333</v>
      </c>
      <c r="U13" s="39">
        <f t="shared" si="12"/>
        <v>8.2118225905209674E-2</v>
      </c>
      <c r="V13" s="39">
        <f t="shared" si="13"/>
        <v>9.3131049557280493E-2</v>
      </c>
      <c r="W13" s="40">
        <f t="shared" si="6"/>
        <v>9.3131049557280507E-2</v>
      </c>
      <c r="X13" s="40" t="s">
        <v>3710</v>
      </c>
      <c r="Y13" s="182">
        <f t="shared" si="7"/>
        <v>11.175725946873662</v>
      </c>
      <c r="Z13" s="182">
        <f t="shared" si="14"/>
        <v>1.8626209911456102</v>
      </c>
    </row>
    <row r="14" spans="1:27" x14ac:dyDescent="0.25">
      <c r="A14" s="229">
        <f t="shared" si="15"/>
        <v>3004</v>
      </c>
      <c r="B14" s="230">
        <f t="shared" si="16"/>
        <v>4</v>
      </c>
      <c r="C14" s="229" t="str">
        <f t="shared" si="8"/>
        <v>24cX03_025-090_04</v>
      </c>
      <c r="D14" s="231">
        <f t="shared" si="17"/>
        <v>3</v>
      </c>
      <c r="E14" s="204">
        <f t="shared" si="0"/>
        <v>1.099</v>
      </c>
      <c r="F14" s="198">
        <f t="shared" si="1"/>
        <v>36.633333333333333</v>
      </c>
      <c r="G14" s="198">
        <f t="shared" si="2"/>
        <v>29.306666666666668</v>
      </c>
      <c r="H14" s="198">
        <f t="shared" si="3"/>
        <v>18.316666666666666</v>
      </c>
      <c r="I14" s="198">
        <f t="shared" si="9"/>
        <v>8</v>
      </c>
      <c r="J14" s="199">
        <f t="shared" si="9"/>
        <v>25</v>
      </c>
      <c r="K14" s="194" t="str">
        <f>D14&amp;-4</f>
        <v>3-4</v>
      </c>
      <c r="L14" s="198">
        <f t="shared" si="10"/>
        <v>0.2</v>
      </c>
      <c r="M14" s="49">
        <v>90</v>
      </c>
      <c r="N14" s="198">
        <f t="shared" si="11"/>
        <v>150</v>
      </c>
      <c r="O14" s="198">
        <f t="shared" si="11"/>
        <v>750</v>
      </c>
      <c r="P14" s="56"/>
      <c r="Q14" s="38">
        <f t="shared" si="4"/>
        <v>3</v>
      </c>
      <c r="R14" s="38">
        <f t="shared" si="18"/>
        <v>4</v>
      </c>
      <c r="S14" s="39">
        <f t="shared" si="5"/>
        <v>0.11808862170182366</v>
      </c>
      <c r="T14" s="39">
        <f t="shared" si="5"/>
        <v>0.20020684760703333</v>
      </c>
      <c r="U14" s="39">
        <f t="shared" si="12"/>
        <v>8.2118225905209674E-2</v>
      </c>
      <c r="V14" s="39">
        <f t="shared" si="13"/>
        <v>9.3131049557280493E-2</v>
      </c>
      <c r="W14" s="40">
        <f t="shared" si="6"/>
        <v>9.3131049557280507E-2</v>
      </c>
      <c r="X14" s="40" t="s">
        <v>3710</v>
      </c>
      <c r="Y14" s="182">
        <f t="shared" si="7"/>
        <v>11.175725946873662</v>
      </c>
      <c r="Z14" s="182">
        <f t="shared" si="14"/>
        <v>1.8626209911456102</v>
      </c>
    </row>
    <row r="15" spans="1:27" x14ac:dyDescent="0.25">
      <c r="A15" s="229">
        <f t="shared" si="15"/>
        <v>3005</v>
      </c>
      <c r="B15" s="230">
        <f t="shared" si="16"/>
        <v>5</v>
      </c>
      <c r="C15" s="229" t="str">
        <f t="shared" si="8"/>
        <v>24cX03_025-000_05</v>
      </c>
      <c r="D15" s="231">
        <f t="shared" si="17"/>
        <v>3</v>
      </c>
      <c r="E15" s="204">
        <f t="shared" si="0"/>
        <v>1.099</v>
      </c>
      <c r="F15" s="198">
        <f t="shared" si="1"/>
        <v>36.633333333333333</v>
      </c>
      <c r="G15" s="198">
        <f t="shared" si="2"/>
        <v>29.306666666666668</v>
      </c>
      <c r="H15" s="198">
        <f t="shared" si="3"/>
        <v>18.316666666666666</v>
      </c>
      <c r="I15" s="198">
        <f t="shared" si="9"/>
        <v>8</v>
      </c>
      <c r="J15" s="199">
        <f t="shared" si="9"/>
        <v>25</v>
      </c>
      <c r="K15" s="194" t="str">
        <f>D15&amp;-5</f>
        <v>3-5</v>
      </c>
      <c r="L15" s="198">
        <f t="shared" si="10"/>
        <v>0.2</v>
      </c>
      <c r="M15" s="49">
        <v>0</v>
      </c>
      <c r="N15" s="198">
        <f t="shared" si="11"/>
        <v>150</v>
      </c>
      <c r="O15" s="198">
        <f t="shared" si="11"/>
        <v>750</v>
      </c>
      <c r="P15" s="56"/>
      <c r="Q15" s="38">
        <f t="shared" si="4"/>
        <v>3</v>
      </c>
      <c r="R15" s="38">
        <f t="shared" si="18"/>
        <v>4</v>
      </c>
      <c r="S15" s="39">
        <f t="shared" si="5"/>
        <v>0.11808862170182366</v>
      </c>
      <c r="T15" s="39">
        <f t="shared" si="5"/>
        <v>0.20020684760703333</v>
      </c>
      <c r="U15" s="39">
        <f t="shared" si="12"/>
        <v>8.2118225905209674E-2</v>
      </c>
      <c r="V15" s="39">
        <f t="shared" si="13"/>
        <v>9.3131049557280493E-2</v>
      </c>
      <c r="W15" s="40">
        <f t="shared" si="6"/>
        <v>9.3131049557280507E-2</v>
      </c>
      <c r="X15" s="40" t="s">
        <v>3710</v>
      </c>
      <c r="Y15" s="182">
        <f t="shared" si="7"/>
        <v>11.175725946873662</v>
      </c>
      <c r="Z15" s="182">
        <f t="shared" si="14"/>
        <v>1.8626209911456102</v>
      </c>
    </row>
    <row r="16" spans="1:27" x14ac:dyDescent="0.25">
      <c r="A16" s="229">
        <f t="shared" si="15"/>
        <v>3006</v>
      </c>
      <c r="B16" s="230">
        <f t="shared" si="16"/>
        <v>6</v>
      </c>
      <c r="C16" s="229" t="str">
        <f t="shared" si="8"/>
        <v>24cX03_025-030_06</v>
      </c>
      <c r="D16" s="231">
        <f t="shared" si="17"/>
        <v>3</v>
      </c>
      <c r="E16" s="204">
        <f t="shared" si="0"/>
        <v>1.099</v>
      </c>
      <c r="F16" s="198">
        <f t="shared" si="1"/>
        <v>36.633333333333333</v>
      </c>
      <c r="G16" s="198">
        <f t="shared" si="2"/>
        <v>29.306666666666668</v>
      </c>
      <c r="H16" s="198">
        <f t="shared" si="3"/>
        <v>18.316666666666666</v>
      </c>
      <c r="I16" s="198">
        <f t="shared" si="9"/>
        <v>8</v>
      </c>
      <c r="J16" s="199">
        <f t="shared" si="9"/>
        <v>25</v>
      </c>
      <c r="K16" s="194" t="str">
        <f>D16&amp;-6</f>
        <v>3-6</v>
      </c>
      <c r="L16" s="198">
        <f t="shared" si="10"/>
        <v>0.2</v>
      </c>
      <c r="M16" s="49">
        <v>30</v>
      </c>
      <c r="N16" s="198">
        <f t="shared" ref="N16:O31" si="19">N15</f>
        <v>150</v>
      </c>
      <c r="O16" s="198">
        <f t="shared" si="19"/>
        <v>750</v>
      </c>
      <c r="P16" s="56"/>
      <c r="Q16" s="38">
        <f t="shared" si="4"/>
        <v>3</v>
      </c>
      <c r="R16" s="38">
        <f t="shared" si="18"/>
        <v>4</v>
      </c>
      <c r="S16" s="39">
        <f t="shared" si="5"/>
        <v>0.11808862170182366</v>
      </c>
      <c r="T16" s="39">
        <f t="shared" si="5"/>
        <v>0.20020684760703333</v>
      </c>
      <c r="U16" s="39">
        <f t="shared" si="12"/>
        <v>8.2118225905209674E-2</v>
      </c>
      <c r="V16" s="39">
        <f t="shared" si="13"/>
        <v>9.3131049557280493E-2</v>
      </c>
      <c r="W16" s="40">
        <f t="shared" si="6"/>
        <v>9.3131049557280507E-2</v>
      </c>
      <c r="X16" s="40" t="s">
        <v>3710</v>
      </c>
      <c r="Y16" s="182">
        <f t="shared" si="7"/>
        <v>11.175725946873662</v>
      </c>
      <c r="Z16" s="182">
        <f t="shared" si="14"/>
        <v>1.8626209911456102</v>
      </c>
    </row>
    <row r="17" spans="1:27" x14ac:dyDescent="0.25">
      <c r="A17" s="229">
        <f t="shared" si="15"/>
        <v>3007</v>
      </c>
      <c r="B17" s="230">
        <f t="shared" si="16"/>
        <v>7</v>
      </c>
      <c r="C17" s="229" t="str">
        <f t="shared" si="8"/>
        <v>24cX03_025-060_07</v>
      </c>
      <c r="D17" s="231">
        <f>D16</f>
        <v>3</v>
      </c>
      <c r="E17" s="204">
        <f t="shared" si="0"/>
        <v>1.099</v>
      </c>
      <c r="F17" s="198">
        <f t="shared" si="1"/>
        <v>36.633333333333333</v>
      </c>
      <c r="G17" s="198">
        <f t="shared" si="2"/>
        <v>29.306666666666668</v>
      </c>
      <c r="H17" s="198">
        <f t="shared" si="3"/>
        <v>18.316666666666666</v>
      </c>
      <c r="I17" s="198">
        <f t="shared" si="9"/>
        <v>8</v>
      </c>
      <c r="J17" s="199">
        <f t="shared" si="9"/>
        <v>25</v>
      </c>
      <c r="K17" s="194" t="str">
        <f>D17&amp;-7</f>
        <v>3-7</v>
      </c>
      <c r="L17" s="198">
        <f t="shared" si="10"/>
        <v>0.2</v>
      </c>
      <c r="M17" s="49">
        <v>60</v>
      </c>
      <c r="N17" s="198">
        <f t="shared" si="19"/>
        <v>150</v>
      </c>
      <c r="O17" s="198">
        <f t="shared" si="19"/>
        <v>750</v>
      </c>
      <c r="P17" s="56"/>
      <c r="Q17" s="38">
        <f t="shared" si="4"/>
        <v>3</v>
      </c>
      <c r="R17" s="38">
        <f t="shared" si="18"/>
        <v>4</v>
      </c>
      <c r="S17" s="39">
        <f t="shared" si="5"/>
        <v>0.11808862170182366</v>
      </c>
      <c r="T17" s="39">
        <f t="shared" si="5"/>
        <v>0.20020684760703333</v>
      </c>
      <c r="U17" s="39">
        <f t="shared" si="12"/>
        <v>8.2118225905209674E-2</v>
      </c>
      <c r="V17" s="39">
        <f t="shared" si="13"/>
        <v>9.3131049557280493E-2</v>
      </c>
      <c r="W17" s="40">
        <f t="shared" si="6"/>
        <v>9.3131049557280507E-2</v>
      </c>
      <c r="X17" s="40" t="s">
        <v>3710</v>
      </c>
      <c r="Y17" s="182">
        <f t="shared" si="7"/>
        <v>11.175725946873662</v>
      </c>
      <c r="Z17" s="182">
        <f>W17*20</f>
        <v>1.8626209911456102</v>
      </c>
      <c r="AA17" s="176"/>
    </row>
    <row r="18" spans="1:27" x14ac:dyDescent="0.25">
      <c r="A18" s="229">
        <f t="shared" si="15"/>
        <v>3008</v>
      </c>
      <c r="B18" s="230">
        <f t="shared" si="16"/>
        <v>8</v>
      </c>
      <c r="C18" s="229" t="str">
        <f t="shared" si="8"/>
        <v>24cX03_025-090_08</v>
      </c>
      <c r="D18" s="231">
        <f t="shared" si="17"/>
        <v>3</v>
      </c>
      <c r="E18" s="204">
        <f t="shared" si="0"/>
        <v>1.099</v>
      </c>
      <c r="F18" s="198">
        <f t="shared" si="1"/>
        <v>36.633333333333333</v>
      </c>
      <c r="G18" s="198">
        <f t="shared" si="2"/>
        <v>29.306666666666668</v>
      </c>
      <c r="H18" s="198">
        <f t="shared" si="3"/>
        <v>18.316666666666666</v>
      </c>
      <c r="I18" s="198">
        <f t="shared" si="9"/>
        <v>8</v>
      </c>
      <c r="J18" s="199">
        <f t="shared" si="9"/>
        <v>25</v>
      </c>
      <c r="K18" s="194" t="str">
        <f>D18&amp;-8</f>
        <v>3-8</v>
      </c>
      <c r="L18" s="198">
        <f t="shared" si="10"/>
        <v>0.2</v>
      </c>
      <c r="M18" s="49">
        <v>90</v>
      </c>
      <c r="N18" s="198">
        <f t="shared" si="19"/>
        <v>150</v>
      </c>
      <c r="O18" s="198">
        <f t="shared" si="19"/>
        <v>750</v>
      </c>
      <c r="P18" s="56"/>
      <c r="Q18" s="38">
        <f t="shared" si="4"/>
        <v>3</v>
      </c>
      <c r="R18" s="38">
        <f t="shared" si="18"/>
        <v>4</v>
      </c>
      <c r="S18" s="39">
        <f t="shared" si="5"/>
        <v>0.11808862170182366</v>
      </c>
      <c r="T18" s="39">
        <f t="shared" si="5"/>
        <v>0.20020684760703333</v>
      </c>
      <c r="U18" s="39">
        <f t="shared" si="12"/>
        <v>8.2118225905209674E-2</v>
      </c>
      <c r="V18" s="39">
        <f t="shared" si="13"/>
        <v>9.3131049557280493E-2</v>
      </c>
      <c r="W18" s="40">
        <f t="shared" si="6"/>
        <v>9.3131049557280507E-2</v>
      </c>
      <c r="X18" s="40" t="s">
        <v>3710</v>
      </c>
      <c r="Y18" s="182">
        <f t="shared" si="7"/>
        <v>11.175725946873662</v>
      </c>
      <c r="Z18" s="182">
        <f t="shared" ref="Z18:Z22" si="20">W18*20</f>
        <v>1.8626209911456102</v>
      </c>
      <c r="AA18" s="176"/>
    </row>
    <row r="19" spans="1:27" x14ac:dyDescent="0.25">
      <c r="A19" s="229">
        <f t="shared" si="15"/>
        <v>3009</v>
      </c>
      <c r="B19" s="230">
        <f t="shared" si="16"/>
        <v>9</v>
      </c>
      <c r="C19" s="229" t="str">
        <f t="shared" si="8"/>
        <v>24cX03_025-000_09</v>
      </c>
      <c r="D19" s="231">
        <f t="shared" si="17"/>
        <v>3</v>
      </c>
      <c r="E19" s="204">
        <f t="shared" si="0"/>
        <v>1.099</v>
      </c>
      <c r="F19" s="198">
        <f t="shared" si="1"/>
        <v>36.633333333333333</v>
      </c>
      <c r="G19" s="198">
        <f t="shared" si="2"/>
        <v>29.306666666666668</v>
      </c>
      <c r="H19" s="198">
        <f t="shared" si="3"/>
        <v>18.316666666666666</v>
      </c>
      <c r="I19" s="198">
        <f t="shared" si="9"/>
        <v>8</v>
      </c>
      <c r="J19" s="199">
        <f t="shared" si="9"/>
        <v>25</v>
      </c>
      <c r="K19" s="194" t="str">
        <f>D19&amp;-9</f>
        <v>3-9</v>
      </c>
      <c r="L19" s="198">
        <f t="shared" si="10"/>
        <v>0.2</v>
      </c>
      <c r="M19" s="49">
        <v>0</v>
      </c>
      <c r="N19" s="198">
        <f t="shared" si="19"/>
        <v>150</v>
      </c>
      <c r="O19" s="198">
        <f t="shared" si="19"/>
        <v>750</v>
      </c>
      <c r="P19" s="56"/>
      <c r="Q19" s="38">
        <f t="shared" si="4"/>
        <v>3</v>
      </c>
      <c r="R19" s="38">
        <f t="shared" si="18"/>
        <v>4</v>
      </c>
      <c r="S19" s="39">
        <f t="shared" si="5"/>
        <v>0.11808862170182366</v>
      </c>
      <c r="T19" s="39">
        <f t="shared" si="5"/>
        <v>0.20020684760703333</v>
      </c>
      <c r="U19" s="39">
        <f t="shared" si="12"/>
        <v>8.2118225905209674E-2</v>
      </c>
      <c r="V19" s="39">
        <f t="shared" si="13"/>
        <v>9.3131049557280493E-2</v>
      </c>
      <c r="W19" s="40">
        <f t="shared" si="6"/>
        <v>9.3131049557280507E-2</v>
      </c>
      <c r="X19" s="40" t="s">
        <v>3710</v>
      </c>
      <c r="Y19" s="182">
        <f t="shared" si="7"/>
        <v>11.175725946873662</v>
      </c>
      <c r="Z19" s="182">
        <f t="shared" si="20"/>
        <v>1.8626209911456102</v>
      </c>
    </row>
    <row r="20" spans="1:27" x14ac:dyDescent="0.25">
      <c r="A20" s="229">
        <f t="shared" si="15"/>
        <v>3010</v>
      </c>
      <c r="B20" s="230">
        <f t="shared" si="16"/>
        <v>10</v>
      </c>
      <c r="C20" s="229" t="str">
        <f t="shared" si="8"/>
        <v>24cX03_025-030_10</v>
      </c>
      <c r="D20" s="231">
        <f t="shared" si="17"/>
        <v>3</v>
      </c>
      <c r="E20" s="204">
        <f t="shared" si="0"/>
        <v>1.099</v>
      </c>
      <c r="F20" s="198">
        <f t="shared" si="1"/>
        <v>36.633333333333333</v>
      </c>
      <c r="G20" s="198">
        <f t="shared" si="2"/>
        <v>29.306666666666668</v>
      </c>
      <c r="H20" s="198">
        <f t="shared" si="3"/>
        <v>18.316666666666666</v>
      </c>
      <c r="I20" s="198">
        <f t="shared" si="9"/>
        <v>8</v>
      </c>
      <c r="J20" s="199">
        <f t="shared" si="9"/>
        <v>25</v>
      </c>
      <c r="K20" s="194" t="str">
        <f>D20&amp;-10</f>
        <v>3-10</v>
      </c>
      <c r="L20" s="198">
        <f t="shared" si="10"/>
        <v>0.2</v>
      </c>
      <c r="M20" s="49">
        <v>30</v>
      </c>
      <c r="N20" s="198">
        <f t="shared" si="19"/>
        <v>150</v>
      </c>
      <c r="O20" s="198">
        <f t="shared" si="19"/>
        <v>750</v>
      </c>
      <c r="P20" s="56"/>
      <c r="Q20" s="38">
        <f t="shared" si="4"/>
        <v>3</v>
      </c>
      <c r="R20" s="38">
        <f t="shared" si="18"/>
        <v>4</v>
      </c>
      <c r="S20" s="39">
        <f t="shared" si="5"/>
        <v>0.11808862170182366</v>
      </c>
      <c r="T20" s="39">
        <f t="shared" si="5"/>
        <v>0.20020684760703333</v>
      </c>
      <c r="U20" s="39">
        <f t="shared" si="12"/>
        <v>8.2118225905209674E-2</v>
      </c>
      <c r="V20" s="39">
        <f t="shared" si="13"/>
        <v>9.3131049557280493E-2</v>
      </c>
      <c r="W20" s="40">
        <f t="shared" si="6"/>
        <v>9.3131049557280507E-2</v>
      </c>
      <c r="X20" s="40" t="s">
        <v>3710</v>
      </c>
      <c r="Y20" s="182">
        <f t="shared" si="7"/>
        <v>11.175725946873662</v>
      </c>
      <c r="Z20" s="182">
        <f t="shared" si="20"/>
        <v>1.8626209911456102</v>
      </c>
    </row>
    <row r="21" spans="1:27" x14ac:dyDescent="0.25">
      <c r="A21" s="229">
        <f t="shared" si="15"/>
        <v>3011</v>
      </c>
      <c r="B21" s="230">
        <f t="shared" si="16"/>
        <v>11</v>
      </c>
      <c r="C21" s="229" t="str">
        <f t="shared" si="8"/>
        <v>24cX03_025-060_11</v>
      </c>
      <c r="D21" s="231">
        <f t="shared" si="17"/>
        <v>3</v>
      </c>
      <c r="E21" s="204">
        <f t="shared" si="0"/>
        <v>1.099</v>
      </c>
      <c r="F21" s="198">
        <f t="shared" si="1"/>
        <v>36.633333333333333</v>
      </c>
      <c r="G21" s="198">
        <f t="shared" si="2"/>
        <v>29.306666666666668</v>
      </c>
      <c r="H21" s="198">
        <f t="shared" si="3"/>
        <v>18.316666666666666</v>
      </c>
      <c r="I21" s="198">
        <f t="shared" ref="I21:J34" si="21">I20</f>
        <v>8</v>
      </c>
      <c r="J21" s="199">
        <f t="shared" si="21"/>
        <v>25</v>
      </c>
      <c r="K21" s="194" t="str">
        <f>D21&amp;-11</f>
        <v>3-11</v>
      </c>
      <c r="L21" s="198">
        <f t="shared" si="10"/>
        <v>0.2</v>
      </c>
      <c r="M21" s="49">
        <v>60</v>
      </c>
      <c r="N21" s="198">
        <f t="shared" si="19"/>
        <v>150</v>
      </c>
      <c r="O21" s="198">
        <f t="shared" si="19"/>
        <v>750</v>
      </c>
      <c r="P21" s="56"/>
      <c r="Q21" s="38">
        <f t="shared" si="4"/>
        <v>3</v>
      </c>
      <c r="R21" s="38">
        <f t="shared" si="18"/>
        <v>4</v>
      </c>
      <c r="S21" s="39">
        <f t="shared" si="5"/>
        <v>0.11808862170182366</v>
      </c>
      <c r="T21" s="39">
        <f t="shared" si="5"/>
        <v>0.20020684760703333</v>
      </c>
      <c r="U21" s="39">
        <f t="shared" si="12"/>
        <v>8.2118225905209674E-2</v>
      </c>
      <c r="V21" s="39">
        <f t="shared" si="13"/>
        <v>9.3131049557280493E-2</v>
      </c>
      <c r="W21" s="40">
        <f t="shared" si="6"/>
        <v>9.3131049557280507E-2</v>
      </c>
      <c r="X21" s="40" t="s">
        <v>3710</v>
      </c>
      <c r="Y21" s="182">
        <f t="shared" si="7"/>
        <v>11.175725946873662</v>
      </c>
      <c r="Z21" s="182">
        <f t="shared" si="20"/>
        <v>1.8626209911456102</v>
      </c>
    </row>
    <row r="22" spans="1:27" x14ac:dyDescent="0.25">
      <c r="A22" s="229">
        <f t="shared" si="15"/>
        <v>3012</v>
      </c>
      <c r="B22" s="230">
        <f t="shared" si="16"/>
        <v>12</v>
      </c>
      <c r="C22" s="229" t="str">
        <f t="shared" si="8"/>
        <v>24cX03_025-090_12</v>
      </c>
      <c r="D22" s="231">
        <f t="shared" si="17"/>
        <v>3</v>
      </c>
      <c r="E22" s="204">
        <f t="shared" si="0"/>
        <v>1.099</v>
      </c>
      <c r="F22" s="198">
        <f t="shared" si="1"/>
        <v>36.633333333333333</v>
      </c>
      <c r="G22" s="198">
        <f t="shared" si="2"/>
        <v>29.306666666666668</v>
      </c>
      <c r="H22" s="198">
        <f t="shared" si="3"/>
        <v>18.316666666666666</v>
      </c>
      <c r="I22" s="198">
        <f t="shared" si="21"/>
        <v>8</v>
      </c>
      <c r="J22" s="199">
        <f t="shared" si="21"/>
        <v>25</v>
      </c>
      <c r="K22" s="194" t="str">
        <f>D22&amp;-12</f>
        <v>3-12</v>
      </c>
      <c r="L22" s="198">
        <f t="shared" si="10"/>
        <v>0.2</v>
      </c>
      <c r="M22" s="49">
        <v>90</v>
      </c>
      <c r="N22" s="198">
        <f t="shared" si="19"/>
        <v>150</v>
      </c>
      <c r="O22" s="198">
        <f t="shared" si="19"/>
        <v>750</v>
      </c>
      <c r="P22" s="56"/>
      <c r="Q22" s="38">
        <f t="shared" si="4"/>
        <v>3</v>
      </c>
      <c r="R22" s="38">
        <f t="shared" si="18"/>
        <v>4</v>
      </c>
      <c r="S22" s="39">
        <f t="shared" si="5"/>
        <v>0.11808862170182366</v>
      </c>
      <c r="T22" s="39">
        <f t="shared" si="5"/>
        <v>0.20020684760703333</v>
      </c>
      <c r="U22" s="39">
        <f t="shared" si="12"/>
        <v>8.2118225905209674E-2</v>
      </c>
      <c r="V22" s="39">
        <f t="shared" si="13"/>
        <v>9.3131049557280493E-2</v>
      </c>
      <c r="W22" s="40">
        <f t="shared" si="6"/>
        <v>9.3131049557280507E-2</v>
      </c>
      <c r="X22" s="40" t="s">
        <v>3710</v>
      </c>
      <c r="Y22" s="182">
        <f t="shared" si="7"/>
        <v>11.175725946873662</v>
      </c>
      <c r="Z22" s="182">
        <f t="shared" si="20"/>
        <v>1.8626209911456102</v>
      </c>
    </row>
    <row r="23" spans="1:27" x14ac:dyDescent="0.25">
      <c r="A23" s="229">
        <f t="shared" si="15"/>
        <v>3013</v>
      </c>
      <c r="B23" s="230">
        <f t="shared" si="16"/>
        <v>13</v>
      </c>
      <c r="C23" s="229" t="str">
        <f t="shared" si="8"/>
        <v>24cX03_335-000_01</v>
      </c>
      <c r="D23" s="231">
        <v>3</v>
      </c>
      <c r="E23" s="204">
        <f t="shared" si="0"/>
        <v>1.099</v>
      </c>
      <c r="F23" s="198">
        <f t="shared" si="1"/>
        <v>36.633333333333333</v>
      </c>
      <c r="G23" s="198">
        <f t="shared" si="2"/>
        <v>29.306666666666668</v>
      </c>
      <c r="H23" s="198">
        <f t="shared" si="3"/>
        <v>18.316666666666666</v>
      </c>
      <c r="I23" s="198">
        <f t="shared" si="21"/>
        <v>8</v>
      </c>
      <c r="J23" s="199">
        <f>-J11</f>
        <v>-25</v>
      </c>
      <c r="K23" s="194" t="str">
        <f>D23&amp;-1</f>
        <v>3-1</v>
      </c>
      <c r="L23" s="198">
        <f t="shared" si="10"/>
        <v>0.2</v>
      </c>
      <c r="M23" s="49">
        <v>0</v>
      </c>
      <c r="N23" s="198">
        <f t="shared" si="19"/>
        <v>150</v>
      </c>
      <c r="O23" s="198">
        <f t="shared" si="19"/>
        <v>750</v>
      </c>
      <c r="P23" s="56"/>
      <c r="Q23" s="38">
        <f>Q22</f>
        <v>3</v>
      </c>
      <c r="R23" s="38">
        <f>R22</f>
        <v>4</v>
      </c>
      <c r="S23" s="39">
        <f t="shared" si="5"/>
        <v>0.11808862170182366</v>
      </c>
      <c r="T23" s="39">
        <f t="shared" si="5"/>
        <v>0.20020684760703333</v>
      </c>
      <c r="U23" s="39">
        <f t="shared" si="12"/>
        <v>8.2118225905209674E-2</v>
      </c>
      <c r="V23" s="39">
        <f t="shared" si="13"/>
        <v>9.3131049557280493E-2</v>
      </c>
      <c r="W23" s="40">
        <f t="shared" si="6"/>
        <v>9.3131049557280507E-2</v>
      </c>
      <c r="X23" s="40" t="s">
        <v>3710</v>
      </c>
      <c r="Y23" s="182">
        <f t="shared" si="7"/>
        <v>11.175725946873662</v>
      </c>
      <c r="Z23" s="182">
        <f t="shared" si="14"/>
        <v>1.8626209911456102</v>
      </c>
    </row>
    <row r="24" spans="1:27" x14ac:dyDescent="0.25">
      <c r="A24" s="229">
        <f t="shared" si="15"/>
        <v>3014</v>
      </c>
      <c r="B24" s="230">
        <f t="shared" si="16"/>
        <v>14</v>
      </c>
      <c r="C24" s="229" t="str">
        <f t="shared" si="8"/>
        <v>24cX03_335-030_02</v>
      </c>
      <c r="D24" s="231">
        <f>D23</f>
        <v>3</v>
      </c>
      <c r="E24" s="204">
        <f t="shared" si="0"/>
        <v>1.099</v>
      </c>
      <c r="F24" s="198">
        <f t="shared" si="1"/>
        <v>36.633333333333333</v>
      </c>
      <c r="G24" s="198">
        <f t="shared" si="2"/>
        <v>29.306666666666668</v>
      </c>
      <c r="H24" s="198">
        <f t="shared" si="3"/>
        <v>18.316666666666666</v>
      </c>
      <c r="I24" s="198">
        <f t="shared" si="21"/>
        <v>8</v>
      </c>
      <c r="J24" s="233">
        <f>J23</f>
        <v>-25</v>
      </c>
      <c r="K24" s="194" t="str">
        <f>D24&amp;-2</f>
        <v>3-2</v>
      </c>
      <c r="L24" s="198">
        <f t="shared" si="10"/>
        <v>0.2</v>
      </c>
      <c r="M24" s="49">
        <v>30</v>
      </c>
      <c r="N24" s="198">
        <f t="shared" si="19"/>
        <v>150</v>
      </c>
      <c r="O24" s="198">
        <f t="shared" si="19"/>
        <v>750</v>
      </c>
      <c r="P24" s="56"/>
      <c r="Q24" s="38">
        <f>Q23</f>
        <v>3</v>
      </c>
      <c r="R24" s="38">
        <f>R23</f>
        <v>4</v>
      </c>
      <c r="S24" s="39">
        <f t="shared" si="5"/>
        <v>0.11808862170182366</v>
      </c>
      <c r="T24" s="39">
        <f t="shared" si="5"/>
        <v>0.20020684760703333</v>
      </c>
      <c r="U24" s="39">
        <f t="shared" si="12"/>
        <v>8.2118225905209674E-2</v>
      </c>
      <c r="V24" s="39">
        <f t="shared" si="13"/>
        <v>9.3131049557280493E-2</v>
      </c>
      <c r="W24" s="40">
        <f t="shared" si="6"/>
        <v>9.3131049557280507E-2</v>
      </c>
      <c r="X24" s="40" t="s">
        <v>3710</v>
      </c>
      <c r="Y24" s="182">
        <f t="shared" si="7"/>
        <v>11.175725946873662</v>
      </c>
      <c r="Z24" s="182">
        <f t="shared" si="14"/>
        <v>1.8626209911456102</v>
      </c>
    </row>
    <row r="25" spans="1:27" x14ac:dyDescent="0.25">
      <c r="A25" s="229">
        <f t="shared" si="15"/>
        <v>3015</v>
      </c>
      <c r="B25" s="230">
        <f t="shared" si="16"/>
        <v>15</v>
      </c>
      <c r="C25" s="229" t="str">
        <f t="shared" si="8"/>
        <v>24cX03_335-060_03</v>
      </c>
      <c r="D25" s="231">
        <f t="shared" ref="D25:D34" si="22">D24</f>
        <v>3</v>
      </c>
      <c r="E25" s="204">
        <f t="shared" si="0"/>
        <v>1.099</v>
      </c>
      <c r="F25" s="198">
        <f t="shared" si="1"/>
        <v>36.633333333333333</v>
      </c>
      <c r="G25" s="198">
        <f t="shared" si="2"/>
        <v>29.306666666666668</v>
      </c>
      <c r="H25" s="198">
        <f t="shared" si="3"/>
        <v>18.316666666666666</v>
      </c>
      <c r="I25" s="198">
        <f t="shared" si="21"/>
        <v>8</v>
      </c>
      <c r="J25" s="233">
        <f t="shared" si="21"/>
        <v>-25</v>
      </c>
      <c r="K25" s="194" t="str">
        <f>D25&amp;-3</f>
        <v>3-3</v>
      </c>
      <c r="L25" s="198">
        <f t="shared" si="10"/>
        <v>0.2</v>
      </c>
      <c r="M25" s="49">
        <v>60</v>
      </c>
      <c r="N25" s="198">
        <f t="shared" si="19"/>
        <v>150</v>
      </c>
      <c r="O25" s="198">
        <f t="shared" si="19"/>
        <v>750</v>
      </c>
      <c r="P25" s="56"/>
      <c r="Q25" s="38">
        <f t="shared" ref="Q25:R34" si="23">Q24</f>
        <v>3</v>
      </c>
      <c r="R25" s="38">
        <f t="shared" si="23"/>
        <v>4</v>
      </c>
      <c r="S25" s="39">
        <f t="shared" si="5"/>
        <v>0.11808862170182366</v>
      </c>
      <c r="T25" s="39">
        <f t="shared" si="5"/>
        <v>0.20020684760703333</v>
      </c>
      <c r="U25" s="39">
        <f t="shared" si="12"/>
        <v>8.2118225905209674E-2</v>
      </c>
      <c r="V25" s="39">
        <f t="shared" si="13"/>
        <v>9.3131049557280493E-2</v>
      </c>
      <c r="W25" s="40">
        <f t="shared" si="6"/>
        <v>9.3131049557280507E-2</v>
      </c>
      <c r="X25" s="40" t="s">
        <v>3710</v>
      </c>
      <c r="Y25" s="182">
        <f t="shared" si="7"/>
        <v>11.175725946873662</v>
      </c>
      <c r="Z25" s="182">
        <f t="shared" si="14"/>
        <v>1.8626209911456102</v>
      </c>
    </row>
    <row r="26" spans="1:27" x14ac:dyDescent="0.25">
      <c r="A26" s="229">
        <f t="shared" si="15"/>
        <v>3016</v>
      </c>
      <c r="B26" s="230">
        <f t="shared" si="16"/>
        <v>16</v>
      </c>
      <c r="C26" s="229" t="str">
        <f t="shared" si="8"/>
        <v>24cX03_335-090_04</v>
      </c>
      <c r="D26" s="231">
        <f t="shared" si="22"/>
        <v>3</v>
      </c>
      <c r="E26" s="204">
        <f t="shared" si="0"/>
        <v>1.099</v>
      </c>
      <c r="F26" s="198">
        <f t="shared" si="1"/>
        <v>36.633333333333333</v>
      </c>
      <c r="G26" s="198">
        <f t="shared" si="2"/>
        <v>29.306666666666668</v>
      </c>
      <c r="H26" s="198">
        <f t="shared" si="3"/>
        <v>18.316666666666666</v>
      </c>
      <c r="I26" s="198">
        <f t="shared" si="21"/>
        <v>8</v>
      </c>
      <c r="J26" s="233">
        <f t="shared" si="21"/>
        <v>-25</v>
      </c>
      <c r="K26" s="194" t="str">
        <f>D26&amp;-4</f>
        <v>3-4</v>
      </c>
      <c r="L26" s="198">
        <f t="shared" si="10"/>
        <v>0.2</v>
      </c>
      <c r="M26" s="49">
        <v>90</v>
      </c>
      <c r="N26" s="198">
        <f t="shared" si="19"/>
        <v>150</v>
      </c>
      <c r="O26" s="198">
        <f t="shared" si="19"/>
        <v>750</v>
      </c>
      <c r="P26" s="56"/>
      <c r="Q26" s="38">
        <f t="shared" si="23"/>
        <v>3</v>
      </c>
      <c r="R26" s="38">
        <f t="shared" si="23"/>
        <v>4</v>
      </c>
      <c r="S26" s="39">
        <f t="shared" si="5"/>
        <v>0.11808862170182366</v>
      </c>
      <c r="T26" s="39">
        <f t="shared" si="5"/>
        <v>0.20020684760703333</v>
      </c>
      <c r="U26" s="39">
        <f t="shared" si="12"/>
        <v>8.2118225905209674E-2</v>
      </c>
      <c r="V26" s="39">
        <f t="shared" si="13"/>
        <v>9.3131049557280493E-2</v>
      </c>
      <c r="W26" s="40">
        <f t="shared" si="6"/>
        <v>9.3131049557280507E-2</v>
      </c>
      <c r="X26" s="40" t="s">
        <v>3710</v>
      </c>
      <c r="Y26" s="182">
        <f t="shared" si="7"/>
        <v>11.175725946873662</v>
      </c>
      <c r="Z26" s="182">
        <f t="shared" si="14"/>
        <v>1.8626209911456102</v>
      </c>
    </row>
    <row r="27" spans="1:27" x14ac:dyDescent="0.25">
      <c r="A27" s="229">
        <f t="shared" si="15"/>
        <v>3017</v>
      </c>
      <c r="B27" s="230">
        <f t="shared" si="16"/>
        <v>17</v>
      </c>
      <c r="C27" s="229" t="str">
        <f t="shared" si="8"/>
        <v>24cX03_335-000_05</v>
      </c>
      <c r="D27" s="231">
        <f t="shared" si="22"/>
        <v>3</v>
      </c>
      <c r="E27" s="204">
        <f t="shared" si="0"/>
        <v>1.099</v>
      </c>
      <c r="F27" s="198">
        <f t="shared" si="1"/>
        <v>36.633333333333333</v>
      </c>
      <c r="G27" s="198">
        <f t="shared" si="2"/>
        <v>29.306666666666668</v>
      </c>
      <c r="H27" s="198">
        <f t="shared" si="3"/>
        <v>18.316666666666666</v>
      </c>
      <c r="I27" s="198">
        <f t="shared" si="21"/>
        <v>8</v>
      </c>
      <c r="J27" s="233">
        <f t="shared" si="21"/>
        <v>-25</v>
      </c>
      <c r="K27" s="194" t="str">
        <f>D27&amp;-5</f>
        <v>3-5</v>
      </c>
      <c r="L27" s="198">
        <f t="shared" si="10"/>
        <v>0.2</v>
      </c>
      <c r="M27" s="49">
        <v>0</v>
      </c>
      <c r="N27" s="198">
        <f t="shared" si="19"/>
        <v>150</v>
      </c>
      <c r="O27" s="198">
        <f t="shared" si="19"/>
        <v>750</v>
      </c>
      <c r="P27" s="56"/>
      <c r="Q27" s="38">
        <f t="shared" si="23"/>
        <v>3</v>
      </c>
      <c r="R27" s="38">
        <f t="shared" si="23"/>
        <v>4</v>
      </c>
      <c r="S27" s="39">
        <f t="shared" ref="S27:T42" si="24">IF(wpd="Rayleigh",1-EXP(-PI()*((Q27/2/v_ave)^2)),IF(wpd="Weibull",1-EXP(-((Q27/weibull_A)^weibull_K))))</f>
        <v>0.11808862170182366</v>
      </c>
      <c r="T27" s="39">
        <f t="shared" si="24"/>
        <v>0.20020684760703333</v>
      </c>
      <c r="U27" s="39">
        <f t="shared" si="12"/>
        <v>8.2118225905209674E-2</v>
      </c>
      <c r="V27" s="39">
        <f t="shared" si="13"/>
        <v>9.3131049557280493E-2</v>
      </c>
      <c r="W27" s="40">
        <f t="shared" si="6"/>
        <v>9.3131049557280507E-2</v>
      </c>
      <c r="X27" s="40" t="s">
        <v>3710</v>
      </c>
      <c r="Y27" s="182">
        <f t="shared" si="7"/>
        <v>11.175725946873662</v>
      </c>
      <c r="Z27" s="182">
        <f t="shared" si="14"/>
        <v>1.8626209911456102</v>
      </c>
    </row>
    <row r="28" spans="1:27" x14ac:dyDescent="0.25">
      <c r="A28" s="229">
        <f t="shared" si="15"/>
        <v>3018</v>
      </c>
      <c r="B28" s="230">
        <f t="shared" si="16"/>
        <v>18</v>
      </c>
      <c r="C28" s="229" t="str">
        <f t="shared" si="8"/>
        <v>24cX03_335-030_06</v>
      </c>
      <c r="D28" s="231">
        <f t="shared" si="22"/>
        <v>3</v>
      </c>
      <c r="E28" s="204">
        <f t="shared" si="0"/>
        <v>1.099</v>
      </c>
      <c r="F28" s="198">
        <f t="shared" si="1"/>
        <v>36.633333333333333</v>
      </c>
      <c r="G28" s="198">
        <f t="shared" si="2"/>
        <v>29.306666666666668</v>
      </c>
      <c r="H28" s="198">
        <f t="shared" si="3"/>
        <v>18.316666666666666</v>
      </c>
      <c r="I28" s="198">
        <f t="shared" si="21"/>
        <v>8</v>
      </c>
      <c r="J28" s="233">
        <f t="shared" si="21"/>
        <v>-25</v>
      </c>
      <c r="K28" s="194" t="str">
        <f>D28&amp;-6</f>
        <v>3-6</v>
      </c>
      <c r="L28" s="198">
        <f t="shared" si="10"/>
        <v>0.2</v>
      </c>
      <c r="M28" s="49">
        <v>30</v>
      </c>
      <c r="N28" s="198">
        <f t="shared" si="19"/>
        <v>150</v>
      </c>
      <c r="O28" s="198">
        <f t="shared" si="19"/>
        <v>750</v>
      </c>
      <c r="P28" s="56"/>
      <c r="Q28" s="38">
        <f t="shared" si="23"/>
        <v>3</v>
      </c>
      <c r="R28" s="38">
        <f t="shared" si="23"/>
        <v>4</v>
      </c>
      <c r="S28" s="39">
        <f t="shared" si="24"/>
        <v>0.11808862170182366</v>
      </c>
      <c r="T28" s="39">
        <f t="shared" si="24"/>
        <v>0.20020684760703333</v>
      </c>
      <c r="U28" s="39">
        <f t="shared" si="12"/>
        <v>8.2118225905209674E-2</v>
      </c>
      <c r="V28" s="39">
        <f t="shared" si="13"/>
        <v>9.3131049557280493E-2</v>
      </c>
      <c r="W28" s="40">
        <f t="shared" si="6"/>
        <v>9.3131049557280507E-2</v>
      </c>
      <c r="X28" s="40" t="s">
        <v>3710</v>
      </c>
      <c r="Y28" s="182">
        <f t="shared" si="7"/>
        <v>11.175725946873662</v>
      </c>
      <c r="Z28" s="182">
        <f t="shared" si="14"/>
        <v>1.8626209911456102</v>
      </c>
    </row>
    <row r="29" spans="1:27" x14ac:dyDescent="0.25">
      <c r="A29" s="229">
        <f t="shared" si="15"/>
        <v>3019</v>
      </c>
      <c r="B29" s="230">
        <f t="shared" si="16"/>
        <v>19</v>
      </c>
      <c r="C29" s="229" t="str">
        <f t="shared" si="8"/>
        <v>24cX03_335-060_07</v>
      </c>
      <c r="D29" s="231">
        <f>D28</f>
        <v>3</v>
      </c>
      <c r="E29" s="204">
        <f t="shared" si="0"/>
        <v>1.099</v>
      </c>
      <c r="F29" s="198">
        <f t="shared" si="1"/>
        <v>36.633333333333333</v>
      </c>
      <c r="G29" s="198">
        <f t="shared" si="2"/>
        <v>29.306666666666668</v>
      </c>
      <c r="H29" s="198">
        <f t="shared" si="3"/>
        <v>18.316666666666666</v>
      </c>
      <c r="I29" s="198">
        <f t="shared" si="21"/>
        <v>8</v>
      </c>
      <c r="J29" s="233">
        <f t="shared" si="21"/>
        <v>-25</v>
      </c>
      <c r="K29" s="194" t="str">
        <f>D29&amp;-7</f>
        <v>3-7</v>
      </c>
      <c r="L29" s="198">
        <f t="shared" si="10"/>
        <v>0.2</v>
      </c>
      <c r="M29" s="49">
        <v>60</v>
      </c>
      <c r="N29" s="198">
        <f t="shared" si="19"/>
        <v>150</v>
      </c>
      <c r="O29" s="198">
        <f t="shared" si="19"/>
        <v>750</v>
      </c>
      <c r="P29" s="56"/>
      <c r="Q29" s="38">
        <f t="shared" si="23"/>
        <v>3</v>
      </c>
      <c r="R29" s="38">
        <f t="shared" si="23"/>
        <v>4</v>
      </c>
      <c r="S29" s="39">
        <f t="shared" si="24"/>
        <v>0.11808862170182366</v>
      </c>
      <c r="T29" s="39">
        <f t="shared" si="24"/>
        <v>0.20020684760703333</v>
      </c>
      <c r="U29" s="39">
        <f t="shared" si="12"/>
        <v>8.2118225905209674E-2</v>
      </c>
      <c r="V29" s="39">
        <f t="shared" si="13"/>
        <v>9.3131049557280493E-2</v>
      </c>
      <c r="W29" s="40">
        <f t="shared" si="6"/>
        <v>9.3131049557280507E-2</v>
      </c>
      <c r="X29" s="40" t="s">
        <v>3710</v>
      </c>
      <c r="Y29" s="182">
        <f t="shared" si="7"/>
        <v>11.175725946873662</v>
      </c>
      <c r="Z29" s="182">
        <f t="shared" si="14"/>
        <v>1.8626209911456102</v>
      </c>
    </row>
    <row r="30" spans="1:27" x14ac:dyDescent="0.25">
      <c r="A30" s="229">
        <f t="shared" si="15"/>
        <v>3020</v>
      </c>
      <c r="B30" s="230">
        <f t="shared" si="16"/>
        <v>20</v>
      </c>
      <c r="C30" s="229" t="str">
        <f t="shared" si="8"/>
        <v>24cX03_335-090_08</v>
      </c>
      <c r="D30" s="231">
        <f t="shared" si="22"/>
        <v>3</v>
      </c>
      <c r="E30" s="204">
        <f t="shared" si="0"/>
        <v>1.099</v>
      </c>
      <c r="F30" s="198">
        <f t="shared" si="1"/>
        <v>36.633333333333333</v>
      </c>
      <c r="G30" s="198">
        <f t="shared" si="2"/>
        <v>29.306666666666668</v>
      </c>
      <c r="H30" s="198">
        <f t="shared" si="3"/>
        <v>18.316666666666666</v>
      </c>
      <c r="I30" s="198">
        <f t="shared" si="21"/>
        <v>8</v>
      </c>
      <c r="J30" s="233">
        <f t="shared" si="21"/>
        <v>-25</v>
      </c>
      <c r="K30" s="194" t="str">
        <f>D30&amp;-8</f>
        <v>3-8</v>
      </c>
      <c r="L30" s="198">
        <f t="shared" si="10"/>
        <v>0.2</v>
      </c>
      <c r="M30" s="49">
        <v>90</v>
      </c>
      <c r="N30" s="198">
        <f t="shared" si="19"/>
        <v>150</v>
      </c>
      <c r="O30" s="198">
        <f t="shared" si="19"/>
        <v>750</v>
      </c>
      <c r="P30" s="56"/>
      <c r="Q30" s="38">
        <f t="shared" si="23"/>
        <v>3</v>
      </c>
      <c r="R30" s="38">
        <f t="shared" si="23"/>
        <v>4</v>
      </c>
      <c r="S30" s="39">
        <f t="shared" si="24"/>
        <v>0.11808862170182366</v>
      </c>
      <c r="T30" s="39">
        <f t="shared" si="24"/>
        <v>0.20020684760703333</v>
      </c>
      <c r="U30" s="39">
        <f t="shared" si="12"/>
        <v>8.2118225905209674E-2</v>
      </c>
      <c r="V30" s="39">
        <f t="shared" si="13"/>
        <v>9.3131049557280493E-2</v>
      </c>
      <c r="W30" s="40">
        <f t="shared" si="6"/>
        <v>9.3131049557280507E-2</v>
      </c>
      <c r="X30" s="40" t="s">
        <v>3710</v>
      </c>
      <c r="Y30" s="182">
        <f t="shared" si="7"/>
        <v>11.175725946873662</v>
      </c>
      <c r="Z30" s="182">
        <f t="shared" si="14"/>
        <v>1.8626209911456102</v>
      </c>
    </row>
    <row r="31" spans="1:27" x14ac:dyDescent="0.25">
      <c r="A31" s="229">
        <f t="shared" si="15"/>
        <v>3021</v>
      </c>
      <c r="B31" s="230">
        <f t="shared" si="16"/>
        <v>21</v>
      </c>
      <c r="C31" s="229" t="str">
        <f t="shared" si="8"/>
        <v>24cX03_335-000_09</v>
      </c>
      <c r="D31" s="231">
        <f t="shared" si="22"/>
        <v>3</v>
      </c>
      <c r="E31" s="204">
        <f t="shared" si="0"/>
        <v>1.099</v>
      </c>
      <c r="F31" s="198">
        <f t="shared" si="1"/>
        <v>36.633333333333333</v>
      </c>
      <c r="G31" s="198">
        <f t="shared" si="2"/>
        <v>29.306666666666668</v>
      </c>
      <c r="H31" s="198">
        <f t="shared" si="3"/>
        <v>18.316666666666666</v>
      </c>
      <c r="I31" s="198">
        <f t="shared" si="21"/>
        <v>8</v>
      </c>
      <c r="J31" s="233">
        <f t="shared" si="21"/>
        <v>-25</v>
      </c>
      <c r="K31" s="194" t="str">
        <f>D31&amp;-9</f>
        <v>3-9</v>
      </c>
      <c r="L31" s="198">
        <f t="shared" si="10"/>
        <v>0.2</v>
      </c>
      <c r="M31" s="49">
        <v>0</v>
      </c>
      <c r="N31" s="198">
        <f t="shared" si="19"/>
        <v>150</v>
      </c>
      <c r="O31" s="198">
        <f t="shared" si="19"/>
        <v>750</v>
      </c>
      <c r="P31" s="56"/>
      <c r="Q31" s="38">
        <f t="shared" si="23"/>
        <v>3</v>
      </c>
      <c r="R31" s="38">
        <f t="shared" si="23"/>
        <v>4</v>
      </c>
      <c r="S31" s="39">
        <f t="shared" si="24"/>
        <v>0.11808862170182366</v>
      </c>
      <c r="T31" s="39">
        <f t="shared" si="24"/>
        <v>0.20020684760703333</v>
      </c>
      <c r="U31" s="39">
        <f t="shared" si="12"/>
        <v>8.2118225905209674E-2</v>
      </c>
      <c r="V31" s="39">
        <f t="shared" si="13"/>
        <v>9.3131049557280493E-2</v>
      </c>
      <c r="W31" s="40">
        <f t="shared" si="6"/>
        <v>9.3131049557280507E-2</v>
      </c>
      <c r="X31" s="40" t="s">
        <v>3710</v>
      </c>
      <c r="Y31" s="182">
        <f t="shared" si="7"/>
        <v>11.175725946873662</v>
      </c>
      <c r="Z31" s="182">
        <f t="shared" si="14"/>
        <v>1.8626209911456102</v>
      </c>
    </row>
    <row r="32" spans="1:27" x14ac:dyDescent="0.25">
      <c r="A32" s="229">
        <f t="shared" si="15"/>
        <v>3022</v>
      </c>
      <c r="B32" s="230">
        <f t="shared" si="16"/>
        <v>22</v>
      </c>
      <c r="C32" s="229" t="str">
        <f t="shared" si="8"/>
        <v>24cX03_335-030_10</v>
      </c>
      <c r="D32" s="231">
        <f t="shared" si="22"/>
        <v>3</v>
      </c>
      <c r="E32" s="204">
        <f t="shared" si="0"/>
        <v>1.099</v>
      </c>
      <c r="F32" s="198">
        <f t="shared" si="1"/>
        <v>36.633333333333333</v>
      </c>
      <c r="G32" s="198">
        <f t="shared" si="2"/>
        <v>29.306666666666668</v>
      </c>
      <c r="H32" s="198">
        <f t="shared" si="3"/>
        <v>18.316666666666666</v>
      </c>
      <c r="I32" s="198">
        <f t="shared" si="21"/>
        <v>8</v>
      </c>
      <c r="J32" s="233">
        <f t="shared" si="21"/>
        <v>-25</v>
      </c>
      <c r="K32" s="194" t="str">
        <f>D32&amp;-10</f>
        <v>3-10</v>
      </c>
      <c r="L32" s="198">
        <f t="shared" si="10"/>
        <v>0.2</v>
      </c>
      <c r="M32" s="49">
        <v>30</v>
      </c>
      <c r="N32" s="198">
        <f t="shared" ref="N32:O34" si="25">N31</f>
        <v>150</v>
      </c>
      <c r="O32" s="198">
        <f t="shared" si="25"/>
        <v>750</v>
      </c>
      <c r="P32" s="56"/>
      <c r="Q32" s="38">
        <f t="shared" si="23"/>
        <v>3</v>
      </c>
      <c r="R32" s="38">
        <f t="shared" si="23"/>
        <v>4</v>
      </c>
      <c r="S32" s="39">
        <f t="shared" si="24"/>
        <v>0.11808862170182366</v>
      </c>
      <c r="T32" s="39">
        <f t="shared" si="24"/>
        <v>0.20020684760703333</v>
      </c>
      <c r="U32" s="39">
        <f t="shared" si="12"/>
        <v>8.2118225905209674E-2</v>
      </c>
      <c r="V32" s="39">
        <f t="shared" si="13"/>
        <v>9.3131049557280493E-2</v>
      </c>
      <c r="W32" s="40">
        <f t="shared" si="6"/>
        <v>9.3131049557280507E-2</v>
      </c>
      <c r="X32" s="40" t="s">
        <v>3710</v>
      </c>
      <c r="Y32" s="182">
        <f t="shared" si="7"/>
        <v>11.175725946873662</v>
      </c>
      <c r="Z32" s="182">
        <f t="shared" si="14"/>
        <v>1.8626209911456102</v>
      </c>
    </row>
    <row r="33" spans="1:27" x14ac:dyDescent="0.25">
      <c r="A33" s="229">
        <f t="shared" si="15"/>
        <v>3023</v>
      </c>
      <c r="B33" s="230">
        <f t="shared" si="16"/>
        <v>23</v>
      </c>
      <c r="C33" s="229" t="str">
        <f t="shared" si="8"/>
        <v>24cX03_335-060_11</v>
      </c>
      <c r="D33" s="231">
        <f t="shared" si="22"/>
        <v>3</v>
      </c>
      <c r="E33" s="204">
        <f t="shared" si="0"/>
        <v>1.099</v>
      </c>
      <c r="F33" s="198">
        <f t="shared" si="1"/>
        <v>36.633333333333333</v>
      </c>
      <c r="G33" s="198">
        <f t="shared" si="2"/>
        <v>29.306666666666668</v>
      </c>
      <c r="H33" s="198">
        <f t="shared" si="3"/>
        <v>18.316666666666666</v>
      </c>
      <c r="I33" s="198">
        <f t="shared" si="21"/>
        <v>8</v>
      </c>
      <c r="J33" s="233">
        <f t="shared" si="21"/>
        <v>-25</v>
      </c>
      <c r="K33" s="194" t="str">
        <f>D33&amp;-11</f>
        <v>3-11</v>
      </c>
      <c r="L33" s="198">
        <f t="shared" si="10"/>
        <v>0.2</v>
      </c>
      <c r="M33" s="49">
        <v>60</v>
      </c>
      <c r="N33" s="198">
        <f t="shared" si="25"/>
        <v>150</v>
      </c>
      <c r="O33" s="198">
        <f t="shared" si="25"/>
        <v>750</v>
      </c>
      <c r="P33" s="56"/>
      <c r="Q33" s="38">
        <f t="shared" si="23"/>
        <v>3</v>
      </c>
      <c r="R33" s="38">
        <f t="shared" si="23"/>
        <v>4</v>
      </c>
      <c r="S33" s="39">
        <f t="shared" si="24"/>
        <v>0.11808862170182366</v>
      </c>
      <c r="T33" s="39">
        <f t="shared" si="24"/>
        <v>0.20020684760703333</v>
      </c>
      <c r="U33" s="39">
        <f t="shared" si="12"/>
        <v>8.2118225905209674E-2</v>
      </c>
      <c r="V33" s="39">
        <f t="shared" si="13"/>
        <v>9.3131049557280493E-2</v>
      </c>
      <c r="W33" s="40">
        <f t="shared" si="6"/>
        <v>9.3131049557280507E-2</v>
      </c>
      <c r="X33" s="40" t="s">
        <v>3710</v>
      </c>
      <c r="Y33" s="182">
        <f t="shared" si="7"/>
        <v>11.175725946873662</v>
      </c>
      <c r="Z33" s="182">
        <f t="shared" si="14"/>
        <v>1.8626209911456102</v>
      </c>
    </row>
    <row r="34" spans="1:27" x14ac:dyDescent="0.25">
      <c r="A34" s="229">
        <f t="shared" si="15"/>
        <v>3024</v>
      </c>
      <c r="B34" s="230">
        <f t="shared" si="16"/>
        <v>24</v>
      </c>
      <c r="C34" s="229" t="str">
        <f t="shared" si="8"/>
        <v>24cX03_335-090_12</v>
      </c>
      <c r="D34" s="231">
        <f t="shared" si="22"/>
        <v>3</v>
      </c>
      <c r="E34" s="204">
        <f t="shared" si="0"/>
        <v>1.099</v>
      </c>
      <c r="F34" s="198">
        <f t="shared" si="1"/>
        <v>36.633333333333333</v>
      </c>
      <c r="G34" s="198">
        <f t="shared" si="2"/>
        <v>29.306666666666668</v>
      </c>
      <c r="H34" s="198">
        <f t="shared" si="3"/>
        <v>18.316666666666666</v>
      </c>
      <c r="I34" s="198">
        <f t="shared" si="21"/>
        <v>8</v>
      </c>
      <c r="J34" s="233">
        <f t="shared" si="21"/>
        <v>-25</v>
      </c>
      <c r="K34" s="194" t="str">
        <f>D34&amp;-12</f>
        <v>3-12</v>
      </c>
      <c r="L34" s="198">
        <f t="shared" si="10"/>
        <v>0.2</v>
      </c>
      <c r="M34" s="49">
        <v>90</v>
      </c>
      <c r="N34" s="198">
        <f t="shared" si="25"/>
        <v>150</v>
      </c>
      <c r="O34" s="198">
        <f t="shared" si="25"/>
        <v>750</v>
      </c>
      <c r="P34" s="56"/>
      <c r="Q34" s="38">
        <f t="shared" si="23"/>
        <v>3</v>
      </c>
      <c r="R34" s="38">
        <f t="shared" si="23"/>
        <v>4</v>
      </c>
      <c r="S34" s="39">
        <f t="shared" si="24"/>
        <v>0.11808862170182366</v>
      </c>
      <c r="T34" s="39">
        <f t="shared" si="24"/>
        <v>0.20020684760703333</v>
      </c>
      <c r="U34" s="39">
        <f t="shared" si="12"/>
        <v>8.2118225905209674E-2</v>
      </c>
      <c r="V34" s="39">
        <f t="shared" si="13"/>
        <v>9.3131049557280493E-2</v>
      </c>
      <c r="W34" s="40">
        <f t="shared" si="6"/>
        <v>9.3131049557280507E-2</v>
      </c>
      <c r="X34" s="40" t="s">
        <v>3710</v>
      </c>
      <c r="Y34" s="182">
        <f t="shared" si="7"/>
        <v>11.175725946873662</v>
      </c>
      <c r="Z34" s="182">
        <f t="shared" si="14"/>
        <v>1.8626209911456102</v>
      </c>
    </row>
    <row r="35" spans="1:27" x14ac:dyDescent="0.25">
      <c r="A35" s="229">
        <f t="shared" si="15"/>
        <v>3025</v>
      </c>
      <c r="B35" s="230">
        <f t="shared" si="16"/>
        <v>25</v>
      </c>
      <c r="C35" s="229" t="str">
        <f t="shared" si="8"/>
        <v>24cX05_025-000_01</v>
      </c>
      <c r="D35" s="231">
        <f>D34+2</f>
        <v>5</v>
      </c>
      <c r="E35" s="204">
        <f t="shared" ref="E35:E42" si="26">I_ref*(0.75*D35+5.6)</f>
        <v>1.3090000000000002</v>
      </c>
      <c r="F35" s="198">
        <f t="shared" ref="F35:F58" si="27">E35/D35*100</f>
        <v>26.180000000000003</v>
      </c>
      <c r="G35" s="198">
        <f t="shared" ref="G35:G42" si="28">m_ty*F35</f>
        <v>20.944000000000003</v>
      </c>
      <c r="H35" s="198">
        <f t="shared" ref="H35:H42" si="29">m_tz*F35</f>
        <v>13.090000000000002</v>
      </c>
      <c r="I35" s="198">
        <f>inflow</f>
        <v>8</v>
      </c>
      <c r="J35" s="233">
        <v>25</v>
      </c>
      <c r="K35" s="194" t="str">
        <f>D35&amp;-1</f>
        <v>5-1</v>
      </c>
      <c r="L35" s="198">
        <f>alpha_n</f>
        <v>0.2</v>
      </c>
      <c r="M35" s="49">
        <v>0</v>
      </c>
      <c r="N35" s="198">
        <f>t_out</f>
        <v>150</v>
      </c>
      <c r="O35" s="198">
        <f>N35+T_s1</f>
        <v>750</v>
      </c>
      <c r="P35" s="56"/>
      <c r="Q35" s="38">
        <f>R34</f>
        <v>4</v>
      </c>
      <c r="R35" s="38">
        <f>Q35+v_step</f>
        <v>6</v>
      </c>
      <c r="S35" s="39">
        <f t="shared" si="24"/>
        <v>0.20020684760703333</v>
      </c>
      <c r="T35" s="39">
        <f t="shared" si="24"/>
        <v>0.39507743723572908</v>
      </c>
      <c r="U35" s="39">
        <f t="shared" si="12"/>
        <v>0.19487058962869575</v>
      </c>
      <c r="V35" s="39">
        <f t="shared" si="13"/>
        <v>0.22100456189732626</v>
      </c>
      <c r="W35" s="40">
        <f t="shared" ref="W35:W58" si="30">H_hy*V35/24</f>
        <v>0.22100456189732628</v>
      </c>
      <c r="X35" s="40" t="s">
        <v>3710</v>
      </c>
      <c r="Y35" s="182">
        <f t="shared" si="7"/>
        <v>26.520547427679155</v>
      </c>
      <c r="Z35" s="182">
        <f>W35*20</f>
        <v>4.4200912379465258</v>
      </c>
      <c r="AA35" s="176"/>
    </row>
    <row r="36" spans="1:27" x14ac:dyDescent="0.25">
      <c r="A36" s="229">
        <f t="shared" si="15"/>
        <v>3026</v>
      </c>
      <c r="B36" s="230">
        <f t="shared" si="16"/>
        <v>26</v>
      </c>
      <c r="C36" s="229" t="str">
        <f t="shared" si="8"/>
        <v>24cX05_025-030_02</v>
      </c>
      <c r="D36" s="231">
        <f>D35</f>
        <v>5</v>
      </c>
      <c r="E36" s="204">
        <f t="shared" si="26"/>
        <v>1.3090000000000002</v>
      </c>
      <c r="F36" s="198">
        <f t="shared" si="27"/>
        <v>26.180000000000003</v>
      </c>
      <c r="G36" s="198">
        <f t="shared" si="28"/>
        <v>20.944000000000003</v>
      </c>
      <c r="H36" s="198">
        <f t="shared" si="29"/>
        <v>13.090000000000002</v>
      </c>
      <c r="I36" s="198">
        <f t="shared" ref="I36:J49" si="31">I35</f>
        <v>8</v>
      </c>
      <c r="J36" s="233">
        <f>J35</f>
        <v>25</v>
      </c>
      <c r="K36" s="194" t="str">
        <f>D36&amp;-2</f>
        <v>5-2</v>
      </c>
      <c r="L36" s="198">
        <f t="shared" ref="L36:L58" si="32">L35</f>
        <v>0.2</v>
      </c>
      <c r="M36" s="49">
        <v>30</v>
      </c>
      <c r="N36" s="198">
        <f t="shared" ref="N36:O51" si="33">N35</f>
        <v>150</v>
      </c>
      <c r="O36" s="198">
        <f t="shared" si="33"/>
        <v>750</v>
      </c>
      <c r="P36" s="56"/>
      <c r="Q36" s="38">
        <f>Q35</f>
        <v>4</v>
      </c>
      <c r="R36" s="38">
        <f t="shared" ref="R36" si="34">R35</f>
        <v>6</v>
      </c>
      <c r="S36" s="39">
        <f t="shared" si="24"/>
        <v>0.20020684760703333</v>
      </c>
      <c r="T36" s="39">
        <f t="shared" si="24"/>
        <v>0.39507743723572908</v>
      </c>
      <c r="U36" s="39">
        <f t="shared" si="12"/>
        <v>0.19487058962869575</v>
      </c>
      <c r="V36" s="39">
        <f t="shared" si="13"/>
        <v>0.22100456189732626</v>
      </c>
      <c r="W36" s="40">
        <f t="shared" si="30"/>
        <v>0.22100456189732628</v>
      </c>
      <c r="X36" s="40" t="s">
        <v>3710</v>
      </c>
      <c r="Y36" s="182">
        <f t="shared" si="7"/>
        <v>26.520547427679155</v>
      </c>
      <c r="Z36" s="182">
        <f t="shared" ref="Z36:Z40" si="35">W36*20</f>
        <v>4.4200912379465258</v>
      </c>
      <c r="AA36" s="176"/>
    </row>
    <row r="37" spans="1:27" x14ac:dyDescent="0.25">
      <c r="A37" s="229">
        <f t="shared" si="15"/>
        <v>3027</v>
      </c>
      <c r="B37" s="230">
        <f t="shared" si="16"/>
        <v>27</v>
      </c>
      <c r="C37" s="229" t="str">
        <f t="shared" si="8"/>
        <v>24cX05_025-060_03</v>
      </c>
      <c r="D37" s="231">
        <f t="shared" ref="D37:D46" si="36">D36</f>
        <v>5</v>
      </c>
      <c r="E37" s="204">
        <f t="shared" si="26"/>
        <v>1.3090000000000002</v>
      </c>
      <c r="F37" s="198">
        <f t="shared" si="27"/>
        <v>26.180000000000003</v>
      </c>
      <c r="G37" s="198">
        <f t="shared" si="28"/>
        <v>20.944000000000003</v>
      </c>
      <c r="H37" s="198">
        <f t="shared" si="29"/>
        <v>13.090000000000002</v>
      </c>
      <c r="I37" s="198">
        <f t="shared" si="31"/>
        <v>8</v>
      </c>
      <c r="J37" s="233">
        <f t="shared" si="31"/>
        <v>25</v>
      </c>
      <c r="K37" s="194" t="str">
        <f>D37&amp;-3</f>
        <v>5-3</v>
      </c>
      <c r="L37" s="198">
        <f t="shared" si="32"/>
        <v>0.2</v>
      </c>
      <c r="M37" s="49">
        <v>60</v>
      </c>
      <c r="N37" s="198">
        <f t="shared" si="33"/>
        <v>150</v>
      </c>
      <c r="O37" s="198">
        <f t="shared" si="33"/>
        <v>750</v>
      </c>
      <c r="P37" s="56"/>
      <c r="Q37" s="38">
        <f t="shared" ref="Q37:R46" si="37">Q36</f>
        <v>4</v>
      </c>
      <c r="R37" s="38">
        <f t="shared" si="37"/>
        <v>6</v>
      </c>
      <c r="S37" s="39">
        <f t="shared" si="24"/>
        <v>0.20020684760703333</v>
      </c>
      <c r="T37" s="39">
        <f t="shared" si="24"/>
        <v>0.39507743723572908</v>
      </c>
      <c r="U37" s="39">
        <f t="shared" si="12"/>
        <v>0.19487058962869575</v>
      </c>
      <c r="V37" s="39">
        <f t="shared" si="13"/>
        <v>0.22100456189732626</v>
      </c>
      <c r="W37" s="40">
        <f t="shared" si="30"/>
        <v>0.22100456189732628</v>
      </c>
      <c r="X37" s="40" t="s">
        <v>3710</v>
      </c>
      <c r="Y37" s="182">
        <f t="shared" si="7"/>
        <v>26.520547427679155</v>
      </c>
      <c r="Z37" s="182">
        <f t="shared" si="35"/>
        <v>4.4200912379465258</v>
      </c>
    </row>
    <row r="38" spans="1:27" x14ac:dyDescent="0.25">
      <c r="A38" s="229">
        <f t="shared" si="15"/>
        <v>3028</v>
      </c>
      <c r="B38" s="230">
        <f t="shared" si="16"/>
        <v>28</v>
      </c>
      <c r="C38" s="229" t="str">
        <f t="shared" si="8"/>
        <v>24cX05_025-090_04</v>
      </c>
      <c r="D38" s="231">
        <f t="shared" si="36"/>
        <v>5</v>
      </c>
      <c r="E38" s="204">
        <f t="shared" si="26"/>
        <v>1.3090000000000002</v>
      </c>
      <c r="F38" s="198">
        <f t="shared" si="27"/>
        <v>26.180000000000003</v>
      </c>
      <c r="G38" s="198">
        <f t="shared" si="28"/>
        <v>20.944000000000003</v>
      </c>
      <c r="H38" s="198">
        <f t="shared" si="29"/>
        <v>13.090000000000002</v>
      </c>
      <c r="I38" s="198">
        <f t="shared" si="31"/>
        <v>8</v>
      </c>
      <c r="J38" s="233">
        <f t="shared" si="31"/>
        <v>25</v>
      </c>
      <c r="K38" s="194" t="str">
        <f>D38&amp;-4</f>
        <v>5-4</v>
      </c>
      <c r="L38" s="198">
        <f t="shared" si="32"/>
        <v>0.2</v>
      </c>
      <c r="M38" s="49">
        <v>90</v>
      </c>
      <c r="N38" s="198">
        <f t="shared" si="33"/>
        <v>150</v>
      </c>
      <c r="O38" s="198">
        <f t="shared" si="33"/>
        <v>750</v>
      </c>
      <c r="P38" s="56"/>
      <c r="Q38" s="38">
        <f t="shared" si="37"/>
        <v>4</v>
      </c>
      <c r="R38" s="38">
        <f t="shared" si="37"/>
        <v>6</v>
      </c>
      <c r="S38" s="39">
        <f t="shared" si="24"/>
        <v>0.20020684760703333</v>
      </c>
      <c r="T38" s="39">
        <f t="shared" si="24"/>
        <v>0.39507743723572908</v>
      </c>
      <c r="U38" s="39">
        <f t="shared" si="12"/>
        <v>0.19487058962869575</v>
      </c>
      <c r="V38" s="39">
        <f t="shared" si="13"/>
        <v>0.22100456189732626</v>
      </c>
      <c r="W38" s="40">
        <f t="shared" si="30"/>
        <v>0.22100456189732628</v>
      </c>
      <c r="X38" s="40" t="s">
        <v>3710</v>
      </c>
      <c r="Y38" s="182">
        <f t="shared" si="7"/>
        <v>26.520547427679155</v>
      </c>
      <c r="Z38" s="182">
        <f t="shared" si="35"/>
        <v>4.4200912379465258</v>
      </c>
    </row>
    <row r="39" spans="1:27" x14ac:dyDescent="0.25">
      <c r="A39" s="229">
        <f t="shared" si="15"/>
        <v>3029</v>
      </c>
      <c r="B39" s="230">
        <f t="shared" si="16"/>
        <v>29</v>
      </c>
      <c r="C39" s="229" t="str">
        <f t="shared" si="8"/>
        <v>24cX05_025-000_05</v>
      </c>
      <c r="D39" s="231">
        <f t="shared" si="36"/>
        <v>5</v>
      </c>
      <c r="E39" s="204">
        <f t="shared" si="26"/>
        <v>1.3090000000000002</v>
      </c>
      <c r="F39" s="198">
        <f t="shared" si="27"/>
        <v>26.180000000000003</v>
      </c>
      <c r="G39" s="198">
        <f t="shared" si="28"/>
        <v>20.944000000000003</v>
      </c>
      <c r="H39" s="198">
        <f t="shared" si="29"/>
        <v>13.090000000000002</v>
      </c>
      <c r="I39" s="198">
        <f t="shared" si="31"/>
        <v>8</v>
      </c>
      <c r="J39" s="233">
        <f t="shared" si="31"/>
        <v>25</v>
      </c>
      <c r="K39" s="194" t="str">
        <f>D39&amp;-5</f>
        <v>5-5</v>
      </c>
      <c r="L39" s="198">
        <f t="shared" si="32"/>
        <v>0.2</v>
      </c>
      <c r="M39" s="49">
        <v>0</v>
      </c>
      <c r="N39" s="198">
        <f t="shared" si="33"/>
        <v>150</v>
      </c>
      <c r="O39" s="198">
        <f t="shared" si="33"/>
        <v>750</v>
      </c>
      <c r="P39" s="56"/>
      <c r="Q39" s="38">
        <f t="shared" si="37"/>
        <v>4</v>
      </c>
      <c r="R39" s="38">
        <f t="shared" si="37"/>
        <v>6</v>
      </c>
      <c r="S39" s="39">
        <f t="shared" si="24"/>
        <v>0.20020684760703333</v>
      </c>
      <c r="T39" s="39">
        <f t="shared" si="24"/>
        <v>0.39507743723572908</v>
      </c>
      <c r="U39" s="39">
        <f t="shared" si="12"/>
        <v>0.19487058962869575</v>
      </c>
      <c r="V39" s="39">
        <f t="shared" si="13"/>
        <v>0.22100456189732626</v>
      </c>
      <c r="W39" s="40">
        <f t="shared" si="30"/>
        <v>0.22100456189732628</v>
      </c>
      <c r="X39" s="40" t="s">
        <v>3710</v>
      </c>
      <c r="Y39" s="182">
        <f t="shared" si="7"/>
        <v>26.520547427679155</v>
      </c>
      <c r="Z39" s="182">
        <f t="shared" si="35"/>
        <v>4.4200912379465258</v>
      </c>
    </row>
    <row r="40" spans="1:27" x14ac:dyDescent="0.25">
      <c r="A40" s="229">
        <f t="shared" si="15"/>
        <v>3030</v>
      </c>
      <c r="B40" s="230">
        <f t="shared" si="16"/>
        <v>30</v>
      </c>
      <c r="C40" s="229" t="str">
        <f t="shared" si="8"/>
        <v>24cX05_025-030_06</v>
      </c>
      <c r="D40" s="231">
        <f t="shared" si="36"/>
        <v>5</v>
      </c>
      <c r="E40" s="204">
        <f t="shared" si="26"/>
        <v>1.3090000000000002</v>
      </c>
      <c r="F40" s="198">
        <f t="shared" si="27"/>
        <v>26.180000000000003</v>
      </c>
      <c r="G40" s="198">
        <f t="shared" si="28"/>
        <v>20.944000000000003</v>
      </c>
      <c r="H40" s="198">
        <f t="shared" si="29"/>
        <v>13.090000000000002</v>
      </c>
      <c r="I40" s="198">
        <f t="shared" si="31"/>
        <v>8</v>
      </c>
      <c r="J40" s="233">
        <f t="shared" si="31"/>
        <v>25</v>
      </c>
      <c r="K40" s="194" t="str">
        <f>D40&amp;-6</f>
        <v>5-6</v>
      </c>
      <c r="L40" s="198">
        <f t="shared" si="32"/>
        <v>0.2</v>
      </c>
      <c r="M40" s="49">
        <v>30</v>
      </c>
      <c r="N40" s="198">
        <f t="shared" si="33"/>
        <v>150</v>
      </c>
      <c r="O40" s="198">
        <f t="shared" si="33"/>
        <v>750</v>
      </c>
      <c r="P40" s="56"/>
      <c r="Q40" s="38">
        <f t="shared" si="37"/>
        <v>4</v>
      </c>
      <c r="R40" s="38">
        <f t="shared" si="37"/>
        <v>6</v>
      </c>
      <c r="S40" s="39">
        <f t="shared" si="24"/>
        <v>0.20020684760703333</v>
      </c>
      <c r="T40" s="39">
        <f t="shared" si="24"/>
        <v>0.39507743723572908</v>
      </c>
      <c r="U40" s="39">
        <f t="shared" si="12"/>
        <v>0.19487058962869575</v>
      </c>
      <c r="V40" s="39">
        <f t="shared" si="13"/>
        <v>0.22100456189732626</v>
      </c>
      <c r="W40" s="40">
        <f t="shared" si="30"/>
        <v>0.22100456189732628</v>
      </c>
      <c r="X40" s="40" t="s">
        <v>3710</v>
      </c>
      <c r="Y40" s="182">
        <f t="shared" si="7"/>
        <v>26.520547427679155</v>
      </c>
      <c r="Z40" s="182">
        <f t="shared" si="35"/>
        <v>4.4200912379465258</v>
      </c>
    </row>
    <row r="41" spans="1:27" x14ac:dyDescent="0.25">
      <c r="A41" s="229">
        <f t="shared" si="15"/>
        <v>3031</v>
      </c>
      <c r="B41" s="230">
        <f t="shared" si="16"/>
        <v>31</v>
      </c>
      <c r="C41" s="229" t="str">
        <f t="shared" si="8"/>
        <v>24cX05_025-060_07</v>
      </c>
      <c r="D41" s="231">
        <f>D40</f>
        <v>5</v>
      </c>
      <c r="E41" s="204">
        <f t="shared" si="26"/>
        <v>1.3090000000000002</v>
      </c>
      <c r="F41" s="198">
        <f t="shared" si="27"/>
        <v>26.180000000000003</v>
      </c>
      <c r="G41" s="198">
        <f t="shared" si="28"/>
        <v>20.944000000000003</v>
      </c>
      <c r="H41" s="198">
        <f t="shared" si="29"/>
        <v>13.090000000000002</v>
      </c>
      <c r="I41" s="198">
        <f t="shared" si="31"/>
        <v>8</v>
      </c>
      <c r="J41" s="233">
        <f t="shared" si="31"/>
        <v>25</v>
      </c>
      <c r="K41" s="194" t="str">
        <f>D41&amp;-7</f>
        <v>5-7</v>
      </c>
      <c r="L41" s="198">
        <f t="shared" si="32"/>
        <v>0.2</v>
      </c>
      <c r="M41" s="49">
        <v>60</v>
      </c>
      <c r="N41" s="198">
        <f t="shared" si="33"/>
        <v>150</v>
      </c>
      <c r="O41" s="198">
        <f t="shared" si="33"/>
        <v>750</v>
      </c>
      <c r="P41" s="56"/>
      <c r="Q41" s="38">
        <f t="shared" si="37"/>
        <v>4</v>
      </c>
      <c r="R41" s="38">
        <f t="shared" si="37"/>
        <v>6</v>
      </c>
      <c r="S41" s="39">
        <f t="shared" si="24"/>
        <v>0.20020684760703333</v>
      </c>
      <c r="T41" s="39">
        <f t="shared" si="24"/>
        <v>0.39507743723572908</v>
      </c>
      <c r="U41" s="39">
        <f t="shared" si="12"/>
        <v>0.19487058962869575</v>
      </c>
      <c r="V41" s="39">
        <f t="shared" si="13"/>
        <v>0.22100456189732626</v>
      </c>
      <c r="W41" s="40">
        <f t="shared" si="30"/>
        <v>0.22100456189732628</v>
      </c>
      <c r="X41" s="40" t="s">
        <v>3710</v>
      </c>
      <c r="Y41" s="182">
        <f t="shared" si="7"/>
        <v>26.520547427679155</v>
      </c>
      <c r="Z41" s="182">
        <f>W41*20</f>
        <v>4.4200912379465258</v>
      </c>
      <c r="AA41" s="176"/>
    </row>
    <row r="42" spans="1:27" x14ac:dyDescent="0.25">
      <c r="A42" s="229">
        <f t="shared" si="15"/>
        <v>3032</v>
      </c>
      <c r="B42" s="230">
        <f t="shared" si="16"/>
        <v>32</v>
      </c>
      <c r="C42" s="229" t="str">
        <f t="shared" si="8"/>
        <v>24cX05_025-090_08</v>
      </c>
      <c r="D42" s="231">
        <f t="shared" si="36"/>
        <v>5</v>
      </c>
      <c r="E42" s="204">
        <f t="shared" si="26"/>
        <v>1.3090000000000002</v>
      </c>
      <c r="F42" s="198">
        <f t="shared" si="27"/>
        <v>26.180000000000003</v>
      </c>
      <c r="G42" s="198">
        <f t="shared" si="28"/>
        <v>20.944000000000003</v>
      </c>
      <c r="H42" s="198">
        <f t="shared" si="29"/>
        <v>13.090000000000002</v>
      </c>
      <c r="I42" s="198">
        <f t="shared" si="31"/>
        <v>8</v>
      </c>
      <c r="J42" s="233">
        <f t="shared" si="31"/>
        <v>25</v>
      </c>
      <c r="K42" s="194" t="str">
        <f>D42&amp;-8</f>
        <v>5-8</v>
      </c>
      <c r="L42" s="198">
        <f t="shared" si="32"/>
        <v>0.2</v>
      </c>
      <c r="M42" s="49">
        <v>90</v>
      </c>
      <c r="N42" s="198">
        <f t="shared" si="33"/>
        <v>150</v>
      </c>
      <c r="O42" s="198">
        <f t="shared" si="33"/>
        <v>750</v>
      </c>
      <c r="P42" s="56"/>
      <c r="Q42" s="38">
        <f t="shared" si="37"/>
        <v>4</v>
      </c>
      <c r="R42" s="38">
        <f t="shared" si="37"/>
        <v>6</v>
      </c>
      <c r="S42" s="39">
        <f t="shared" si="24"/>
        <v>0.20020684760703333</v>
      </c>
      <c r="T42" s="39">
        <f t="shared" si="24"/>
        <v>0.39507743723572908</v>
      </c>
      <c r="U42" s="39">
        <f t="shared" si="12"/>
        <v>0.19487058962869575</v>
      </c>
      <c r="V42" s="39">
        <f t="shared" si="13"/>
        <v>0.22100456189732626</v>
      </c>
      <c r="W42" s="40">
        <f t="shared" si="30"/>
        <v>0.22100456189732628</v>
      </c>
      <c r="X42" s="40" t="s">
        <v>3710</v>
      </c>
      <c r="Y42" s="182">
        <f t="shared" si="7"/>
        <v>26.520547427679155</v>
      </c>
      <c r="Z42" s="182">
        <f t="shared" ref="Z42:Z58" si="38">W42*20</f>
        <v>4.4200912379465258</v>
      </c>
      <c r="AA42" s="176"/>
    </row>
    <row r="43" spans="1:27" x14ac:dyDescent="0.25">
      <c r="A43" s="229">
        <f t="shared" si="15"/>
        <v>3033</v>
      </c>
      <c r="B43" s="230">
        <f t="shared" si="16"/>
        <v>33</v>
      </c>
      <c r="C43" s="229" t="str">
        <f t="shared" si="8"/>
        <v>24cX05_025-000_09</v>
      </c>
      <c r="D43" s="231">
        <f t="shared" si="36"/>
        <v>5</v>
      </c>
      <c r="E43" s="204">
        <f t="shared" ref="E43:E58" si="39">I_ref*(0.75*D43+5.6)</f>
        <v>1.3090000000000002</v>
      </c>
      <c r="F43" s="198">
        <f t="shared" si="27"/>
        <v>26.180000000000003</v>
      </c>
      <c r="G43" s="198">
        <f t="shared" ref="G43:G58" si="40">m_ty*F43</f>
        <v>20.944000000000003</v>
      </c>
      <c r="H43" s="198">
        <f t="shared" ref="H43:H58" si="41">m_tz*F43</f>
        <v>13.090000000000002</v>
      </c>
      <c r="I43" s="198">
        <f t="shared" si="31"/>
        <v>8</v>
      </c>
      <c r="J43" s="233">
        <f t="shared" si="31"/>
        <v>25</v>
      </c>
      <c r="K43" s="194" t="str">
        <f>D43&amp;-9</f>
        <v>5-9</v>
      </c>
      <c r="L43" s="198">
        <f t="shared" si="32"/>
        <v>0.2</v>
      </c>
      <c r="M43" s="49">
        <v>0</v>
      </c>
      <c r="N43" s="198">
        <f t="shared" si="33"/>
        <v>150</v>
      </c>
      <c r="O43" s="198">
        <f t="shared" si="33"/>
        <v>750</v>
      </c>
      <c r="P43" s="56"/>
      <c r="Q43" s="38">
        <f t="shared" si="37"/>
        <v>4</v>
      </c>
      <c r="R43" s="38">
        <f t="shared" si="37"/>
        <v>6</v>
      </c>
      <c r="S43" s="39">
        <f t="shared" ref="S43:T58" si="42">IF(wpd="Rayleigh",1-EXP(-PI()*((Q43/2/v_ave)^2)),IF(wpd="Weibull",1-EXP(-((Q43/weibull_A)^weibull_K))))</f>
        <v>0.20020684760703333</v>
      </c>
      <c r="T43" s="39">
        <f t="shared" si="42"/>
        <v>0.39507743723572908</v>
      </c>
      <c r="U43" s="39">
        <f t="shared" si="12"/>
        <v>0.19487058962869575</v>
      </c>
      <c r="V43" s="39">
        <f t="shared" si="13"/>
        <v>0.22100456189732626</v>
      </c>
      <c r="W43" s="40">
        <f t="shared" si="30"/>
        <v>0.22100456189732628</v>
      </c>
      <c r="X43" s="40" t="s">
        <v>3710</v>
      </c>
      <c r="Y43" s="182">
        <f t="shared" ref="Y43:Y74" si="43">Z43*3600/(O43-N43)</f>
        <v>26.520547427679155</v>
      </c>
      <c r="Z43" s="182">
        <f t="shared" si="38"/>
        <v>4.4200912379465258</v>
      </c>
    </row>
    <row r="44" spans="1:27" x14ac:dyDescent="0.25">
      <c r="A44" s="229">
        <f t="shared" si="15"/>
        <v>3034</v>
      </c>
      <c r="B44" s="230">
        <f t="shared" si="16"/>
        <v>34</v>
      </c>
      <c r="C44" s="229" t="str">
        <f t="shared" si="8"/>
        <v>24cX05_025-030_10</v>
      </c>
      <c r="D44" s="231">
        <f t="shared" si="36"/>
        <v>5</v>
      </c>
      <c r="E44" s="204">
        <f t="shared" si="39"/>
        <v>1.3090000000000002</v>
      </c>
      <c r="F44" s="198">
        <f t="shared" si="27"/>
        <v>26.180000000000003</v>
      </c>
      <c r="G44" s="198">
        <f t="shared" si="40"/>
        <v>20.944000000000003</v>
      </c>
      <c r="H44" s="198">
        <f t="shared" si="41"/>
        <v>13.090000000000002</v>
      </c>
      <c r="I44" s="198">
        <f t="shared" si="31"/>
        <v>8</v>
      </c>
      <c r="J44" s="233">
        <f t="shared" si="31"/>
        <v>25</v>
      </c>
      <c r="K44" s="194" t="str">
        <f>D44&amp;-10</f>
        <v>5-10</v>
      </c>
      <c r="L44" s="198">
        <f t="shared" si="32"/>
        <v>0.2</v>
      </c>
      <c r="M44" s="49">
        <v>30</v>
      </c>
      <c r="N44" s="198">
        <f t="shared" si="33"/>
        <v>150</v>
      </c>
      <c r="O44" s="198">
        <f t="shared" si="33"/>
        <v>750</v>
      </c>
      <c r="P44" s="56"/>
      <c r="Q44" s="38">
        <f t="shared" si="37"/>
        <v>4</v>
      </c>
      <c r="R44" s="38">
        <f t="shared" si="37"/>
        <v>6</v>
      </c>
      <c r="S44" s="39">
        <f t="shared" si="42"/>
        <v>0.20020684760703333</v>
      </c>
      <c r="T44" s="39">
        <f t="shared" si="42"/>
        <v>0.39507743723572908</v>
      </c>
      <c r="U44" s="39">
        <f t="shared" si="12"/>
        <v>0.19487058962869575</v>
      </c>
      <c r="V44" s="39">
        <f t="shared" si="13"/>
        <v>0.22100456189732626</v>
      </c>
      <c r="W44" s="40">
        <f t="shared" si="30"/>
        <v>0.22100456189732628</v>
      </c>
      <c r="X44" s="40" t="s">
        <v>3710</v>
      </c>
      <c r="Y44" s="182">
        <f t="shared" si="43"/>
        <v>26.520547427679155</v>
      </c>
      <c r="Z44" s="182">
        <f t="shared" si="38"/>
        <v>4.4200912379465258</v>
      </c>
    </row>
    <row r="45" spans="1:27" x14ac:dyDescent="0.25">
      <c r="A45" s="229">
        <f t="shared" si="15"/>
        <v>3035</v>
      </c>
      <c r="B45" s="230">
        <f t="shared" si="16"/>
        <v>35</v>
      </c>
      <c r="C45" s="229" t="str">
        <f t="shared" si="8"/>
        <v>24cX05_025-060_11</v>
      </c>
      <c r="D45" s="231">
        <f t="shared" si="36"/>
        <v>5</v>
      </c>
      <c r="E45" s="204">
        <f t="shared" si="39"/>
        <v>1.3090000000000002</v>
      </c>
      <c r="F45" s="198">
        <f t="shared" si="27"/>
        <v>26.180000000000003</v>
      </c>
      <c r="G45" s="198">
        <f t="shared" si="40"/>
        <v>20.944000000000003</v>
      </c>
      <c r="H45" s="198">
        <f t="shared" si="41"/>
        <v>13.090000000000002</v>
      </c>
      <c r="I45" s="198">
        <f t="shared" si="31"/>
        <v>8</v>
      </c>
      <c r="J45" s="233">
        <f t="shared" si="31"/>
        <v>25</v>
      </c>
      <c r="K45" s="194" t="str">
        <f>D45&amp;-11</f>
        <v>5-11</v>
      </c>
      <c r="L45" s="198">
        <f t="shared" si="32"/>
        <v>0.2</v>
      </c>
      <c r="M45" s="49">
        <v>60</v>
      </c>
      <c r="N45" s="198">
        <f t="shared" si="33"/>
        <v>150</v>
      </c>
      <c r="O45" s="198">
        <f t="shared" si="33"/>
        <v>750</v>
      </c>
      <c r="P45" s="56"/>
      <c r="Q45" s="38">
        <f t="shared" si="37"/>
        <v>4</v>
      </c>
      <c r="R45" s="38">
        <f t="shared" si="37"/>
        <v>6</v>
      </c>
      <c r="S45" s="39">
        <f t="shared" si="42"/>
        <v>0.20020684760703333</v>
      </c>
      <c r="T45" s="39">
        <f t="shared" si="42"/>
        <v>0.39507743723572908</v>
      </c>
      <c r="U45" s="39">
        <f t="shared" si="12"/>
        <v>0.19487058962869575</v>
      </c>
      <c r="V45" s="39">
        <f t="shared" si="13"/>
        <v>0.22100456189732626</v>
      </c>
      <c r="W45" s="40">
        <f t="shared" si="30"/>
        <v>0.22100456189732628</v>
      </c>
      <c r="X45" s="40" t="s">
        <v>3710</v>
      </c>
      <c r="Y45" s="182">
        <f t="shared" si="43"/>
        <v>26.520547427679155</v>
      </c>
      <c r="Z45" s="182">
        <f t="shared" si="38"/>
        <v>4.4200912379465258</v>
      </c>
    </row>
    <row r="46" spans="1:27" x14ac:dyDescent="0.25">
      <c r="A46" s="229">
        <f t="shared" si="15"/>
        <v>3036</v>
      </c>
      <c r="B46" s="230">
        <f t="shared" si="16"/>
        <v>36</v>
      </c>
      <c r="C46" s="229" t="str">
        <f t="shared" si="8"/>
        <v>24cX05_025-090_12</v>
      </c>
      <c r="D46" s="231">
        <f t="shared" si="36"/>
        <v>5</v>
      </c>
      <c r="E46" s="204">
        <f t="shared" si="39"/>
        <v>1.3090000000000002</v>
      </c>
      <c r="F46" s="198">
        <f t="shared" si="27"/>
        <v>26.180000000000003</v>
      </c>
      <c r="G46" s="198">
        <f t="shared" si="40"/>
        <v>20.944000000000003</v>
      </c>
      <c r="H46" s="198">
        <f t="shared" si="41"/>
        <v>13.090000000000002</v>
      </c>
      <c r="I46" s="198">
        <f t="shared" si="31"/>
        <v>8</v>
      </c>
      <c r="J46" s="233">
        <f t="shared" si="31"/>
        <v>25</v>
      </c>
      <c r="K46" s="194" t="str">
        <f>D46&amp;-12</f>
        <v>5-12</v>
      </c>
      <c r="L46" s="198">
        <f t="shared" si="32"/>
        <v>0.2</v>
      </c>
      <c r="M46" s="49">
        <v>90</v>
      </c>
      <c r="N46" s="198">
        <f t="shared" si="33"/>
        <v>150</v>
      </c>
      <c r="O46" s="198">
        <f t="shared" si="33"/>
        <v>750</v>
      </c>
      <c r="P46" s="56"/>
      <c r="Q46" s="38">
        <f t="shared" si="37"/>
        <v>4</v>
      </c>
      <c r="R46" s="38">
        <f t="shared" si="37"/>
        <v>6</v>
      </c>
      <c r="S46" s="39">
        <f t="shared" si="42"/>
        <v>0.20020684760703333</v>
      </c>
      <c r="T46" s="39">
        <f t="shared" si="42"/>
        <v>0.39507743723572908</v>
      </c>
      <c r="U46" s="39">
        <f t="shared" si="12"/>
        <v>0.19487058962869575</v>
      </c>
      <c r="V46" s="39">
        <f t="shared" si="13"/>
        <v>0.22100456189732626</v>
      </c>
      <c r="W46" s="40">
        <f t="shared" si="30"/>
        <v>0.22100456189732628</v>
      </c>
      <c r="X46" s="40" t="s">
        <v>3710</v>
      </c>
      <c r="Y46" s="182">
        <f t="shared" si="43"/>
        <v>26.520547427679155</v>
      </c>
      <c r="Z46" s="182">
        <f t="shared" si="38"/>
        <v>4.4200912379465258</v>
      </c>
    </row>
    <row r="47" spans="1:27" x14ac:dyDescent="0.25">
      <c r="A47" s="229">
        <f t="shared" si="15"/>
        <v>3037</v>
      </c>
      <c r="B47" s="230">
        <f t="shared" si="16"/>
        <v>37</v>
      </c>
      <c r="C47" s="229" t="str">
        <f t="shared" si="8"/>
        <v>24cX05_335-000_01</v>
      </c>
      <c r="D47" s="231">
        <f>D46</f>
        <v>5</v>
      </c>
      <c r="E47" s="204">
        <f t="shared" si="39"/>
        <v>1.3090000000000002</v>
      </c>
      <c r="F47" s="198">
        <f t="shared" si="27"/>
        <v>26.180000000000003</v>
      </c>
      <c r="G47" s="198">
        <f t="shared" si="40"/>
        <v>20.944000000000003</v>
      </c>
      <c r="H47" s="198">
        <f t="shared" si="41"/>
        <v>13.090000000000002</v>
      </c>
      <c r="I47" s="198">
        <f t="shared" si="31"/>
        <v>8</v>
      </c>
      <c r="J47" s="233">
        <f>-J35</f>
        <v>-25</v>
      </c>
      <c r="K47" s="194" t="str">
        <f>D47&amp;-1</f>
        <v>5-1</v>
      </c>
      <c r="L47" s="198">
        <f t="shared" si="32"/>
        <v>0.2</v>
      </c>
      <c r="M47" s="49">
        <v>0</v>
      </c>
      <c r="N47" s="198">
        <f t="shared" si="33"/>
        <v>150</v>
      </c>
      <c r="O47" s="198">
        <f t="shared" si="33"/>
        <v>750</v>
      </c>
      <c r="P47" s="56"/>
      <c r="Q47" s="38">
        <f>Q46</f>
        <v>4</v>
      </c>
      <c r="R47" s="38">
        <f>Q47+v_step</f>
        <v>6</v>
      </c>
      <c r="S47" s="39">
        <f t="shared" si="42"/>
        <v>0.20020684760703333</v>
      </c>
      <c r="T47" s="39">
        <f t="shared" si="42"/>
        <v>0.39507743723572908</v>
      </c>
      <c r="U47" s="39">
        <f t="shared" si="12"/>
        <v>0.19487058962869575</v>
      </c>
      <c r="V47" s="39">
        <f t="shared" si="13"/>
        <v>0.22100456189732626</v>
      </c>
      <c r="W47" s="40">
        <f t="shared" si="30"/>
        <v>0.22100456189732628</v>
      </c>
      <c r="X47" s="40" t="s">
        <v>3710</v>
      </c>
      <c r="Y47" s="182">
        <f t="shared" si="43"/>
        <v>26.520547427679155</v>
      </c>
      <c r="Z47" s="182">
        <f t="shared" si="38"/>
        <v>4.4200912379465258</v>
      </c>
    </row>
    <row r="48" spans="1:27" x14ac:dyDescent="0.25">
      <c r="A48" s="229">
        <f t="shared" si="15"/>
        <v>3038</v>
      </c>
      <c r="B48" s="230">
        <f t="shared" si="16"/>
        <v>38</v>
      </c>
      <c r="C48" s="229" t="str">
        <f t="shared" si="8"/>
        <v>24cX05_335-030_02</v>
      </c>
      <c r="D48" s="231">
        <f>D47</f>
        <v>5</v>
      </c>
      <c r="E48" s="204">
        <f t="shared" si="39"/>
        <v>1.3090000000000002</v>
      </c>
      <c r="F48" s="198">
        <f t="shared" si="27"/>
        <v>26.180000000000003</v>
      </c>
      <c r="G48" s="198">
        <f t="shared" si="40"/>
        <v>20.944000000000003</v>
      </c>
      <c r="H48" s="198">
        <f t="shared" si="41"/>
        <v>13.090000000000002</v>
      </c>
      <c r="I48" s="198">
        <f t="shared" si="31"/>
        <v>8</v>
      </c>
      <c r="J48" s="233">
        <f>J47</f>
        <v>-25</v>
      </c>
      <c r="K48" s="194" t="str">
        <f>D48&amp;-2</f>
        <v>5-2</v>
      </c>
      <c r="L48" s="198">
        <f t="shared" si="32"/>
        <v>0.2</v>
      </c>
      <c r="M48" s="49">
        <v>30</v>
      </c>
      <c r="N48" s="198">
        <f t="shared" si="33"/>
        <v>150</v>
      </c>
      <c r="O48" s="198">
        <f t="shared" si="33"/>
        <v>750</v>
      </c>
      <c r="P48" s="56"/>
      <c r="Q48" s="38">
        <f>Q47</f>
        <v>4</v>
      </c>
      <c r="R48" s="38">
        <f t="shared" ref="R48" si="44">R47</f>
        <v>6</v>
      </c>
      <c r="S48" s="39">
        <f t="shared" si="42"/>
        <v>0.20020684760703333</v>
      </c>
      <c r="T48" s="39">
        <f t="shared" si="42"/>
        <v>0.39507743723572908</v>
      </c>
      <c r="U48" s="39">
        <f t="shared" si="12"/>
        <v>0.19487058962869575</v>
      </c>
      <c r="V48" s="39">
        <f t="shared" si="13"/>
        <v>0.22100456189732626</v>
      </c>
      <c r="W48" s="40">
        <f t="shared" si="30"/>
        <v>0.22100456189732628</v>
      </c>
      <c r="X48" s="40" t="s">
        <v>3710</v>
      </c>
      <c r="Y48" s="182">
        <f t="shared" si="43"/>
        <v>26.520547427679155</v>
      </c>
      <c r="Z48" s="182">
        <f t="shared" si="38"/>
        <v>4.4200912379465258</v>
      </c>
    </row>
    <row r="49" spans="1:27" x14ac:dyDescent="0.25">
      <c r="A49" s="229">
        <f t="shared" si="15"/>
        <v>3039</v>
      </c>
      <c r="B49" s="230">
        <f t="shared" si="16"/>
        <v>39</v>
      </c>
      <c r="C49" s="229" t="str">
        <f t="shared" si="8"/>
        <v>24cX05_335-060_03</v>
      </c>
      <c r="D49" s="231">
        <f t="shared" ref="D49:D58" si="45">D48</f>
        <v>5</v>
      </c>
      <c r="E49" s="204">
        <f t="shared" si="39"/>
        <v>1.3090000000000002</v>
      </c>
      <c r="F49" s="198">
        <f t="shared" si="27"/>
        <v>26.180000000000003</v>
      </c>
      <c r="G49" s="198">
        <f t="shared" si="40"/>
        <v>20.944000000000003</v>
      </c>
      <c r="H49" s="198">
        <f t="shared" si="41"/>
        <v>13.090000000000002</v>
      </c>
      <c r="I49" s="198">
        <f t="shared" si="31"/>
        <v>8</v>
      </c>
      <c r="J49" s="233">
        <f t="shared" si="31"/>
        <v>-25</v>
      </c>
      <c r="K49" s="194" t="str">
        <f>D49&amp;-3</f>
        <v>5-3</v>
      </c>
      <c r="L49" s="198">
        <f t="shared" si="32"/>
        <v>0.2</v>
      </c>
      <c r="M49" s="49">
        <v>60</v>
      </c>
      <c r="N49" s="198">
        <f t="shared" si="33"/>
        <v>150</v>
      </c>
      <c r="O49" s="198">
        <f t="shared" si="33"/>
        <v>750</v>
      </c>
      <c r="P49" s="56"/>
      <c r="Q49" s="38">
        <f t="shared" ref="Q49:R58" si="46">Q48</f>
        <v>4</v>
      </c>
      <c r="R49" s="38">
        <f t="shared" si="46"/>
        <v>6</v>
      </c>
      <c r="S49" s="39">
        <f t="shared" si="42"/>
        <v>0.20020684760703333</v>
      </c>
      <c r="T49" s="39">
        <f t="shared" si="42"/>
        <v>0.39507743723572908</v>
      </c>
      <c r="U49" s="39">
        <f t="shared" si="12"/>
        <v>0.19487058962869575</v>
      </c>
      <c r="V49" s="39">
        <f t="shared" si="13"/>
        <v>0.22100456189732626</v>
      </c>
      <c r="W49" s="40">
        <f t="shared" si="30"/>
        <v>0.22100456189732628</v>
      </c>
      <c r="X49" s="40" t="s">
        <v>3710</v>
      </c>
      <c r="Y49" s="182">
        <f t="shared" si="43"/>
        <v>26.520547427679155</v>
      </c>
      <c r="Z49" s="182">
        <f t="shared" si="38"/>
        <v>4.4200912379465258</v>
      </c>
    </row>
    <row r="50" spans="1:27" x14ac:dyDescent="0.25">
      <c r="A50" s="229">
        <f t="shared" si="15"/>
        <v>3040</v>
      </c>
      <c r="B50" s="230">
        <f t="shared" si="16"/>
        <v>40</v>
      </c>
      <c r="C50" s="229" t="str">
        <f t="shared" si="8"/>
        <v>24cX05_335-090_04</v>
      </c>
      <c r="D50" s="231">
        <f t="shared" si="45"/>
        <v>5</v>
      </c>
      <c r="E50" s="204">
        <f t="shared" si="39"/>
        <v>1.3090000000000002</v>
      </c>
      <c r="F50" s="198">
        <f t="shared" si="27"/>
        <v>26.180000000000003</v>
      </c>
      <c r="G50" s="198">
        <f t="shared" si="40"/>
        <v>20.944000000000003</v>
      </c>
      <c r="H50" s="198">
        <f t="shared" si="41"/>
        <v>13.090000000000002</v>
      </c>
      <c r="I50" s="198">
        <f t="shared" ref="I50:J58" si="47">I49</f>
        <v>8</v>
      </c>
      <c r="J50" s="233">
        <f t="shared" si="47"/>
        <v>-25</v>
      </c>
      <c r="K50" s="194" t="str">
        <f>D50&amp;-4</f>
        <v>5-4</v>
      </c>
      <c r="L50" s="198">
        <f t="shared" si="32"/>
        <v>0.2</v>
      </c>
      <c r="M50" s="49">
        <v>90</v>
      </c>
      <c r="N50" s="198">
        <f t="shared" si="33"/>
        <v>150</v>
      </c>
      <c r="O50" s="198">
        <f t="shared" si="33"/>
        <v>750</v>
      </c>
      <c r="P50" s="56"/>
      <c r="Q50" s="38">
        <f t="shared" si="46"/>
        <v>4</v>
      </c>
      <c r="R50" s="38">
        <f t="shared" si="46"/>
        <v>6</v>
      </c>
      <c r="S50" s="39">
        <f t="shared" si="42"/>
        <v>0.20020684760703333</v>
      </c>
      <c r="T50" s="39">
        <f t="shared" si="42"/>
        <v>0.39507743723572908</v>
      </c>
      <c r="U50" s="39">
        <f t="shared" si="12"/>
        <v>0.19487058962869575</v>
      </c>
      <c r="V50" s="39">
        <f t="shared" si="13"/>
        <v>0.22100456189732626</v>
      </c>
      <c r="W50" s="40">
        <f t="shared" si="30"/>
        <v>0.22100456189732628</v>
      </c>
      <c r="X50" s="40" t="s">
        <v>3710</v>
      </c>
      <c r="Y50" s="182">
        <f t="shared" si="43"/>
        <v>26.520547427679155</v>
      </c>
      <c r="Z50" s="182">
        <f t="shared" si="38"/>
        <v>4.4200912379465258</v>
      </c>
    </row>
    <row r="51" spans="1:27" x14ac:dyDescent="0.25">
      <c r="A51" s="229">
        <f t="shared" si="15"/>
        <v>3041</v>
      </c>
      <c r="B51" s="230">
        <f t="shared" si="16"/>
        <v>41</v>
      </c>
      <c r="C51" s="229" t="str">
        <f t="shared" si="8"/>
        <v>24cX05_335-000_05</v>
      </c>
      <c r="D51" s="231">
        <f t="shared" si="45"/>
        <v>5</v>
      </c>
      <c r="E51" s="204">
        <f t="shared" si="39"/>
        <v>1.3090000000000002</v>
      </c>
      <c r="F51" s="198">
        <f t="shared" si="27"/>
        <v>26.180000000000003</v>
      </c>
      <c r="G51" s="198">
        <f t="shared" si="40"/>
        <v>20.944000000000003</v>
      </c>
      <c r="H51" s="198">
        <f t="shared" si="41"/>
        <v>13.090000000000002</v>
      </c>
      <c r="I51" s="198">
        <f t="shared" si="47"/>
        <v>8</v>
      </c>
      <c r="J51" s="233">
        <f t="shared" si="47"/>
        <v>-25</v>
      </c>
      <c r="K51" s="194" t="str">
        <f>D51&amp;-5</f>
        <v>5-5</v>
      </c>
      <c r="L51" s="198">
        <f t="shared" si="32"/>
        <v>0.2</v>
      </c>
      <c r="M51" s="49">
        <v>0</v>
      </c>
      <c r="N51" s="198">
        <f t="shared" si="33"/>
        <v>150</v>
      </c>
      <c r="O51" s="198">
        <f t="shared" si="33"/>
        <v>750</v>
      </c>
      <c r="P51" s="56"/>
      <c r="Q51" s="38">
        <f t="shared" si="46"/>
        <v>4</v>
      </c>
      <c r="R51" s="38">
        <f t="shared" si="46"/>
        <v>6</v>
      </c>
      <c r="S51" s="39">
        <f t="shared" si="42"/>
        <v>0.20020684760703333</v>
      </c>
      <c r="T51" s="39">
        <f t="shared" si="42"/>
        <v>0.39507743723572908</v>
      </c>
      <c r="U51" s="39">
        <f t="shared" si="12"/>
        <v>0.19487058962869575</v>
      </c>
      <c r="V51" s="39">
        <f t="shared" si="13"/>
        <v>0.22100456189732626</v>
      </c>
      <c r="W51" s="40">
        <f t="shared" si="30"/>
        <v>0.22100456189732628</v>
      </c>
      <c r="X51" s="40" t="s">
        <v>3710</v>
      </c>
      <c r="Y51" s="182">
        <f t="shared" si="43"/>
        <v>26.520547427679155</v>
      </c>
      <c r="Z51" s="182">
        <f t="shared" si="38"/>
        <v>4.4200912379465258</v>
      </c>
    </row>
    <row r="52" spans="1:27" x14ac:dyDescent="0.25">
      <c r="A52" s="229">
        <f t="shared" si="15"/>
        <v>3042</v>
      </c>
      <c r="B52" s="230">
        <f t="shared" si="16"/>
        <v>42</v>
      </c>
      <c r="C52" s="229" t="str">
        <f t="shared" si="8"/>
        <v>24cX05_335-030_06</v>
      </c>
      <c r="D52" s="231">
        <f t="shared" si="45"/>
        <v>5</v>
      </c>
      <c r="E52" s="204">
        <f t="shared" si="39"/>
        <v>1.3090000000000002</v>
      </c>
      <c r="F52" s="198">
        <f t="shared" si="27"/>
        <v>26.180000000000003</v>
      </c>
      <c r="G52" s="198">
        <f t="shared" si="40"/>
        <v>20.944000000000003</v>
      </c>
      <c r="H52" s="198">
        <f t="shared" si="41"/>
        <v>13.090000000000002</v>
      </c>
      <c r="I52" s="198">
        <f t="shared" si="47"/>
        <v>8</v>
      </c>
      <c r="J52" s="233">
        <f t="shared" si="47"/>
        <v>-25</v>
      </c>
      <c r="K52" s="194" t="str">
        <f>D52&amp;-6</f>
        <v>5-6</v>
      </c>
      <c r="L52" s="198">
        <f t="shared" si="32"/>
        <v>0.2</v>
      </c>
      <c r="M52" s="49">
        <v>30</v>
      </c>
      <c r="N52" s="198">
        <f t="shared" ref="N52:O58" si="48">N51</f>
        <v>150</v>
      </c>
      <c r="O52" s="198">
        <f t="shared" si="48"/>
        <v>750</v>
      </c>
      <c r="P52" s="56"/>
      <c r="Q52" s="38">
        <f t="shared" si="46"/>
        <v>4</v>
      </c>
      <c r="R52" s="38">
        <f t="shared" si="46"/>
        <v>6</v>
      </c>
      <c r="S52" s="39">
        <f t="shared" si="42"/>
        <v>0.20020684760703333</v>
      </c>
      <c r="T52" s="39">
        <f t="shared" si="42"/>
        <v>0.39507743723572908</v>
      </c>
      <c r="U52" s="39">
        <f t="shared" si="12"/>
        <v>0.19487058962869575</v>
      </c>
      <c r="V52" s="39">
        <f t="shared" si="13"/>
        <v>0.22100456189732626</v>
      </c>
      <c r="W52" s="40">
        <f t="shared" si="30"/>
        <v>0.22100456189732628</v>
      </c>
      <c r="X52" s="40" t="s">
        <v>3710</v>
      </c>
      <c r="Y52" s="182">
        <f t="shared" si="43"/>
        <v>26.520547427679155</v>
      </c>
      <c r="Z52" s="182">
        <f t="shared" si="38"/>
        <v>4.4200912379465258</v>
      </c>
    </row>
    <row r="53" spans="1:27" x14ac:dyDescent="0.25">
      <c r="A53" s="229">
        <f t="shared" si="15"/>
        <v>3043</v>
      </c>
      <c r="B53" s="230">
        <f t="shared" si="16"/>
        <v>43</v>
      </c>
      <c r="C53" s="229" t="str">
        <f t="shared" si="8"/>
        <v>24cX05_335-060_07</v>
      </c>
      <c r="D53" s="231">
        <f>D52</f>
        <v>5</v>
      </c>
      <c r="E53" s="204">
        <f t="shared" si="39"/>
        <v>1.3090000000000002</v>
      </c>
      <c r="F53" s="198">
        <f t="shared" si="27"/>
        <v>26.180000000000003</v>
      </c>
      <c r="G53" s="198">
        <f t="shared" si="40"/>
        <v>20.944000000000003</v>
      </c>
      <c r="H53" s="198">
        <f t="shared" si="41"/>
        <v>13.090000000000002</v>
      </c>
      <c r="I53" s="198">
        <f t="shared" si="47"/>
        <v>8</v>
      </c>
      <c r="J53" s="233">
        <f t="shared" si="47"/>
        <v>-25</v>
      </c>
      <c r="K53" s="194" t="str">
        <f>D53&amp;-7</f>
        <v>5-7</v>
      </c>
      <c r="L53" s="198">
        <f t="shared" si="32"/>
        <v>0.2</v>
      </c>
      <c r="M53" s="49">
        <v>60</v>
      </c>
      <c r="N53" s="198">
        <f t="shared" si="48"/>
        <v>150</v>
      </c>
      <c r="O53" s="198">
        <f t="shared" si="48"/>
        <v>750</v>
      </c>
      <c r="P53" s="56"/>
      <c r="Q53" s="38">
        <f t="shared" si="46"/>
        <v>4</v>
      </c>
      <c r="R53" s="38">
        <f t="shared" si="46"/>
        <v>6</v>
      </c>
      <c r="S53" s="39">
        <f t="shared" si="42"/>
        <v>0.20020684760703333</v>
      </c>
      <c r="T53" s="39">
        <f t="shared" si="42"/>
        <v>0.39507743723572908</v>
      </c>
      <c r="U53" s="39">
        <f t="shared" si="12"/>
        <v>0.19487058962869575</v>
      </c>
      <c r="V53" s="39">
        <f t="shared" si="13"/>
        <v>0.22100456189732626</v>
      </c>
      <c r="W53" s="40">
        <f t="shared" si="30"/>
        <v>0.22100456189732628</v>
      </c>
      <c r="X53" s="40" t="s">
        <v>3710</v>
      </c>
      <c r="Y53" s="182">
        <f t="shared" si="43"/>
        <v>26.520547427679155</v>
      </c>
      <c r="Z53" s="182">
        <f t="shared" si="38"/>
        <v>4.4200912379465258</v>
      </c>
    </row>
    <row r="54" spans="1:27" x14ac:dyDescent="0.25">
      <c r="A54" s="229">
        <f t="shared" si="15"/>
        <v>3044</v>
      </c>
      <c r="B54" s="230">
        <f t="shared" si="16"/>
        <v>44</v>
      </c>
      <c r="C54" s="229" t="str">
        <f t="shared" si="8"/>
        <v>24cX05_335-090_08</v>
      </c>
      <c r="D54" s="231">
        <f t="shared" si="45"/>
        <v>5</v>
      </c>
      <c r="E54" s="204">
        <f t="shared" si="39"/>
        <v>1.3090000000000002</v>
      </c>
      <c r="F54" s="198">
        <f t="shared" si="27"/>
        <v>26.180000000000003</v>
      </c>
      <c r="G54" s="198">
        <f t="shared" si="40"/>
        <v>20.944000000000003</v>
      </c>
      <c r="H54" s="198">
        <f t="shared" si="41"/>
        <v>13.090000000000002</v>
      </c>
      <c r="I54" s="198">
        <f t="shared" si="47"/>
        <v>8</v>
      </c>
      <c r="J54" s="233">
        <f t="shared" si="47"/>
        <v>-25</v>
      </c>
      <c r="K54" s="194" t="str">
        <f>D54&amp;-8</f>
        <v>5-8</v>
      </c>
      <c r="L54" s="198">
        <f t="shared" si="32"/>
        <v>0.2</v>
      </c>
      <c r="M54" s="49">
        <v>90</v>
      </c>
      <c r="N54" s="198">
        <f t="shared" si="48"/>
        <v>150</v>
      </c>
      <c r="O54" s="198">
        <f t="shared" si="48"/>
        <v>750</v>
      </c>
      <c r="P54" s="56"/>
      <c r="Q54" s="38">
        <f t="shared" si="46"/>
        <v>4</v>
      </c>
      <c r="R54" s="38">
        <f t="shared" si="46"/>
        <v>6</v>
      </c>
      <c r="S54" s="39">
        <f t="shared" si="42"/>
        <v>0.20020684760703333</v>
      </c>
      <c r="T54" s="39">
        <f t="shared" si="42"/>
        <v>0.39507743723572908</v>
      </c>
      <c r="U54" s="39">
        <f t="shared" si="12"/>
        <v>0.19487058962869575</v>
      </c>
      <c r="V54" s="39">
        <f t="shared" si="13"/>
        <v>0.22100456189732626</v>
      </c>
      <c r="W54" s="40">
        <f t="shared" si="30"/>
        <v>0.22100456189732628</v>
      </c>
      <c r="X54" s="40" t="s">
        <v>3710</v>
      </c>
      <c r="Y54" s="182">
        <f t="shared" si="43"/>
        <v>26.520547427679155</v>
      </c>
      <c r="Z54" s="182">
        <f t="shared" si="38"/>
        <v>4.4200912379465258</v>
      </c>
    </row>
    <row r="55" spans="1:27" x14ac:dyDescent="0.25">
      <c r="A55" s="229">
        <f t="shared" si="15"/>
        <v>3045</v>
      </c>
      <c r="B55" s="230">
        <f t="shared" si="16"/>
        <v>45</v>
      </c>
      <c r="C55" s="229" t="str">
        <f t="shared" si="8"/>
        <v>24cX05_335-000_09</v>
      </c>
      <c r="D55" s="231">
        <f t="shared" si="45"/>
        <v>5</v>
      </c>
      <c r="E55" s="204">
        <f t="shared" si="39"/>
        <v>1.3090000000000002</v>
      </c>
      <c r="F55" s="198">
        <f t="shared" si="27"/>
        <v>26.180000000000003</v>
      </c>
      <c r="G55" s="198">
        <f t="shared" si="40"/>
        <v>20.944000000000003</v>
      </c>
      <c r="H55" s="198">
        <f t="shared" si="41"/>
        <v>13.090000000000002</v>
      </c>
      <c r="I55" s="198">
        <f t="shared" si="47"/>
        <v>8</v>
      </c>
      <c r="J55" s="233">
        <f t="shared" si="47"/>
        <v>-25</v>
      </c>
      <c r="K55" s="194" t="str">
        <f>D55&amp;-9</f>
        <v>5-9</v>
      </c>
      <c r="L55" s="198">
        <f t="shared" si="32"/>
        <v>0.2</v>
      </c>
      <c r="M55" s="49">
        <v>0</v>
      </c>
      <c r="N55" s="198">
        <f t="shared" si="48"/>
        <v>150</v>
      </c>
      <c r="O55" s="198">
        <f t="shared" si="48"/>
        <v>750</v>
      </c>
      <c r="P55" s="56"/>
      <c r="Q55" s="38">
        <f t="shared" si="46"/>
        <v>4</v>
      </c>
      <c r="R55" s="38">
        <f t="shared" si="46"/>
        <v>6</v>
      </c>
      <c r="S55" s="39">
        <f t="shared" si="42"/>
        <v>0.20020684760703333</v>
      </c>
      <c r="T55" s="39">
        <f t="shared" si="42"/>
        <v>0.39507743723572908</v>
      </c>
      <c r="U55" s="39">
        <f t="shared" si="12"/>
        <v>0.19487058962869575</v>
      </c>
      <c r="V55" s="39">
        <f t="shared" si="13"/>
        <v>0.22100456189732626</v>
      </c>
      <c r="W55" s="40">
        <f t="shared" si="30"/>
        <v>0.22100456189732628</v>
      </c>
      <c r="X55" s="40" t="s">
        <v>3710</v>
      </c>
      <c r="Y55" s="182">
        <f t="shared" si="43"/>
        <v>26.520547427679155</v>
      </c>
      <c r="Z55" s="182">
        <f t="shared" si="38"/>
        <v>4.4200912379465258</v>
      </c>
    </row>
    <row r="56" spans="1:27" x14ac:dyDescent="0.25">
      <c r="A56" s="229">
        <f t="shared" si="15"/>
        <v>3046</v>
      </c>
      <c r="B56" s="230">
        <f t="shared" si="16"/>
        <v>46</v>
      </c>
      <c r="C56" s="229" t="str">
        <f t="shared" si="8"/>
        <v>24cX05_335-030_10</v>
      </c>
      <c r="D56" s="231">
        <f t="shared" si="45"/>
        <v>5</v>
      </c>
      <c r="E56" s="204">
        <f t="shared" si="39"/>
        <v>1.3090000000000002</v>
      </c>
      <c r="F56" s="198">
        <f t="shared" si="27"/>
        <v>26.180000000000003</v>
      </c>
      <c r="G56" s="198">
        <f t="shared" si="40"/>
        <v>20.944000000000003</v>
      </c>
      <c r="H56" s="198">
        <f t="shared" si="41"/>
        <v>13.090000000000002</v>
      </c>
      <c r="I56" s="198">
        <f t="shared" si="47"/>
        <v>8</v>
      </c>
      <c r="J56" s="233">
        <f t="shared" si="47"/>
        <v>-25</v>
      </c>
      <c r="K56" s="194" t="str">
        <f>D56&amp;-10</f>
        <v>5-10</v>
      </c>
      <c r="L56" s="198">
        <f t="shared" si="32"/>
        <v>0.2</v>
      </c>
      <c r="M56" s="49">
        <v>30</v>
      </c>
      <c r="N56" s="198">
        <f t="shared" si="48"/>
        <v>150</v>
      </c>
      <c r="O56" s="198">
        <f t="shared" si="48"/>
        <v>750</v>
      </c>
      <c r="P56" s="56"/>
      <c r="Q56" s="38">
        <f t="shared" si="46"/>
        <v>4</v>
      </c>
      <c r="R56" s="38">
        <f t="shared" si="46"/>
        <v>6</v>
      </c>
      <c r="S56" s="39">
        <f t="shared" si="42"/>
        <v>0.20020684760703333</v>
      </c>
      <c r="T56" s="39">
        <f t="shared" si="42"/>
        <v>0.39507743723572908</v>
      </c>
      <c r="U56" s="39">
        <f t="shared" si="12"/>
        <v>0.19487058962869575</v>
      </c>
      <c r="V56" s="39">
        <f t="shared" si="13"/>
        <v>0.22100456189732626</v>
      </c>
      <c r="W56" s="40">
        <f t="shared" si="30"/>
        <v>0.22100456189732628</v>
      </c>
      <c r="X56" s="40" t="s">
        <v>3710</v>
      </c>
      <c r="Y56" s="182">
        <f t="shared" si="43"/>
        <v>26.520547427679155</v>
      </c>
      <c r="Z56" s="182">
        <f t="shared" si="38"/>
        <v>4.4200912379465258</v>
      </c>
    </row>
    <row r="57" spans="1:27" x14ac:dyDescent="0.25">
      <c r="A57" s="229">
        <f t="shared" si="15"/>
        <v>3047</v>
      </c>
      <c r="B57" s="230">
        <f t="shared" si="16"/>
        <v>47</v>
      </c>
      <c r="C57" s="229" t="str">
        <f t="shared" si="8"/>
        <v>24cX05_335-060_11</v>
      </c>
      <c r="D57" s="231">
        <f t="shared" si="45"/>
        <v>5</v>
      </c>
      <c r="E57" s="204">
        <f t="shared" si="39"/>
        <v>1.3090000000000002</v>
      </c>
      <c r="F57" s="198">
        <f t="shared" si="27"/>
        <v>26.180000000000003</v>
      </c>
      <c r="G57" s="198">
        <f t="shared" si="40"/>
        <v>20.944000000000003</v>
      </c>
      <c r="H57" s="198">
        <f t="shared" si="41"/>
        <v>13.090000000000002</v>
      </c>
      <c r="I57" s="198">
        <f t="shared" si="47"/>
        <v>8</v>
      </c>
      <c r="J57" s="233">
        <f t="shared" si="47"/>
        <v>-25</v>
      </c>
      <c r="K57" s="194" t="str">
        <f>D57&amp;-11</f>
        <v>5-11</v>
      </c>
      <c r="L57" s="198">
        <f t="shared" si="32"/>
        <v>0.2</v>
      </c>
      <c r="M57" s="49">
        <v>60</v>
      </c>
      <c r="N57" s="198">
        <f t="shared" si="48"/>
        <v>150</v>
      </c>
      <c r="O57" s="198">
        <f t="shared" si="48"/>
        <v>750</v>
      </c>
      <c r="P57" s="56"/>
      <c r="Q57" s="38">
        <f t="shared" si="46"/>
        <v>4</v>
      </c>
      <c r="R57" s="38">
        <f t="shared" si="46"/>
        <v>6</v>
      </c>
      <c r="S57" s="39">
        <f t="shared" si="42"/>
        <v>0.20020684760703333</v>
      </c>
      <c r="T57" s="39">
        <f t="shared" si="42"/>
        <v>0.39507743723572908</v>
      </c>
      <c r="U57" s="39">
        <f t="shared" si="12"/>
        <v>0.19487058962869575</v>
      </c>
      <c r="V57" s="39">
        <f t="shared" si="13"/>
        <v>0.22100456189732626</v>
      </c>
      <c r="W57" s="40">
        <f t="shared" si="30"/>
        <v>0.22100456189732628</v>
      </c>
      <c r="X57" s="40" t="s">
        <v>3710</v>
      </c>
      <c r="Y57" s="182">
        <f t="shared" si="43"/>
        <v>26.520547427679155</v>
      </c>
      <c r="Z57" s="182">
        <f t="shared" si="38"/>
        <v>4.4200912379465258</v>
      </c>
    </row>
    <row r="58" spans="1:27" x14ac:dyDescent="0.25">
      <c r="A58" s="229">
        <f t="shared" si="15"/>
        <v>3048</v>
      </c>
      <c r="B58" s="230">
        <f t="shared" si="16"/>
        <v>48</v>
      </c>
      <c r="C58" s="229" t="str">
        <f t="shared" si="8"/>
        <v>24cX05_335-090_12</v>
      </c>
      <c r="D58" s="231">
        <f t="shared" si="45"/>
        <v>5</v>
      </c>
      <c r="E58" s="204">
        <f t="shared" si="39"/>
        <v>1.3090000000000002</v>
      </c>
      <c r="F58" s="198">
        <f t="shared" si="27"/>
        <v>26.180000000000003</v>
      </c>
      <c r="G58" s="198">
        <f t="shared" si="40"/>
        <v>20.944000000000003</v>
      </c>
      <c r="H58" s="198">
        <f t="shared" si="41"/>
        <v>13.090000000000002</v>
      </c>
      <c r="I58" s="198">
        <f t="shared" si="47"/>
        <v>8</v>
      </c>
      <c r="J58" s="233">
        <f t="shared" si="47"/>
        <v>-25</v>
      </c>
      <c r="K58" s="194" t="str">
        <f>D58&amp;-12</f>
        <v>5-12</v>
      </c>
      <c r="L58" s="198">
        <f t="shared" si="32"/>
        <v>0.2</v>
      </c>
      <c r="M58" s="49">
        <v>90</v>
      </c>
      <c r="N58" s="198">
        <f t="shared" si="48"/>
        <v>150</v>
      </c>
      <c r="O58" s="198">
        <f t="shared" si="48"/>
        <v>750</v>
      </c>
      <c r="P58" s="56"/>
      <c r="Q58" s="38">
        <f t="shared" si="46"/>
        <v>4</v>
      </c>
      <c r="R58" s="38">
        <f t="shared" si="46"/>
        <v>6</v>
      </c>
      <c r="S58" s="39">
        <f t="shared" si="42"/>
        <v>0.20020684760703333</v>
      </c>
      <c r="T58" s="39">
        <f t="shared" si="42"/>
        <v>0.39507743723572908</v>
      </c>
      <c r="U58" s="39">
        <f t="shared" si="12"/>
        <v>0.19487058962869575</v>
      </c>
      <c r="V58" s="39">
        <f t="shared" si="13"/>
        <v>0.22100456189732626</v>
      </c>
      <c r="W58" s="40">
        <f t="shared" si="30"/>
        <v>0.22100456189732628</v>
      </c>
      <c r="X58" s="40" t="s">
        <v>3710</v>
      </c>
      <c r="Y58" s="182">
        <f t="shared" si="43"/>
        <v>26.520547427679155</v>
      </c>
      <c r="Z58" s="182">
        <f t="shared" si="38"/>
        <v>4.4200912379465258</v>
      </c>
    </row>
    <row r="59" spans="1:27" x14ac:dyDescent="0.25">
      <c r="A59" s="229">
        <f t="shared" si="15"/>
        <v>3049</v>
      </c>
      <c r="B59" s="230">
        <f t="shared" si="16"/>
        <v>49</v>
      </c>
      <c r="C59" s="229" t="str">
        <f t="shared" si="8"/>
        <v>24cX07_025-000_01</v>
      </c>
      <c r="D59" s="231">
        <f t="shared" ref="D59" si="49">D58+2</f>
        <v>7</v>
      </c>
      <c r="E59" s="204">
        <f t="shared" ref="E59:E82" si="50">I_ref*(0.75*D59+5.6)</f>
        <v>1.5190000000000001</v>
      </c>
      <c r="F59" s="198">
        <f t="shared" ref="F59:F82" si="51">E59/D59*100</f>
        <v>21.700000000000003</v>
      </c>
      <c r="G59" s="198">
        <f t="shared" ref="G59:G82" si="52">m_ty*F59</f>
        <v>17.360000000000003</v>
      </c>
      <c r="H59" s="198">
        <f t="shared" ref="H59:H82" si="53">m_tz*F59</f>
        <v>10.850000000000001</v>
      </c>
      <c r="I59" s="198">
        <f>inflow</f>
        <v>8</v>
      </c>
      <c r="J59" s="233">
        <v>25</v>
      </c>
      <c r="K59" s="194" t="str">
        <f>D59&amp;-1</f>
        <v>7-1</v>
      </c>
      <c r="L59" s="198">
        <f>alpha_n</f>
        <v>0.2</v>
      </c>
      <c r="M59" s="49">
        <v>0</v>
      </c>
      <c r="N59" s="198">
        <f>t_out</f>
        <v>150</v>
      </c>
      <c r="O59" s="198">
        <f>N59+T_s1</f>
        <v>750</v>
      </c>
      <c r="P59" s="56"/>
      <c r="Q59" s="38">
        <f t="shared" ref="Q59" si="54">R58</f>
        <v>6</v>
      </c>
      <c r="R59" s="38">
        <f>Q59+v_step</f>
        <v>8</v>
      </c>
      <c r="S59" s="39">
        <f t="shared" ref="S59:T122" si="55">IF(wpd="Rayleigh",1-EXP(-PI()*((Q59/2/v_ave)^2)),IF(wpd="Weibull",1-EXP(-((Q59/weibull_A)^weibull_K))))</f>
        <v>0.39507743723572908</v>
      </c>
      <c r="T59" s="39">
        <f t="shared" si="55"/>
        <v>0.59082345962954208</v>
      </c>
      <c r="U59" s="39">
        <f t="shared" si="12"/>
        <v>0.195746022393813</v>
      </c>
      <c r="V59" s="39">
        <f t="shared" si="13"/>
        <v>0.22199739840022775</v>
      </c>
      <c r="W59" s="40">
        <f t="shared" ref="W59:W82" si="56">H_hy*V59/24</f>
        <v>0.22199739840022778</v>
      </c>
      <c r="X59" s="40" t="s">
        <v>3710</v>
      </c>
      <c r="Y59" s="182">
        <f t="shared" si="43"/>
        <v>26.639687808027336</v>
      </c>
      <c r="Z59" s="182">
        <f>W59*20</f>
        <v>4.4399479680045557</v>
      </c>
      <c r="AA59" s="176"/>
    </row>
    <row r="60" spans="1:27" x14ac:dyDescent="0.25">
      <c r="A60" s="229">
        <f t="shared" si="15"/>
        <v>3050</v>
      </c>
      <c r="B60" s="230">
        <f t="shared" si="16"/>
        <v>50</v>
      </c>
      <c r="C60" s="229" t="str">
        <f t="shared" si="8"/>
        <v>24cX07_025-030_02</v>
      </c>
      <c r="D60" s="231">
        <f t="shared" ref="D60:D123" si="57">D59</f>
        <v>7</v>
      </c>
      <c r="E60" s="204">
        <f t="shared" si="50"/>
        <v>1.5190000000000001</v>
      </c>
      <c r="F60" s="198">
        <f t="shared" si="51"/>
        <v>21.700000000000003</v>
      </c>
      <c r="G60" s="198">
        <f t="shared" si="52"/>
        <v>17.360000000000003</v>
      </c>
      <c r="H60" s="198">
        <f t="shared" si="53"/>
        <v>10.850000000000001</v>
      </c>
      <c r="I60" s="198">
        <f t="shared" ref="I60:J73" si="58">I59</f>
        <v>8</v>
      </c>
      <c r="J60" s="233">
        <f>J59</f>
        <v>25</v>
      </c>
      <c r="K60" s="194" t="str">
        <f>D60&amp;-2</f>
        <v>7-2</v>
      </c>
      <c r="L60" s="198">
        <f t="shared" ref="L60:L82" si="59">L59</f>
        <v>0.2</v>
      </c>
      <c r="M60" s="49">
        <v>30</v>
      </c>
      <c r="N60" s="198">
        <f t="shared" ref="N60:O75" si="60">N59</f>
        <v>150</v>
      </c>
      <c r="O60" s="198">
        <f t="shared" si="60"/>
        <v>750</v>
      </c>
      <c r="P60" s="56"/>
      <c r="Q60" s="38">
        <f t="shared" ref="Q60:R82" si="61">Q59</f>
        <v>6</v>
      </c>
      <c r="R60" s="38">
        <f t="shared" si="61"/>
        <v>8</v>
      </c>
      <c r="S60" s="39">
        <f t="shared" si="55"/>
        <v>0.39507743723572908</v>
      </c>
      <c r="T60" s="39">
        <f t="shared" si="55"/>
        <v>0.59082345962954208</v>
      </c>
      <c r="U60" s="39">
        <f t="shared" si="12"/>
        <v>0.195746022393813</v>
      </c>
      <c r="V60" s="39">
        <f t="shared" si="13"/>
        <v>0.22199739840022775</v>
      </c>
      <c r="W60" s="40">
        <f t="shared" si="56"/>
        <v>0.22199739840022778</v>
      </c>
      <c r="X60" s="40" t="s">
        <v>3710</v>
      </c>
      <c r="Y60" s="182">
        <f t="shared" si="43"/>
        <v>26.639687808027336</v>
      </c>
      <c r="Z60" s="182">
        <f t="shared" ref="Z60:Z64" si="62">W60*20</f>
        <v>4.4399479680045557</v>
      </c>
      <c r="AA60" s="176"/>
    </row>
    <row r="61" spans="1:27" x14ac:dyDescent="0.25">
      <c r="A61" s="229">
        <f t="shared" si="15"/>
        <v>3051</v>
      </c>
      <c r="B61" s="230">
        <f t="shared" si="16"/>
        <v>51</v>
      </c>
      <c r="C61" s="229" t="str">
        <f t="shared" si="8"/>
        <v>24cX07_025-060_03</v>
      </c>
      <c r="D61" s="231">
        <f t="shared" si="57"/>
        <v>7</v>
      </c>
      <c r="E61" s="204">
        <f t="shared" si="50"/>
        <v>1.5190000000000001</v>
      </c>
      <c r="F61" s="198">
        <f t="shared" si="51"/>
        <v>21.700000000000003</v>
      </c>
      <c r="G61" s="198">
        <f t="shared" si="52"/>
        <v>17.360000000000003</v>
      </c>
      <c r="H61" s="198">
        <f t="shared" si="53"/>
        <v>10.850000000000001</v>
      </c>
      <c r="I61" s="198">
        <f t="shared" si="58"/>
        <v>8</v>
      </c>
      <c r="J61" s="233">
        <f t="shared" si="58"/>
        <v>25</v>
      </c>
      <c r="K61" s="194" t="str">
        <f>D61&amp;-3</f>
        <v>7-3</v>
      </c>
      <c r="L61" s="198">
        <f t="shared" si="59"/>
        <v>0.2</v>
      </c>
      <c r="M61" s="49">
        <v>60</v>
      </c>
      <c r="N61" s="198">
        <f t="shared" si="60"/>
        <v>150</v>
      </c>
      <c r="O61" s="198">
        <f t="shared" si="60"/>
        <v>750</v>
      </c>
      <c r="P61" s="56"/>
      <c r="Q61" s="38">
        <f t="shared" si="61"/>
        <v>6</v>
      </c>
      <c r="R61" s="38">
        <f t="shared" si="61"/>
        <v>8</v>
      </c>
      <c r="S61" s="39">
        <f t="shared" si="55"/>
        <v>0.39507743723572908</v>
      </c>
      <c r="T61" s="39">
        <f t="shared" si="55"/>
        <v>0.59082345962954208</v>
      </c>
      <c r="U61" s="39">
        <f t="shared" si="12"/>
        <v>0.195746022393813</v>
      </c>
      <c r="V61" s="39">
        <f t="shared" si="13"/>
        <v>0.22199739840022775</v>
      </c>
      <c r="W61" s="40">
        <f t="shared" si="56"/>
        <v>0.22199739840022778</v>
      </c>
      <c r="X61" s="40" t="s">
        <v>3710</v>
      </c>
      <c r="Y61" s="182">
        <f t="shared" si="43"/>
        <v>26.639687808027336</v>
      </c>
      <c r="Z61" s="182">
        <f t="shared" si="62"/>
        <v>4.4399479680045557</v>
      </c>
    </row>
    <row r="62" spans="1:27" x14ac:dyDescent="0.25">
      <c r="A62" s="229">
        <f t="shared" si="15"/>
        <v>3052</v>
      </c>
      <c r="B62" s="230">
        <f t="shared" si="16"/>
        <v>52</v>
      </c>
      <c r="C62" s="229" t="str">
        <f t="shared" si="8"/>
        <v>24cX07_025-090_04</v>
      </c>
      <c r="D62" s="231">
        <f t="shared" si="57"/>
        <v>7</v>
      </c>
      <c r="E62" s="204">
        <f t="shared" si="50"/>
        <v>1.5190000000000001</v>
      </c>
      <c r="F62" s="198">
        <f t="shared" si="51"/>
        <v>21.700000000000003</v>
      </c>
      <c r="G62" s="198">
        <f t="shared" si="52"/>
        <v>17.360000000000003</v>
      </c>
      <c r="H62" s="198">
        <f t="shared" si="53"/>
        <v>10.850000000000001</v>
      </c>
      <c r="I62" s="198">
        <f t="shared" si="58"/>
        <v>8</v>
      </c>
      <c r="J62" s="233">
        <f t="shared" si="58"/>
        <v>25</v>
      </c>
      <c r="K62" s="194" t="str">
        <f>D62&amp;-4</f>
        <v>7-4</v>
      </c>
      <c r="L62" s="198">
        <f t="shared" si="59"/>
        <v>0.2</v>
      </c>
      <c r="M62" s="49">
        <v>90</v>
      </c>
      <c r="N62" s="198">
        <f t="shared" si="60"/>
        <v>150</v>
      </c>
      <c r="O62" s="198">
        <f t="shared" si="60"/>
        <v>750</v>
      </c>
      <c r="P62" s="56"/>
      <c r="Q62" s="38">
        <f t="shared" si="61"/>
        <v>6</v>
      </c>
      <c r="R62" s="38">
        <f t="shared" si="61"/>
        <v>8</v>
      </c>
      <c r="S62" s="39">
        <f t="shared" si="55"/>
        <v>0.39507743723572908</v>
      </c>
      <c r="T62" s="39">
        <f t="shared" si="55"/>
        <v>0.59082345962954208</v>
      </c>
      <c r="U62" s="39">
        <f t="shared" si="12"/>
        <v>0.195746022393813</v>
      </c>
      <c r="V62" s="39">
        <f t="shared" si="13"/>
        <v>0.22199739840022775</v>
      </c>
      <c r="W62" s="40">
        <f t="shared" si="56"/>
        <v>0.22199739840022778</v>
      </c>
      <c r="X62" s="40" t="s">
        <v>3710</v>
      </c>
      <c r="Y62" s="182">
        <f t="shared" si="43"/>
        <v>26.639687808027336</v>
      </c>
      <c r="Z62" s="182">
        <f t="shared" si="62"/>
        <v>4.4399479680045557</v>
      </c>
    </row>
    <row r="63" spans="1:27" x14ac:dyDescent="0.25">
      <c r="A63" s="229">
        <f t="shared" si="15"/>
        <v>3053</v>
      </c>
      <c r="B63" s="230">
        <f t="shared" si="16"/>
        <v>53</v>
      </c>
      <c r="C63" s="229" t="str">
        <f t="shared" si="8"/>
        <v>24cX07_025-000_05</v>
      </c>
      <c r="D63" s="231">
        <f t="shared" si="57"/>
        <v>7</v>
      </c>
      <c r="E63" s="204">
        <f t="shared" si="50"/>
        <v>1.5190000000000001</v>
      </c>
      <c r="F63" s="198">
        <f t="shared" si="51"/>
        <v>21.700000000000003</v>
      </c>
      <c r="G63" s="198">
        <f t="shared" si="52"/>
        <v>17.360000000000003</v>
      </c>
      <c r="H63" s="198">
        <f t="shared" si="53"/>
        <v>10.850000000000001</v>
      </c>
      <c r="I63" s="198">
        <f t="shared" si="58"/>
        <v>8</v>
      </c>
      <c r="J63" s="233">
        <f t="shared" si="58"/>
        <v>25</v>
      </c>
      <c r="K63" s="194" t="str">
        <f>D63&amp;-5</f>
        <v>7-5</v>
      </c>
      <c r="L63" s="198">
        <f t="shared" si="59"/>
        <v>0.2</v>
      </c>
      <c r="M63" s="49">
        <v>0</v>
      </c>
      <c r="N63" s="198">
        <f t="shared" si="60"/>
        <v>150</v>
      </c>
      <c r="O63" s="198">
        <f t="shared" si="60"/>
        <v>750</v>
      </c>
      <c r="P63" s="56"/>
      <c r="Q63" s="38">
        <f t="shared" si="61"/>
        <v>6</v>
      </c>
      <c r="R63" s="38">
        <f t="shared" si="61"/>
        <v>8</v>
      </c>
      <c r="S63" s="39">
        <f t="shared" si="55"/>
        <v>0.39507743723572908</v>
      </c>
      <c r="T63" s="39">
        <f t="shared" si="55"/>
        <v>0.59082345962954208</v>
      </c>
      <c r="U63" s="39">
        <f t="shared" si="12"/>
        <v>0.195746022393813</v>
      </c>
      <c r="V63" s="39">
        <f t="shared" si="13"/>
        <v>0.22199739840022775</v>
      </c>
      <c r="W63" s="40">
        <f t="shared" si="56"/>
        <v>0.22199739840022778</v>
      </c>
      <c r="X63" s="40" t="s">
        <v>3710</v>
      </c>
      <c r="Y63" s="182">
        <f t="shared" si="43"/>
        <v>26.639687808027336</v>
      </c>
      <c r="Z63" s="182">
        <f t="shared" si="62"/>
        <v>4.4399479680045557</v>
      </c>
    </row>
    <row r="64" spans="1:27" x14ac:dyDescent="0.25">
      <c r="A64" s="229">
        <f t="shared" si="15"/>
        <v>3054</v>
      </c>
      <c r="B64" s="230">
        <f t="shared" si="16"/>
        <v>54</v>
      </c>
      <c r="C64" s="229" t="str">
        <f t="shared" si="8"/>
        <v>24cX07_025-030_06</v>
      </c>
      <c r="D64" s="231">
        <f t="shared" si="57"/>
        <v>7</v>
      </c>
      <c r="E64" s="204">
        <f t="shared" si="50"/>
        <v>1.5190000000000001</v>
      </c>
      <c r="F64" s="198">
        <f t="shared" si="51"/>
        <v>21.700000000000003</v>
      </c>
      <c r="G64" s="198">
        <f t="shared" si="52"/>
        <v>17.360000000000003</v>
      </c>
      <c r="H64" s="198">
        <f t="shared" si="53"/>
        <v>10.850000000000001</v>
      </c>
      <c r="I64" s="198">
        <f t="shared" si="58"/>
        <v>8</v>
      </c>
      <c r="J64" s="233">
        <f t="shared" si="58"/>
        <v>25</v>
      </c>
      <c r="K64" s="194" t="str">
        <f>D64&amp;-6</f>
        <v>7-6</v>
      </c>
      <c r="L64" s="198">
        <f t="shared" si="59"/>
        <v>0.2</v>
      </c>
      <c r="M64" s="49">
        <v>30</v>
      </c>
      <c r="N64" s="198">
        <f t="shared" si="60"/>
        <v>150</v>
      </c>
      <c r="O64" s="198">
        <f t="shared" si="60"/>
        <v>750</v>
      </c>
      <c r="P64" s="56"/>
      <c r="Q64" s="38">
        <f t="shared" si="61"/>
        <v>6</v>
      </c>
      <c r="R64" s="38">
        <f t="shared" si="61"/>
        <v>8</v>
      </c>
      <c r="S64" s="39">
        <f t="shared" si="55"/>
        <v>0.39507743723572908</v>
      </c>
      <c r="T64" s="39">
        <f t="shared" si="55"/>
        <v>0.59082345962954208</v>
      </c>
      <c r="U64" s="39">
        <f t="shared" si="12"/>
        <v>0.195746022393813</v>
      </c>
      <c r="V64" s="39">
        <f t="shared" si="13"/>
        <v>0.22199739840022775</v>
      </c>
      <c r="W64" s="40">
        <f t="shared" si="56"/>
        <v>0.22199739840022778</v>
      </c>
      <c r="X64" s="40" t="s">
        <v>3710</v>
      </c>
      <c r="Y64" s="182">
        <f t="shared" si="43"/>
        <v>26.639687808027336</v>
      </c>
      <c r="Z64" s="182">
        <f t="shared" si="62"/>
        <v>4.4399479680045557</v>
      </c>
    </row>
    <row r="65" spans="1:27" x14ac:dyDescent="0.25">
      <c r="A65" s="229">
        <f t="shared" si="15"/>
        <v>3055</v>
      </c>
      <c r="B65" s="230">
        <f t="shared" si="16"/>
        <v>55</v>
      </c>
      <c r="C65" s="229" t="str">
        <f t="shared" si="8"/>
        <v>24cX07_025-060_07</v>
      </c>
      <c r="D65" s="231">
        <f t="shared" si="57"/>
        <v>7</v>
      </c>
      <c r="E65" s="204">
        <f t="shared" si="50"/>
        <v>1.5190000000000001</v>
      </c>
      <c r="F65" s="198">
        <f t="shared" si="51"/>
        <v>21.700000000000003</v>
      </c>
      <c r="G65" s="198">
        <f t="shared" si="52"/>
        <v>17.360000000000003</v>
      </c>
      <c r="H65" s="198">
        <f t="shared" si="53"/>
        <v>10.850000000000001</v>
      </c>
      <c r="I65" s="198">
        <f t="shared" si="58"/>
        <v>8</v>
      </c>
      <c r="J65" s="233">
        <f t="shared" si="58"/>
        <v>25</v>
      </c>
      <c r="K65" s="194" t="str">
        <f>D65&amp;-7</f>
        <v>7-7</v>
      </c>
      <c r="L65" s="198">
        <f t="shared" si="59"/>
        <v>0.2</v>
      </c>
      <c r="M65" s="49">
        <v>60</v>
      </c>
      <c r="N65" s="198">
        <f t="shared" si="60"/>
        <v>150</v>
      </c>
      <c r="O65" s="198">
        <f t="shared" si="60"/>
        <v>750</v>
      </c>
      <c r="P65" s="56"/>
      <c r="Q65" s="38">
        <f t="shared" si="61"/>
        <v>6</v>
      </c>
      <c r="R65" s="38">
        <f t="shared" si="61"/>
        <v>8</v>
      </c>
      <c r="S65" s="39">
        <f t="shared" si="55"/>
        <v>0.39507743723572908</v>
      </c>
      <c r="T65" s="39">
        <f t="shared" si="55"/>
        <v>0.59082345962954208</v>
      </c>
      <c r="U65" s="39">
        <f t="shared" si="12"/>
        <v>0.195746022393813</v>
      </c>
      <c r="V65" s="39">
        <f t="shared" si="13"/>
        <v>0.22199739840022775</v>
      </c>
      <c r="W65" s="40">
        <f t="shared" si="56"/>
        <v>0.22199739840022778</v>
      </c>
      <c r="X65" s="40" t="s">
        <v>3710</v>
      </c>
      <c r="Y65" s="182">
        <f t="shared" si="43"/>
        <v>26.639687808027336</v>
      </c>
      <c r="Z65" s="182">
        <f>W65*20</f>
        <v>4.4399479680045557</v>
      </c>
      <c r="AA65" s="176"/>
    </row>
    <row r="66" spans="1:27" x14ac:dyDescent="0.25">
      <c r="A66" s="229">
        <f t="shared" si="15"/>
        <v>3056</v>
      </c>
      <c r="B66" s="230">
        <f t="shared" si="16"/>
        <v>56</v>
      </c>
      <c r="C66" s="229" t="str">
        <f t="shared" si="8"/>
        <v>24cX07_025-090_08</v>
      </c>
      <c r="D66" s="231">
        <f t="shared" si="57"/>
        <v>7</v>
      </c>
      <c r="E66" s="204">
        <f t="shared" si="50"/>
        <v>1.5190000000000001</v>
      </c>
      <c r="F66" s="198">
        <f t="shared" si="51"/>
        <v>21.700000000000003</v>
      </c>
      <c r="G66" s="198">
        <f t="shared" si="52"/>
        <v>17.360000000000003</v>
      </c>
      <c r="H66" s="198">
        <f t="shared" si="53"/>
        <v>10.850000000000001</v>
      </c>
      <c r="I66" s="198">
        <f t="shared" si="58"/>
        <v>8</v>
      </c>
      <c r="J66" s="233">
        <f t="shared" si="58"/>
        <v>25</v>
      </c>
      <c r="K66" s="194" t="str">
        <f>D66&amp;-8</f>
        <v>7-8</v>
      </c>
      <c r="L66" s="198">
        <f t="shared" si="59"/>
        <v>0.2</v>
      </c>
      <c r="M66" s="49">
        <v>90</v>
      </c>
      <c r="N66" s="198">
        <f t="shared" si="60"/>
        <v>150</v>
      </c>
      <c r="O66" s="198">
        <f t="shared" si="60"/>
        <v>750</v>
      </c>
      <c r="P66" s="56"/>
      <c r="Q66" s="38">
        <f t="shared" si="61"/>
        <v>6</v>
      </c>
      <c r="R66" s="38">
        <f t="shared" si="61"/>
        <v>8</v>
      </c>
      <c r="S66" s="39">
        <f t="shared" si="55"/>
        <v>0.39507743723572908</v>
      </c>
      <c r="T66" s="39">
        <f t="shared" si="55"/>
        <v>0.59082345962954208</v>
      </c>
      <c r="U66" s="39">
        <f t="shared" si="12"/>
        <v>0.195746022393813</v>
      </c>
      <c r="V66" s="39">
        <f t="shared" si="13"/>
        <v>0.22199739840022775</v>
      </c>
      <c r="W66" s="40">
        <f t="shared" si="56"/>
        <v>0.22199739840022778</v>
      </c>
      <c r="X66" s="40" t="s">
        <v>3710</v>
      </c>
      <c r="Y66" s="182">
        <f t="shared" si="43"/>
        <v>26.639687808027336</v>
      </c>
      <c r="Z66" s="182">
        <f t="shared" ref="Z66:Z82" si="63">W66*20</f>
        <v>4.4399479680045557</v>
      </c>
      <c r="AA66" s="176"/>
    </row>
    <row r="67" spans="1:27" x14ac:dyDescent="0.25">
      <c r="A67" s="229">
        <f t="shared" si="15"/>
        <v>3057</v>
      </c>
      <c r="B67" s="230">
        <f t="shared" si="16"/>
        <v>57</v>
      </c>
      <c r="C67" s="229" t="str">
        <f t="shared" si="8"/>
        <v>24cX07_025-000_09</v>
      </c>
      <c r="D67" s="231">
        <f t="shared" si="57"/>
        <v>7</v>
      </c>
      <c r="E67" s="204">
        <f t="shared" si="50"/>
        <v>1.5190000000000001</v>
      </c>
      <c r="F67" s="198">
        <f t="shared" si="51"/>
        <v>21.700000000000003</v>
      </c>
      <c r="G67" s="198">
        <f t="shared" si="52"/>
        <v>17.360000000000003</v>
      </c>
      <c r="H67" s="198">
        <f t="shared" si="53"/>
        <v>10.850000000000001</v>
      </c>
      <c r="I67" s="198">
        <f t="shared" si="58"/>
        <v>8</v>
      </c>
      <c r="J67" s="233">
        <f t="shared" si="58"/>
        <v>25</v>
      </c>
      <c r="K67" s="194" t="str">
        <f>D67&amp;-9</f>
        <v>7-9</v>
      </c>
      <c r="L67" s="198">
        <f t="shared" si="59"/>
        <v>0.2</v>
      </c>
      <c r="M67" s="49">
        <v>0</v>
      </c>
      <c r="N67" s="198">
        <f t="shared" si="60"/>
        <v>150</v>
      </c>
      <c r="O67" s="198">
        <f t="shared" si="60"/>
        <v>750</v>
      </c>
      <c r="P67" s="56"/>
      <c r="Q67" s="38">
        <f t="shared" si="61"/>
        <v>6</v>
      </c>
      <c r="R67" s="38">
        <f t="shared" si="61"/>
        <v>8</v>
      </c>
      <c r="S67" s="39">
        <f t="shared" si="55"/>
        <v>0.39507743723572908</v>
      </c>
      <c r="T67" s="39">
        <f t="shared" si="55"/>
        <v>0.59082345962954208</v>
      </c>
      <c r="U67" s="39">
        <f t="shared" si="12"/>
        <v>0.195746022393813</v>
      </c>
      <c r="V67" s="39">
        <f t="shared" si="13"/>
        <v>0.22199739840022775</v>
      </c>
      <c r="W67" s="40">
        <f t="shared" si="56"/>
        <v>0.22199739840022778</v>
      </c>
      <c r="X67" s="40" t="s">
        <v>3710</v>
      </c>
      <c r="Y67" s="182">
        <f t="shared" si="43"/>
        <v>26.639687808027336</v>
      </c>
      <c r="Z67" s="182">
        <f t="shared" si="63"/>
        <v>4.4399479680045557</v>
      </c>
    </row>
    <row r="68" spans="1:27" x14ac:dyDescent="0.25">
      <c r="A68" s="229">
        <f t="shared" si="15"/>
        <v>3058</v>
      </c>
      <c r="B68" s="230">
        <f t="shared" si="16"/>
        <v>58</v>
      </c>
      <c r="C68" s="229" t="str">
        <f t="shared" si="8"/>
        <v>24cX07_025-030_10</v>
      </c>
      <c r="D68" s="231">
        <f t="shared" si="57"/>
        <v>7</v>
      </c>
      <c r="E68" s="204">
        <f t="shared" si="50"/>
        <v>1.5190000000000001</v>
      </c>
      <c r="F68" s="198">
        <f t="shared" si="51"/>
        <v>21.700000000000003</v>
      </c>
      <c r="G68" s="198">
        <f t="shared" si="52"/>
        <v>17.360000000000003</v>
      </c>
      <c r="H68" s="198">
        <f t="shared" si="53"/>
        <v>10.850000000000001</v>
      </c>
      <c r="I68" s="198">
        <f t="shared" si="58"/>
        <v>8</v>
      </c>
      <c r="J68" s="233">
        <f t="shared" si="58"/>
        <v>25</v>
      </c>
      <c r="K68" s="194" t="str">
        <f>D68&amp;-10</f>
        <v>7-10</v>
      </c>
      <c r="L68" s="198">
        <f t="shared" si="59"/>
        <v>0.2</v>
      </c>
      <c r="M68" s="49">
        <v>30</v>
      </c>
      <c r="N68" s="198">
        <f t="shared" si="60"/>
        <v>150</v>
      </c>
      <c r="O68" s="198">
        <f t="shared" si="60"/>
        <v>750</v>
      </c>
      <c r="P68" s="56"/>
      <c r="Q68" s="38">
        <f t="shared" si="61"/>
        <v>6</v>
      </c>
      <c r="R68" s="38">
        <f t="shared" si="61"/>
        <v>8</v>
      </c>
      <c r="S68" s="39">
        <f t="shared" si="55"/>
        <v>0.39507743723572908</v>
      </c>
      <c r="T68" s="39">
        <f t="shared" si="55"/>
        <v>0.59082345962954208</v>
      </c>
      <c r="U68" s="39">
        <f t="shared" si="12"/>
        <v>0.195746022393813</v>
      </c>
      <c r="V68" s="39">
        <f t="shared" si="13"/>
        <v>0.22199739840022775</v>
      </c>
      <c r="W68" s="40">
        <f t="shared" si="56"/>
        <v>0.22199739840022778</v>
      </c>
      <c r="X68" s="40" t="s">
        <v>3710</v>
      </c>
      <c r="Y68" s="182">
        <f t="shared" si="43"/>
        <v>26.639687808027336</v>
      </c>
      <c r="Z68" s="182">
        <f t="shared" si="63"/>
        <v>4.4399479680045557</v>
      </c>
    </row>
    <row r="69" spans="1:27" x14ac:dyDescent="0.25">
      <c r="A69" s="229">
        <f t="shared" si="15"/>
        <v>3059</v>
      </c>
      <c r="B69" s="230">
        <f t="shared" si="16"/>
        <v>59</v>
      </c>
      <c r="C69" s="229" t="str">
        <f t="shared" si="8"/>
        <v>24cX07_025-060_11</v>
      </c>
      <c r="D69" s="231">
        <f t="shared" si="57"/>
        <v>7</v>
      </c>
      <c r="E69" s="204">
        <f t="shared" si="50"/>
        <v>1.5190000000000001</v>
      </c>
      <c r="F69" s="198">
        <f t="shared" si="51"/>
        <v>21.700000000000003</v>
      </c>
      <c r="G69" s="198">
        <f t="shared" si="52"/>
        <v>17.360000000000003</v>
      </c>
      <c r="H69" s="198">
        <f t="shared" si="53"/>
        <v>10.850000000000001</v>
      </c>
      <c r="I69" s="198">
        <f t="shared" si="58"/>
        <v>8</v>
      </c>
      <c r="J69" s="233">
        <f t="shared" si="58"/>
        <v>25</v>
      </c>
      <c r="K69" s="194" t="str">
        <f>D69&amp;-11</f>
        <v>7-11</v>
      </c>
      <c r="L69" s="198">
        <f t="shared" si="59"/>
        <v>0.2</v>
      </c>
      <c r="M69" s="49">
        <v>60</v>
      </c>
      <c r="N69" s="198">
        <f t="shared" si="60"/>
        <v>150</v>
      </c>
      <c r="O69" s="198">
        <f t="shared" si="60"/>
        <v>750</v>
      </c>
      <c r="P69" s="56"/>
      <c r="Q69" s="38">
        <f t="shared" si="61"/>
        <v>6</v>
      </c>
      <c r="R69" s="38">
        <f t="shared" si="61"/>
        <v>8</v>
      </c>
      <c r="S69" s="39">
        <f t="shared" si="55"/>
        <v>0.39507743723572908</v>
      </c>
      <c r="T69" s="39">
        <f t="shared" si="55"/>
        <v>0.59082345962954208</v>
      </c>
      <c r="U69" s="39">
        <f t="shared" si="12"/>
        <v>0.195746022393813</v>
      </c>
      <c r="V69" s="39">
        <f t="shared" si="13"/>
        <v>0.22199739840022775</v>
      </c>
      <c r="W69" s="40">
        <f t="shared" si="56"/>
        <v>0.22199739840022778</v>
      </c>
      <c r="X69" s="40" t="s">
        <v>3710</v>
      </c>
      <c r="Y69" s="182">
        <f t="shared" si="43"/>
        <v>26.639687808027336</v>
      </c>
      <c r="Z69" s="182">
        <f t="shared" si="63"/>
        <v>4.4399479680045557</v>
      </c>
    </row>
    <row r="70" spans="1:27" x14ac:dyDescent="0.25">
      <c r="A70" s="229">
        <f t="shared" si="15"/>
        <v>3060</v>
      </c>
      <c r="B70" s="230">
        <f t="shared" si="16"/>
        <v>60</v>
      </c>
      <c r="C70" s="229" t="str">
        <f t="shared" si="8"/>
        <v>24cX07_025-090_12</v>
      </c>
      <c r="D70" s="231">
        <f t="shared" si="57"/>
        <v>7</v>
      </c>
      <c r="E70" s="204">
        <f t="shared" si="50"/>
        <v>1.5190000000000001</v>
      </c>
      <c r="F70" s="198">
        <f t="shared" si="51"/>
        <v>21.700000000000003</v>
      </c>
      <c r="G70" s="198">
        <f t="shared" si="52"/>
        <v>17.360000000000003</v>
      </c>
      <c r="H70" s="198">
        <f t="shared" si="53"/>
        <v>10.850000000000001</v>
      </c>
      <c r="I70" s="198">
        <f t="shared" si="58"/>
        <v>8</v>
      </c>
      <c r="J70" s="233">
        <f t="shared" si="58"/>
        <v>25</v>
      </c>
      <c r="K70" s="194" t="str">
        <f>D70&amp;-12</f>
        <v>7-12</v>
      </c>
      <c r="L70" s="198">
        <f t="shared" si="59"/>
        <v>0.2</v>
      </c>
      <c r="M70" s="49">
        <v>90</v>
      </c>
      <c r="N70" s="198">
        <f t="shared" si="60"/>
        <v>150</v>
      </c>
      <c r="O70" s="198">
        <f t="shared" si="60"/>
        <v>750</v>
      </c>
      <c r="P70" s="56"/>
      <c r="Q70" s="38">
        <f t="shared" si="61"/>
        <v>6</v>
      </c>
      <c r="R70" s="38">
        <f t="shared" si="61"/>
        <v>8</v>
      </c>
      <c r="S70" s="39">
        <f t="shared" si="55"/>
        <v>0.39507743723572908</v>
      </c>
      <c r="T70" s="39">
        <f t="shared" si="55"/>
        <v>0.59082345962954208</v>
      </c>
      <c r="U70" s="39">
        <f t="shared" si="12"/>
        <v>0.195746022393813</v>
      </c>
      <c r="V70" s="39">
        <f t="shared" si="13"/>
        <v>0.22199739840022775</v>
      </c>
      <c r="W70" s="40">
        <f t="shared" si="56"/>
        <v>0.22199739840022778</v>
      </c>
      <c r="X70" s="40" t="s">
        <v>3710</v>
      </c>
      <c r="Y70" s="182">
        <f t="shared" si="43"/>
        <v>26.639687808027336</v>
      </c>
      <c r="Z70" s="182">
        <f t="shared" si="63"/>
        <v>4.4399479680045557</v>
      </c>
    </row>
    <row r="71" spans="1:27" x14ac:dyDescent="0.25">
      <c r="A71" s="229">
        <f t="shared" si="15"/>
        <v>3061</v>
      </c>
      <c r="B71" s="230">
        <f t="shared" si="16"/>
        <v>61</v>
      </c>
      <c r="C71" s="229" t="str">
        <f t="shared" si="8"/>
        <v>24cX07_335-000_01</v>
      </c>
      <c r="D71" s="231">
        <f>D70</f>
        <v>7</v>
      </c>
      <c r="E71" s="204">
        <f t="shared" si="50"/>
        <v>1.5190000000000001</v>
      </c>
      <c r="F71" s="198">
        <f t="shared" si="51"/>
        <v>21.700000000000003</v>
      </c>
      <c r="G71" s="198">
        <f t="shared" si="52"/>
        <v>17.360000000000003</v>
      </c>
      <c r="H71" s="198">
        <f t="shared" si="53"/>
        <v>10.850000000000001</v>
      </c>
      <c r="I71" s="198">
        <f t="shared" si="58"/>
        <v>8</v>
      </c>
      <c r="J71" s="233">
        <f>-J59</f>
        <v>-25</v>
      </c>
      <c r="K71" s="194" t="str">
        <f>D71&amp;-1</f>
        <v>7-1</v>
      </c>
      <c r="L71" s="198">
        <f t="shared" si="59"/>
        <v>0.2</v>
      </c>
      <c r="M71" s="49">
        <v>0</v>
      </c>
      <c r="N71" s="198">
        <f t="shared" si="60"/>
        <v>150</v>
      </c>
      <c r="O71" s="198">
        <f t="shared" si="60"/>
        <v>750</v>
      </c>
      <c r="P71" s="56"/>
      <c r="Q71" s="38">
        <f>Q70</f>
        <v>6</v>
      </c>
      <c r="R71" s="38">
        <f>Q71+v_step</f>
        <v>8</v>
      </c>
      <c r="S71" s="39">
        <f t="shared" si="55"/>
        <v>0.39507743723572908</v>
      </c>
      <c r="T71" s="39">
        <f t="shared" si="55"/>
        <v>0.59082345962954208</v>
      </c>
      <c r="U71" s="39">
        <f t="shared" si="12"/>
        <v>0.195746022393813</v>
      </c>
      <c r="V71" s="39">
        <f t="shared" si="13"/>
        <v>0.22199739840022775</v>
      </c>
      <c r="W71" s="40">
        <f t="shared" si="56"/>
        <v>0.22199739840022778</v>
      </c>
      <c r="X71" s="40" t="s">
        <v>3710</v>
      </c>
      <c r="Y71" s="182">
        <f t="shared" si="43"/>
        <v>26.639687808027336</v>
      </c>
      <c r="Z71" s="182">
        <f t="shared" si="63"/>
        <v>4.4399479680045557</v>
      </c>
    </row>
    <row r="72" spans="1:27" x14ac:dyDescent="0.25">
      <c r="A72" s="229">
        <f t="shared" si="15"/>
        <v>3062</v>
      </c>
      <c r="B72" s="230">
        <f t="shared" si="16"/>
        <v>62</v>
      </c>
      <c r="C72" s="229" t="str">
        <f t="shared" si="8"/>
        <v>24cX07_335-030_02</v>
      </c>
      <c r="D72" s="231">
        <f t="shared" ref="D72" si="64">D71</f>
        <v>7</v>
      </c>
      <c r="E72" s="204">
        <f t="shared" si="50"/>
        <v>1.5190000000000001</v>
      </c>
      <c r="F72" s="198">
        <f t="shared" si="51"/>
        <v>21.700000000000003</v>
      </c>
      <c r="G72" s="198">
        <f t="shared" si="52"/>
        <v>17.360000000000003</v>
      </c>
      <c r="H72" s="198">
        <f t="shared" si="53"/>
        <v>10.850000000000001</v>
      </c>
      <c r="I72" s="198">
        <f t="shared" si="58"/>
        <v>8</v>
      </c>
      <c r="J72" s="233">
        <f>J71</f>
        <v>-25</v>
      </c>
      <c r="K72" s="194" t="str">
        <f>D72&amp;-2</f>
        <v>7-2</v>
      </c>
      <c r="L72" s="198">
        <f t="shared" si="59"/>
        <v>0.2</v>
      </c>
      <c r="M72" s="49">
        <v>30</v>
      </c>
      <c r="N72" s="198">
        <f t="shared" si="60"/>
        <v>150</v>
      </c>
      <c r="O72" s="198">
        <f t="shared" si="60"/>
        <v>750</v>
      </c>
      <c r="P72" s="56"/>
      <c r="Q72" s="38">
        <f t="shared" ref="Q72:R72" si="65">Q71</f>
        <v>6</v>
      </c>
      <c r="R72" s="38">
        <f t="shared" si="65"/>
        <v>8</v>
      </c>
      <c r="S72" s="39">
        <f t="shared" si="55"/>
        <v>0.39507743723572908</v>
      </c>
      <c r="T72" s="39">
        <f t="shared" si="55"/>
        <v>0.59082345962954208</v>
      </c>
      <c r="U72" s="39">
        <f t="shared" si="12"/>
        <v>0.195746022393813</v>
      </c>
      <c r="V72" s="39">
        <f t="shared" si="13"/>
        <v>0.22199739840022775</v>
      </c>
      <c r="W72" s="40">
        <f t="shared" si="56"/>
        <v>0.22199739840022778</v>
      </c>
      <c r="X72" s="40" t="s">
        <v>3710</v>
      </c>
      <c r="Y72" s="182">
        <f t="shared" si="43"/>
        <v>26.639687808027336</v>
      </c>
      <c r="Z72" s="182">
        <f t="shared" si="63"/>
        <v>4.4399479680045557</v>
      </c>
    </row>
    <row r="73" spans="1:27" x14ac:dyDescent="0.25">
      <c r="A73" s="229">
        <f t="shared" si="15"/>
        <v>3063</v>
      </c>
      <c r="B73" s="230">
        <f t="shared" si="16"/>
        <v>63</v>
      </c>
      <c r="C73" s="229" t="str">
        <f t="shared" si="8"/>
        <v>24cX07_335-060_03</v>
      </c>
      <c r="D73" s="231">
        <f t="shared" si="57"/>
        <v>7</v>
      </c>
      <c r="E73" s="204">
        <f t="shared" si="50"/>
        <v>1.5190000000000001</v>
      </c>
      <c r="F73" s="198">
        <f t="shared" si="51"/>
        <v>21.700000000000003</v>
      </c>
      <c r="G73" s="198">
        <f t="shared" si="52"/>
        <v>17.360000000000003</v>
      </c>
      <c r="H73" s="198">
        <f t="shared" si="53"/>
        <v>10.850000000000001</v>
      </c>
      <c r="I73" s="198">
        <f t="shared" si="58"/>
        <v>8</v>
      </c>
      <c r="J73" s="233">
        <f t="shared" si="58"/>
        <v>-25</v>
      </c>
      <c r="K73" s="194" t="str">
        <f>D73&amp;-3</f>
        <v>7-3</v>
      </c>
      <c r="L73" s="198">
        <f t="shared" si="59"/>
        <v>0.2</v>
      </c>
      <c r="M73" s="49">
        <v>60</v>
      </c>
      <c r="N73" s="198">
        <f t="shared" si="60"/>
        <v>150</v>
      </c>
      <c r="O73" s="198">
        <f t="shared" si="60"/>
        <v>750</v>
      </c>
      <c r="P73" s="56"/>
      <c r="Q73" s="38">
        <f t="shared" si="61"/>
        <v>6</v>
      </c>
      <c r="R73" s="38">
        <f t="shared" si="61"/>
        <v>8</v>
      </c>
      <c r="S73" s="39">
        <f t="shared" si="55"/>
        <v>0.39507743723572908</v>
      </c>
      <c r="T73" s="39">
        <f t="shared" si="55"/>
        <v>0.59082345962954208</v>
      </c>
      <c r="U73" s="39">
        <f t="shared" si="12"/>
        <v>0.195746022393813</v>
      </c>
      <c r="V73" s="39">
        <f t="shared" si="13"/>
        <v>0.22199739840022775</v>
      </c>
      <c r="W73" s="40">
        <f t="shared" si="56"/>
        <v>0.22199739840022778</v>
      </c>
      <c r="X73" s="40" t="s">
        <v>3710</v>
      </c>
      <c r="Y73" s="182">
        <f t="shared" si="43"/>
        <v>26.639687808027336</v>
      </c>
      <c r="Z73" s="182">
        <f t="shared" si="63"/>
        <v>4.4399479680045557</v>
      </c>
    </row>
    <row r="74" spans="1:27" x14ac:dyDescent="0.25">
      <c r="A74" s="229">
        <f t="shared" si="15"/>
        <v>3064</v>
      </c>
      <c r="B74" s="230">
        <f t="shared" si="16"/>
        <v>64</v>
      </c>
      <c r="C74" s="229" t="str">
        <f t="shared" si="8"/>
        <v>24cX07_335-090_04</v>
      </c>
      <c r="D74" s="231">
        <f t="shared" si="57"/>
        <v>7</v>
      </c>
      <c r="E74" s="204">
        <f t="shared" si="50"/>
        <v>1.5190000000000001</v>
      </c>
      <c r="F74" s="198">
        <f t="shared" si="51"/>
        <v>21.700000000000003</v>
      </c>
      <c r="G74" s="198">
        <f t="shared" si="52"/>
        <v>17.360000000000003</v>
      </c>
      <c r="H74" s="198">
        <f t="shared" si="53"/>
        <v>10.850000000000001</v>
      </c>
      <c r="I74" s="198">
        <f t="shared" ref="I74:J82" si="66">I73</f>
        <v>8</v>
      </c>
      <c r="J74" s="233">
        <f t="shared" si="66"/>
        <v>-25</v>
      </c>
      <c r="K74" s="194" t="str">
        <f>D74&amp;-4</f>
        <v>7-4</v>
      </c>
      <c r="L74" s="198">
        <f t="shared" si="59"/>
        <v>0.2</v>
      </c>
      <c r="M74" s="49">
        <v>90</v>
      </c>
      <c r="N74" s="198">
        <f t="shared" si="60"/>
        <v>150</v>
      </c>
      <c r="O74" s="198">
        <f t="shared" si="60"/>
        <v>750</v>
      </c>
      <c r="P74" s="56"/>
      <c r="Q74" s="38">
        <f t="shared" si="61"/>
        <v>6</v>
      </c>
      <c r="R74" s="38">
        <f t="shared" si="61"/>
        <v>8</v>
      </c>
      <c r="S74" s="39">
        <f t="shared" si="55"/>
        <v>0.39507743723572908</v>
      </c>
      <c r="T74" s="39">
        <f t="shared" si="55"/>
        <v>0.59082345962954208</v>
      </c>
      <c r="U74" s="39">
        <f t="shared" si="12"/>
        <v>0.195746022393813</v>
      </c>
      <c r="V74" s="39">
        <f t="shared" si="13"/>
        <v>0.22199739840022775</v>
      </c>
      <c r="W74" s="40">
        <f t="shared" si="56"/>
        <v>0.22199739840022778</v>
      </c>
      <c r="X74" s="40" t="s">
        <v>3710</v>
      </c>
      <c r="Y74" s="182">
        <f t="shared" si="43"/>
        <v>26.639687808027336</v>
      </c>
      <c r="Z74" s="182">
        <f t="shared" si="63"/>
        <v>4.4399479680045557</v>
      </c>
    </row>
    <row r="75" spans="1:27" x14ac:dyDescent="0.25">
      <c r="A75" s="229">
        <f t="shared" si="15"/>
        <v>3065</v>
      </c>
      <c r="B75" s="230">
        <f t="shared" si="16"/>
        <v>65</v>
      </c>
      <c r="C75" s="229" t="str">
        <f t="shared" si="8"/>
        <v>24cX07_335-000_05</v>
      </c>
      <c r="D75" s="231">
        <f t="shared" si="57"/>
        <v>7</v>
      </c>
      <c r="E75" s="204">
        <f t="shared" si="50"/>
        <v>1.5190000000000001</v>
      </c>
      <c r="F75" s="198">
        <f t="shared" si="51"/>
        <v>21.700000000000003</v>
      </c>
      <c r="G75" s="198">
        <f t="shared" si="52"/>
        <v>17.360000000000003</v>
      </c>
      <c r="H75" s="198">
        <f t="shared" si="53"/>
        <v>10.850000000000001</v>
      </c>
      <c r="I75" s="198">
        <f t="shared" si="66"/>
        <v>8</v>
      </c>
      <c r="J75" s="233">
        <f t="shared" si="66"/>
        <v>-25</v>
      </c>
      <c r="K75" s="194" t="str">
        <f>D75&amp;-5</f>
        <v>7-5</v>
      </c>
      <c r="L75" s="198">
        <f t="shared" si="59"/>
        <v>0.2</v>
      </c>
      <c r="M75" s="49">
        <v>0</v>
      </c>
      <c r="N75" s="198">
        <f t="shared" si="60"/>
        <v>150</v>
      </c>
      <c r="O75" s="198">
        <f t="shared" si="60"/>
        <v>750</v>
      </c>
      <c r="P75" s="56"/>
      <c r="Q75" s="38">
        <f t="shared" si="61"/>
        <v>6</v>
      </c>
      <c r="R75" s="38">
        <f t="shared" si="61"/>
        <v>8</v>
      </c>
      <c r="S75" s="39">
        <f t="shared" si="55"/>
        <v>0.39507743723572908</v>
      </c>
      <c r="T75" s="39">
        <f t="shared" si="55"/>
        <v>0.59082345962954208</v>
      </c>
      <c r="U75" s="39">
        <f t="shared" si="12"/>
        <v>0.195746022393813</v>
      </c>
      <c r="V75" s="39">
        <f t="shared" si="13"/>
        <v>0.22199739840022775</v>
      </c>
      <c r="W75" s="40">
        <f t="shared" si="56"/>
        <v>0.22199739840022778</v>
      </c>
      <c r="X75" s="40" t="s">
        <v>3710</v>
      </c>
      <c r="Y75" s="182">
        <f t="shared" ref="Y75:Y106" si="67">Z75*3600/(O75-N75)</f>
        <v>26.639687808027336</v>
      </c>
      <c r="Z75" s="182">
        <f t="shared" si="63"/>
        <v>4.4399479680045557</v>
      </c>
    </row>
    <row r="76" spans="1:27" x14ac:dyDescent="0.25">
      <c r="A76" s="229">
        <f t="shared" si="15"/>
        <v>3066</v>
      </c>
      <c r="B76" s="230">
        <f t="shared" si="16"/>
        <v>66</v>
      </c>
      <c r="C76" s="229" t="str">
        <f t="shared" ref="C76:C139" si="68">TEXT(RIGHT($B$2,LEN($B$2)-3),"000")&amp;"X"&amp;TEXT(D76,"00")&amp;"_"&amp;IF(J76&lt;0,TEXT(360+J76,"000"),TEXT(J76,"000"))&amp;"-"&amp;TEXT(M76,"000")&amp;"_"&amp;TEXT(RIGHT(K76,LEN(K76)-FIND("-",K76)),"00")</f>
        <v>24cX07_335-030_06</v>
      </c>
      <c r="D76" s="231">
        <f t="shared" si="57"/>
        <v>7</v>
      </c>
      <c r="E76" s="204">
        <f t="shared" si="50"/>
        <v>1.5190000000000001</v>
      </c>
      <c r="F76" s="198">
        <f t="shared" si="51"/>
        <v>21.700000000000003</v>
      </c>
      <c r="G76" s="198">
        <f t="shared" si="52"/>
        <v>17.360000000000003</v>
      </c>
      <c r="H76" s="198">
        <f t="shared" si="53"/>
        <v>10.850000000000001</v>
      </c>
      <c r="I76" s="198">
        <f t="shared" si="66"/>
        <v>8</v>
      </c>
      <c r="J76" s="233">
        <f t="shared" si="66"/>
        <v>-25</v>
      </c>
      <c r="K76" s="194" t="str">
        <f>D76&amp;-6</f>
        <v>7-6</v>
      </c>
      <c r="L76" s="198">
        <f t="shared" si="59"/>
        <v>0.2</v>
      </c>
      <c r="M76" s="49">
        <v>30</v>
      </c>
      <c r="N76" s="198">
        <f t="shared" ref="N76:O82" si="69">N75</f>
        <v>150</v>
      </c>
      <c r="O76" s="198">
        <f t="shared" si="69"/>
        <v>750</v>
      </c>
      <c r="P76" s="56"/>
      <c r="Q76" s="38">
        <f t="shared" si="61"/>
        <v>6</v>
      </c>
      <c r="R76" s="38">
        <f t="shared" si="61"/>
        <v>8</v>
      </c>
      <c r="S76" s="39">
        <f t="shared" si="55"/>
        <v>0.39507743723572908</v>
      </c>
      <c r="T76" s="39">
        <f t="shared" si="55"/>
        <v>0.59082345962954208</v>
      </c>
      <c r="U76" s="39">
        <f t="shared" ref="U76:U139" si="70">T76-S76</f>
        <v>0.195746022393813</v>
      </c>
      <c r="V76" s="39">
        <f t="shared" ref="V76:V139" si="71">U76/(U$11+U$35+U$59+U$83+U$107+U$131+U$155+U$179+U$203+U$227+U$251+U$275)</f>
        <v>0.22199739840022775</v>
      </c>
      <c r="W76" s="40">
        <f t="shared" si="56"/>
        <v>0.22199739840022778</v>
      </c>
      <c r="X76" s="40" t="s">
        <v>3710</v>
      </c>
      <c r="Y76" s="182">
        <f t="shared" si="67"/>
        <v>26.639687808027336</v>
      </c>
      <c r="Z76" s="182">
        <f t="shared" si="63"/>
        <v>4.4399479680045557</v>
      </c>
    </row>
    <row r="77" spans="1:27" x14ac:dyDescent="0.25">
      <c r="A77" s="229">
        <f t="shared" ref="A77:A140" si="72">A76+1</f>
        <v>3067</v>
      </c>
      <c r="B77" s="230">
        <f t="shared" ref="B77:B140" si="73">B76+1</f>
        <v>67</v>
      </c>
      <c r="C77" s="229" t="str">
        <f t="shared" si="68"/>
        <v>24cX07_335-060_07</v>
      </c>
      <c r="D77" s="231">
        <f t="shared" si="57"/>
        <v>7</v>
      </c>
      <c r="E77" s="204">
        <f t="shared" si="50"/>
        <v>1.5190000000000001</v>
      </c>
      <c r="F77" s="198">
        <f t="shared" si="51"/>
        <v>21.700000000000003</v>
      </c>
      <c r="G77" s="198">
        <f t="shared" si="52"/>
        <v>17.360000000000003</v>
      </c>
      <c r="H77" s="198">
        <f t="shared" si="53"/>
        <v>10.850000000000001</v>
      </c>
      <c r="I77" s="198">
        <f t="shared" si="66"/>
        <v>8</v>
      </c>
      <c r="J77" s="233">
        <f t="shared" si="66"/>
        <v>-25</v>
      </c>
      <c r="K77" s="194" t="str">
        <f>D77&amp;-7</f>
        <v>7-7</v>
      </c>
      <c r="L77" s="198">
        <f t="shared" si="59"/>
        <v>0.2</v>
      </c>
      <c r="M77" s="49">
        <v>60</v>
      </c>
      <c r="N77" s="198">
        <f t="shared" si="69"/>
        <v>150</v>
      </c>
      <c r="O77" s="198">
        <f t="shared" si="69"/>
        <v>750</v>
      </c>
      <c r="P77" s="56"/>
      <c r="Q77" s="38">
        <f t="shared" si="61"/>
        <v>6</v>
      </c>
      <c r="R77" s="38">
        <f t="shared" si="61"/>
        <v>8</v>
      </c>
      <c r="S77" s="39">
        <f t="shared" si="55"/>
        <v>0.39507743723572908</v>
      </c>
      <c r="T77" s="39">
        <f t="shared" si="55"/>
        <v>0.59082345962954208</v>
      </c>
      <c r="U77" s="39">
        <f t="shared" si="70"/>
        <v>0.195746022393813</v>
      </c>
      <c r="V77" s="39">
        <f t="shared" si="71"/>
        <v>0.22199739840022775</v>
      </c>
      <c r="W77" s="40">
        <f t="shared" si="56"/>
        <v>0.22199739840022778</v>
      </c>
      <c r="X77" s="40" t="s">
        <v>3710</v>
      </c>
      <c r="Y77" s="182">
        <f t="shared" si="67"/>
        <v>26.639687808027336</v>
      </c>
      <c r="Z77" s="182">
        <f t="shared" si="63"/>
        <v>4.4399479680045557</v>
      </c>
    </row>
    <row r="78" spans="1:27" x14ac:dyDescent="0.25">
      <c r="A78" s="229">
        <f t="shared" si="72"/>
        <v>3068</v>
      </c>
      <c r="B78" s="230">
        <f t="shared" si="73"/>
        <v>68</v>
      </c>
      <c r="C78" s="229" t="str">
        <f t="shared" si="68"/>
        <v>24cX07_335-090_08</v>
      </c>
      <c r="D78" s="231">
        <f t="shared" si="57"/>
        <v>7</v>
      </c>
      <c r="E78" s="204">
        <f t="shared" si="50"/>
        <v>1.5190000000000001</v>
      </c>
      <c r="F78" s="198">
        <f t="shared" si="51"/>
        <v>21.700000000000003</v>
      </c>
      <c r="G78" s="198">
        <f t="shared" si="52"/>
        <v>17.360000000000003</v>
      </c>
      <c r="H78" s="198">
        <f t="shared" si="53"/>
        <v>10.850000000000001</v>
      </c>
      <c r="I78" s="198">
        <f t="shared" si="66"/>
        <v>8</v>
      </c>
      <c r="J78" s="233">
        <f t="shared" si="66"/>
        <v>-25</v>
      </c>
      <c r="K78" s="194" t="str">
        <f>D78&amp;-8</f>
        <v>7-8</v>
      </c>
      <c r="L78" s="198">
        <f t="shared" si="59"/>
        <v>0.2</v>
      </c>
      <c r="M78" s="49">
        <v>90</v>
      </c>
      <c r="N78" s="198">
        <f t="shared" si="69"/>
        <v>150</v>
      </c>
      <c r="O78" s="198">
        <f t="shared" si="69"/>
        <v>750</v>
      </c>
      <c r="P78" s="56"/>
      <c r="Q78" s="38">
        <f t="shared" si="61"/>
        <v>6</v>
      </c>
      <c r="R78" s="38">
        <f t="shared" si="61"/>
        <v>8</v>
      </c>
      <c r="S78" s="39">
        <f t="shared" si="55"/>
        <v>0.39507743723572908</v>
      </c>
      <c r="T78" s="39">
        <f t="shared" si="55"/>
        <v>0.59082345962954208</v>
      </c>
      <c r="U78" s="39">
        <f t="shared" si="70"/>
        <v>0.195746022393813</v>
      </c>
      <c r="V78" s="39">
        <f t="shared" si="71"/>
        <v>0.22199739840022775</v>
      </c>
      <c r="W78" s="40">
        <f t="shared" si="56"/>
        <v>0.22199739840022778</v>
      </c>
      <c r="X78" s="40" t="s">
        <v>3710</v>
      </c>
      <c r="Y78" s="182">
        <f t="shared" si="67"/>
        <v>26.639687808027336</v>
      </c>
      <c r="Z78" s="182">
        <f t="shared" si="63"/>
        <v>4.4399479680045557</v>
      </c>
    </row>
    <row r="79" spans="1:27" x14ac:dyDescent="0.25">
      <c r="A79" s="229">
        <f t="shared" si="72"/>
        <v>3069</v>
      </c>
      <c r="B79" s="230">
        <f t="shared" si="73"/>
        <v>69</v>
      </c>
      <c r="C79" s="229" t="str">
        <f t="shared" si="68"/>
        <v>24cX07_335-000_09</v>
      </c>
      <c r="D79" s="231">
        <f t="shared" si="57"/>
        <v>7</v>
      </c>
      <c r="E79" s="204">
        <f t="shared" si="50"/>
        <v>1.5190000000000001</v>
      </c>
      <c r="F79" s="198">
        <f t="shared" si="51"/>
        <v>21.700000000000003</v>
      </c>
      <c r="G79" s="198">
        <f t="shared" si="52"/>
        <v>17.360000000000003</v>
      </c>
      <c r="H79" s="198">
        <f t="shared" si="53"/>
        <v>10.850000000000001</v>
      </c>
      <c r="I79" s="198">
        <f t="shared" si="66"/>
        <v>8</v>
      </c>
      <c r="J79" s="233">
        <f t="shared" si="66"/>
        <v>-25</v>
      </c>
      <c r="K79" s="194" t="str">
        <f>D79&amp;-9</f>
        <v>7-9</v>
      </c>
      <c r="L79" s="198">
        <f t="shared" si="59"/>
        <v>0.2</v>
      </c>
      <c r="M79" s="49">
        <v>0</v>
      </c>
      <c r="N79" s="198">
        <f t="shared" si="69"/>
        <v>150</v>
      </c>
      <c r="O79" s="198">
        <f t="shared" si="69"/>
        <v>750</v>
      </c>
      <c r="P79" s="56"/>
      <c r="Q79" s="38">
        <f t="shared" si="61"/>
        <v>6</v>
      </c>
      <c r="R79" s="38">
        <f t="shared" si="61"/>
        <v>8</v>
      </c>
      <c r="S79" s="39">
        <f t="shared" si="55"/>
        <v>0.39507743723572908</v>
      </c>
      <c r="T79" s="39">
        <f t="shared" si="55"/>
        <v>0.59082345962954208</v>
      </c>
      <c r="U79" s="39">
        <f t="shared" si="70"/>
        <v>0.195746022393813</v>
      </c>
      <c r="V79" s="39">
        <f t="shared" si="71"/>
        <v>0.22199739840022775</v>
      </c>
      <c r="W79" s="40">
        <f t="shared" si="56"/>
        <v>0.22199739840022778</v>
      </c>
      <c r="X79" s="40" t="s">
        <v>3710</v>
      </c>
      <c r="Y79" s="182">
        <f t="shared" si="67"/>
        <v>26.639687808027336</v>
      </c>
      <c r="Z79" s="182">
        <f t="shared" si="63"/>
        <v>4.4399479680045557</v>
      </c>
    </row>
    <row r="80" spans="1:27" x14ac:dyDescent="0.25">
      <c r="A80" s="229">
        <f t="shared" si="72"/>
        <v>3070</v>
      </c>
      <c r="B80" s="230">
        <f t="shared" si="73"/>
        <v>70</v>
      </c>
      <c r="C80" s="229" t="str">
        <f t="shared" si="68"/>
        <v>24cX07_335-030_10</v>
      </c>
      <c r="D80" s="231">
        <f t="shared" si="57"/>
        <v>7</v>
      </c>
      <c r="E80" s="204">
        <f t="shared" si="50"/>
        <v>1.5190000000000001</v>
      </c>
      <c r="F80" s="198">
        <f t="shared" si="51"/>
        <v>21.700000000000003</v>
      </c>
      <c r="G80" s="198">
        <f t="shared" si="52"/>
        <v>17.360000000000003</v>
      </c>
      <c r="H80" s="198">
        <f t="shared" si="53"/>
        <v>10.850000000000001</v>
      </c>
      <c r="I80" s="198">
        <f t="shared" si="66"/>
        <v>8</v>
      </c>
      <c r="J80" s="233">
        <f t="shared" si="66"/>
        <v>-25</v>
      </c>
      <c r="K80" s="194" t="str">
        <f>D80&amp;-10</f>
        <v>7-10</v>
      </c>
      <c r="L80" s="198">
        <f t="shared" si="59"/>
        <v>0.2</v>
      </c>
      <c r="M80" s="49">
        <v>30</v>
      </c>
      <c r="N80" s="198">
        <f t="shared" si="69"/>
        <v>150</v>
      </c>
      <c r="O80" s="198">
        <f t="shared" si="69"/>
        <v>750</v>
      </c>
      <c r="P80" s="56"/>
      <c r="Q80" s="38">
        <f t="shared" si="61"/>
        <v>6</v>
      </c>
      <c r="R80" s="38">
        <f t="shared" si="61"/>
        <v>8</v>
      </c>
      <c r="S80" s="39">
        <f t="shared" si="55"/>
        <v>0.39507743723572908</v>
      </c>
      <c r="T80" s="39">
        <f t="shared" si="55"/>
        <v>0.59082345962954208</v>
      </c>
      <c r="U80" s="39">
        <f t="shared" si="70"/>
        <v>0.195746022393813</v>
      </c>
      <c r="V80" s="39">
        <f t="shared" si="71"/>
        <v>0.22199739840022775</v>
      </c>
      <c r="W80" s="40">
        <f t="shared" si="56"/>
        <v>0.22199739840022778</v>
      </c>
      <c r="X80" s="40" t="s">
        <v>3710</v>
      </c>
      <c r="Y80" s="182">
        <f t="shared" si="67"/>
        <v>26.639687808027336</v>
      </c>
      <c r="Z80" s="182">
        <f t="shared" si="63"/>
        <v>4.4399479680045557</v>
      </c>
    </row>
    <row r="81" spans="1:27" x14ac:dyDescent="0.25">
      <c r="A81" s="229">
        <f t="shared" si="72"/>
        <v>3071</v>
      </c>
      <c r="B81" s="230">
        <f t="shared" si="73"/>
        <v>71</v>
      </c>
      <c r="C81" s="229" t="str">
        <f t="shared" si="68"/>
        <v>24cX07_335-060_11</v>
      </c>
      <c r="D81" s="231">
        <f t="shared" si="57"/>
        <v>7</v>
      </c>
      <c r="E81" s="204">
        <f t="shared" si="50"/>
        <v>1.5190000000000001</v>
      </c>
      <c r="F81" s="198">
        <f t="shared" si="51"/>
        <v>21.700000000000003</v>
      </c>
      <c r="G81" s="198">
        <f t="shared" si="52"/>
        <v>17.360000000000003</v>
      </c>
      <c r="H81" s="198">
        <f t="shared" si="53"/>
        <v>10.850000000000001</v>
      </c>
      <c r="I81" s="198">
        <f t="shared" si="66"/>
        <v>8</v>
      </c>
      <c r="J81" s="233">
        <f t="shared" si="66"/>
        <v>-25</v>
      </c>
      <c r="K81" s="194" t="str">
        <f>D81&amp;-11</f>
        <v>7-11</v>
      </c>
      <c r="L81" s="198">
        <f t="shared" si="59"/>
        <v>0.2</v>
      </c>
      <c r="M81" s="49">
        <v>60</v>
      </c>
      <c r="N81" s="198">
        <f t="shared" si="69"/>
        <v>150</v>
      </c>
      <c r="O81" s="198">
        <f t="shared" si="69"/>
        <v>750</v>
      </c>
      <c r="P81" s="56"/>
      <c r="Q81" s="38">
        <f t="shared" si="61"/>
        <v>6</v>
      </c>
      <c r="R81" s="38">
        <f t="shared" si="61"/>
        <v>8</v>
      </c>
      <c r="S81" s="39">
        <f t="shared" si="55"/>
        <v>0.39507743723572908</v>
      </c>
      <c r="T81" s="39">
        <f t="shared" si="55"/>
        <v>0.59082345962954208</v>
      </c>
      <c r="U81" s="39">
        <f t="shared" si="70"/>
        <v>0.195746022393813</v>
      </c>
      <c r="V81" s="39">
        <f t="shared" si="71"/>
        <v>0.22199739840022775</v>
      </c>
      <c r="W81" s="40">
        <f t="shared" si="56"/>
        <v>0.22199739840022778</v>
      </c>
      <c r="X81" s="40" t="s">
        <v>3710</v>
      </c>
      <c r="Y81" s="182">
        <f t="shared" si="67"/>
        <v>26.639687808027336</v>
      </c>
      <c r="Z81" s="182">
        <f t="shared" si="63"/>
        <v>4.4399479680045557</v>
      </c>
    </row>
    <row r="82" spans="1:27" x14ac:dyDescent="0.25">
      <c r="A82" s="229">
        <f t="shared" si="72"/>
        <v>3072</v>
      </c>
      <c r="B82" s="230">
        <f t="shared" si="73"/>
        <v>72</v>
      </c>
      <c r="C82" s="229" t="str">
        <f t="shared" si="68"/>
        <v>24cX07_335-090_12</v>
      </c>
      <c r="D82" s="231">
        <f t="shared" si="57"/>
        <v>7</v>
      </c>
      <c r="E82" s="204">
        <f t="shared" si="50"/>
        <v>1.5190000000000001</v>
      </c>
      <c r="F82" s="198">
        <f t="shared" si="51"/>
        <v>21.700000000000003</v>
      </c>
      <c r="G82" s="198">
        <f t="shared" si="52"/>
        <v>17.360000000000003</v>
      </c>
      <c r="H82" s="198">
        <f t="shared" si="53"/>
        <v>10.850000000000001</v>
      </c>
      <c r="I82" s="198">
        <f t="shared" si="66"/>
        <v>8</v>
      </c>
      <c r="J82" s="233">
        <f t="shared" si="66"/>
        <v>-25</v>
      </c>
      <c r="K82" s="194" t="str">
        <f>D82&amp;-12</f>
        <v>7-12</v>
      </c>
      <c r="L82" s="198">
        <f t="shared" si="59"/>
        <v>0.2</v>
      </c>
      <c r="M82" s="49">
        <v>90</v>
      </c>
      <c r="N82" s="198">
        <f t="shared" si="69"/>
        <v>150</v>
      </c>
      <c r="O82" s="198">
        <f t="shared" si="69"/>
        <v>750</v>
      </c>
      <c r="P82" s="56"/>
      <c r="Q82" s="38">
        <f t="shared" si="61"/>
        <v>6</v>
      </c>
      <c r="R82" s="38">
        <f t="shared" si="61"/>
        <v>8</v>
      </c>
      <c r="S82" s="39">
        <f t="shared" si="55"/>
        <v>0.39507743723572908</v>
      </c>
      <c r="T82" s="39">
        <f t="shared" si="55"/>
        <v>0.59082345962954208</v>
      </c>
      <c r="U82" s="39">
        <f t="shared" si="70"/>
        <v>0.195746022393813</v>
      </c>
      <c r="V82" s="39">
        <f t="shared" si="71"/>
        <v>0.22199739840022775</v>
      </c>
      <c r="W82" s="40">
        <f t="shared" si="56"/>
        <v>0.22199739840022778</v>
      </c>
      <c r="X82" s="40" t="s">
        <v>3710</v>
      </c>
      <c r="Y82" s="182">
        <f t="shared" si="67"/>
        <v>26.639687808027336</v>
      </c>
      <c r="Z82" s="182">
        <f t="shared" si="63"/>
        <v>4.4399479680045557</v>
      </c>
    </row>
    <row r="83" spans="1:27" x14ac:dyDescent="0.25">
      <c r="A83" s="229">
        <f t="shared" si="72"/>
        <v>3073</v>
      </c>
      <c r="B83" s="230">
        <f t="shared" si="73"/>
        <v>73</v>
      </c>
      <c r="C83" s="229" t="str">
        <f t="shared" si="68"/>
        <v>24cX09_025-000_01</v>
      </c>
      <c r="D83" s="231">
        <f t="shared" ref="D83" si="74">D82+2</f>
        <v>9</v>
      </c>
      <c r="E83" s="204">
        <f t="shared" ref="E83:E90" si="75">I_ref*(0.75*D83+5.6)</f>
        <v>1.7290000000000001</v>
      </c>
      <c r="F83" s="198">
        <f t="shared" ref="F83:F106" si="76">E83/D83*100</f>
        <v>19.211111111111112</v>
      </c>
      <c r="G83" s="198">
        <f t="shared" ref="G83:G90" si="77">m_ty*F83</f>
        <v>15.36888888888889</v>
      </c>
      <c r="H83" s="198">
        <f t="shared" ref="H83:H90" si="78">m_tz*F83</f>
        <v>9.6055555555555561</v>
      </c>
      <c r="I83" s="198">
        <f>inflow</f>
        <v>8</v>
      </c>
      <c r="J83" s="233">
        <v>25</v>
      </c>
      <c r="K83" s="194" t="str">
        <f>D83&amp;-1</f>
        <v>9-1</v>
      </c>
      <c r="L83" s="198">
        <f>alpha_n</f>
        <v>0.2</v>
      </c>
      <c r="M83" s="49">
        <v>0</v>
      </c>
      <c r="N83" s="198">
        <f>t_out</f>
        <v>150</v>
      </c>
      <c r="O83" s="198">
        <f>N83+T_s1</f>
        <v>750</v>
      </c>
      <c r="P83" s="56"/>
      <c r="Q83" s="38">
        <f t="shared" ref="Q83" si="79">R82</f>
        <v>8</v>
      </c>
      <c r="R83" s="38">
        <f>Q83+v_step</f>
        <v>10</v>
      </c>
      <c r="S83" s="39">
        <f t="shared" si="55"/>
        <v>0.59082345962954208</v>
      </c>
      <c r="T83" s="39">
        <f t="shared" si="55"/>
        <v>0.75247987857608445</v>
      </c>
      <c r="U83" s="39">
        <f t="shared" si="70"/>
        <v>0.16165641894654237</v>
      </c>
      <c r="V83" s="39">
        <f t="shared" si="71"/>
        <v>0.18333605966526137</v>
      </c>
      <c r="W83" s="40">
        <f t="shared" ref="W83:W106" si="80">H_hy*V83/24</f>
        <v>0.18333605966526137</v>
      </c>
      <c r="X83" s="40" t="s">
        <v>3710</v>
      </c>
      <c r="Y83" s="182">
        <f t="shared" si="67"/>
        <v>22.000327159831365</v>
      </c>
      <c r="Z83" s="182">
        <f>W83*20</f>
        <v>3.6667211933052273</v>
      </c>
      <c r="AA83" s="176"/>
    </row>
    <row r="84" spans="1:27" x14ac:dyDescent="0.25">
      <c r="A84" s="229">
        <f t="shared" si="72"/>
        <v>3074</v>
      </c>
      <c r="B84" s="230">
        <f t="shared" si="73"/>
        <v>74</v>
      </c>
      <c r="C84" s="229" t="str">
        <f t="shared" si="68"/>
        <v>24cX09_025-030_02</v>
      </c>
      <c r="D84" s="231">
        <f t="shared" ref="D84" si="81">D83</f>
        <v>9</v>
      </c>
      <c r="E84" s="204">
        <f t="shared" si="75"/>
        <v>1.7290000000000001</v>
      </c>
      <c r="F84" s="198">
        <f t="shared" si="76"/>
        <v>19.211111111111112</v>
      </c>
      <c r="G84" s="198">
        <f t="shared" si="77"/>
        <v>15.36888888888889</v>
      </c>
      <c r="H84" s="198">
        <f t="shared" si="78"/>
        <v>9.6055555555555561</v>
      </c>
      <c r="I84" s="198">
        <f t="shared" ref="I84:J97" si="82">I83</f>
        <v>8</v>
      </c>
      <c r="J84" s="233">
        <f>J83</f>
        <v>25</v>
      </c>
      <c r="K84" s="194" t="str">
        <f>D84&amp;-2</f>
        <v>9-2</v>
      </c>
      <c r="L84" s="198">
        <f t="shared" ref="L84:L147" si="83">L83</f>
        <v>0.2</v>
      </c>
      <c r="M84" s="49">
        <v>30</v>
      </c>
      <c r="N84" s="198">
        <f t="shared" ref="N84:O99" si="84">N83</f>
        <v>150</v>
      </c>
      <c r="O84" s="198">
        <f t="shared" si="84"/>
        <v>750</v>
      </c>
      <c r="P84" s="56"/>
      <c r="Q84" s="38">
        <f t="shared" ref="Q84" si="85">Q83</f>
        <v>8</v>
      </c>
      <c r="R84" s="38">
        <f t="shared" ref="R84" si="86">R83</f>
        <v>10</v>
      </c>
      <c r="S84" s="39">
        <f t="shared" si="55"/>
        <v>0.59082345962954208</v>
      </c>
      <c r="T84" s="39">
        <f t="shared" si="55"/>
        <v>0.75247987857608445</v>
      </c>
      <c r="U84" s="39">
        <f t="shared" si="70"/>
        <v>0.16165641894654237</v>
      </c>
      <c r="V84" s="39">
        <f t="shared" si="71"/>
        <v>0.18333605966526137</v>
      </c>
      <c r="W84" s="40">
        <f t="shared" si="80"/>
        <v>0.18333605966526137</v>
      </c>
      <c r="X84" s="40" t="s">
        <v>3710</v>
      </c>
      <c r="Y84" s="182">
        <f t="shared" si="67"/>
        <v>22.000327159831365</v>
      </c>
      <c r="Z84" s="182">
        <f t="shared" ref="Z84:Z88" si="87">W84*20</f>
        <v>3.6667211933052273</v>
      </c>
      <c r="AA84" s="176"/>
    </row>
    <row r="85" spans="1:27" x14ac:dyDescent="0.25">
      <c r="A85" s="229">
        <f t="shared" si="72"/>
        <v>3075</v>
      </c>
      <c r="B85" s="230">
        <f t="shared" si="73"/>
        <v>75</v>
      </c>
      <c r="C85" s="229" t="str">
        <f t="shared" si="68"/>
        <v>24cX09_025-060_03</v>
      </c>
      <c r="D85" s="231">
        <f t="shared" si="57"/>
        <v>9</v>
      </c>
      <c r="E85" s="204">
        <f t="shared" si="75"/>
        <v>1.7290000000000001</v>
      </c>
      <c r="F85" s="198">
        <f t="shared" si="76"/>
        <v>19.211111111111112</v>
      </c>
      <c r="G85" s="198">
        <f t="shared" si="77"/>
        <v>15.36888888888889</v>
      </c>
      <c r="H85" s="198">
        <f t="shared" si="78"/>
        <v>9.6055555555555561</v>
      </c>
      <c r="I85" s="198">
        <f t="shared" si="82"/>
        <v>8</v>
      </c>
      <c r="J85" s="233">
        <f t="shared" si="82"/>
        <v>25</v>
      </c>
      <c r="K85" s="194" t="str">
        <f>D85&amp;-3</f>
        <v>9-3</v>
      </c>
      <c r="L85" s="198">
        <f t="shared" si="83"/>
        <v>0.2</v>
      </c>
      <c r="M85" s="49">
        <v>60</v>
      </c>
      <c r="N85" s="198">
        <f t="shared" si="84"/>
        <v>150</v>
      </c>
      <c r="O85" s="198">
        <f t="shared" si="84"/>
        <v>750</v>
      </c>
      <c r="P85" s="56"/>
      <c r="Q85" s="38">
        <f t="shared" ref="Q85:R85" si="88">Q84</f>
        <v>8</v>
      </c>
      <c r="R85" s="38">
        <f t="shared" si="88"/>
        <v>10</v>
      </c>
      <c r="S85" s="39">
        <f t="shared" si="55"/>
        <v>0.59082345962954208</v>
      </c>
      <c r="T85" s="39">
        <f t="shared" si="55"/>
        <v>0.75247987857608445</v>
      </c>
      <c r="U85" s="39">
        <f t="shared" si="70"/>
        <v>0.16165641894654237</v>
      </c>
      <c r="V85" s="39">
        <f t="shared" si="71"/>
        <v>0.18333605966526137</v>
      </c>
      <c r="W85" s="40">
        <f t="shared" si="80"/>
        <v>0.18333605966526137</v>
      </c>
      <c r="X85" s="40" t="s">
        <v>3710</v>
      </c>
      <c r="Y85" s="182">
        <f t="shared" si="67"/>
        <v>22.000327159831365</v>
      </c>
      <c r="Z85" s="182">
        <f t="shared" si="87"/>
        <v>3.6667211933052273</v>
      </c>
    </row>
    <row r="86" spans="1:27" x14ac:dyDescent="0.25">
      <c r="A86" s="229">
        <f t="shared" si="72"/>
        <v>3076</v>
      </c>
      <c r="B86" s="230">
        <f t="shared" si="73"/>
        <v>76</v>
      </c>
      <c r="C86" s="229" t="str">
        <f t="shared" si="68"/>
        <v>24cX09_025-090_04</v>
      </c>
      <c r="D86" s="231">
        <f t="shared" si="57"/>
        <v>9</v>
      </c>
      <c r="E86" s="204">
        <f t="shared" si="75"/>
        <v>1.7290000000000001</v>
      </c>
      <c r="F86" s="198">
        <f t="shared" si="76"/>
        <v>19.211111111111112</v>
      </c>
      <c r="G86" s="198">
        <f t="shared" si="77"/>
        <v>15.36888888888889</v>
      </c>
      <c r="H86" s="198">
        <f t="shared" si="78"/>
        <v>9.6055555555555561</v>
      </c>
      <c r="I86" s="198">
        <f t="shared" si="82"/>
        <v>8</v>
      </c>
      <c r="J86" s="233">
        <f t="shared" si="82"/>
        <v>25</v>
      </c>
      <c r="K86" s="194" t="str">
        <f>D86&amp;-4</f>
        <v>9-4</v>
      </c>
      <c r="L86" s="198">
        <f t="shared" si="83"/>
        <v>0.2</v>
      </c>
      <c r="M86" s="49">
        <v>90</v>
      </c>
      <c r="N86" s="198">
        <f t="shared" si="84"/>
        <v>150</v>
      </c>
      <c r="O86" s="198">
        <f t="shared" si="84"/>
        <v>750</v>
      </c>
      <c r="P86" s="56"/>
      <c r="Q86" s="38">
        <f t="shared" ref="Q86:R86" si="89">Q85</f>
        <v>8</v>
      </c>
      <c r="R86" s="38">
        <f t="shared" si="89"/>
        <v>10</v>
      </c>
      <c r="S86" s="39">
        <f t="shared" si="55"/>
        <v>0.59082345962954208</v>
      </c>
      <c r="T86" s="39">
        <f t="shared" si="55"/>
        <v>0.75247987857608445</v>
      </c>
      <c r="U86" s="39">
        <f t="shared" si="70"/>
        <v>0.16165641894654237</v>
      </c>
      <c r="V86" s="39">
        <f t="shared" si="71"/>
        <v>0.18333605966526137</v>
      </c>
      <c r="W86" s="40">
        <f t="shared" si="80"/>
        <v>0.18333605966526137</v>
      </c>
      <c r="X86" s="40" t="s">
        <v>3710</v>
      </c>
      <c r="Y86" s="182">
        <f t="shared" si="67"/>
        <v>22.000327159831365</v>
      </c>
      <c r="Z86" s="182">
        <f t="shared" si="87"/>
        <v>3.6667211933052273</v>
      </c>
    </row>
    <row r="87" spans="1:27" x14ac:dyDescent="0.25">
      <c r="A87" s="229">
        <f t="shared" si="72"/>
        <v>3077</v>
      </c>
      <c r="B87" s="230">
        <f t="shared" si="73"/>
        <v>77</v>
      </c>
      <c r="C87" s="229" t="str">
        <f t="shared" si="68"/>
        <v>24cX09_025-000_05</v>
      </c>
      <c r="D87" s="231">
        <f t="shared" si="57"/>
        <v>9</v>
      </c>
      <c r="E87" s="204">
        <f t="shared" si="75"/>
        <v>1.7290000000000001</v>
      </c>
      <c r="F87" s="198">
        <f t="shared" si="76"/>
        <v>19.211111111111112</v>
      </c>
      <c r="G87" s="198">
        <f t="shared" si="77"/>
        <v>15.36888888888889</v>
      </c>
      <c r="H87" s="198">
        <f t="shared" si="78"/>
        <v>9.6055555555555561</v>
      </c>
      <c r="I87" s="198">
        <f t="shared" si="82"/>
        <v>8</v>
      </c>
      <c r="J87" s="233">
        <f t="shared" si="82"/>
        <v>25</v>
      </c>
      <c r="K87" s="194" t="str">
        <f>D87&amp;-5</f>
        <v>9-5</v>
      </c>
      <c r="L87" s="198">
        <f t="shared" si="83"/>
        <v>0.2</v>
      </c>
      <c r="M87" s="49">
        <v>0</v>
      </c>
      <c r="N87" s="198">
        <f t="shared" si="84"/>
        <v>150</v>
      </c>
      <c r="O87" s="198">
        <f t="shared" si="84"/>
        <v>750</v>
      </c>
      <c r="P87" s="56"/>
      <c r="Q87" s="38">
        <f t="shared" ref="Q87:R87" si="90">Q86</f>
        <v>8</v>
      </c>
      <c r="R87" s="38">
        <f t="shared" si="90"/>
        <v>10</v>
      </c>
      <c r="S87" s="39">
        <f t="shared" si="55"/>
        <v>0.59082345962954208</v>
      </c>
      <c r="T87" s="39">
        <f t="shared" si="55"/>
        <v>0.75247987857608445</v>
      </c>
      <c r="U87" s="39">
        <f t="shared" si="70"/>
        <v>0.16165641894654237</v>
      </c>
      <c r="V87" s="39">
        <f t="shared" si="71"/>
        <v>0.18333605966526137</v>
      </c>
      <c r="W87" s="40">
        <f t="shared" si="80"/>
        <v>0.18333605966526137</v>
      </c>
      <c r="X87" s="40" t="s">
        <v>3710</v>
      </c>
      <c r="Y87" s="182">
        <f t="shared" si="67"/>
        <v>22.000327159831365</v>
      </c>
      <c r="Z87" s="182">
        <f t="shared" si="87"/>
        <v>3.6667211933052273</v>
      </c>
    </row>
    <row r="88" spans="1:27" x14ac:dyDescent="0.25">
      <c r="A88" s="229">
        <f t="shared" si="72"/>
        <v>3078</v>
      </c>
      <c r="B88" s="230">
        <f t="shared" si="73"/>
        <v>78</v>
      </c>
      <c r="C88" s="229" t="str">
        <f t="shared" si="68"/>
        <v>24cX09_025-030_06</v>
      </c>
      <c r="D88" s="231">
        <f t="shared" si="57"/>
        <v>9</v>
      </c>
      <c r="E88" s="204">
        <f t="shared" si="75"/>
        <v>1.7290000000000001</v>
      </c>
      <c r="F88" s="198">
        <f t="shared" si="76"/>
        <v>19.211111111111112</v>
      </c>
      <c r="G88" s="198">
        <f t="shared" si="77"/>
        <v>15.36888888888889</v>
      </c>
      <c r="H88" s="198">
        <f t="shared" si="78"/>
        <v>9.6055555555555561</v>
      </c>
      <c r="I88" s="198">
        <f t="shared" si="82"/>
        <v>8</v>
      </c>
      <c r="J88" s="233">
        <f t="shared" si="82"/>
        <v>25</v>
      </c>
      <c r="K88" s="194" t="str">
        <f>D88&amp;-6</f>
        <v>9-6</v>
      </c>
      <c r="L88" s="198">
        <f t="shared" si="83"/>
        <v>0.2</v>
      </c>
      <c r="M88" s="49">
        <v>30</v>
      </c>
      <c r="N88" s="198">
        <f t="shared" si="84"/>
        <v>150</v>
      </c>
      <c r="O88" s="198">
        <f t="shared" si="84"/>
        <v>750</v>
      </c>
      <c r="P88" s="56"/>
      <c r="Q88" s="38">
        <f t="shared" ref="Q88:R88" si="91">Q87</f>
        <v>8</v>
      </c>
      <c r="R88" s="38">
        <f t="shared" si="91"/>
        <v>10</v>
      </c>
      <c r="S88" s="39">
        <f t="shared" si="55"/>
        <v>0.59082345962954208</v>
      </c>
      <c r="T88" s="39">
        <f t="shared" si="55"/>
        <v>0.75247987857608445</v>
      </c>
      <c r="U88" s="39">
        <f t="shared" si="70"/>
        <v>0.16165641894654237</v>
      </c>
      <c r="V88" s="39">
        <f t="shared" si="71"/>
        <v>0.18333605966526137</v>
      </c>
      <c r="W88" s="40">
        <f t="shared" si="80"/>
        <v>0.18333605966526137</v>
      </c>
      <c r="X88" s="40" t="s">
        <v>3710</v>
      </c>
      <c r="Y88" s="182">
        <f t="shared" si="67"/>
        <v>22.000327159831365</v>
      </c>
      <c r="Z88" s="182">
        <f t="shared" si="87"/>
        <v>3.6667211933052273</v>
      </c>
    </row>
    <row r="89" spans="1:27" x14ac:dyDescent="0.25">
      <c r="A89" s="229">
        <f t="shared" si="72"/>
        <v>3079</v>
      </c>
      <c r="B89" s="230">
        <f t="shared" si="73"/>
        <v>79</v>
      </c>
      <c r="C89" s="229" t="str">
        <f t="shared" si="68"/>
        <v>24cX09_025-060_07</v>
      </c>
      <c r="D89" s="231">
        <f t="shared" si="57"/>
        <v>9</v>
      </c>
      <c r="E89" s="204">
        <f t="shared" si="75"/>
        <v>1.7290000000000001</v>
      </c>
      <c r="F89" s="198">
        <f t="shared" si="76"/>
        <v>19.211111111111112</v>
      </c>
      <c r="G89" s="198">
        <f t="shared" si="77"/>
        <v>15.36888888888889</v>
      </c>
      <c r="H89" s="198">
        <f t="shared" si="78"/>
        <v>9.6055555555555561</v>
      </c>
      <c r="I89" s="198">
        <f t="shared" si="82"/>
        <v>8</v>
      </c>
      <c r="J89" s="233">
        <f t="shared" si="82"/>
        <v>25</v>
      </c>
      <c r="K89" s="194" t="str">
        <f>D89&amp;-7</f>
        <v>9-7</v>
      </c>
      <c r="L89" s="198">
        <f t="shared" si="83"/>
        <v>0.2</v>
      </c>
      <c r="M89" s="49">
        <v>60</v>
      </c>
      <c r="N89" s="198">
        <f t="shared" si="84"/>
        <v>150</v>
      </c>
      <c r="O89" s="198">
        <f t="shared" si="84"/>
        <v>750</v>
      </c>
      <c r="P89" s="56"/>
      <c r="Q89" s="38">
        <f t="shared" ref="Q89:R89" si="92">Q88</f>
        <v>8</v>
      </c>
      <c r="R89" s="38">
        <f t="shared" si="92"/>
        <v>10</v>
      </c>
      <c r="S89" s="39">
        <f t="shared" si="55"/>
        <v>0.59082345962954208</v>
      </c>
      <c r="T89" s="39">
        <f t="shared" si="55"/>
        <v>0.75247987857608445</v>
      </c>
      <c r="U89" s="39">
        <f t="shared" si="70"/>
        <v>0.16165641894654237</v>
      </c>
      <c r="V89" s="39">
        <f t="shared" si="71"/>
        <v>0.18333605966526137</v>
      </c>
      <c r="W89" s="40">
        <f t="shared" si="80"/>
        <v>0.18333605966526137</v>
      </c>
      <c r="X89" s="40" t="s">
        <v>3710</v>
      </c>
      <c r="Y89" s="182">
        <f t="shared" si="67"/>
        <v>22.000327159831365</v>
      </c>
      <c r="Z89" s="182">
        <f>W89*20</f>
        <v>3.6667211933052273</v>
      </c>
      <c r="AA89" s="176"/>
    </row>
    <row r="90" spans="1:27" x14ac:dyDescent="0.25">
      <c r="A90" s="229">
        <f t="shared" si="72"/>
        <v>3080</v>
      </c>
      <c r="B90" s="230">
        <f t="shared" si="73"/>
        <v>80</v>
      </c>
      <c r="C90" s="229" t="str">
        <f t="shared" si="68"/>
        <v>24cX09_025-090_08</v>
      </c>
      <c r="D90" s="231">
        <f t="shared" si="57"/>
        <v>9</v>
      </c>
      <c r="E90" s="204">
        <f t="shared" si="75"/>
        <v>1.7290000000000001</v>
      </c>
      <c r="F90" s="198">
        <f t="shared" si="76"/>
        <v>19.211111111111112</v>
      </c>
      <c r="G90" s="198">
        <f t="shared" si="77"/>
        <v>15.36888888888889</v>
      </c>
      <c r="H90" s="198">
        <f t="shared" si="78"/>
        <v>9.6055555555555561</v>
      </c>
      <c r="I90" s="198">
        <f t="shared" si="82"/>
        <v>8</v>
      </c>
      <c r="J90" s="233">
        <f t="shared" si="82"/>
        <v>25</v>
      </c>
      <c r="K90" s="194" t="str">
        <f>D90&amp;-8</f>
        <v>9-8</v>
      </c>
      <c r="L90" s="198">
        <f t="shared" si="83"/>
        <v>0.2</v>
      </c>
      <c r="M90" s="49">
        <v>90</v>
      </c>
      <c r="N90" s="198">
        <f t="shared" si="84"/>
        <v>150</v>
      </c>
      <c r="O90" s="198">
        <f t="shared" si="84"/>
        <v>750</v>
      </c>
      <c r="P90" s="56"/>
      <c r="Q90" s="38">
        <f t="shared" ref="Q90:R90" si="93">Q89</f>
        <v>8</v>
      </c>
      <c r="R90" s="38">
        <f t="shared" si="93"/>
        <v>10</v>
      </c>
      <c r="S90" s="39">
        <f t="shared" si="55"/>
        <v>0.59082345962954208</v>
      </c>
      <c r="T90" s="39">
        <f t="shared" si="55"/>
        <v>0.75247987857608445</v>
      </c>
      <c r="U90" s="39">
        <f t="shared" si="70"/>
        <v>0.16165641894654237</v>
      </c>
      <c r="V90" s="39">
        <f t="shared" si="71"/>
        <v>0.18333605966526137</v>
      </c>
      <c r="W90" s="40">
        <f t="shared" si="80"/>
        <v>0.18333605966526137</v>
      </c>
      <c r="X90" s="40" t="s">
        <v>3710</v>
      </c>
      <c r="Y90" s="182">
        <f t="shared" si="67"/>
        <v>22.000327159831365</v>
      </c>
      <c r="Z90" s="182">
        <f t="shared" ref="Z90:Z106" si="94">W90*20</f>
        <v>3.6667211933052273</v>
      </c>
      <c r="AA90" s="176"/>
    </row>
    <row r="91" spans="1:27" x14ac:dyDescent="0.25">
      <c r="A91" s="229">
        <f t="shared" si="72"/>
        <v>3081</v>
      </c>
      <c r="B91" s="230">
        <f t="shared" si="73"/>
        <v>81</v>
      </c>
      <c r="C91" s="229" t="str">
        <f t="shared" si="68"/>
        <v>24cX09_025-000_09</v>
      </c>
      <c r="D91" s="231">
        <f t="shared" si="57"/>
        <v>9</v>
      </c>
      <c r="E91" s="204">
        <f t="shared" ref="E91:E106" si="95">I_ref*(0.75*D91+5.6)</f>
        <v>1.7290000000000001</v>
      </c>
      <c r="F91" s="198">
        <f t="shared" si="76"/>
        <v>19.211111111111112</v>
      </c>
      <c r="G91" s="198">
        <f t="shared" ref="G91:G106" si="96">m_ty*F91</f>
        <v>15.36888888888889</v>
      </c>
      <c r="H91" s="198">
        <f t="shared" ref="H91:H106" si="97">m_tz*F91</f>
        <v>9.6055555555555561</v>
      </c>
      <c r="I91" s="198">
        <f t="shared" si="82"/>
        <v>8</v>
      </c>
      <c r="J91" s="233">
        <f t="shared" si="82"/>
        <v>25</v>
      </c>
      <c r="K91" s="194" t="str">
        <f>D91&amp;-9</f>
        <v>9-9</v>
      </c>
      <c r="L91" s="198">
        <f t="shared" si="83"/>
        <v>0.2</v>
      </c>
      <c r="M91" s="49">
        <v>0</v>
      </c>
      <c r="N91" s="198">
        <f t="shared" si="84"/>
        <v>150</v>
      </c>
      <c r="O91" s="198">
        <f t="shared" si="84"/>
        <v>750</v>
      </c>
      <c r="P91" s="56"/>
      <c r="Q91" s="38">
        <f t="shared" ref="Q91:R91" si="98">Q90</f>
        <v>8</v>
      </c>
      <c r="R91" s="38">
        <f t="shared" si="98"/>
        <v>10</v>
      </c>
      <c r="S91" s="39">
        <f t="shared" si="55"/>
        <v>0.59082345962954208</v>
      </c>
      <c r="T91" s="39">
        <f t="shared" si="55"/>
        <v>0.75247987857608445</v>
      </c>
      <c r="U91" s="39">
        <f t="shared" si="70"/>
        <v>0.16165641894654237</v>
      </c>
      <c r="V91" s="39">
        <f t="shared" si="71"/>
        <v>0.18333605966526137</v>
      </c>
      <c r="W91" s="40">
        <f t="shared" si="80"/>
        <v>0.18333605966526137</v>
      </c>
      <c r="X91" s="40" t="s">
        <v>3710</v>
      </c>
      <c r="Y91" s="182">
        <f t="shared" si="67"/>
        <v>22.000327159831365</v>
      </c>
      <c r="Z91" s="182">
        <f t="shared" si="94"/>
        <v>3.6667211933052273</v>
      </c>
    </row>
    <row r="92" spans="1:27" x14ac:dyDescent="0.25">
      <c r="A92" s="229">
        <f t="shared" si="72"/>
        <v>3082</v>
      </c>
      <c r="B92" s="230">
        <f t="shared" si="73"/>
        <v>82</v>
      </c>
      <c r="C92" s="229" t="str">
        <f t="shared" si="68"/>
        <v>24cX09_025-030_10</v>
      </c>
      <c r="D92" s="231">
        <f t="shared" si="57"/>
        <v>9</v>
      </c>
      <c r="E92" s="204">
        <f t="shared" si="95"/>
        <v>1.7290000000000001</v>
      </c>
      <c r="F92" s="198">
        <f t="shared" si="76"/>
        <v>19.211111111111112</v>
      </c>
      <c r="G92" s="198">
        <f t="shared" si="96"/>
        <v>15.36888888888889</v>
      </c>
      <c r="H92" s="198">
        <f t="shared" si="97"/>
        <v>9.6055555555555561</v>
      </c>
      <c r="I92" s="198">
        <f t="shared" si="82"/>
        <v>8</v>
      </c>
      <c r="J92" s="233">
        <f t="shared" si="82"/>
        <v>25</v>
      </c>
      <c r="K92" s="194" t="str">
        <f>D92&amp;-10</f>
        <v>9-10</v>
      </c>
      <c r="L92" s="198">
        <f t="shared" si="83"/>
        <v>0.2</v>
      </c>
      <c r="M92" s="49">
        <v>30</v>
      </c>
      <c r="N92" s="198">
        <f t="shared" si="84"/>
        <v>150</v>
      </c>
      <c r="O92" s="198">
        <f t="shared" si="84"/>
        <v>750</v>
      </c>
      <c r="P92" s="56"/>
      <c r="Q92" s="38">
        <f t="shared" ref="Q92:R92" si="99">Q91</f>
        <v>8</v>
      </c>
      <c r="R92" s="38">
        <f t="shared" si="99"/>
        <v>10</v>
      </c>
      <c r="S92" s="39">
        <f t="shared" si="55"/>
        <v>0.59082345962954208</v>
      </c>
      <c r="T92" s="39">
        <f t="shared" si="55"/>
        <v>0.75247987857608445</v>
      </c>
      <c r="U92" s="39">
        <f t="shared" si="70"/>
        <v>0.16165641894654237</v>
      </c>
      <c r="V92" s="39">
        <f t="shared" si="71"/>
        <v>0.18333605966526137</v>
      </c>
      <c r="W92" s="40">
        <f t="shared" si="80"/>
        <v>0.18333605966526137</v>
      </c>
      <c r="X92" s="40" t="s">
        <v>3710</v>
      </c>
      <c r="Y92" s="182">
        <f t="shared" si="67"/>
        <v>22.000327159831365</v>
      </c>
      <c r="Z92" s="182">
        <f t="shared" si="94"/>
        <v>3.6667211933052273</v>
      </c>
    </row>
    <row r="93" spans="1:27" x14ac:dyDescent="0.25">
      <c r="A93" s="229">
        <f t="shared" si="72"/>
        <v>3083</v>
      </c>
      <c r="B93" s="230">
        <f t="shared" si="73"/>
        <v>83</v>
      </c>
      <c r="C93" s="229" t="str">
        <f t="shared" si="68"/>
        <v>24cX09_025-060_11</v>
      </c>
      <c r="D93" s="231">
        <f t="shared" si="57"/>
        <v>9</v>
      </c>
      <c r="E93" s="204">
        <f t="shared" si="95"/>
        <v>1.7290000000000001</v>
      </c>
      <c r="F93" s="198">
        <f t="shared" si="76"/>
        <v>19.211111111111112</v>
      </c>
      <c r="G93" s="198">
        <f t="shared" si="96"/>
        <v>15.36888888888889</v>
      </c>
      <c r="H93" s="198">
        <f t="shared" si="97"/>
        <v>9.6055555555555561</v>
      </c>
      <c r="I93" s="198">
        <f t="shared" si="82"/>
        <v>8</v>
      </c>
      <c r="J93" s="233">
        <f t="shared" si="82"/>
        <v>25</v>
      </c>
      <c r="K93" s="194" t="str">
        <f>D93&amp;-11</f>
        <v>9-11</v>
      </c>
      <c r="L93" s="198">
        <f t="shared" si="83"/>
        <v>0.2</v>
      </c>
      <c r="M93" s="49">
        <v>60</v>
      </c>
      <c r="N93" s="198">
        <f t="shared" si="84"/>
        <v>150</v>
      </c>
      <c r="O93" s="198">
        <f t="shared" si="84"/>
        <v>750</v>
      </c>
      <c r="P93" s="56"/>
      <c r="Q93" s="38">
        <f t="shared" ref="Q93:R93" si="100">Q92</f>
        <v>8</v>
      </c>
      <c r="R93" s="38">
        <f t="shared" si="100"/>
        <v>10</v>
      </c>
      <c r="S93" s="39">
        <f t="shared" si="55"/>
        <v>0.59082345962954208</v>
      </c>
      <c r="T93" s="39">
        <f t="shared" si="55"/>
        <v>0.75247987857608445</v>
      </c>
      <c r="U93" s="39">
        <f t="shared" si="70"/>
        <v>0.16165641894654237</v>
      </c>
      <c r="V93" s="39">
        <f t="shared" si="71"/>
        <v>0.18333605966526137</v>
      </c>
      <c r="W93" s="40">
        <f t="shared" si="80"/>
        <v>0.18333605966526137</v>
      </c>
      <c r="X93" s="40" t="s">
        <v>3710</v>
      </c>
      <c r="Y93" s="182">
        <f t="shared" si="67"/>
        <v>22.000327159831365</v>
      </c>
      <c r="Z93" s="182">
        <f t="shared" si="94"/>
        <v>3.6667211933052273</v>
      </c>
    </row>
    <row r="94" spans="1:27" x14ac:dyDescent="0.25">
      <c r="A94" s="229">
        <f t="shared" si="72"/>
        <v>3084</v>
      </c>
      <c r="B94" s="230">
        <f t="shared" si="73"/>
        <v>84</v>
      </c>
      <c r="C94" s="229" t="str">
        <f t="shared" si="68"/>
        <v>24cX09_025-090_12</v>
      </c>
      <c r="D94" s="231">
        <f t="shared" si="57"/>
        <v>9</v>
      </c>
      <c r="E94" s="204">
        <f t="shared" si="95"/>
        <v>1.7290000000000001</v>
      </c>
      <c r="F94" s="198">
        <f t="shared" si="76"/>
        <v>19.211111111111112</v>
      </c>
      <c r="G94" s="198">
        <f t="shared" si="96"/>
        <v>15.36888888888889</v>
      </c>
      <c r="H94" s="198">
        <f t="shared" si="97"/>
        <v>9.6055555555555561</v>
      </c>
      <c r="I94" s="198">
        <f t="shared" si="82"/>
        <v>8</v>
      </c>
      <c r="J94" s="233">
        <f t="shared" si="82"/>
        <v>25</v>
      </c>
      <c r="K94" s="194" t="str">
        <f>D94&amp;-12</f>
        <v>9-12</v>
      </c>
      <c r="L94" s="198">
        <f t="shared" si="83"/>
        <v>0.2</v>
      </c>
      <c r="M94" s="49">
        <v>90</v>
      </c>
      <c r="N94" s="198">
        <f t="shared" si="84"/>
        <v>150</v>
      </c>
      <c r="O94" s="198">
        <f t="shared" si="84"/>
        <v>750</v>
      </c>
      <c r="P94" s="56"/>
      <c r="Q94" s="38">
        <f t="shared" ref="Q94:R94" si="101">Q93</f>
        <v>8</v>
      </c>
      <c r="R94" s="38">
        <f t="shared" si="101"/>
        <v>10</v>
      </c>
      <c r="S94" s="39">
        <f t="shared" si="55"/>
        <v>0.59082345962954208</v>
      </c>
      <c r="T94" s="39">
        <f t="shared" si="55"/>
        <v>0.75247987857608445</v>
      </c>
      <c r="U94" s="39">
        <f t="shared" si="70"/>
        <v>0.16165641894654237</v>
      </c>
      <c r="V94" s="39">
        <f t="shared" si="71"/>
        <v>0.18333605966526137</v>
      </c>
      <c r="W94" s="40">
        <f t="shared" si="80"/>
        <v>0.18333605966526137</v>
      </c>
      <c r="X94" s="40" t="s">
        <v>3710</v>
      </c>
      <c r="Y94" s="182">
        <f t="shared" si="67"/>
        <v>22.000327159831365</v>
      </c>
      <c r="Z94" s="182">
        <f t="shared" si="94"/>
        <v>3.6667211933052273</v>
      </c>
    </row>
    <row r="95" spans="1:27" x14ac:dyDescent="0.25">
      <c r="A95" s="229">
        <f t="shared" si="72"/>
        <v>3085</v>
      </c>
      <c r="B95" s="230">
        <f t="shared" si="73"/>
        <v>85</v>
      </c>
      <c r="C95" s="229" t="str">
        <f t="shared" si="68"/>
        <v>24cX09_335-000_01</v>
      </c>
      <c r="D95" s="231">
        <f>D94</f>
        <v>9</v>
      </c>
      <c r="E95" s="204">
        <f t="shared" si="95"/>
        <v>1.7290000000000001</v>
      </c>
      <c r="F95" s="198">
        <f t="shared" si="76"/>
        <v>19.211111111111112</v>
      </c>
      <c r="G95" s="198">
        <f t="shared" si="96"/>
        <v>15.36888888888889</v>
      </c>
      <c r="H95" s="198">
        <f t="shared" si="97"/>
        <v>9.6055555555555561</v>
      </c>
      <c r="I95" s="198">
        <f t="shared" si="82"/>
        <v>8</v>
      </c>
      <c r="J95" s="233">
        <f>-J83</f>
        <v>-25</v>
      </c>
      <c r="K95" s="194" t="str">
        <f>D95&amp;-1</f>
        <v>9-1</v>
      </c>
      <c r="L95" s="198">
        <f t="shared" si="83"/>
        <v>0.2</v>
      </c>
      <c r="M95" s="49">
        <v>0</v>
      </c>
      <c r="N95" s="198">
        <f t="shared" si="84"/>
        <v>150</v>
      </c>
      <c r="O95" s="198">
        <f t="shared" si="84"/>
        <v>750</v>
      </c>
      <c r="P95" s="56"/>
      <c r="Q95" s="38">
        <f t="shared" ref="Q95:Q96" si="102">Q94</f>
        <v>8</v>
      </c>
      <c r="R95" s="38">
        <f>Q95+v_step</f>
        <v>10</v>
      </c>
      <c r="S95" s="39">
        <f t="shared" si="55"/>
        <v>0.59082345962954208</v>
      </c>
      <c r="T95" s="39">
        <f t="shared" si="55"/>
        <v>0.75247987857608445</v>
      </c>
      <c r="U95" s="39">
        <f t="shared" si="70"/>
        <v>0.16165641894654237</v>
      </c>
      <c r="V95" s="39">
        <f t="shared" si="71"/>
        <v>0.18333605966526137</v>
      </c>
      <c r="W95" s="40">
        <f t="shared" si="80"/>
        <v>0.18333605966526137</v>
      </c>
      <c r="X95" s="40" t="s">
        <v>3710</v>
      </c>
      <c r="Y95" s="182">
        <f t="shared" si="67"/>
        <v>22.000327159831365</v>
      </c>
      <c r="Z95" s="182">
        <f t="shared" si="94"/>
        <v>3.6667211933052273</v>
      </c>
    </row>
    <row r="96" spans="1:27" x14ac:dyDescent="0.25">
      <c r="A96" s="229">
        <f t="shared" si="72"/>
        <v>3086</v>
      </c>
      <c r="B96" s="230">
        <f t="shared" si="73"/>
        <v>86</v>
      </c>
      <c r="C96" s="229" t="str">
        <f t="shared" si="68"/>
        <v>24cX09_335-030_02</v>
      </c>
      <c r="D96" s="231">
        <f t="shared" ref="D96" si="103">D95</f>
        <v>9</v>
      </c>
      <c r="E96" s="204">
        <f t="shared" si="95"/>
        <v>1.7290000000000001</v>
      </c>
      <c r="F96" s="198">
        <f t="shared" si="76"/>
        <v>19.211111111111112</v>
      </c>
      <c r="G96" s="198">
        <f t="shared" si="96"/>
        <v>15.36888888888889</v>
      </c>
      <c r="H96" s="198">
        <f t="shared" si="97"/>
        <v>9.6055555555555561</v>
      </c>
      <c r="I96" s="198">
        <f t="shared" si="82"/>
        <v>8</v>
      </c>
      <c r="J96" s="233">
        <f>J95</f>
        <v>-25</v>
      </c>
      <c r="K96" s="194" t="str">
        <f>D96&amp;-2</f>
        <v>9-2</v>
      </c>
      <c r="L96" s="198">
        <f t="shared" si="83"/>
        <v>0.2</v>
      </c>
      <c r="M96" s="49">
        <v>30</v>
      </c>
      <c r="N96" s="198">
        <f t="shared" si="84"/>
        <v>150</v>
      </c>
      <c r="O96" s="198">
        <f t="shared" si="84"/>
        <v>750</v>
      </c>
      <c r="P96" s="56"/>
      <c r="Q96" s="38">
        <f t="shared" si="102"/>
        <v>8</v>
      </c>
      <c r="R96" s="38">
        <f t="shared" ref="R96" si="104">R95</f>
        <v>10</v>
      </c>
      <c r="S96" s="39">
        <f t="shared" si="55"/>
        <v>0.59082345962954208</v>
      </c>
      <c r="T96" s="39">
        <f t="shared" si="55"/>
        <v>0.75247987857608445</v>
      </c>
      <c r="U96" s="39">
        <f t="shared" si="70"/>
        <v>0.16165641894654237</v>
      </c>
      <c r="V96" s="39">
        <f t="shared" si="71"/>
        <v>0.18333605966526137</v>
      </c>
      <c r="W96" s="40">
        <f t="shared" si="80"/>
        <v>0.18333605966526137</v>
      </c>
      <c r="X96" s="40" t="s">
        <v>3710</v>
      </c>
      <c r="Y96" s="182">
        <f t="shared" si="67"/>
        <v>22.000327159831365</v>
      </c>
      <c r="Z96" s="182">
        <f t="shared" si="94"/>
        <v>3.6667211933052273</v>
      </c>
    </row>
    <row r="97" spans="1:26" x14ac:dyDescent="0.25">
      <c r="A97" s="229">
        <f t="shared" si="72"/>
        <v>3087</v>
      </c>
      <c r="B97" s="230">
        <f t="shared" si="73"/>
        <v>87</v>
      </c>
      <c r="C97" s="229" t="str">
        <f t="shared" si="68"/>
        <v>24cX09_335-060_03</v>
      </c>
      <c r="D97" s="231">
        <f t="shared" si="57"/>
        <v>9</v>
      </c>
      <c r="E97" s="204">
        <f t="shared" si="95"/>
        <v>1.7290000000000001</v>
      </c>
      <c r="F97" s="198">
        <f t="shared" si="76"/>
        <v>19.211111111111112</v>
      </c>
      <c r="G97" s="198">
        <f t="shared" si="96"/>
        <v>15.36888888888889</v>
      </c>
      <c r="H97" s="198">
        <f t="shared" si="97"/>
        <v>9.6055555555555561</v>
      </c>
      <c r="I97" s="198">
        <f t="shared" si="82"/>
        <v>8</v>
      </c>
      <c r="J97" s="233">
        <f t="shared" si="82"/>
        <v>-25</v>
      </c>
      <c r="K97" s="194" t="str">
        <f>D97&amp;-3</f>
        <v>9-3</v>
      </c>
      <c r="L97" s="198">
        <f t="shared" si="83"/>
        <v>0.2</v>
      </c>
      <c r="M97" s="49">
        <v>60</v>
      </c>
      <c r="N97" s="198">
        <f t="shared" si="84"/>
        <v>150</v>
      </c>
      <c r="O97" s="198">
        <f t="shared" si="84"/>
        <v>750</v>
      </c>
      <c r="P97" s="56"/>
      <c r="Q97" s="38">
        <f t="shared" ref="Q97:R97" si="105">Q96</f>
        <v>8</v>
      </c>
      <c r="R97" s="38">
        <f t="shared" si="105"/>
        <v>10</v>
      </c>
      <c r="S97" s="39">
        <f t="shared" si="55"/>
        <v>0.59082345962954208</v>
      </c>
      <c r="T97" s="39">
        <f t="shared" si="55"/>
        <v>0.75247987857608445</v>
      </c>
      <c r="U97" s="39">
        <f t="shared" si="70"/>
        <v>0.16165641894654237</v>
      </c>
      <c r="V97" s="39">
        <f t="shared" si="71"/>
        <v>0.18333605966526137</v>
      </c>
      <c r="W97" s="40">
        <f t="shared" si="80"/>
        <v>0.18333605966526137</v>
      </c>
      <c r="X97" s="40" t="s">
        <v>3710</v>
      </c>
      <c r="Y97" s="182">
        <f t="shared" si="67"/>
        <v>22.000327159831365</v>
      </c>
      <c r="Z97" s="182">
        <f t="shared" si="94"/>
        <v>3.6667211933052273</v>
      </c>
    </row>
    <row r="98" spans="1:26" x14ac:dyDescent="0.25">
      <c r="A98" s="229">
        <f t="shared" si="72"/>
        <v>3088</v>
      </c>
      <c r="B98" s="230">
        <f t="shared" si="73"/>
        <v>88</v>
      </c>
      <c r="C98" s="229" t="str">
        <f t="shared" si="68"/>
        <v>24cX09_335-090_04</v>
      </c>
      <c r="D98" s="231">
        <f t="shared" si="57"/>
        <v>9</v>
      </c>
      <c r="E98" s="204">
        <f t="shared" si="95"/>
        <v>1.7290000000000001</v>
      </c>
      <c r="F98" s="198">
        <f t="shared" si="76"/>
        <v>19.211111111111112</v>
      </c>
      <c r="G98" s="198">
        <f t="shared" si="96"/>
        <v>15.36888888888889</v>
      </c>
      <c r="H98" s="198">
        <f t="shared" si="97"/>
        <v>9.6055555555555561</v>
      </c>
      <c r="I98" s="198">
        <f t="shared" ref="I98:J106" si="106">I97</f>
        <v>8</v>
      </c>
      <c r="J98" s="233">
        <f t="shared" si="106"/>
        <v>-25</v>
      </c>
      <c r="K98" s="194" t="str">
        <f>D98&amp;-4</f>
        <v>9-4</v>
      </c>
      <c r="L98" s="198">
        <f t="shared" si="83"/>
        <v>0.2</v>
      </c>
      <c r="M98" s="49">
        <v>90</v>
      </c>
      <c r="N98" s="198">
        <f t="shared" si="84"/>
        <v>150</v>
      </c>
      <c r="O98" s="198">
        <f t="shared" si="84"/>
        <v>750</v>
      </c>
      <c r="P98" s="56"/>
      <c r="Q98" s="38">
        <f t="shared" ref="Q98:R98" si="107">Q97</f>
        <v>8</v>
      </c>
      <c r="R98" s="38">
        <f t="shared" si="107"/>
        <v>10</v>
      </c>
      <c r="S98" s="39">
        <f t="shared" si="55"/>
        <v>0.59082345962954208</v>
      </c>
      <c r="T98" s="39">
        <f t="shared" si="55"/>
        <v>0.75247987857608445</v>
      </c>
      <c r="U98" s="39">
        <f t="shared" si="70"/>
        <v>0.16165641894654237</v>
      </c>
      <c r="V98" s="39">
        <f t="shared" si="71"/>
        <v>0.18333605966526137</v>
      </c>
      <c r="W98" s="40">
        <f t="shared" si="80"/>
        <v>0.18333605966526137</v>
      </c>
      <c r="X98" s="40" t="s">
        <v>3710</v>
      </c>
      <c r="Y98" s="182">
        <f t="shared" si="67"/>
        <v>22.000327159831365</v>
      </c>
      <c r="Z98" s="182">
        <f t="shared" si="94"/>
        <v>3.6667211933052273</v>
      </c>
    </row>
    <row r="99" spans="1:26" x14ac:dyDescent="0.25">
      <c r="A99" s="229">
        <f t="shared" si="72"/>
        <v>3089</v>
      </c>
      <c r="B99" s="230">
        <f t="shared" si="73"/>
        <v>89</v>
      </c>
      <c r="C99" s="229" t="str">
        <f t="shared" si="68"/>
        <v>24cX09_335-000_05</v>
      </c>
      <c r="D99" s="231">
        <f t="shared" si="57"/>
        <v>9</v>
      </c>
      <c r="E99" s="204">
        <f t="shared" si="95"/>
        <v>1.7290000000000001</v>
      </c>
      <c r="F99" s="198">
        <f t="shared" si="76"/>
        <v>19.211111111111112</v>
      </c>
      <c r="G99" s="198">
        <f t="shared" si="96"/>
        <v>15.36888888888889</v>
      </c>
      <c r="H99" s="198">
        <f t="shared" si="97"/>
        <v>9.6055555555555561</v>
      </c>
      <c r="I99" s="198">
        <f t="shared" si="106"/>
        <v>8</v>
      </c>
      <c r="J99" s="233">
        <f t="shared" si="106"/>
        <v>-25</v>
      </c>
      <c r="K99" s="194" t="str">
        <f>D99&amp;-5</f>
        <v>9-5</v>
      </c>
      <c r="L99" s="198">
        <f t="shared" si="83"/>
        <v>0.2</v>
      </c>
      <c r="M99" s="49">
        <v>0</v>
      </c>
      <c r="N99" s="198">
        <f t="shared" si="84"/>
        <v>150</v>
      </c>
      <c r="O99" s="198">
        <f t="shared" si="84"/>
        <v>750</v>
      </c>
      <c r="P99" s="56"/>
      <c r="Q99" s="38">
        <f t="shared" ref="Q99:R99" si="108">Q98</f>
        <v>8</v>
      </c>
      <c r="R99" s="38">
        <f t="shared" si="108"/>
        <v>10</v>
      </c>
      <c r="S99" s="39">
        <f t="shared" si="55"/>
        <v>0.59082345962954208</v>
      </c>
      <c r="T99" s="39">
        <f t="shared" si="55"/>
        <v>0.75247987857608445</v>
      </c>
      <c r="U99" s="39">
        <f t="shared" si="70"/>
        <v>0.16165641894654237</v>
      </c>
      <c r="V99" s="39">
        <f t="shared" si="71"/>
        <v>0.18333605966526137</v>
      </c>
      <c r="W99" s="40">
        <f t="shared" si="80"/>
        <v>0.18333605966526137</v>
      </c>
      <c r="X99" s="40" t="s">
        <v>3710</v>
      </c>
      <c r="Y99" s="182">
        <f t="shared" si="67"/>
        <v>22.000327159831365</v>
      </c>
      <c r="Z99" s="182">
        <f t="shared" si="94"/>
        <v>3.6667211933052273</v>
      </c>
    </row>
    <row r="100" spans="1:26" x14ac:dyDescent="0.25">
      <c r="A100" s="229">
        <f t="shared" si="72"/>
        <v>3090</v>
      </c>
      <c r="B100" s="230">
        <f t="shared" si="73"/>
        <v>90</v>
      </c>
      <c r="C100" s="229" t="str">
        <f t="shared" si="68"/>
        <v>24cX09_335-030_06</v>
      </c>
      <c r="D100" s="231">
        <f t="shared" si="57"/>
        <v>9</v>
      </c>
      <c r="E100" s="204">
        <f t="shared" si="95"/>
        <v>1.7290000000000001</v>
      </c>
      <c r="F100" s="198">
        <f t="shared" si="76"/>
        <v>19.211111111111112</v>
      </c>
      <c r="G100" s="198">
        <f t="shared" si="96"/>
        <v>15.36888888888889</v>
      </c>
      <c r="H100" s="198">
        <f t="shared" si="97"/>
        <v>9.6055555555555561</v>
      </c>
      <c r="I100" s="198">
        <f t="shared" si="106"/>
        <v>8</v>
      </c>
      <c r="J100" s="233">
        <f t="shared" si="106"/>
        <v>-25</v>
      </c>
      <c r="K100" s="194" t="str">
        <f>D100&amp;-6</f>
        <v>9-6</v>
      </c>
      <c r="L100" s="198">
        <f t="shared" si="83"/>
        <v>0.2</v>
      </c>
      <c r="M100" s="49">
        <v>30</v>
      </c>
      <c r="N100" s="198">
        <f t="shared" ref="N100:O106" si="109">N99</f>
        <v>150</v>
      </c>
      <c r="O100" s="198">
        <f t="shared" si="109"/>
        <v>750</v>
      </c>
      <c r="P100" s="56"/>
      <c r="Q100" s="38">
        <f t="shared" ref="Q100:R100" si="110">Q99</f>
        <v>8</v>
      </c>
      <c r="R100" s="38">
        <f t="shared" si="110"/>
        <v>10</v>
      </c>
      <c r="S100" s="39">
        <f t="shared" si="55"/>
        <v>0.59082345962954208</v>
      </c>
      <c r="T100" s="39">
        <f t="shared" si="55"/>
        <v>0.75247987857608445</v>
      </c>
      <c r="U100" s="39">
        <f t="shared" si="70"/>
        <v>0.16165641894654237</v>
      </c>
      <c r="V100" s="39">
        <f t="shared" si="71"/>
        <v>0.18333605966526137</v>
      </c>
      <c r="W100" s="40">
        <f t="shared" si="80"/>
        <v>0.18333605966526137</v>
      </c>
      <c r="X100" s="40" t="s">
        <v>3710</v>
      </c>
      <c r="Y100" s="182">
        <f t="shared" si="67"/>
        <v>22.000327159831365</v>
      </c>
      <c r="Z100" s="182">
        <f t="shared" si="94"/>
        <v>3.6667211933052273</v>
      </c>
    </row>
    <row r="101" spans="1:26" x14ac:dyDescent="0.25">
      <c r="A101" s="229">
        <f t="shared" si="72"/>
        <v>3091</v>
      </c>
      <c r="B101" s="230">
        <f t="shared" si="73"/>
        <v>91</v>
      </c>
      <c r="C101" s="229" t="str">
        <f t="shared" si="68"/>
        <v>24cX09_335-060_07</v>
      </c>
      <c r="D101" s="231">
        <f t="shared" si="57"/>
        <v>9</v>
      </c>
      <c r="E101" s="204">
        <f t="shared" si="95"/>
        <v>1.7290000000000001</v>
      </c>
      <c r="F101" s="198">
        <f t="shared" si="76"/>
        <v>19.211111111111112</v>
      </c>
      <c r="G101" s="198">
        <f t="shared" si="96"/>
        <v>15.36888888888889</v>
      </c>
      <c r="H101" s="198">
        <f t="shared" si="97"/>
        <v>9.6055555555555561</v>
      </c>
      <c r="I101" s="198">
        <f t="shared" si="106"/>
        <v>8</v>
      </c>
      <c r="J101" s="233">
        <f t="shared" si="106"/>
        <v>-25</v>
      </c>
      <c r="K101" s="194" t="str">
        <f>D101&amp;-7</f>
        <v>9-7</v>
      </c>
      <c r="L101" s="198">
        <f t="shared" si="83"/>
        <v>0.2</v>
      </c>
      <c r="M101" s="49">
        <v>60</v>
      </c>
      <c r="N101" s="198">
        <f t="shared" si="109"/>
        <v>150</v>
      </c>
      <c r="O101" s="198">
        <f t="shared" si="109"/>
        <v>750</v>
      </c>
      <c r="P101" s="56"/>
      <c r="Q101" s="38">
        <f t="shared" ref="Q101:R101" si="111">Q100</f>
        <v>8</v>
      </c>
      <c r="R101" s="38">
        <f t="shared" si="111"/>
        <v>10</v>
      </c>
      <c r="S101" s="39">
        <f t="shared" si="55"/>
        <v>0.59082345962954208</v>
      </c>
      <c r="T101" s="39">
        <f t="shared" si="55"/>
        <v>0.75247987857608445</v>
      </c>
      <c r="U101" s="39">
        <f t="shared" si="70"/>
        <v>0.16165641894654237</v>
      </c>
      <c r="V101" s="39">
        <f t="shared" si="71"/>
        <v>0.18333605966526137</v>
      </c>
      <c r="W101" s="40">
        <f t="shared" si="80"/>
        <v>0.18333605966526137</v>
      </c>
      <c r="X101" s="40" t="s">
        <v>3710</v>
      </c>
      <c r="Y101" s="182">
        <f t="shared" si="67"/>
        <v>22.000327159831365</v>
      </c>
      <c r="Z101" s="182">
        <f t="shared" si="94"/>
        <v>3.6667211933052273</v>
      </c>
    </row>
    <row r="102" spans="1:26" x14ac:dyDescent="0.25">
      <c r="A102" s="229">
        <f t="shared" si="72"/>
        <v>3092</v>
      </c>
      <c r="B102" s="230">
        <f t="shared" si="73"/>
        <v>92</v>
      </c>
      <c r="C102" s="229" t="str">
        <f t="shared" si="68"/>
        <v>24cX09_335-090_08</v>
      </c>
      <c r="D102" s="231">
        <f t="shared" si="57"/>
        <v>9</v>
      </c>
      <c r="E102" s="204">
        <f t="shared" si="95"/>
        <v>1.7290000000000001</v>
      </c>
      <c r="F102" s="198">
        <f t="shared" si="76"/>
        <v>19.211111111111112</v>
      </c>
      <c r="G102" s="198">
        <f t="shared" si="96"/>
        <v>15.36888888888889</v>
      </c>
      <c r="H102" s="198">
        <f t="shared" si="97"/>
        <v>9.6055555555555561</v>
      </c>
      <c r="I102" s="198">
        <f t="shared" si="106"/>
        <v>8</v>
      </c>
      <c r="J102" s="233">
        <f t="shared" si="106"/>
        <v>-25</v>
      </c>
      <c r="K102" s="194" t="str">
        <f>D102&amp;-8</f>
        <v>9-8</v>
      </c>
      <c r="L102" s="198">
        <f t="shared" si="83"/>
        <v>0.2</v>
      </c>
      <c r="M102" s="49">
        <v>90</v>
      </c>
      <c r="N102" s="198">
        <f t="shared" si="109"/>
        <v>150</v>
      </c>
      <c r="O102" s="198">
        <f t="shared" si="109"/>
        <v>750</v>
      </c>
      <c r="P102" s="56"/>
      <c r="Q102" s="38">
        <f t="shared" ref="Q102:R102" si="112">Q101</f>
        <v>8</v>
      </c>
      <c r="R102" s="38">
        <f t="shared" si="112"/>
        <v>10</v>
      </c>
      <c r="S102" s="39">
        <f t="shared" si="55"/>
        <v>0.59082345962954208</v>
      </c>
      <c r="T102" s="39">
        <f t="shared" si="55"/>
        <v>0.75247987857608445</v>
      </c>
      <c r="U102" s="39">
        <f t="shared" si="70"/>
        <v>0.16165641894654237</v>
      </c>
      <c r="V102" s="39">
        <f t="shared" si="71"/>
        <v>0.18333605966526137</v>
      </c>
      <c r="W102" s="40">
        <f t="shared" si="80"/>
        <v>0.18333605966526137</v>
      </c>
      <c r="X102" s="40" t="s">
        <v>3710</v>
      </c>
      <c r="Y102" s="182">
        <f t="shared" si="67"/>
        <v>22.000327159831365</v>
      </c>
      <c r="Z102" s="182">
        <f t="shared" si="94"/>
        <v>3.6667211933052273</v>
      </c>
    </row>
    <row r="103" spans="1:26" x14ac:dyDescent="0.25">
      <c r="A103" s="229">
        <f t="shared" si="72"/>
        <v>3093</v>
      </c>
      <c r="B103" s="230">
        <f t="shared" si="73"/>
        <v>93</v>
      </c>
      <c r="C103" s="229" t="str">
        <f t="shared" si="68"/>
        <v>24cX09_335-000_09</v>
      </c>
      <c r="D103" s="231">
        <f t="shared" si="57"/>
        <v>9</v>
      </c>
      <c r="E103" s="204">
        <f t="shared" si="95"/>
        <v>1.7290000000000001</v>
      </c>
      <c r="F103" s="198">
        <f t="shared" si="76"/>
        <v>19.211111111111112</v>
      </c>
      <c r="G103" s="198">
        <f t="shared" si="96"/>
        <v>15.36888888888889</v>
      </c>
      <c r="H103" s="198">
        <f t="shared" si="97"/>
        <v>9.6055555555555561</v>
      </c>
      <c r="I103" s="198">
        <f t="shared" si="106"/>
        <v>8</v>
      </c>
      <c r="J103" s="233">
        <f t="shared" si="106"/>
        <v>-25</v>
      </c>
      <c r="K103" s="194" t="str">
        <f>D103&amp;-9</f>
        <v>9-9</v>
      </c>
      <c r="L103" s="198">
        <f t="shared" si="83"/>
        <v>0.2</v>
      </c>
      <c r="M103" s="49">
        <v>0</v>
      </c>
      <c r="N103" s="198">
        <f t="shared" si="109"/>
        <v>150</v>
      </c>
      <c r="O103" s="198">
        <f t="shared" si="109"/>
        <v>750</v>
      </c>
      <c r="P103" s="56"/>
      <c r="Q103" s="38">
        <f t="shared" ref="Q103:R103" si="113">Q102</f>
        <v>8</v>
      </c>
      <c r="R103" s="38">
        <f t="shared" si="113"/>
        <v>10</v>
      </c>
      <c r="S103" s="39">
        <f t="shared" si="55"/>
        <v>0.59082345962954208</v>
      </c>
      <c r="T103" s="39">
        <f t="shared" si="55"/>
        <v>0.75247987857608445</v>
      </c>
      <c r="U103" s="39">
        <f t="shared" si="70"/>
        <v>0.16165641894654237</v>
      </c>
      <c r="V103" s="39">
        <f t="shared" si="71"/>
        <v>0.18333605966526137</v>
      </c>
      <c r="W103" s="40">
        <f t="shared" si="80"/>
        <v>0.18333605966526137</v>
      </c>
      <c r="X103" s="40" t="s">
        <v>3710</v>
      </c>
      <c r="Y103" s="182">
        <f t="shared" si="67"/>
        <v>22.000327159831365</v>
      </c>
      <c r="Z103" s="182">
        <f t="shared" si="94"/>
        <v>3.6667211933052273</v>
      </c>
    </row>
    <row r="104" spans="1:26" x14ac:dyDescent="0.25">
      <c r="A104" s="229">
        <f t="shared" si="72"/>
        <v>3094</v>
      </c>
      <c r="B104" s="230">
        <f t="shared" si="73"/>
        <v>94</v>
      </c>
      <c r="C104" s="229" t="str">
        <f t="shared" si="68"/>
        <v>24cX09_335-030_10</v>
      </c>
      <c r="D104" s="231">
        <f t="shared" si="57"/>
        <v>9</v>
      </c>
      <c r="E104" s="204">
        <f t="shared" si="95"/>
        <v>1.7290000000000001</v>
      </c>
      <c r="F104" s="198">
        <f t="shared" si="76"/>
        <v>19.211111111111112</v>
      </c>
      <c r="G104" s="198">
        <f t="shared" si="96"/>
        <v>15.36888888888889</v>
      </c>
      <c r="H104" s="198">
        <f t="shared" si="97"/>
        <v>9.6055555555555561</v>
      </c>
      <c r="I104" s="198">
        <f t="shared" si="106"/>
        <v>8</v>
      </c>
      <c r="J104" s="233">
        <f t="shared" si="106"/>
        <v>-25</v>
      </c>
      <c r="K104" s="194" t="str">
        <f>D104&amp;-10</f>
        <v>9-10</v>
      </c>
      <c r="L104" s="198">
        <f t="shared" si="83"/>
        <v>0.2</v>
      </c>
      <c r="M104" s="49">
        <v>30</v>
      </c>
      <c r="N104" s="198">
        <f t="shared" si="109"/>
        <v>150</v>
      </c>
      <c r="O104" s="198">
        <f t="shared" si="109"/>
        <v>750</v>
      </c>
      <c r="P104" s="56"/>
      <c r="Q104" s="38">
        <f t="shared" ref="Q104:R104" si="114">Q103</f>
        <v>8</v>
      </c>
      <c r="R104" s="38">
        <f t="shared" si="114"/>
        <v>10</v>
      </c>
      <c r="S104" s="39">
        <f t="shared" si="55"/>
        <v>0.59082345962954208</v>
      </c>
      <c r="T104" s="39">
        <f t="shared" si="55"/>
        <v>0.75247987857608445</v>
      </c>
      <c r="U104" s="39">
        <f t="shared" si="70"/>
        <v>0.16165641894654237</v>
      </c>
      <c r="V104" s="39">
        <f t="shared" si="71"/>
        <v>0.18333605966526137</v>
      </c>
      <c r="W104" s="40">
        <f t="shared" si="80"/>
        <v>0.18333605966526137</v>
      </c>
      <c r="X104" s="40" t="s">
        <v>3710</v>
      </c>
      <c r="Y104" s="182">
        <f t="shared" si="67"/>
        <v>22.000327159831365</v>
      </c>
      <c r="Z104" s="182">
        <f t="shared" si="94"/>
        <v>3.6667211933052273</v>
      </c>
    </row>
    <row r="105" spans="1:26" x14ac:dyDescent="0.25">
      <c r="A105" s="229">
        <f t="shared" si="72"/>
        <v>3095</v>
      </c>
      <c r="B105" s="230">
        <f t="shared" si="73"/>
        <v>95</v>
      </c>
      <c r="C105" s="229" t="str">
        <f t="shared" si="68"/>
        <v>24cX09_335-060_11</v>
      </c>
      <c r="D105" s="231">
        <f t="shared" si="57"/>
        <v>9</v>
      </c>
      <c r="E105" s="204">
        <f t="shared" si="95"/>
        <v>1.7290000000000001</v>
      </c>
      <c r="F105" s="198">
        <f t="shared" si="76"/>
        <v>19.211111111111112</v>
      </c>
      <c r="G105" s="198">
        <f t="shared" si="96"/>
        <v>15.36888888888889</v>
      </c>
      <c r="H105" s="198">
        <f t="shared" si="97"/>
        <v>9.6055555555555561</v>
      </c>
      <c r="I105" s="198">
        <f t="shared" si="106"/>
        <v>8</v>
      </c>
      <c r="J105" s="233">
        <f t="shared" si="106"/>
        <v>-25</v>
      </c>
      <c r="K105" s="194" t="str">
        <f>D105&amp;-11</f>
        <v>9-11</v>
      </c>
      <c r="L105" s="198">
        <f t="shared" si="83"/>
        <v>0.2</v>
      </c>
      <c r="M105" s="49">
        <v>60</v>
      </c>
      <c r="N105" s="198">
        <f t="shared" si="109"/>
        <v>150</v>
      </c>
      <c r="O105" s="198">
        <f t="shared" si="109"/>
        <v>750</v>
      </c>
      <c r="P105" s="56"/>
      <c r="Q105" s="38">
        <f t="shared" ref="Q105:R105" si="115">Q104</f>
        <v>8</v>
      </c>
      <c r="R105" s="38">
        <f t="shared" si="115"/>
        <v>10</v>
      </c>
      <c r="S105" s="39">
        <f t="shared" si="55"/>
        <v>0.59082345962954208</v>
      </c>
      <c r="T105" s="39">
        <f t="shared" si="55"/>
        <v>0.75247987857608445</v>
      </c>
      <c r="U105" s="39">
        <f t="shared" si="70"/>
        <v>0.16165641894654237</v>
      </c>
      <c r="V105" s="39">
        <f t="shared" si="71"/>
        <v>0.18333605966526137</v>
      </c>
      <c r="W105" s="40">
        <f t="shared" si="80"/>
        <v>0.18333605966526137</v>
      </c>
      <c r="X105" s="40" t="s">
        <v>3710</v>
      </c>
      <c r="Y105" s="182">
        <f t="shared" si="67"/>
        <v>22.000327159831365</v>
      </c>
      <c r="Z105" s="182">
        <f t="shared" si="94"/>
        <v>3.6667211933052273</v>
      </c>
    </row>
    <row r="106" spans="1:26" x14ac:dyDescent="0.25">
      <c r="A106" s="229">
        <f t="shared" si="72"/>
        <v>3096</v>
      </c>
      <c r="B106" s="230">
        <f t="shared" si="73"/>
        <v>96</v>
      </c>
      <c r="C106" s="229" t="str">
        <f t="shared" si="68"/>
        <v>24cX09_335-090_12</v>
      </c>
      <c r="D106" s="231">
        <f t="shared" si="57"/>
        <v>9</v>
      </c>
      <c r="E106" s="204">
        <f t="shared" si="95"/>
        <v>1.7290000000000001</v>
      </c>
      <c r="F106" s="198">
        <f t="shared" si="76"/>
        <v>19.211111111111112</v>
      </c>
      <c r="G106" s="198">
        <f t="shared" si="96"/>
        <v>15.36888888888889</v>
      </c>
      <c r="H106" s="198">
        <f t="shared" si="97"/>
        <v>9.6055555555555561</v>
      </c>
      <c r="I106" s="198">
        <f t="shared" si="106"/>
        <v>8</v>
      </c>
      <c r="J106" s="233">
        <f t="shared" si="106"/>
        <v>-25</v>
      </c>
      <c r="K106" s="194" t="str">
        <f>D106&amp;-12</f>
        <v>9-12</v>
      </c>
      <c r="L106" s="198">
        <f t="shared" si="83"/>
        <v>0.2</v>
      </c>
      <c r="M106" s="49">
        <v>90</v>
      </c>
      <c r="N106" s="198">
        <f t="shared" si="109"/>
        <v>150</v>
      </c>
      <c r="O106" s="198">
        <f t="shared" si="109"/>
        <v>750</v>
      </c>
      <c r="P106" s="56"/>
      <c r="Q106" s="38">
        <f t="shared" ref="Q106:R106" si="116">Q105</f>
        <v>8</v>
      </c>
      <c r="R106" s="38">
        <f t="shared" si="116"/>
        <v>10</v>
      </c>
      <c r="S106" s="39">
        <f t="shared" si="55"/>
        <v>0.59082345962954208</v>
      </c>
      <c r="T106" s="39">
        <f t="shared" si="55"/>
        <v>0.75247987857608445</v>
      </c>
      <c r="U106" s="39">
        <f t="shared" si="70"/>
        <v>0.16165641894654237</v>
      </c>
      <c r="V106" s="39">
        <f t="shared" si="71"/>
        <v>0.18333605966526137</v>
      </c>
      <c r="W106" s="40">
        <f t="shared" si="80"/>
        <v>0.18333605966526137</v>
      </c>
      <c r="X106" s="40" t="s">
        <v>3710</v>
      </c>
      <c r="Y106" s="182">
        <f t="shared" si="67"/>
        <v>22.000327159831365</v>
      </c>
      <c r="Z106" s="182">
        <f t="shared" si="94"/>
        <v>3.6667211933052273</v>
      </c>
    </row>
    <row r="107" spans="1:26" x14ac:dyDescent="0.25">
      <c r="A107" s="229">
        <f t="shared" si="72"/>
        <v>3097</v>
      </c>
      <c r="B107" s="230">
        <f t="shared" si="73"/>
        <v>97</v>
      </c>
      <c r="C107" s="229" t="str">
        <f t="shared" si="68"/>
        <v>24cX11_025-000_01</v>
      </c>
      <c r="D107" s="231">
        <f t="shared" ref="D107:D155" si="117">D106+2</f>
        <v>11</v>
      </c>
      <c r="E107" s="239">
        <f t="shared" ref="E107:E131" si="118">I_ref*(0.75*D107+5.6)</f>
        <v>1.9390000000000001</v>
      </c>
      <c r="F107" s="232">
        <f t="shared" ref="F107:F131" si="119">E107/D107*100</f>
        <v>17.627272727272729</v>
      </c>
      <c r="G107" s="232">
        <f t="shared" ref="G107:G131" si="120">m_ty*F107</f>
        <v>14.101818181818183</v>
      </c>
      <c r="H107" s="232">
        <f t="shared" ref="H107:H131" si="121">m_tz*F107</f>
        <v>8.8136363636363644</v>
      </c>
      <c r="I107" s="232">
        <f t="shared" ref="I107" si="122">I106</f>
        <v>8</v>
      </c>
      <c r="J107" s="233">
        <v>25</v>
      </c>
      <c r="K107" s="228" t="str">
        <f>D107&amp;-1</f>
        <v>11-1</v>
      </c>
      <c r="L107" s="232">
        <f>alpha_n</f>
        <v>0.2</v>
      </c>
      <c r="M107" s="235">
        <v>0</v>
      </c>
      <c r="N107" s="232">
        <f>t_out</f>
        <v>150</v>
      </c>
      <c r="O107" s="232">
        <f>N107+T_s1</f>
        <v>750</v>
      </c>
      <c r="Q107" s="38">
        <f t="shared" ref="Q107:Q155" si="123">R106</f>
        <v>10</v>
      </c>
      <c r="R107" s="38">
        <f>Q107+v_step</f>
        <v>12</v>
      </c>
      <c r="S107" s="39">
        <f t="shared" si="55"/>
        <v>0.75247987857608445</v>
      </c>
      <c r="T107" s="39">
        <f t="shared" si="55"/>
        <v>0.86609427860023702</v>
      </c>
      <c r="U107" s="39">
        <f t="shared" si="70"/>
        <v>0.11361440002415257</v>
      </c>
      <c r="V107" s="39">
        <f t="shared" si="71"/>
        <v>0.12885115578707076</v>
      </c>
      <c r="W107" s="40">
        <f t="shared" ref="W107:W170" si="124">H_hy*V107/24</f>
        <v>0.12885115578707076</v>
      </c>
      <c r="X107" s="40" t="s">
        <v>3710</v>
      </c>
      <c r="Y107" s="217">
        <f t="shared" ref="Y107:Y170" si="125">Z107*3600/(O107-N107)</f>
        <v>15.462138694448491</v>
      </c>
      <c r="Z107" s="217">
        <f t="shared" ref="Z107:Z170" si="126">W107*20</f>
        <v>2.5770231157414152</v>
      </c>
    </row>
    <row r="108" spans="1:26" x14ac:dyDescent="0.25">
      <c r="A108" s="229">
        <f t="shared" si="72"/>
        <v>3098</v>
      </c>
      <c r="B108" s="230">
        <f t="shared" si="73"/>
        <v>98</v>
      </c>
      <c r="C108" s="229" t="str">
        <f t="shared" si="68"/>
        <v>24cX11_025-030_02</v>
      </c>
      <c r="D108" s="231">
        <f t="shared" si="57"/>
        <v>11</v>
      </c>
      <c r="E108" s="239">
        <f t="shared" si="118"/>
        <v>1.9390000000000001</v>
      </c>
      <c r="F108" s="232">
        <f t="shared" si="119"/>
        <v>17.627272727272729</v>
      </c>
      <c r="G108" s="232">
        <f t="shared" si="120"/>
        <v>14.101818181818183</v>
      </c>
      <c r="H108" s="232">
        <f t="shared" si="121"/>
        <v>8.8136363636363644</v>
      </c>
      <c r="I108" s="232">
        <f t="shared" ref="I108" si="127">I107</f>
        <v>8</v>
      </c>
      <c r="J108" s="233">
        <f t="shared" ref="J108" si="128">J107</f>
        <v>25</v>
      </c>
      <c r="K108" s="228" t="str">
        <f>D108&amp;-2</f>
        <v>11-2</v>
      </c>
      <c r="L108" s="232">
        <f t="shared" si="83"/>
        <v>0.2</v>
      </c>
      <c r="M108" s="235">
        <v>30</v>
      </c>
      <c r="N108" s="232">
        <f t="shared" ref="N108:O108" si="129">N107</f>
        <v>150</v>
      </c>
      <c r="O108" s="232">
        <f t="shared" si="129"/>
        <v>750</v>
      </c>
      <c r="Q108" s="38">
        <f t="shared" ref="Q108:Q130" si="130">Q107</f>
        <v>10</v>
      </c>
      <c r="R108" s="38">
        <f t="shared" ref="R108:R118" si="131">R107</f>
        <v>12</v>
      </c>
      <c r="S108" s="39">
        <f t="shared" si="55"/>
        <v>0.75247987857608445</v>
      </c>
      <c r="T108" s="39">
        <f t="shared" si="55"/>
        <v>0.86609427860023702</v>
      </c>
      <c r="U108" s="39">
        <f t="shared" si="70"/>
        <v>0.11361440002415257</v>
      </c>
      <c r="V108" s="39">
        <f t="shared" si="71"/>
        <v>0.12885115578707076</v>
      </c>
      <c r="W108" s="40">
        <f t="shared" si="124"/>
        <v>0.12885115578707076</v>
      </c>
      <c r="X108" s="40" t="s">
        <v>3710</v>
      </c>
      <c r="Y108" s="217">
        <f t="shared" si="125"/>
        <v>15.462138694448491</v>
      </c>
      <c r="Z108" s="217">
        <f t="shared" si="126"/>
        <v>2.5770231157414152</v>
      </c>
    </row>
    <row r="109" spans="1:26" x14ac:dyDescent="0.25">
      <c r="A109" s="229">
        <f t="shared" si="72"/>
        <v>3099</v>
      </c>
      <c r="B109" s="230">
        <f t="shared" si="73"/>
        <v>99</v>
      </c>
      <c r="C109" s="229" t="str">
        <f t="shared" si="68"/>
        <v>24cX11_025-060_03</v>
      </c>
      <c r="D109" s="231">
        <f t="shared" si="57"/>
        <v>11</v>
      </c>
      <c r="E109" s="239">
        <f t="shared" si="118"/>
        <v>1.9390000000000001</v>
      </c>
      <c r="F109" s="232">
        <f t="shared" si="119"/>
        <v>17.627272727272729</v>
      </c>
      <c r="G109" s="232">
        <f t="shared" si="120"/>
        <v>14.101818181818183</v>
      </c>
      <c r="H109" s="232">
        <f t="shared" si="121"/>
        <v>8.8136363636363644</v>
      </c>
      <c r="I109" s="232">
        <f t="shared" ref="I109" si="132">I108</f>
        <v>8</v>
      </c>
      <c r="J109" s="233">
        <f t="shared" ref="J109" si="133">J108</f>
        <v>25</v>
      </c>
      <c r="K109" s="228" t="str">
        <f>D109&amp;-3</f>
        <v>11-3</v>
      </c>
      <c r="L109" s="232">
        <f t="shared" si="83"/>
        <v>0.2</v>
      </c>
      <c r="M109" s="235">
        <v>60</v>
      </c>
      <c r="N109" s="232">
        <f t="shared" ref="N109:O109" si="134">N108</f>
        <v>150</v>
      </c>
      <c r="O109" s="232">
        <f t="shared" si="134"/>
        <v>750</v>
      </c>
      <c r="Q109" s="38">
        <f t="shared" si="130"/>
        <v>10</v>
      </c>
      <c r="R109" s="38">
        <f t="shared" si="131"/>
        <v>12</v>
      </c>
      <c r="S109" s="39">
        <f t="shared" si="55"/>
        <v>0.75247987857608445</v>
      </c>
      <c r="T109" s="39">
        <f t="shared" si="55"/>
        <v>0.86609427860023702</v>
      </c>
      <c r="U109" s="39">
        <f t="shared" si="70"/>
        <v>0.11361440002415257</v>
      </c>
      <c r="V109" s="39">
        <f t="shared" si="71"/>
        <v>0.12885115578707076</v>
      </c>
      <c r="W109" s="40">
        <f t="shared" si="124"/>
        <v>0.12885115578707076</v>
      </c>
      <c r="X109" s="40" t="s">
        <v>3710</v>
      </c>
      <c r="Y109" s="217">
        <f t="shared" si="125"/>
        <v>15.462138694448491</v>
      </c>
      <c r="Z109" s="217">
        <f t="shared" si="126"/>
        <v>2.5770231157414152</v>
      </c>
    </row>
    <row r="110" spans="1:26" x14ac:dyDescent="0.25">
      <c r="A110" s="229">
        <f t="shared" si="72"/>
        <v>3100</v>
      </c>
      <c r="B110" s="230">
        <f t="shared" si="73"/>
        <v>100</v>
      </c>
      <c r="C110" s="229" t="str">
        <f t="shared" si="68"/>
        <v>24cX11_025-090_04</v>
      </c>
      <c r="D110" s="231">
        <f t="shared" si="57"/>
        <v>11</v>
      </c>
      <c r="E110" s="239">
        <f t="shared" si="118"/>
        <v>1.9390000000000001</v>
      </c>
      <c r="F110" s="232">
        <f t="shared" si="119"/>
        <v>17.627272727272729</v>
      </c>
      <c r="G110" s="232">
        <f t="shared" si="120"/>
        <v>14.101818181818183</v>
      </c>
      <c r="H110" s="232">
        <f t="shared" si="121"/>
        <v>8.8136363636363644</v>
      </c>
      <c r="I110" s="232">
        <f t="shared" ref="I110" si="135">I109</f>
        <v>8</v>
      </c>
      <c r="J110" s="233">
        <f t="shared" ref="J110" si="136">J109</f>
        <v>25</v>
      </c>
      <c r="K110" s="228" t="str">
        <f>D110&amp;-4</f>
        <v>11-4</v>
      </c>
      <c r="L110" s="232">
        <f t="shared" si="83"/>
        <v>0.2</v>
      </c>
      <c r="M110" s="235">
        <v>90</v>
      </c>
      <c r="N110" s="232">
        <f t="shared" ref="N110:O110" si="137">N109</f>
        <v>150</v>
      </c>
      <c r="O110" s="232">
        <f t="shared" si="137"/>
        <v>750</v>
      </c>
      <c r="Q110" s="38">
        <f t="shared" si="130"/>
        <v>10</v>
      </c>
      <c r="R110" s="38">
        <f t="shared" si="131"/>
        <v>12</v>
      </c>
      <c r="S110" s="39">
        <f t="shared" si="55"/>
        <v>0.75247987857608445</v>
      </c>
      <c r="T110" s="39">
        <f t="shared" si="55"/>
        <v>0.86609427860023702</v>
      </c>
      <c r="U110" s="39">
        <f t="shared" si="70"/>
        <v>0.11361440002415257</v>
      </c>
      <c r="V110" s="39">
        <f t="shared" si="71"/>
        <v>0.12885115578707076</v>
      </c>
      <c r="W110" s="40">
        <f t="shared" si="124"/>
        <v>0.12885115578707076</v>
      </c>
      <c r="X110" s="40" t="s">
        <v>3710</v>
      </c>
      <c r="Y110" s="217">
        <f t="shared" si="125"/>
        <v>15.462138694448491</v>
      </c>
      <c r="Z110" s="217">
        <f t="shared" si="126"/>
        <v>2.5770231157414152</v>
      </c>
    </row>
    <row r="111" spans="1:26" x14ac:dyDescent="0.25">
      <c r="A111" s="229">
        <f t="shared" si="72"/>
        <v>3101</v>
      </c>
      <c r="B111" s="230">
        <f t="shared" si="73"/>
        <v>101</v>
      </c>
      <c r="C111" s="229" t="str">
        <f t="shared" si="68"/>
        <v>24cX11_025-000_05</v>
      </c>
      <c r="D111" s="231">
        <f t="shared" si="57"/>
        <v>11</v>
      </c>
      <c r="E111" s="239">
        <f t="shared" si="118"/>
        <v>1.9390000000000001</v>
      </c>
      <c r="F111" s="232">
        <f t="shared" si="119"/>
        <v>17.627272727272729</v>
      </c>
      <c r="G111" s="232">
        <f t="shared" si="120"/>
        <v>14.101818181818183</v>
      </c>
      <c r="H111" s="232">
        <f t="shared" si="121"/>
        <v>8.8136363636363644</v>
      </c>
      <c r="I111" s="232">
        <f t="shared" ref="I111" si="138">I110</f>
        <v>8</v>
      </c>
      <c r="J111" s="233">
        <f t="shared" ref="J111" si="139">J110</f>
        <v>25</v>
      </c>
      <c r="K111" s="228" t="str">
        <f>D111&amp;-5</f>
        <v>11-5</v>
      </c>
      <c r="L111" s="232">
        <f t="shared" si="83"/>
        <v>0.2</v>
      </c>
      <c r="M111" s="235">
        <v>0</v>
      </c>
      <c r="N111" s="232">
        <f t="shared" ref="N111:O111" si="140">N110</f>
        <v>150</v>
      </c>
      <c r="O111" s="232">
        <f t="shared" si="140"/>
        <v>750</v>
      </c>
      <c r="Q111" s="38">
        <f t="shared" si="130"/>
        <v>10</v>
      </c>
      <c r="R111" s="38">
        <f t="shared" si="131"/>
        <v>12</v>
      </c>
      <c r="S111" s="39">
        <f t="shared" si="55"/>
        <v>0.75247987857608445</v>
      </c>
      <c r="T111" s="39">
        <f t="shared" si="55"/>
        <v>0.86609427860023702</v>
      </c>
      <c r="U111" s="39">
        <f t="shared" si="70"/>
        <v>0.11361440002415257</v>
      </c>
      <c r="V111" s="39">
        <f t="shared" si="71"/>
        <v>0.12885115578707076</v>
      </c>
      <c r="W111" s="40">
        <f t="shared" si="124"/>
        <v>0.12885115578707076</v>
      </c>
      <c r="X111" s="40" t="s">
        <v>3710</v>
      </c>
      <c r="Y111" s="217">
        <f t="shared" si="125"/>
        <v>15.462138694448491</v>
      </c>
      <c r="Z111" s="217">
        <f t="shared" si="126"/>
        <v>2.5770231157414152</v>
      </c>
    </row>
    <row r="112" spans="1:26" x14ac:dyDescent="0.25">
      <c r="A112" s="229">
        <f t="shared" si="72"/>
        <v>3102</v>
      </c>
      <c r="B112" s="230">
        <f t="shared" si="73"/>
        <v>102</v>
      </c>
      <c r="C112" s="229" t="str">
        <f t="shared" si="68"/>
        <v>24cX11_025-030_06</v>
      </c>
      <c r="D112" s="231">
        <f t="shared" si="57"/>
        <v>11</v>
      </c>
      <c r="E112" s="239">
        <f t="shared" si="118"/>
        <v>1.9390000000000001</v>
      </c>
      <c r="F112" s="232">
        <f t="shared" si="119"/>
        <v>17.627272727272729</v>
      </c>
      <c r="G112" s="232">
        <f t="shared" si="120"/>
        <v>14.101818181818183</v>
      </c>
      <c r="H112" s="232">
        <f t="shared" si="121"/>
        <v>8.8136363636363644</v>
      </c>
      <c r="I112" s="232">
        <f t="shared" ref="I112" si="141">I111</f>
        <v>8</v>
      </c>
      <c r="J112" s="233">
        <f t="shared" ref="J112" si="142">J111</f>
        <v>25</v>
      </c>
      <c r="K112" s="228" t="str">
        <f>D112&amp;-6</f>
        <v>11-6</v>
      </c>
      <c r="L112" s="232">
        <f t="shared" si="83"/>
        <v>0.2</v>
      </c>
      <c r="M112" s="235">
        <v>30</v>
      </c>
      <c r="N112" s="232">
        <f t="shared" ref="N112:O112" si="143">N111</f>
        <v>150</v>
      </c>
      <c r="O112" s="232">
        <f t="shared" si="143"/>
        <v>750</v>
      </c>
      <c r="Q112" s="38">
        <f t="shared" si="130"/>
        <v>10</v>
      </c>
      <c r="R112" s="38">
        <f t="shared" si="131"/>
        <v>12</v>
      </c>
      <c r="S112" s="39">
        <f t="shared" si="55"/>
        <v>0.75247987857608445</v>
      </c>
      <c r="T112" s="39">
        <f t="shared" si="55"/>
        <v>0.86609427860023702</v>
      </c>
      <c r="U112" s="39">
        <f t="shared" si="70"/>
        <v>0.11361440002415257</v>
      </c>
      <c r="V112" s="39">
        <f t="shared" si="71"/>
        <v>0.12885115578707076</v>
      </c>
      <c r="W112" s="40">
        <f t="shared" si="124"/>
        <v>0.12885115578707076</v>
      </c>
      <c r="X112" s="40" t="s">
        <v>3710</v>
      </c>
      <c r="Y112" s="217">
        <f t="shared" si="125"/>
        <v>15.462138694448491</v>
      </c>
      <c r="Z112" s="217">
        <f t="shared" si="126"/>
        <v>2.5770231157414152</v>
      </c>
    </row>
    <row r="113" spans="1:26" x14ac:dyDescent="0.25">
      <c r="A113" s="229">
        <f t="shared" si="72"/>
        <v>3103</v>
      </c>
      <c r="B113" s="230">
        <f t="shared" si="73"/>
        <v>103</v>
      </c>
      <c r="C113" s="229" t="str">
        <f t="shared" si="68"/>
        <v>24cX11_025-060_07</v>
      </c>
      <c r="D113" s="231">
        <f t="shared" si="57"/>
        <v>11</v>
      </c>
      <c r="E113" s="239">
        <f t="shared" si="118"/>
        <v>1.9390000000000001</v>
      </c>
      <c r="F113" s="232">
        <f t="shared" si="119"/>
        <v>17.627272727272729</v>
      </c>
      <c r="G113" s="232">
        <f t="shared" si="120"/>
        <v>14.101818181818183</v>
      </c>
      <c r="H113" s="232">
        <f t="shared" si="121"/>
        <v>8.8136363636363644</v>
      </c>
      <c r="I113" s="232">
        <f t="shared" ref="I113" si="144">I112</f>
        <v>8</v>
      </c>
      <c r="J113" s="233">
        <f t="shared" ref="J113" si="145">J112</f>
        <v>25</v>
      </c>
      <c r="K113" s="228" t="str">
        <f>D113&amp;-7</f>
        <v>11-7</v>
      </c>
      <c r="L113" s="232">
        <f t="shared" si="83"/>
        <v>0.2</v>
      </c>
      <c r="M113" s="235">
        <v>60</v>
      </c>
      <c r="N113" s="232">
        <f t="shared" ref="N113:O113" si="146">N112</f>
        <v>150</v>
      </c>
      <c r="O113" s="232">
        <f t="shared" si="146"/>
        <v>750</v>
      </c>
      <c r="Q113" s="38">
        <f t="shared" si="130"/>
        <v>10</v>
      </c>
      <c r="R113" s="38">
        <f t="shared" si="131"/>
        <v>12</v>
      </c>
      <c r="S113" s="39">
        <f t="shared" si="55"/>
        <v>0.75247987857608445</v>
      </c>
      <c r="T113" s="39">
        <f t="shared" si="55"/>
        <v>0.86609427860023702</v>
      </c>
      <c r="U113" s="39">
        <f t="shared" si="70"/>
        <v>0.11361440002415257</v>
      </c>
      <c r="V113" s="39">
        <f t="shared" si="71"/>
        <v>0.12885115578707076</v>
      </c>
      <c r="W113" s="40">
        <f t="shared" si="124"/>
        <v>0.12885115578707076</v>
      </c>
      <c r="X113" s="40" t="s">
        <v>3710</v>
      </c>
      <c r="Y113" s="217">
        <f t="shared" si="125"/>
        <v>15.462138694448491</v>
      </c>
      <c r="Z113" s="217">
        <f t="shared" si="126"/>
        <v>2.5770231157414152</v>
      </c>
    </row>
    <row r="114" spans="1:26" x14ac:dyDescent="0.25">
      <c r="A114" s="229">
        <f t="shared" si="72"/>
        <v>3104</v>
      </c>
      <c r="B114" s="230">
        <f t="shared" si="73"/>
        <v>104</v>
      </c>
      <c r="C114" s="229" t="str">
        <f t="shared" si="68"/>
        <v>24cX11_025-090_08</v>
      </c>
      <c r="D114" s="231">
        <f t="shared" si="57"/>
        <v>11</v>
      </c>
      <c r="E114" s="239">
        <f t="shared" si="118"/>
        <v>1.9390000000000001</v>
      </c>
      <c r="F114" s="232">
        <f t="shared" si="119"/>
        <v>17.627272727272729</v>
      </c>
      <c r="G114" s="232">
        <f t="shared" si="120"/>
        <v>14.101818181818183</v>
      </c>
      <c r="H114" s="232">
        <f t="shared" si="121"/>
        <v>8.8136363636363644</v>
      </c>
      <c r="I114" s="232">
        <f t="shared" ref="I114" si="147">I113</f>
        <v>8</v>
      </c>
      <c r="J114" s="233">
        <f t="shared" ref="J114" si="148">J113</f>
        <v>25</v>
      </c>
      <c r="K114" s="228" t="str">
        <f>D114&amp;-8</f>
        <v>11-8</v>
      </c>
      <c r="L114" s="232">
        <f t="shared" si="83"/>
        <v>0.2</v>
      </c>
      <c r="M114" s="235">
        <v>90</v>
      </c>
      <c r="N114" s="232">
        <f t="shared" ref="N114:O114" si="149">N113</f>
        <v>150</v>
      </c>
      <c r="O114" s="232">
        <f t="shared" si="149"/>
        <v>750</v>
      </c>
      <c r="Q114" s="38">
        <f t="shared" si="130"/>
        <v>10</v>
      </c>
      <c r="R114" s="38">
        <f t="shared" si="131"/>
        <v>12</v>
      </c>
      <c r="S114" s="39">
        <f t="shared" si="55"/>
        <v>0.75247987857608445</v>
      </c>
      <c r="T114" s="39">
        <f t="shared" si="55"/>
        <v>0.86609427860023702</v>
      </c>
      <c r="U114" s="39">
        <f t="shared" si="70"/>
        <v>0.11361440002415257</v>
      </c>
      <c r="V114" s="39">
        <f t="shared" si="71"/>
        <v>0.12885115578707076</v>
      </c>
      <c r="W114" s="40">
        <f t="shared" si="124"/>
        <v>0.12885115578707076</v>
      </c>
      <c r="X114" s="40" t="s">
        <v>3710</v>
      </c>
      <c r="Y114" s="217">
        <f t="shared" si="125"/>
        <v>15.462138694448491</v>
      </c>
      <c r="Z114" s="217">
        <f t="shared" si="126"/>
        <v>2.5770231157414152</v>
      </c>
    </row>
    <row r="115" spans="1:26" x14ac:dyDescent="0.25">
      <c r="A115" s="229">
        <f t="shared" si="72"/>
        <v>3105</v>
      </c>
      <c r="B115" s="230">
        <f t="shared" si="73"/>
        <v>105</v>
      </c>
      <c r="C115" s="229" t="str">
        <f t="shared" si="68"/>
        <v>24cX11_025-000_09</v>
      </c>
      <c r="D115" s="231">
        <f t="shared" si="57"/>
        <v>11</v>
      </c>
      <c r="E115" s="239">
        <f t="shared" si="118"/>
        <v>1.9390000000000001</v>
      </c>
      <c r="F115" s="232">
        <f t="shared" si="119"/>
        <v>17.627272727272729</v>
      </c>
      <c r="G115" s="232">
        <f t="shared" si="120"/>
        <v>14.101818181818183</v>
      </c>
      <c r="H115" s="232">
        <f t="shared" si="121"/>
        <v>8.8136363636363644</v>
      </c>
      <c r="I115" s="232">
        <f t="shared" ref="I115" si="150">I114</f>
        <v>8</v>
      </c>
      <c r="J115" s="233">
        <f t="shared" ref="J115" si="151">J114</f>
        <v>25</v>
      </c>
      <c r="K115" s="228" t="str">
        <f>D115&amp;-9</f>
        <v>11-9</v>
      </c>
      <c r="L115" s="232">
        <f t="shared" si="83"/>
        <v>0.2</v>
      </c>
      <c r="M115" s="235">
        <v>0</v>
      </c>
      <c r="N115" s="232">
        <f t="shared" ref="N115:O115" si="152">N114</f>
        <v>150</v>
      </c>
      <c r="O115" s="232">
        <f t="shared" si="152"/>
        <v>750</v>
      </c>
      <c r="Q115" s="38">
        <f t="shared" si="130"/>
        <v>10</v>
      </c>
      <c r="R115" s="38">
        <f t="shared" si="131"/>
        <v>12</v>
      </c>
      <c r="S115" s="39">
        <f t="shared" si="55"/>
        <v>0.75247987857608445</v>
      </c>
      <c r="T115" s="39">
        <f t="shared" si="55"/>
        <v>0.86609427860023702</v>
      </c>
      <c r="U115" s="39">
        <f t="shared" si="70"/>
        <v>0.11361440002415257</v>
      </c>
      <c r="V115" s="39">
        <f t="shared" si="71"/>
        <v>0.12885115578707076</v>
      </c>
      <c r="W115" s="40">
        <f t="shared" si="124"/>
        <v>0.12885115578707076</v>
      </c>
      <c r="X115" s="40" t="s">
        <v>3710</v>
      </c>
      <c r="Y115" s="217">
        <f t="shared" si="125"/>
        <v>15.462138694448491</v>
      </c>
      <c r="Z115" s="217">
        <f t="shared" si="126"/>
        <v>2.5770231157414152</v>
      </c>
    </row>
    <row r="116" spans="1:26" x14ac:dyDescent="0.25">
      <c r="A116" s="229">
        <f t="shared" si="72"/>
        <v>3106</v>
      </c>
      <c r="B116" s="230">
        <f t="shared" si="73"/>
        <v>106</v>
      </c>
      <c r="C116" s="229" t="str">
        <f t="shared" si="68"/>
        <v>24cX11_025-030_10</v>
      </c>
      <c r="D116" s="231">
        <f t="shared" si="57"/>
        <v>11</v>
      </c>
      <c r="E116" s="239">
        <f t="shared" si="118"/>
        <v>1.9390000000000001</v>
      </c>
      <c r="F116" s="232">
        <f t="shared" si="119"/>
        <v>17.627272727272729</v>
      </c>
      <c r="G116" s="232">
        <f t="shared" si="120"/>
        <v>14.101818181818183</v>
      </c>
      <c r="H116" s="232">
        <f t="shared" si="121"/>
        <v>8.8136363636363644</v>
      </c>
      <c r="I116" s="232">
        <f t="shared" ref="I116" si="153">I115</f>
        <v>8</v>
      </c>
      <c r="J116" s="233">
        <f t="shared" ref="J116" si="154">J115</f>
        <v>25</v>
      </c>
      <c r="K116" s="228" t="str">
        <f>D116&amp;-10</f>
        <v>11-10</v>
      </c>
      <c r="L116" s="232">
        <f t="shared" si="83"/>
        <v>0.2</v>
      </c>
      <c r="M116" s="235">
        <v>30</v>
      </c>
      <c r="N116" s="232">
        <f t="shared" ref="N116:O116" si="155">N115</f>
        <v>150</v>
      </c>
      <c r="O116" s="232">
        <f t="shared" si="155"/>
        <v>750</v>
      </c>
      <c r="Q116" s="38">
        <f t="shared" si="130"/>
        <v>10</v>
      </c>
      <c r="R116" s="38">
        <f t="shared" si="131"/>
        <v>12</v>
      </c>
      <c r="S116" s="39">
        <f t="shared" si="55"/>
        <v>0.75247987857608445</v>
      </c>
      <c r="T116" s="39">
        <f t="shared" si="55"/>
        <v>0.86609427860023702</v>
      </c>
      <c r="U116" s="39">
        <f t="shared" si="70"/>
        <v>0.11361440002415257</v>
      </c>
      <c r="V116" s="39">
        <f t="shared" si="71"/>
        <v>0.12885115578707076</v>
      </c>
      <c r="W116" s="40">
        <f t="shared" si="124"/>
        <v>0.12885115578707076</v>
      </c>
      <c r="X116" s="40" t="s">
        <v>3710</v>
      </c>
      <c r="Y116" s="217">
        <f t="shared" si="125"/>
        <v>15.462138694448491</v>
      </c>
      <c r="Z116" s="217">
        <f t="shared" si="126"/>
        <v>2.5770231157414152</v>
      </c>
    </row>
    <row r="117" spans="1:26" x14ac:dyDescent="0.25">
      <c r="A117" s="229">
        <f t="shared" si="72"/>
        <v>3107</v>
      </c>
      <c r="B117" s="230">
        <f t="shared" si="73"/>
        <v>107</v>
      </c>
      <c r="C117" s="229" t="str">
        <f t="shared" si="68"/>
        <v>24cX11_025-060_11</v>
      </c>
      <c r="D117" s="231">
        <f t="shared" si="57"/>
        <v>11</v>
      </c>
      <c r="E117" s="239">
        <f t="shared" si="118"/>
        <v>1.9390000000000001</v>
      </c>
      <c r="F117" s="232">
        <f t="shared" si="119"/>
        <v>17.627272727272729</v>
      </c>
      <c r="G117" s="232">
        <f t="shared" si="120"/>
        <v>14.101818181818183</v>
      </c>
      <c r="H117" s="232">
        <f t="shared" si="121"/>
        <v>8.8136363636363644</v>
      </c>
      <c r="I117" s="232">
        <f t="shared" ref="I117" si="156">I116</f>
        <v>8</v>
      </c>
      <c r="J117" s="233">
        <f t="shared" ref="J117" si="157">J116</f>
        <v>25</v>
      </c>
      <c r="K117" s="228" t="str">
        <f>D117&amp;-11</f>
        <v>11-11</v>
      </c>
      <c r="L117" s="232">
        <f t="shared" si="83"/>
        <v>0.2</v>
      </c>
      <c r="M117" s="235">
        <v>60</v>
      </c>
      <c r="N117" s="232">
        <f t="shared" ref="N117:O117" si="158">N116</f>
        <v>150</v>
      </c>
      <c r="O117" s="232">
        <f t="shared" si="158"/>
        <v>750</v>
      </c>
      <c r="Q117" s="38">
        <f t="shared" si="130"/>
        <v>10</v>
      </c>
      <c r="R117" s="38">
        <f t="shared" si="131"/>
        <v>12</v>
      </c>
      <c r="S117" s="39">
        <f t="shared" si="55"/>
        <v>0.75247987857608445</v>
      </c>
      <c r="T117" s="39">
        <f t="shared" si="55"/>
        <v>0.86609427860023702</v>
      </c>
      <c r="U117" s="39">
        <f t="shared" si="70"/>
        <v>0.11361440002415257</v>
      </c>
      <c r="V117" s="39">
        <f t="shared" si="71"/>
        <v>0.12885115578707076</v>
      </c>
      <c r="W117" s="40">
        <f t="shared" si="124"/>
        <v>0.12885115578707076</v>
      </c>
      <c r="X117" s="40" t="s">
        <v>3710</v>
      </c>
      <c r="Y117" s="217">
        <f t="shared" si="125"/>
        <v>15.462138694448491</v>
      </c>
      <c r="Z117" s="217">
        <f t="shared" si="126"/>
        <v>2.5770231157414152</v>
      </c>
    </row>
    <row r="118" spans="1:26" x14ac:dyDescent="0.25">
      <c r="A118" s="229">
        <f t="shared" si="72"/>
        <v>3108</v>
      </c>
      <c r="B118" s="230">
        <f t="shared" si="73"/>
        <v>108</v>
      </c>
      <c r="C118" s="229" t="str">
        <f t="shared" si="68"/>
        <v>24cX11_025-090_12</v>
      </c>
      <c r="D118" s="231">
        <f t="shared" si="57"/>
        <v>11</v>
      </c>
      <c r="E118" s="239">
        <f t="shared" si="118"/>
        <v>1.9390000000000001</v>
      </c>
      <c r="F118" s="232">
        <f t="shared" si="119"/>
        <v>17.627272727272729</v>
      </c>
      <c r="G118" s="232">
        <f t="shared" si="120"/>
        <v>14.101818181818183</v>
      </c>
      <c r="H118" s="232">
        <f t="shared" si="121"/>
        <v>8.8136363636363644</v>
      </c>
      <c r="I118" s="232">
        <f t="shared" ref="I118" si="159">I117</f>
        <v>8</v>
      </c>
      <c r="J118" s="233">
        <f t="shared" ref="J118" si="160">J117</f>
        <v>25</v>
      </c>
      <c r="K118" s="228" t="str">
        <f>D118&amp;-12</f>
        <v>11-12</v>
      </c>
      <c r="L118" s="232">
        <f t="shared" si="83"/>
        <v>0.2</v>
      </c>
      <c r="M118" s="235">
        <v>90</v>
      </c>
      <c r="N118" s="232">
        <f t="shared" ref="N118:O118" si="161">N117</f>
        <v>150</v>
      </c>
      <c r="O118" s="232">
        <f t="shared" si="161"/>
        <v>750</v>
      </c>
      <c r="Q118" s="38">
        <f t="shared" si="130"/>
        <v>10</v>
      </c>
      <c r="R118" s="38">
        <f t="shared" si="131"/>
        <v>12</v>
      </c>
      <c r="S118" s="39">
        <f t="shared" si="55"/>
        <v>0.75247987857608445</v>
      </c>
      <c r="T118" s="39">
        <f t="shared" si="55"/>
        <v>0.86609427860023702</v>
      </c>
      <c r="U118" s="39">
        <f t="shared" si="70"/>
        <v>0.11361440002415257</v>
      </c>
      <c r="V118" s="39">
        <f t="shared" si="71"/>
        <v>0.12885115578707076</v>
      </c>
      <c r="W118" s="40">
        <f t="shared" si="124"/>
        <v>0.12885115578707076</v>
      </c>
      <c r="X118" s="40" t="s">
        <v>3710</v>
      </c>
      <c r="Y118" s="217">
        <f t="shared" si="125"/>
        <v>15.462138694448491</v>
      </c>
      <c r="Z118" s="217">
        <f t="shared" si="126"/>
        <v>2.5770231157414152</v>
      </c>
    </row>
    <row r="119" spans="1:26" x14ac:dyDescent="0.25">
      <c r="A119" s="229">
        <f t="shared" si="72"/>
        <v>3109</v>
      </c>
      <c r="B119" s="230">
        <f t="shared" si="73"/>
        <v>109</v>
      </c>
      <c r="C119" s="229" t="str">
        <f t="shared" si="68"/>
        <v>24cX11_335-000_01</v>
      </c>
      <c r="D119" s="231">
        <f t="shared" si="57"/>
        <v>11</v>
      </c>
      <c r="E119" s="239">
        <f t="shared" si="118"/>
        <v>1.9390000000000001</v>
      </c>
      <c r="F119" s="232">
        <f t="shared" si="119"/>
        <v>17.627272727272729</v>
      </c>
      <c r="G119" s="232">
        <f t="shared" si="120"/>
        <v>14.101818181818183</v>
      </c>
      <c r="H119" s="232">
        <f t="shared" si="121"/>
        <v>8.8136363636363644</v>
      </c>
      <c r="I119" s="232">
        <f t="shared" ref="I119" si="162">I118</f>
        <v>8</v>
      </c>
      <c r="J119" s="233">
        <f>-J107</f>
        <v>-25</v>
      </c>
      <c r="K119" s="228" t="str">
        <f>D119&amp;-1</f>
        <v>11-1</v>
      </c>
      <c r="L119" s="232">
        <f t="shared" si="83"/>
        <v>0.2</v>
      </c>
      <c r="M119" s="235">
        <v>0</v>
      </c>
      <c r="N119" s="232">
        <f t="shared" ref="N119:O119" si="163">N118</f>
        <v>150</v>
      </c>
      <c r="O119" s="232">
        <f t="shared" si="163"/>
        <v>750</v>
      </c>
      <c r="Q119" s="38">
        <f t="shared" si="130"/>
        <v>10</v>
      </c>
      <c r="R119" s="38">
        <f>Q119+v_step</f>
        <v>12</v>
      </c>
      <c r="S119" s="39">
        <f t="shared" si="55"/>
        <v>0.75247987857608445</v>
      </c>
      <c r="T119" s="39">
        <f t="shared" si="55"/>
        <v>0.86609427860023702</v>
      </c>
      <c r="U119" s="39">
        <f t="shared" si="70"/>
        <v>0.11361440002415257</v>
      </c>
      <c r="V119" s="39">
        <f t="shared" si="71"/>
        <v>0.12885115578707076</v>
      </c>
      <c r="W119" s="40">
        <f t="shared" si="124"/>
        <v>0.12885115578707076</v>
      </c>
      <c r="X119" s="40" t="s">
        <v>3710</v>
      </c>
      <c r="Y119" s="217">
        <f t="shared" si="125"/>
        <v>15.462138694448491</v>
      </c>
      <c r="Z119" s="217">
        <f t="shared" si="126"/>
        <v>2.5770231157414152</v>
      </c>
    </row>
    <row r="120" spans="1:26" x14ac:dyDescent="0.25">
      <c r="A120" s="229">
        <f t="shared" si="72"/>
        <v>3110</v>
      </c>
      <c r="B120" s="230">
        <f t="shared" si="73"/>
        <v>110</v>
      </c>
      <c r="C120" s="229" t="str">
        <f t="shared" si="68"/>
        <v>24cX11_335-030_02</v>
      </c>
      <c r="D120" s="231">
        <f t="shared" si="57"/>
        <v>11</v>
      </c>
      <c r="E120" s="239">
        <f t="shared" si="118"/>
        <v>1.9390000000000001</v>
      </c>
      <c r="F120" s="232">
        <f t="shared" si="119"/>
        <v>17.627272727272729</v>
      </c>
      <c r="G120" s="232">
        <f t="shared" si="120"/>
        <v>14.101818181818183</v>
      </c>
      <c r="H120" s="232">
        <f t="shared" si="121"/>
        <v>8.8136363636363644</v>
      </c>
      <c r="I120" s="232">
        <f t="shared" ref="I120" si="164">I119</f>
        <v>8</v>
      </c>
      <c r="J120" s="233">
        <f t="shared" ref="J120" si="165">J119</f>
        <v>-25</v>
      </c>
      <c r="K120" s="228" t="str">
        <f>D120&amp;-2</f>
        <v>11-2</v>
      </c>
      <c r="L120" s="232">
        <f t="shared" si="83"/>
        <v>0.2</v>
      </c>
      <c r="M120" s="235">
        <v>30</v>
      </c>
      <c r="N120" s="232">
        <f t="shared" ref="N120:O120" si="166">N119</f>
        <v>150</v>
      </c>
      <c r="O120" s="232">
        <f t="shared" si="166"/>
        <v>750</v>
      </c>
      <c r="Q120" s="38">
        <f t="shared" si="130"/>
        <v>10</v>
      </c>
      <c r="R120" s="38">
        <f t="shared" ref="R120:R130" si="167">R119</f>
        <v>12</v>
      </c>
      <c r="S120" s="39">
        <f t="shared" si="55"/>
        <v>0.75247987857608445</v>
      </c>
      <c r="T120" s="39">
        <f t="shared" si="55"/>
        <v>0.86609427860023702</v>
      </c>
      <c r="U120" s="39">
        <f t="shared" si="70"/>
        <v>0.11361440002415257</v>
      </c>
      <c r="V120" s="39">
        <f t="shared" si="71"/>
        <v>0.12885115578707076</v>
      </c>
      <c r="W120" s="40">
        <f t="shared" si="124"/>
        <v>0.12885115578707076</v>
      </c>
      <c r="X120" s="40" t="s">
        <v>3710</v>
      </c>
      <c r="Y120" s="217">
        <f t="shared" si="125"/>
        <v>15.462138694448491</v>
      </c>
      <c r="Z120" s="217">
        <f t="shared" si="126"/>
        <v>2.5770231157414152</v>
      </c>
    </row>
    <row r="121" spans="1:26" x14ac:dyDescent="0.25">
      <c r="A121" s="229">
        <f t="shared" si="72"/>
        <v>3111</v>
      </c>
      <c r="B121" s="230">
        <f t="shared" si="73"/>
        <v>111</v>
      </c>
      <c r="C121" s="229" t="str">
        <f t="shared" si="68"/>
        <v>24cX11_335-060_03</v>
      </c>
      <c r="D121" s="231">
        <f t="shared" si="57"/>
        <v>11</v>
      </c>
      <c r="E121" s="239">
        <f t="shared" si="118"/>
        <v>1.9390000000000001</v>
      </c>
      <c r="F121" s="232">
        <f t="shared" si="119"/>
        <v>17.627272727272729</v>
      </c>
      <c r="G121" s="232">
        <f t="shared" si="120"/>
        <v>14.101818181818183</v>
      </c>
      <c r="H121" s="232">
        <f t="shared" si="121"/>
        <v>8.8136363636363644</v>
      </c>
      <c r="I121" s="232">
        <f t="shared" ref="I121" si="168">I120</f>
        <v>8</v>
      </c>
      <c r="J121" s="233">
        <f t="shared" ref="J121" si="169">J120</f>
        <v>-25</v>
      </c>
      <c r="K121" s="228" t="str">
        <f>D121&amp;-3</f>
        <v>11-3</v>
      </c>
      <c r="L121" s="232">
        <f t="shared" si="83"/>
        <v>0.2</v>
      </c>
      <c r="M121" s="235">
        <v>60</v>
      </c>
      <c r="N121" s="232">
        <f t="shared" ref="N121:O121" si="170">N120</f>
        <v>150</v>
      </c>
      <c r="O121" s="232">
        <f t="shared" si="170"/>
        <v>750</v>
      </c>
      <c r="Q121" s="38">
        <f t="shared" si="130"/>
        <v>10</v>
      </c>
      <c r="R121" s="38">
        <f t="shared" si="167"/>
        <v>12</v>
      </c>
      <c r="S121" s="39">
        <f t="shared" si="55"/>
        <v>0.75247987857608445</v>
      </c>
      <c r="T121" s="39">
        <f t="shared" si="55"/>
        <v>0.86609427860023702</v>
      </c>
      <c r="U121" s="39">
        <f t="shared" si="70"/>
        <v>0.11361440002415257</v>
      </c>
      <c r="V121" s="39">
        <f t="shared" si="71"/>
        <v>0.12885115578707076</v>
      </c>
      <c r="W121" s="40">
        <f t="shared" si="124"/>
        <v>0.12885115578707076</v>
      </c>
      <c r="X121" s="40" t="s">
        <v>3710</v>
      </c>
      <c r="Y121" s="217">
        <f t="shared" si="125"/>
        <v>15.462138694448491</v>
      </c>
      <c r="Z121" s="217">
        <f t="shared" si="126"/>
        <v>2.5770231157414152</v>
      </c>
    </row>
    <row r="122" spans="1:26" x14ac:dyDescent="0.25">
      <c r="A122" s="229">
        <f t="shared" si="72"/>
        <v>3112</v>
      </c>
      <c r="B122" s="230">
        <f t="shared" si="73"/>
        <v>112</v>
      </c>
      <c r="C122" s="229" t="str">
        <f t="shared" si="68"/>
        <v>24cX11_335-090_04</v>
      </c>
      <c r="D122" s="231">
        <f t="shared" si="57"/>
        <v>11</v>
      </c>
      <c r="E122" s="239">
        <f t="shared" si="118"/>
        <v>1.9390000000000001</v>
      </c>
      <c r="F122" s="232">
        <f t="shared" si="119"/>
        <v>17.627272727272729</v>
      </c>
      <c r="G122" s="232">
        <f t="shared" si="120"/>
        <v>14.101818181818183</v>
      </c>
      <c r="H122" s="232">
        <f t="shared" si="121"/>
        <v>8.8136363636363644</v>
      </c>
      <c r="I122" s="232">
        <f t="shared" ref="I122" si="171">I121</f>
        <v>8</v>
      </c>
      <c r="J122" s="233">
        <f t="shared" ref="J122" si="172">J121</f>
        <v>-25</v>
      </c>
      <c r="K122" s="228" t="str">
        <f>D122&amp;-4</f>
        <v>11-4</v>
      </c>
      <c r="L122" s="232">
        <f t="shared" si="83"/>
        <v>0.2</v>
      </c>
      <c r="M122" s="235">
        <v>90</v>
      </c>
      <c r="N122" s="232">
        <f t="shared" ref="N122:O122" si="173">N121</f>
        <v>150</v>
      </c>
      <c r="O122" s="232">
        <f t="shared" si="173"/>
        <v>750</v>
      </c>
      <c r="Q122" s="38">
        <f t="shared" si="130"/>
        <v>10</v>
      </c>
      <c r="R122" s="38">
        <f t="shared" si="167"/>
        <v>12</v>
      </c>
      <c r="S122" s="39">
        <f t="shared" si="55"/>
        <v>0.75247987857608445</v>
      </c>
      <c r="T122" s="39">
        <f t="shared" si="55"/>
        <v>0.86609427860023702</v>
      </c>
      <c r="U122" s="39">
        <f t="shared" si="70"/>
        <v>0.11361440002415257</v>
      </c>
      <c r="V122" s="39">
        <f t="shared" si="71"/>
        <v>0.12885115578707076</v>
      </c>
      <c r="W122" s="40">
        <f t="shared" si="124"/>
        <v>0.12885115578707076</v>
      </c>
      <c r="X122" s="40" t="s">
        <v>3710</v>
      </c>
      <c r="Y122" s="217">
        <f t="shared" si="125"/>
        <v>15.462138694448491</v>
      </c>
      <c r="Z122" s="217">
        <f t="shared" si="126"/>
        <v>2.5770231157414152</v>
      </c>
    </row>
    <row r="123" spans="1:26" x14ac:dyDescent="0.25">
      <c r="A123" s="229">
        <f t="shared" si="72"/>
        <v>3113</v>
      </c>
      <c r="B123" s="230">
        <f t="shared" si="73"/>
        <v>113</v>
      </c>
      <c r="C123" s="229" t="str">
        <f t="shared" si="68"/>
        <v>24cX11_335-000_05</v>
      </c>
      <c r="D123" s="231">
        <f t="shared" si="57"/>
        <v>11</v>
      </c>
      <c r="E123" s="239">
        <f t="shared" si="118"/>
        <v>1.9390000000000001</v>
      </c>
      <c r="F123" s="232">
        <f t="shared" si="119"/>
        <v>17.627272727272729</v>
      </c>
      <c r="G123" s="232">
        <f t="shared" si="120"/>
        <v>14.101818181818183</v>
      </c>
      <c r="H123" s="232">
        <f t="shared" si="121"/>
        <v>8.8136363636363644</v>
      </c>
      <c r="I123" s="232">
        <f t="shared" ref="I123" si="174">I122</f>
        <v>8</v>
      </c>
      <c r="J123" s="233">
        <f t="shared" ref="J123" si="175">J122</f>
        <v>-25</v>
      </c>
      <c r="K123" s="228" t="str">
        <f>D123&amp;-5</f>
        <v>11-5</v>
      </c>
      <c r="L123" s="232">
        <f t="shared" si="83"/>
        <v>0.2</v>
      </c>
      <c r="M123" s="235">
        <v>0</v>
      </c>
      <c r="N123" s="232">
        <f t="shared" ref="N123:O123" si="176">N122</f>
        <v>150</v>
      </c>
      <c r="O123" s="232">
        <f t="shared" si="176"/>
        <v>750</v>
      </c>
      <c r="Q123" s="38">
        <f t="shared" si="130"/>
        <v>10</v>
      </c>
      <c r="R123" s="38">
        <f t="shared" si="167"/>
        <v>12</v>
      </c>
      <c r="S123" s="39">
        <f t="shared" ref="S123:T154" si="177">IF(wpd="Rayleigh",1-EXP(-PI()*((Q123/2/v_ave)^2)),IF(wpd="Weibull",1-EXP(-((Q123/weibull_A)^weibull_K))))</f>
        <v>0.75247987857608445</v>
      </c>
      <c r="T123" s="39">
        <f t="shared" si="177"/>
        <v>0.86609427860023702</v>
      </c>
      <c r="U123" s="39">
        <f t="shared" si="70"/>
        <v>0.11361440002415257</v>
      </c>
      <c r="V123" s="39">
        <f t="shared" si="71"/>
        <v>0.12885115578707076</v>
      </c>
      <c r="W123" s="40">
        <f t="shared" si="124"/>
        <v>0.12885115578707076</v>
      </c>
      <c r="X123" s="40" t="s">
        <v>3710</v>
      </c>
      <c r="Y123" s="217">
        <f t="shared" si="125"/>
        <v>15.462138694448491</v>
      </c>
      <c r="Z123" s="217">
        <f t="shared" si="126"/>
        <v>2.5770231157414152</v>
      </c>
    </row>
    <row r="124" spans="1:26" x14ac:dyDescent="0.25">
      <c r="A124" s="229">
        <f t="shared" si="72"/>
        <v>3114</v>
      </c>
      <c r="B124" s="230">
        <f t="shared" si="73"/>
        <v>114</v>
      </c>
      <c r="C124" s="229" t="str">
        <f t="shared" si="68"/>
        <v>24cX11_335-030_06</v>
      </c>
      <c r="D124" s="231">
        <f t="shared" ref="D124:D187" si="178">D123</f>
        <v>11</v>
      </c>
      <c r="E124" s="239">
        <f t="shared" si="118"/>
        <v>1.9390000000000001</v>
      </c>
      <c r="F124" s="232">
        <f t="shared" si="119"/>
        <v>17.627272727272729</v>
      </c>
      <c r="G124" s="232">
        <f t="shared" si="120"/>
        <v>14.101818181818183</v>
      </c>
      <c r="H124" s="232">
        <f t="shared" si="121"/>
        <v>8.8136363636363644</v>
      </c>
      <c r="I124" s="232">
        <f t="shared" ref="I124" si="179">I123</f>
        <v>8</v>
      </c>
      <c r="J124" s="233">
        <f t="shared" ref="J124" si="180">J123</f>
        <v>-25</v>
      </c>
      <c r="K124" s="228" t="str">
        <f>D124&amp;-6</f>
        <v>11-6</v>
      </c>
      <c r="L124" s="232">
        <f t="shared" si="83"/>
        <v>0.2</v>
      </c>
      <c r="M124" s="235">
        <v>30</v>
      </c>
      <c r="N124" s="232">
        <f t="shared" ref="N124:O124" si="181">N123</f>
        <v>150</v>
      </c>
      <c r="O124" s="232">
        <f t="shared" si="181"/>
        <v>750</v>
      </c>
      <c r="Q124" s="38">
        <f t="shared" si="130"/>
        <v>10</v>
      </c>
      <c r="R124" s="38">
        <f t="shared" si="167"/>
        <v>12</v>
      </c>
      <c r="S124" s="39">
        <f t="shared" si="177"/>
        <v>0.75247987857608445</v>
      </c>
      <c r="T124" s="39">
        <f t="shared" si="177"/>
        <v>0.86609427860023702</v>
      </c>
      <c r="U124" s="39">
        <f t="shared" si="70"/>
        <v>0.11361440002415257</v>
      </c>
      <c r="V124" s="39">
        <f t="shared" si="71"/>
        <v>0.12885115578707076</v>
      </c>
      <c r="W124" s="40">
        <f t="shared" si="124"/>
        <v>0.12885115578707076</v>
      </c>
      <c r="X124" s="40" t="s">
        <v>3710</v>
      </c>
      <c r="Y124" s="217">
        <f t="shared" si="125"/>
        <v>15.462138694448491</v>
      </c>
      <c r="Z124" s="217">
        <f t="shared" si="126"/>
        <v>2.5770231157414152</v>
      </c>
    </row>
    <row r="125" spans="1:26" x14ac:dyDescent="0.25">
      <c r="A125" s="229">
        <f t="shared" si="72"/>
        <v>3115</v>
      </c>
      <c r="B125" s="230">
        <f t="shared" si="73"/>
        <v>115</v>
      </c>
      <c r="C125" s="229" t="str">
        <f t="shared" si="68"/>
        <v>24cX11_335-060_07</v>
      </c>
      <c r="D125" s="231">
        <f t="shared" si="178"/>
        <v>11</v>
      </c>
      <c r="E125" s="239">
        <f t="shared" si="118"/>
        <v>1.9390000000000001</v>
      </c>
      <c r="F125" s="232">
        <f t="shared" si="119"/>
        <v>17.627272727272729</v>
      </c>
      <c r="G125" s="232">
        <f t="shared" si="120"/>
        <v>14.101818181818183</v>
      </c>
      <c r="H125" s="232">
        <f t="shared" si="121"/>
        <v>8.8136363636363644</v>
      </c>
      <c r="I125" s="232">
        <f t="shared" ref="I125" si="182">I124</f>
        <v>8</v>
      </c>
      <c r="J125" s="233">
        <f t="shared" ref="J125" si="183">J124</f>
        <v>-25</v>
      </c>
      <c r="K125" s="228" t="str">
        <f>D125&amp;-7</f>
        <v>11-7</v>
      </c>
      <c r="L125" s="232">
        <f t="shared" si="83"/>
        <v>0.2</v>
      </c>
      <c r="M125" s="235">
        <v>60</v>
      </c>
      <c r="N125" s="232">
        <f t="shared" ref="N125:O125" si="184">N124</f>
        <v>150</v>
      </c>
      <c r="O125" s="232">
        <f t="shared" si="184"/>
        <v>750</v>
      </c>
      <c r="Q125" s="38">
        <f t="shared" si="130"/>
        <v>10</v>
      </c>
      <c r="R125" s="38">
        <f t="shared" si="167"/>
        <v>12</v>
      </c>
      <c r="S125" s="39">
        <f t="shared" si="177"/>
        <v>0.75247987857608445</v>
      </c>
      <c r="T125" s="39">
        <f t="shared" si="177"/>
        <v>0.86609427860023702</v>
      </c>
      <c r="U125" s="39">
        <f t="shared" si="70"/>
        <v>0.11361440002415257</v>
      </c>
      <c r="V125" s="39">
        <f t="shared" si="71"/>
        <v>0.12885115578707076</v>
      </c>
      <c r="W125" s="40">
        <f t="shared" si="124"/>
        <v>0.12885115578707076</v>
      </c>
      <c r="X125" s="40" t="s">
        <v>3710</v>
      </c>
      <c r="Y125" s="217">
        <f t="shared" si="125"/>
        <v>15.462138694448491</v>
      </c>
      <c r="Z125" s="217">
        <f t="shared" si="126"/>
        <v>2.5770231157414152</v>
      </c>
    </row>
    <row r="126" spans="1:26" x14ac:dyDescent="0.25">
      <c r="A126" s="229">
        <f t="shared" si="72"/>
        <v>3116</v>
      </c>
      <c r="B126" s="230">
        <f t="shared" si="73"/>
        <v>116</v>
      </c>
      <c r="C126" s="229" t="str">
        <f t="shared" si="68"/>
        <v>24cX11_335-090_08</v>
      </c>
      <c r="D126" s="231">
        <f t="shared" si="178"/>
        <v>11</v>
      </c>
      <c r="E126" s="239">
        <f t="shared" si="118"/>
        <v>1.9390000000000001</v>
      </c>
      <c r="F126" s="232">
        <f t="shared" si="119"/>
        <v>17.627272727272729</v>
      </c>
      <c r="G126" s="232">
        <f t="shared" si="120"/>
        <v>14.101818181818183</v>
      </c>
      <c r="H126" s="232">
        <f t="shared" si="121"/>
        <v>8.8136363636363644</v>
      </c>
      <c r="I126" s="232">
        <f t="shared" ref="I126" si="185">I125</f>
        <v>8</v>
      </c>
      <c r="J126" s="233">
        <f t="shared" ref="J126" si="186">J125</f>
        <v>-25</v>
      </c>
      <c r="K126" s="228" t="str">
        <f>D126&amp;-8</f>
        <v>11-8</v>
      </c>
      <c r="L126" s="232">
        <f t="shared" si="83"/>
        <v>0.2</v>
      </c>
      <c r="M126" s="235">
        <v>90</v>
      </c>
      <c r="N126" s="232">
        <f t="shared" ref="N126:O126" si="187">N125</f>
        <v>150</v>
      </c>
      <c r="O126" s="232">
        <f t="shared" si="187"/>
        <v>750</v>
      </c>
      <c r="Q126" s="38">
        <f t="shared" si="130"/>
        <v>10</v>
      </c>
      <c r="R126" s="38">
        <f t="shared" si="167"/>
        <v>12</v>
      </c>
      <c r="S126" s="39">
        <f t="shared" si="177"/>
        <v>0.75247987857608445</v>
      </c>
      <c r="T126" s="39">
        <f t="shared" si="177"/>
        <v>0.86609427860023702</v>
      </c>
      <c r="U126" s="39">
        <f t="shared" si="70"/>
        <v>0.11361440002415257</v>
      </c>
      <c r="V126" s="39">
        <f t="shared" si="71"/>
        <v>0.12885115578707076</v>
      </c>
      <c r="W126" s="40">
        <f t="shared" si="124"/>
        <v>0.12885115578707076</v>
      </c>
      <c r="X126" s="40" t="s">
        <v>3710</v>
      </c>
      <c r="Y126" s="217">
        <f t="shared" si="125"/>
        <v>15.462138694448491</v>
      </c>
      <c r="Z126" s="217">
        <f t="shared" si="126"/>
        <v>2.5770231157414152</v>
      </c>
    </row>
    <row r="127" spans="1:26" x14ac:dyDescent="0.25">
      <c r="A127" s="229">
        <f t="shared" si="72"/>
        <v>3117</v>
      </c>
      <c r="B127" s="230">
        <f t="shared" si="73"/>
        <v>117</v>
      </c>
      <c r="C127" s="229" t="str">
        <f t="shared" si="68"/>
        <v>24cX11_335-000_09</v>
      </c>
      <c r="D127" s="231">
        <f t="shared" si="178"/>
        <v>11</v>
      </c>
      <c r="E127" s="239">
        <f t="shared" si="118"/>
        <v>1.9390000000000001</v>
      </c>
      <c r="F127" s="232">
        <f t="shared" si="119"/>
        <v>17.627272727272729</v>
      </c>
      <c r="G127" s="232">
        <f t="shared" si="120"/>
        <v>14.101818181818183</v>
      </c>
      <c r="H127" s="232">
        <f t="shared" si="121"/>
        <v>8.8136363636363644</v>
      </c>
      <c r="I127" s="232">
        <f t="shared" ref="I127" si="188">I126</f>
        <v>8</v>
      </c>
      <c r="J127" s="233">
        <f t="shared" ref="J127" si="189">J126</f>
        <v>-25</v>
      </c>
      <c r="K127" s="228" t="str">
        <f>D127&amp;-9</f>
        <v>11-9</v>
      </c>
      <c r="L127" s="232">
        <f t="shared" si="83"/>
        <v>0.2</v>
      </c>
      <c r="M127" s="235">
        <v>0</v>
      </c>
      <c r="N127" s="232">
        <f t="shared" ref="N127:O127" si="190">N126</f>
        <v>150</v>
      </c>
      <c r="O127" s="232">
        <f t="shared" si="190"/>
        <v>750</v>
      </c>
      <c r="Q127" s="38">
        <f t="shared" si="130"/>
        <v>10</v>
      </c>
      <c r="R127" s="38">
        <f t="shared" si="167"/>
        <v>12</v>
      </c>
      <c r="S127" s="39">
        <f t="shared" si="177"/>
        <v>0.75247987857608445</v>
      </c>
      <c r="T127" s="39">
        <f t="shared" si="177"/>
        <v>0.86609427860023702</v>
      </c>
      <c r="U127" s="39">
        <f t="shared" si="70"/>
        <v>0.11361440002415257</v>
      </c>
      <c r="V127" s="39">
        <f t="shared" si="71"/>
        <v>0.12885115578707076</v>
      </c>
      <c r="W127" s="40">
        <f t="shared" si="124"/>
        <v>0.12885115578707076</v>
      </c>
      <c r="X127" s="40" t="s">
        <v>3710</v>
      </c>
      <c r="Y127" s="217">
        <f t="shared" si="125"/>
        <v>15.462138694448491</v>
      </c>
      <c r="Z127" s="217">
        <f t="shared" si="126"/>
        <v>2.5770231157414152</v>
      </c>
    </row>
    <row r="128" spans="1:26" x14ac:dyDescent="0.25">
      <c r="A128" s="229">
        <f t="shared" si="72"/>
        <v>3118</v>
      </c>
      <c r="B128" s="230">
        <f t="shared" si="73"/>
        <v>118</v>
      </c>
      <c r="C128" s="229" t="str">
        <f t="shared" si="68"/>
        <v>24cX11_335-030_10</v>
      </c>
      <c r="D128" s="231">
        <f t="shared" si="178"/>
        <v>11</v>
      </c>
      <c r="E128" s="239">
        <f t="shared" si="118"/>
        <v>1.9390000000000001</v>
      </c>
      <c r="F128" s="232">
        <f t="shared" si="119"/>
        <v>17.627272727272729</v>
      </c>
      <c r="G128" s="232">
        <f t="shared" si="120"/>
        <v>14.101818181818183</v>
      </c>
      <c r="H128" s="232">
        <f t="shared" si="121"/>
        <v>8.8136363636363644</v>
      </c>
      <c r="I128" s="232">
        <f t="shared" ref="I128" si="191">I127</f>
        <v>8</v>
      </c>
      <c r="J128" s="233">
        <f t="shared" ref="J128" si="192">J127</f>
        <v>-25</v>
      </c>
      <c r="K128" s="228" t="str">
        <f>D128&amp;-10</f>
        <v>11-10</v>
      </c>
      <c r="L128" s="232">
        <f t="shared" si="83"/>
        <v>0.2</v>
      </c>
      <c r="M128" s="235">
        <v>30</v>
      </c>
      <c r="N128" s="232">
        <f t="shared" ref="N128:O128" si="193">N127</f>
        <v>150</v>
      </c>
      <c r="O128" s="232">
        <f t="shared" si="193"/>
        <v>750</v>
      </c>
      <c r="Q128" s="38">
        <f t="shared" si="130"/>
        <v>10</v>
      </c>
      <c r="R128" s="38">
        <f t="shared" si="167"/>
        <v>12</v>
      </c>
      <c r="S128" s="39">
        <f t="shared" si="177"/>
        <v>0.75247987857608445</v>
      </c>
      <c r="T128" s="39">
        <f t="shared" si="177"/>
        <v>0.86609427860023702</v>
      </c>
      <c r="U128" s="39">
        <f t="shared" si="70"/>
        <v>0.11361440002415257</v>
      </c>
      <c r="V128" s="39">
        <f t="shared" si="71"/>
        <v>0.12885115578707076</v>
      </c>
      <c r="W128" s="40">
        <f t="shared" si="124"/>
        <v>0.12885115578707076</v>
      </c>
      <c r="X128" s="40" t="s">
        <v>3710</v>
      </c>
      <c r="Y128" s="217">
        <f t="shared" si="125"/>
        <v>15.462138694448491</v>
      </c>
      <c r="Z128" s="217">
        <f t="shared" si="126"/>
        <v>2.5770231157414152</v>
      </c>
    </row>
    <row r="129" spans="1:26" x14ac:dyDescent="0.25">
      <c r="A129" s="229">
        <f t="shared" si="72"/>
        <v>3119</v>
      </c>
      <c r="B129" s="230">
        <f t="shared" si="73"/>
        <v>119</v>
      </c>
      <c r="C129" s="229" t="str">
        <f t="shared" si="68"/>
        <v>24cX11_335-060_11</v>
      </c>
      <c r="D129" s="231">
        <f t="shared" si="178"/>
        <v>11</v>
      </c>
      <c r="E129" s="239">
        <f t="shared" si="118"/>
        <v>1.9390000000000001</v>
      </c>
      <c r="F129" s="232">
        <f t="shared" si="119"/>
        <v>17.627272727272729</v>
      </c>
      <c r="G129" s="232">
        <f t="shared" si="120"/>
        <v>14.101818181818183</v>
      </c>
      <c r="H129" s="232">
        <f t="shared" si="121"/>
        <v>8.8136363636363644</v>
      </c>
      <c r="I129" s="232">
        <f t="shared" ref="I129" si="194">I128</f>
        <v>8</v>
      </c>
      <c r="J129" s="233">
        <f t="shared" ref="J129" si="195">J128</f>
        <v>-25</v>
      </c>
      <c r="K129" s="228" t="str">
        <f>D129&amp;-11</f>
        <v>11-11</v>
      </c>
      <c r="L129" s="232">
        <f t="shared" si="83"/>
        <v>0.2</v>
      </c>
      <c r="M129" s="235">
        <v>60</v>
      </c>
      <c r="N129" s="232">
        <f t="shared" ref="N129:O129" si="196">N128</f>
        <v>150</v>
      </c>
      <c r="O129" s="232">
        <f t="shared" si="196"/>
        <v>750</v>
      </c>
      <c r="Q129" s="38">
        <f t="shared" si="130"/>
        <v>10</v>
      </c>
      <c r="R129" s="38">
        <f t="shared" si="167"/>
        <v>12</v>
      </c>
      <c r="S129" s="39">
        <f t="shared" si="177"/>
        <v>0.75247987857608445</v>
      </c>
      <c r="T129" s="39">
        <f t="shared" si="177"/>
        <v>0.86609427860023702</v>
      </c>
      <c r="U129" s="39">
        <f t="shared" si="70"/>
        <v>0.11361440002415257</v>
      </c>
      <c r="V129" s="39">
        <f t="shared" si="71"/>
        <v>0.12885115578707076</v>
      </c>
      <c r="W129" s="40">
        <f t="shared" si="124"/>
        <v>0.12885115578707076</v>
      </c>
      <c r="X129" s="40" t="s">
        <v>3710</v>
      </c>
      <c r="Y129" s="217">
        <f t="shared" si="125"/>
        <v>15.462138694448491</v>
      </c>
      <c r="Z129" s="217">
        <f t="shared" si="126"/>
        <v>2.5770231157414152</v>
      </c>
    </row>
    <row r="130" spans="1:26" x14ac:dyDescent="0.25">
      <c r="A130" s="229">
        <f t="shared" si="72"/>
        <v>3120</v>
      </c>
      <c r="B130" s="230">
        <f t="shared" si="73"/>
        <v>120</v>
      </c>
      <c r="C130" s="229" t="str">
        <f t="shared" si="68"/>
        <v>24cX11_335-090_12</v>
      </c>
      <c r="D130" s="231">
        <f t="shared" si="178"/>
        <v>11</v>
      </c>
      <c r="E130" s="239">
        <f t="shared" si="118"/>
        <v>1.9390000000000001</v>
      </c>
      <c r="F130" s="232">
        <f t="shared" si="119"/>
        <v>17.627272727272729</v>
      </c>
      <c r="G130" s="232">
        <f t="shared" si="120"/>
        <v>14.101818181818183</v>
      </c>
      <c r="H130" s="232">
        <f t="shared" si="121"/>
        <v>8.8136363636363644</v>
      </c>
      <c r="I130" s="232">
        <f t="shared" ref="I130" si="197">I129</f>
        <v>8</v>
      </c>
      <c r="J130" s="233">
        <f t="shared" ref="J130" si="198">J129</f>
        <v>-25</v>
      </c>
      <c r="K130" s="228" t="str">
        <f>D130&amp;-12</f>
        <v>11-12</v>
      </c>
      <c r="L130" s="232">
        <f t="shared" si="83"/>
        <v>0.2</v>
      </c>
      <c r="M130" s="235">
        <v>90</v>
      </c>
      <c r="N130" s="232">
        <f t="shared" ref="N130:O130" si="199">N129</f>
        <v>150</v>
      </c>
      <c r="O130" s="232">
        <f t="shared" si="199"/>
        <v>750</v>
      </c>
      <c r="Q130" s="38">
        <f t="shared" si="130"/>
        <v>10</v>
      </c>
      <c r="R130" s="38">
        <f t="shared" si="167"/>
        <v>12</v>
      </c>
      <c r="S130" s="39">
        <f t="shared" si="177"/>
        <v>0.75247987857608445</v>
      </c>
      <c r="T130" s="39">
        <f t="shared" si="177"/>
        <v>0.86609427860023702</v>
      </c>
      <c r="U130" s="39">
        <f t="shared" si="70"/>
        <v>0.11361440002415257</v>
      </c>
      <c r="V130" s="39">
        <f t="shared" si="71"/>
        <v>0.12885115578707076</v>
      </c>
      <c r="W130" s="40">
        <f t="shared" si="124"/>
        <v>0.12885115578707076</v>
      </c>
      <c r="X130" s="40" t="s">
        <v>3710</v>
      </c>
      <c r="Y130" s="217">
        <f t="shared" si="125"/>
        <v>15.462138694448491</v>
      </c>
      <c r="Z130" s="217">
        <f t="shared" si="126"/>
        <v>2.5770231157414152</v>
      </c>
    </row>
    <row r="131" spans="1:26" x14ac:dyDescent="0.25">
      <c r="A131" s="229">
        <f t="shared" si="72"/>
        <v>3121</v>
      </c>
      <c r="B131" s="230">
        <f t="shared" si="73"/>
        <v>121</v>
      </c>
      <c r="C131" s="229" t="str">
        <f t="shared" si="68"/>
        <v>24cX13_020-000_01</v>
      </c>
      <c r="D131" s="231">
        <f t="shared" ref="D131:D179" si="200">D130+2</f>
        <v>13</v>
      </c>
      <c r="E131" s="239">
        <f t="shared" si="118"/>
        <v>2.149</v>
      </c>
      <c r="F131" s="232">
        <f t="shared" si="119"/>
        <v>16.530769230769231</v>
      </c>
      <c r="G131" s="232">
        <f t="shared" si="120"/>
        <v>13.224615384615385</v>
      </c>
      <c r="H131" s="232">
        <f t="shared" si="121"/>
        <v>8.2653846153846153</v>
      </c>
      <c r="I131" s="232">
        <f t="shared" ref="I131:I194" si="201">I130</f>
        <v>8</v>
      </c>
      <c r="J131" s="233">
        <v>20</v>
      </c>
      <c r="K131" s="228" t="str">
        <f>D131&amp;-1</f>
        <v>13-1</v>
      </c>
      <c r="L131" s="232">
        <f>alpha_n</f>
        <v>0.2</v>
      </c>
      <c r="M131" s="235">
        <v>0</v>
      </c>
      <c r="N131" s="232">
        <f>t_out</f>
        <v>150</v>
      </c>
      <c r="O131" s="232">
        <f>N131+T_s1</f>
        <v>750</v>
      </c>
      <c r="Q131" s="38">
        <f t="shared" ref="Q131" si="202">R130</f>
        <v>12</v>
      </c>
      <c r="R131" s="38">
        <f>Q131+v_step</f>
        <v>14</v>
      </c>
      <c r="S131" s="39">
        <f t="shared" si="177"/>
        <v>0.86609427860023702</v>
      </c>
      <c r="T131" s="39">
        <f t="shared" si="177"/>
        <v>0.93521468146599684</v>
      </c>
      <c r="U131" s="39">
        <f t="shared" si="70"/>
        <v>6.9120402865759822E-2</v>
      </c>
      <c r="V131" s="39">
        <f t="shared" si="71"/>
        <v>7.8390096641163351E-2</v>
      </c>
      <c r="W131" s="40">
        <f t="shared" si="124"/>
        <v>7.8390096641163351E-2</v>
      </c>
      <c r="X131" s="40" t="s">
        <v>3710</v>
      </c>
      <c r="Y131" s="217">
        <f t="shared" si="125"/>
        <v>9.4068115969396029</v>
      </c>
      <c r="Z131" s="217">
        <f t="shared" si="126"/>
        <v>1.5678019328232671</v>
      </c>
    </row>
    <row r="132" spans="1:26" x14ac:dyDescent="0.25">
      <c r="A132" s="229">
        <f t="shared" si="72"/>
        <v>3122</v>
      </c>
      <c r="B132" s="230">
        <f t="shared" si="73"/>
        <v>122</v>
      </c>
      <c r="C132" s="229" t="str">
        <f t="shared" si="68"/>
        <v>24cX13_020-030_02</v>
      </c>
      <c r="D132" s="231">
        <f t="shared" ref="D132:D180" si="203">D131</f>
        <v>13</v>
      </c>
      <c r="E132" s="239">
        <f t="shared" ref="E132:E195" si="204">I_ref*(0.75*D132+5.6)</f>
        <v>2.149</v>
      </c>
      <c r="F132" s="232">
        <f t="shared" ref="F132:F195" si="205">E132/D132*100</f>
        <v>16.530769230769231</v>
      </c>
      <c r="G132" s="232">
        <f t="shared" ref="G132:G195" si="206">m_ty*F132</f>
        <v>13.224615384615385</v>
      </c>
      <c r="H132" s="232">
        <f t="shared" ref="H132:H195" si="207">m_tz*F132</f>
        <v>8.2653846153846153</v>
      </c>
      <c r="I132" s="232">
        <f t="shared" si="201"/>
        <v>8</v>
      </c>
      <c r="J132" s="233">
        <f t="shared" ref="J132:J166" si="208">J131</f>
        <v>20</v>
      </c>
      <c r="K132" s="228" t="str">
        <f>D132&amp;-2</f>
        <v>13-2</v>
      </c>
      <c r="L132" s="232">
        <f t="shared" si="83"/>
        <v>0.2</v>
      </c>
      <c r="M132" s="235">
        <v>30</v>
      </c>
      <c r="N132" s="232">
        <f t="shared" ref="N132:O132" si="209">N131</f>
        <v>150</v>
      </c>
      <c r="O132" s="232">
        <f t="shared" si="209"/>
        <v>750</v>
      </c>
      <c r="Q132" s="38">
        <f t="shared" ref="Q132" si="210">Q131</f>
        <v>12</v>
      </c>
      <c r="R132" s="38">
        <f t="shared" ref="R132" si="211">R131</f>
        <v>14</v>
      </c>
      <c r="S132" s="39">
        <f t="shared" si="177"/>
        <v>0.86609427860023702</v>
      </c>
      <c r="T132" s="39">
        <f t="shared" si="177"/>
        <v>0.93521468146599684</v>
      </c>
      <c r="U132" s="39">
        <f t="shared" si="70"/>
        <v>6.9120402865759822E-2</v>
      </c>
      <c r="V132" s="39">
        <f t="shared" si="71"/>
        <v>7.8390096641163351E-2</v>
      </c>
      <c r="W132" s="40">
        <f t="shared" si="124"/>
        <v>7.8390096641163351E-2</v>
      </c>
      <c r="X132" s="40" t="s">
        <v>3710</v>
      </c>
      <c r="Y132" s="217">
        <f t="shared" si="125"/>
        <v>9.4068115969396029</v>
      </c>
      <c r="Z132" s="217">
        <f t="shared" si="126"/>
        <v>1.5678019328232671</v>
      </c>
    </row>
    <row r="133" spans="1:26" x14ac:dyDescent="0.25">
      <c r="A133" s="229">
        <f t="shared" si="72"/>
        <v>3123</v>
      </c>
      <c r="B133" s="230">
        <f t="shared" si="73"/>
        <v>123</v>
      </c>
      <c r="C133" s="229" t="str">
        <f t="shared" si="68"/>
        <v>24cX13_020-060_03</v>
      </c>
      <c r="D133" s="231">
        <f t="shared" si="178"/>
        <v>13</v>
      </c>
      <c r="E133" s="239">
        <f t="shared" si="204"/>
        <v>2.149</v>
      </c>
      <c r="F133" s="232">
        <f t="shared" si="205"/>
        <v>16.530769230769231</v>
      </c>
      <c r="G133" s="232">
        <f t="shared" si="206"/>
        <v>13.224615384615385</v>
      </c>
      <c r="H133" s="232">
        <f t="shared" si="207"/>
        <v>8.2653846153846153</v>
      </c>
      <c r="I133" s="232">
        <f t="shared" si="201"/>
        <v>8</v>
      </c>
      <c r="J133" s="233">
        <f t="shared" ref="J133" si="212">J132</f>
        <v>20</v>
      </c>
      <c r="K133" s="228" t="str">
        <f>D133&amp;-3</f>
        <v>13-3</v>
      </c>
      <c r="L133" s="232">
        <f t="shared" si="83"/>
        <v>0.2</v>
      </c>
      <c r="M133" s="235">
        <v>60</v>
      </c>
      <c r="N133" s="232">
        <f t="shared" ref="N133:O133" si="213">N132</f>
        <v>150</v>
      </c>
      <c r="O133" s="232">
        <f t="shared" si="213"/>
        <v>750</v>
      </c>
      <c r="Q133" s="38">
        <f t="shared" ref="Q133:R133" si="214">Q132</f>
        <v>12</v>
      </c>
      <c r="R133" s="38">
        <f t="shared" si="214"/>
        <v>14</v>
      </c>
      <c r="S133" s="39">
        <f t="shared" si="177"/>
        <v>0.86609427860023702</v>
      </c>
      <c r="T133" s="39">
        <f t="shared" si="177"/>
        <v>0.93521468146599684</v>
      </c>
      <c r="U133" s="39">
        <f t="shared" si="70"/>
        <v>6.9120402865759822E-2</v>
      </c>
      <c r="V133" s="39">
        <f t="shared" si="71"/>
        <v>7.8390096641163351E-2</v>
      </c>
      <c r="W133" s="40">
        <f t="shared" si="124"/>
        <v>7.8390096641163351E-2</v>
      </c>
      <c r="X133" s="40" t="s">
        <v>3710</v>
      </c>
      <c r="Y133" s="217">
        <f t="shared" si="125"/>
        <v>9.4068115969396029</v>
      </c>
      <c r="Z133" s="217">
        <f t="shared" si="126"/>
        <v>1.5678019328232671</v>
      </c>
    </row>
    <row r="134" spans="1:26" x14ac:dyDescent="0.25">
      <c r="A134" s="229">
        <f t="shared" si="72"/>
        <v>3124</v>
      </c>
      <c r="B134" s="230">
        <f t="shared" si="73"/>
        <v>124</v>
      </c>
      <c r="C134" s="229" t="str">
        <f t="shared" si="68"/>
        <v>24cX13_020-090_04</v>
      </c>
      <c r="D134" s="231">
        <f t="shared" si="178"/>
        <v>13</v>
      </c>
      <c r="E134" s="239">
        <f t="shared" si="204"/>
        <v>2.149</v>
      </c>
      <c r="F134" s="232">
        <f t="shared" si="205"/>
        <v>16.530769230769231</v>
      </c>
      <c r="G134" s="232">
        <f t="shared" si="206"/>
        <v>13.224615384615385</v>
      </c>
      <c r="H134" s="232">
        <f t="shared" si="207"/>
        <v>8.2653846153846153</v>
      </c>
      <c r="I134" s="232">
        <f t="shared" si="201"/>
        <v>8</v>
      </c>
      <c r="J134" s="233">
        <f t="shared" ref="J134" si="215">J133</f>
        <v>20</v>
      </c>
      <c r="K134" s="228" t="str">
        <f>D134&amp;-4</f>
        <v>13-4</v>
      </c>
      <c r="L134" s="232">
        <f t="shared" si="83"/>
        <v>0.2</v>
      </c>
      <c r="M134" s="235">
        <v>90</v>
      </c>
      <c r="N134" s="232">
        <f t="shared" ref="N134:O134" si="216">N133</f>
        <v>150</v>
      </c>
      <c r="O134" s="232">
        <f t="shared" si="216"/>
        <v>750</v>
      </c>
      <c r="Q134" s="38">
        <f t="shared" ref="Q134:R134" si="217">Q133</f>
        <v>12</v>
      </c>
      <c r="R134" s="38">
        <f t="shared" si="217"/>
        <v>14</v>
      </c>
      <c r="S134" s="39">
        <f t="shared" si="177"/>
        <v>0.86609427860023702</v>
      </c>
      <c r="T134" s="39">
        <f t="shared" si="177"/>
        <v>0.93521468146599684</v>
      </c>
      <c r="U134" s="39">
        <f t="shared" si="70"/>
        <v>6.9120402865759822E-2</v>
      </c>
      <c r="V134" s="39">
        <f t="shared" si="71"/>
        <v>7.8390096641163351E-2</v>
      </c>
      <c r="W134" s="40">
        <f t="shared" si="124"/>
        <v>7.8390096641163351E-2</v>
      </c>
      <c r="X134" s="40" t="s">
        <v>3710</v>
      </c>
      <c r="Y134" s="217">
        <f t="shared" si="125"/>
        <v>9.4068115969396029</v>
      </c>
      <c r="Z134" s="217">
        <f t="shared" si="126"/>
        <v>1.5678019328232671</v>
      </c>
    </row>
    <row r="135" spans="1:26" x14ac:dyDescent="0.25">
      <c r="A135" s="229">
        <f t="shared" si="72"/>
        <v>3125</v>
      </c>
      <c r="B135" s="230">
        <f t="shared" si="73"/>
        <v>125</v>
      </c>
      <c r="C135" s="229" t="str">
        <f t="shared" si="68"/>
        <v>24cX13_020-000_05</v>
      </c>
      <c r="D135" s="231">
        <f t="shared" si="178"/>
        <v>13</v>
      </c>
      <c r="E135" s="239">
        <f t="shared" si="204"/>
        <v>2.149</v>
      </c>
      <c r="F135" s="232">
        <f t="shared" si="205"/>
        <v>16.530769230769231</v>
      </c>
      <c r="G135" s="232">
        <f t="shared" si="206"/>
        <v>13.224615384615385</v>
      </c>
      <c r="H135" s="232">
        <f t="shared" si="207"/>
        <v>8.2653846153846153</v>
      </c>
      <c r="I135" s="232">
        <f t="shared" si="201"/>
        <v>8</v>
      </c>
      <c r="J135" s="233">
        <f t="shared" ref="J135" si="218">J134</f>
        <v>20</v>
      </c>
      <c r="K135" s="228" t="str">
        <f>D135&amp;-5</f>
        <v>13-5</v>
      </c>
      <c r="L135" s="232">
        <f t="shared" si="83"/>
        <v>0.2</v>
      </c>
      <c r="M135" s="235">
        <v>0</v>
      </c>
      <c r="N135" s="232">
        <f t="shared" ref="N135:O135" si="219">N134</f>
        <v>150</v>
      </c>
      <c r="O135" s="232">
        <f t="shared" si="219"/>
        <v>750</v>
      </c>
      <c r="Q135" s="38">
        <f t="shared" ref="Q135:R135" si="220">Q134</f>
        <v>12</v>
      </c>
      <c r="R135" s="38">
        <f t="shared" si="220"/>
        <v>14</v>
      </c>
      <c r="S135" s="39">
        <f t="shared" si="177"/>
        <v>0.86609427860023702</v>
      </c>
      <c r="T135" s="39">
        <f t="shared" si="177"/>
        <v>0.93521468146599684</v>
      </c>
      <c r="U135" s="39">
        <f t="shared" si="70"/>
        <v>6.9120402865759822E-2</v>
      </c>
      <c r="V135" s="39">
        <f t="shared" si="71"/>
        <v>7.8390096641163351E-2</v>
      </c>
      <c r="W135" s="40">
        <f t="shared" si="124"/>
        <v>7.8390096641163351E-2</v>
      </c>
      <c r="X135" s="40" t="s">
        <v>3710</v>
      </c>
      <c r="Y135" s="217">
        <f t="shared" si="125"/>
        <v>9.4068115969396029</v>
      </c>
      <c r="Z135" s="217">
        <f t="shared" si="126"/>
        <v>1.5678019328232671</v>
      </c>
    </row>
    <row r="136" spans="1:26" x14ac:dyDescent="0.25">
      <c r="A136" s="229">
        <f t="shared" si="72"/>
        <v>3126</v>
      </c>
      <c r="B136" s="230">
        <f t="shared" si="73"/>
        <v>126</v>
      </c>
      <c r="C136" s="229" t="str">
        <f t="shared" si="68"/>
        <v>24cX13_020-030_06</v>
      </c>
      <c r="D136" s="231">
        <f t="shared" si="178"/>
        <v>13</v>
      </c>
      <c r="E136" s="239">
        <f t="shared" si="204"/>
        <v>2.149</v>
      </c>
      <c r="F136" s="232">
        <f t="shared" si="205"/>
        <v>16.530769230769231</v>
      </c>
      <c r="G136" s="232">
        <f t="shared" si="206"/>
        <v>13.224615384615385</v>
      </c>
      <c r="H136" s="232">
        <f t="shared" si="207"/>
        <v>8.2653846153846153</v>
      </c>
      <c r="I136" s="232">
        <f t="shared" si="201"/>
        <v>8</v>
      </c>
      <c r="J136" s="233">
        <f t="shared" ref="J136" si="221">J135</f>
        <v>20</v>
      </c>
      <c r="K136" s="228" t="str">
        <f>D136&amp;-6</f>
        <v>13-6</v>
      </c>
      <c r="L136" s="232">
        <f t="shared" si="83"/>
        <v>0.2</v>
      </c>
      <c r="M136" s="235">
        <v>30</v>
      </c>
      <c r="N136" s="232">
        <f t="shared" ref="N136:O136" si="222">N135</f>
        <v>150</v>
      </c>
      <c r="O136" s="232">
        <f t="shared" si="222"/>
        <v>750</v>
      </c>
      <c r="Q136" s="38">
        <f t="shared" ref="Q136:R136" si="223">Q135</f>
        <v>12</v>
      </c>
      <c r="R136" s="38">
        <f t="shared" si="223"/>
        <v>14</v>
      </c>
      <c r="S136" s="39">
        <f t="shared" si="177"/>
        <v>0.86609427860023702</v>
      </c>
      <c r="T136" s="39">
        <f t="shared" si="177"/>
        <v>0.93521468146599684</v>
      </c>
      <c r="U136" s="39">
        <f t="shared" si="70"/>
        <v>6.9120402865759822E-2</v>
      </c>
      <c r="V136" s="39">
        <f t="shared" si="71"/>
        <v>7.8390096641163351E-2</v>
      </c>
      <c r="W136" s="40">
        <f t="shared" si="124"/>
        <v>7.8390096641163351E-2</v>
      </c>
      <c r="X136" s="40" t="s">
        <v>3710</v>
      </c>
      <c r="Y136" s="217">
        <f t="shared" si="125"/>
        <v>9.4068115969396029</v>
      </c>
      <c r="Z136" s="217">
        <f t="shared" si="126"/>
        <v>1.5678019328232671</v>
      </c>
    </row>
    <row r="137" spans="1:26" x14ac:dyDescent="0.25">
      <c r="A137" s="229">
        <f t="shared" si="72"/>
        <v>3127</v>
      </c>
      <c r="B137" s="230">
        <f t="shared" si="73"/>
        <v>127</v>
      </c>
      <c r="C137" s="229" t="str">
        <f t="shared" si="68"/>
        <v>24cX13_020-060_07</v>
      </c>
      <c r="D137" s="231">
        <f t="shared" si="178"/>
        <v>13</v>
      </c>
      <c r="E137" s="239">
        <f t="shared" si="204"/>
        <v>2.149</v>
      </c>
      <c r="F137" s="232">
        <f t="shared" si="205"/>
        <v>16.530769230769231</v>
      </c>
      <c r="G137" s="232">
        <f t="shared" si="206"/>
        <v>13.224615384615385</v>
      </c>
      <c r="H137" s="232">
        <f t="shared" si="207"/>
        <v>8.2653846153846153</v>
      </c>
      <c r="I137" s="232">
        <f t="shared" si="201"/>
        <v>8</v>
      </c>
      <c r="J137" s="233">
        <f t="shared" ref="J137" si="224">J136</f>
        <v>20</v>
      </c>
      <c r="K137" s="228" t="str">
        <f>D137&amp;-7</f>
        <v>13-7</v>
      </c>
      <c r="L137" s="232">
        <f t="shared" si="83"/>
        <v>0.2</v>
      </c>
      <c r="M137" s="235">
        <v>60</v>
      </c>
      <c r="N137" s="232">
        <f t="shared" ref="N137:O137" si="225">N136</f>
        <v>150</v>
      </c>
      <c r="O137" s="232">
        <f t="shared" si="225"/>
        <v>750</v>
      </c>
      <c r="Q137" s="38">
        <f t="shared" ref="Q137:R137" si="226">Q136</f>
        <v>12</v>
      </c>
      <c r="R137" s="38">
        <f t="shared" si="226"/>
        <v>14</v>
      </c>
      <c r="S137" s="39">
        <f t="shared" si="177"/>
        <v>0.86609427860023702</v>
      </c>
      <c r="T137" s="39">
        <f t="shared" si="177"/>
        <v>0.93521468146599684</v>
      </c>
      <c r="U137" s="39">
        <f t="shared" si="70"/>
        <v>6.9120402865759822E-2</v>
      </c>
      <c r="V137" s="39">
        <f t="shared" si="71"/>
        <v>7.8390096641163351E-2</v>
      </c>
      <c r="W137" s="40">
        <f t="shared" si="124"/>
        <v>7.8390096641163351E-2</v>
      </c>
      <c r="X137" s="40" t="s">
        <v>3710</v>
      </c>
      <c r="Y137" s="217">
        <f t="shared" si="125"/>
        <v>9.4068115969396029</v>
      </c>
      <c r="Z137" s="217">
        <f t="shared" si="126"/>
        <v>1.5678019328232671</v>
      </c>
    </row>
    <row r="138" spans="1:26" x14ac:dyDescent="0.25">
      <c r="A138" s="229">
        <f t="shared" si="72"/>
        <v>3128</v>
      </c>
      <c r="B138" s="230">
        <f t="shared" si="73"/>
        <v>128</v>
      </c>
      <c r="C138" s="229" t="str">
        <f t="shared" si="68"/>
        <v>24cX13_020-090_08</v>
      </c>
      <c r="D138" s="231">
        <f t="shared" si="178"/>
        <v>13</v>
      </c>
      <c r="E138" s="239">
        <f t="shared" si="204"/>
        <v>2.149</v>
      </c>
      <c r="F138" s="232">
        <f t="shared" si="205"/>
        <v>16.530769230769231</v>
      </c>
      <c r="G138" s="232">
        <f t="shared" si="206"/>
        <v>13.224615384615385</v>
      </c>
      <c r="H138" s="232">
        <f t="shared" si="207"/>
        <v>8.2653846153846153</v>
      </c>
      <c r="I138" s="232">
        <f t="shared" si="201"/>
        <v>8</v>
      </c>
      <c r="J138" s="233">
        <f t="shared" ref="J138" si="227">J137</f>
        <v>20</v>
      </c>
      <c r="K138" s="228" t="str">
        <f>D138&amp;-8</f>
        <v>13-8</v>
      </c>
      <c r="L138" s="232">
        <f t="shared" si="83"/>
        <v>0.2</v>
      </c>
      <c r="M138" s="235">
        <v>90</v>
      </c>
      <c r="N138" s="232">
        <f t="shared" ref="N138:O138" si="228">N137</f>
        <v>150</v>
      </c>
      <c r="O138" s="232">
        <f t="shared" si="228"/>
        <v>750</v>
      </c>
      <c r="Q138" s="38">
        <f t="shared" ref="Q138:R138" si="229">Q137</f>
        <v>12</v>
      </c>
      <c r="R138" s="38">
        <f t="shared" si="229"/>
        <v>14</v>
      </c>
      <c r="S138" s="39">
        <f t="shared" si="177"/>
        <v>0.86609427860023702</v>
      </c>
      <c r="T138" s="39">
        <f t="shared" si="177"/>
        <v>0.93521468146599684</v>
      </c>
      <c r="U138" s="39">
        <f t="shared" si="70"/>
        <v>6.9120402865759822E-2</v>
      </c>
      <c r="V138" s="39">
        <f t="shared" si="71"/>
        <v>7.8390096641163351E-2</v>
      </c>
      <c r="W138" s="40">
        <f t="shared" si="124"/>
        <v>7.8390096641163351E-2</v>
      </c>
      <c r="X138" s="40" t="s">
        <v>3710</v>
      </c>
      <c r="Y138" s="217">
        <f t="shared" si="125"/>
        <v>9.4068115969396029</v>
      </c>
      <c r="Z138" s="217">
        <f t="shared" si="126"/>
        <v>1.5678019328232671</v>
      </c>
    </row>
    <row r="139" spans="1:26" x14ac:dyDescent="0.25">
      <c r="A139" s="229">
        <f t="shared" si="72"/>
        <v>3129</v>
      </c>
      <c r="B139" s="230">
        <f t="shared" si="73"/>
        <v>129</v>
      </c>
      <c r="C139" s="229" t="str">
        <f t="shared" si="68"/>
        <v>24cX13_020-000_09</v>
      </c>
      <c r="D139" s="231">
        <f t="shared" si="178"/>
        <v>13</v>
      </c>
      <c r="E139" s="239">
        <f t="shared" si="204"/>
        <v>2.149</v>
      </c>
      <c r="F139" s="232">
        <f t="shared" si="205"/>
        <v>16.530769230769231</v>
      </c>
      <c r="G139" s="232">
        <f t="shared" si="206"/>
        <v>13.224615384615385</v>
      </c>
      <c r="H139" s="232">
        <f t="shared" si="207"/>
        <v>8.2653846153846153</v>
      </c>
      <c r="I139" s="232">
        <f t="shared" si="201"/>
        <v>8</v>
      </c>
      <c r="J139" s="233">
        <f t="shared" ref="J139" si="230">J138</f>
        <v>20</v>
      </c>
      <c r="K139" s="228" t="str">
        <f>D139&amp;-9</f>
        <v>13-9</v>
      </c>
      <c r="L139" s="232">
        <f t="shared" si="83"/>
        <v>0.2</v>
      </c>
      <c r="M139" s="235">
        <v>0</v>
      </c>
      <c r="N139" s="232">
        <f t="shared" ref="N139:O139" si="231">N138</f>
        <v>150</v>
      </c>
      <c r="O139" s="232">
        <f t="shared" si="231"/>
        <v>750</v>
      </c>
      <c r="Q139" s="38">
        <f t="shared" ref="Q139:R139" si="232">Q138</f>
        <v>12</v>
      </c>
      <c r="R139" s="38">
        <f t="shared" si="232"/>
        <v>14</v>
      </c>
      <c r="S139" s="39">
        <f t="shared" si="177"/>
        <v>0.86609427860023702</v>
      </c>
      <c r="T139" s="39">
        <f t="shared" si="177"/>
        <v>0.93521468146599684</v>
      </c>
      <c r="U139" s="39">
        <f t="shared" si="70"/>
        <v>6.9120402865759822E-2</v>
      </c>
      <c r="V139" s="39">
        <f t="shared" si="71"/>
        <v>7.8390096641163351E-2</v>
      </c>
      <c r="W139" s="40">
        <f t="shared" si="124"/>
        <v>7.8390096641163351E-2</v>
      </c>
      <c r="X139" s="40" t="s">
        <v>3710</v>
      </c>
      <c r="Y139" s="217">
        <f t="shared" si="125"/>
        <v>9.4068115969396029</v>
      </c>
      <c r="Z139" s="217">
        <f t="shared" si="126"/>
        <v>1.5678019328232671</v>
      </c>
    </row>
    <row r="140" spans="1:26" x14ac:dyDescent="0.25">
      <c r="A140" s="229">
        <f t="shared" si="72"/>
        <v>3130</v>
      </c>
      <c r="B140" s="230">
        <f t="shared" si="73"/>
        <v>130</v>
      </c>
      <c r="C140" s="229" t="str">
        <f t="shared" ref="C140:C203" si="233">TEXT(RIGHT($B$2,LEN($B$2)-3),"000")&amp;"X"&amp;TEXT(D140,"00")&amp;"_"&amp;IF(J140&lt;0,TEXT(360+J140,"000"),TEXT(J140,"000"))&amp;"-"&amp;TEXT(M140,"000")&amp;"_"&amp;TEXT(RIGHT(K140,LEN(K140)-FIND("-",K140)),"00")</f>
        <v>24cX13_020-030_10</v>
      </c>
      <c r="D140" s="231">
        <f t="shared" si="178"/>
        <v>13</v>
      </c>
      <c r="E140" s="239">
        <f t="shared" si="204"/>
        <v>2.149</v>
      </c>
      <c r="F140" s="232">
        <f t="shared" si="205"/>
        <v>16.530769230769231</v>
      </c>
      <c r="G140" s="232">
        <f t="shared" si="206"/>
        <v>13.224615384615385</v>
      </c>
      <c r="H140" s="232">
        <f t="shared" si="207"/>
        <v>8.2653846153846153</v>
      </c>
      <c r="I140" s="232">
        <f t="shared" si="201"/>
        <v>8</v>
      </c>
      <c r="J140" s="233">
        <f t="shared" ref="J140" si="234">J139</f>
        <v>20</v>
      </c>
      <c r="K140" s="228" t="str">
        <f>D140&amp;-10</f>
        <v>13-10</v>
      </c>
      <c r="L140" s="232">
        <f t="shared" si="83"/>
        <v>0.2</v>
      </c>
      <c r="M140" s="235">
        <v>30</v>
      </c>
      <c r="N140" s="232">
        <f t="shared" ref="N140:O140" si="235">N139</f>
        <v>150</v>
      </c>
      <c r="O140" s="232">
        <f t="shared" si="235"/>
        <v>750</v>
      </c>
      <c r="Q140" s="38">
        <f t="shared" ref="Q140:R140" si="236">Q139</f>
        <v>12</v>
      </c>
      <c r="R140" s="38">
        <f t="shared" si="236"/>
        <v>14</v>
      </c>
      <c r="S140" s="39">
        <f t="shared" si="177"/>
        <v>0.86609427860023702</v>
      </c>
      <c r="T140" s="39">
        <f t="shared" si="177"/>
        <v>0.93521468146599684</v>
      </c>
      <c r="U140" s="39">
        <f t="shared" ref="U140:U153" si="237">T140-S140</f>
        <v>6.9120402865759822E-2</v>
      </c>
      <c r="V140" s="39">
        <f t="shared" ref="V140:V203" si="238">U140/(U$11+U$35+U$59+U$83+U$107+U$131+U$155+U$179+U$203+U$227+U$251+U$275)</f>
        <v>7.8390096641163351E-2</v>
      </c>
      <c r="W140" s="40">
        <f t="shared" si="124"/>
        <v>7.8390096641163351E-2</v>
      </c>
      <c r="X140" s="40" t="s">
        <v>3710</v>
      </c>
      <c r="Y140" s="217">
        <f t="shared" si="125"/>
        <v>9.4068115969396029</v>
      </c>
      <c r="Z140" s="217">
        <f t="shared" si="126"/>
        <v>1.5678019328232671</v>
      </c>
    </row>
    <row r="141" spans="1:26" x14ac:dyDescent="0.25">
      <c r="A141" s="229">
        <f t="shared" ref="A141:A204" si="239">A140+1</f>
        <v>3131</v>
      </c>
      <c r="B141" s="230">
        <f t="shared" ref="B141:B204" si="240">B140+1</f>
        <v>131</v>
      </c>
      <c r="C141" s="229" t="str">
        <f t="shared" si="233"/>
        <v>24cX13_020-060_11</v>
      </c>
      <c r="D141" s="231">
        <f t="shared" si="178"/>
        <v>13</v>
      </c>
      <c r="E141" s="239">
        <f t="shared" si="204"/>
        <v>2.149</v>
      </c>
      <c r="F141" s="232">
        <f t="shared" si="205"/>
        <v>16.530769230769231</v>
      </c>
      <c r="G141" s="232">
        <f t="shared" si="206"/>
        <v>13.224615384615385</v>
      </c>
      <c r="H141" s="232">
        <f t="shared" si="207"/>
        <v>8.2653846153846153</v>
      </c>
      <c r="I141" s="232">
        <f t="shared" si="201"/>
        <v>8</v>
      </c>
      <c r="J141" s="233">
        <f t="shared" ref="J141" si="241">J140</f>
        <v>20</v>
      </c>
      <c r="K141" s="228" t="str">
        <f>D141&amp;-11</f>
        <v>13-11</v>
      </c>
      <c r="L141" s="232">
        <f t="shared" si="83"/>
        <v>0.2</v>
      </c>
      <c r="M141" s="235">
        <v>60</v>
      </c>
      <c r="N141" s="232">
        <f t="shared" ref="N141:O141" si="242">N140</f>
        <v>150</v>
      </c>
      <c r="O141" s="232">
        <f t="shared" si="242"/>
        <v>750</v>
      </c>
      <c r="Q141" s="38">
        <f t="shared" ref="Q141:R141" si="243">Q140</f>
        <v>12</v>
      </c>
      <c r="R141" s="38">
        <f t="shared" si="243"/>
        <v>14</v>
      </c>
      <c r="S141" s="39">
        <f t="shared" si="177"/>
        <v>0.86609427860023702</v>
      </c>
      <c r="T141" s="39">
        <f t="shared" si="177"/>
        <v>0.93521468146599684</v>
      </c>
      <c r="U141" s="39">
        <f t="shared" si="237"/>
        <v>6.9120402865759822E-2</v>
      </c>
      <c r="V141" s="39">
        <f t="shared" si="238"/>
        <v>7.8390096641163351E-2</v>
      </c>
      <c r="W141" s="40">
        <f t="shared" si="124"/>
        <v>7.8390096641163351E-2</v>
      </c>
      <c r="X141" s="40" t="s">
        <v>3710</v>
      </c>
      <c r="Y141" s="217">
        <f t="shared" si="125"/>
        <v>9.4068115969396029</v>
      </c>
      <c r="Z141" s="217">
        <f t="shared" si="126"/>
        <v>1.5678019328232671</v>
      </c>
    </row>
    <row r="142" spans="1:26" x14ac:dyDescent="0.25">
      <c r="A142" s="229">
        <f t="shared" si="239"/>
        <v>3132</v>
      </c>
      <c r="B142" s="230">
        <f t="shared" si="240"/>
        <v>132</v>
      </c>
      <c r="C142" s="229" t="str">
        <f t="shared" si="233"/>
        <v>24cX13_020-090_12</v>
      </c>
      <c r="D142" s="231">
        <f t="shared" si="178"/>
        <v>13</v>
      </c>
      <c r="E142" s="239">
        <f t="shared" si="204"/>
        <v>2.149</v>
      </c>
      <c r="F142" s="232">
        <f t="shared" si="205"/>
        <v>16.530769230769231</v>
      </c>
      <c r="G142" s="232">
        <f t="shared" si="206"/>
        <v>13.224615384615385</v>
      </c>
      <c r="H142" s="232">
        <f t="shared" si="207"/>
        <v>8.2653846153846153</v>
      </c>
      <c r="I142" s="232">
        <f t="shared" si="201"/>
        <v>8</v>
      </c>
      <c r="J142" s="233">
        <f t="shared" ref="J142" si="244">J141</f>
        <v>20</v>
      </c>
      <c r="K142" s="228" t="str">
        <f>D142&amp;-12</f>
        <v>13-12</v>
      </c>
      <c r="L142" s="232">
        <f t="shared" si="83"/>
        <v>0.2</v>
      </c>
      <c r="M142" s="235">
        <v>90</v>
      </c>
      <c r="N142" s="232">
        <f t="shared" ref="N142:O142" si="245">N141</f>
        <v>150</v>
      </c>
      <c r="O142" s="232">
        <f t="shared" si="245"/>
        <v>750</v>
      </c>
      <c r="Q142" s="38">
        <f t="shared" ref="Q142:R142" si="246">Q141</f>
        <v>12</v>
      </c>
      <c r="R142" s="38">
        <f t="shared" si="246"/>
        <v>14</v>
      </c>
      <c r="S142" s="39">
        <f t="shared" si="177"/>
        <v>0.86609427860023702</v>
      </c>
      <c r="T142" s="39">
        <f t="shared" si="177"/>
        <v>0.93521468146599684</v>
      </c>
      <c r="U142" s="39">
        <f t="shared" si="237"/>
        <v>6.9120402865759822E-2</v>
      </c>
      <c r="V142" s="39">
        <f t="shared" si="238"/>
        <v>7.8390096641163351E-2</v>
      </c>
      <c r="W142" s="40">
        <f t="shared" si="124"/>
        <v>7.8390096641163351E-2</v>
      </c>
      <c r="X142" s="40" t="s">
        <v>3710</v>
      </c>
      <c r="Y142" s="217">
        <f t="shared" si="125"/>
        <v>9.4068115969396029</v>
      </c>
      <c r="Z142" s="217">
        <f t="shared" si="126"/>
        <v>1.5678019328232671</v>
      </c>
    </row>
    <row r="143" spans="1:26" x14ac:dyDescent="0.25">
      <c r="A143" s="229">
        <f t="shared" si="239"/>
        <v>3133</v>
      </c>
      <c r="B143" s="230">
        <f t="shared" si="240"/>
        <v>133</v>
      </c>
      <c r="C143" s="229" t="str">
        <f t="shared" si="233"/>
        <v>24cX13_340-000_01</v>
      </c>
      <c r="D143" s="231">
        <f t="shared" si="178"/>
        <v>13</v>
      </c>
      <c r="E143" s="239">
        <f t="shared" si="204"/>
        <v>2.149</v>
      </c>
      <c r="F143" s="232">
        <f t="shared" si="205"/>
        <v>16.530769230769231</v>
      </c>
      <c r="G143" s="232">
        <f t="shared" si="206"/>
        <v>13.224615384615385</v>
      </c>
      <c r="H143" s="232">
        <f t="shared" si="207"/>
        <v>8.2653846153846153</v>
      </c>
      <c r="I143" s="232">
        <f t="shared" si="201"/>
        <v>8</v>
      </c>
      <c r="J143" s="233">
        <f>-J131</f>
        <v>-20</v>
      </c>
      <c r="K143" s="228" t="str">
        <f>D143&amp;-1</f>
        <v>13-1</v>
      </c>
      <c r="L143" s="232">
        <f t="shared" si="83"/>
        <v>0.2</v>
      </c>
      <c r="M143" s="235">
        <v>0</v>
      </c>
      <c r="N143" s="232">
        <f t="shared" ref="N143:O143" si="247">N142</f>
        <v>150</v>
      </c>
      <c r="O143" s="232">
        <f t="shared" si="247"/>
        <v>750</v>
      </c>
      <c r="Q143" s="38">
        <f t="shared" ref="Q143:Q144" si="248">Q142</f>
        <v>12</v>
      </c>
      <c r="R143" s="38">
        <f>Q143+v_step</f>
        <v>14</v>
      </c>
      <c r="S143" s="39">
        <f t="shared" si="177"/>
        <v>0.86609427860023702</v>
      </c>
      <c r="T143" s="39">
        <f t="shared" si="177"/>
        <v>0.93521468146599684</v>
      </c>
      <c r="U143" s="39">
        <f t="shared" si="237"/>
        <v>6.9120402865759822E-2</v>
      </c>
      <c r="V143" s="39">
        <f t="shared" si="238"/>
        <v>7.8390096641163351E-2</v>
      </c>
      <c r="W143" s="40">
        <f t="shared" si="124"/>
        <v>7.8390096641163351E-2</v>
      </c>
      <c r="X143" s="40" t="s">
        <v>3710</v>
      </c>
      <c r="Y143" s="217">
        <f t="shared" si="125"/>
        <v>9.4068115969396029</v>
      </c>
      <c r="Z143" s="217">
        <f t="shared" si="126"/>
        <v>1.5678019328232671</v>
      </c>
    </row>
    <row r="144" spans="1:26" x14ac:dyDescent="0.25">
      <c r="A144" s="229">
        <f t="shared" si="239"/>
        <v>3134</v>
      </c>
      <c r="B144" s="230">
        <f t="shared" si="240"/>
        <v>134</v>
      </c>
      <c r="C144" s="229" t="str">
        <f t="shared" si="233"/>
        <v>24cX13_340-030_02</v>
      </c>
      <c r="D144" s="231">
        <f t="shared" si="178"/>
        <v>13</v>
      </c>
      <c r="E144" s="239">
        <f t="shared" si="204"/>
        <v>2.149</v>
      </c>
      <c r="F144" s="232">
        <f t="shared" si="205"/>
        <v>16.530769230769231</v>
      </c>
      <c r="G144" s="232">
        <f t="shared" si="206"/>
        <v>13.224615384615385</v>
      </c>
      <c r="H144" s="232">
        <f t="shared" si="207"/>
        <v>8.2653846153846153</v>
      </c>
      <c r="I144" s="232">
        <f t="shared" si="201"/>
        <v>8</v>
      </c>
      <c r="J144" s="233">
        <f t="shared" ref="J144:J178" si="249">J143</f>
        <v>-20</v>
      </c>
      <c r="K144" s="228" t="str">
        <f>D144&amp;-2</f>
        <v>13-2</v>
      </c>
      <c r="L144" s="232">
        <f t="shared" si="83"/>
        <v>0.2</v>
      </c>
      <c r="M144" s="235">
        <v>30</v>
      </c>
      <c r="N144" s="232">
        <f t="shared" ref="N144:O144" si="250">N143</f>
        <v>150</v>
      </c>
      <c r="O144" s="232">
        <f t="shared" si="250"/>
        <v>750</v>
      </c>
      <c r="Q144" s="38">
        <f t="shared" si="248"/>
        <v>12</v>
      </c>
      <c r="R144" s="38">
        <f t="shared" ref="R144" si="251">R143</f>
        <v>14</v>
      </c>
      <c r="S144" s="39">
        <f t="shared" si="177"/>
        <v>0.86609427860023702</v>
      </c>
      <c r="T144" s="39">
        <f t="shared" si="177"/>
        <v>0.93521468146599684</v>
      </c>
      <c r="U144" s="39">
        <f t="shared" si="237"/>
        <v>6.9120402865759822E-2</v>
      </c>
      <c r="V144" s="39">
        <f t="shared" si="238"/>
        <v>7.8390096641163351E-2</v>
      </c>
      <c r="W144" s="40">
        <f t="shared" si="124"/>
        <v>7.8390096641163351E-2</v>
      </c>
      <c r="X144" s="40" t="s">
        <v>3710</v>
      </c>
      <c r="Y144" s="217">
        <f t="shared" si="125"/>
        <v>9.4068115969396029</v>
      </c>
      <c r="Z144" s="217">
        <f t="shared" si="126"/>
        <v>1.5678019328232671</v>
      </c>
    </row>
    <row r="145" spans="1:26" x14ac:dyDescent="0.25">
      <c r="A145" s="229">
        <f t="shared" si="239"/>
        <v>3135</v>
      </c>
      <c r="B145" s="230">
        <f t="shared" si="240"/>
        <v>135</v>
      </c>
      <c r="C145" s="229" t="str">
        <f t="shared" si="233"/>
        <v>24cX13_340-060_03</v>
      </c>
      <c r="D145" s="231">
        <f t="shared" si="178"/>
        <v>13</v>
      </c>
      <c r="E145" s="239">
        <f t="shared" si="204"/>
        <v>2.149</v>
      </c>
      <c r="F145" s="232">
        <f t="shared" si="205"/>
        <v>16.530769230769231</v>
      </c>
      <c r="G145" s="232">
        <f t="shared" si="206"/>
        <v>13.224615384615385</v>
      </c>
      <c r="H145" s="232">
        <f t="shared" si="207"/>
        <v>8.2653846153846153</v>
      </c>
      <c r="I145" s="232">
        <f t="shared" si="201"/>
        <v>8</v>
      </c>
      <c r="J145" s="233">
        <f t="shared" ref="J145" si="252">J144</f>
        <v>-20</v>
      </c>
      <c r="K145" s="228" t="str">
        <f>D145&amp;-3</f>
        <v>13-3</v>
      </c>
      <c r="L145" s="232">
        <f t="shared" si="83"/>
        <v>0.2</v>
      </c>
      <c r="M145" s="235">
        <v>60</v>
      </c>
      <c r="N145" s="232">
        <f t="shared" ref="N145:O145" si="253">N144</f>
        <v>150</v>
      </c>
      <c r="O145" s="232">
        <f t="shared" si="253"/>
        <v>750</v>
      </c>
      <c r="Q145" s="38">
        <f t="shared" ref="Q145:R145" si="254">Q144</f>
        <v>12</v>
      </c>
      <c r="R145" s="38">
        <f t="shared" si="254"/>
        <v>14</v>
      </c>
      <c r="S145" s="39">
        <f t="shared" si="177"/>
        <v>0.86609427860023702</v>
      </c>
      <c r="T145" s="39">
        <f t="shared" si="177"/>
        <v>0.93521468146599684</v>
      </c>
      <c r="U145" s="39">
        <f t="shared" si="237"/>
        <v>6.9120402865759822E-2</v>
      </c>
      <c r="V145" s="39">
        <f t="shared" si="238"/>
        <v>7.8390096641163351E-2</v>
      </c>
      <c r="W145" s="40">
        <f t="shared" si="124"/>
        <v>7.8390096641163351E-2</v>
      </c>
      <c r="X145" s="40" t="s">
        <v>3710</v>
      </c>
      <c r="Y145" s="217">
        <f t="shared" si="125"/>
        <v>9.4068115969396029</v>
      </c>
      <c r="Z145" s="217">
        <f t="shared" si="126"/>
        <v>1.5678019328232671</v>
      </c>
    </row>
    <row r="146" spans="1:26" x14ac:dyDescent="0.25">
      <c r="A146" s="229">
        <f t="shared" si="239"/>
        <v>3136</v>
      </c>
      <c r="B146" s="230">
        <f t="shared" si="240"/>
        <v>136</v>
      </c>
      <c r="C146" s="229" t="str">
        <f t="shared" si="233"/>
        <v>24cX13_340-090_04</v>
      </c>
      <c r="D146" s="231">
        <f t="shared" si="178"/>
        <v>13</v>
      </c>
      <c r="E146" s="239">
        <f t="shared" si="204"/>
        <v>2.149</v>
      </c>
      <c r="F146" s="232">
        <f t="shared" si="205"/>
        <v>16.530769230769231</v>
      </c>
      <c r="G146" s="232">
        <f t="shared" si="206"/>
        <v>13.224615384615385</v>
      </c>
      <c r="H146" s="232">
        <f t="shared" si="207"/>
        <v>8.2653846153846153</v>
      </c>
      <c r="I146" s="232">
        <f t="shared" si="201"/>
        <v>8</v>
      </c>
      <c r="J146" s="233">
        <f t="shared" ref="J146" si="255">J145</f>
        <v>-20</v>
      </c>
      <c r="K146" s="228" t="str">
        <f>D146&amp;-4</f>
        <v>13-4</v>
      </c>
      <c r="L146" s="232">
        <f t="shared" si="83"/>
        <v>0.2</v>
      </c>
      <c r="M146" s="235">
        <v>90</v>
      </c>
      <c r="N146" s="232">
        <f t="shared" ref="N146:O146" si="256">N145</f>
        <v>150</v>
      </c>
      <c r="O146" s="232">
        <f t="shared" si="256"/>
        <v>750</v>
      </c>
      <c r="Q146" s="38">
        <f t="shared" ref="Q146:R146" si="257">Q145</f>
        <v>12</v>
      </c>
      <c r="R146" s="38">
        <f t="shared" si="257"/>
        <v>14</v>
      </c>
      <c r="S146" s="39">
        <f t="shared" si="177"/>
        <v>0.86609427860023702</v>
      </c>
      <c r="T146" s="39">
        <f t="shared" si="177"/>
        <v>0.93521468146599684</v>
      </c>
      <c r="U146" s="39">
        <f t="shared" si="237"/>
        <v>6.9120402865759822E-2</v>
      </c>
      <c r="V146" s="39">
        <f t="shared" si="238"/>
        <v>7.8390096641163351E-2</v>
      </c>
      <c r="W146" s="40">
        <f t="shared" si="124"/>
        <v>7.8390096641163351E-2</v>
      </c>
      <c r="X146" s="40" t="s">
        <v>3710</v>
      </c>
      <c r="Y146" s="217">
        <f t="shared" si="125"/>
        <v>9.4068115969396029</v>
      </c>
      <c r="Z146" s="217">
        <f t="shared" si="126"/>
        <v>1.5678019328232671</v>
      </c>
    </row>
    <row r="147" spans="1:26" x14ac:dyDescent="0.25">
      <c r="A147" s="229">
        <f t="shared" si="239"/>
        <v>3137</v>
      </c>
      <c r="B147" s="230">
        <f t="shared" si="240"/>
        <v>137</v>
      </c>
      <c r="C147" s="229" t="str">
        <f t="shared" si="233"/>
        <v>24cX13_340-000_05</v>
      </c>
      <c r="D147" s="231">
        <f t="shared" si="178"/>
        <v>13</v>
      </c>
      <c r="E147" s="239">
        <f t="shared" si="204"/>
        <v>2.149</v>
      </c>
      <c r="F147" s="232">
        <f t="shared" si="205"/>
        <v>16.530769230769231</v>
      </c>
      <c r="G147" s="232">
        <f t="shared" si="206"/>
        <v>13.224615384615385</v>
      </c>
      <c r="H147" s="232">
        <f t="shared" si="207"/>
        <v>8.2653846153846153</v>
      </c>
      <c r="I147" s="232">
        <f t="shared" si="201"/>
        <v>8</v>
      </c>
      <c r="J147" s="233">
        <f t="shared" ref="J147" si="258">J146</f>
        <v>-20</v>
      </c>
      <c r="K147" s="228" t="str">
        <f>D147&amp;-5</f>
        <v>13-5</v>
      </c>
      <c r="L147" s="232">
        <f t="shared" si="83"/>
        <v>0.2</v>
      </c>
      <c r="M147" s="235">
        <v>0</v>
      </c>
      <c r="N147" s="232">
        <f t="shared" ref="N147:O147" si="259">N146</f>
        <v>150</v>
      </c>
      <c r="O147" s="232">
        <f t="shared" si="259"/>
        <v>750</v>
      </c>
      <c r="Q147" s="38">
        <f t="shared" ref="Q147:R147" si="260">Q146</f>
        <v>12</v>
      </c>
      <c r="R147" s="38">
        <f t="shared" si="260"/>
        <v>14</v>
      </c>
      <c r="S147" s="39">
        <f t="shared" si="177"/>
        <v>0.86609427860023702</v>
      </c>
      <c r="T147" s="39">
        <f t="shared" si="177"/>
        <v>0.93521468146599684</v>
      </c>
      <c r="U147" s="39">
        <f t="shared" si="237"/>
        <v>6.9120402865759822E-2</v>
      </c>
      <c r="V147" s="39">
        <f t="shared" si="238"/>
        <v>7.8390096641163351E-2</v>
      </c>
      <c r="W147" s="40">
        <f t="shared" si="124"/>
        <v>7.8390096641163351E-2</v>
      </c>
      <c r="X147" s="40" t="s">
        <v>3710</v>
      </c>
      <c r="Y147" s="217">
        <f t="shared" si="125"/>
        <v>9.4068115969396029</v>
      </c>
      <c r="Z147" s="217">
        <f t="shared" si="126"/>
        <v>1.5678019328232671</v>
      </c>
    </row>
    <row r="148" spans="1:26" x14ac:dyDescent="0.25">
      <c r="A148" s="229">
        <f t="shared" si="239"/>
        <v>3138</v>
      </c>
      <c r="B148" s="230">
        <f t="shared" si="240"/>
        <v>138</v>
      </c>
      <c r="C148" s="229" t="str">
        <f t="shared" si="233"/>
        <v>24cX13_340-030_06</v>
      </c>
      <c r="D148" s="231">
        <f t="shared" si="178"/>
        <v>13</v>
      </c>
      <c r="E148" s="239">
        <f t="shared" si="204"/>
        <v>2.149</v>
      </c>
      <c r="F148" s="232">
        <f t="shared" si="205"/>
        <v>16.530769230769231</v>
      </c>
      <c r="G148" s="232">
        <f t="shared" si="206"/>
        <v>13.224615384615385</v>
      </c>
      <c r="H148" s="232">
        <f t="shared" si="207"/>
        <v>8.2653846153846153</v>
      </c>
      <c r="I148" s="232">
        <f t="shared" si="201"/>
        <v>8</v>
      </c>
      <c r="J148" s="233">
        <f t="shared" ref="J148" si="261">J147</f>
        <v>-20</v>
      </c>
      <c r="K148" s="228" t="str">
        <f>D148&amp;-6</f>
        <v>13-6</v>
      </c>
      <c r="L148" s="232">
        <f t="shared" ref="L148:L154" si="262">L147</f>
        <v>0.2</v>
      </c>
      <c r="M148" s="235">
        <v>30</v>
      </c>
      <c r="N148" s="232">
        <f t="shared" ref="N148:O148" si="263">N147</f>
        <v>150</v>
      </c>
      <c r="O148" s="232">
        <f t="shared" si="263"/>
        <v>750</v>
      </c>
      <c r="Q148" s="38">
        <f t="shared" ref="Q148:R148" si="264">Q147</f>
        <v>12</v>
      </c>
      <c r="R148" s="38">
        <f t="shared" si="264"/>
        <v>14</v>
      </c>
      <c r="S148" s="39">
        <f t="shared" si="177"/>
        <v>0.86609427860023702</v>
      </c>
      <c r="T148" s="39">
        <f t="shared" si="177"/>
        <v>0.93521468146599684</v>
      </c>
      <c r="U148" s="39">
        <f t="shared" si="237"/>
        <v>6.9120402865759822E-2</v>
      </c>
      <c r="V148" s="39">
        <f t="shared" si="238"/>
        <v>7.8390096641163351E-2</v>
      </c>
      <c r="W148" s="40">
        <f t="shared" si="124"/>
        <v>7.8390096641163351E-2</v>
      </c>
      <c r="X148" s="40" t="s">
        <v>3710</v>
      </c>
      <c r="Y148" s="217">
        <f t="shared" si="125"/>
        <v>9.4068115969396029</v>
      </c>
      <c r="Z148" s="217">
        <f t="shared" si="126"/>
        <v>1.5678019328232671</v>
      </c>
    </row>
    <row r="149" spans="1:26" x14ac:dyDescent="0.25">
      <c r="A149" s="229">
        <f t="shared" si="239"/>
        <v>3139</v>
      </c>
      <c r="B149" s="230">
        <f t="shared" si="240"/>
        <v>139</v>
      </c>
      <c r="C149" s="229" t="str">
        <f t="shared" si="233"/>
        <v>24cX13_340-060_07</v>
      </c>
      <c r="D149" s="231">
        <f t="shared" si="178"/>
        <v>13</v>
      </c>
      <c r="E149" s="239">
        <f t="shared" si="204"/>
        <v>2.149</v>
      </c>
      <c r="F149" s="232">
        <f t="shared" si="205"/>
        <v>16.530769230769231</v>
      </c>
      <c r="G149" s="232">
        <f t="shared" si="206"/>
        <v>13.224615384615385</v>
      </c>
      <c r="H149" s="232">
        <f t="shared" si="207"/>
        <v>8.2653846153846153</v>
      </c>
      <c r="I149" s="232">
        <f t="shared" si="201"/>
        <v>8</v>
      </c>
      <c r="J149" s="233">
        <f t="shared" ref="J149" si="265">J148</f>
        <v>-20</v>
      </c>
      <c r="K149" s="228" t="str">
        <f>D149&amp;-7</f>
        <v>13-7</v>
      </c>
      <c r="L149" s="232">
        <f t="shared" si="262"/>
        <v>0.2</v>
      </c>
      <c r="M149" s="235">
        <v>60</v>
      </c>
      <c r="N149" s="232">
        <f t="shared" ref="N149:O149" si="266">N148</f>
        <v>150</v>
      </c>
      <c r="O149" s="232">
        <f t="shared" si="266"/>
        <v>750</v>
      </c>
      <c r="Q149" s="38">
        <f t="shared" ref="Q149:R149" si="267">Q148</f>
        <v>12</v>
      </c>
      <c r="R149" s="38">
        <f t="shared" si="267"/>
        <v>14</v>
      </c>
      <c r="S149" s="39">
        <f t="shared" si="177"/>
        <v>0.86609427860023702</v>
      </c>
      <c r="T149" s="39">
        <f t="shared" si="177"/>
        <v>0.93521468146599684</v>
      </c>
      <c r="U149" s="39">
        <f t="shared" si="237"/>
        <v>6.9120402865759822E-2</v>
      </c>
      <c r="V149" s="39">
        <f t="shared" si="238"/>
        <v>7.8390096641163351E-2</v>
      </c>
      <c r="W149" s="40">
        <f t="shared" si="124"/>
        <v>7.8390096641163351E-2</v>
      </c>
      <c r="X149" s="40" t="s">
        <v>3710</v>
      </c>
      <c r="Y149" s="217">
        <f t="shared" si="125"/>
        <v>9.4068115969396029</v>
      </c>
      <c r="Z149" s="217">
        <f t="shared" si="126"/>
        <v>1.5678019328232671</v>
      </c>
    </row>
    <row r="150" spans="1:26" x14ac:dyDescent="0.25">
      <c r="A150" s="229">
        <f t="shared" si="239"/>
        <v>3140</v>
      </c>
      <c r="B150" s="230">
        <f t="shared" si="240"/>
        <v>140</v>
      </c>
      <c r="C150" s="229" t="str">
        <f t="shared" si="233"/>
        <v>24cX13_340-090_08</v>
      </c>
      <c r="D150" s="231">
        <f t="shared" si="178"/>
        <v>13</v>
      </c>
      <c r="E150" s="239">
        <f t="shared" si="204"/>
        <v>2.149</v>
      </c>
      <c r="F150" s="232">
        <f t="shared" si="205"/>
        <v>16.530769230769231</v>
      </c>
      <c r="G150" s="232">
        <f t="shared" si="206"/>
        <v>13.224615384615385</v>
      </c>
      <c r="H150" s="232">
        <f t="shared" si="207"/>
        <v>8.2653846153846153</v>
      </c>
      <c r="I150" s="232">
        <f t="shared" si="201"/>
        <v>8</v>
      </c>
      <c r="J150" s="233">
        <f t="shared" ref="J150" si="268">J149</f>
        <v>-20</v>
      </c>
      <c r="K150" s="228" t="str">
        <f>D150&amp;-8</f>
        <v>13-8</v>
      </c>
      <c r="L150" s="232">
        <f t="shared" si="262"/>
        <v>0.2</v>
      </c>
      <c r="M150" s="235">
        <v>90</v>
      </c>
      <c r="N150" s="232">
        <f t="shared" ref="N150:O150" si="269">N149</f>
        <v>150</v>
      </c>
      <c r="O150" s="232">
        <f t="shared" si="269"/>
        <v>750</v>
      </c>
      <c r="Q150" s="38">
        <f t="shared" ref="Q150:R150" si="270">Q149</f>
        <v>12</v>
      </c>
      <c r="R150" s="38">
        <f t="shared" si="270"/>
        <v>14</v>
      </c>
      <c r="S150" s="39">
        <f t="shared" si="177"/>
        <v>0.86609427860023702</v>
      </c>
      <c r="T150" s="39">
        <f t="shared" si="177"/>
        <v>0.93521468146599684</v>
      </c>
      <c r="U150" s="39">
        <f t="shared" si="237"/>
        <v>6.9120402865759822E-2</v>
      </c>
      <c r="V150" s="39">
        <f t="shared" si="238"/>
        <v>7.8390096641163351E-2</v>
      </c>
      <c r="W150" s="40">
        <f t="shared" si="124"/>
        <v>7.8390096641163351E-2</v>
      </c>
      <c r="X150" s="40" t="s">
        <v>3710</v>
      </c>
      <c r="Y150" s="217">
        <f t="shared" si="125"/>
        <v>9.4068115969396029</v>
      </c>
      <c r="Z150" s="217">
        <f t="shared" si="126"/>
        <v>1.5678019328232671</v>
      </c>
    </row>
    <row r="151" spans="1:26" x14ac:dyDescent="0.25">
      <c r="A151" s="229">
        <f t="shared" si="239"/>
        <v>3141</v>
      </c>
      <c r="B151" s="230">
        <f t="shared" si="240"/>
        <v>141</v>
      </c>
      <c r="C151" s="229" t="str">
        <f t="shared" si="233"/>
        <v>24cX13_340-000_09</v>
      </c>
      <c r="D151" s="231">
        <f t="shared" si="178"/>
        <v>13</v>
      </c>
      <c r="E151" s="239">
        <f t="shared" si="204"/>
        <v>2.149</v>
      </c>
      <c r="F151" s="232">
        <f t="shared" si="205"/>
        <v>16.530769230769231</v>
      </c>
      <c r="G151" s="232">
        <f t="shared" si="206"/>
        <v>13.224615384615385</v>
      </c>
      <c r="H151" s="232">
        <f t="shared" si="207"/>
        <v>8.2653846153846153</v>
      </c>
      <c r="I151" s="232">
        <f t="shared" si="201"/>
        <v>8</v>
      </c>
      <c r="J151" s="233">
        <f t="shared" ref="J151" si="271">J150</f>
        <v>-20</v>
      </c>
      <c r="K151" s="228" t="str">
        <f>D151&amp;-9</f>
        <v>13-9</v>
      </c>
      <c r="L151" s="232">
        <f t="shared" si="262"/>
        <v>0.2</v>
      </c>
      <c r="M151" s="235">
        <v>0</v>
      </c>
      <c r="N151" s="232">
        <f t="shared" ref="N151:O151" si="272">N150</f>
        <v>150</v>
      </c>
      <c r="O151" s="232">
        <f t="shared" si="272"/>
        <v>750</v>
      </c>
      <c r="Q151" s="38">
        <f t="shared" ref="Q151:R151" si="273">Q150</f>
        <v>12</v>
      </c>
      <c r="R151" s="38">
        <f t="shared" si="273"/>
        <v>14</v>
      </c>
      <c r="S151" s="39">
        <f t="shared" si="177"/>
        <v>0.86609427860023702</v>
      </c>
      <c r="T151" s="39">
        <f t="shared" si="177"/>
        <v>0.93521468146599684</v>
      </c>
      <c r="U151" s="39">
        <f t="shared" si="237"/>
        <v>6.9120402865759822E-2</v>
      </c>
      <c r="V151" s="39">
        <f t="shared" si="238"/>
        <v>7.8390096641163351E-2</v>
      </c>
      <c r="W151" s="40">
        <f t="shared" si="124"/>
        <v>7.8390096641163351E-2</v>
      </c>
      <c r="X151" s="40" t="s">
        <v>3710</v>
      </c>
      <c r="Y151" s="217">
        <f t="shared" si="125"/>
        <v>9.4068115969396029</v>
      </c>
      <c r="Z151" s="217">
        <f t="shared" si="126"/>
        <v>1.5678019328232671</v>
      </c>
    </row>
    <row r="152" spans="1:26" x14ac:dyDescent="0.25">
      <c r="A152" s="229">
        <f t="shared" si="239"/>
        <v>3142</v>
      </c>
      <c r="B152" s="230">
        <f t="shared" si="240"/>
        <v>142</v>
      </c>
      <c r="C152" s="229" t="str">
        <f t="shared" si="233"/>
        <v>24cX13_340-030_10</v>
      </c>
      <c r="D152" s="231">
        <f t="shared" si="178"/>
        <v>13</v>
      </c>
      <c r="E152" s="239">
        <f t="shared" si="204"/>
        <v>2.149</v>
      </c>
      <c r="F152" s="232">
        <f t="shared" si="205"/>
        <v>16.530769230769231</v>
      </c>
      <c r="G152" s="232">
        <f t="shared" si="206"/>
        <v>13.224615384615385</v>
      </c>
      <c r="H152" s="232">
        <f t="shared" si="207"/>
        <v>8.2653846153846153</v>
      </c>
      <c r="I152" s="232">
        <f t="shared" si="201"/>
        <v>8</v>
      </c>
      <c r="J152" s="233">
        <f t="shared" ref="J152" si="274">J151</f>
        <v>-20</v>
      </c>
      <c r="K152" s="228" t="str">
        <f>D152&amp;-10</f>
        <v>13-10</v>
      </c>
      <c r="L152" s="232">
        <f t="shared" si="262"/>
        <v>0.2</v>
      </c>
      <c r="M152" s="235">
        <v>30</v>
      </c>
      <c r="N152" s="232">
        <f t="shared" ref="N152:O152" si="275">N151</f>
        <v>150</v>
      </c>
      <c r="O152" s="232">
        <f t="shared" si="275"/>
        <v>750</v>
      </c>
      <c r="Q152" s="38">
        <f t="shared" ref="Q152:R152" si="276">Q151</f>
        <v>12</v>
      </c>
      <c r="R152" s="38">
        <f t="shared" si="276"/>
        <v>14</v>
      </c>
      <c r="S152" s="39">
        <f t="shared" si="177"/>
        <v>0.86609427860023702</v>
      </c>
      <c r="T152" s="39">
        <f t="shared" si="177"/>
        <v>0.93521468146599684</v>
      </c>
      <c r="U152" s="39">
        <f t="shared" si="237"/>
        <v>6.9120402865759822E-2</v>
      </c>
      <c r="V152" s="39">
        <f t="shared" si="238"/>
        <v>7.8390096641163351E-2</v>
      </c>
      <c r="W152" s="40">
        <f t="shared" si="124"/>
        <v>7.8390096641163351E-2</v>
      </c>
      <c r="X152" s="40" t="s">
        <v>3710</v>
      </c>
      <c r="Y152" s="217">
        <f t="shared" si="125"/>
        <v>9.4068115969396029</v>
      </c>
      <c r="Z152" s="217">
        <f t="shared" si="126"/>
        <v>1.5678019328232671</v>
      </c>
    </row>
    <row r="153" spans="1:26" x14ac:dyDescent="0.25">
      <c r="A153" s="229">
        <f t="shared" si="239"/>
        <v>3143</v>
      </c>
      <c r="B153" s="230">
        <f t="shared" si="240"/>
        <v>143</v>
      </c>
      <c r="C153" s="229" t="str">
        <f t="shared" si="233"/>
        <v>24cX13_340-060_11</v>
      </c>
      <c r="D153" s="231">
        <f t="shared" si="178"/>
        <v>13</v>
      </c>
      <c r="E153" s="239">
        <f t="shared" si="204"/>
        <v>2.149</v>
      </c>
      <c r="F153" s="232">
        <f t="shared" si="205"/>
        <v>16.530769230769231</v>
      </c>
      <c r="G153" s="232">
        <f t="shared" si="206"/>
        <v>13.224615384615385</v>
      </c>
      <c r="H153" s="232">
        <f t="shared" si="207"/>
        <v>8.2653846153846153</v>
      </c>
      <c r="I153" s="232">
        <f t="shared" si="201"/>
        <v>8</v>
      </c>
      <c r="J153" s="233">
        <f t="shared" ref="J153" si="277">J152</f>
        <v>-20</v>
      </c>
      <c r="K153" s="228" t="str">
        <f>D153&amp;-11</f>
        <v>13-11</v>
      </c>
      <c r="L153" s="232">
        <f t="shared" si="262"/>
        <v>0.2</v>
      </c>
      <c r="M153" s="235">
        <v>60</v>
      </c>
      <c r="N153" s="232">
        <f t="shared" ref="N153:O153" si="278">N152</f>
        <v>150</v>
      </c>
      <c r="O153" s="232">
        <f t="shared" si="278"/>
        <v>750</v>
      </c>
      <c r="Q153" s="38">
        <f t="shared" ref="Q153:R153" si="279">Q152</f>
        <v>12</v>
      </c>
      <c r="R153" s="38">
        <f t="shared" si="279"/>
        <v>14</v>
      </c>
      <c r="S153" s="39">
        <f t="shared" si="177"/>
        <v>0.86609427860023702</v>
      </c>
      <c r="T153" s="39">
        <f t="shared" si="177"/>
        <v>0.93521468146599684</v>
      </c>
      <c r="U153" s="39">
        <f t="shared" si="237"/>
        <v>6.9120402865759822E-2</v>
      </c>
      <c r="V153" s="39">
        <f t="shared" si="238"/>
        <v>7.8390096641163351E-2</v>
      </c>
      <c r="W153" s="40">
        <f t="shared" si="124"/>
        <v>7.8390096641163351E-2</v>
      </c>
      <c r="X153" s="40" t="s">
        <v>3710</v>
      </c>
      <c r="Y153" s="217">
        <f t="shared" si="125"/>
        <v>9.4068115969396029</v>
      </c>
      <c r="Z153" s="217">
        <f t="shared" si="126"/>
        <v>1.5678019328232671</v>
      </c>
    </row>
    <row r="154" spans="1:26" x14ac:dyDescent="0.25">
      <c r="A154" s="229">
        <f t="shared" si="239"/>
        <v>3144</v>
      </c>
      <c r="B154" s="230">
        <f t="shared" si="240"/>
        <v>144</v>
      </c>
      <c r="C154" s="229" t="str">
        <f t="shared" si="233"/>
        <v>24cX13_340-090_12</v>
      </c>
      <c r="D154" s="231">
        <f t="shared" si="178"/>
        <v>13</v>
      </c>
      <c r="E154" s="239">
        <f t="shared" si="204"/>
        <v>2.149</v>
      </c>
      <c r="F154" s="232">
        <f t="shared" si="205"/>
        <v>16.530769230769231</v>
      </c>
      <c r="G154" s="232">
        <f t="shared" si="206"/>
        <v>13.224615384615385</v>
      </c>
      <c r="H154" s="232">
        <f t="shared" si="207"/>
        <v>8.2653846153846153</v>
      </c>
      <c r="I154" s="232">
        <f t="shared" si="201"/>
        <v>8</v>
      </c>
      <c r="J154" s="233">
        <f t="shared" ref="J154" si="280">J153</f>
        <v>-20</v>
      </c>
      <c r="K154" s="228" t="str">
        <f>D154&amp;-12</f>
        <v>13-12</v>
      </c>
      <c r="L154" s="232">
        <f t="shared" si="262"/>
        <v>0.2</v>
      </c>
      <c r="M154" s="235">
        <v>90</v>
      </c>
      <c r="N154" s="232">
        <f t="shared" ref="N154:O154" si="281">N153</f>
        <v>150</v>
      </c>
      <c r="O154" s="232">
        <f t="shared" si="281"/>
        <v>750</v>
      </c>
      <c r="Q154" s="38">
        <f t="shared" ref="Q154:R154" si="282">Q153</f>
        <v>12</v>
      </c>
      <c r="R154" s="38">
        <f t="shared" si="282"/>
        <v>14</v>
      </c>
      <c r="S154" s="39">
        <f t="shared" si="177"/>
        <v>0.86609427860023702</v>
      </c>
      <c r="T154" s="39">
        <f t="shared" si="177"/>
        <v>0.93521468146599684</v>
      </c>
      <c r="U154" s="39">
        <f>T154-S154</f>
        <v>6.9120402865759822E-2</v>
      </c>
      <c r="V154" s="39">
        <f t="shared" si="238"/>
        <v>7.8390096641163351E-2</v>
      </c>
      <c r="W154" s="40">
        <f t="shared" si="124"/>
        <v>7.8390096641163351E-2</v>
      </c>
      <c r="X154" s="40" t="s">
        <v>3710</v>
      </c>
      <c r="Y154" s="217">
        <f t="shared" si="125"/>
        <v>9.4068115969396029</v>
      </c>
      <c r="Z154" s="217">
        <f t="shared" si="126"/>
        <v>1.5678019328232671</v>
      </c>
    </row>
    <row r="155" spans="1:26" x14ac:dyDescent="0.25">
      <c r="A155" s="229">
        <f t="shared" si="239"/>
        <v>3145</v>
      </c>
      <c r="B155" s="230">
        <f t="shared" si="240"/>
        <v>145</v>
      </c>
      <c r="C155" s="229" t="str">
        <f t="shared" si="233"/>
        <v>24cX15_020-000_01</v>
      </c>
      <c r="D155" s="231">
        <f t="shared" si="117"/>
        <v>15</v>
      </c>
      <c r="E155" s="239">
        <f t="shared" si="204"/>
        <v>2.3590000000000004</v>
      </c>
      <c r="F155" s="232">
        <f t="shared" si="205"/>
        <v>15.72666666666667</v>
      </c>
      <c r="G155" s="232">
        <f t="shared" si="206"/>
        <v>12.581333333333337</v>
      </c>
      <c r="H155" s="232">
        <f t="shared" si="207"/>
        <v>7.8633333333333351</v>
      </c>
      <c r="I155" s="232">
        <f t="shared" si="201"/>
        <v>8</v>
      </c>
      <c r="J155" s="233">
        <v>20</v>
      </c>
      <c r="K155" s="228" t="str">
        <f>D155&amp;-1</f>
        <v>15-1</v>
      </c>
      <c r="L155" s="232">
        <f>alpha_n</f>
        <v>0.2</v>
      </c>
      <c r="M155" s="235">
        <v>0</v>
      </c>
      <c r="N155" s="232">
        <f>t_out</f>
        <v>150</v>
      </c>
      <c r="O155" s="232">
        <f>N155+T_s1</f>
        <v>750</v>
      </c>
      <c r="Q155" s="38">
        <f t="shared" si="123"/>
        <v>14</v>
      </c>
      <c r="R155" s="38">
        <f>Q155+v_step</f>
        <v>16</v>
      </c>
      <c r="S155" s="39">
        <f t="shared" ref="S155:S218" si="283">IF(wpd="Rayleigh",1-EXP(-PI()*((Q155/2/v_ave)^2)),IF(wpd="Weibull",1-EXP(-((Q155/weibull_A)^weibull_K))))</f>
        <v>0.93521468146599684</v>
      </c>
      <c r="T155" s="39">
        <f t="shared" ref="T155:T218" si="284">IF(wpd="Rayleigh",1-EXP(-PI()*((R155/2/v_ave)^2)),IF(wpd="Weibull",1-EXP(-((R155/weibull_A)^weibull_K))))</f>
        <v>0.97196872164248893</v>
      </c>
      <c r="U155" s="39">
        <f t="shared" ref="U155:U218" si="285">T155-S155</f>
        <v>3.6754040176492087E-2</v>
      </c>
      <c r="V155" s="39">
        <f t="shared" si="238"/>
        <v>4.1683101398930819E-2</v>
      </c>
      <c r="W155" s="40">
        <f t="shared" si="124"/>
        <v>4.1683101398930812E-2</v>
      </c>
      <c r="X155" s="40" t="s">
        <v>3710</v>
      </c>
      <c r="Y155" s="217">
        <f t="shared" si="125"/>
        <v>5.0019721678716973</v>
      </c>
      <c r="Z155" s="217">
        <f t="shared" si="126"/>
        <v>0.83366202797861622</v>
      </c>
    </row>
    <row r="156" spans="1:26" x14ac:dyDescent="0.25">
      <c r="A156" s="229">
        <f t="shared" si="239"/>
        <v>3146</v>
      </c>
      <c r="B156" s="230">
        <f t="shared" si="240"/>
        <v>146</v>
      </c>
      <c r="C156" s="229" t="str">
        <f t="shared" si="233"/>
        <v>24cX15_020-030_02</v>
      </c>
      <c r="D156" s="231">
        <f t="shared" si="178"/>
        <v>15</v>
      </c>
      <c r="E156" s="239">
        <f t="shared" si="204"/>
        <v>2.3590000000000004</v>
      </c>
      <c r="F156" s="232">
        <f t="shared" si="205"/>
        <v>15.72666666666667</v>
      </c>
      <c r="G156" s="232">
        <f t="shared" si="206"/>
        <v>12.581333333333337</v>
      </c>
      <c r="H156" s="232">
        <f t="shared" si="207"/>
        <v>7.8633333333333351</v>
      </c>
      <c r="I156" s="232">
        <f t="shared" ref="I156" si="286">I155</f>
        <v>8</v>
      </c>
      <c r="J156" s="233">
        <f t="shared" si="208"/>
        <v>20</v>
      </c>
      <c r="K156" s="228" t="str">
        <f>D156&amp;-2</f>
        <v>15-2</v>
      </c>
      <c r="L156" s="232">
        <f t="shared" ref="L156:L178" si="287">L155</f>
        <v>0.2</v>
      </c>
      <c r="M156" s="235">
        <v>30</v>
      </c>
      <c r="N156" s="232">
        <f t="shared" ref="N156:O156" si="288">N155</f>
        <v>150</v>
      </c>
      <c r="O156" s="232">
        <f t="shared" si="288"/>
        <v>750</v>
      </c>
      <c r="Q156" s="38">
        <f t="shared" ref="Q156:Q178" si="289">Q155</f>
        <v>14</v>
      </c>
      <c r="R156" s="38">
        <f t="shared" ref="R156:R166" si="290">R155</f>
        <v>16</v>
      </c>
      <c r="S156" s="39">
        <f t="shared" si="283"/>
        <v>0.93521468146599684</v>
      </c>
      <c r="T156" s="39">
        <f t="shared" si="284"/>
        <v>0.97196872164248893</v>
      </c>
      <c r="U156" s="39">
        <f t="shared" si="285"/>
        <v>3.6754040176492087E-2</v>
      </c>
      <c r="V156" s="39">
        <f t="shared" si="238"/>
        <v>4.1683101398930819E-2</v>
      </c>
      <c r="W156" s="40">
        <f t="shared" si="124"/>
        <v>4.1683101398930812E-2</v>
      </c>
      <c r="X156" s="40" t="s">
        <v>3710</v>
      </c>
      <c r="Y156" s="217">
        <f t="shared" si="125"/>
        <v>5.0019721678716973</v>
      </c>
      <c r="Z156" s="217">
        <f t="shared" si="126"/>
        <v>0.83366202797861622</v>
      </c>
    </row>
    <row r="157" spans="1:26" x14ac:dyDescent="0.25">
      <c r="A157" s="229">
        <f t="shared" si="239"/>
        <v>3147</v>
      </c>
      <c r="B157" s="230">
        <f t="shared" si="240"/>
        <v>147</v>
      </c>
      <c r="C157" s="229" t="str">
        <f t="shared" si="233"/>
        <v>24cX15_020-060_03</v>
      </c>
      <c r="D157" s="231">
        <f t="shared" si="178"/>
        <v>15</v>
      </c>
      <c r="E157" s="239">
        <f t="shared" si="204"/>
        <v>2.3590000000000004</v>
      </c>
      <c r="F157" s="232">
        <f t="shared" si="205"/>
        <v>15.72666666666667</v>
      </c>
      <c r="G157" s="232">
        <f t="shared" si="206"/>
        <v>12.581333333333337</v>
      </c>
      <c r="H157" s="232">
        <f t="shared" si="207"/>
        <v>7.8633333333333351</v>
      </c>
      <c r="I157" s="232">
        <f t="shared" si="201"/>
        <v>8</v>
      </c>
      <c r="J157" s="233">
        <f t="shared" si="208"/>
        <v>20</v>
      </c>
      <c r="K157" s="228" t="str">
        <f>D157&amp;-3</f>
        <v>15-3</v>
      </c>
      <c r="L157" s="232">
        <f t="shared" si="287"/>
        <v>0.2</v>
      </c>
      <c r="M157" s="235">
        <v>60</v>
      </c>
      <c r="N157" s="232">
        <f t="shared" ref="N157:O157" si="291">N156</f>
        <v>150</v>
      </c>
      <c r="O157" s="232">
        <f t="shared" si="291"/>
        <v>750</v>
      </c>
      <c r="Q157" s="38">
        <f t="shared" si="289"/>
        <v>14</v>
      </c>
      <c r="R157" s="38">
        <f t="shared" si="290"/>
        <v>16</v>
      </c>
      <c r="S157" s="39">
        <f t="shared" si="283"/>
        <v>0.93521468146599684</v>
      </c>
      <c r="T157" s="39">
        <f t="shared" si="284"/>
        <v>0.97196872164248893</v>
      </c>
      <c r="U157" s="39">
        <f t="shared" si="285"/>
        <v>3.6754040176492087E-2</v>
      </c>
      <c r="V157" s="39">
        <f t="shared" si="238"/>
        <v>4.1683101398930819E-2</v>
      </c>
      <c r="W157" s="40">
        <f t="shared" si="124"/>
        <v>4.1683101398930812E-2</v>
      </c>
      <c r="X157" s="40" t="s">
        <v>3710</v>
      </c>
      <c r="Y157" s="217">
        <f t="shared" si="125"/>
        <v>5.0019721678716973</v>
      </c>
      <c r="Z157" s="217">
        <f t="shared" si="126"/>
        <v>0.83366202797861622</v>
      </c>
    </row>
    <row r="158" spans="1:26" x14ac:dyDescent="0.25">
      <c r="A158" s="229">
        <f t="shared" si="239"/>
        <v>3148</v>
      </c>
      <c r="B158" s="230">
        <f t="shared" si="240"/>
        <v>148</v>
      </c>
      <c r="C158" s="229" t="str">
        <f t="shared" si="233"/>
        <v>24cX15_020-090_04</v>
      </c>
      <c r="D158" s="231">
        <f t="shared" si="178"/>
        <v>15</v>
      </c>
      <c r="E158" s="239">
        <f t="shared" si="204"/>
        <v>2.3590000000000004</v>
      </c>
      <c r="F158" s="232">
        <f t="shared" si="205"/>
        <v>15.72666666666667</v>
      </c>
      <c r="G158" s="232">
        <f t="shared" si="206"/>
        <v>12.581333333333337</v>
      </c>
      <c r="H158" s="232">
        <f t="shared" si="207"/>
        <v>7.8633333333333351</v>
      </c>
      <c r="I158" s="232">
        <f t="shared" si="201"/>
        <v>8</v>
      </c>
      <c r="J158" s="233">
        <f t="shared" si="208"/>
        <v>20</v>
      </c>
      <c r="K158" s="228" t="str">
        <f>D158&amp;-4</f>
        <v>15-4</v>
      </c>
      <c r="L158" s="232">
        <f t="shared" si="287"/>
        <v>0.2</v>
      </c>
      <c r="M158" s="235">
        <v>90</v>
      </c>
      <c r="N158" s="232">
        <f t="shared" ref="N158:O158" si="292">N157</f>
        <v>150</v>
      </c>
      <c r="O158" s="232">
        <f t="shared" si="292"/>
        <v>750</v>
      </c>
      <c r="Q158" s="38">
        <f t="shared" si="289"/>
        <v>14</v>
      </c>
      <c r="R158" s="38">
        <f t="shared" si="290"/>
        <v>16</v>
      </c>
      <c r="S158" s="39">
        <f t="shared" si="283"/>
        <v>0.93521468146599684</v>
      </c>
      <c r="T158" s="39">
        <f t="shared" si="284"/>
        <v>0.97196872164248893</v>
      </c>
      <c r="U158" s="39">
        <f t="shared" si="285"/>
        <v>3.6754040176492087E-2</v>
      </c>
      <c r="V158" s="39">
        <f t="shared" si="238"/>
        <v>4.1683101398930819E-2</v>
      </c>
      <c r="W158" s="40">
        <f t="shared" si="124"/>
        <v>4.1683101398930812E-2</v>
      </c>
      <c r="X158" s="40" t="s">
        <v>3710</v>
      </c>
      <c r="Y158" s="217">
        <f t="shared" si="125"/>
        <v>5.0019721678716973</v>
      </c>
      <c r="Z158" s="217">
        <f t="shared" si="126"/>
        <v>0.83366202797861622</v>
      </c>
    </row>
    <row r="159" spans="1:26" x14ac:dyDescent="0.25">
      <c r="A159" s="229">
        <f t="shared" si="239"/>
        <v>3149</v>
      </c>
      <c r="B159" s="230">
        <f t="shared" si="240"/>
        <v>149</v>
      </c>
      <c r="C159" s="229" t="str">
        <f t="shared" si="233"/>
        <v>24cX15_020-000_05</v>
      </c>
      <c r="D159" s="231">
        <f t="shared" si="178"/>
        <v>15</v>
      </c>
      <c r="E159" s="239">
        <f t="shared" si="204"/>
        <v>2.3590000000000004</v>
      </c>
      <c r="F159" s="232">
        <f t="shared" si="205"/>
        <v>15.72666666666667</v>
      </c>
      <c r="G159" s="232">
        <f t="shared" si="206"/>
        <v>12.581333333333337</v>
      </c>
      <c r="H159" s="232">
        <f t="shared" si="207"/>
        <v>7.8633333333333351</v>
      </c>
      <c r="I159" s="232">
        <f t="shared" si="201"/>
        <v>8</v>
      </c>
      <c r="J159" s="233">
        <f t="shared" si="208"/>
        <v>20</v>
      </c>
      <c r="K159" s="228" t="str">
        <f>D159&amp;-5</f>
        <v>15-5</v>
      </c>
      <c r="L159" s="232">
        <f t="shared" si="287"/>
        <v>0.2</v>
      </c>
      <c r="M159" s="235">
        <v>0</v>
      </c>
      <c r="N159" s="232">
        <f t="shared" ref="N159:O159" si="293">N158</f>
        <v>150</v>
      </c>
      <c r="O159" s="232">
        <f t="shared" si="293"/>
        <v>750</v>
      </c>
      <c r="Q159" s="38">
        <f t="shared" si="289"/>
        <v>14</v>
      </c>
      <c r="R159" s="38">
        <f t="shared" si="290"/>
        <v>16</v>
      </c>
      <c r="S159" s="39">
        <f t="shared" si="283"/>
        <v>0.93521468146599684</v>
      </c>
      <c r="T159" s="39">
        <f t="shared" si="284"/>
        <v>0.97196872164248893</v>
      </c>
      <c r="U159" s="39">
        <f t="shared" si="285"/>
        <v>3.6754040176492087E-2</v>
      </c>
      <c r="V159" s="39">
        <f t="shared" si="238"/>
        <v>4.1683101398930819E-2</v>
      </c>
      <c r="W159" s="40">
        <f t="shared" si="124"/>
        <v>4.1683101398930812E-2</v>
      </c>
      <c r="X159" s="40" t="s">
        <v>3710</v>
      </c>
      <c r="Y159" s="217">
        <f t="shared" si="125"/>
        <v>5.0019721678716973</v>
      </c>
      <c r="Z159" s="217">
        <f t="shared" si="126"/>
        <v>0.83366202797861622</v>
      </c>
    </row>
    <row r="160" spans="1:26" x14ac:dyDescent="0.25">
      <c r="A160" s="229">
        <f t="shared" si="239"/>
        <v>3150</v>
      </c>
      <c r="B160" s="230">
        <f t="shared" si="240"/>
        <v>150</v>
      </c>
      <c r="C160" s="229" t="str">
        <f t="shared" si="233"/>
        <v>24cX15_020-030_06</v>
      </c>
      <c r="D160" s="231">
        <f t="shared" si="178"/>
        <v>15</v>
      </c>
      <c r="E160" s="239">
        <f t="shared" si="204"/>
        <v>2.3590000000000004</v>
      </c>
      <c r="F160" s="232">
        <f t="shared" si="205"/>
        <v>15.72666666666667</v>
      </c>
      <c r="G160" s="232">
        <f t="shared" si="206"/>
        <v>12.581333333333337</v>
      </c>
      <c r="H160" s="232">
        <f t="shared" si="207"/>
        <v>7.8633333333333351</v>
      </c>
      <c r="I160" s="232">
        <f t="shared" si="201"/>
        <v>8</v>
      </c>
      <c r="J160" s="233">
        <f t="shared" si="208"/>
        <v>20</v>
      </c>
      <c r="K160" s="228" t="str">
        <f>D160&amp;-6</f>
        <v>15-6</v>
      </c>
      <c r="L160" s="232">
        <f t="shared" si="287"/>
        <v>0.2</v>
      </c>
      <c r="M160" s="235">
        <v>30</v>
      </c>
      <c r="N160" s="232">
        <f t="shared" ref="N160:O160" si="294">N159</f>
        <v>150</v>
      </c>
      <c r="O160" s="232">
        <f t="shared" si="294"/>
        <v>750</v>
      </c>
      <c r="Q160" s="38">
        <f t="shared" si="289"/>
        <v>14</v>
      </c>
      <c r="R160" s="38">
        <f t="shared" si="290"/>
        <v>16</v>
      </c>
      <c r="S160" s="39">
        <f t="shared" si="283"/>
        <v>0.93521468146599684</v>
      </c>
      <c r="T160" s="39">
        <f t="shared" si="284"/>
        <v>0.97196872164248893</v>
      </c>
      <c r="U160" s="39">
        <f t="shared" si="285"/>
        <v>3.6754040176492087E-2</v>
      </c>
      <c r="V160" s="39">
        <f t="shared" si="238"/>
        <v>4.1683101398930819E-2</v>
      </c>
      <c r="W160" s="40">
        <f t="shared" si="124"/>
        <v>4.1683101398930812E-2</v>
      </c>
      <c r="X160" s="40" t="s">
        <v>3710</v>
      </c>
      <c r="Y160" s="217">
        <f t="shared" si="125"/>
        <v>5.0019721678716973</v>
      </c>
      <c r="Z160" s="217">
        <f t="shared" si="126"/>
        <v>0.83366202797861622</v>
      </c>
    </row>
    <row r="161" spans="1:26" x14ac:dyDescent="0.25">
      <c r="A161" s="229">
        <f t="shared" si="239"/>
        <v>3151</v>
      </c>
      <c r="B161" s="230">
        <f t="shared" si="240"/>
        <v>151</v>
      </c>
      <c r="C161" s="229" t="str">
        <f t="shared" si="233"/>
        <v>24cX15_020-060_07</v>
      </c>
      <c r="D161" s="231">
        <f t="shared" si="178"/>
        <v>15</v>
      </c>
      <c r="E161" s="239">
        <f t="shared" si="204"/>
        <v>2.3590000000000004</v>
      </c>
      <c r="F161" s="232">
        <f t="shared" si="205"/>
        <v>15.72666666666667</v>
      </c>
      <c r="G161" s="232">
        <f t="shared" si="206"/>
        <v>12.581333333333337</v>
      </c>
      <c r="H161" s="232">
        <f t="shared" si="207"/>
        <v>7.8633333333333351</v>
      </c>
      <c r="I161" s="232">
        <f t="shared" si="201"/>
        <v>8</v>
      </c>
      <c r="J161" s="233">
        <f t="shared" si="208"/>
        <v>20</v>
      </c>
      <c r="K161" s="228" t="str">
        <f>D161&amp;-7</f>
        <v>15-7</v>
      </c>
      <c r="L161" s="232">
        <f t="shared" si="287"/>
        <v>0.2</v>
      </c>
      <c r="M161" s="235">
        <v>60</v>
      </c>
      <c r="N161" s="232">
        <f t="shared" ref="N161:O161" si="295">N160</f>
        <v>150</v>
      </c>
      <c r="O161" s="232">
        <f t="shared" si="295"/>
        <v>750</v>
      </c>
      <c r="Q161" s="38">
        <f t="shared" si="289"/>
        <v>14</v>
      </c>
      <c r="R161" s="38">
        <f t="shared" si="290"/>
        <v>16</v>
      </c>
      <c r="S161" s="39">
        <f t="shared" si="283"/>
        <v>0.93521468146599684</v>
      </c>
      <c r="T161" s="39">
        <f t="shared" si="284"/>
        <v>0.97196872164248893</v>
      </c>
      <c r="U161" s="39">
        <f t="shared" si="285"/>
        <v>3.6754040176492087E-2</v>
      </c>
      <c r="V161" s="39">
        <f t="shared" si="238"/>
        <v>4.1683101398930819E-2</v>
      </c>
      <c r="W161" s="40">
        <f t="shared" si="124"/>
        <v>4.1683101398930812E-2</v>
      </c>
      <c r="X161" s="40" t="s">
        <v>3710</v>
      </c>
      <c r="Y161" s="217">
        <f t="shared" si="125"/>
        <v>5.0019721678716973</v>
      </c>
      <c r="Z161" s="217">
        <f t="shared" si="126"/>
        <v>0.83366202797861622</v>
      </c>
    </row>
    <row r="162" spans="1:26" x14ac:dyDescent="0.25">
      <c r="A162" s="229">
        <f t="shared" si="239"/>
        <v>3152</v>
      </c>
      <c r="B162" s="230">
        <f t="shared" si="240"/>
        <v>152</v>
      </c>
      <c r="C162" s="229" t="str">
        <f t="shared" si="233"/>
        <v>24cX15_020-090_08</v>
      </c>
      <c r="D162" s="231">
        <f t="shared" si="178"/>
        <v>15</v>
      </c>
      <c r="E162" s="239">
        <f t="shared" si="204"/>
        <v>2.3590000000000004</v>
      </c>
      <c r="F162" s="232">
        <f t="shared" si="205"/>
        <v>15.72666666666667</v>
      </c>
      <c r="G162" s="232">
        <f t="shared" si="206"/>
        <v>12.581333333333337</v>
      </c>
      <c r="H162" s="232">
        <f t="shared" si="207"/>
        <v>7.8633333333333351</v>
      </c>
      <c r="I162" s="232">
        <f t="shared" si="201"/>
        <v>8</v>
      </c>
      <c r="J162" s="233">
        <f t="shared" si="208"/>
        <v>20</v>
      </c>
      <c r="K162" s="228" t="str">
        <f>D162&amp;-8</f>
        <v>15-8</v>
      </c>
      <c r="L162" s="232">
        <f t="shared" si="287"/>
        <v>0.2</v>
      </c>
      <c r="M162" s="235">
        <v>90</v>
      </c>
      <c r="N162" s="232">
        <f t="shared" ref="N162:O162" si="296">N161</f>
        <v>150</v>
      </c>
      <c r="O162" s="232">
        <f t="shared" si="296"/>
        <v>750</v>
      </c>
      <c r="Q162" s="38">
        <f t="shared" si="289"/>
        <v>14</v>
      </c>
      <c r="R162" s="38">
        <f t="shared" si="290"/>
        <v>16</v>
      </c>
      <c r="S162" s="39">
        <f t="shared" si="283"/>
        <v>0.93521468146599684</v>
      </c>
      <c r="T162" s="39">
        <f t="shared" si="284"/>
        <v>0.97196872164248893</v>
      </c>
      <c r="U162" s="39">
        <f t="shared" si="285"/>
        <v>3.6754040176492087E-2</v>
      </c>
      <c r="V162" s="39">
        <f t="shared" si="238"/>
        <v>4.1683101398930819E-2</v>
      </c>
      <c r="W162" s="40">
        <f t="shared" si="124"/>
        <v>4.1683101398930812E-2</v>
      </c>
      <c r="X162" s="40" t="s">
        <v>3710</v>
      </c>
      <c r="Y162" s="217">
        <f t="shared" si="125"/>
        <v>5.0019721678716973</v>
      </c>
      <c r="Z162" s="217">
        <f t="shared" si="126"/>
        <v>0.83366202797861622</v>
      </c>
    </row>
    <row r="163" spans="1:26" x14ac:dyDescent="0.25">
      <c r="A163" s="229">
        <f t="shared" si="239"/>
        <v>3153</v>
      </c>
      <c r="B163" s="230">
        <f t="shared" si="240"/>
        <v>153</v>
      </c>
      <c r="C163" s="229" t="str">
        <f t="shared" si="233"/>
        <v>24cX15_020-000_09</v>
      </c>
      <c r="D163" s="231">
        <f t="shared" si="178"/>
        <v>15</v>
      </c>
      <c r="E163" s="239">
        <f t="shared" si="204"/>
        <v>2.3590000000000004</v>
      </c>
      <c r="F163" s="232">
        <f t="shared" si="205"/>
        <v>15.72666666666667</v>
      </c>
      <c r="G163" s="232">
        <f t="shared" si="206"/>
        <v>12.581333333333337</v>
      </c>
      <c r="H163" s="232">
        <f t="shared" si="207"/>
        <v>7.8633333333333351</v>
      </c>
      <c r="I163" s="232">
        <f t="shared" si="201"/>
        <v>8</v>
      </c>
      <c r="J163" s="233">
        <f t="shared" si="208"/>
        <v>20</v>
      </c>
      <c r="K163" s="228" t="str">
        <f>D163&amp;-9</f>
        <v>15-9</v>
      </c>
      <c r="L163" s="232">
        <f t="shared" si="287"/>
        <v>0.2</v>
      </c>
      <c r="M163" s="235">
        <v>0</v>
      </c>
      <c r="N163" s="232">
        <f t="shared" ref="N163:O163" si="297">N162</f>
        <v>150</v>
      </c>
      <c r="O163" s="232">
        <f t="shared" si="297"/>
        <v>750</v>
      </c>
      <c r="Q163" s="38">
        <f t="shared" si="289"/>
        <v>14</v>
      </c>
      <c r="R163" s="38">
        <f t="shared" si="290"/>
        <v>16</v>
      </c>
      <c r="S163" s="39">
        <f t="shared" si="283"/>
        <v>0.93521468146599684</v>
      </c>
      <c r="T163" s="39">
        <f t="shared" si="284"/>
        <v>0.97196872164248893</v>
      </c>
      <c r="U163" s="39">
        <f t="shared" si="285"/>
        <v>3.6754040176492087E-2</v>
      </c>
      <c r="V163" s="39">
        <f t="shared" si="238"/>
        <v>4.1683101398930819E-2</v>
      </c>
      <c r="W163" s="40">
        <f t="shared" si="124"/>
        <v>4.1683101398930812E-2</v>
      </c>
      <c r="X163" s="40" t="s">
        <v>3710</v>
      </c>
      <c r="Y163" s="217">
        <f t="shared" si="125"/>
        <v>5.0019721678716973</v>
      </c>
      <c r="Z163" s="217">
        <f t="shared" si="126"/>
        <v>0.83366202797861622</v>
      </c>
    </row>
    <row r="164" spans="1:26" x14ac:dyDescent="0.25">
      <c r="A164" s="229">
        <f t="shared" si="239"/>
        <v>3154</v>
      </c>
      <c r="B164" s="230">
        <f t="shared" si="240"/>
        <v>154</v>
      </c>
      <c r="C164" s="229" t="str">
        <f t="shared" si="233"/>
        <v>24cX15_020-030_10</v>
      </c>
      <c r="D164" s="231">
        <f t="shared" si="178"/>
        <v>15</v>
      </c>
      <c r="E164" s="239">
        <f t="shared" si="204"/>
        <v>2.3590000000000004</v>
      </c>
      <c r="F164" s="232">
        <f t="shared" si="205"/>
        <v>15.72666666666667</v>
      </c>
      <c r="G164" s="232">
        <f t="shared" si="206"/>
        <v>12.581333333333337</v>
      </c>
      <c r="H164" s="232">
        <f t="shared" si="207"/>
        <v>7.8633333333333351</v>
      </c>
      <c r="I164" s="232">
        <f t="shared" si="201"/>
        <v>8</v>
      </c>
      <c r="J164" s="233">
        <f t="shared" si="208"/>
        <v>20</v>
      </c>
      <c r="K164" s="228" t="str">
        <f>D164&amp;-10</f>
        <v>15-10</v>
      </c>
      <c r="L164" s="232">
        <f t="shared" si="287"/>
        <v>0.2</v>
      </c>
      <c r="M164" s="235">
        <v>30</v>
      </c>
      <c r="N164" s="232">
        <f t="shared" ref="N164:O164" si="298">N163</f>
        <v>150</v>
      </c>
      <c r="O164" s="232">
        <f t="shared" si="298"/>
        <v>750</v>
      </c>
      <c r="Q164" s="38">
        <f t="shared" si="289"/>
        <v>14</v>
      </c>
      <c r="R164" s="38">
        <f t="shared" si="290"/>
        <v>16</v>
      </c>
      <c r="S164" s="39">
        <f t="shared" si="283"/>
        <v>0.93521468146599684</v>
      </c>
      <c r="T164" s="39">
        <f t="shared" si="284"/>
        <v>0.97196872164248893</v>
      </c>
      <c r="U164" s="39">
        <f t="shared" si="285"/>
        <v>3.6754040176492087E-2</v>
      </c>
      <c r="V164" s="39">
        <f t="shared" si="238"/>
        <v>4.1683101398930819E-2</v>
      </c>
      <c r="W164" s="40">
        <f t="shared" si="124"/>
        <v>4.1683101398930812E-2</v>
      </c>
      <c r="X164" s="40" t="s">
        <v>3710</v>
      </c>
      <c r="Y164" s="217">
        <f t="shared" si="125"/>
        <v>5.0019721678716973</v>
      </c>
      <c r="Z164" s="217">
        <f t="shared" si="126"/>
        <v>0.83366202797861622</v>
      </c>
    </row>
    <row r="165" spans="1:26" x14ac:dyDescent="0.25">
      <c r="A165" s="229">
        <f t="shared" si="239"/>
        <v>3155</v>
      </c>
      <c r="B165" s="230">
        <f t="shared" si="240"/>
        <v>155</v>
      </c>
      <c r="C165" s="229" t="str">
        <f t="shared" si="233"/>
        <v>24cX15_020-060_11</v>
      </c>
      <c r="D165" s="231">
        <f t="shared" si="178"/>
        <v>15</v>
      </c>
      <c r="E165" s="239">
        <f t="shared" si="204"/>
        <v>2.3590000000000004</v>
      </c>
      <c r="F165" s="232">
        <f t="shared" si="205"/>
        <v>15.72666666666667</v>
      </c>
      <c r="G165" s="232">
        <f t="shared" si="206"/>
        <v>12.581333333333337</v>
      </c>
      <c r="H165" s="232">
        <f t="shared" si="207"/>
        <v>7.8633333333333351</v>
      </c>
      <c r="I165" s="232">
        <f t="shared" si="201"/>
        <v>8</v>
      </c>
      <c r="J165" s="233">
        <f t="shared" si="208"/>
        <v>20</v>
      </c>
      <c r="K165" s="228" t="str">
        <f>D165&amp;-11</f>
        <v>15-11</v>
      </c>
      <c r="L165" s="232">
        <f t="shared" si="287"/>
        <v>0.2</v>
      </c>
      <c r="M165" s="235">
        <v>60</v>
      </c>
      <c r="N165" s="232">
        <f t="shared" ref="N165:O165" si="299">N164</f>
        <v>150</v>
      </c>
      <c r="O165" s="232">
        <f t="shared" si="299"/>
        <v>750</v>
      </c>
      <c r="Q165" s="38">
        <f t="shared" si="289"/>
        <v>14</v>
      </c>
      <c r="R165" s="38">
        <f t="shared" si="290"/>
        <v>16</v>
      </c>
      <c r="S165" s="39">
        <f t="shared" si="283"/>
        <v>0.93521468146599684</v>
      </c>
      <c r="T165" s="39">
        <f t="shared" si="284"/>
        <v>0.97196872164248893</v>
      </c>
      <c r="U165" s="39">
        <f t="shared" si="285"/>
        <v>3.6754040176492087E-2</v>
      </c>
      <c r="V165" s="39">
        <f t="shared" si="238"/>
        <v>4.1683101398930819E-2</v>
      </c>
      <c r="W165" s="40">
        <f t="shared" si="124"/>
        <v>4.1683101398930812E-2</v>
      </c>
      <c r="X165" s="40" t="s">
        <v>3710</v>
      </c>
      <c r="Y165" s="217">
        <f t="shared" si="125"/>
        <v>5.0019721678716973</v>
      </c>
      <c r="Z165" s="217">
        <f t="shared" si="126"/>
        <v>0.83366202797861622</v>
      </c>
    </row>
    <row r="166" spans="1:26" x14ac:dyDescent="0.25">
      <c r="A166" s="229">
        <f t="shared" si="239"/>
        <v>3156</v>
      </c>
      <c r="B166" s="230">
        <f t="shared" si="240"/>
        <v>156</v>
      </c>
      <c r="C166" s="229" t="str">
        <f t="shared" si="233"/>
        <v>24cX15_020-090_12</v>
      </c>
      <c r="D166" s="231">
        <f t="shared" si="178"/>
        <v>15</v>
      </c>
      <c r="E166" s="239">
        <f t="shared" si="204"/>
        <v>2.3590000000000004</v>
      </c>
      <c r="F166" s="232">
        <f t="shared" si="205"/>
        <v>15.72666666666667</v>
      </c>
      <c r="G166" s="232">
        <f t="shared" si="206"/>
        <v>12.581333333333337</v>
      </c>
      <c r="H166" s="232">
        <f t="shared" si="207"/>
        <v>7.8633333333333351</v>
      </c>
      <c r="I166" s="232">
        <f t="shared" si="201"/>
        <v>8</v>
      </c>
      <c r="J166" s="233">
        <f t="shared" si="208"/>
        <v>20</v>
      </c>
      <c r="K166" s="228" t="str">
        <f>D166&amp;-12</f>
        <v>15-12</v>
      </c>
      <c r="L166" s="232">
        <f t="shared" si="287"/>
        <v>0.2</v>
      </c>
      <c r="M166" s="235">
        <v>90</v>
      </c>
      <c r="N166" s="232">
        <f t="shared" ref="N166:O166" si="300">N165</f>
        <v>150</v>
      </c>
      <c r="O166" s="232">
        <f t="shared" si="300"/>
        <v>750</v>
      </c>
      <c r="Q166" s="38">
        <f t="shared" si="289"/>
        <v>14</v>
      </c>
      <c r="R166" s="38">
        <f t="shared" si="290"/>
        <v>16</v>
      </c>
      <c r="S166" s="39">
        <f t="shared" si="283"/>
        <v>0.93521468146599684</v>
      </c>
      <c r="T166" s="39">
        <f t="shared" si="284"/>
        <v>0.97196872164248893</v>
      </c>
      <c r="U166" s="39">
        <f t="shared" si="285"/>
        <v>3.6754040176492087E-2</v>
      </c>
      <c r="V166" s="39">
        <f t="shared" si="238"/>
        <v>4.1683101398930819E-2</v>
      </c>
      <c r="W166" s="40">
        <f t="shared" si="124"/>
        <v>4.1683101398930812E-2</v>
      </c>
      <c r="X166" s="40" t="s">
        <v>3710</v>
      </c>
      <c r="Y166" s="217">
        <f t="shared" si="125"/>
        <v>5.0019721678716973</v>
      </c>
      <c r="Z166" s="217">
        <f t="shared" si="126"/>
        <v>0.83366202797861622</v>
      </c>
    </row>
    <row r="167" spans="1:26" x14ac:dyDescent="0.25">
      <c r="A167" s="229">
        <f t="shared" si="239"/>
        <v>3157</v>
      </c>
      <c r="B167" s="230">
        <f t="shared" si="240"/>
        <v>157</v>
      </c>
      <c r="C167" s="229" t="str">
        <f t="shared" si="233"/>
        <v>24cX15_340-000_01</v>
      </c>
      <c r="D167" s="231">
        <f t="shared" si="178"/>
        <v>15</v>
      </c>
      <c r="E167" s="239">
        <f t="shared" si="204"/>
        <v>2.3590000000000004</v>
      </c>
      <c r="F167" s="232">
        <f t="shared" si="205"/>
        <v>15.72666666666667</v>
      </c>
      <c r="G167" s="232">
        <f t="shared" si="206"/>
        <v>12.581333333333337</v>
      </c>
      <c r="H167" s="232">
        <f t="shared" si="207"/>
        <v>7.8633333333333351</v>
      </c>
      <c r="I167" s="232">
        <f t="shared" si="201"/>
        <v>8</v>
      </c>
      <c r="J167" s="233">
        <f>-J155</f>
        <v>-20</v>
      </c>
      <c r="K167" s="228" t="str">
        <f>D167&amp;-1</f>
        <v>15-1</v>
      </c>
      <c r="L167" s="232">
        <f t="shared" si="287"/>
        <v>0.2</v>
      </c>
      <c r="M167" s="235">
        <v>0</v>
      </c>
      <c r="N167" s="232">
        <f t="shared" ref="N167:O167" si="301">N166</f>
        <v>150</v>
      </c>
      <c r="O167" s="232">
        <f t="shared" si="301"/>
        <v>750</v>
      </c>
      <c r="Q167" s="38">
        <f t="shared" si="289"/>
        <v>14</v>
      </c>
      <c r="R167" s="38">
        <f>Q167+v_step</f>
        <v>16</v>
      </c>
      <c r="S167" s="39">
        <f t="shared" si="283"/>
        <v>0.93521468146599684</v>
      </c>
      <c r="T167" s="39">
        <f t="shared" si="284"/>
        <v>0.97196872164248893</v>
      </c>
      <c r="U167" s="39">
        <f t="shared" si="285"/>
        <v>3.6754040176492087E-2</v>
      </c>
      <c r="V167" s="39">
        <f t="shared" si="238"/>
        <v>4.1683101398930819E-2</v>
      </c>
      <c r="W167" s="40">
        <f t="shared" si="124"/>
        <v>4.1683101398930812E-2</v>
      </c>
      <c r="X167" s="40" t="s">
        <v>3710</v>
      </c>
      <c r="Y167" s="217">
        <f t="shared" si="125"/>
        <v>5.0019721678716973</v>
      </c>
      <c r="Z167" s="217">
        <f t="shared" si="126"/>
        <v>0.83366202797861622</v>
      </c>
    </row>
    <row r="168" spans="1:26" x14ac:dyDescent="0.25">
      <c r="A168" s="229">
        <f t="shared" si="239"/>
        <v>3158</v>
      </c>
      <c r="B168" s="230">
        <f t="shared" si="240"/>
        <v>158</v>
      </c>
      <c r="C168" s="229" t="str">
        <f t="shared" si="233"/>
        <v>24cX15_340-030_02</v>
      </c>
      <c r="D168" s="231">
        <f t="shared" si="178"/>
        <v>15</v>
      </c>
      <c r="E168" s="239">
        <f t="shared" si="204"/>
        <v>2.3590000000000004</v>
      </c>
      <c r="F168" s="232">
        <f t="shared" si="205"/>
        <v>15.72666666666667</v>
      </c>
      <c r="G168" s="232">
        <f t="shared" si="206"/>
        <v>12.581333333333337</v>
      </c>
      <c r="H168" s="232">
        <f t="shared" si="207"/>
        <v>7.8633333333333351</v>
      </c>
      <c r="I168" s="232">
        <f t="shared" si="201"/>
        <v>8</v>
      </c>
      <c r="J168" s="233">
        <f t="shared" si="249"/>
        <v>-20</v>
      </c>
      <c r="K168" s="228" t="str">
        <f>D168&amp;-2</f>
        <v>15-2</v>
      </c>
      <c r="L168" s="232">
        <f t="shared" si="287"/>
        <v>0.2</v>
      </c>
      <c r="M168" s="235">
        <v>30</v>
      </c>
      <c r="N168" s="232">
        <f t="shared" ref="N168:O168" si="302">N167</f>
        <v>150</v>
      </c>
      <c r="O168" s="232">
        <f t="shared" si="302"/>
        <v>750</v>
      </c>
      <c r="Q168" s="38">
        <f t="shared" si="289"/>
        <v>14</v>
      </c>
      <c r="R168" s="38">
        <f t="shared" ref="R168:R178" si="303">R167</f>
        <v>16</v>
      </c>
      <c r="S168" s="39">
        <f t="shared" si="283"/>
        <v>0.93521468146599684</v>
      </c>
      <c r="T168" s="39">
        <f t="shared" si="284"/>
        <v>0.97196872164248893</v>
      </c>
      <c r="U168" s="39">
        <f t="shared" si="285"/>
        <v>3.6754040176492087E-2</v>
      </c>
      <c r="V168" s="39">
        <f t="shared" si="238"/>
        <v>4.1683101398930819E-2</v>
      </c>
      <c r="W168" s="40">
        <f t="shared" si="124"/>
        <v>4.1683101398930812E-2</v>
      </c>
      <c r="X168" s="40" t="s">
        <v>3710</v>
      </c>
      <c r="Y168" s="217">
        <f t="shared" si="125"/>
        <v>5.0019721678716973</v>
      </c>
      <c r="Z168" s="217">
        <f t="shared" si="126"/>
        <v>0.83366202797861622</v>
      </c>
    </row>
    <row r="169" spans="1:26" x14ac:dyDescent="0.25">
      <c r="A169" s="229">
        <f t="shared" si="239"/>
        <v>3159</v>
      </c>
      <c r="B169" s="230">
        <f t="shared" si="240"/>
        <v>159</v>
      </c>
      <c r="C169" s="229" t="str">
        <f t="shared" si="233"/>
        <v>24cX15_340-060_03</v>
      </c>
      <c r="D169" s="231">
        <f t="shared" si="178"/>
        <v>15</v>
      </c>
      <c r="E169" s="239">
        <f t="shared" si="204"/>
        <v>2.3590000000000004</v>
      </c>
      <c r="F169" s="232">
        <f t="shared" si="205"/>
        <v>15.72666666666667</v>
      </c>
      <c r="G169" s="232">
        <f t="shared" si="206"/>
        <v>12.581333333333337</v>
      </c>
      <c r="H169" s="232">
        <f t="shared" si="207"/>
        <v>7.8633333333333351</v>
      </c>
      <c r="I169" s="232">
        <f t="shared" si="201"/>
        <v>8</v>
      </c>
      <c r="J169" s="233">
        <f t="shared" si="249"/>
        <v>-20</v>
      </c>
      <c r="K169" s="228" t="str">
        <f>D169&amp;-3</f>
        <v>15-3</v>
      </c>
      <c r="L169" s="232">
        <f t="shared" si="287"/>
        <v>0.2</v>
      </c>
      <c r="M169" s="235">
        <v>60</v>
      </c>
      <c r="N169" s="232">
        <f t="shared" ref="N169:O169" si="304">N168</f>
        <v>150</v>
      </c>
      <c r="O169" s="232">
        <f t="shared" si="304"/>
        <v>750</v>
      </c>
      <c r="Q169" s="38">
        <f t="shared" si="289"/>
        <v>14</v>
      </c>
      <c r="R169" s="38">
        <f t="shared" si="303"/>
        <v>16</v>
      </c>
      <c r="S169" s="39">
        <f t="shared" si="283"/>
        <v>0.93521468146599684</v>
      </c>
      <c r="T169" s="39">
        <f t="shared" si="284"/>
        <v>0.97196872164248893</v>
      </c>
      <c r="U169" s="39">
        <f t="shared" si="285"/>
        <v>3.6754040176492087E-2</v>
      </c>
      <c r="V169" s="39">
        <f t="shared" si="238"/>
        <v>4.1683101398930819E-2</v>
      </c>
      <c r="W169" s="40">
        <f t="shared" si="124"/>
        <v>4.1683101398930812E-2</v>
      </c>
      <c r="X169" s="40" t="s">
        <v>3710</v>
      </c>
      <c r="Y169" s="217">
        <f t="shared" si="125"/>
        <v>5.0019721678716973</v>
      </c>
      <c r="Z169" s="217">
        <f t="shared" si="126"/>
        <v>0.83366202797861622</v>
      </c>
    </row>
    <row r="170" spans="1:26" x14ac:dyDescent="0.25">
      <c r="A170" s="229">
        <f t="shared" si="239"/>
        <v>3160</v>
      </c>
      <c r="B170" s="230">
        <f t="shared" si="240"/>
        <v>160</v>
      </c>
      <c r="C170" s="229" t="str">
        <f t="shared" si="233"/>
        <v>24cX15_340-090_04</v>
      </c>
      <c r="D170" s="231">
        <f t="shared" si="178"/>
        <v>15</v>
      </c>
      <c r="E170" s="239">
        <f t="shared" si="204"/>
        <v>2.3590000000000004</v>
      </c>
      <c r="F170" s="232">
        <f t="shared" si="205"/>
        <v>15.72666666666667</v>
      </c>
      <c r="G170" s="232">
        <f t="shared" si="206"/>
        <v>12.581333333333337</v>
      </c>
      <c r="H170" s="232">
        <f t="shared" si="207"/>
        <v>7.8633333333333351</v>
      </c>
      <c r="I170" s="232">
        <f t="shared" si="201"/>
        <v>8</v>
      </c>
      <c r="J170" s="233">
        <f t="shared" si="249"/>
        <v>-20</v>
      </c>
      <c r="K170" s="228" t="str">
        <f>D170&amp;-4</f>
        <v>15-4</v>
      </c>
      <c r="L170" s="232">
        <f t="shared" si="287"/>
        <v>0.2</v>
      </c>
      <c r="M170" s="235">
        <v>90</v>
      </c>
      <c r="N170" s="232">
        <f t="shared" ref="N170:O170" si="305">N169</f>
        <v>150</v>
      </c>
      <c r="O170" s="232">
        <f t="shared" si="305"/>
        <v>750</v>
      </c>
      <c r="Q170" s="38">
        <f t="shared" si="289"/>
        <v>14</v>
      </c>
      <c r="R170" s="38">
        <f t="shared" si="303"/>
        <v>16</v>
      </c>
      <c r="S170" s="39">
        <f t="shared" si="283"/>
        <v>0.93521468146599684</v>
      </c>
      <c r="T170" s="39">
        <f t="shared" si="284"/>
        <v>0.97196872164248893</v>
      </c>
      <c r="U170" s="39">
        <f t="shared" si="285"/>
        <v>3.6754040176492087E-2</v>
      </c>
      <c r="V170" s="39">
        <f t="shared" si="238"/>
        <v>4.1683101398930819E-2</v>
      </c>
      <c r="W170" s="40">
        <f t="shared" si="124"/>
        <v>4.1683101398930812E-2</v>
      </c>
      <c r="X170" s="40" t="s">
        <v>3710</v>
      </c>
      <c r="Y170" s="217">
        <f t="shared" si="125"/>
        <v>5.0019721678716973</v>
      </c>
      <c r="Z170" s="217">
        <f t="shared" si="126"/>
        <v>0.83366202797861622</v>
      </c>
    </row>
    <row r="171" spans="1:26" x14ac:dyDescent="0.25">
      <c r="A171" s="229">
        <f t="shared" si="239"/>
        <v>3161</v>
      </c>
      <c r="B171" s="230">
        <f t="shared" si="240"/>
        <v>161</v>
      </c>
      <c r="C171" s="229" t="str">
        <f t="shared" si="233"/>
        <v>24cX15_340-000_05</v>
      </c>
      <c r="D171" s="231">
        <f t="shared" si="178"/>
        <v>15</v>
      </c>
      <c r="E171" s="239">
        <f t="shared" si="204"/>
        <v>2.3590000000000004</v>
      </c>
      <c r="F171" s="232">
        <f t="shared" si="205"/>
        <v>15.72666666666667</v>
      </c>
      <c r="G171" s="232">
        <f t="shared" si="206"/>
        <v>12.581333333333337</v>
      </c>
      <c r="H171" s="232">
        <f t="shared" si="207"/>
        <v>7.8633333333333351</v>
      </c>
      <c r="I171" s="232">
        <f t="shared" si="201"/>
        <v>8</v>
      </c>
      <c r="J171" s="233">
        <f t="shared" si="249"/>
        <v>-20</v>
      </c>
      <c r="K171" s="228" t="str">
        <f>D171&amp;-5</f>
        <v>15-5</v>
      </c>
      <c r="L171" s="232">
        <f t="shared" si="287"/>
        <v>0.2</v>
      </c>
      <c r="M171" s="235">
        <v>0</v>
      </c>
      <c r="N171" s="232">
        <f t="shared" ref="N171:O171" si="306">N170</f>
        <v>150</v>
      </c>
      <c r="O171" s="232">
        <f t="shared" si="306"/>
        <v>750</v>
      </c>
      <c r="Q171" s="38">
        <f t="shared" si="289"/>
        <v>14</v>
      </c>
      <c r="R171" s="38">
        <f t="shared" si="303"/>
        <v>16</v>
      </c>
      <c r="S171" s="39">
        <f t="shared" si="283"/>
        <v>0.93521468146599684</v>
      </c>
      <c r="T171" s="39">
        <f t="shared" si="284"/>
        <v>0.97196872164248893</v>
      </c>
      <c r="U171" s="39">
        <f t="shared" si="285"/>
        <v>3.6754040176492087E-2</v>
      </c>
      <c r="V171" s="39">
        <f t="shared" si="238"/>
        <v>4.1683101398930819E-2</v>
      </c>
      <c r="W171" s="40">
        <f t="shared" ref="W171:W234" si="307">H_hy*V171/24</f>
        <v>4.1683101398930812E-2</v>
      </c>
      <c r="X171" s="40" t="s">
        <v>3710</v>
      </c>
      <c r="Y171" s="217">
        <f t="shared" ref="Y171:Y234" si="308">Z171*3600/(O171-N171)</f>
        <v>5.0019721678716973</v>
      </c>
      <c r="Z171" s="217">
        <f t="shared" ref="Z171:Z234" si="309">W171*20</f>
        <v>0.83366202797861622</v>
      </c>
    </row>
    <row r="172" spans="1:26" x14ac:dyDescent="0.25">
      <c r="A172" s="229">
        <f t="shared" si="239"/>
        <v>3162</v>
      </c>
      <c r="B172" s="230">
        <f t="shared" si="240"/>
        <v>162</v>
      </c>
      <c r="C172" s="229" t="str">
        <f t="shared" si="233"/>
        <v>24cX15_340-030_06</v>
      </c>
      <c r="D172" s="231">
        <f t="shared" si="178"/>
        <v>15</v>
      </c>
      <c r="E172" s="239">
        <f t="shared" si="204"/>
        <v>2.3590000000000004</v>
      </c>
      <c r="F172" s="232">
        <f t="shared" si="205"/>
        <v>15.72666666666667</v>
      </c>
      <c r="G172" s="232">
        <f t="shared" si="206"/>
        <v>12.581333333333337</v>
      </c>
      <c r="H172" s="232">
        <f t="shared" si="207"/>
        <v>7.8633333333333351</v>
      </c>
      <c r="I172" s="232">
        <f t="shared" si="201"/>
        <v>8</v>
      </c>
      <c r="J172" s="233">
        <f t="shared" si="249"/>
        <v>-20</v>
      </c>
      <c r="K172" s="228" t="str">
        <f>D172&amp;-6</f>
        <v>15-6</v>
      </c>
      <c r="L172" s="232">
        <f t="shared" si="287"/>
        <v>0.2</v>
      </c>
      <c r="M172" s="235">
        <v>30</v>
      </c>
      <c r="N172" s="232">
        <f t="shared" ref="N172:O172" si="310">N171</f>
        <v>150</v>
      </c>
      <c r="O172" s="232">
        <f t="shared" si="310"/>
        <v>750</v>
      </c>
      <c r="Q172" s="38">
        <f t="shared" si="289"/>
        <v>14</v>
      </c>
      <c r="R172" s="38">
        <f t="shared" si="303"/>
        <v>16</v>
      </c>
      <c r="S172" s="39">
        <f t="shared" si="283"/>
        <v>0.93521468146599684</v>
      </c>
      <c r="T172" s="39">
        <f t="shared" si="284"/>
        <v>0.97196872164248893</v>
      </c>
      <c r="U172" s="39">
        <f t="shared" si="285"/>
        <v>3.6754040176492087E-2</v>
      </c>
      <c r="V172" s="39">
        <f t="shared" si="238"/>
        <v>4.1683101398930819E-2</v>
      </c>
      <c r="W172" s="40">
        <f t="shared" si="307"/>
        <v>4.1683101398930812E-2</v>
      </c>
      <c r="X172" s="40" t="s">
        <v>3710</v>
      </c>
      <c r="Y172" s="217">
        <f t="shared" si="308"/>
        <v>5.0019721678716973</v>
      </c>
      <c r="Z172" s="217">
        <f t="shared" si="309"/>
        <v>0.83366202797861622</v>
      </c>
    </row>
    <row r="173" spans="1:26" x14ac:dyDescent="0.25">
      <c r="A173" s="229">
        <f t="shared" si="239"/>
        <v>3163</v>
      </c>
      <c r="B173" s="230">
        <f t="shared" si="240"/>
        <v>163</v>
      </c>
      <c r="C173" s="229" t="str">
        <f t="shared" si="233"/>
        <v>24cX15_340-060_07</v>
      </c>
      <c r="D173" s="231">
        <f t="shared" si="178"/>
        <v>15</v>
      </c>
      <c r="E173" s="239">
        <f t="shared" si="204"/>
        <v>2.3590000000000004</v>
      </c>
      <c r="F173" s="232">
        <f t="shared" si="205"/>
        <v>15.72666666666667</v>
      </c>
      <c r="G173" s="232">
        <f t="shared" si="206"/>
        <v>12.581333333333337</v>
      </c>
      <c r="H173" s="232">
        <f t="shared" si="207"/>
        <v>7.8633333333333351</v>
      </c>
      <c r="I173" s="232">
        <f t="shared" si="201"/>
        <v>8</v>
      </c>
      <c r="J173" s="233">
        <f t="shared" si="249"/>
        <v>-20</v>
      </c>
      <c r="K173" s="228" t="str">
        <f>D173&amp;-7</f>
        <v>15-7</v>
      </c>
      <c r="L173" s="232">
        <f t="shared" si="287"/>
        <v>0.2</v>
      </c>
      <c r="M173" s="235">
        <v>60</v>
      </c>
      <c r="N173" s="232">
        <f t="shared" ref="N173:O173" si="311">N172</f>
        <v>150</v>
      </c>
      <c r="O173" s="232">
        <f t="shared" si="311"/>
        <v>750</v>
      </c>
      <c r="Q173" s="38">
        <f t="shared" si="289"/>
        <v>14</v>
      </c>
      <c r="R173" s="38">
        <f t="shared" si="303"/>
        <v>16</v>
      </c>
      <c r="S173" s="39">
        <f t="shared" si="283"/>
        <v>0.93521468146599684</v>
      </c>
      <c r="T173" s="39">
        <f t="shared" si="284"/>
        <v>0.97196872164248893</v>
      </c>
      <c r="U173" s="39">
        <f t="shared" si="285"/>
        <v>3.6754040176492087E-2</v>
      </c>
      <c r="V173" s="39">
        <f t="shared" si="238"/>
        <v>4.1683101398930819E-2</v>
      </c>
      <c r="W173" s="40">
        <f t="shared" si="307"/>
        <v>4.1683101398930812E-2</v>
      </c>
      <c r="X173" s="40" t="s">
        <v>3710</v>
      </c>
      <c r="Y173" s="217">
        <f t="shared" si="308"/>
        <v>5.0019721678716973</v>
      </c>
      <c r="Z173" s="217">
        <f t="shared" si="309"/>
        <v>0.83366202797861622</v>
      </c>
    </row>
    <row r="174" spans="1:26" x14ac:dyDescent="0.25">
      <c r="A174" s="229">
        <f t="shared" si="239"/>
        <v>3164</v>
      </c>
      <c r="B174" s="230">
        <f t="shared" si="240"/>
        <v>164</v>
      </c>
      <c r="C174" s="229" t="str">
        <f t="shared" si="233"/>
        <v>24cX15_340-090_08</v>
      </c>
      <c r="D174" s="231">
        <f t="shared" si="178"/>
        <v>15</v>
      </c>
      <c r="E174" s="239">
        <f t="shared" si="204"/>
        <v>2.3590000000000004</v>
      </c>
      <c r="F174" s="232">
        <f t="shared" si="205"/>
        <v>15.72666666666667</v>
      </c>
      <c r="G174" s="232">
        <f t="shared" si="206"/>
        <v>12.581333333333337</v>
      </c>
      <c r="H174" s="232">
        <f t="shared" si="207"/>
        <v>7.8633333333333351</v>
      </c>
      <c r="I174" s="232">
        <f t="shared" si="201"/>
        <v>8</v>
      </c>
      <c r="J174" s="233">
        <f t="shared" si="249"/>
        <v>-20</v>
      </c>
      <c r="K174" s="228" t="str">
        <f>D174&amp;-8</f>
        <v>15-8</v>
      </c>
      <c r="L174" s="232">
        <f t="shared" si="287"/>
        <v>0.2</v>
      </c>
      <c r="M174" s="235">
        <v>90</v>
      </c>
      <c r="N174" s="232">
        <f t="shared" ref="N174:O174" si="312">N173</f>
        <v>150</v>
      </c>
      <c r="O174" s="232">
        <f t="shared" si="312"/>
        <v>750</v>
      </c>
      <c r="Q174" s="38">
        <f t="shared" si="289"/>
        <v>14</v>
      </c>
      <c r="R174" s="38">
        <f t="shared" si="303"/>
        <v>16</v>
      </c>
      <c r="S174" s="39">
        <f t="shared" si="283"/>
        <v>0.93521468146599684</v>
      </c>
      <c r="T174" s="39">
        <f t="shared" si="284"/>
        <v>0.97196872164248893</v>
      </c>
      <c r="U174" s="39">
        <f t="shared" si="285"/>
        <v>3.6754040176492087E-2</v>
      </c>
      <c r="V174" s="39">
        <f t="shared" si="238"/>
        <v>4.1683101398930819E-2</v>
      </c>
      <c r="W174" s="40">
        <f t="shared" si="307"/>
        <v>4.1683101398930812E-2</v>
      </c>
      <c r="X174" s="40" t="s">
        <v>3710</v>
      </c>
      <c r="Y174" s="217">
        <f t="shared" si="308"/>
        <v>5.0019721678716973</v>
      </c>
      <c r="Z174" s="217">
        <f t="shared" si="309"/>
        <v>0.83366202797861622</v>
      </c>
    </row>
    <row r="175" spans="1:26" x14ac:dyDescent="0.25">
      <c r="A175" s="229">
        <f t="shared" si="239"/>
        <v>3165</v>
      </c>
      <c r="B175" s="230">
        <f t="shared" si="240"/>
        <v>165</v>
      </c>
      <c r="C175" s="229" t="str">
        <f t="shared" si="233"/>
        <v>24cX15_340-000_09</v>
      </c>
      <c r="D175" s="231">
        <f t="shared" si="178"/>
        <v>15</v>
      </c>
      <c r="E175" s="239">
        <f t="shared" si="204"/>
        <v>2.3590000000000004</v>
      </c>
      <c r="F175" s="232">
        <f t="shared" si="205"/>
        <v>15.72666666666667</v>
      </c>
      <c r="G175" s="232">
        <f t="shared" si="206"/>
        <v>12.581333333333337</v>
      </c>
      <c r="H175" s="232">
        <f t="shared" si="207"/>
        <v>7.8633333333333351</v>
      </c>
      <c r="I175" s="232">
        <f t="shared" si="201"/>
        <v>8</v>
      </c>
      <c r="J175" s="233">
        <f t="shared" si="249"/>
        <v>-20</v>
      </c>
      <c r="K175" s="228" t="str">
        <f>D175&amp;-9</f>
        <v>15-9</v>
      </c>
      <c r="L175" s="232">
        <f t="shared" si="287"/>
        <v>0.2</v>
      </c>
      <c r="M175" s="235">
        <v>0</v>
      </c>
      <c r="N175" s="232">
        <f t="shared" ref="N175:O175" si="313">N174</f>
        <v>150</v>
      </c>
      <c r="O175" s="232">
        <f t="shared" si="313"/>
        <v>750</v>
      </c>
      <c r="Q175" s="38">
        <f t="shared" si="289"/>
        <v>14</v>
      </c>
      <c r="R175" s="38">
        <f t="shared" si="303"/>
        <v>16</v>
      </c>
      <c r="S175" s="39">
        <f t="shared" si="283"/>
        <v>0.93521468146599684</v>
      </c>
      <c r="T175" s="39">
        <f t="shared" si="284"/>
        <v>0.97196872164248893</v>
      </c>
      <c r="U175" s="39">
        <f t="shared" si="285"/>
        <v>3.6754040176492087E-2</v>
      </c>
      <c r="V175" s="39">
        <f t="shared" si="238"/>
        <v>4.1683101398930819E-2</v>
      </c>
      <c r="W175" s="40">
        <f t="shared" si="307"/>
        <v>4.1683101398930812E-2</v>
      </c>
      <c r="X175" s="40" t="s">
        <v>3710</v>
      </c>
      <c r="Y175" s="217">
        <f t="shared" si="308"/>
        <v>5.0019721678716973</v>
      </c>
      <c r="Z175" s="217">
        <f t="shared" si="309"/>
        <v>0.83366202797861622</v>
      </c>
    </row>
    <row r="176" spans="1:26" x14ac:dyDescent="0.25">
      <c r="A176" s="229">
        <f t="shared" si="239"/>
        <v>3166</v>
      </c>
      <c r="B176" s="230">
        <f t="shared" si="240"/>
        <v>166</v>
      </c>
      <c r="C176" s="229" t="str">
        <f t="shared" si="233"/>
        <v>24cX15_340-030_10</v>
      </c>
      <c r="D176" s="231">
        <f t="shared" si="178"/>
        <v>15</v>
      </c>
      <c r="E176" s="239">
        <f t="shared" si="204"/>
        <v>2.3590000000000004</v>
      </c>
      <c r="F176" s="232">
        <f t="shared" si="205"/>
        <v>15.72666666666667</v>
      </c>
      <c r="G176" s="232">
        <f t="shared" si="206"/>
        <v>12.581333333333337</v>
      </c>
      <c r="H176" s="232">
        <f t="shared" si="207"/>
        <v>7.8633333333333351</v>
      </c>
      <c r="I176" s="232">
        <f t="shared" si="201"/>
        <v>8</v>
      </c>
      <c r="J176" s="233">
        <f t="shared" si="249"/>
        <v>-20</v>
      </c>
      <c r="K176" s="228" t="str">
        <f>D176&amp;-10</f>
        <v>15-10</v>
      </c>
      <c r="L176" s="232">
        <f t="shared" si="287"/>
        <v>0.2</v>
      </c>
      <c r="M176" s="235">
        <v>30</v>
      </c>
      <c r="N176" s="232">
        <f t="shared" ref="N176:O176" si="314">N175</f>
        <v>150</v>
      </c>
      <c r="O176" s="232">
        <f t="shared" si="314"/>
        <v>750</v>
      </c>
      <c r="Q176" s="38">
        <f t="shared" si="289"/>
        <v>14</v>
      </c>
      <c r="R176" s="38">
        <f t="shared" si="303"/>
        <v>16</v>
      </c>
      <c r="S176" s="39">
        <f t="shared" si="283"/>
        <v>0.93521468146599684</v>
      </c>
      <c r="T176" s="39">
        <f t="shared" si="284"/>
        <v>0.97196872164248893</v>
      </c>
      <c r="U176" s="39">
        <f t="shared" si="285"/>
        <v>3.6754040176492087E-2</v>
      </c>
      <c r="V176" s="39">
        <f t="shared" si="238"/>
        <v>4.1683101398930819E-2</v>
      </c>
      <c r="W176" s="40">
        <f t="shared" si="307"/>
        <v>4.1683101398930812E-2</v>
      </c>
      <c r="X176" s="40" t="s">
        <v>3710</v>
      </c>
      <c r="Y176" s="217">
        <f t="shared" si="308"/>
        <v>5.0019721678716973</v>
      </c>
      <c r="Z176" s="217">
        <f t="shared" si="309"/>
        <v>0.83366202797861622</v>
      </c>
    </row>
    <row r="177" spans="1:26" x14ac:dyDescent="0.25">
      <c r="A177" s="229">
        <f t="shared" si="239"/>
        <v>3167</v>
      </c>
      <c r="B177" s="230">
        <f t="shared" si="240"/>
        <v>167</v>
      </c>
      <c r="C177" s="229" t="str">
        <f t="shared" si="233"/>
        <v>24cX15_340-060_11</v>
      </c>
      <c r="D177" s="231">
        <f t="shared" si="178"/>
        <v>15</v>
      </c>
      <c r="E177" s="239">
        <f t="shared" si="204"/>
        <v>2.3590000000000004</v>
      </c>
      <c r="F177" s="232">
        <f t="shared" si="205"/>
        <v>15.72666666666667</v>
      </c>
      <c r="G177" s="232">
        <f t="shared" si="206"/>
        <v>12.581333333333337</v>
      </c>
      <c r="H177" s="232">
        <f t="shared" si="207"/>
        <v>7.8633333333333351</v>
      </c>
      <c r="I177" s="232">
        <f t="shared" si="201"/>
        <v>8</v>
      </c>
      <c r="J177" s="233">
        <f t="shared" si="249"/>
        <v>-20</v>
      </c>
      <c r="K177" s="228" t="str">
        <f>D177&amp;-11</f>
        <v>15-11</v>
      </c>
      <c r="L177" s="232">
        <f t="shared" si="287"/>
        <v>0.2</v>
      </c>
      <c r="M177" s="235">
        <v>60</v>
      </c>
      <c r="N177" s="232">
        <f t="shared" ref="N177:O177" si="315">N176</f>
        <v>150</v>
      </c>
      <c r="O177" s="232">
        <f t="shared" si="315"/>
        <v>750</v>
      </c>
      <c r="Q177" s="38">
        <f t="shared" si="289"/>
        <v>14</v>
      </c>
      <c r="R177" s="38">
        <f t="shared" si="303"/>
        <v>16</v>
      </c>
      <c r="S177" s="39">
        <f t="shared" si="283"/>
        <v>0.93521468146599684</v>
      </c>
      <c r="T177" s="39">
        <f t="shared" si="284"/>
        <v>0.97196872164248893</v>
      </c>
      <c r="U177" s="39">
        <f t="shared" si="285"/>
        <v>3.6754040176492087E-2</v>
      </c>
      <c r="V177" s="39">
        <f t="shared" si="238"/>
        <v>4.1683101398930819E-2</v>
      </c>
      <c r="W177" s="40">
        <f t="shared" si="307"/>
        <v>4.1683101398930812E-2</v>
      </c>
      <c r="X177" s="40" t="s">
        <v>3710</v>
      </c>
      <c r="Y177" s="217">
        <f t="shared" si="308"/>
        <v>5.0019721678716973</v>
      </c>
      <c r="Z177" s="217">
        <f t="shared" si="309"/>
        <v>0.83366202797861622</v>
      </c>
    </row>
    <row r="178" spans="1:26" x14ac:dyDescent="0.25">
      <c r="A178" s="229">
        <f t="shared" si="239"/>
        <v>3168</v>
      </c>
      <c r="B178" s="230">
        <f t="shared" si="240"/>
        <v>168</v>
      </c>
      <c r="C178" s="229" t="str">
        <f t="shared" si="233"/>
        <v>24cX15_340-090_12</v>
      </c>
      <c r="D178" s="231">
        <f t="shared" si="178"/>
        <v>15</v>
      </c>
      <c r="E178" s="239">
        <f t="shared" si="204"/>
        <v>2.3590000000000004</v>
      </c>
      <c r="F178" s="232">
        <f t="shared" si="205"/>
        <v>15.72666666666667</v>
      </c>
      <c r="G178" s="232">
        <f t="shared" si="206"/>
        <v>12.581333333333337</v>
      </c>
      <c r="H178" s="232">
        <f t="shared" si="207"/>
        <v>7.8633333333333351</v>
      </c>
      <c r="I178" s="232">
        <f t="shared" si="201"/>
        <v>8</v>
      </c>
      <c r="J178" s="233">
        <f t="shared" si="249"/>
        <v>-20</v>
      </c>
      <c r="K178" s="228" t="str">
        <f>D178&amp;-12</f>
        <v>15-12</v>
      </c>
      <c r="L178" s="232">
        <f t="shared" si="287"/>
        <v>0.2</v>
      </c>
      <c r="M178" s="235">
        <v>90</v>
      </c>
      <c r="N178" s="232">
        <f t="shared" ref="N178:O178" si="316">N177</f>
        <v>150</v>
      </c>
      <c r="O178" s="232">
        <f t="shared" si="316"/>
        <v>750</v>
      </c>
      <c r="Q178" s="38">
        <f t="shared" si="289"/>
        <v>14</v>
      </c>
      <c r="R178" s="38">
        <f t="shared" si="303"/>
        <v>16</v>
      </c>
      <c r="S178" s="39">
        <f t="shared" si="283"/>
        <v>0.93521468146599684</v>
      </c>
      <c r="T178" s="39">
        <f t="shared" si="284"/>
        <v>0.97196872164248893</v>
      </c>
      <c r="U178" s="39">
        <f t="shared" si="285"/>
        <v>3.6754040176492087E-2</v>
      </c>
      <c r="V178" s="39">
        <f t="shared" si="238"/>
        <v>4.1683101398930819E-2</v>
      </c>
      <c r="W178" s="40">
        <f t="shared" si="307"/>
        <v>4.1683101398930812E-2</v>
      </c>
      <c r="X178" s="40" t="s">
        <v>3710</v>
      </c>
      <c r="Y178" s="217">
        <f t="shared" si="308"/>
        <v>5.0019721678716973</v>
      </c>
      <c r="Z178" s="217">
        <f t="shared" si="309"/>
        <v>0.83366202797861622</v>
      </c>
    </row>
    <row r="179" spans="1:26" x14ac:dyDescent="0.25">
      <c r="A179" s="229">
        <f t="shared" si="239"/>
        <v>3169</v>
      </c>
      <c r="B179" s="230">
        <f t="shared" si="240"/>
        <v>169</v>
      </c>
      <c r="C179" s="229" t="str">
        <f t="shared" si="233"/>
        <v>24cX17_020-000_01</v>
      </c>
      <c r="D179" s="231">
        <f t="shared" si="200"/>
        <v>17</v>
      </c>
      <c r="E179" s="239">
        <f t="shared" si="204"/>
        <v>2.5690000000000004</v>
      </c>
      <c r="F179" s="232">
        <f t="shared" si="205"/>
        <v>15.111764705882354</v>
      </c>
      <c r="G179" s="232">
        <f t="shared" si="206"/>
        <v>12.089411764705885</v>
      </c>
      <c r="H179" s="232">
        <f t="shared" si="207"/>
        <v>7.5558823529411772</v>
      </c>
      <c r="I179" s="232">
        <f t="shared" si="201"/>
        <v>8</v>
      </c>
      <c r="J179" s="233">
        <v>20</v>
      </c>
      <c r="K179" s="228" t="str">
        <f>D179&amp;-1</f>
        <v>17-1</v>
      </c>
      <c r="L179" s="232">
        <f>alpha_n</f>
        <v>0.2</v>
      </c>
      <c r="M179" s="235">
        <v>0</v>
      </c>
      <c r="N179" s="232">
        <f>t_out</f>
        <v>150</v>
      </c>
      <c r="O179" s="232">
        <f>N179+T_s1</f>
        <v>750</v>
      </c>
      <c r="Q179" s="38">
        <f t="shared" ref="Q179" si="317">R178</f>
        <v>16</v>
      </c>
      <c r="R179" s="38">
        <f>Q179+v_step</f>
        <v>18</v>
      </c>
      <c r="S179" s="39">
        <f t="shared" si="283"/>
        <v>0.97196872164248893</v>
      </c>
      <c r="T179" s="39">
        <f t="shared" si="284"/>
        <v>0.98915328946183989</v>
      </c>
      <c r="U179" s="39">
        <f t="shared" si="285"/>
        <v>1.718456781935096E-2</v>
      </c>
      <c r="V179" s="39">
        <f t="shared" si="238"/>
        <v>1.948917940643052E-2</v>
      </c>
      <c r="W179" s="40">
        <f t="shared" si="307"/>
        <v>1.948917940643052E-2</v>
      </c>
      <c r="X179" s="40" t="s">
        <v>3710</v>
      </c>
      <c r="Y179" s="217">
        <f t="shared" si="308"/>
        <v>2.3387015287716624</v>
      </c>
      <c r="Z179" s="217">
        <f t="shared" si="309"/>
        <v>0.38978358812861041</v>
      </c>
    </row>
    <row r="180" spans="1:26" x14ac:dyDescent="0.25">
      <c r="A180" s="229">
        <f t="shared" si="239"/>
        <v>3170</v>
      </c>
      <c r="B180" s="230">
        <f t="shared" si="240"/>
        <v>170</v>
      </c>
      <c r="C180" s="229" t="str">
        <f t="shared" si="233"/>
        <v>24cX17_020-030_02</v>
      </c>
      <c r="D180" s="231">
        <f t="shared" si="203"/>
        <v>17</v>
      </c>
      <c r="E180" s="239">
        <f t="shared" si="204"/>
        <v>2.5690000000000004</v>
      </c>
      <c r="F180" s="232">
        <f t="shared" si="205"/>
        <v>15.111764705882354</v>
      </c>
      <c r="G180" s="232">
        <f t="shared" si="206"/>
        <v>12.089411764705885</v>
      </c>
      <c r="H180" s="232">
        <f t="shared" si="207"/>
        <v>7.5558823529411772</v>
      </c>
      <c r="I180" s="232">
        <f t="shared" si="201"/>
        <v>8</v>
      </c>
      <c r="J180" s="233">
        <f t="shared" ref="J180:J190" si="318">J179</f>
        <v>20</v>
      </c>
      <c r="K180" s="228" t="str">
        <f>D180&amp;-2</f>
        <v>17-2</v>
      </c>
      <c r="L180" s="232">
        <f t="shared" ref="L180:L202" si="319">L179</f>
        <v>0.2</v>
      </c>
      <c r="M180" s="235">
        <v>30</v>
      </c>
      <c r="N180" s="232">
        <f t="shared" ref="N180:O180" si="320">N179</f>
        <v>150</v>
      </c>
      <c r="O180" s="232">
        <f t="shared" si="320"/>
        <v>750</v>
      </c>
      <c r="Q180" s="38">
        <f t="shared" ref="Q180" si="321">Q179</f>
        <v>16</v>
      </c>
      <c r="R180" s="38">
        <f t="shared" ref="R180" si="322">R179</f>
        <v>18</v>
      </c>
      <c r="S180" s="39">
        <f t="shared" si="283"/>
        <v>0.97196872164248893</v>
      </c>
      <c r="T180" s="39">
        <f t="shared" si="284"/>
        <v>0.98915328946183989</v>
      </c>
      <c r="U180" s="39">
        <f t="shared" si="285"/>
        <v>1.718456781935096E-2</v>
      </c>
      <c r="V180" s="39">
        <f t="shared" si="238"/>
        <v>1.948917940643052E-2</v>
      </c>
      <c r="W180" s="40">
        <f t="shared" si="307"/>
        <v>1.948917940643052E-2</v>
      </c>
      <c r="X180" s="40" t="s">
        <v>3710</v>
      </c>
      <c r="Y180" s="217">
        <f t="shared" si="308"/>
        <v>2.3387015287716624</v>
      </c>
      <c r="Z180" s="217">
        <f t="shared" si="309"/>
        <v>0.38978358812861041</v>
      </c>
    </row>
    <row r="181" spans="1:26" x14ac:dyDescent="0.25">
      <c r="A181" s="229">
        <f t="shared" si="239"/>
        <v>3171</v>
      </c>
      <c r="B181" s="230">
        <f t="shared" si="240"/>
        <v>171</v>
      </c>
      <c r="C181" s="229" t="str">
        <f t="shared" si="233"/>
        <v>24cX17_020-060_03</v>
      </c>
      <c r="D181" s="231">
        <f t="shared" si="178"/>
        <v>17</v>
      </c>
      <c r="E181" s="239">
        <f t="shared" si="204"/>
        <v>2.5690000000000004</v>
      </c>
      <c r="F181" s="232">
        <f t="shared" si="205"/>
        <v>15.111764705882354</v>
      </c>
      <c r="G181" s="232">
        <f t="shared" si="206"/>
        <v>12.089411764705885</v>
      </c>
      <c r="H181" s="232">
        <f t="shared" si="207"/>
        <v>7.5558823529411772</v>
      </c>
      <c r="I181" s="232">
        <f t="shared" ref="I181" si="323">I180</f>
        <v>8</v>
      </c>
      <c r="J181" s="233">
        <f t="shared" si="318"/>
        <v>20</v>
      </c>
      <c r="K181" s="228" t="str">
        <f>D181&amp;-3</f>
        <v>17-3</v>
      </c>
      <c r="L181" s="232">
        <f t="shared" si="319"/>
        <v>0.2</v>
      </c>
      <c r="M181" s="235">
        <v>60</v>
      </c>
      <c r="N181" s="232">
        <f t="shared" ref="N181:O181" si="324">N180</f>
        <v>150</v>
      </c>
      <c r="O181" s="232">
        <f t="shared" si="324"/>
        <v>750</v>
      </c>
      <c r="Q181" s="38">
        <f t="shared" ref="Q181:R181" si="325">Q180</f>
        <v>16</v>
      </c>
      <c r="R181" s="38">
        <f t="shared" si="325"/>
        <v>18</v>
      </c>
      <c r="S181" s="39">
        <f t="shared" si="283"/>
        <v>0.97196872164248893</v>
      </c>
      <c r="T181" s="39">
        <f t="shared" si="284"/>
        <v>0.98915328946183989</v>
      </c>
      <c r="U181" s="39">
        <f t="shared" si="285"/>
        <v>1.718456781935096E-2</v>
      </c>
      <c r="V181" s="39">
        <f t="shared" si="238"/>
        <v>1.948917940643052E-2</v>
      </c>
      <c r="W181" s="40">
        <f t="shared" si="307"/>
        <v>1.948917940643052E-2</v>
      </c>
      <c r="X181" s="40" t="s">
        <v>3710</v>
      </c>
      <c r="Y181" s="217">
        <f t="shared" si="308"/>
        <v>2.3387015287716624</v>
      </c>
      <c r="Z181" s="217">
        <f t="shared" si="309"/>
        <v>0.38978358812861041</v>
      </c>
    </row>
    <row r="182" spans="1:26" x14ac:dyDescent="0.25">
      <c r="A182" s="229">
        <f t="shared" si="239"/>
        <v>3172</v>
      </c>
      <c r="B182" s="230">
        <f t="shared" si="240"/>
        <v>172</v>
      </c>
      <c r="C182" s="229" t="str">
        <f t="shared" si="233"/>
        <v>24cX17_020-090_04</v>
      </c>
      <c r="D182" s="231">
        <f t="shared" si="178"/>
        <v>17</v>
      </c>
      <c r="E182" s="239">
        <f t="shared" si="204"/>
        <v>2.5690000000000004</v>
      </c>
      <c r="F182" s="232">
        <f t="shared" si="205"/>
        <v>15.111764705882354</v>
      </c>
      <c r="G182" s="232">
        <f t="shared" si="206"/>
        <v>12.089411764705885</v>
      </c>
      <c r="H182" s="232">
        <f t="shared" si="207"/>
        <v>7.5558823529411772</v>
      </c>
      <c r="I182" s="232">
        <f t="shared" si="201"/>
        <v>8</v>
      </c>
      <c r="J182" s="233">
        <f t="shared" si="318"/>
        <v>20</v>
      </c>
      <c r="K182" s="228" t="str">
        <f>D182&amp;-4</f>
        <v>17-4</v>
      </c>
      <c r="L182" s="232">
        <f t="shared" si="319"/>
        <v>0.2</v>
      </c>
      <c r="M182" s="235">
        <v>90</v>
      </c>
      <c r="N182" s="232">
        <f t="shared" ref="N182:O182" si="326">N181</f>
        <v>150</v>
      </c>
      <c r="O182" s="232">
        <f t="shared" si="326"/>
        <v>750</v>
      </c>
      <c r="Q182" s="38">
        <f t="shared" ref="Q182:R182" si="327">Q181</f>
        <v>16</v>
      </c>
      <c r="R182" s="38">
        <f t="shared" si="327"/>
        <v>18</v>
      </c>
      <c r="S182" s="39">
        <f t="shared" si="283"/>
        <v>0.97196872164248893</v>
      </c>
      <c r="T182" s="39">
        <f t="shared" si="284"/>
        <v>0.98915328946183989</v>
      </c>
      <c r="U182" s="39">
        <f t="shared" si="285"/>
        <v>1.718456781935096E-2</v>
      </c>
      <c r="V182" s="39">
        <f t="shared" si="238"/>
        <v>1.948917940643052E-2</v>
      </c>
      <c r="W182" s="40">
        <f t="shared" si="307"/>
        <v>1.948917940643052E-2</v>
      </c>
      <c r="X182" s="40" t="s">
        <v>3710</v>
      </c>
      <c r="Y182" s="217">
        <f t="shared" si="308"/>
        <v>2.3387015287716624</v>
      </c>
      <c r="Z182" s="217">
        <f t="shared" si="309"/>
        <v>0.38978358812861041</v>
      </c>
    </row>
    <row r="183" spans="1:26" x14ac:dyDescent="0.25">
      <c r="A183" s="229">
        <f t="shared" si="239"/>
        <v>3173</v>
      </c>
      <c r="B183" s="230">
        <f t="shared" si="240"/>
        <v>173</v>
      </c>
      <c r="C183" s="229" t="str">
        <f t="shared" si="233"/>
        <v>24cX17_020-000_05</v>
      </c>
      <c r="D183" s="231">
        <f t="shared" si="178"/>
        <v>17</v>
      </c>
      <c r="E183" s="239">
        <f t="shared" si="204"/>
        <v>2.5690000000000004</v>
      </c>
      <c r="F183" s="232">
        <f t="shared" si="205"/>
        <v>15.111764705882354</v>
      </c>
      <c r="G183" s="232">
        <f t="shared" si="206"/>
        <v>12.089411764705885</v>
      </c>
      <c r="H183" s="232">
        <f t="shared" si="207"/>
        <v>7.5558823529411772</v>
      </c>
      <c r="I183" s="232">
        <f t="shared" si="201"/>
        <v>8</v>
      </c>
      <c r="J183" s="233">
        <f t="shared" si="318"/>
        <v>20</v>
      </c>
      <c r="K183" s="228" t="str">
        <f>D183&amp;-5</f>
        <v>17-5</v>
      </c>
      <c r="L183" s="232">
        <f t="shared" si="319"/>
        <v>0.2</v>
      </c>
      <c r="M183" s="235">
        <v>0</v>
      </c>
      <c r="N183" s="232">
        <f t="shared" ref="N183:O183" si="328">N182</f>
        <v>150</v>
      </c>
      <c r="O183" s="232">
        <f t="shared" si="328"/>
        <v>750</v>
      </c>
      <c r="Q183" s="38">
        <f t="shared" ref="Q183:R183" si="329">Q182</f>
        <v>16</v>
      </c>
      <c r="R183" s="38">
        <f t="shared" si="329"/>
        <v>18</v>
      </c>
      <c r="S183" s="39">
        <f t="shared" si="283"/>
        <v>0.97196872164248893</v>
      </c>
      <c r="T183" s="39">
        <f t="shared" si="284"/>
        <v>0.98915328946183989</v>
      </c>
      <c r="U183" s="39">
        <f t="shared" si="285"/>
        <v>1.718456781935096E-2</v>
      </c>
      <c r="V183" s="39">
        <f t="shared" si="238"/>
        <v>1.948917940643052E-2</v>
      </c>
      <c r="W183" s="40">
        <f t="shared" si="307"/>
        <v>1.948917940643052E-2</v>
      </c>
      <c r="X183" s="40" t="s">
        <v>3710</v>
      </c>
      <c r="Y183" s="217">
        <f t="shared" si="308"/>
        <v>2.3387015287716624</v>
      </c>
      <c r="Z183" s="217">
        <f t="shared" si="309"/>
        <v>0.38978358812861041</v>
      </c>
    </row>
    <row r="184" spans="1:26" x14ac:dyDescent="0.25">
      <c r="A184" s="229">
        <f t="shared" si="239"/>
        <v>3174</v>
      </c>
      <c r="B184" s="230">
        <f t="shared" si="240"/>
        <v>174</v>
      </c>
      <c r="C184" s="229" t="str">
        <f t="shared" si="233"/>
        <v>24cX17_020-030_06</v>
      </c>
      <c r="D184" s="231">
        <f t="shared" si="178"/>
        <v>17</v>
      </c>
      <c r="E184" s="239">
        <f t="shared" si="204"/>
        <v>2.5690000000000004</v>
      </c>
      <c r="F184" s="232">
        <f t="shared" si="205"/>
        <v>15.111764705882354</v>
      </c>
      <c r="G184" s="232">
        <f t="shared" si="206"/>
        <v>12.089411764705885</v>
      </c>
      <c r="H184" s="232">
        <f t="shared" si="207"/>
        <v>7.5558823529411772</v>
      </c>
      <c r="I184" s="232">
        <f t="shared" si="201"/>
        <v>8</v>
      </c>
      <c r="J184" s="233">
        <f t="shared" si="318"/>
        <v>20</v>
      </c>
      <c r="K184" s="228" t="str">
        <f>D184&amp;-6</f>
        <v>17-6</v>
      </c>
      <c r="L184" s="232">
        <f t="shared" si="319"/>
        <v>0.2</v>
      </c>
      <c r="M184" s="235">
        <v>30</v>
      </c>
      <c r="N184" s="232">
        <f t="shared" ref="N184:O184" si="330">N183</f>
        <v>150</v>
      </c>
      <c r="O184" s="232">
        <f t="shared" si="330"/>
        <v>750</v>
      </c>
      <c r="Q184" s="38">
        <f t="shared" ref="Q184:R184" si="331">Q183</f>
        <v>16</v>
      </c>
      <c r="R184" s="38">
        <f t="shared" si="331"/>
        <v>18</v>
      </c>
      <c r="S184" s="39">
        <f t="shared" si="283"/>
        <v>0.97196872164248893</v>
      </c>
      <c r="T184" s="39">
        <f t="shared" si="284"/>
        <v>0.98915328946183989</v>
      </c>
      <c r="U184" s="39">
        <f t="shared" si="285"/>
        <v>1.718456781935096E-2</v>
      </c>
      <c r="V184" s="39">
        <f t="shared" si="238"/>
        <v>1.948917940643052E-2</v>
      </c>
      <c r="W184" s="40">
        <f t="shared" si="307"/>
        <v>1.948917940643052E-2</v>
      </c>
      <c r="X184" s="40" t="s">
        <v>3710</v>
      </c>
      <c r="Y184" s="217">
        <f t="shared" si="308"/>
        <v>2.3387015287716624</v>
      </c>
      <c r="Z184" s="217">
        <f t="shared" si="309"/>
        <v>0.38978358812861041</v>
      </c>
    </row>
    <row r="185" spans="1:26" x14ac:dyDescent="0.25">
      <c r="A185" s="229">
        <f t="shared" si="239"/>
        <v>3175</v>
      </c>
      <c r="B185" s="230">
        <f t="shared" si="240"/>
        <v>175</v>
      </c>
      <c r="C185" s="229" t="str">
        <f t="shared" si="233"/>
        <v>24cX17_020-060_07</v>
      </c>
      <c r="D185" s="231">
        <f t="shared" si="178"/>
        <v>17</v>
      </c>
      <c r="E185" s="239">
        <f t="shared" si="204"/>
        <v>2.5690000000000004</v>
      </c>
      <c r="F185" s="232">
        <f t="shared" si="205"/>
        <v>15.111764705882354</v>
      </c>
      <c r="G185" s="232">
        <f t="shared" si="206"/>
        <v>12.089411764705885</v>
      </c>
      <c r="H185" s="232">
        <f t="shared" si="207"/>
        <v>7.5558823529411772</v>
      </c>
      <c r="I185" s="232">
        <f t="shared" si="201"/>
        <v>8</v>
      </c>
      <c r="J185" s="233">
        <f t="shared" si="318"/>
        <v>20</v>
      </c>
      <c r="K185" s="228" t="str">
        <f>D185&amp;-7</f>
        <v>17-7</v>
      </c>
      <c r="L185" s="232">
        <f t="shared" si="319"/>
        <v>0.2</v>
      </c>
      <c r="M185" s="235">
        <v>60</v>
      </c>
      <c r="N185" s="232">
        <f t="shared" ref="N185:O185" si="332">N184</f>
        <v>150</v>
      </c>
      <c r="O185" s="232">
        <f t="shared" si="332"/>
        <v>750</v>
      </c>
      <c r="Q185" s="38">
        <f t="shared" ref="Q185:R185" si="333">Q184</f>
        <v>16</v>
      </c>
      <c r="R185" s="38">
        <f t="shared" si="333"/>
        <v>18</v>
      </c>
      <c r="S185" s="39">
        <f t="shared" si="283"/>
        <v>0.97196872164248893</v>
      </c>
      <c r="T185" s="39">
        <f t="shared" si="284"/>
        <v>0.98915328946183989</v>
      </c>
      <c r="U185" s="39">
        <f t="shared" si="285"/>
        <v>1.718456781935096E-2</v>
      </c>
      <c r="V185" s="39">
        <f t="shared" si="238"/>
        <v>1.948917940643052E-2</v>
      </c>
      <c r="W185" s="40">
        <f t="shared" si="307"/>
        <v>1.948917940643052E-2</v>
      </c>
      <c r="X185" s="40" t="s">
        <v>3710</v>
      </c>
      <c r="Y185" s="217">
        <f t="shared" si="308"/>
        <v>2.3387015287716624</v>
      </c>
      <c r="Z185" s="217">
        <f t="shared" si="309"/>
        <v>0.38978358812861041</v>
      </c>
    </row>
    <row r="186" spans="1:26" x14ac:dyDescent="0.25">
      <c r="A186" s="229">
        <f t="shared" si="239"/>
        <v>3176</v>
      </c>
      <c r="B186" s="230">
        <f t="shared" si="240"/>
        <v>176</v>
      </c>
      <c r="C186" s="229" t="str">
        <f t="shared" si="233"/>
        <v>24cX17_020-090_08</v>
      </c>
      <c r="D186" s="231">
        <f t="shared" si="178"/>
        <v>17</v>
      </c>
      <c r="E186" s="239">
        <f t="shared" si="204"/>
        <v>2.5690000000000004</v>
      </c>
      <c r="F186" s="232">
        <f t="shared" si="205"/>
        <v>15.111764705882354</v>
      </c>
      <c r="G186" s="232">
        <f t="shared" si="206"/>
        <v>12.089411764705885</v>
      </c>
      <c r="H186" s="232">
        <f t="shared" si="207"/>
        <v>7.5558823529411772</v>
      </c>
      <c r="I186" s="232">
        <f t="shared" si="201"/>
        <v>8</v>
      </c>
      <c r="J186" s="233">
        <f t="shared" si="318"/>
        <v>20</v>
      </c>
      <c r="K186" s="228" t="str">
        <f>D186&amp;-8</f>
        <v>17-8</v>
      </c>
      <c r="L186" s="232">
        <f t="shared" si="319"/>
        <v>0.2</v>
      </c>
      <c r="M186" s="235">
        <v>90</v>
      </c>
      <c r="N186" s="232">
        <f t="shared" ref="N186:O186" si="334">N185</f>
        <v>150</v>
      </c>
      <c r="O186" s="232">
        <f t="shared" si="334"/>
        <v>750</v>
      </c>
      <c r="Q186" s="38">
        <f t="shared" ref="Q186:R186" si="335">Q185</f>
        <v>16</v>
      </c>
      <c r="R186" s="38">
        <f t="shared" si="335"/>
        <v>18</v>
      </c>
      <c r="S186" s="39">
        <f t="shared" si="283"/>
        <v>0.97196872164248893</v>
      </c>
      <c r="T186" s="39">
        <f t="shared" si="284"/>
        <v>0.98915328946183989</v>
      </c>
      <c r="U186" s="39">
        <f t="shared" si="285"/>
        <v>1.718456781935096E-2</v>
      </c>
      <c r="V186" s="39">
        <f t="shared" si="238"/>
        <v>1.948917940643052E-2</v>
      </c>
      <c r="W186" s="40">
        <f t="shared" si="307"/>
        <v>1.948917940643052E-2</v>
      </c>
      <c r="X186" s="40" t="s">
        <v>3710</v>
      </c>
      <c r="Y186" s="217">
        <f t="shared" si="308"/>
        <v>2.3387015287716624</v>
      </c>
      <c r="Z186" s="217">
        <f t="shared" si="309"/>
        <v>0.38978358812861041</v>
      </c>
    </row>
    <row r="187" spans="1:26" x14ac:dyDescent="0.25">
      <c r="A187" s="229">
        <f t="shared" si="239"/>
        <v>3177</v>
      </c>
      <c r="B187" s="230">
        <f t="shared" si="240"/>
        <v>177</v>
      </c>
      <c r="C187" s="229" t="str">
        <f t="shared" si="233"/>
        <v>24cX17_020-000_09</v>
      </c>
      <c r="D187" s="231">
        <f t="shared" si="178"/>
        <v>17</v>
      </c>
      <c r="E187" s="239">
        <f t="shared" si="204"/>
        <v>2.5690000000000004</v>
      </c>
      <c r="F187" s="232">
        <f t="shared" si="205"/>
        <v>15.111764705882354</v>
      </c>
      <c r="G187" s="232">
        <f t="shared" si="206"/>
        <v>12.089411764705885</v>
      </c>
      <c r="H187" s="232">
        <f t="shared" si="207"/>
        <v>7.5558823529411772</v>
      </c>
      <c r="I187" s="232">
        <f t="shared" si="201"/>
        <v>8</v>
      </c>
      <c r="J187" s="233">
        <f t="shared" si="318"/>
        <v>20</v>
      </c>
      <c r="K187" s="228" t="str">
        <f>D187&amp;-9</f>
        <v>17-9</v>
      </c>
      <c r="L187" s="232">
        <f t="shared" si="319"/>
        <v>0.2</v>
      </c>
      <c r="M187" s="235">
        <v>0</v>
      </c>
      <c r="N187" s="232">
        <f t="shared" ref="N187:O187" si="336">N186</f>
        <v>150</v>
      </c>
      <c r="O187" s="232">
        <f t="shared" si="336"/>
        <v>750</v>
      </c>
      <c r="Q187" s="38">
        <f t="shared" ref="Q187:R187" si="337">Q186</f>
        <v>16</v>
      </c>
      <c r="R187" s="38">
        <f t="shared" si="337"/>
        <v>18</v>
      </c>
      <c r="S187" s="39">
        <f t="shared" si="283"/>
        <v>0.97196872164248893</v>
      </c>
      <c r="T187" s="39">
        <f t="shared" si="284"/>
        <v>0.98915328946183989</v>
      </c>
      <c r="U187" s="39">
        <f t="shared" si="285"/>
        <v>1.718456781935096E-2</v>
      </c>
      <c r="V187" s="39">
        <f t="shared" si="238"/>
        <v>1.948917940643052E-2</v>
      </c>
      <c r="W187" s="40">
        <f t="shared" si="307"/>
        <v>1.948917940643052E-2</v>
      </c>
      <c r="X187" s="40" t="s">
        <v>3710</v>
      </c>
      <c r="Y187" s="217">
        <f t="shared" si="308"/>
        <v>2.3387015287716624</v>
      </c>
      <c r="Z187" s="217">
        <f t="shared" si="309"/>
        <v>0.38978358812861041</v>
      </c>
    </row>
    <row r="188" spans="1:26" x14ac:dyDescent="0.25">
      <c r="A188" s="229">
        <f t="shared" si="239"/>
        <v>3178</v>
      </c>
      <c r="B188" s="230">
        <f t="shared" si="240"/>
        <v>178</v>
      </c>
      <c r="C188" s="229" t="str">
        <f t="shared" si="233"/>
        <v>24cX17_020-030_10</v>
      </c>
      <c r="D188" s="231">
        <f t="shared" ref="D188:D250" si="338">D187</f>
        <v>17</v>
      </c>
      <c r="E188" s="239">
        <f t="shared" si="204"/>
        <v>2.5690000000000004</v>
      </c>
      <c r="F188" s="232">
        <f t="shared" si="205"/>
        <v>15.111764705882354</v>
      </c>
      <c r="G188" s="232">
        <f t="shared" si="206"/>
        <v>12.089411764705885</v>
      </c>
      <c r="H188" s="232">
        <f t="shared" si="207"/>
        <v>7.5558823529411772</v>
      </c>
      <c r="I188" s="232">
        <f t="shared" si="201"/>
        <v>8</v>
      </c>
      <c r="J188" s="233">
        <f t="shared" si="318"/>
        <v>20</v>
      </c>
      <c r="K188" s="228" t="str">
        <f>D188&amp;-10</f>
        <v>17-10</v>
      </c>
      <c r="L188" s="232">
        <f t="shared" si="319"/>
        <v>0.2</v>
      </c>
      <c r="M188" s="235">
        <v>30</v>
      </c>
      <c r="N188" s="232">
        <f t="shared" ref="N188:O188" si="339">N187</f>
        <v>150</v>
      </c>
      <c r="O188" s="232">
        <f t="shared" si="339"/>
        <v>750</v>
      </c>
      <c r="Q188" s="38">
        <f t="shared" ref="Q188:R188" si="340">Q187</f>
        <v>16</v>
      </c>
      <c r="R188" s="38">
        <f t="shared" si="340"/>
        <v>18</v>
      </c>
      <c r="S188" s="39">
        <f t="shared" si="283"/>
        <v>0.97196872164248893</v>
      </c>
      <c r="T188" s="39">
        <f t="shared" si="284"/>
        <v>0.98915328946183989</v>
      </c>
      <c r="U188" s="39">
        <f t="shared" si="285"/>
        <v>1.718456781935096E-2</v>
      </c>
      <c r="V188" s="39">
        <f t="shared" si="238"/>
        <v>1.948917940643052E-2</v>
      </c>
      <c r="W188" s="40">
        <f t="shared" si="307"/>
        <v>1.948917940643052E-2</v>
      </c>
      <c r="X188" s="40" t="s">
        <v>3710</v>
      </c>
      <c r="Y188" s="217">
        <f t="shared" si="308"/>
        <v>2.3387015287716624</v>
      </c>
      <c r="Z188" s="217">
        <f t="shared" si="309"/>
        <v>0.38978358812861041</v>
      </c>
    </row>
    <row r="189" spans="1:26" x14ac:dyDescent="0.25">
      <c r="A189" s="229">
        <f t="shared" si="239"/>
        <v>3179</v>
      </c>
      <c r="B189" s="230">
        <f t="shared" si="240"/>
        <v>179</v>
      </c>
      <c r="C189" s="229" t="str">
        <f t="shared" si="233"/>
        <v>24cX17_020-060_11</v>
      </c>
      <c r="D189" s="231">
        <f t="shared" si="338"/>
        <v>17</v>
      </c>
      <c r="E189" s="239">
        <f t="shared" si="204"/>
        <v>2.5690000000000004</v>
      </c>
      <c r="F189" s="232">
        <f t="shared" si="205"/>
        <v>15.111764705882354</v>
      </c>
      <c r="G189" s="232">
        <f t="shared" si="206"/>
        <v>12.089411764705885</v>
      </c>
      <c r="H189" s="232">
        <f t="shared" si="207"/>
        <v>7.5558823529411772</v>
      </c>
      <c r="I189" s="232">
        <f t="shared" si="201"/>
        <v>8</v>
      </c>
      <c r="J189" s="233">
        <f t="shared" si="318"/>
        <v>20</v>
      </c>
      <c r="K189" s="228" t="str">
        <f>D189&amp;-11</f>
        <v>17-11</v>
      </c>
      <c r="L189" s="232">
        <f t="shared" si="319"/>
        <v>0.2</v>
      </c>
      <c r="M189" s="235">
        <v>60</v>
      </c>
      <c r="N189" s="232">
        <f t="shared" ref="N189:O189" si="341">N188</f>
        <v>150</v>
      </c>
      <c r="O189" s="232">
        <f t="shared" si="341"/>
        <v>750</v>
      </c>
      <c r="Q189" s="38">
        <f t="shared" ref="Q189:R189" si="342">Q188</f>
        <v>16</v>
      </c>
      <c r="R189" s="38">
        <f t="shared" si="342"/>
        <v>18</v>
      </c>
      <c r="S189" s="39">
        <f t="shared" si="283"/>
        <v>0.97196872164248893</v>
      </c>
      <c r="T189" s="39">
        <f t="shared" si="284"/>
        <v>0.98915328946183989</v>
      </c>
      <c r="U189" s="39">
        <f t="shared" si="285"/>
        <v>1.718456781935096E-2</v>
      </c>
      <c r="V189" s="39">
        <f t="shared" si="238"/>
        <v>1.948917940643052E-2</v>
      </c>
      <c r="W189" s="40">
        <f t="shared" si="307"/>
        <v>1.948917940643052E-2</v>
      </c>
      <c r="X189" s="40" t="s">
        <v>3710</v>
      </c>
      <c r="Y189" s="217">
        <f t="shared" si="308"/>
        <v>2.3387015287716624</v>
      </c>
      <c r="Z189" s="217">
        <f t="shared" si="309"/>
        <v>0.38978358812861041</v>
      </c>
    </row>
    <row r="190" spans="1:26" x14ac:dyDescent="0.25">
      <c r="A190" s="229">
        <f t="shared" si="239"/>
        <v>3180</v>
      </c>
      <c r="B190" s="230">
        <f t="shared" si="240"/>
        <v>180</v>
      </c>
      <c r="C190" s="229" t="str">
        <f t="shared" si="233"/>
        <v>24cX17_020-090_12</v>
      </c>
      <c r="D190" s="231">
        <f t="shared" si="338"/>
        <v>17</v>
      </c>
      <c r="E190" s="239">
        <f t="shared" si="204"/>
        <v>2.5690000000000004</v>
      </c>
      <c r="F190" s="232">
        <f t="shared" si="205"/>
        <v>15.111764705882354</v>
      </c>
      <c r="G190" s="232">
        <f t="shared" si="206"/>
        <v>12.089411764705885</v>
      </c>
      <c r="H190" s="232">
        <f t="shared" si="207"/>
        <v>7.5558823529411772</v>
      </c>
      <c r="I190" s="232">
        <f t="shared" si="201"/>
        <v>8</v>
      </c>
      <c r="J190" s="233">
        <f t="shared" si="318"/>
        <v>20</v>
      </c>
      <c r="K190" s="228" t="str">
        <f>D190&amp;-12</f>
        <v>17-12</v>
      </c>
      <c r="L190" s="232">
        <f t="shared" si="319"/>
        <v>0.2</v>
      </c>
      <c r="M190" s="235">
        <v>90</v>
      </c>
      <c r="N190" s="232">
        <f t="shared" ref="N190:O190" si="343">N189</f>
        <v>150</v>
      </c>
      <c r="O190" s="232">
        <f t="shared" si="343"/>
        <v>750</v>
      </c>
      <c r="Q190" s="38">
        <f t="shared" ref="Q190:R190" si="344">Q189</f>
        <v>16</v>
      </c>
      <c r="R190" s="38">
        <f t="shared" si="344"/>
        <v>18</v>
      </c>
      <c r="S190" s="39">
        <f t="shared" si="283"/>
        <v>0.97196872164248893</v>
      </c>
      <c r="T190" s="39">
        <f t="shared" si="284"/>
        <v>0.98915328946183989</v>
      </c>
      <c r="U190" s="39">
        <f t="shared" si="285"/>
        <v>1.718456781935096E-2</v>
      </c>
      <c r="V190" s="39">
        <f t="shared" si="238"/>
        <v>1.948917940643052E-2</v>
      </c>
      <c r="W190" s="40">
        <f t="shared" si="307"/>
        <v>1.948917940643052E-2</v>
      </c>
      <c r="X190" s="40" t="s">
        <v>3710</v>
      </c>
      <c r="Y190" s="217">
        <f t="shared" si="308"/>
        <v>2.3387015287716624</v>
      </c>
      <c r="Z190" s="217">
        <f t="shared" si="309"/>
        <v>0.38978358812861041</v>
      </c>
    </row>
    <row r="191" spans="1:26" x14ac:dyDescent="0.25">
      <c r="A191" s="229">
        <f t="shared" si="239"/>
        <v>3181</v>
      </c>
      <c r="B191" s="230">
        <f t="shared" si="240"/>
        <v>181</v>
      </c>
      <c r="C191" s="229" t="str">
        <f t="shared" si="233"/>
        <v>24cX17_340-000_01</v>
      </c>
      <c r="D191" s="231">
        <f t="shared" si="338"/>
        <v>17</v>
      </c>
      <c r="E191" s="239">
        <f t="shared" si="204"/>
        <v>2.5690000000000004</v>
      </c>
      <c r="F191" s="232">
        <f t="shared" si="205"/>
        <v>15.111764705882354</v>
      </c>
      <c r="G191" s="232">
        <f t="shared" si="206"/>
        <v>12.089411764705885</v>
      </c>
      <c r="H191" s="232">
        <f t="shared" si="207"/>
        <v>7.5558823529411772</v>
      </c>
      <c r="I191" s="232">
        <f t="shared" si="201"/>
        <v>8</v>
      </c>
      <c r="J191" s="233">
        <f>-J179</f>
        <v>-20</v>
      </c>
      <c r="K191" s="228" t="str">
        <f>D191&amp;-1</f>
        <v>17-1</v>
      </c>
      <c r="L191" s="232">
        <f t="shared" si="319"/>
        <v>0.2</v>
      </c>
      <c r="M191" s="235">
        <v>0</v>
      </c>
      <c r="N191" s="232">
        <f t="shared" ref="N191:O191" si="345">N190</f>
        <v>150</v>
      </c>
      <c r="O191" s="232">
        <f t="shared" si="345"/>
        <v>750</v>
      </c>
      <c r="Q191" s="38">
        <f t="shared" ref="Q191:Q192" si="346">Q190</f>
        <v>16</v>
      </c>
      <c r="R191" s="38">
        <f>Q191+v_step</f>
        <v>18</v>
      </c>
      <c r="S191" s="39">
        <f t="shared" si="283"/>
        <v>0.97196872164248893</v>
      </c>
      <c r="T191" s="39">
        <f t="shared" si="284"/>
        <v>0.98915328946183989</v>
      </c>
      <c r="U191" s="39">
        <f t="shared" si="285"/>
        <v>1.718456781935096E-2</v>
      </c>
      <c r="V191" s="39">
        <f t="shared" si="238"/>
        <v>1.948917940643052E-2</v>
      </c>
      <c r="W191" s="40">
        <f t="shared" si="307"/>
        <v>1.948917940643052E-2</v>
      </c>
      <c r="X191" s="40" t="s">
        <v>3710</v>
      </c>
      <c r="Y191" s="217">
        <f t="shared" si="308"/>
        <v>2.3387015287716624</v>
      </c>
      <c r="Z191" s="217">
        <f t="shared" si="309"/>
        <v>0.38978358812861041</v>
      </c>
    </row>
    <row r="192" spans="1:26" x14ac:dyDescent="0.25">
      <c r="A192" s="229">
        <f t="shared" si="239"/>
        <v>3182</v>
      </c>
      <c r="B192" s="230">
        <f t="shared" si="240"/>
        <v>182</v>
      </c>
      <c r="C192" s="229" t="str">
        <f t="shared" si="233"/>
        <v>24cX17_340-030_02</v>
      </c>
      <c r="D192" s="231">
        <f t="shared" si="338"/>
        <v>17</v>
      </c>
      <c r="E192" s="239">
        <f t="shared" si="204"/>
        <v>2.5690000000000004</v>
      </c>
      <c r="F192" s="232">
        <f t="shared" si="205"/>
        <v>15.111764705882354</v>
      </c>
      <c r="G192" s="232">
        <f t="shared" si="206"/>
        <v>12.089411764705885</v>
      </c>
      <c r="H192" s="232">
        <f t="shared" si="207"/>
        <v>7.5558823529411772</v>
      </c>
      <c r="I192" s="232">
        <f t="shared" si="201"/>
        <v>8</v>
      </c>
      <c r="J192" s="233">
        <f t="shared" ref="J192:J202" si="347">J191</f>
        <v>-20</v>
      </c>
      <c r="K192" s="228" t="str">
        <f>D192&amp;-2</f>
        <v>17-2</v>
      </c>
      <c r="L192" s="232">
        <f t="shared" si="319"/>
        <v>0.2</v>
      </c>
      <c r="M192" s="235">
        <v>30</v>
      </c>
      <c r="N192" s="232">
        <f t="shared" ref="N192:O192" si="348">N191</f>
        <v>150</v>
      </c>
      <c r="O192" s="232">
        <f t="shared" si="348"/>
        <v>750</v>
      </c>
      <c r="Q192" s="38">
        <f t="shared" si="346"/>
        <v>16</v>
      </c>
      <c r="R192" s="38">
        <f t="shared" ref="R192" si="349">R191</f>
        <v>18</v>
      </c>
      <c r="S192" s="39">
        <f t="shared" si="283"/>
        <v>0.97196872164248893</v>
      </c>
      <c r="T192" s="39">
        <f t="shared" si="284"/>
        <v>0.98915328946183989</v>
      </c>
      <c r="U192" s="39">
        <f t="shared" si="285"/>
        <v>1.718456781935096E-2</v>
      </c>
      <c r="V192" s="39">
        <f t="shared" si="238"/>
        <v>1.948917940643052E-2</v>
      </c>
      <c r="W192" s="40">
        <f t="shared" si="307"/>
        <v>1.948917940643052E-2</v>
      </c>
      <c r="X192" s="40" t="s">
        <v>3710</v>
      </c>
      <c r="Y192" s="217">
        <f t="shared" si="308"/>
        <v>2.3387015287716624</v>
      </c>
      <c r="Z192" s="217">
        <f t="shared" si="309"/>
        <v>0.38978358812861041</v>
      </c>
    </row>
    <row r="193" spans="1:26" x14ac:dyDescent="0.25">
      <c r="A193" s="229">
        <f t="shared" si="239"/>
        <v>3183</v>
      </c>
      <c r="B193" s="230">
        <f t="shared" si="240"/>
        <v>183</v>
      </c>
      <c r="C193" s="229" t="str">
        <f t="shared" si="233"/>
        <v>24cX17_340-060_03</v>
      </c>
      <c r="D193" s="231">
        <f t="shared" si="338"/>
        <v>17</v>
      </c>
      <c r="E193" s="239">
        <f t="shared" si="204"/>
        <v>2.5690000000000004</v>
      </c>
      <c r="F193" s="232">
        <f t="shared" si="205"/>
        <v>15.111764705882354</v>
      </c>
      <c r="G193" s="232">
        <f t="shared" si="206"/>
        <v>12.089411764705885</v>
      </c>
      <c r="H193" s="232">
        <f t="shared" si="207"/>
        <v>7.5558823529411772</v>
      </c>
      <c r="I193" s="232">
        <f t="shared" si="201"/>
        <v>8</v>
      </c>
      <c r="J193" s="233">
        <f t="shared" si="347"/>
        <v>-20</v>
      </c>
      <c r="K193" s="228" t="str">
        <f>D193&amp;-3</f>
        <v>17-3</v>
      </c>
      <c r="L193" s="232">
        <f t="shared" si="319"/>
        <v>0.2</v>
      </c>
      <c r="M193" s="235">
        <v>60</v>
      </c>
      <c r="N193" s="232">
        <f t="shared" ref="N193:O193" si="350">N192</f>
        <v>150</v>
      </c>
      <c r="O193" s="232">
        <f t="shared" si="350"/>
        <v>750</v>
      </c>
      <c r="Q193" s="38">
        <f t="shared" ref="Q193:R193" si="351">Q192</f>
        <v>16</v>
      </c>
      <c r="R193" s="38">
        <f t="shared" si="351"/>
        <v>18</v>
      </c>
      <c r="S193" s="39">
        <f t="shared" si="283"/>
        <v>0.97196872164248893</v>
      </c>
      <c r="T193" s="39">
        <f t="shared" si="284"/>
        <v>0.98915328946183989</v>
      </c>
      <c r="U193" s="39">
        <f t="shared" si="285"/>
        <v>1.718456781935096E-2</v>
      </c>
      <c r="V193" s="39">
        <f t="shared" si="238"/>
        <v>1.948917940643052E-2</v>
      </c>
      <c r="W193" s="40">
        <f t="shared" si="307"/>
        <v>1.948917940643052E-2</v>
      </c>
      <c r="X193" s="40" t="s">
        <v>3710</v>
      </c>
      <c r="Y193" s="217">
        <f t="shared" si="308"/>
        <v>2.3387015287716624</v>
      </c>
      <c r="Z193" s="217">
        <f t="shared" si="309"/>
        <v>0.38978358812861041</v>
      </c>
    </row>
    <row r="194" spans="1:26" x14ac:dyDescent="0.25">
      <c r="A194" s="229">
        <f t="shared" si="239"/>
        <v>3184</v>
      </c>
      <c r="B194" s="230">
        <f t="shared" si="240"/>
        <v>184</v>
      </c>
      <c r="C194" s="229" t="str">
        <f t="shared" si="233"/>
        <v>24cX17_340-090_04</v>
      </c>
      <c r="D194" s="231">
        <f t="shared" si="338"/>
        <v>17</v>
      </c>
      <c r="E194" s="239">
        <f t="shared" si="204"/>
        <v>2.5690000000000004</v>
      </c>
      <c r="F194" s="232">
        <f t="shared" si="205"/>
        <v>15.111764705882354</v>
      </c>
      <c r="G194" s="232">
        <f t="shared" si="206"/>
        <v>12.089411764705885</v>
      </c>
      <c r="H194" s="232">
        <f t="shared" si="207"/>
        <v>7.5558823529411772</v>
      </c>
      <c r="I194" s="232">
        <f t="shared" si="201"/>
        <v>8</v>
      </c>
      <c r="J194" s="233">
        <f t="shared" si="347"/>
        <v>-20</v>
      </c>
      <c r="K194" s="228" t="str">
        <f>D194&amp;-4</f>
        <v>17-4</v>
      </c>
      <c r="L194" s="232">
        <f t="shared" si="319"/>
        <v>0.2</v>
      </c>
      <c r="M194" s="235">
        <v>90</v>
      </c>
      <c r="N194" s="232">
        <f t="shared" ref="N194:O194" si="352">N193</f>
        <v>150</v>
      </c>
      <c r="O194" s="232">
        <f t="shared" si="352"/>
        <v>750</v>
      </c>
      <c r="Q194" s="38">
        <f t="shared" ref="Q194:R194" si="353">Q193</f>
        <v>16</v>
      </c>
      <c r="R194" s="38">
        <f t="shared" si="353"/>
        <v>18</v>
      </c>
      <c r="S194" s="39">
        <f t="shared" si="283"/>
        <v>0.97196872164248893</v>
      </c>
      <c r="T194" s="39">
        <f t="shared" si="284"/>
        <v>0.98915328946183989</v>
      </c>
      <c r="U194" s="39">
        <f t="shared" si="285"/>
        <v>1.718456781935096E-2</v>
      </c>
      <c r="V194" s="39">
        <f t="shared" si="238"/>
        <v>1.948917940643052E-2</v>
      </c>
      <c r="W194" s="40">
        <f t="shared" si="307"/>
        <v>1.948917940643052E-2</v>
      </c>
      <c r="X194" s="40" t="s">
        <v>3710</v>
      </c>
      <c r="Y194" s="217">
        <f t="shared" si="308"/>
        <v>2.3387015287716624</v>
      </c>
      <c r="Z194" s="217">
        <f t="shared" si="309"/>
        <v>0.38978358812861041</v>
      </c>
    </row>
    <row r="195" spans="1:26" x14ac:dyDescent="0.25">
      <c r="A195" s="229">
        <f t="shared" si="239"/>
        <v>3185</v>
      </c>
      <c r="B195" s="230">
        <f t="shared" si="240"/>
        <v>185</v>
      </c>
      <c r="C195" s="229" t="str">
        <f t="shared" si="233"/>
        <v>24cX17_340-000_05</v>
      </c>
      <c r="D195" s="231">
        <f t="shared" si="338"/>
        <v>17</v>
      </c>
      <c r="E195" s="239">
        <f t="shared" si="204"/>
        <v>2.5690000000000004</v>
      </c>
      <c r="F195" s="232">
        <f t="shared" si="205"/>
        <v>15.111764705882354</v>
      </c>
      <c r="G195" s="232">
        <f t="shared" si="206"/>
        <v>12.089411764705885</v>
      </c>
      <c r="H195" s="232">
        <f t="shared" si="207"/>
        <v>7.5558823529411772</v>
      </c>
      <c r="I195" s="232">
        <f t="shared" ref="I195:J255" si="354">I194</f>
        <v>8</v>
      </c>
      <c r="J195" s="233">
        <f t="shared" si="347"/>
        <v>-20</v>
      </c>
      <c r="K195" s="228" t="str">
        <f>D195&amp;-5</f>
        <v>17-5</v>
      </c>
      <c r="L195" s="232">
        <f t="shared" si="319"/>
        <v>0.2</v>
      </c>
      <c r="M195" s="235">
        <v>0</v>
      </c>
      <c r="N195" s="232">
        <f t="shared" ref="N195:O195" si="355">N194</f>
        <v>150</v>
      </c>
      <c r="O195" s="232">
        <f t="shared" si="355"/>
        <v>750</v>
      </c>
      <c r="Q195" s="38">
        <f t="shared" ref="Q195:R195" si="356">Q194</f>
        <v>16</v>
      </c>
      <c r="R195" s="38">
        <f t="shared" si="356"/>
        <v>18</v>
      </c>
      <c r="S195" s="39">
        <f t="shared" si="283"/>
        <v>0.97196872164248893</v>
      </c>
      <c r="T195" s="39">
        <f t="shared" si="284"/>
        <v>0.98915328946183989</v>
      </c>
      <c r="U195" s="39">
        <f t="shared" si="285"/>
        <v>1.718456781935096E-2</v>
      </c>
      <c r="V195" s="39">
        <f t="shared" si="238"/>
        <v>1.948917940643052E-2</v>
      </c>
      <c r="W195" s="40">
        <f t="shared" si="307"/>
        <v>1.948917940643052E-2</v>
      </c>
      <c r="X195" s="40" t="s">
        <v>3710</v>
      </c>
      <c r="Y195" s="217">
        <f t="shared" si="308"/>
        <v>2.3387015287716624</v>
      </c>
      <c r="Z195" s="217">
        <f t="shared" si="309"/>
        <v>0.38978358812861041</v>
      </c>
    </row>
    <row r="196" spans="1:26" x14ac:dyDescent="0.25">
      <c r="A196" s="229">
        <f t="shared" si="239"/>
        <v>3186</v>
      </c>
      <c r="B196" s="230">
        <f t="shared" si="240"/>
        <v>186</v>
      </c>
      <c r="C196" s="229" t="str">
        <f t="shared" si="233"/>
        <v>24cX17_340-030_06</v>
      </c>
      <c r="D196" s="231">
        <f t="shared" si="338"/>
        <v>17</v>
      </c>
      <c r="E196" s="239">
        <f t="shared" ref="E196:E259" si="357">I_ref*(0.75*D196+5.6)</f>
        <v>2.5690000000000004</v>
      </c>
      <c r="F196" s="232">
        <f t="shared" ref="F196:F259" si="358">E196/D196*100</f>
        <v>15.111764705882354</v>
      </c>
      <c r="G196" s="232">
        <f t="shared" ref="G196:G259" si="359">m_ty*F196</f>
        <v>12.089411764705885</v>
      </c>
      <c r="H196" s="232">
        <f t="shared" ref="H196:H259" si="360">m_tz*F196</f>
        <v>7.5558823529411772</v>
      </c>
      <c r="I196" s="232">
        <f t="shared" si="354"/>
        <v>8</v>
      </c>
      <c r="J196" s="233">
        <f t="shared" si="347"/>
        <v>-20</v>
      </c>
      <c r="K196" s="228" t="str">
        <f>D196&amp;-6</f>
        <v>17-6</v>
      </c>
      <c r="L196" s="232">
        <f t="shared" si="319"/>
        <v>0.2</v>
      </c>
      <c r="M196" s="235">
        <v>30</v>
      </c>
      <c r="N196" s="232">
        <f t="shared" ref="N196:O196" si="361">N195</f>
        <v>150</v>
      </c>
      <c r="O196" s="232">
        <f t="shared" si="361"/>
        <v>750</v>
      </c>
      <c r="Q196" s="38">
        <f t="shared" ref="Q196:R196" si="362">Q195</f>
        <v>16</v>
      </c>
      <c r="R196" s="38">
        <f t="shared" si="362"/>
        <v>18</v>
      </c>
      <c r="S196" s="39">
        <f t="shared" si="283"/>
        <v>0.97196872164248893</v>
      </c>
      <c r="T196" s="39">
        <f t="shared" si="284"/>
        <v>0.98915328946183989</v>
      </c>
      <c r="U196" s="39">
        <f t="shared" si="285"/>
        <v>1.718456781935096E-2</v>
      </c>
      <c r="V196" s="39">
        <f t="shared" si="238"/>
        <v>1.948917940643052E-2</v>
      </c>
      <c r="W196" s="40">
        <f t="shared" si="307"/>
        <v>1.948917940643052E-2</v>
      </c>
      <c r="X196" s="40" t="s">
        <v>3710</v>
      </c>
      <c r="Y196" s="217">
        <f t="shared" si="308"/>
        <v>2.3387015287716624</v>
      </c>
      <c r="Z196" s="217">
        <f t="shared" si="309"/>
        <v>0.38978358812861041</v>
      </c>
    </row>
    <row r="197" spans="1:26" x14ac:dyDescent="0.25">
      <c r="A197" s="229">
        <f t="shared" si="239"/>
        <v>3187</v>
      </c>
      <c r="B197" s="230">
        <f t="shared" si="240"/>
        <v>187</v>
      </c>
      <c r="C197" s="229" t="str">
        <f t="shared" si="233"/>
        <v>24cX17_340-060_07</v>
      </c>
      <c r="D197" s="231">
        <f t="shared" si="338"/>
        <v>17</v>
      </c>
      <c r="E197" s="239">
        <f t="shared" si="357"/>
        <v>2.5690000000000004</v>
      </c>
      <c r="F197" s="232">
        <f t="shared" si="358"/>
        <v>15.111764705882354</v>
      </c>
      <c r="G197" s="232">
        <f t="shared" si="359"/>
        <v>12.089411764705885</v>
      </c>
      <c r="H197" s="232">
        <f t="shared" si="360"/>
        <v>7.5558823529411772</v>
      </c>
      <c r="I197" s="232">
        <f t="shared" si="354"/>
        <v>8</v>
      </c>
      <c r="J197" s="233">
        <f t="shared" si="347"/>
        <v>-20</v>
      </c>
      <c r="K197" s="228" t="str">
        <f>D197&amp;-7</f>
        <v>17-7</v>
      </c>
      <c r="L197" s="232">
        <f t="shared" si="319"/>
        <v>0.2</v>
      </c>
      <c r="M197" s="235">
        <v>60</v>
      </c>
      <c r="N197" s="232">
        <f t="shared" ref="N197:O197" si="363">N196</f>
        <v>150</v>
      </c>
      <c r="O197" s="232">
        <f t="shared" si="363"/>
        <v>750</v>
      </c>
      <c r="Q197" s="38">
        <f t="shared" ref="Q197:R197" si="364">Q196</f>
        <v>16</v>
      </c>
      <c r="R197" s="38">
        <f t="shared" si="364"/>
        <v>18</v>
      </c>
      <c r="S197" s="39">
        <f t="shared" si="283"/>
        <v>0.97196872164248893</v>
      </c>
      <c r="T197" s="39">
        <f t="shared" si="284"/>
        <v>0.98915328946183989</v>
      </c>
      <c r="U197" s="39">
        <f t="shared" si="285"/>
        <v>1.718456781935096E-2</v>
      </c>
      <c r="V197" s="39">
        <f t="shared" si="238"/>
        <v>1.948917940643052E-2</v>
      </c>
      <c r="W197" s="40">
        <f t="shared" si="307"/>
        <v>1.948917940643052E-2</v>
      </c>
      <c r="X197" s="40" t="s">
        <v>3710</v>
      </c>
      <c r="Y197" s="217">
        <f t="shared" si="308"/>
        <v>2.3387015287716624</v>
      </c>
      <c r="Z197" s="217">
        <f t="shared" si="309"/>
        <v>0.38978358812861041</v>
      </c>
    </row>
    <row r="198" spans="1:26" x14ac:dyDescent="0.25">
      <c r="A198" s="229">
        <f t="shared" si="239"/>
        <v>3188</v>
      </c>
      <c r="B198" s="230">
        <f t="shared" si="240"/>
        <v>188</v>
      </c>
      <c r="C198" s="229" t="str">
        <f t="shared" si="233"/>
        <v>24cX17_340-090_08</v>
      </c>
      <c r="D198" s="231">
        <f t="shared" si="338"/>
        <v>17</v>
      </c>
      <c r="E198" s="239">
        <f t="shared" si="357"/>
        <v>2.5690000000000004</v>
      </c>
      <c r="F198" s="232">
        <f t="shared" si="358"/>
        <v>15.111764705882354</v>
      </c>
      <c r="G198" s="232">
        <f t="shared" si="359"/>
        <v>12.089411764705885</v>
      </c>
      <c r="H198" s="232">
        <f t="shared" si="360"/>
        <v>7.5558823529411772</v>
      </c>
      <c r="I198" s="232">
        <f t="shared" si="354"/>
        <v>8</v>
      </c>
      <c r="J198" s="233">
        <f t="shared" si="347"/>
        <v>-20</v>
      </c>
      <c r="K198" s="228" t="str">
        <f>D198&amp;-8</f>
        <v>17-8</v>
      </c>
      <c r="L198" s="232">
        <f t="shared" si="319"/>
        <v>0.2</v>
      </c>
      <c r="M198" s="235">
        <v>90</v>
      </c>
      <c r="N198" s="232">
        <f t="shared" ref="N198:O198" si="365">N197</f>
        <v>150</v>
      </c>
      <c r="O198" s="232">
        <f t="shared" si="365"/>
        <v>750</v>
      </c>
      <c r="Q198" s="38">
        <f t="shared" ref="Q198:R198" si="366">Q197</f>
        <v>16</v>
      </c>
      <c r="R198" s="38">
        <f t="shared" si="366"/>
        <v>18</v>
      </c>
      <c r="S198" s="39">
        <f t="shared" si="283"/>
        <v>0.97196872164248893</v>
      </c>
      <c r="T198" s="39">
        <f t="shared" si="284"/>
        <v>0.98915328946183989</v>
      </c>
      <c r="U198" s="39">
        <f t="shared" si="285"/>
        <v>1.718456781935096E-2</v>
      </c>
      <c r="V198" s="39">
        <f t="shared" si="238"/>
        <v>1.948917940643052E-2</v>
      </c>
      <c r="W198" s="40">
        <f t="shared" si="307"/>
        <v>1.948917940643052E-2</v>
      </c>
      <c r="X198" s="40" t="s">
        <v>3710</v>
      </c>
      <c r="Y198" s="217">
        <f t="shared" si="308"/>
        <v>2.3387015287716624</v>
      </c>
      <c r="Z198" s="217">
        <f t="shared" si="309"/>
        <v>0.38978358812861041</v>
      </c>
    </row>
    <row r="199" spans="1:26" x14ac:dyDescent="0.25">
      <c r="A199" s="229">
        <f t="shared" si="239"/>
        <v>3189</v>
      </c>
      <c r="B199" s="230">
        <f t="shared" si="240"/>
        <v>189</v>
      </c>
      <c r="C199" s="229" t="str">
        <f t="shared" si="233"/>
        <v>24cX17_340-000_09</v>
      </c>
      <c r="D199" s="231">
        <f t="shared" si="338"/>
        <v>17</v>
      </c>
      <c r="E199" s="239">
        <f t="shared" si="357"/>
        <v>2.5690000000000004</v>
      </c>
      <c r="F199" s="232">
        <f t="shared" si="358"/>
        <v>15.111764705882354</v>
      </c>
      <c r="G199" s="232">
        <f t="shared" si="359"/>
        <v>12.089411764705885</v>
      </c>
      <c r="H199" s="232">
        <f t="shared" si="360"/>
        <v>7.5558823529411772</v>
      </c>
      <c r="I199" s="232">
        <f t="shared" si="354"/>
        <v>8</v>
      </c>
      <c r="J199" s="233">
        <f t="shared" si="347"/>
        <v>-20</v>
      </c>
      <c r="K199" s="228" t="str">
        <f>D199&amp;-9</f>
        <v>17-9</v>
      </c>
      <c r="L199" s="232">
        <f t="shared" si="319"/>
        <v>0.2</v>
      </c>
      <c r="M199" s="235">
        <v>0</v>
      </c>
      <c r="N199" s="232">
        <f t="shared" ref="N199:O199" si="367">N198</f>
        <v>150</v>
      </c>
      <c r="O199" s="232">
        <f t="shared" si="367"/>
        <v>750</v>
      </c>
      <c r="Q199" s="38">
        <f t="shared" ref="Q199:R199" si="368">Q198</f>
        <v>16</v>
      </c>
      <c r="R199" s="38">
        <f t="shared" si="368"/>
        <v>18</v>
      </c>
      <c r="S199" s="39">
        <f t="shared" si="283"/>
        <v>0.97196872164248893</v>
      </c>
      <c r="T199" s="39">
        <f t="shared" si="284"/>
        <v>0.98915328946183989</v>
      </c>
      <c r="U199" s="39">
        <f t="shared" si="285"/>
        <v>1.718456781935096E-2</v>
      </c>
      <c r="V199" s="39">
        <f t="shared" si="238"/>
        <v>1.948917940643052E-2</v>
      </c>
      <c r="W199" s="40">
        <f t="shared" si="307"/>
        <v>1.948917940643052E-2</v>
      </c>
      <c r="X199" s="40" t="s">
        <v>3710</v>
      </c>
      <c r="Y199" s="217">
        <f t="shared" si="308"/>
        <v>2.3387015287716624</v>
      </c>
      <c r="Z199" s="217">
        <f t="shared" si="309"/>
        <v>0.38978358812861041</v>
      </c>
    </row>
    <row r="200" spans="1:26" x14ac:dyDescent="0.25">
      <c r="A200" s="229">
        <f t="shared" si="239"/>
        <v>3190</v>
      </c>
      <c r="B200" s="230">
        <f t="shared" si="240"/>
        <v>190</v>
      </c>
      <c r="C200" s="229" t="str">
        <f t="shared" si="233"/>
        <v>24cX17_340-030_10</v>
      </c>
      <c r="D200" s="231">
        <f t="shared" si="338"/>
        <v>17</v>
      </c>
      <c r="E200" s="239">
        <f t="shared" si="357"/>
        <v>2.5690000000000004</v>
      </c>
      <c r="F200" s="232">
        <f t="shared" si="358"/>
        <v>15.111764705882354</v>
      </c>
      <c r="G200" s="232">
        <f t="shared" si="359"/>
        <v>12.089411764705885</v>
      </c>
      <c r="H200" s="232">
        <f t="shared" si="360"/>
        <v>7.5558823529411772</v>
      </c>
      <c r="I200" s="232">
        <f t="shared" si="354"/>
        <v>8</v>
      </c>
      <c r="J200" s="233">
        <f t="shared" si="347"/>
        <v>-20</v>
      </c>
      <c r="K200" s="228" t="str">
        <f>D200&amp;-10</f>
        <v>17-10</v>
      </c>
      <c r="L200" s="232">
        <f t="shared" si="319"/>
        <v>0.2</v>
      </c>
      <c r="M200" s="235">
        <v>30</v>
      </c>
      <c r="N200" s="232">
        <f t="shared" ref="N200:O200" si="369">N199</f>
        <v>150</v>
      </c>
      <c r="O200" s="232">
        <f t="shared" si="369"/>
        <v>750</v>
      </c>
      <c r="Q200" s="38">
        <f t="shared" ref="Q200:R200" si="370">Q199</f>
        <v>16</v>
      </c>
      <c r="R200" s="38">
        <f t="shared" si="370"/>
        <v>18</v>
      </c>
      <c r="S200" s="39">
        <f t="shared" si="283"/>
        <v>0.97196872164248893</v>
      </c>
      <c r="T200" s="39">
        <f t="shared" si="284"/>
        <v>0.98915328946183989</v>
      </c>
      <c r="U200" s="39">
        <f t="shared" si="285"/>
        <v>1.718456781935096E-2</v>
      </c>
      <c r="V200" s="39">
        <f t="shared" si="238"/>
        <v>1.948917940643052E-2</v>
      </c>
      <c r="W200" s="40">
        <f t="shared" si="307"/>
        <v>1.948917940643052E-2</v>
      </c>
      <c r="X200" s="40" t="s">
        <v>3710</v>
      </c>
      <c r="Y200" s="217">
        <f t="shared" si="308"/>
        <v>2.3387015287716624</v>
      </c>
      <c r="Z200" s="217">
        <f t="shared" si="309"/>
        <v>0.38978358812861041</v>
      </c>
    </row>
    <row r="201" spans="1:26" x14ac:dyDescent="0.25">
      <c r="A201" s="229">
        <f t="shared" si="239"/>
        <v>3191</v>
      </c>
      <c r="B201" s="230">
        <f t="shared" si="240"/>
        <v>191</v>
      </c>
      <c r="C201" s="229" t="str">
        <f t="shared" si="233"/>
        <v>24cX17_340-060_11</v>
      </c>
      <c r="D201" s="231">
        <f t="shared" si="338"/>
        <v>17</v>
      </c>
      <c r="E201" s="239">
        <f t="shared" si="357"/>
        <v>2.5690000000000004</v>
      </c>
      <c r="F201" s="232">
        <f t="shared" si="358"/>
        <v>15.111764705882354</v>
      </c>
      <c r="G201" s="232">
        <f t="shared" si="359"/>
        <v>12.089411764705885</v>
      </c>
      <c r="H201" s="232">
        <f t="shared" si="360"/>
        <v>7.5558823529411772</v>
      </c>
      <c r="I201" s="232">
        <f t="shared" si="354"/>
        <v>8</v>
      </c>
      <c r="J201" s="233">
        <f t="shared" si="347"/>
        <v>-20</v>
      </c>
      <c r="K201" s="228" t="str">
        <f>D201&amp;-11</f>
        <v>17-11</v>
      </c>
      <c r="L201" s="232">
        <f t="shared" si="319"/>
        <v>0.2</v>
      </c>
      <c r="M201" s="235">
        <v>60</v>
      </c>
      <c r="N201" s="232">
        <f t="shared" ref="N201:O201" si="371">N200</f>
        <v>150</v>
      </c>
      <c r="O201" s="232">
        <f t="shared" si="371"/>
        <v>750</v>
      </c>
      <c r="Q201" s="38">
        <f t="shared" ref="Q201:R201" si="372">Q200</f>
        <v>16</v>
      </c>
      <c r="R201" s="38">
        <f t="shared" si="372"/>
        <v>18</v>
      </c>
      <c r="S201" s="39">
        <f t="shared" si="283"/>
        <v>0.97196872164248893</v>
      </c>
      <c r="T201" s="39">
        <f t="shared" si="284"/>
        <v>0.98915328946183989</v>
      </c>
      <c r="U201" s="39">
        <f t="shared" si="285"/>
        <v>1.718456781935096E-2</v>
      </c>
      <c r="V201" s="39">
        <f t="shared" si="238"/>
        <v>1.948917940643052E-2</v>
      </c>
      <c r="W201" s="40">
        <f t="shared" si="307"/>
        <v>1.948917940643052E-2</v>
      </c>
      <c r="X201" s="40" t="s">
        <v>3710</v>
      </c>
      <c r="Y201" s="217">
        <f t="shared" si="308"/>
        <v>2.3387015287716624</v>
      </c>
      <c r="Z201" s="217">
        <f t="shared" si="309"/>
        <v>0.38978358812861041</v>
      </c>
    </row>
    <row r="202" spans="1:26" x14ac:dyDescent="0.25">
      <c r="A202" s="229">
        <f t="shared" si="239"/>
        <v>3192</v>
      </c>
      <c r="B202" s="230">
        <f t="shared" si="240"/>
        <v>192</v>
      </c>
      <c r="C202" s="229" t="str">
        <f t="shared" si="233"/>
        <v>24cX17_340-090_12</v>
      </c>
      <c r="D202" s="231">
        <f t="shared" si="338"/>
        <v>17</v>
      </c>
      <c r="E202" s="239">
        <f t="shared" si="357"/>
        <v>2.5690000000000004</v>
      </c>
      <c r="F202" s="232">
        <f t="shared" si="358"/>
        <v>15.111764705882354</v>
      </c>
      <c r="G202" s="232">
        <f t="shared" si="359"/>
        <v>12.089411764705885</v>
      </c>
      <c r="H202" s="232">
        <f t="shared" si="360"/>
        <v>7.5558823529411772</v>
      </c>
      <c r="I202" s="232">
        <f t="shared" si="354"/>
        <v>8</v>
      </c>
      <c r="J202" s="233">
        <f t="shared" si="347"/>
        <v>-20</v>
      </c>
      <c r="K202" s="228" t="str">
        <f>D202&amp;-12</f>
        <v>17-12</v>
      </c>
      <c r="L202" s="232">
        <f t="shared" si="319"/>
        <v>0.2</v>
      </c>
      <c r="M202" s="235">
        <v>90</v>
      </c>
      <c r="N202" s="232">
        <f t="shared" ref="N202:O202" si="373">N201</f>
        <v>150</v>
      </c>
      <c r="O202" s="232">
        <f t="shared" si="373"/>
        <v>750</v>
      </c>
      <c r="Q202" s="38">
        <f t="shared" ref="Q202:R202" si="374">Q201</f>
        <v>16</v>
      </c>
      <c r="R202" s="38">
        <f t="shared" si="374"/>
        <v>18</v>
      </c>
      <c r="S202" s="39">
        <f t="shared" si="283"/>
        <v>0.97196872164248893</v>
      </c>
      <c r="T202" s="39">
        <f t="shared" si="284"/>
        <v>0.98915328946183989</v>
      </c>
      <c r="U202" s="39">
        <f t="shared" si="285"/>
        <v>1.718456781935096E-2</v>
      </c>
      <c r="V202" s="39">
        <f t="shared" si="238"/>
        <v>1.948917940643052E-2</v>
      </c>
      <c r="W202" s="40">
        <f t="shared" si="307"/>
        <v>1.948917940643052E-2</v>
      </c>
      <c r="X202" s="40" t="s">
        <v>3710</v>
      </c>
      <c r="Y202" s="217">
        <f t="shared" si="308"/>
        <v>2.3387015287716624</v>
      </c>
      <c r="Z202" s="217">
        <f t="shared" si="309"/>
        <v>0.38978358812861041</v>
      </c>
    </row>
    <row r="203" spans="1:26" x14ac:dyDescent="0.25">
      <c r="A203" s="229">
        <f t="shared" si="239"/>
        <v>3193</v>
      </c>
      <c r="B203" s="230">
        <f t="shared" si="240"/>
        <v>193</v>
      </c>
      <c r="C203" s="229" t="str">
        <f t="shared" si="233"/>
        <v>24cX19_020-000_01</v>
      </c>
      <c r="D203" s="231">
        <f t="shared" ref="D203:D251" si="375">D202+2</f>
        <v>19</v>
      </c>
      <c r="E203" s="239">
        <f t="shared" si="357"/>
        <v>2.7790000000000004</v>
      </c>
      <c r="F203" s="232">
        <f t="shared" si="358"/>
        <v>14.626315789473686</v>
      </c>
      <c r="G203" s="232">
        <f t="shared" si="359"/>
        <v>11.70105263157895</v>
      </c>
      <c r="H203" s="232">
        <f t="shared" si="360"/>
        <v>7.3131578947368432</v>
      </c>
      <c r="I203" s="232">
        <f t="shared" si="354"/>
        <v>8</v>
      </c>
      <c r="J203" s="233">
        <v>20</v>
      </c>
      <c r="K203" s="228" t="str">
        <f>D203&amp;-1</f>
        <v>19-1</v>
      </c>
      <c r="L203" s="232">
        <f>alpha_n</f>
        <v>0.2</v>
      </c>
      <c r="M203" s="235">
        <v>0</v>
      </c>
      <c r="N203" s="232">
        <f>t_out</f>
        <v>150</v>
      </c>
      <c r="O203" s="232">
        <f>N203+T_s1</f>
        <v>750</v>
      </c>
      <c r="Q203" s="38">
        <f t="shared" ref="Q203:Q251" si="376">R202</f>
        <v>18</v>
      </c>
      <c r="R203" s="38">
        <f>Q203+v_step</f>
        <v>20</v>
      </c>
      <c r="S203" s="39">
        <f t="shared" si="283"/>
        <v>0.98915328946183989</v>
      </c>
      <c r="T203" s="39">
        <f t="shared" si="284"/>
        <v>0.99624645144977986</v>
      </c>
      <c r="U203" s="39">
        <f t="shared" si="285"/>
        <v>7.0931619879399666E-3</v>
      </c>
      <c r="V203" s="39">
        <f t="shared" si="238"/>
        <v>8.0444214829870839E-3</v>
      </c>
      <c r="W203" s="40">
        <f t="shared" si="307"/>
        <v>8.0444214829870839E-3</v>
      </c>
      <c r="X203" s="40" t="s">
        <v>3710</v>
      </c>
      <c r="Y203" s="217">
        <f t="shared" si="308"/>
        <v>0.96533057795845001</v>
      </c>
      <c r="Z203" s="217">
        <f t="shared" si="309"/>
        <v>0.16088842965974168</v>
      </c>
    </row>
    <row r="204" spans="1:26" x14ac:dyDescent="0.25">
      <c r="A204" s="229">
        <f t="shared" si="239"/>
        <v>3194</v>
      </c>
      <c r="B204" s="230">
        <f t="shared" si="240"/>
        <v>194</v>
      </c>
      <c r="C204" s="229" t="str">
        <f t="shared" ref="C204:C267" si="377">TEXT(RIGHT($B$2,LEN($B$2)-3),"000")&amp;"X"&amp;TEXT(D204,"00")&amp;"_"&amp;IF(J204&lt;0,TEXT(360+J204,"000"),TEXT(J204,"000"))&amp;"-"&amp;TEXT(M204,"000")&amp;"_"&amp;TEXT(RIGHT(K204,LEN(K204)-FIND("-",K204)),"00")</f>
        <v>24cX19_020-030_02</v>
      </c>
      <c r="D204" s="231">
        <f t="shared" si="338"/>
        <v>19</v>
      </c>
      <c r="E204" s="239">
        <f t="shared" si="357"/>
        <v>2.7790000000000004</v>
      </c>
      <c r="F204" s="232">
        <f t="shared" si="358"/>
        <v>14.626315789473686</v>
      </c>
      <c r="G204" s="232">
        <f t="shared" si="359"/>
        <v>11.70105263157895</v>
      </c>
      <c r="H204" s="232">
        <f t="shared" si="360"/>
        <v>7.3131578947368432</v>
      </c>
      <c r="I204" s="232">
        <f t="shared" si="354"/>
        <v>8</v>
      </c>
      <c r="J204" s="233">
        <f t="shared" si="354"/>
        <v>20</v>
      </c>
      <c r="K204" s="228" t="str">
        <f>D204&amp;-2</f>
        <v>19-2</v>
      </c>
      <c r="L204" s="232">
        <f t="shared" ref="L204:L226" si="378">L203</f>
        <v>0.2</v>
      </c>
      <c r="M204" s="235">
        <v>30</v>
      </c>
      <c r="N204" s="232">
        <f t="shared" ref="N204:O204" si="379">N203</f>
        <v>150</v>
      </c>
      <c r="O204" s="232">
        <f t="shared" si="379"/>
        <v>750</v>
      </c>
      <c r="Q204" s="38">
        <f t="shared" ref="Q204:Q226" si="380">Q203</f>
        <v>18</v>
      </c>
      <c r="R204" s="38">
        <f t="shared" ref="R204:R214" si="381">R203</f>
        <v>20</v>
      </c>
      <c r="S204" s="39">
        <f t="shared" si="283"/>
        <v>0.98915328946183989</v>
      </c>
      <c r="T204" s="39">
        <f t="shared" si="284"/>
        <v>0.99624645144977986</v>
      </c>
      <c r="U204" s="39">
        <f t="shared" si="285"/>
        <v>7.0931619879399666E-3</v>
      </c>
      <c r="V204" s="39">
        <f t="shared" ref="V204:V267" si="382">U204/(U$11+U$35+U$59+U$83+U$107+U$131+U$155+U$179+U$203+U$227+U$251+U$275)</f>
        <v>8.0444214829870839E-3</v>
      </c>
      <c r="W204" s="40">
        <f t="shared" si="307"/>
        <v>8.0444214829870839E-3</v>
      </c>
      <c r="X204" s="40" t="s">
        <v>3710</v>
      </c>
      <c r="Y204" s="217">
        <f t="shared" si="308"/>
        <v>0.96533057795845001</v>
      </c>
      <c r="Z204" s="217">
        <f t="shared" si="309"/>
        <v>0.16088842965974168</v>
      </c>
    </row>
    <row r="205" spans="1:26" x14ac:dyDescent="0.25">
      <c r="A205" s="229">
        <f t="shared" ref="A205:A268" si="383">A204+1</f>
        <v>3195</v>
      </c>
      <c r="B205" s="230">
        <f t="shared" ref="B205:B268" si="384">B204+1</f>
        <v>195</v>
      </c>
      <c r="C205" s="229" t="str">
        <f t="shared" si="377"/>
        <v>24cX19_020-060_03</v>
      </c>
      <c r="D205" s="231">
        <f t="shared" si="338"/>
        <v>19</v>
      </c>
      <c r="E205" s="239">
        <f t="shared" si="357"/>
        <v>2.7790000000000004</v>
      </c>
      <c r="F205" s="232">
        <f t="shared" si="358"/>
        <v>14.626315789473686</v>
      </c>
      <c r="G205" s="232">
        <f t="shared" si="359"/>
        <v>11.70105263157895</v>
      </c>
      <c r="H205" s="232">
        <f t="shared" si="360"/>
        <v>7.3131578947368432</v>
      </c>
      <c r="I205" s="232">
        <f t="shared" si="354"/>
        <v>8</v>
      </c>
      <c r="J205" s="233">
        <f t="shared" si="354"/>
        <v>20</v>
      </c>
      <c r="K205" s="228" t="str">
        <f>D205&amp;-3</f>
        <v>19-3</v>
      </c>
      <c r="L205" s="232">
        <f t="shared" si="378"/>
        <v>0.2</v>
      </c>
      <c r="M205" s="235">
        <v>60</v>
      </c>
      <c r="N205" s="232">
        <f t="shared" ref="N205:O205" si="385">N204</f>
        <v>150</v>
      </c>
      <c r="O205" s="232">
        <f t="shared" si="385"/>
        <v>750</v>
      </c>
      <c r="Q205" s="38">
        <f t="shared" si="380"/>
        <v>18</v>
      </c>
      <c r="R205" s="38">
        <f t="shared" si="381"/>
        <v>20</v>
      </c>
      <c r="S205" s="39">
        <f t="shared" si="283"/>
        <v>0.98915328946183989</v>
      </c>
      <c r="T205" s="39">
        <f t="shared" si="284"/>
        <v>0.99624645144977986</v>
      </c>
      <c r="U205" s="39">
        <f t="shared" si="285"/>
        <v>7.0931619879399666E-3</v>
      </c>
      <c r="V205" s="39">
        <f t="shared" si="382"/>
        <v>8.0444214829870839E-3</v>
      </c>
      <c r="W205" s="40">
        <f t="shared" si="307"/>
        <v>8.0444214829870839E-3</v>
      </c>
      <c r="X205" s="40" t="s">
        <v>3710</v>
      </c>
      <c r="Y205" s="217">
        <f t="shared" si="308"/>
        <v>0.96533057795845001</v>
      </c>
      <c r="Z205" s="217">
        <f t="shared" si="309"/>
        <v>0.16088842965974168</v>
      </c>
    </row>
    <row r="206" spans="1:26" x14ac:dyDescent="0.25">
      <c r="A206" s="229">
        <f t="shared" si="383"/>
        <v>3196</v>
      </c>
      <c r="B206" s="230">
        <f t="shared" si="384"/>
        <v>196</v>
      </c>
      <c r="C206" s="229" t="str">
        <f t="shared" si="377"/>
        <v>24cX19_020-090_04</v>
      </c>
      <c r="D206" s="231">
        <f t="shared" si="338"/>
        <v>19</v>
      </c>
      <c r="E206" s="239">
        <f t="shared" si="357"/>
        <v>2.7790000000000004</v>
      </c>
      <c r="F206" s="232">
        <f t="shared" si="358"/>
        <v>14.626315789473686</v>
      </c>
      <c r="G206" s="232">
        <f t="shared" si="359"/>
        <v>11.70105263157895</v>
      </c>
      <c r="H206" s="232">
        <f t="shared" si="360"/>
        <v>7.3131578947368432</v>
      </c>
      <c r="I206" s="232">
        <f t="shared" ref="I206:J269" si="386">I205</f>
        <v>8</v>
      </c>
      <c r="J206" s="233">
        <f t="shared" si="354"/>
        <v>20</v>
      </c>
      <c r="K206" s="228" t="str">
        <f>D206&amp;-4</f>
        <v>19-4</v>
      </c>
      <c r="L206" s="232">
        <f t="shared" si="378"/>
        <v>0.2</v>
      </c>
      <c r="M206" s="235">
        <v>90</v>
      </c>
      <c r="N206" s="232">
        <f t="shared" ref="N206:O206" si="387">N205</f>
        <v>150</v>
      </c>
      <c r="O206" s="232">
        <f t="shared" si="387"/>
        <v>750</v>
      </c>
      <c r="Q206" s="38">
        <f t="shared" si="380"/>
        <v>18</v>
      </c>
      <c r="R206" s="38">
        <f t="shared" si="381"/>
        <v>20</v>
      </c>
      <c r="S206" s="39">
        <f t="shared" si="283"/>
        <v>0.98915328946183989</v>
      </c>
      <c r="T206" s="39">
        <f t="shared" si="284"/>
        <v>0.99624645144977986</v>
      </c>
      <c r="U206" s="39">
        <f t="shared" si="285"/>
        <v>7.0931619879399666E-3</v>
      </c>
      <c r="V206" s="39">
        <f t="shared" si="382"/>
        <v>8.0444214829870839E-3</v>
      </c>
      <c r="W206" s="40">
        <f t="shared" si="307"/>
        <v>8.0444214829870839E-3</v>
      </c>
      <c r="X206" s="40" t="s">
        <v>3710</v>
      </c>
      <c r="Y206" s="217">
        <f t="shared" si="308"/>
        <v>0.96533057795845001</v>
      </c>
      <c r="Z206" s="217">
        <f t="shared" si="309"/>
        <v>0.16088842965974168</v>
      </c>
    </row>
    <row r="207" spans="1:26" x14ac:dyDescent="0.25">
      <c r="A207" s="229">
        <f t="shared" si="383"/>
        <v>3197</v>
      </c>
      <c r="B207" s="230">
        <f t="shared" si="384"/>
        <v>197</v>
      </c>
      <c r="C207" s="229" t="str">
        <f t="shared" si="377"/>
        <v>24cX19_020-000_05</v>
      </c>
      <c r="D207" s="231">
        <f t="shared" si="338"/>
        <v>19</v>
      </c>
      <c r="E207" s="239">
        <f t="shared" si="357"/>
        <v>2.7790000000000004</v>
      </c>
      <c r="F207" s="232">
        <f t="shared" si="358"/>
        <v>14.626315789473686</v>
      </c>
      <c r="G207" s="232">
        <f t="shared" si="359"/>
        <v>11.70105263157895</v>
      </c>
      <c r="H207" s="232">
        <f t="shared" si="360"/>
        <v>7.3131578947368432</v>
      </c>
      <c r="I207" s="232">
        <f t="shared" si="386"/>
        <v>8</v>
      </c>
      <c r="J207" s="233">
        <f t="shared" si="354"/>
        <v>20</v>
      </c>
      <c r="K207" s="228" t="str">
        <f>D207&amp;-5</f>
        <v>19-5</v>
      </c>
      <c r="L207" s="232">
        <f t="shared" si="378"/>
        <v>0.2</v>
      </c>
      <c r="M207" s="235">
        <v>0</v>
      </c>
      <c r="N207" s="232">
        <f t="shared" ref="N207:O207" si="388">N206</f>
        <v>150</v>
      </c>
      <c r="O207" s="232">
        <f t="shared" si="388"/>
        <v>750</v>
      </c>
      <c r="Q207" s="38">
        <f t="shared" si="380"/>
        <v>18</v>
      </c>
      <c r="R207" s="38">
        <f t="shared" si="381"/>
        <v>20</v>
      </c>
      <c r="S207" s="39">
        <f t="shared" si="283"/>
        <v>0.98915328946183989</v>
      </c>
      <c r="T207" s="39">
        <f t="shared" si="284"/>
        <v>0.99624645144977986</v>
      </c>
      <c r="U207" s="39">
        <f t="shared" si="285"/>
        <v>7.0931619879399666E-3</v>
      </c>
      <c r="V207" s="39">
        <f t="shared" si="382"/>
        <v>8.0444214829870839E-3</v>
      </c>
      <c r="W207" s="40">
        <f t="shared" si="307"/>
        <v>8.0444214829870839E-3</v>
      </c>
      <c r="X207" s="40" t="s">
        <v>3710</v>
      </c>
      <c r="Y207" s="217">
        <f t="shared" si="308"/>
        <v>0.96533057795845001</v>
      </c>
      <c r="Z207" s="217">
        <f t="shared" si="309"/>
        <v>0.16088842965974168</v>
      </c>
    </row>
    <row r="208" spans="1:26" x14ac:dyDescent="0.25">
      <c r="A208" s="229">
        <f t="shared" si="383"/>
        <v>3198</v>
      </c>
      <c r="B208" s="230">
        <f t="shared" si="384"/>
        <v>198</v>
      </c>
      <c r="C208" s="229" t="str">
        <f t="shared" si="377"/>
        <v>24cX19_020-030_06</v>
      </c>
      <c r="D208" s="231">
        <f t="shared" si="338"/>
        <v>19</v>
      </c>
      <c r="E208" s="239">
        <f t="shared" si="357"/>
        <v>2.7790000000000004</v>
      </c>
      <c r="F208" s="232">
        <f t="shared" si="358"/>
        <v>14.626315789473686</v>
      </c>
      <c r="G208" s="232">
        <f t="shared" si="359"/>
        <v>11.70105263157895</v>
      </c>
      <c r="H208" s="232">
        <f t="shared" si="360"/>
        <v>7.3131578947368432</v>
      </c>
      <c r="I208" s="232">
        <f t="shared" si="386"/>
        <v>8</v>
      </c>
      <c r="J208" s="233">
        <f t="shared" si="354"/>
        <v>20</v>
      </c>
      <c r="K208" s="228" t="str">
        <f>D208&amp;-6</f>
        <v>19-6</v>
      </c>
      <c r="L208" s="232">
        <f t="shared" si="378"/>
        <v>0.2</v>
      </c>
      <c r="M208" s="235">
        <v>30</v>
      </c>
      <c r="N208" s="232">
        <f t="shared" ref="N208:O208" si="389">N207</f>
        <v>150</v>
      </c>
      <c r="O208" s="232">
        <f t="shared" si="389"/>
        <v>750</v>
      </c>
      <c r="Q208" s="38">
        <f t="shared" si="380"/>
        <v>18</v>
      </c>
      <c r="R208" s="38">
        <f t="shared" si="381"/>
        <v>20</v>
      </c>
      <c r="S208" s="39">
        <f t="shared" si="283"/>
        <v>0.98915328946183989</v>
      </c>
      <c r="T208" s="39">
        <f t="shared" si="284"/>
        <v>0.99624645144977986</v>
      </c>
      <c r="U208" s="39">
        <f t="shared" si="285"/>
        <v>7.0931619879399666E-3</v>
      </c>
      <c r="V208" s="39">
        <f t="shared" si="382"/>
        <v>8.0444214829870839E-3</v>
      </c>
      <c r="W208" s="40">
        <f t="shared" si="307"/>
        <v>8.0444214829870839E-3</v>
      </c>
      <c r="X208" s="40" t="s">
        <v>3710</v>
      </c>
      <c r="Y208" s="217">
        <f t="shared" si="308"/>
        <v>0.96533057795845001</v>
      </c>
      <c r="Z208" s="217">
        <f t="shared" si="309"/>
        <v>0.16088842965974168</v>
      </c>
    </row>
    <row r="209" spans="1:26" x14ac:dyDescent="0.25">
      <c r="A209" s="229">
        <f t="shared" si="383"/>
        <v>3199</v>
      </c>
      <c r="B209" s="230">
        <f t="shared" si="384"/>
        <v>199</v>
      </c>
      <c r="C209" s="229" t="str">
        <f t="shared" si="377"/>
        <v>24cX19_020-060_07</v>
      </c>
      <c r="D209" s="231">
        <f t="shared" si="338"/>
        <v>19</v>
      </c>
      <c r="E209" s="239">
        <f t="shared" si="357"/>
        <v>2.7790000000000004</v>
      </c>
      <c r="F209" s="232">
        <f t="shared" si="358"/>
        <v>14.626315789473686</v>
      </c>
      <c r="G209" s="232">
        <f t="shared" si="359"/>
        <v>11.70105263157895</v>
      </c>
      <c r="H209" s="232">
        <f t="shared" si="360"/>
        <v>7.3131578947368432</v>
      </c>
      <c r="I209" s="232">
        <f t="shared" si="386"/>
        <v>8</v>
      </c>
      <c r="J209" s="233">
        <f t="shared" si="354"/>
        <v>20</v>
      </c>
      <c r="K209" s="228" t="str">
        <f>D209&amp;-7</f>
        <v>19-7</v>
      </c>
      <c r="L209" s="232">
        <f t="shared" si="378"/>
        <v>0.2</v>
      </c>
      <c r="M209" s="235">
        <v>60</v>
      </c>
      <c r="N209" s="232">
        <f t="shared" ref="N209:O209" si="390">N208</f>
        <v>150</v>
      </c>
      <c r="O209" s="232">
        <f t="shared" si="390"/>
        <v>750</v>
      </c>
      <c r="Q209" s="38">
        <f t="shared" si="380"/>
        <v>18</v>
      </c>
      <c r="R209" s="38">
        <f t="shared" si="381"/>
        <v>20</v>
      </c>
      <c r="S209" s="39">
        <f t="shared" si="283"/>
        <v>0.98915328946183989</v>
      </c>
      <c r="T209" s="39">
        <f t="shared" si="284"/>
        <v>0.99624645144977986</v>
      </c>
      <c r="U209" s="39">
        <f t="shared" si="285"/>
        <v>7.0931619879399666E-3</v>
      </c>
      <c r="V209" s="39">
        <f t="shared" si="382"/>
        <v>8.0444214829870839E-3</v>
      </c>
      <c r="W209" s="40">
        <f t="shared" si="307"/>
        <v>8.0444214829870839E-3</v>
      </c>
      <c r="X209" s="40" t="s">
        <v>3710</v>
      </c>
      <c r="Y209" s="217">
        <f t="shared" si="308"/>
        <v>0.96533057795845001</v>
      </c>
      <c r="Z209" s="217">
        <f t="shared" si="309"/>
        <v>0.16088842965974168</v>
      </c>
    </row>
    <row r="210" spans="1:26" x14ac:dyDescent="0.25">
      <c r="A210" s="229">
        <f t="shared" si="383"/>
        <v>3200</v>
      </c>
      <c r="B210" s="230">
        <f t="shared" si="384"/>
        <v>200</v>
      </c>
      <c r="C210" s="229" t="str">
        <f t="shared" si="377"/>
        <v>24cX19_020-090_08</v>
      </c>
      <c r="D210" s="231">
        <f t="shared" si="338"/>
        <v>19</v>
      </c>
      <c r="E210" s="239">
        <f t="shared" si="357"/>
        <v>2.7790000000000004</v>
      </c>
      <c r="F210" s="232">
        <f t="shared" si="358"/>
        <v>14.626315789473686</v>
      </c>
      <c r="G210" s="232">
        <f t="shared" si="359"/>
        <v>11.70105263157895</v>
      </c>
      <c r="H210" s="232">
        <f t="shared" si="360"/>
        <v>7.3131578947368432</v>
      </c>
      <c r="I210" s="232">
        <f t="shared" si="386"/>
        <v>8</v>
      </c>
      <c r="J210" s="233">
        <f t="shared" si="354"/>
        <v>20</v>
      </c>
      <c r="K210" s="228" t="str">
        <f>D210&amp;-8</f>
        <v>19-8</v>
      </c>
      <c r="L210" s="232">
        <f t="shared" si="378"/>
        <v>0.2</v>
      </c>
      <c r="M210" s="235">
        <v>90</v>
      </c>
      <c r="N210" s="232">
        <f t="shared" ref="N210:O210" si="391">N209</f>
        <v>150</v>
      </c>
      <c r="O210" s="232">
        <f t="shared" si="391"/>
        <v>750</v>
      </c>
      <c r="Q210" s="38">
        <f t="shared" si="380"/>
        <v>18</v>
      </c>
      <c r="R210" s="38">
        <f t="shared" si="381"/>
        <v>20</v>
      </c>
      <c r="S210" s="39">
        <f t="shared" si="283"/>
        <v>0.98915328946183989</v>
      </c>
      <c r="T210" s="39">
        <f t="shared" si="284"/>
        <v>0.99624645144977986</v>
      </c>
      <c r="U210" s="39">
        <f t="shared" si="285"/>
        <v>7.0931619879399666E-3</v>
      </c>
      <c r="V210" s="39">
        <f t="shared" si="382"/>
        <v>8.0444214829870839E-3</v>
      </c>
      <c r="W210" s="40">
        <f t="shared" si="307"/>
        <v>8.0444214829870839E-3</v>
      </c>
      <c r="X210" s="40" t="s">
        <v>3710</v>
      </c>
      <c r="Y210" s="217">
        <f t="shared" si="308"/>
        <v>0.96533057795845001</v>
      </c>
      <c r="Z210" s="217">
        <f t="shared" si="309"/>
        <v>0.16088842965974168</v>
      </c>
    </row>
    <row r="211" spans="1:26" x14ac:dyDescent="0.25">
      <c r="A211" s="229">
        <f t="shared" si="383"/>
        <v>3201</v>
      </c>
      <c r="B211" s="230">
        <f t="shared" si="384"/>
        <v>201</v>
      </c>
      <c r="C211" s="229" t="str">
        <f t="shared" si="377"/>
        <v>24cX19_020-000_09</v>
      </c>
      <c r="D211" s="231">
        <f t="shared" si="338"/>
        <v>19</v>
      </c>
      <c r="E211" s="239">
        <f t="shared" si="357"/>
        <v>2.7790000000000004</v>
      </c>
      <c r="F211" s="232">
        <f t="shared" si="358"/>
        <v>14.626315789473686</v>
      </c>
      <c r="G211" s="232">
        <f t="shared" si="359"/>
        <v>11.70105263157895</v>
      </c>
      <c r="H211" s="232">
        <f t="shared" si="360"/>
        <v>7.3131578947368432</v>
      </c>
      <c r="I211" s="232">
        <f t="shared" si="386"/>
        <v>8</v>
      </c>
      <c r="J211" s="233">
        <f t="shared" si="354"/>
        <v>20</v>
      </c>
      <c r="K211" s="228" t="str">
        <f>D211&amp;-9</f>
        <v>19-9</v>
      </c>
      <c r="L211" s="232">
        <f t="shared" si="378"/>
        <v>0.2</v>
      </c>
      <c r="M211" s="235">
        <v>0</v>
      </c>
      <c r="N211" s="232">
        <f t="shared" ref="N211:O211" si="392">N210</f>
        <v>150</v>
      </c>
      <c r="O211" s="232">
        <f t="shared" si="392"/>
        <v>750</v>
      </c>
      <c r="Q211" s="38">
        <f t="shared" si="380"/>
        <v>18</v>
      </c>
      <c r="R211" s="38">
        <f t="shared" si="381"/>
        <v>20</v>
      </c>
      <c r="S211" s="39">
        <f t="shared" si="283"/>
        <v>0.98915328946183989</v>
      </c>
      <c r="T211" s="39">
        <f t="shared" si="284"/>
        <v>0.99624645144977986</v>
      </c>
      <c r="U211" s="39">
        <f t="shared" si="285"/>
        <v>7.0931619879399666E-3</v>
      </c>
      <c r="V211" s="39">
        <f t="shared" si="382"/>
        <v>8.0444214829870839E-3</v>
      </c>
      <c r="W211" s="40">
        <f t="shared" si="307"/>
        <v>8.0444214829870839E-3</v>
      </c>
      <c r="X211" s="40" t="s">
        <v>3710</v>
      </c>
      <c r="Y211" s="217">
        <f t="shared" si="308"/>
        <v>0.96533057795845001</v>
      </c>
      <c r="Z211" s="217">
        <f t="shared" si="309"/>
        <v>0.16088842965974168</v>
      </c>
    </row>
    <row r="212" spans="1:26" x14ac:dyDescent="0.25">
      <c r="A212" s="229">
        <f t="shared" si="383"/>
        <v>3202</v>
      </c>
      <c r="B212" s="230">
        <f t="shared" si="384"/>
        <v>202</v>
      </c>
      <c r="C212" s="229" t="str">
        <f t="shared" si="377"/>
        <v>24cX19_020-030_10</v>
      </c>
      <c r="D212" s="231">
        <f t="shared" si="338"/>
        <v>19</v>
      </c>
      <c r="E212" s="239">
        <f t="shared" si="357"/>
        <v>2.7790000000000004</v>
      </c>
      <c r="F212" s="232">
        <f t="shared" si="358"/>
        <v>14.626315789473686</v>
      </c>
      <c r="G212" s="232">
        <f t="shared" si="359"/>
        <v>11.70105263157895</v>
      </c>
      <c r="H212" s="232">
        <f t="shared" si="360"/>
        <v>7.3131578947368432</v>
      </c>
      <c r="I212" s="232">
        <f t="shared" si="386"/>
        <v>8</v>
      </c>
      <c r="J212" s="233">
        <f t="shared" si="354"/>
        <v>20</v>
      </c>
      <c r="K212" s="228" t="str">
        <f>D212&amp;-10</f>
        <v>19-10</v>
      </c>
      <c r="L212" s="232">
        <f t="shared" si="378"/>
        <v>0.2</v>
      </c>
      <c r="M212" s="235">
        <v>30</v>
      </c>
      <c r="N212" s="232">
        <f t="shared" ref="N212:O212" si="393">N211</f>
        <v>150</v>
      </c>
      <c r="O212" s="232">
        <f t="shared" si="393"/>
        <v>750</v>
      </c>
      <c r="Q212" s="38">
        <f t="shared" si="380"/>
        <v>18</v>
      </c>
      <c r="R212" s="38">
        <f t="shared" si="381"/>
        <v>20</v>
      </c>
      <c r="S212" s="39">
        <f t="shared" si="283"/>
        <v>0.98915328946183989</v>
      </c>
      <c r="T212" s="39">
        <f t="shared" si="284"/>
        <v>0.99624645144977986</v>
      </c>
      <c r="U212" s="39">
        <f t="shared" si="285"/>
        <v>7.0931619879399666E-3</v>
      </c>
      <c r="V212" s="39">
        <f t="shared" si="382"/>
        <v>8.0444214829870839E-3</v>
      </c>
      <c r="W212" s="40">
        <f t="shared" si="307"/>
        <v>8.0444214829870839E-3</v>
      </c>
      <c r="X212" s="40" t="s">
        <v>3710</v>
      </c>
      <c r="Y212" s="217">
        <f t="shared" si="308"/>
        <v>0.96533057795845001</v>
      </c>
      <c r="Z212" s="217">
        <f t="shared" si="309"/>
        <v>0.16088842965974168</v>
      </c>
    </row>
    <row r="213" spans="1:26" x14ac:dyDescent="0.25">
      <c r="A213" s="229">
        <f t="shared" si="383"/>
        <v>3203</v>
      </c>
      <c r="B213" s="230">
        <f t="shared" si="384"/>
        <v>203</v>
      </c>
      <c r="C213" s="229" t="str">
        <f t="shared" si="377"/>
        <v>24cX19_020-060_11</v>
      </c>
      <c r="D213" s="231">
        <f t="shared" si="338"/>
        <v>19</v>
      </c>
      <c r="E213" s="239">
        <f t="shared" si="357"/>
        <v>2.7790000000000004</v>
      </c>
      <c r="F213" s="232">
        <f t="shared" si="358"/>
        <v>14.626315789473686</v>
      </c>
      <c r="G213" s="232">
        <f t="shared" si="359"/>
        <v>11.70105263157895</v>
      </c>
      <c r="H213" s="232">
        <f t="shared" si="360"/>
        <v>7.3131578947368432</v>
      </c>
      <c r="I213" s="232">
        <f t="shared" si="386"/>
        <v>8</v>
      </c>
      <c r="J213" s="233">
        <f t="shared" si="354"/>
        <v>20</v>
      </c>
      <c r="K213" s="228" t="str">
        <f>D213&amp;-11</f>
        <v>19-11</v>
      </c>
      <c r="L213" s="232">
        <f t="shared" si="378"/>
        <v>0.2</v>
      </c>
      <c r="M213" s="235">
        <v>60</v>
      </c>
      <c r="N213" s="232">
        <f t="shared" ref="N213:O213" si="394">N212</f>
        <v>150</v>
      </c>
      <c r="O213" s="232">
        <f t="shared" si="394"/>
        <v>750</v>
      </c>
      <c r="Q213" s="38">
        <f t="shared" si="380"/>
        <v>18</v>
      </c>
      <c r="R213" s="38">
        <f t="shared" si="381"/>
        <v>20</v>
      </c>
      <c r="S213" s="39">
        <f t="shared" si="283"/>
        <v>0.98915328946183989</v>
      </c>
      <c r="T213" s="39">
        <f t="shared" si="284"/>
        <v>0.99624645144977986</v>
      </c>
      <c r="U213" s="39">
        <f t="shared" si="285"/>
        <v>7.0931619879399666E-3</v>
      </c>
      <c r="V213" s="39">
        <f t="shared" si="382"/>
        <v>8.0444214829870839E-3</v>
      </c>
      <c r="W213" s="40">
        <f t="shared" si="307"/>
        <v>8.0444214829870839E-3</v>
      </c>
      <c r="X213" s="40" t="s">
        <v>3710</v>
      </c>
      <c r="Y213" s="217">
        <f t="shared" si="308"/>
        <v>0.96533057795845001</v>
      </c>
      <c r="Z213" s="217">
        <f t="shared" si="309"/>
        <v>0.16088842965974168</v>
      </c>
    </row>
    <row r="214" spans="1:26" x14ac:dyDescent="0.25">
      <c r="A214" s="229">
        <f t="shared" si="383"/>
        <v>3204</v>
      </c>
      <c r="B214" s="230">
        <f t="shared" si="384"/>
        <v>204</v>
      </c>
      <c r="C214" s="229" t="str">
        <f t="shared" si="377"/>
        <v>24cX19_020-090_12</v>
      </c>
      <c r="D214" s="231">
        <f t="shared" si="338"/>
        <v>19</v>
      </c>
      <c r="E214" s="239">
        <f t="shared" si="357"/>
        <v>2.7790000000000004</v>
      </c>
      <c r="F214" s="232">
        <f t="shared" si="358"/>
        <v>14.626315789473686</v>
      </c>
      <c r="G214" s="232">
        <f t="shared" si="359"/>
        <v>11.70105263157895</v>
      </c>
      <c r="H214" s="232">
        <f t="shared" si="360"/>
        <v>7.3131578947368432</v>
      </c>
      <c r="I214" s="232">
        <f t="shared" si="386"/>
        <v>8</v>
      </c>
      <c r="J214" s="233">
        <f t="shared" si="354"/>
        <v>20</v>
      </c>
      <c r="K214" s="228" t="str">
        <f>D214&amp;-12</f>
        <v>19-12</v>
      </c>
      <c r="L214" s="232">
        <f t="shared" si="378"/>
        <v>0.2</v>
      </c>
      <c r="M214" s="235">
        <v>90</v>
      </c>
      <c r="N214" s="232">
        <f t="shared" ref="N214:O214" si="395">N213</f>
        <v>150</v>
      </c>
      <c r="O214" s="232">
        <f t="shared" si="395"/>
        <v>750</v>
      </c>
      <c r="Q214" s="38">
        <f t="shared" si="380"/>
        <v>18</v>
      </c>
      <c r="R214" s="38">
        <f t="shared" si="381"/>
        <v>20</v>
      </c>
      <c r="S214" s="39">
        <f t="shared" si="283"/>
        <v>0.98915328946183989</v>
      </c>
      <c r="T214" s="39">
        <f t="shared" si="284"/>
        <v>0.99624645144977986</v>
      </c>
      <c r="U214" s="39">
        <f t="shared" si="285"/>
        <v>7.0931619879399666E-3</v>
      </c>
      <c r="V214" s="39">
        <f t="shared" si="382"/>
        <v>8.0444214829870839E-3</v>
      </c>
      <c r="W214" s="40">
        <f t="shared" si="307"/>
        <v>8.0444214829870839E-3</v>
      </c>
      <c r="X214" s="40" t="s">
        <v>3710</v>
      </c>
      <c r="Y214" s="217">
        <f t="shared" si="308"/>
        <v>0.96533057795845001</v>
      </c>
      <c r="Z214" s="217">
        <f t="shared" si="309"/>
        <v>0.16088842965974168</v>
      </c>
    </row>
    <row r="215" spans="1:26" x14ac:dyDescent="0.25">
      <c r="A215" s="229">
        <f t="shared" si="383"/>
        <v>3205</v>
      </c>
      <c r="B215" s="230">
        <f t="shared" si="384"/>
        <v>205</v>
      </c>
      <c r="C215" s="229" t="str">
        <f t="shared" si="377"/>
        <v>24cX19_340-000_01</v>
      </c>
      <c r="D215" s="231">
        <f t="shared" si="338"/>
        <v>19</v>
      </c>
      <c r="E215" s="239">
        <f t="shared" si="357"/>
        <v>2.7790000000000004</v>
      </c>
      <c r="F215" s="232">
        <f t="shared" si="358"/>
        <v>14.626315789473686</v>
      </c>
      <c r="G215" s="232">
        <f t="shared" si="359"/>
        <v>11.70105263157895</v>
      </c>
      <c r="H215" s="232">
        <f t="shared" si="360"/>
        <v>7.3131578947368432</v>
      </c>
      <c r="I215" s="232">
        <f t="shared" si="386"/>
        <v>8</v>
      </c>
      <c r="J215" s="233">
        <f>-J203</f>
        <v>-20</v>
      </c>
      <c r="K215" s="228" t="str">
        <f>D215&amp;-1</f>
        <v>19-1</v>
      </c>
      <c r="L215" s="232">
        <f t="shared" si="378"/>
        <v>0.2</v>
      </c>
      <c r="M215" s="235">
        <v>0</v>
      </c>
      <c r="N215" s="232">
        <f t="shared" ref="N215:O215" si="396">N214</f>
        <v>150</v>
      </c>
      <c r="O215" s="232">
        <f t="shared" si="396"/>
        <v>750</v>
      </c>
      <c r="Q215" s="38">
        <f t="shared" si="380"/>
        <v>18</v>
      </c>
      <c r="R215" s="38">
        <f>Q215+v_step</f>
        <v>20</v>
      </c>
      <c r="S215" s="39">
        <f t="shared" si="283"/>
        <v>0.98915328946183989</v>
      </c>
      <c r="T215" s="39">
        <f t="shared" si="284"/>
        <v>0.99624645144977986</v>
      </c>
      <c r="U215" s="39">
        <f t="shared" si="285"/>
        <v>7.0931619879399666E-3</v>
      </c>
      <c r="V215" s="39">
        <f t="shared" si="382"/>
        <v>8.0444214829870839E-3</v>
      </c>
      <c r="W215" s="40">
        <f t="shared" si="307"/>
        <v>8.0444214829870839E-3</v>
      </c>
      <c r="X215" s="40" t="s">
        <v>3710</v>
      </c>
      <c r="Y215" s="217">
        <f t="shared" si="308"/>
        <v>0.96533057795845001</v>
      </c>
      <c r="Z215" s="217">
        <f t="shared" si="309"/>
        <v>0.16088842965974168</v>
      </c>
    </row>
    <row r="216" spans="1:26" x14ac:dyDescent="0.25">
      <c r="A216" s="229">
        <f t="shared" si="383"/>
        <v>3206</v>
      </c>
      <c r="B216" s="230">
        <f t="shared" si="384"/>
        <v>206</v>
      </c>
      <c r="C216" s="229" t="str">
        <f t="shared" si="377"/>
        <v>24cX19_340-030_02</v>
      </c>
      <c r="D216" s="231">
        <f t="shared" si="338"/>
        <v>19</v>
      </c>
      <c r="E216" s="239">
        <f t="shared" si="357"/>
        <v>2.7790000000000004</v>
      </c>
      <c r="F216" s="232">
        <f t="shared" si="358"/>
        <v>14.626315789473686</v>
      </c>
      <c r="G216" s="232">
        <f t="shared" si="359"/>
        <v>11.70105263157895</v>
      </c>
      <c r="H216" s="232">
        <f t="shared" si="360"/>
        <v>7.3131578947368432</v>
      </c>
      <c r="I216" s="232">
        <f t="shared" si="386"/>
        <v>8</v>
      </c>
      <c r="J216" s="233">
        <f t="shared" si="386"/>
        <v>-20</v>
      </c>
      <c r="K216" s="228" t="str">
        <f>D216&amp;-2</f>
        <v>19-2</v>
      </c>
      <c r="L216" s="232">
        <f t="shared" si="378"/>
        <v>0.2</v>
      </c>
      <c r="M216" s="235">
        <v>30</v>
      </c>
      <c r="N216" s="232">
        <f t="shared" ref="N216:O216" si="397">N215</f>
        <v>150</v>
      </c>
      <c r="O216" s="232">
        <f t="shared" si="397"/>
        <v>750</v>
      </c>
      <c r="Q216" s="38">
        <f t="shared" si="380"/>
        <v>18</v>
      </c>
      <c r="R216" s="38">
        <f t="shared" ref="R216:R226" si="398">R215</f>
        <v>20</v>
      </c>
      <c r="S216" s="39">
        <f t="shared" si="283"/>
        <v>0.98915328946183989</v>
      </c>
      <c r="T216" s="39">
        <f t="shared" si="284"/>
        <v>0.99624645144977986</v>
      </c>
      <c r="U216" s="39">
        <f t="shared" si="285"/>
        <v>7.0931619879399666E-3</v>
      </c>
      <c r="V216" s="39">
        <f t="shared" si="382"/>
        <v>8.0444214829870839E-3</v>
      </c>
      <c r="W216" s="40">
        <f t="shared" si="307"/>
        <v>8.0444214829870839E-3</v>
      </c>
      <c r="X216" s="40" t="s">
        <v>3710</v>
      </c>
      <c r="Y216" s="217">
        <f t="shared" si="308"/>
        <v>0.96533057795845001</v>
      </c>
      <c r="Z216" s="217">
        <f t="shared" si="309"/>
        <v>0.16088842965974168</v>
      </c>
    </row>
    <row r="217" spans="1:26" x14ac:dyDescent="0.25">
      <c r="A217" s="229">
        <f t="shared" si="383"/>
        <v>3207</v>
      </c>
      <c r="B217" s="230">
        <f t="shared" si="384"/>
        <v>207</v>
      </c>
      <c r="C217" s="229" t="str">
        <f t="shared" si="377"/>
        <v>24cX19_340-060_03</v>
      </c>
      <c r="D217" s="231">
        <f t="shared" si="338"/>
        <v>19</v>
      </c>
      <c r="E217" s="239">
        <f t="shared" si="357"/>
        <v>2.7790000000000004</v>
      </c>
      <c r="F217" s="232">
        <f t="shared" si="358"/>
        <v>14.626315789473686</v>
      </c>
      <c r="G217" s="232">
        <f t="shared" si="359"/>
        <v>11.70105263157895</v>
      </c>
      <c r="H217" s="232">
        <f t="shared" si="360"/>
        <v>7.3131578947368432</v>
      </c>
      <c r="I217" s="232">
        <f t="shared" si="386"/>
        <v>8</v>
      </c>
      <c r="J217" s="233">
        <f t="shared" si="386"/>
        <v>-20</v>
      </c>
      <c r="K217" s="228" t="str">
        <f>D217&amp;-3</f>
        <v>19-3</v>
      </c>
      <c r="L217" s="232">
        <f t="shared" si="378"/>
        <v>0.2</v>
      </c>
      <c r="M217" s="235">
        <v>60</v>
      </c>
      <c r="N217" s="232">
        <f t="shared" ref="N217:O217" si="399">N216</f>
        <v>150</v>
      </c>
      <c r="O217" s="232">
        <f t="shared" si="399"/>
        <v>750</v>
      </c>
      <c r="Q217" s="38">
        <f t="shared" si="380"/>
        <v>18</v>
      </c>
      <c r="R217" s="38">
        <f t="shared" si="398"/>
        <v>20</v>
      </c>
      <c r="S217" s="39">
        <f t="shared" si="283"/>
        <v>0.98915328946183989</v>
      </c>
      <c r="T217" s="39">
        <f t="shared" si="284"/>
        <v>0.99624645144977986</v>
      </c>
      <c r="U217" s="39">
        <f t="shared" si="285"/>
        <v>7.0931619879399666E-3</v>
      </c>
      <c r="V217" s="39">
        <f t="shared" si="382"/>
        <v>8.0444214829870839E-3</v>
      </c>
      <c r="W217" s="40">
        <f t="shared" si="307"/>
        <v>8.0444214829870839E-3</v>
      </c>
      <c r="X217" s="40" t="s">
        <v>3710</v>
      </c>
      <c r="Y217" s="217">
        <f t="shared" si="308"/>
        <v>0.96533057795845001</v>
      </c>
      <c r="Z217" s="217">
        <f t="shared" si="309"/>
        <v>0.16088842965974168</v>
      </c>
    </row>
    <row r="218" spans="1:26" x14ac:dyDescent="0.25">
      <c r="A218" s="229">
        <f t="shared" si="383"/>
        <v>3208</v>
      </c>
      <c r="B218" s="230">
        <f t="shared" si="384"/>
        <v>208</v>
      </c>
      <c r="C218" s="229" t="str">
        <f t="shared" si="377"/>
        <v>24cX19_340-090_04</v>
      </c>
      <c r="D218" s="231">
        <f t="shared" si="338"/>
        <v>19</v>
      </c>
      <c r="E218" s="239">
        <f t="shared" si="357"/>
        <v>2.7790000000000004</v>
      </c>
      <c r="F218" s="232">
        <f t="shared" si="358"/>
        <v>14.626315789473686</v>
      </c>
      <c r="G218" s="232">
        <f t="shared" si="359"/>
        <v>11.70105263157895</v>
      </c>
      <c r="H218" s="232">
        <f t="shared" si="360"/>
        <v>7.3131578947368432</v>
      </c>
      <c r="I218" s="232">
        <f t="shared" si="386"/>
        <v>8</v>
      </c>
      <c r="J218" s="233">
        <f t="shared" si="386"/>
        <v>-20</v>
      </c>
      <c r="K218" s="228" t="str">
        <f>D218&amp;-4</f>
        <v>19-4</v>
      </c>
      <c r="L218" s="232">
        <f t="shared" si="378"/>
        <v>0.2</v>
      </c>
      <c r="M218" s="235">
        <v>90</v>
      </c>
      <c r="N218" s="232">
        <f t="shared" ref="N218:O218" si="400">N217</f>
        <v>150</v>
      </c>
      <c r="O218" s="232">
        <f t="shared" si="400"/>
        <v>750</v>
      </c>
      <c r="Q218" s="38">
        <f t="shared" si="380"/>
        <v>18</v>
      </c>
      <c r="R218" s="38">
        <f t="shared" si="398"/>
        <v>20</v>
      </c>
      <c r="S218" s="39">
        <f t="shared" si="283"/>
        <v>0.98915328946183989</v>
      </c>
      <c r="T218" s="39">
        <f t="shared" si="284"/>
        <v>0.99624645144977986</v>
      </c>
      <c r="U218" s="39">
        <f t="shared" si="285"/>
        <v>7.0931619879399666E-3</v>
      </c>
      <c r="V218" s="39">
        <f t="shared" si="382"/>
        <v>8.0444214829870839E-3</v>
      </c>
      <c r="W218" s="40">
        <f t="shared" si="307"/>
        <v>8.0444214829870839E-3</v>
      </c>
      <c r="X218" s="40" t="s">
        <v>3710</v>
      </c>
      <c r="Y218" s="217">
        <f t="shared" si="308"/>
        <v>0.96533057795845001</v>
      </c>
      <c r="Z218" s="217">
        <f t="shared" si="309"/>
        <v>0.16088842965974168</v>
      </c>
    </row>
    <row r="219" spans="1:26" x14ac:dyDescent="0.25">
      <c r="A219" s="229">
        <f t="shared" si="383"/>
        <v>3209</v>
      </c>
      <c r="B219" s="230">
        <f t="shared" si="384"/>
        <v>209</v>
      </c>
      <c r="C219" s="229" t="str">
        <f t="shared" si="377"/>
        <v>24cX19_340-000_05</v>
      </c>
      <c r="D219" s="231">
        <f t="shared" si="338"/>
        <v>19</v>
      </c>
      <c r="E219" s="239">
        <f t="shared" si="357"/>
        <v>2.7790000000000004</v>
      </c>
      <c r="F219" s="232">
        <f t="shared" si="358"/>
        <v>14.626315789473686</v>
      </c>
      <c r="G219" s="232">
        <f t="shared" si="359"/>
        <v>11.70105263157895</v>
      </c>
      <c r="H219" s="232">
        <f t="shared" si="360"/>
        <v>7.3131578947368432</v>
      </c>
      <c r="I219" s="232">
        <f t="shared" si="386"/>
        <v>8</v>
      </c>
      <c r="J219" s="233">
        <f t="shared" si="386"/>
        <v>-20</v>
      </c>
      <c r="K219" s="228" t="str">
        <f>D219&amp;-5</f>
        <v>19-5</v>
      </c>
      <c r="L219" s="232">
        <f t="shared" si="378"/>
        <v>0.2</v>
      </c>
      <c r="M219" s="235">
        <v>0</v>
      </c>
      <c r="N219" s="232">
        <f t="shared" ref="N219:O219" si="401">N218</f>
        <v>150</v>
      </c>
      <c r="O219" s="232">
        <f t="shared" si="401"/>
        <v>750</v>
      </c>
      <c r="Q219" s="38">
        <f t="shared" si="380"/>
        <v>18</v>
      </c>
      <c r="R219" s="38">
        <f t="shared" si="398"/>
        <v>20</v>
      </c>
      <c r="S219" s="39">
        <f t="shared" ref="S219:S282" si="402">IF(wpd="Rayleigh",1-EXP(-PI()*((Q219/2/v_ave)^2)),IF(wpd="Weibull",1-EXP(-((Q219/weibull_A)^weibull_K))))</f>
        <v>0.98915328946183989</v>
      </c>
      <c r="T219" s="39">
        <f t="shared" ref="T219:T282" si="403">IF(wpd="Rayleigh",1-EXP(-PI()*((R219/2/v_ave)^2)),IF(wpd="Weibull",1-EXP(-((R219/weibull_A)^weibull_K))))</f>
        <v>0.99624645144977986</v>
      </c>
      <c r="U219" s="39">
        <f t="shared" ref="U219:U282" si="404">T219-S219</f>
        <v>7.0931619879399666E-3</v>
      </c>
      <c r="V219" s="39">
        <f t="shared" si="382"/>
        <v>8.0444214829870839E-3</v>
      </c>
      <c r="W219" s="40">
        <f t="shared" si="307"/>
        <v>8.0444214829870839E-3</v>
      </c>
      <c r="X219" s="40" t="s">
        <v>3710</v>
      </c>
      <c r="Y219" s="217">
        <f t="shared" si="308"/>
        <v>0.96533057795845001</v>
      </c>
      <c r="Z219" s="217">
        <f t="shared" si="309"/>
        <v>0.16088842965974168</v>
      </c>
    </row>
    <row r="220" spans="1:26" x14ac:dyDescent="0.25">
      <c r="A220" s="229">
        <f t="shared" si="383"/>
        <v>3210</v>
      </c>
      <c r="B220" s="230">
        <f t="shared" si="384"/>
        <v>210</v>
      </c>
      <c r="C220" s="229" t="str">
        <f t="shared" si="377"/>
        <v>24cX19_340-030_06</v>
      </c>
      <c r="D220" s="231">
        <f t="shared" si="338"/>
        <v>19</v>
      </c>
      <c r="E220" s="239">
        <f t="shared" si="357"/>
        <v>2.7790000000000004</v>
      </c>
      <c r="F220" s="232">
        <f t="shared" si="358"/>
        <v>14.626315789473686</v>
      </c>
      <c r="G220" s="232">
        <f t="shared" si="359"/>
        <v>11.70105263157895</v>
      </c>
      <c r="H220" s="232">
        <f t="shared" si="360"/>
        <v>7.3131578947368432</v>
      </c>
      <c r="I220" s="232">
        <f t="shared" si="354"/>
        <v>8</v>
      </c>
      <c r="J220" s="233">
        <f t="shared" si="386"/>
        <v>-20</v>
      </c>
      <c r="K220" s="228" t="str">
        <f>D220&amp;-6</f>
        <v>19-6</v>
      </c>
      <c r="L220" s="232">
        <f t="shared" si="378"/>
        <v>0.2</v>
      </c>
      <c r="M220" s="235">
        <v>30</v>
      </c>
      <c r="N220" s="232">
        <f t="shared" ref="N220:O220" si="405">N219</f>
        <v>150</v>
      </c>
      <c r="O220" s="232">
        <f t="shared" si="405"/>
        <v>750</v>
      </c>
      <c r="Q220" s="38">
        <f t="shared" si="380"/>
        <v>18</v>
      </c>
      <c r="R220" s="38">
        <f t="shared" si="398"/>
        <v>20</v>
      </c>
      <c r="S220" s="39">
        <f t="shared" si="402"/>
        <v>0.98915328946183989</v>
      </c>
      <c r="T220" s="39">
        <f t="shared" si="403"/>
        <v>0.99624645144977986</v>
      </c>
      <c r="U220" s="39">
        <f t="shared" si="404"/>
        <v>7.0931619879399666E-3</v>
      </c>
      <c r="V220" s="39">
        <f t="shared" si="382"/>
        <v>8.0444214829870839E-3</v>
      </c>
      <c r="W220" s="40">
        <f t="shared" si="307"/>
        <v>8.0444214829870839E-3</v>
      </c>
      <c r="X220" s="40" t="s">
        <v>3710</v>
      </c>
      <c r="Y220" s="217">
        <f t="shared" si="308"/>
        <v>0.96533057795845001</v>
      </c>
      <c r="Z220" s="217">
        <f t="shared" si="309"/>
        <v>0.16088842965974168</v>
      </c>
    </row>
    <row r="221" spans="1:26" x14ac:dyDescent="0.25">
      <c r="A221" s="229">
        <f t="shared" si="383"/>
        <v>3211</v>
      </c>
      <c r="B221" s="230">
        <f t="shared" si="384"/>
        <v>211</v>
      </c>
      <c r="C221" s="229" t="str">
        <f t="shared" si="377"/>
        <v>24cX19_340-060_07</v>
      </c>
      <c r="D221" s="231">
        <f t="shared" si="338"/>
        <v>19</v>
      </c>
      <c r="E221" s="239">
        <f t="shared" si="357"/>
        <v>2.7790000000000004</v>
      </c>
      <c r="F221" s="232">
        <f t="shared" si="358"/>
        <v>14.626315789473686</v>
      </c>
      <c r="G221" s="232">
        <f t="shared" si="359"/>
        <v>11.70105263157895</v>
      </c>
      <c r="H221" s="232">
        <f t="shared" si="360"/>
        <v>7.3131578947368432</v>
      </c>
      <c r="I221" s="232">
        <f t="shared" si="354"/>
        <v>8</v>
      </c>
      <c r="J221" s="233">
        <f t="shared" si="386"/>
        <v>-20</v>
      </c>
      <c r="K221" s="228" t="str">
        <f>D221&amp;-7</f>
        <v>19-7</v>
      </c>
      <c r="L221" s="232">
        <f t="shared" si="378"/>
        <v>0.2</v>
      </c>
      <c r="M221" s="235">
        <v>60</v>
      </c>
      <c r="N221" s="232">
        <f t="shared" ref="N221:O221" si="406">N220</f>
        <v>150</v>
      </c>
      <c r="O221" s="232">
        <f t="shared" si="406"/>
        <v>750</v>
      </c>
      <c r="Q221" s="38">
        <f t="shared" si="380"/>
        <v>18</v>
      </c>
      <c r="R221" s="38">
        <f t="shared" si="398"/>
        <v>20</v>
      </c>
      <c r="S221" s="39">
        <f t="shared" si="402"/>
        <v>0.98915328946183989</v>
      </c>
      <c r="T221" s="39">
        <f t="shared" si="403"/>
        <v>0.99624645144977986</v>
      </c>
      <c r="U221" s="39">
        <f t="shared" si="404"/>
        <v>7.0931619879399666E-3</v>
      </c>
      <c r="V221" s="39">
        <f t="shared" si="382"/>
        <v>8.0444214829870839E-3</v>
      </c>
      <c r="W221" s="40">
        <f t="shared" si="307"/>
        <v>8.0444214829870839E-3</v>
      </c>
      <c r="X221" s="40" t="s">
        <v>3710</v>
      </c>
      <c r="Y221" s="217">
        <f t="shared" si="308"/>
        <v>0.96533057795845001</v>
      </c>
      <c r="Z221" s="217">
        <f t="shared" si="309"/>
        <v>0.16088842965974168</v>
      </c>
    </row>
    <row r="222" spans="1:26" x14ac:dyDescent="0.25">
      <c r="A222" s="229">
        <f t="shared" si="383"/>
        <v>3212</v>
      </c>
      <c r="B222" s="230">
        <f t="shared" si="384"/>
        <v>212</v>
      </c>
      <c r="C222" s="229" t="str">
        <f t="shared" si="377"/>
        <v>24cX19_340-090_08</v>
      </c>
      <c r="D222" s="231">
        <f t="shared" si="338"/>
        <v>19</v>
      </c>
      <c r="E222" s="239">
        <f t="shared" si="357"/>
        <v>2.7790000000000004</v>
      </c>
      <c r="F222" s="232">
        <f t="shared" si="358"/>
        <v>14.626315789473686</v>
      </c>
      <c r="G222" s="232">
        <f t="shared" si="359"/>
        <v>11.70105263157895</v>
      </c>
      <c r="H222" s="232">
        <f t="shared" si="360"/>
        <v>7.3131578947368432</v>
      </c>
      <c r="I222" s="232">
        <f t="shared" si="354"/>
        <v>8</v>
      </c>
      <c r="J222" s="233">
        <f t="shared" si="386"/>
        <v>-20</v>
      </c>
      <c r="K222" s="228" t="str">
        <f>D222&amp;-8</f>
        <v>19-8</v>
      </c>
      <c r="L222" s="232">
        <f t="shared" si="378"/>
        <v>0.2</v>
      </c>
      <c r="M222" s="235">
        <v>90</v>
      </c>
      <c r="N222" s="232">
        <f t="shared" ref="N222:O222" si="407">N221</f>
        <v>150</v>
      </c>
      <c r="O222" s="232">
        <f t="shared" si="407"/>
        <v>750</v>
      </c>
      <c r="Q222" s="38">
        <f t="shared" si="380"/>
        <v>18</v>
      </c>
      <c r="R222" s="38">
        <f t="shared" si="398"/>
        <v>20</v>
      </c>
      <c r="S222" s="39">
        <f t="shared" si="402"/>
        <v>0.98915328946183989</v>
      </c>
      <c r="T222" s="39">
        <f t="shared" si="403"/>
        <v>0.99624645144977986</v>
      </c>
      <c r="U222" s="39">
        <f t="shared" si="404"/>
        <v>7.0931619879399666E-3</v>
      </c>
      <c r="V222" s="39">
        <f t="shared" si="382"/>
        <v>8.0444214829870839E-3</v>
      </c>
      <c r="W222" s="40">
        <f t="shared" si="307"/>
        <v>8.0444214829870839E-3</v>
      </c>
      <c r="X222" s="40" t="s">
        <v>3710</v>
      </c>
      <c r="Y222" s="217">
        <f t="shared" si="308"/>
        <v>0.96533057795845001</v>
      </c>
      <c r="Z222" s="217">
        <f t="shared" si="309"/>
        <v>0.16088842965974168</v>
      </c>
    </row>
    <row r="223" spans="1:26" x14ac:dyDescent="0.25">
      <c r="A223" s="229">
        <f t="shared" si="383"/>
        <v>3213</v>
      </c>
      <c r="B223" s="230">
        <f t="shared" si="384"/>
        <v>213</v>
      </c>
      <c r="C223" s="229" t="str">
        <f t="shared" si="377"/>
        <v>24cX19_340-000_09</v>
      </c>
      <c r="D223" s="231">
        <f t="shared" si="338"/>
        <v>19</v>
      </c>
      <c r="E223" s="239">
        <f t="shared" si="357"/>
        <v>2.7790000000000004</v>
      </c>
      <c r="F223" s="232">
        <f t="shared" si="358"/>
        <v>14.626315789473686</v>
      </c>
      <c r="G223" s="232">
        <f t="shared" si="359"/>
        <v>11.70105263157895</v>
      </c>
      <c r="H223" s="232">
        <f t="shared" si="360"/>
        <v>7.3131578947368432</v>
      </c>
      <c r="I223" s="232">
        <f t="shared" si="354"/>
        <v>8</v>
      </c>
      <c r="J223" s="233">
        <f t="shared" si="386"/>
        <v>-20</v>
      </c>
      <c r="K223" s="228" t="str">
        <f>D223&amp;-9</f>
        <v>19-9</v>
      </c>
      <c r="L223" s="232">
        <f t="shared" si="378"/>
        <v>0.2</v>
      </c>
      <c r="M223" s="235">
        <v>0</v>
      </c>
      <c r="N223" s="232">
        <f t="shared" ref="N223:O223" si="408">N222</f>
        <v>150</v>
      </c>
      <c r="O223" s="232">
        <f t="shared" si="408"/>
        <v>750</v>
      </c>
      <c r="Q223" s="38">
        <f t="shared" si="380"/>
        <v>18</v>
      </c>
      <c r="R223" s="38">
        <f t="shared" si="398"/>
        <v>20</v>
      </c>
      <c r="S223" s="39">
        <f t="shared" si="402"/>
        <v>0.98915328946183989</v>
      </c>
      <c r="T223" s="39">
        <f t="shared" si="403"/>
        <v>0.99624645144977986</v>
      </c>
      <c r="U223" s="39">
        <f t="shared" si="404"/>
        <v>7.0931619879399666E-3</v>
      </c>
      <c r="V223" s="39">
        <f t="shared" si="382"/>
        <v>8.0444214829870839E-3</v>
      </c>
      <c r="W223" s="40">
        <f t="shared" si="307"/>
        <v>8.0444214829870839E-3</v>
      </c>
      <c r="X223" s="40" t="s">
        <v>3710</v>
      </c>
      <c r="Y223" s="217">
        <f t="shared" si="308"/>
        <v>0.96533057795845001</v>
      </c>
      <c r="Z223" s="217">
        <f t="shared" si="309"/>
        <v>0.16088842965974168</v>
      </c>
    </row>
    <row r="224" spans="1:26" x14ac:dyDescent="0.25">
      <c r="A224" s="229">
        <f t="shared" si="383"/>
        <v>3214</v>
      </c>
      <c r="B224" s="230">
        <f t="shared" si="384"/>
        <v>214</v>
      </c>
      <c r="C224" s="229" t="str">
        <f t="shared" si="377"/>
        <v>24cX19_340-030_10</v>
      </c>
      <c r="D224" s="231">
        <f t="shared" si="338"/>
        <v>19</v>
      </c>
      <c r="E224" s="239">
        <f t="shared" si="357"/>
        <v>2.7790000000000004</v>
      </c>
      <c r="F224" s="232">
        <f t="shared" si="358"/>
        <v>14.626315789473686</v>
      </c>
      <c r="G224" s="232">
        <f t="shared" si="359"/>
        <v>11.70105263157895</v>
      </c>
      <c r="H224" s="232">
        <f t="shared" si="360"/>
        <v>7.3131578947368432</v>
      </c>
      <c r="I224" s="232">
        <f t="shared" si="354"/>
        <v>8</v>
      </c>
      <c r="J224" s="233">
        <f t="shared" si="386"/>
        <v>-20</v>
      </c>
      <c r="K224" s="228" t="str">
        <f>D224&amp;-10</f>
        <v>19-10</v>
      </c>
      <c r="L224" s="232">
        <f t="shared" si="378"/>
        <v>0.2</v>
      </c>
      <c r="M224" s="235">
        <v>30</v>
      </c>
      <c r="N224" s="232">
        <f t="shared" ref="N224:O224" si="409">N223</f>
        <v>150</v>
      </c>
      <c r="O224" s="232">
        <f t="shared" si="409"/>
        <v>750</v>
      </c>
      <c r="Q224" s="38">
        <f t="shared" si="380"/>
        <v>18</v>
      </c>
      <c r="R224" s="38">
        <f t="shared" si="398"/>
        <v>20</v>
      </c>
      <c r="S224" s="39">
        <f t="shared" si="402"/>
        <v>0.98915328946183989</v>
      </c>
      <c r="T224" s="39">
        <f t="shared" si="403"/>
        <v>0.99624645144977986</v>
      </c>
      <c r="U224" s="39">
        <f t="shared" si="404"/>
        <v>7.0931619879399666E-3</v>
      </c>
      <c r="V224" s="39">
        <f t="shared" si="382"/>
        <v>8.0444214829870839E-3</v>
      </c>
      <c r="W224" s="40">
        <f t="shared" si="307"/>
        <v>8.0444214829870839E-3</v>
      </c>
      <c r="X224" s="40" t="s">
        <v>3710</v>
      </c>
      <c r="Y224" s="217">
        <f t="shared" si="308"/>
        <v>0.96533057795845001</v>
      </c>
      <c r="Z224" s="217">
        <f t="shared" si="309"/>
        <v>0.16088842965974168</v>
      </c>
    </row>
    <row r="225" spans="1:26" x14ac:dyDescent="0.25">
      <c r="A225" s="229">
        <f t="shared" si="383"/>
        <v>3215</v>
      </c>
      <c r="B225" s="230">
        <f t="shared" si="384"/>
        <v>215</v>
      </c>
      <c r="C225" s="229" t="str">
        <f t="shared" si="377"/>
        <v>24cX19_340-060_11</v>
      </c>
      <c r="D225" s="231">
        <f t="shared" si="338"/>
        <v>19</v>
      </c>
      <c r="E225" s="239">
        <f t="shared" si="357"/>
        <v>2.7790000000000004</v>
      </c>
      <c r="F225" s="232">
        <f t="shared" si="358"/>
        <v>14.626315789473686</v>
      </c>
      <c r="G225" s="232">
        <f t="shared" si="359"/>
        <v>11.70105263157895</v>
      </c>
      <c r="H225" s="232">
        <f t="shared" si="360"/>
        <v>7.3131578947368432</v>
      </c>
      <c r="I225" s="232">
        <f t="shared" si="354"/>
        <v>8</v>
      </c>
      <c r="J225" s="233">
        <f t="shared" si="386"/>
        <v>-20</v>
      </c>
      <c r="K225" s="228" t="str">
        <f>D225&amp;-11</f>
        <v>19-11</v>
      </c>
      <c r="L225" s="232">
        <f t="shared" si="378"/>
        <v>0.2</v>
      </c>
      <c r="M225" s="235">
        <v>60</v>
      </c>
      <c r="N225" s="232">
        <f t="shared" ref="N225:O225" si="410">N224</f>
        <v>150</v>
      </c>
      <c r="O225" s="232">
        <f t="shared" si="410"/>
        <v>750</v>
      </c>
      <c r="Q225" s="38">
        <f t="shared" si="380"/>
        <v>18</v>
      </c>
      <c r="R225" s="38">
        <f t="shared" si="398"/>
        <v>20</v>
      </c>
      <c r="S225" s="39">
        <f t="shared" si="402"/>
        <v>0.98915328946183989</v>
      </c>
      <c r="T225" s="39">
        <f t="shared" si="403"/>
        <v>0.99624645144977986</v>
      </c>
      <c r="U225" s="39">
        <f t="shared" si="404"/>
        <v>7.0931619879399666E-3</v>
      </c>
      <c r="V225" s="39">
        <f t="shared" si="382"/>
        <v>8.0444214829870839E-3</v>
      </c>
      <c r="W225" s="40">
        <f t="shared" si="307"/>
        <v>8.0444214829870839E-3</v>
      </c>
      <c r="X225" s="40" t="s">
        <v>3710</v>
      </c>
      <c r="Y225" s="217">
        <f t="shared" si="308"/>
        <v>0.96533057795845001</v>
      </c>
      <c r="Z225" s="217">
        <f t="shared" si="309"/>
        <v>0.16088842965974168</v>
      </c>
    </row>
    <row r="226" spans="1:26" x14ac:dyDescent="0.25">
      <c r="A226" s="229">
        <f t="shared" si="383"/>
        <v>3216</v>
      </c>
      <c r="B226" s="230">
        <f t="shared" si="384"/>
        <v>216</v>
      </c>
      <c r="C226" s="229" t="str">
        <f t="shared" si="377"/>
        <v>24cX19_340-090_12</v>
      </c>
      <c r="D226" s="231">
        <f t="shared" si="338"/>
        <v>19</v>
      </c>
      <c r="E226" s="239">
        <f t="shared" si="357"/>
        <v>2.7790000000000004</v>
      </c>
      <c r="F226" s="232">
        <f t="shared" si="358"/>
        <v>14.626315789473686</v>
      </c>
      <c r="G226" s="232">
        <f t="shared" si="359"/>
        <v>11.70105263157895</v>
      </c>
      <c r="H226" s="232">
        <f t="shared" si="360"/>
        <v>7.3131578947368432</v>
      </c>
      <c r="I226" s="232">
        <f t="shared" si="354"/>
        <v>8</v>
      </c>
      <c r="J226" s="233">
        <f t="shared" si="386"/>
        <v>-20</v>
      </c>
      <c r="K226" s="228" t="str">
        <f>D226&amp;-12</f>
        <v>19-12</v>
      </c>
      <c r="L226" s="232">
        <f t="shared" si="378"/>
        <v>0.2</v>
      </c>
      <c r="M226" s="235">
        <v>90</v>
      </c>
      <c r="N226" s="232">
        <f t="shared" ref="N226:O226" si="411">N225</f>
        <v>150</v>
      </c>
      <c r="O226" s="232">
        <f t="shared" si="411"/>
        <v>750</v>
      </c>
      <c r="Q226" s="38">
        <f t="shared" si="380"/>
        <v>18</v>
      </c>
      <c r="R226" s="38">
        <f t="shared" si="398"/>
        <v>20</v>
      </c>
      <c r="S226" s="39">
        <f t="shared" si="402"/>
        <v>0.98915328946183989</v>
      </c>
      <c r="T226" s="39">
        <f t="shared" si="403"/>
        <v>0.99624645144977986</v>
      </c>
      <c r="U226" s="39">
        <f t="shared" si="404"/>
        <v>7.0931619879399666E-3</v>
      </c>
      <c r="V226" s="39">
        <f t="shared" si="382"/>
        <v>8.0444214829870839E-3</v>
      </c>
      <c r="W226" s="40">
        <f t="shared" si="307"/>
        <v>8.0444214829870839E-3</v>
      </c>
      <c r="X226" s="40" t="s">
        <v>3710</v>
      </c>
      <c r="Y226" s="217">
        <f t="shared" si="308"/>
        <v>0.96533057795845001</v>
      </c>
      <c r="Z226" s="217">
        <f t="shared" si="309"/>
        <v>0.16088842965974168</v>
      </c>
    </row>
    <row r="227" spans="1:26" x14ac:dyDescent="0.25">
      <c r="A227" s="229">
        <f t="shared" si="383"/>
        <v>3217</v>
      </c>
      <c r="B227" s="230">
        <f t="shared" si="384"/>
        <v>217</v>
      </c>
      <c r="C227" s="229" t="str">
        <f t="shared" si="377"/>
        <v>24cX21_020-000_01</v>
      </c>
      <c r="D227" s="231">
        <f t="shared" ref="D227:D275" si="412">D226+2</f>
        <v>21</v>
      </c>
      <c r="E227" s="239">
        <f t="shared" si="357"/>
        <v>2.9890000000000003</v>
      </c>
      <c r="F227" s="232">
        <f t="shared" si="358"/>
        <v>14.233333333333334</v>
      </c>
      <c r="G227" s="232">
        <f t="shared" si="359"/>
        <v>11.386666666666668</v>
      </c>
      <c r="H227" s="232">
        <f t="shared" si="360"/>
        <v>7.1166666666666671</v>
      </c>
      <c r="I227" s="232">
        <f t="shared" si="354"/>
        <v>8</v>
      </c>
      <c r="J227" s="233">
        <v>20</v>
      </c>
      <c r="K227" s="228" t="str">
        <f>D227&amp;-1</f>
        <v>21-1</v>
      </c>
      <c r="L227" s="232">
        <f>alpha_n</f>
        <v>0.2</v>
      </c>
      <c r="M227" s="235">
        <v>0</v>
      </c>
      <c r="N227" s="232">
        <f>t_out</f>
        <v>150</v>
      </c>
      <c r="O227" s="232">
        <f>N227+T_s1</f>
        <v>750</v>
      </c>
      <c r="Q227" s="38">
        <f t="shared" ref="Q227" si="413">R226</f>
        <v>20</v>
      </c>
      <c r="R227" s="38">
        <f>Q227+v_step</f>
        <v>22</v>
      </c>
      <c r="S227" s="39">
        <f t="shared" si="402"/>
        <v>0.99624645144977986</v>
      </c>
      <c r="T227" s="39">
        <f t="shared" si="403"/>
        <v>0.99883835115349351</v>
      </c>
      <c r="U227" s="39">
        <f t="shared" si="404"/>
        <v>2.5918997037136515E-3</v>
      </c>
      <c r="V227" s="39">
        <f t="shared" si="382"/>
        <v>2.9394977435666064E-3</v>
      </c>
      <c r="W227" s="40">
        <f t="shared" si="307"/>
        <v>2.9394977435666064E-3</v>
      </c>
      <c r="X227" s="40" t="s">
        <v>3710</v>
      </c>
      <c r="Y227" s="217">
        <f t="shared" si="308"/>
        <v>0.35273972922799279</v>
      </c>
      <c r="Z227" s="217">
        <f t="shared" si="309"/>
        <v>5.878995487133213E-2</v>
      </c>
    </row>
    <row r="228" spans="1:26" x14ac:dyDescent="0.25">
      <c r="A228" s="229">
        <f t="shared" si="383"/>
        <v>3218</v>
      </c>
      <c r="B228" s="230">
        <f t="shared" si="384"/>
        <v>218</v>
      </c>
      <c r="C228" s="229" t="str">
        <f t="shared" si="377"/>
        <v>24cX21_020-030_02</v>
      </c>
      <c r="D228" s="231">
        <f t="shared" ref="D228:D276" si="414">D227</f>
        <v>21</v>
      </c>
      <c r="E228" s="239">
        <f t="shared" si="357"/>
        <v>2.9890000000000003</v>
      </c>
      <c r="F228" s="232">
        <f t="shared" si="358"/>
        <v>14.233333333333334</v>
      </c>
      <c r="G228" s="232">
        <f t="shared" si="359"/>
        <v>11.386666666666668</v>
      </c>
      <c r="H228" s="232">
        <f t="shared" si="360"/>
        <v>7.1166666666666671</v>
      </c>
      <c r="I228" s="232">
        <f t="shared" si="354"/>
        <v>8</v>
      </c>
      <c r="J228" s="233">
        <f t="shared" si="354"/>
        <v>20</v>
      </c>
      <c r="K228" s="228" t="str">
        <f>D228&amp;-2</f>
        <v>21-2</v>
      </c>
      <c r="L228" s="232">
        <f t="shared" ref="L228:L250" si="415">L227</f>
        <v>0.2</v>
      </c>
      <c r="M228" s="235">
        <v>30</v>
      </c>
      <c r="N228" s="232">
        <f t="shared" ref="N228:O228" si="416">N227</f>
        <v>150</v>
      </c>
      <c r="O228" s="232">
        <f t="shared" si="416"/>
        <v>750</v>
      </c>
      <c r="Q228" s="38">
        <f t="shared" ref="Q228" si="417">Q227</f>
        <v>20</v>
      </c>
      <c r="R228" s="38">
        <f t="shared" ref="R228" si="418">R227</f>
        <v>22</v>
      </c>
      <c r="S228" s="39">
        <f t="shared" si="402"/>
        <v>0.99624645144977986</v>
      </c>
      <c r="T228" s="39">
        <f t="shared" si="403"/>
        <v>0.99883835115349351</v>
      </c>
      <c r="U228" s="39">
        <f t="shared" si="404"/>
        <v>2.5918997037136515E-3</v>
      </c>
      <c r="V228" s="39">
        <f t="shared" si="382"/>
        <v>2.9394977435666064E-3</v>
      </c>
      <c r="W228" s="40">
        <f t="shared" si="307"/>
        <v>2.9394977435666064E-3</v>
      </c>
      <c r="X228" s="40" t="s">
        <v>3710</v>
      </c>
      <c r="Y228" s="217">
        <f t="shared" si="308"/>
        <v>0.35273972922799279</v>
      </c>
      <c r="Z228" s="217">
        <f t="shared" si="309"/>
        <v>5.878995487133213E-2</v>
      </c>
    </row>
    <row r="229" spans="1:26" x14ac:dyDescent="0.25">
      <c r="A229" s="229">
        <f t="shared" si="383"/>
        <v>3219</v>
      </c>
      <c r="B229" s="230">
        <f t="shared" si="384"/>
        <v>219</v>
      </c>
      <c r="C229" s="229" t="str">
        <f t="shared" si="377"/>
        <v>24cX21_020-060_03</v>
      </c>
      <c r="D229" s="231">
        <f t="shared" si="338"/>
        <v>21</v>
      </c>
      <c r="E229" s="239">
        <f t="shared" si="357"/>
        <v>2.9890000000000003</v>
      </c>
      <c r="F229" s="232">
        <f t="shared" si="358"/>
        <v>14.233333333333334</v>
      </c>
      <c r="G229" s="232">
        <f t="shared" si="359"/>
        <v>11.386666666666668</v>
      </c>
      <c r="H229" s="232">
        <f t="shared" si="360"/>
        <v>7.1166666666666671</v>
      </c>
      <c r="I229" s="232">
        <f t="shared" si="354"/>
        <v>8</v>
      </c>
      <c r="J229" s="233">
        <f t="shared" si="354"/>
        <v>20</v>
      </c>
      <c r="K229" s="228" t="str">
        <f>D229&amp;-3</f>
        <v>21-3</v>
      </c>
      <c r="L229" s="232">
        <f t="shared" si="415"/>
        <v>0.2</v>
      </c>
      <c r="M229" s="235">
        <v>60</v>
      </c>
      <c r="N229" s="232">
        <f t="shared" ref="N229:O229" si="419">N228</f>
        <v>150</v>
      </c>
      <c r="O229" s="232">
        <f t="shared" si="419"/>
        <v>750</v>
      </c>
      <c r="Q229" s="38">
        <f t="shared" ref="Q229:R229" si="420">Q228</f>
        <v>20</v>
      </c>
      <c r="R229" s="38">
        <f t="shared" si="420"/>
        <v>22</v>
      </c>
      <c r="S229" s="39">
        <f t="shared" si="402"/>
        <v>0.99624645144977986</v>
      </c>
      <c r="T229" s="39">
        <f t="shared" si="403"/>
        <v>0.99883835115349351</v>
      </c>
      <c r="U229" s="39">
        <f t="shared" si="404"/>
        <v>2.5918997037136515E-3</v>
      </c>
      <c r="V229" s="39">
        <f t="shared" si="382"/>
        <v>2.9394977435666064E-3</v>
      </c>
      <c r="W229" s="40">
        <f t="shared" si="307"/>
        <v>2.9394977435666064E-3</v>
      </c>
      <c r="X229" s="40" t="s">
        <v>3710</v>
      </c>
      <c r="Y229" s="217">
        <f t="shared" si="308"/>
        <v>0.35273972922799279</v>
      </c>
      <c r="Z229" s="217">
        <f t="shared" si="309"/>
        <v>5.878995487133213E-2</v>
      </c>
    </row>
    <row r="230" spans="1:26" x14ac:dyDescent="0.25">
      <c r="A230" s="229">
        <f t="shared" si="383"/>
        <v>3220</v>
      </c>
      <c r="B230" s="230">
        <f t="shared" si="384"/>
        <v>220</v>
      </c>
      <c r="C230" s="229" t="str">
        <f t="shared" si="377"/>
        <v>24cX21_020-090_04</v>
      </c>
      <c r="D230" s="231">
        <f t="shared" si="338"/>
        <v>21</v>
      </c>
      <c r="E230" s="239">
        <f t="shared" si="357"/>
        <v>2.9890000000000003</v>
      </c>
      <c r="F230" s="232">
        <f t="shared" si="358"/>
        <v>14.233333333333334</v>
      </c>
      <c r="G230" s="232">
        <f t="shared" si="359"/>
        <v>11.386666666666668</v>
      </c>
      <c r="H230" s="232">
        <f t="shared" si="360"/>
        <v>7.1166666666666671</v>
      </c>
      <c r="I230" s="232">
        <f t="shared" si="354"/>
        <v>8</v>
      </c>
      <c r="J230" s="233">
        <f t="shared" si="354"/>
        <v>20</v>
      </c>
      <c r="K230" s="228" t="str">
        <f>D230&amp;-4</f>
        <v>21-4</v>
      </c>
      <c r="L230" s="232">
        <f t="shared" si="415"/>
        <v>0.2</v>
      </c>
      <c r="M230" s="235">
        <v>90</v>
      </c>
      <c r="N230" s="232">
        <f t="shared" ref="N230:O230" si="421">N229</f>
        <v>150</v>
      </c>
      <c r="O230" s="232">
        <f t="shared" si="421"/>
        <v>750</v>
      </c>
      <c r="Q230" s="38">
        <f t="shared" ref="Q230:R230" si="422">Q229</f>
        <v>20</v>
      </c>
      <c r="R230" s="38">
        <f t="shared" si="422"/>
        <v>22</v>
      </c>
      <c r="S230" s="39">
        <f t="shared" si="402"/>
        <v>0.99624645144977986</v>
      </c>
      <c r="T230" s="39">
        <f t="shared" si="403"/>
        <v>0.99883835115349351</v>
      </c>
      <c r="U230" s="39">
        <f t="shared" si="404"/>
        <v>2.5918997037136515E-3</v>
      </c>
      <c r="V230" s="39">
        <f t="shared" si="382"/>
        <v>2.9394977435666064E-3</v>
      </c>
      <c r="W230" s="40">
        <f t="shared" si="307"/>
        <v>2.9394977435666064E-3</v>
      </c>
      <c r="X230" s="40" t="s">
        <v>3710</v>
      </c>
      <c r="Y230" s="217">
        <f t="shared" si="308"/>
        <v>0.35273972922799279</v>
      </c>
      <c r="Z230" s="217">
        <f t="shared" si="309"/>
        <v>5.878995487133213E-2</v>
      </c>
    </row>
    <row r="231" spans="1:26" x14ac:dyDescent="0.25">
      <c r="A231" s="229">
        <f t="shared" si="383"/>
        <v>3221</v>
      </c>
      <c r="B231" s="230">
        <f t="shared" si="384"/>
        <v>221</v>
      </c>
      <c r="C231" s="229" t="str">
        <f t="shared" si="377"/>
        <v>24cX21_020-000_05</v>
      </c>
      <c r="D231" s="231">
        <f t="shared" si="338"/>
        <v>21</v>
      </c>
      <c r="E231" s="239">
        <f t="shared" si="357"/>
        <v>2.9890000000000003</v>
      </c>
      <c r="F231" s="232">
        <f t="shared" si="358"/>
        <v>14.233333333333334</v>
      </c>
      <c r="G231" s="232">
        <f t="shared" si="359"/>
        <v>11.386666666666668</v>
      </c>
      <c r="H231" s="232">
        <f t="shared" si="360"/>
        <v>7.1166666666666671</v>
      </c>
      <c r="I231" s="232">
        <f t="shared" ref="I231" si="423">I230</f>
        <v>8</v>
      </c>
      <c r="J231" s="233">
        <f t="shared" si="354"/>
        <v>20</v>
      </c>
      <c r="K231" s="228" t="str">
        <f>D231&amp;-5</f>
        <v>21-5</v>
      </c>
      <c r="L231" s="232">
        <f t="shared" si="415"/>
        <v>0.2</v>
      </c>
      <c r="M231" s="235">
        <v>0</v>
      </c>
      <c r="N231" s="232">
        <f t="shared" ref="N231:O231" si="424">N230</f>
        <v>150</v>
      </c>
      <c r="O231" s="232">
        <f t="shared" si="424"/>
        <v>750</v>
      </c>
      <c r="Q231" s="38">
        <f t="shared" ref="Q231:R231" si="425">Q230</f>
        <v>20</v>
      </c>
      <c r="R231" s="38">
        <f t="shared" si="425"/>
        <v>22</v>
      </c>
      <c r="S231" s="39">
        <f t="shared" si="402"/>
        <v>0.99624645144977986</v>
      </c>
      <c r="T231" s="39">
        <f t="shared" si="403"/>
        <v>0.99883835115349351</v>
      </c>
      <c r="U231" s="39">
        <f t="shared" si="404"/>
        <v>2.5918997037136515E-3</v>
      </c>
      <c r="V231" s="39">
        <f t="shared" si="382"/>
        <v>2.9394977435666064E-3</v>
      </c>
      <c r="W231" s="40">
        <f t="shared" si="307"/>
        <v>2.9394977435666064E-3</v>
      </c>
      <c r="X231" s="40" t="s">
        <v>3710</v>
      </c>
      <c r="Y231" s="217">
        <f t="shared" si="308"/>
        <v>0.35273972922799279</v>
      </c>
      <c r="Z231" s="217">
        <f t="shared" si="309"/>
        <v>5.878995487133213E-2</v>
      </c>
    </row>
    <row r="232" spans="1:26" x14ac:dyDescent="0.25">
      <c r="A232" s="229">
        <f t="shared" si="383"/>
        <v>3222</v>
      </c>
      <c r="B232" s="230">
        <f t="shared" si="384"/>
        <v>222</v>
      </c>
      <c r="C232" s="229" t="str">
        <f t="shared" si="377"/>
        <v>24cX21_020-030_06</v>
      </c>
      <c r="D232" s="231">
        <f t="shared" si="338"/>
        <v>21</v>
      </c>
      <c r="E232" s="239">
        <f t="shared" si="357"/>
        <v>2.9890000000000003</v>
      </c>
      <c r="F232" s="232">
        <f t="shared" si="358"/>
        <v>14.233333333333334</v>
      </c>
      <c r="G232" s="232">
        <f t="shared" si="359"/>
        <v>11.386666666666668</v>
      </c>
      <c r="H232" s="232">
        <f t="shared" si="360"/>
        <v>7.1166666666666671</v>
      </c>
      <c r="I232" s="232">
        <f t="shared" si="386"/>
        <v>8</v>
      </c>
      <c r="J232" s="233">
        <f t="shared" si="354"/>
        <v>20</v>
      </c>
      <c r="K232" s="228" t="str">
        <f>D232&amp;-6</f>
        <v>21-6</v>
      </c>
      <c r="L232" s="232">
        <f t="shared" si="415"/>
        <v>0.2</v>
      </c>
      <c r="M232" s="235">
        <v>30</v>
      </c>
      <c r="N232" s="232">
        <f t="shared" ref="N232:O232" si="426">N231</f>
        <v>150</v>
      </c>
      <c r="O232" s="232">
        <f t="shared" si="426"/>
        <v>750</v>
      </c>
      <c r="Q232" s="38">
        <f t="shared" ref="Q232:R232" si="427">Q231</f>
        <v>20</v>
      </c>
      <c r="R232" s="38">
        <f t="shared" si="427"/>
        <v>22</v>
      </c>
      <c r="S232" s="39">
        <f t="shared" si="402"/>
        <v>0.99624645144977986</v>
      </c>
      <c r="T232" s="39">
        <f t="shared" si="403"/>
        <v>0.99883835115349351</v>
      </c>
      <c r="U232" s="39">
        <f t="shared" si="404"/>
        <v>2.5918997037136515E-3</v>
      </c>
      <c r="V232" s="39">
        <f t="shared" si="382"/>
        <v>2.9394977435666064E-3</v>
      </c>
      <c r="W232" s="40">
        <f t="shared" si="307"/>
        <v>2.9394977435666064E-3</v>
      </c>
      <c r="X232" s="40" t="s">
        <v>3710</v>
      </c>
      <c r="Y232" s="217">
        <f t="shared" si="308"/>
        <v>0.35273972922799279</v>
      </c>
      <c r="Z232" s="217">
        <f t="shared" si="309"/>
        <v>5.878995487133213E-2</v>
      </c>
    </row>
    <row r="233" spans="1:26" x14ac:dyDescent="0.25">
      <c r="A233" s="229">
        <f t="shared" si="383"/>
        <v>3223</v>
      </c>
      <c r="B233" s="230">
        <f t="shared" si="384"/>
        <v>223</v>
      </c>
      <c r="C233" s="229" t="str">
        <f t="shared" si="377"/>
        <v>24cX21_020-060_07</v>
      </c>
      <c r="D233" s="231">
        <f t="shared" si="338"/>
        <v>21</v>
      </c>
      <c r="E233" s="239">
        <f t="shared" si="357"/>
        <v>2.9890000000000003</v>
      </c>
      <c r="F233" s="232">
        <f t="shared" si="358"/>
        <v>14.233333333333334</v>
      </c>
      <c r="G233" s="232">
        <f t="shared" si="359"/>
        <v>11.386666666666668</v>
      </c>
      <c r="H233" s="232">
        <f t="shared" si="360"/>
        <v>7.1166666666666671</v>
      </c>
      <c r="I233" s="232">
        <f t="shared" si="386"/>
        <v>8</v>
      </c>
      <c r="J233" s="233">
        <f t="shared" si="354"/>
        <v>20</v>
      </c>
      <c r="K233" s="228" t="str">
        <f>D233&amp;-7</f>
        <v>21-7</v>
      </c>
      <c r="L233" s="232">
        <f t="shared" si="415"/>
        <v>0.2</v>
      </c>
      <c r="M233" s="235">
        <v>60</v>
      </c>
      <c r="N233" s="232">
        <f t="shared" ref="N233:O233" si="428">N232</f>
        <v>150</v>
      </c>
      <c r="O233" s="232">
        <f t="shared" si="428"/>
        <v>750</v>
      </c>
      <c r="Q233" s="38">
        <f t="shared" ref="Q233:R233" si="429">Q232</f>
        <v>20</v>
      </c>
      <c r="R233" s="38">
        <f t="shared" si="429"/>
        <v>22</v>
      </c>
      <c r="S233" s="39">
        <f t="shared" si="402"/>
        <v>0.99624645144977986</v>
      </c>
      <c r="T233" s="39">
        <f t="shared" si="403"/>
        <v>0.99883835115349351</v>
      </c>
      <c r="U233" s="39">
        <f t="shared" si="404"/>
        <v>2.5918997037136515E-3</v>
      </c>
      <c r="V233" s="39">
        <f t="shared" si="382"/>
        <v>2.9394977435666064E-3</v>
      </c>
      <c r="W233" s="40">
        <f t="shared" si="307"/>
        <v>2.9394977435666064E-3</v>
      </c>
      <c r="X233" s="40" t="s">
        <v>3710</v>
      </c>
      <c r="Y233" s="217">
        <f t="shared" si="308"/>
        <v>0.35273972922799279</v>
      </c>
      <c r="Z233" s="217">
        <f t="shared" si="309"/>
        <v>5.878995487133213E-2</v>
      </c>
    </row>
    <row r="234" spans="1:26" x14ac:dyDescent="0.25">
      <c r="A234" s="229">
        <f t="shared" si="383"/>
        <v>3224</v>
      </c>
      <c r="B234" s="230">
        <f t="shared" si="384"/>
        <v>224</v>
      </c>
      <c r="C234" s="229" t="str">
        <f t="shared" si="377"/>
        <v>24cX21_020-090_08</v>
      </c>
      <c r="D234" s="231">
        <f t="shared" si="338"/>
        <v>21</v>
      </c>
      <c r="E234" s="239">
        <f t="shared" si="357"/>
        <v>2.9890000000000003</v>
      </c>
      <c r="F234" s="232">
        <f t="shared" si="358"/>
        <v>14.233333333333334</v>
      </c>
      <c r="G234" s="232">
        <f t="shared" si="359"/>
        <v>11.386666666666668</v>
      </c>
      <c r="H234" s="232">
        <f t="shared" si="360"/>
        <v>7.1166666666666671</v>
      </c>
      <c r="I234" s="232">
        <f t="shared" si="386"/>
        <v>8</v>
      </c>
      <c r="J234" s="233">
        <f t="shared" si="354"/>
        <v>20</v>
      </c>
      <c r="K234" s="228" t="str">
        <f>D234&amp;-8</f>
        <v>21-8</v>
      </c>
      <c r="L234" s="232">
        <f t="shared" si="415"/>
        <v>0.2</v>
      </c>
      <c r="M234" s="235">
        <v>90</v>
      </c>
      <c r="N234" s="232">
        <f t="shared" ref="N234:O234" si="430">N233</f>
        <v>150</v>
      </c>
      <c r="O234" s="232">
        <f t="shared" si="430"/>
        <v>750</v>
      </c>
      <c r="Q234" s="38">
        <f t="shared" ref="Q234:R234" si="431">Q233</f>
        <v>20</v>
      </c>
      <c r="R234" s="38">
        <f t="shared" si="431"/>
        <v>22</v>
      </c>
      <c r="S234" s="39">
        <f t="shared" si="402"/>
        <v>0.99624645144977986</v>
      </c>
      <c r="T234" s="39">
        <f t="shared" si="403"/>
        <v>0.99883835115349351</v>
      </c>
      <c r="U234" s="39">
        <f t="shared" si="404"/>
        <v>2.5918997037136515E-3</v>
      </c>
      <c r="V234" s="39">
        <f t="shared" si="382"/>
        <v>2.9394977435666064E-3</v>
      </c>
      <c r="W234" s="40">
        <f t="shared" si="307"/>
        <v>2.9394977435666064E-3</v>
      </c>
      <c r="X234" s="40" t="s">
        <v>3710</v>
      </c>
      <c r="Y234" s="217">
        <f t="shared" si="308"/>
        <v>0.35273972922799279</v>
      </c>
      <c r="Z234" s="217">
        <f t="shared" si="309"/>
        <v>5.878995487133213E-2</v>
      </c>
    </row>
    <row r="235" spans="1:26" x14ac:dyDescent="0.25">
      <c r="A235" s="229">
        <f t="shared" si="383"/>
        <v>3225</v>
      </c>
      <c r="B235" s="230">
        <f t="shared" si="384"/>
        <v>225</v>
      </c>
      <c r="C235" s="229" t="str">
        <f t="shared" si="377"/>
        <v>24cX21_020-000_09</v>
      </c>
      <c r="D235" s="231">
        <f t="shared" si="338"/>
        <v>21</v>
      </c>
      <c r="E235" s="239">
        <f t="shared" si="357"/>
        <v>2.9890000000000003</v>
      </c>
      <c r="F235" s="232">
        <f t="shared" si="358"/>
        <v>14.233333333333334</v>
      </c>
      <c r="G235" s="232">
        <f t="shared" si="359"/>
        <v>11.386666666666668</v>
      </c>
      <c r="H235" s="232">
        <f t="shared" si="360"/>
        <v>7.1166666666666671</v>
      </c>
      <c r="I235" s="232">
        <f t="shared" si="386"/>
        <v>8</v>
      </c>
      <c r="J235" s="233">
        <f t="shared" si="354"/>
        <v>20</v>
      </c>
      <c r="K235" s="228" t="str">
        <f>D235&amp;-9</f>
        <v>21-9</v>
      </c>
      <c r="L235" s="232">
        <f t="shared" si="415"/>
        <v>0.2</v>
      </c>
      <c r="M235" s="235">
        <v>0</v>
      </c>
      <c r="N235" s="232">
        <f t="shared" ref="N235:O235" si="432">N234</f>
        <v>150</v>
      </c>
      <c r="O235" s="232">
        <f t="shared" si="432"/>
        <v>750</v>
      </c>
      <c r="Q235" s="38">
        <f t="shared" ref="Q235:R235" si="433">Q234</f>
        <v>20</v>
      </c>
      <c r="R235" s="38">
        <f t="shared" si="433"/>
        <v>22</v>
      </c>
      <c r="S235" s="39">
        <f t="shared" si="402"/>
        <v>0.99624645144977986</v>
      </c>
      <c r="T235" s="39">
        <f t="shared" si="403"/>
        <v>0.99883835115349351</v>
      </c>
      <c r="U235" s="39">
        <f t="shared" si="404"/>
        <v>2.5918997037136515E-3</v>
      </c>
      <c r="V235" s="39">
        <f t="shared" si="382"/>
        <v>2.9394977435666064E-3</v>
      </c>
      <c r="W235" s="40">
        <f t="shared" ref="W235:W298" si="434">H_hy*V235/24</f>
        <v>2.9394977435666064E-3</v>
      </c>
      <c r="X235" s="40" t="s">
        <v>3710</v>
      </c>
      <c r="Y235" s="217">
        <f t="shared" ref="Y235:Y298" si="435">Z235*3600/(O235-N235)</f>
        <v>0.35273972922799279</v>
      </c>
      <c r="Z235" s="217">
        <f t="shared" ref="Z235:Z298" si="436">W235*20</f>
        <v>5.878995487133213E-2</v>
      </c>
    </row>
    <row r="236" spans="1:26" x14ac:dyDescent="0.25">
      <c r="A236" s="229">
        <f t="shared" si="383"/>
        <v>3226</v>
      </c>
      <c r="B236" s="230">
        <f t="shared" si="384"/>
        <v>226</v>
      </c>
      <c r="C236" s="229" t="str">
        <f t="shared" si="377"/>
        <v>24cX21_020-030_10</v>
      </c>
      <c r="D236" s="231">
        <f t="shared" si="338"/>
        <v>21</v>
      </c>
      <c r="E236" s="239">
        <f t="shared" si="357"/>
        <v>2.9890000000000003</v>
      </c>
      <c r="F236" s="232">
        <f t="shared" si="358"/>
        <v>14.233333333333334</v>
      </c>
      <c r="G236" s="232">
        <f t="shared" si="359"/>
        <v>11.386666666666668</v>
      </c>
      <c r="H236" s="232">
        <f t="shared" si="360"/>
        <v>7.1166666666666671</v>
      </c>
      <c r="I236" s="232">
        <f t="shared" si="386"/>
        <v>8</v>
      </c>
      <c r="J236" s="233">
        <f t="shared" si="354"/>
        <v>20</v>
      </c>
      <c r="K236" s="228" t="str">
        <f>D236&amp;-10</f>
        <v>21-10</v>
      </c>
      <c r="L236" s="232">
        <f t="shared" si="415"/>
        <v>0.2</v>
      </c>
      <c r="M236" s="235">
        <v>30</v>
      </c>
      <c r="N236" s="232">
        <f t="shared" ref="N236:O236" si="437">N235</f>
        <v>150</v>
      </c>
      <c r="O236" s="232">
        <f t="shared" si="437"/>
        <v>750</v>
      </c>
      <c r="Q236" s="38">
        <f t="shared" ref="Q236:R236" si="438">Q235</f>
        <v>20</v>
      </c>
      <c r="R236" s="38">
        <f t="shared" si="438"/>
        <v>22</v>
      </c>
      <c r="S236" s="39">
        <f t="shared" si="402"/>
        <v>0.99624645144977986</v>
      </c>
      <c r="T236" s="39">
        <f t="shared" si="403"/>
        <v>0.99883835115349351</v>
      </c>
      <c r="U236" s="39">
        <f t="shared" si="404"/>
        <v>2.5918997037136515E-3</v>
      </c>
      <c r="V236" s="39">
        <f t="shared" si="382"/>
        <v>2.9394977435666064E-3</v>
      </c>
      <c r="W236" s="40">
        <f t="shared" si="434"/>
        <v>2.9394977435666064E-3</v>
      </c>
      <c r="X236" s="40" t="s">
        <v>3710</v>
      </c>
      <c r="Y236" s="217">
        <f t="shared" si="435"/>
        <v>0.35273972922799279</v>
      </c>
      <c r="Z236" s="217">
        <f t="shared" si="436"/>
        <v>5.878995487133213E-2</v>
      </c>
    </row>
    <row r="237" spans="1:26" x14ac:dyDescent="0.25">
      <c r="A237" s="229">
        <f t="shared" si="383"/>
        <v>3227</v>
      </c>
      <c r="B237" s="230">
        <f t="shared" si="384"/>
        <v>227</v>
      </c>
      <c r="C237" s="229" t="str">
        <f t="shared" si="377"/>
        <v>24cX21_020-060_11</v>
      </c>
      <c r="D237" s="231">
        <f t="shared" si="338"/>
        <v>21</v>
      </c>
      <c r="E237" s="239">
        <f t="shared" si="357"/>
        <v>2.9890000000000003</v>
      </c>
      <c r="F237" s="232">
        <f t="shared" si="358"/>
        <v>14.233333333333334</v>
      </c>
      <c r="G237" s="232">
        <f t="shared" si="359"/>
        <v>11.386666666666668</v>
      </c>
      <c r="H237" s="232">
        <f t="shared" si="360"/>
        <v>7.1166666666666671</v>
      </c>
      <c r="I237" s="232">
        <f t="shared" si="386"/>
        <v>8</v>
      </c>
      <c r="J237" s="233">
        <f t="shared" si="354"/>
        <v>20</v>
      </c>
      <c r="K237" s="228" t="str">
        <f>D237&amp;-11</f>
        <v>21-11</v>
      </c>
      <c r="L237" s="232">
        <f t="shared" si="415"/>
        <v>0.2</v>
      </c>
      <c r="M237" s="235">
        <v>60</v>
      </c>
      <c r="N237" s="232">
        <f t="shared" ref="N237:O237" si="439">N236</f>
        <v>150</v>
      </c>
      <c r="O237" s="232">
        <f t="shared" si="439"/>
        <v>750</v>
      </c>
      <c r="Q237" s="38">
        <f t="shared" ref="Q237:R237" si="440">Q236</f>
        <v>20</v>
      </c>
      <c r="R237" s="38">
        <f t="shared" si="440"/>
        <v>22</v>
      </c>
      <c r="S237" s="39">
        <f t="shared" si="402"/>
        <v>0.99624645144977986</v>
      </c>
      <c r="T237" s="39">
        <f t="shared" si="403"/>
        <v>0.99883835115349351</v>
      </c>
      <c r="U237" s="39">
        <f t="shared" si="404"/>
        <v>2.5918997037136515E-3</v>
      </c>
      <c r="V237" s="39">
        <f t="shared" si="382"/>
        <v>2.9394977435666064E-3</v>
      </c>
      <c r="W237" s="40">
        <f t="shared" si="434"/>
        <v>2.9394977435666064E-3</v>
      </c>
      <c r="X237" s="40" t="s">
        <v>3710</v>
      </c>
      <c r="Y237" s="217">
        <f t="shared" si="435"/>
        <v>0.35273972922799279</v>
      </c>
      <c r="Z237" s="217">
        <f t="shared" si="436"/>
        <v>5.878995487133213E-2</v>
      </c>
    </row>
    <row r="238" spans="1:26" x14ac:dyDescent="0.25">
      <c r="A238" s="229">
        <f t="shared" si="383"/>
        <v>3228</v>
      </c>
      <c r="B238" s="230">
        <f t="shared" si="384"/>
        <v>228</v>
      </c>
      <c r="C238" s="229" t="str">
        <f t="shared" si="377"/>
        <v>24cX21_020-090_12</v>
      </c>
      <c r="D238" s="231">
        <f t="shared" si="338"/>
        <v>21</v>
      </c>
      <c r="E238" s="239">
        <f t="shared" si="357"/>
        <v>2.9890000000000003</v>
      </c>
      <c r="F238" s="232">
        <f t="shared" si="358"/>
        <v>14.233333333333334</v>
      </c>
      <c r="G238" s="232">
        <f t="shared" si="359"/>
        <v>11.386666666666668</v>
      </c>
      <c r="H238" s="232">
        <f t="shared" si="360"/>
        <v>7.1166666666666671</v>
      </c>
      <c r="I238" s="232">
        <f t="shared" si="386"/>
        <v>8</v>
      </c>
      <c r="J238" s="233">
        <f t="shared" si="354"/>
        <v>20</v>
      </c>
      <c r="K238" s="228" t="str">
        <f>D238&amp;-12</f>
        <v>21-12</v>
      </c>
      <c r="L238" s="232">
        <f t="shared" si="415"/>
        <v>0.2</v>
      </c>
      <c r="M238" s="235">
        <v>90</v>
      </c>
      <c r="N238" s="232">
        <f t="shared" ref="N238:O238" si="441">N237</f>
        <v>150</v>
      </c>
      <c r="O238" s="232">
        <f t="shared" si="441"/>
        <v>750</v>
      </c>
      <c r="Q238" s="38">
        <f t="shared" ref="Q238:R238" si="442">Q237</f>
        <v>20</v>
      </c>
      <c r="R238" s="38">
        <f t="shared" si="442"/>
        <v>22</v>
      </c>
      <c r="S238" s="39">
        <f t="shared" si="402"/>
        <v>0.99624645144977986</v>
      </c>
      <c r="T238" s="39">
        <f t="shared" si="403"/>
        <v>0.99883835115349351</v>
      </c>
      <c r="U238" s="39">
        <f t="shared" si="404"/>
        <v>2.5918997037136515E-3</v>
      </c>
      <c r="V238" s="39">
        <f t="shared" si="382"/>
        <v>2.9394977435666064E-3</v>
      </c>
      <c r="W238" s="40">
        <f t="shared" si="434"/>
        <v>2.9394977435666064E-3</v>
      </c>
      <c r="X238" s="40" t="s">
        <v>3710</v>
      </c>
      <c r="Y238" s="217">
        <f t="shared" si="435"/>
        <v>0.35273972922799279</v>
      </c>
      <c r="Z238" s="217">
        <f t="shared" si="436"/>
        <v>5.878995487133213E-2</v>
      </c>
    </row>
    <row r="239" spans="1:26" x14ac:dyDescent="0.25">
      <c r="A239" s="229">
        <f t="shared" si="383"/>
        <v>3229</v>
      </c>
      <c r="B239" s="230">
        <f t="shared" si="384"/>
        <v>229</v>
      </c>
      <c r="C239" s="229" t="str">
        <f t="shared" si="377"/>
        <v>24cX21_340-000_01</v>
      </c>
      <c r="D239" s="231">
        <f t="shared" si="338"/>
        <v>21</v>
      </c>
      <c r="E239" s="239">
        <f t="shared" si="357"/>
        <v>2.9890000000000003</v>
      </c>
      <c r="F239" s="232">
        <f t="shared" si="358"/>
        <v>14.233333333333334</v>
      </c>
      <c r="G239" s="232">
        <f t="shared" si="359"/>
        <v>11.386666666666668</v>
      </c>
      <c r="H239" s="232">
        <f t="shared" si="360"/>
        <v>7.1166666666666671</v>
      </c>
      <c r="I239" s="232">
        <f t="shared" si="386"/>
        <v>8</v>
      </c>
      <c r="J239" s="233">
        <f>-J227</f>
        <v>-20</v>
      </c>
      <c r="K239" s="228" t="str">
        <f>D239&amp;-1</f>
        <v>21-1</v>
      </c>
      <c r="L239" s="232">
        <f t="shared" si="415"/>
        <v>0.2</v>
      </c>
      <c r="M239" s="235">
        <v>0</v>
      </c>
      <c r="N239" s="232">
        <f t="shared" ref="N239:O239" si="443">N238</f>
        <v>150</v>
      </c>
      <c r="O239" s="232">
        <f t="shared" si="443"/>
        <v>750</v>
      </c>
      <c r="Q239" s="38">
        <f t="shared" ref="Q239:Q240" si="444">Q238</f>
        <v>20</v>
      </c>
      <c r="R239" s="38">
        <f>Q239+v_step</f>
        <v>22</v>
      </c>
      <c r="S239" s="39">
        <f t="shared" si="402"/>
        <v>0.99624645144977986</v>
      </c>
      <c r="T239" s="39">
        <f t="shared" si="403"/>
        <v>0.99883835115349351</v>
      </c>
      <c r="U239" s="39">
        <f t="shared" si="404"/>
        <v>2.5918997037136515E-3</v>
      </c>
      <c r="V239" s="39">
        <f t="shared" si="382"/>
        <v>2.9394977435666064E-3</v>
      </c>
      <c r="W239" s="40">
        <f t="shared" si="434"/>
        <v>2.9394977435666064E-3</v>
      </c>
      <c r="X239" s="40" t="s">
        <v>3710</v>
      </c>
      <c r="Y239" s="217">
        <f t="shared" si="435"/>
        <v>0.35273972922799279</v>
      </c>
      <c r="Z239" s="217">
        <f t="shared" si="436"/>
        <v>5.878995487133213E-2</v>
      </c>
    </row>
    <row r="240" spans="1:26" x14ac:dyDescent="0.25">
      <c r="A240" s="229">
        <f t="shared" si="383"/>
        <v>3230</v>
      </c>
      <c r="B240" s="230">
        <f t="shared" si="384"/>
        <v>230</v>
      </c>
      <c r="C240" s="229" t="str">
        <f t="shared" si="377"/>
        <v>24cX21_340-030_02</v>
      </c>
      <c r="D240" s="231">
        <f t="shared" si="338"/>
        <v>21</v>
      </c>
      <c r="E240" s="239">
        <f t="shared" si="357"/>
        <v>2.9890000000000003</v>
      </c>
      <c r="F240" s="232">
        <f t="shared" si="358"/>
        <v>14.233333333333334</v>
      </c>
      <c r="G240" s="232">
        <f t="shared" si="359"/>
        <v>11.386666666666668</v>
      </c>
      <c r="H240" s="232">
        <f t="shared" si="360"/>
        <v>7.1166666666666671</v>
      </c>
      <c r="I240" s="232">
        <f t="shared" si="386"/>
        <v>8</v>
      </c>
      <c r="J240" s="233">
        <f t="shared" si="386"/>
        <v>-20</v>
      </c>
      <c r="K240" s="228" t="str">
        <f>D240&amp;-2</f>
        <v>21-2</v>
      </c>
      <c r="L240" s="232">
        <f t="shared" si="415"/>
        <v>0.2</v>
      </c>
      <c r="M240" s="235">
        <v>30</v>
      </c>
      <c r="N240" s="232">
        <f t="shared" ref="N240:O240" si="445">N239</f>
        <v>150</v>
      </c>
      <c r="O240" s="232">
        <f t="shared" si="445"/>
        <v>750</v>
      </c>
      <c r="Q240" s="38">
        <f t="shared" si="444"/>
        <v>20</v>
      </c>
      <c r="R240" s="38">
        <f t="shared" ref="R240" si="446">R239</f>
        <v>22</v>
      </c>
      <c r="S240" s="39">
        <f t="shared" si="402"/>
        <v>0.99624645144977986</v>
      </c>
      <c r="T240" s="39">
        <f t="shared" si="403"/>
        <v>0.99883835115349351</v>
      </c>
      <c r="U240" s="39">
        <f t="shared" si="404"/>
        <v>2.5918997037136515E-3</v>
      </c>
      <c r="V240" s="39">
        <f t="shared" si="382"/>
        <v>2.9394977435666064E-3</v>
      </c>
      <c r="W240" s="40">
        <f t="shared" si="434"/>
        <v>2.9394977435666064E-3</v>
      </c>
      <c r="X240" s="40" t="s">
        <v>3710</v>
      </c>
      <c r="Y240" s="217">
        <f t="shared" si="435"/>
        <v>0.35273972922799279</v>
      </c>
      <c r="Z240" s="217">
        <f t="shared" si="436"/>
        <v>5.878995487133213E-2</v>
      </c>
    </row>
    <row r="241" spans="1:26" x14ac:dyDescent="0.25">
      <c r="A241" s="229">
        <f t="shared" si="383"/>
        <v>3231</v>
      </c>
      <c r="B241" s="230">
        <f t="shared" si="384"/>
        <v>231</v>
      </c>
      <c r="C241" s="229" t="str">
        <f t="shared" si="377"/>
        <v>24cX21_340-060_03</v>
      </c>
      <c r="D241" s="231">
        <f t="shared" si="338"/>
        <v>21</v>
      </c>
      <c r="E241" s="239">
        <f t="shared" si="357"/>
        <v>2.9890000000000003</v>
      </c>
      <c r="F241" s="232">
        <f t="shared" si="358"/>
        <v>14.233333333333334</v>
      </c>
      <c r="G241" s="232">
        <f t="shared" si="359"/>
        <v>11.386666666666668</v>
      </c>
      <c r="H241" s="232">
        <f t="shared" si="360"/>
        <v>7.1166666666666671</v>
      </c>
      <c r="I241" s="232">
        <f t="shared" si="386"/>
        <v>8</v>
      </c>
      <c r="J241" s="233">
        <f t="shared" si="386"/>
        <v>-20</v>
      </c>
      <c r="K241" s="228" t="str">
        <f>D241&amp;-3</f>
        <v>21-3</v>
      </c>
      <c r="L241" s="232">
        <f t="shared" si="415"/>
        <v>0.2</v>
      </c>
      <c r="M241" s="235">
        <v>60</v>
      </c>
      <c r="N241" s="232">
        <f t="shared" ref="N241:O241" si="447">N240</f>
        <v>150</v>
      </c>
      <c r="O241" s="232">
        <f t="shared" si="447"/>
        <v>750</v>
      </c>
      <c r="Q241" s="38">
        <f t="shared" ref="Q241:R241" si="448">Q240</f>
        <v>20</v>
      </c>
      <c r="R241" s="38">
        <f t="shared" si="448"/>
        <v>22</v>
      </c>
      <c r="S241" s="39">
        <f t="shared" si="402"/>
        <v>0.99624645144977986</v>
      </c>
      <c r="T241" s="39">
        <f t="shared" si="403"/>
        <v>0.99883835115349351</v>
      </c>
      <c r="U241" s="39">
        <f t="shared" si="404"/>
        <v>2.5918997037136515E-3</v>
      </c>
      <c r="V241" s="39">
        <f t="shared" si="382"/>
        <v>2.9394977435666064E-3</v>
      </c>
      <c r="W241" s="40">
        <f t="shared" si="434"/>
        <v>2.9394977435666064E-3</v>
      </c>
      <c r="X241" s="40" t="s">
        <v>3710</v>
      </c>
      <c r="Y241" s="217">
        <f t="shared" si="435"/>
        <v>0.35273972922799279</v>
      </c>
      <c r="Z241" s="217">
        <f t="shared" si="436"/>
        <v>5.878995487133213E-2</v>
      </c>
    </row>
    <row r="242" spans="1:26" x14ac:dyDescent="0.25">
      <c r="A242" s="229">
        <f t="shared" si="383"/>
        <v>3232</v>
      </c>
      <c r="B242" s="230">
        <f t="shared" si="384"/>
        <v>232</v>
      </c>
      <c r="C242" s="229" t="str">
        <f t="shared" si="377"/>
        <v>24cX21_340-090_04</v>
      </c>
      <c r="D242" s="231">
        <f t="shared" si="338"/>
        <v>21</v>
      </c>
      <c r="E242" s="239">
        <f t="shared" si="357"/>
        <v>2.9890000000000003</v>
      </c>
      <c r="F242" s="232">
        <f t="shared" si="358"/>
        <v>14.233333333333334</v>
      </c>
      <c r="G242" s="232">
        <f t="shared" si="359"/>
        <v>11.386666666666668</v>
      </c>
      <c r="H242" s="232">
        <f t="shared" si="360"/>
        <v>7.1166666666666671</v>
      </c>
      <c r="I242" s="232">
        <f t="shared" si="386"/>
        <v>8</v>
      </c>
      <c r="J242" s="233">
        <f t="shared" si="386"/>
        <v>-20</v>
      </c>
      <c r="K242" s="228" t="str">
        <f>D242&amp;-4</f>
        <v>21-4</v>
      </c>
      <c r="L242" s="232">
        <f t="shared" si="415"/>
        <v>0.2</v>
      </c>
      <c r="M242" s="235">
        <v>90</v>
      </c>
      <c r="N242" s="232">
        <f t="shared" ref="N242:O242" si="449">N241</f>
        <v>150</v>
      </c>
      <c r="O242" s="232">
        <f t="shared" si="449"/>
        <v>750</v>
      </c>
      <c r="Q242" s="38">
        <f t="shared" ref="Q242:R242" si="450">Q241</f>
        <v>20</v>
      </c>
      <c r="R242" s="38">
        <f t="shared" si="450"/>
        <v>22</v>
      </c>
      <c r="S242" s="39">
        <f t="shared" si="402"/>
        <v>0.99624645144977986</v>
      </c>
      <c r="T242" s="39">
        <f t="shared" si="403"/>
        <v>0.99883835115349351</v>
      </c>
      <c r="U242" s="39">
        <f t="shared" si="404"/>
        <v>2.5918997037136515E-3</v>
      </c>
      <c r="V242" s="39">
        <f t="shared" si="382"/>
        <v>2.9394977435666064E-3</v>
      </c>
      <c r="W242" s="40">
        <f t="shared" si="434"/>
        <v>2.9394977435666064E-3</v>
      </c>
      <c r="X242" s="40" t="s">
        <v>3710</v>
      </c>
      <c r="Y242" s="217">
        <f t="shared" si="435"/>
        <v>0.35273972922799279</v>
      </c>
      <c r="Z242" s="217">
        <f t="shared" si="436"/>
        <v>5.878995487133213E-2</v>
      </c>
    </row>
    <row r="243" spans="1:26" x14ac:dyDescent="0.25">
      <c r="A243" s="229">
        <f t="shared" si="383"/>
        <v>3233</v>
      </c>
      <c r="B243" s="230">
        <f t="shared" si="384"/>
        <v>233</v>
      </c>
      <c r="C243" s="229" t="str">
        <f t="shared" si="377"/>
        <v>24cX21_340-000_05</v>
      </c>
      <c r="D243" s="231">
        <f t="shared" si="338"/>
        <v>21</v>
      </c>
      <c r="E243" s="239">
        <f t="shared" si="357"/>
        <v>2.9890000000000003</v>
      </c>
      <c r="F243" s="232">
        <f t="shared" si="358"/>
        <v>14.233333333333334</v>
      </c>
      <c r="G243" s="232">
        <f t="shared" si="359"/>
        <v>11.386666666666668</v>
      </c>
      <c r="H243" s="232">
        <f t="shared" si="360"/>
        <v>7.1166666666666671</v>
      </c>
      <c r="I243" s="232">
        <f t="shared" si="386"/>
        <v>8</v>
      </c>
      <c r="J243" s="233">
        <f t="shared" si="386"/>
        <v>-20</v>
      </c>
      <c r="K243" s="228" t="str">
        <f>D243&amp;-5</f>
        <v>21-5</v>
      </c>
      <c r="L243" s="232">
        <f t="shared" si="415"/>
        <v>0.2</v>
      </c>
      <c r="M243" s="235">
        <v>0</v>
      </c>
      <c r="N243" s="232">
        <f t="shared" ref="N243:O243" si="451">N242</f>
        <v>150</v>
      </c>
      <c r="O243" s="232">
        <f t="shared" si="451"/>
        <v>750</v>
      </c>
      <c r="Q243" s="38">
        <f t="shared" ref="Q243:R243" si="452">Q242</f>
        <v>20</v>
      </c>
      <c r="R243" s="38">
        <f t="shared" si="452"/>
        <v>22</v>
      </c>
      <c r="S243" s="39">
        <f t="shared" si="402"/>
        <v>0.99624645144977986</v>
      </c>
      <c r="T243" s="39">
        <f t="shared" si="403"/>
        <v>0.99883835115349351</v>
      </c>
      <c r="U243" s="39">
        <f t="shared" si="404"/>
        <v>2.5918997037136515E-3</v>
      </c>
      <c r="V243" s="39">
        <f t="shared" si="382"/>
        <v>2.9394977435666064E-3</v>
      </c>
      <c r="W243" s="40">
        <f t="shared" si="434"/>
        <v>2.9394977435666064E-3</v>
      </c>
      <c r="X243" s="40" t="s">
        <v>3710</v>
      </c>
      <c r="Y243" s="217">
        <f t="shared" si="435"/>
        <v>0.35273972922799279</v>
      </c>
      <c r="Z243" s="217">
        <f t="shared" si="436"/>
        <v>5.878995487133213E-2</v>
      </c>
    </row>
    <row r="244" spans="1:26" x14ac:dyDescent="0.25">
      <c r="A244" s="229">
        <f t="shared" si="383"/>
        <v>3234</v>
      </c>
      <c r="B244" s="230">
        <f t="shared" si="384"/>
        <v>234</v>
      </c>
      <c r="C244" s="229" t="str">
        <f t="shared" si="377"/>
        <v>24cX21_340-030_06</v>
      </c>
      <c r="D244" s="231">
        <f t="shared" si="338"/>
        <v>21</v>
      </c>
      <c r="E244" s="239">
        <f t="shared" si="357"/>
        <v>2.9890000000000003</v>
      </c>
      <c r="F244" s="232">
        <f t="shared" si="358"/>
        <v>14.233333333333334</v>
      </c>
      <c r="G244" s="232">
        <f t="shared" si="359"/>
        <v>11.386666666666668</v>
      </c>
      <c r="H244" s="232">
        <f t="shared" si="360"/>
        <v>7.1166666666666671</v>
      </c>
      <c r="I244" s="232">
        <f t="shared" si="386"/>
        <v>8</v>
      </c>
      <c r="J244" s="233">
        <f t="shared" si="386"/>
        <v>-20</v>
      </c>
      <c r="K244" s="228" t="str">
        <f>D244&amp;-6</f>
        <v>21-6</v>
      </c>
      <c r="L244" s="232">
        <f t="shared" si="415"/>
        <v>0.2</v>
      </c>
      <c r="M244" s="235">
        <v>30</v>
      </c>
      <c r="N244" s="232">
        <f t="shared" ref="N244:O244" si="453">N243</f>
        <v>150</v>
      </c>
      <c r="O244" s="232">
        <f t="shared" si="453"/>
        <v>750</v>
      </c>
      <c r="Q244" s="38">
        <f t="shared" ref="Q244:R244" si="454">Q243</f>
        <v>20</v>
      </c>
      <c r="R244" s="38">
        <f t="shared" si="454"/>
        <v>22</v>
      </c>
      <c r="S244" s="39">
        <f t="shared" si="402"/>
        <v>0.99624645144977986</v>
      </c>
      <c r="T244" s="39">
        <f t="shared" si="403"/>
        <v>0.99883835115349351</v>
      </c>
      <c r="U244" s="39">
        <f t="shared" si="404"/>
        <v>2.5918997037136515E-3</v>
      </c>
      <c r="V244" s="39">
        <f t="shared" si="382"/>
        <v>2.9394977435666064E-3</v>
      </c>
      <c r="W244" s="40">
        <f t="shared" si="434"/>
        <v>2.9394977435666064E-3</v>
      </c>
      <c r="X244" s="40" t="s">
        <v>3710</v>
      </c>
      <c r="Y244" s="217">
        <f t="shared" si="435"/>
        <v>0.35273972922799279</v>
      </c>
      <c r="Z244" s="217">
        <f t="shared" si="436"/>
        <v>5.878995487133213E-2</v>
      </c>
    </row>
    <row r="245" spans="1:26" x14ac:dyDescent="0.25">
      <c r="A245" s="229">
        <f t="shared" si="383"/>
        <v>3235</v>
      </c>
      <c r="B245" s="230">
        <f t="shared" si="384"/>
        <v>235</v>
      </c>
      <c r="C245" s="229" t="str">
        <f t="shared" si="377"/>
        <v>24cX21_340-060_07</v>
      </c>
      <c r="D245" s="231">
        <f t="shared" si="338"/>
        <v>21</v>
      </c>
      <c r="E245" s="239">
        <f t="shared" si="357"/>
        <v>2.9890000000000003</v>
      </c>
      <c r="F245" s="232">
        <f t="shared" si="358"/>
        <v>14.233333333333334</v>
      </c>
      <c r="G245" s="232">
        <f t="shared" si="359"/>
        <v>11.386666666666668</v>
      </c>
      <c r="H245" s="232">
        <f t="shared" si="360"/>
        <v>7.1166666666666671</v>
      </c>
      <c r="I245" s="232">
        <f t="shared" si="354"/>
        <v>8</v>
      </c>
      <c r="J245" s="233">
        <f t="shared" si="386"/>
        <v>-20</v>
      </c>
      <c r="K245" s="228" t="str">
        <f>D245&amp;-7</f>
        <v>21-7</v>
      </c>
      <c r="L245" s="232">
        <f t="shared" si="415"/>
        <v>0.2</v>
      </c>
      <c r="M245" s="235">
        <v>60</v>
      </c>
      <c r="N245" s="232">
        <f t="shared" ref="N245:O245" si="455">N244</f>
        <v>150</v>
      </c>
      <c r="O245" s="232">
        <f t="shared" si="455"/>
        <v>750</v>
      </c>
      <c r="Q245" s="38">
        <f t="shared" ref="Q245:R245" si="456">Q244</f>
        <v>20</v>
      </c>
      <c r="R245" s="38">
        <f t="shared" si="456"/>
        <v>22</v>
      </c>
      <c r="S245" s="39">
        <f t="shared" si="402"/>
        <v>0.99624645144977986</v>
      </c>
      <c r="T245" s="39">
        <f t="shared" si="403"/>
        <v>0.99883835115349351</v>
      </c>
      <c r="U245" s="39">
        <f t="shared" si="404"/>
        <v>2.5918997037136515E-3</v>
      </c>
      <c r="V245" s="39">
        <f t="shared" si="382"/>
        <v>2.9394977435666064E-3</v>
      </c>
      <c r="W245" s="40">
        <f t="shared" si="434"/>
        <v>2.9394977435666064E-3</v>
      </c>
      <c r="X245" s="40" t="s">
        <v>3710</v>
      </c>
      <c r="Y245" s="217">
        <f t="shared" si="435"/>
        <v>0.35273972922799279</v>
      </c>
      <c r="Z245" s="217">
        <f t="shared" si="436"/>
        <v>5.878995487133213E-2</v>
      </c>
    </row>
    <row r="246" spans="1:26" x14ac:dyDescent="0.25">
      <c r="A246" s="229">
        <f t="shared" si="383"/>
        <v>3236</v>
      </c>
      <c r="B246" s="230">
        <f t="shared" si="384"/>
        <v>236</v>
      </c>
      <c r="C246" s="229" t="str">
        <f t="shared" si="377"/>
        <v>24cX21_340-090_08</v>
      </c>
      <c r="D246" s="231">
        <f t="shared" si="338"/>
        <v>21</v>
      </c>
      <c r="E246" s="239">
        <f t="shared" si="357"/>
        <v>2.9890000000000003</v>
      </c>
      <c r="F246" s="232">
        <f t="shared" si="358"/>
        <v>14.233333333333334</v>
      </c>
      <c r="G246" s="232">
        <f t="shared" si="359"/>
        <v>11.386666666666668</v>
      </c>
      <c r="H246" s="232">
        <f t="shared" si="360"/>
        <v>7.1166666666666671</v>
      </c>
      <c r="I246" s="232">
        <f t="shared" si="354"/>
        <v>8</v>
      </c>
      <c r="J246" s="233">
        <f t="shared" si="386"/>
        <v>-20</v>
      </c>
      <c r="K246" s="228" t="str">
        <f>D246&amp;-8</f>
        <v>21-8</v>
      </c>
      <c r="L246" s="232">
        <f t="shared" si="415"/>
        <v>0.2</v>
      </c>
      <c r="M246" s="235">
        <v>90</v>
      </c>
      <c r="N246" s="232">
        <f t="shared" ref="N246:O246" si="457">N245</f>
        <v>150</v>
      </c>
      <c r="O246" s="232">
        <f t="shared" si="457"/>
        <v>750</v>
      </c>
      <c r="Q246" s="38">
        <f t="shared" ref="Q246:R246" si="458">Q245</f>
        <v>20</v>
      </c>
      <c r="R246" s="38">
        <f t="shared" si="458"/>
        <v>22</v>
      </c>
      <c r="S246" s="39">
        <f t="shared" si="402"/>
        <v>0.99624645144977986</v>
      </c>
      <c r="T246" s="39">
        <f t="shared" si="403"/>
        <v>0.99883835115349351</v>
      </c>
      <c r="U246" s="39">
        <f t="shared" si="404"/>
        <v>2.5918997037136515E-3</v>
      </c>
      <c r="V246" s="39">
        <f t="shared" si="382"/>
        <v>2.9394977435666064E-3</v>
      </c>
      <c r="W246" s="40">
        <f t="shared" si="434"/>
        <v>2.9394977435666064E-3</v>
      </c>
      <c r="X246" s="40" t="s">
        <v>3710</v>
      </c>
      <c r="Y246" s="217">
        <f t="shared" si="435"/>
        <v>0.35273972922799279</v>
      </c>
      <c r="Z246" s="217">
        <f t="shared" si="436"/>
        <v>5.878995487133213E-2</v>
      </c>
    </row>
    <row r="247" spans="1:26" x14ac:dyDescent="0.25">
      <c r="A247" s="229">
        <f t="shared" si="383"/>
        <v>3237</v>
      </c>
      <c r="B247" s="230">
        <f t="shared" si="384"/>
        <v>237</v>
      </c>
      <c r="C247" s="229" t="str">
        <f t="shared" si="377"/>
        <v>24cX21_340-000_09</v>
      </c>
      <c r="D247" s="231">
        <f t="shared" si="338"/>
        <v>21</v>
      </c>
      <c r="E247" s="239">
        <f t="shared" si="357"/>
        <v>2.9890000000000003</v>
      </c>
      <c r="F247" s="232">
        <f t="shared" si="358"/>
        <v>14.233333333333334</v>
      </c>
      <c r="G247" s="232">
        <f t="shared" si="359"/>
        <v>11.386666666666668</v>
      </c>
      <c r="H247" s="232">
        <f t="shared" si="360"/>
        <v>7.1166666666666671</v>
      </c>
      <c r="I247" s="232">
        <f t="shared" si="354"/>
        <v>8</v>
      </c>
      <c r="J247" s="233">
        <f t="shared" si="386"/>
        <v>-20</v>
      </c>
      <c r="K247" s="228" t="str">
        <f>D247&amp;-9</f>
        <v>21-9</v>
      </c>
      <c r="L247" s="232">
        <f t="shared" si="415"/>
        <v>0.2</v>
      </c>
      <c r="M247" s="235">
        <v>0</v>
      </c>
      <c r="N247" s="232">
        <f t="shared" ref="N247:O247" si="459">N246</f>
        <v>150</v>
      </c>
      <c r="O247" s="232">
        <f t="shared" si="459"/>
        <v>750</v>
      </c>
      <c r="Q247" s="38">
        <f t="shared" ref="Q247:R247" si="460">Q246</f>
        <v>20</v>
      </c>
      <c r="R247" s="38">
        <f t="shared" si="460"/>
        <v>22</v>
      </c>
      <c r="S247" s="39">
        <f t="shared" si="402"/>
        <v>0.99624645144977986</v>
      </c>
      <c r="T247" s="39">
        <f t="shared" si="403"/>
        <v>0.99883835115349351</v>
      </c>
      <c r="U247" s="39">
        <f t="shared" si="404"/>
        <v>2.5918997037136515E-3</v>
      </c>
      <c r="V247" s="39">
        <f t="shared" si="382"/>
        <v>2.9394977435666064E-3</v>
      </c>
      <c r="W247" s="40">
        <f t="shared" si="434"/>
        <v>2.9394977435666064E-3</v>
      </c>
      <c r="X247" s="40" t="s">
        <v>3710</v>
      </c>
      <c r="Y247" s="217">
        <f t="shared" si="435"/>
        <v>0.35273972922799279</v>
      </c>
      <c r="Z247" s="217">
        <f t="shared" si="436"/>
        <v>5.878995487133213E-2</v>
      </c>
    </row>
    <row r="248" spans="1:26" x14ac:dyDescent="0.25">
      <c r="A248" s="229">
        <f t="shared" si="383"/>
        <v>3238</v>
      </c>
      <c r="B248" s="230">
        <f t="shared" si="384"/>
        <v>238</v>
      </c>
      <c r="C248" s="229" t="str">
        <f t="shared" si="377"/>
        <v>24cX21_340-030_10</v>
      </c>
      <c r="D248" s="231">
        <f t="shared" si="338"/>
        <v>21</v>
      </c>
      <c r="E248" s="239">
        <f t="shared" si="357"/>
        <v>2.9890000000000003</v>
      </c>
      <c r="F248" s="232">
        <f t="shared" si="358"/>
        <v>14.233333333333334</v>
      </c>
      <c r="G248" s="232">
        <f t="shared" si="359"/>
        <v>11.386666666666668</v>
      </c>
      <c r="H248" s="232">
        <f t="shared" si="360"/>
        <v>7.1166666666666671</v>
      </c>
      <c r="I248" s="232">
        <f t="shared" si="354"/>
        <v>8</v>
      </c>
      <c r="J248" s="233">
        <f t="shared" si="386"/>
        <v>-20</v>
      </c>
      <c r="K248" s="228" t="str">
        <f>D248&amp;-10</f>
        <v>21-10</v>
      </c>
      <c r="L248" s="232">
        <f t="shared" si="415"/>
        <v>0.2</v>
      </c>
      <c r="M248" s="235">
        <v>30</v>
      </c>
      <c r="N248" s="232">
        <f t="shared" ref="N248:O248" si="461">N247</f>
        <v>150</v>
      </c>
      <c r="O248" s="232">
        <f t="shared" si="461"/>
        <v>750</v>
      </c>
      <c r="Q248" s="38">
        <f t="shared" ref="Q248:R248" si="462">Q247</f>
        <v>20</v>
      </c>
      <c r="R248" s="38">
        <f t="shared" si="462"/>
        <v>22</v>
      </c>
      <c r="S248" s="39">
        <f t="shared" si="402"/>
        <v>0.99624645144977986</v>
      </c>
      <c r="T248" s="39">
        <f t="shared" si="403"/>
        <v>0.99883835115349351</v>
      </c>
      <c r="U248" s="39">
        <f t="shared" si="404"/>
        <v>2.5918997037136515E-3</v>
      </c>
      <c r="V248" s="39">
        <f t="shared" si="382"/>
        <v>2.9394977435666064E-3</v>
      </c>
      <c r="W248" s="40">
        <f t="shared" si="434"/>
        <v>2.9394977435666064E-3</v>
      </c>
      <c r="X248" s="40" t="s">
        <v>3710</v>
      </c>
      <c r="Y248" s="217">
        <f t="shared" si="435"/>
        <v>0.35273972922799279</v>
      </c>
      <c r="Z248" s="217">
        <f t="shared" si="436"/>
        <v>5.878995487133213E-2</v>
      </c>
    </row>
    <row r="249" spans="1:26" x14ac:dyDescent="0.25">
      <c r="A249" s="229">
        <f t="shared" si="383"/>
        <v>3239</v>
      </c>
      <c r="B249" s="230">
        <f t="shared" si="384"/>
        <v>239</v>
      </c>
      <c r="C249" s="229" t="str">
        <f t="shared" si="377"/>
        <v>24cX21_340-060_11</v>
      </c>
      <c r="D249" s="231">
        <f t="shared" si="338"/>
        <v>21</v>
      </c>
      <c r="E249" s="239">
        <f t="shared" si="357"/>
        <v>2.9890000000000003</v>
      </c>
      <c r="F249" s="232">
        <f t="shared" si="358"/>
        <v>14.233333333333334</v>
      </c>
      <c r="G249" s="232">
        <f t="shared" si="359"/>
        <v>11.386666666666668</v>
      </c>
      <c r="H249" s="232">
        <f t="shared" si="360"/>
        <v>7.1166666666666671</v>
      </c>
      <c r="I249" s="232">
        <f t="shared" si="354"/>
        <v>8</v>
      </c>
      <c r="J249" s="233">
        <f t="shared" si="386"/>
        <v>-20</v>
      </c>
      <c r="K249" s="228" t="str">
        <f>D249&amp;-11</f>
        <v>21-11</v>
      </c>
      <c r="L249" s="232">
        <f t="shared" si="415"/>
        <v>0.2</v>
      </c>
      <c r="M249" s="235">
        <v>60</v>
      </c>
      <c r="N249" s="232">
        <f t="shared" ref="N249:O249" si="463">N248</f>
        <v>150</v>
      </c>
      <c r="O249" s="232">
        <f t="shared" si="463"/>
        <v>750</v>
      </c>
      <c r="Q249" s="38">
        <f t="shared" ref="Q249:R249" si="464">Q248</f>
        <v>20</v>
      </c>
      <c r="R249" s="38">
        <f t="shared" si="464"/>
        <v>22</v>
      </c>
      <c r="S249" s="39">
        <f t="shared" si="402"/>
        <v>0.99624645144977986</v>
      </c>
      <c r="T249" s="39">
        <f t="shared" si="403"/>
        <v>0.99883835115349351</v>
      </c>
      <c r="U249" s="39">
        <f t="shared" si="404"/>
        <v>2.5918997037136515E-3</v>
      </c>
      <c r="V249" s="39">
        <f t="shared" si="382"/>
        <v>2.9394977435666064E-3</v>
      </c>
      <c r="W249" s="40">
        <f t="shared" si="434"/>
        <v>2.9394977435666064E-3</v>
      </c>
      <c r="X249" s="40" t="s">
        <v>3710</v>
      </c>
      <c r="Y249" s="217">
        <f t="shared" si="435"/>
        <v>0.35273972922799279</v>
      </c>
      <c r="Z249" s="217">
        <f t="shared" si="436"/>
        <v>5.878995487133213E-2</v>
      </c>
    </row>
    <row r="250" spans="1:26" x14ac:dyDescent="0.25">
      <c r="A250" s="229">
        <f t="shared" si="383"/>
        <v>3240</v>
      </c>
      <c r="B250" s="230">
        <f t="shared" si="384"/>
        <v>240</v>
      </c>
      <c r="C250" s="229" t="str">
        <f t="shared" si="377"/>
        <v>24cX21_340-090_12</v>
      </c>
      <c r="D250" s="231">
        <f t="shared" si="338"/>
        <v>21</v>
      </c>
      <c r="E250" s="239">
        <f t="shared" si="357"/>
        <v>2.9890000000000003</v>
      </c>
      <c r="F250" s="232">
        <f t="shared" si="358"/>
        <v>14.233333333333334</v>
      </c>
      <c r="G250" s="232">
        <f t="shared" si="359"/>
        <v>11.386666666666668</v>
      </c>
      <c r="H250" s="232">
        <f t="shared" si="360"/>
        <v>7.1166666666666671</v>
      </c>
      <c r="I250" s="232">
        <f t="shared" si="354"/>
        <v>8</v>
      </c>
      <c r="J250" s="233">
        <f t="shared" si="386"/>
        <v>-20</v>
      </c>
      <c r="K250" s="228" t="str">
        <f>D250&amp;-12</f>
        <v>21-12</v>
      </c>
      <c r="L250" s="232">
        <f t="shared" si="415"/>
        <v>0.2</v>
      </c>
      <c r="M250" s="235">
        <v>90</v>
      </c>
      <c r="N250" s="232">
        <f t="shared" ref="N250:O250" si="465">N249</f>
        <v>150</v>
      </c>
      <c r="O250" s="232">
        <f t="shared" si="465"/>
        <v>750</v>
      </c>
      <c r="Q250" s="38">
        <f t="shared" ref="Q250:R250" si="466">Q249</f>
        <v>20</v>
      </c>
      <c r="R250" s="38">
        <f t="shared" si="466"/>
        <v>22</v>
      </c>
      <c r="S250" s="39">
        <f t="shared" si="402"/>
        <v>0.99624645144977986</v>
      </c>
      <c r="T250" s="39">
        <f t="shared" si="403"/>
        <v>0.99883835115349351</v>
      </c>
      <c r="U250" s="39">
        <f t="shared" si="404"/>
        <v>2.5918997037136515E-3</v>
      </c>
      <c r="V250" s="39">
        <f t="shared" si="382"/>
        <v>2.9394977435666064E-3</v>
      </c>
      <c r="W250" s="40">
        <f t="shared" si="434"/>
        <v>2.9394977435666064E-3</v>
      </c>
      <c r="X250" s="40" t="s">
        <v>3710</v>
      </c>
      <c r="Y250" s="217">
        <f t="shared" si="435"/>
        <v>0.35273972922799279</v>
      </c>
      <c r="Z250" s="217">
        <f t="shared" si="436"/>
        <v>5.878995487133213E-2</v>
      </c>
    </row>
    <row r="251" spans="1:26" x14ac:dyDescent="0.25">
      <c r="A251" s="229">
        <f t="shared" si="383"/>
        <v>3241</v>
      </c>
      <c r="B251" s="230">
        <f t="shared" si="384"/>
        <v>241</v>
      </c>
      <c r="C251" s="229" t="str">
        <f t="shared" si="377"/>
        <v>24cX23_020-000_01</v>
      </c>
      <c r="D251" s="231">
        <f t="shared" si="375"/>
        <v>23</v>
      </c>
      <c r="E251" s="239">
        <f t="shared" si="357"/>
        <v>3.1990000000000003</v>
      </c>
      <c r="F251" s="232">
        <f t="shared" si="358"/>
        <v>13.908695652173913</v>
      </c>
      <c r="G251" s="232">
        <f t="shared" si="359"/>
        <v>11.126956521739132</v>
      </c>
      <c r="H251" s="232">
        <f t="shared" si="360"/>
        <v>6.9543478260869565</v>
      </c>
      <c r="I251" s="232">
        <f t="shared" si="354"/>
        <v>8</v>
      </c>
      <c r="J251" s="233">
        <v>20</v>
      </c>
      <c r="K251" s="228" t="str">
        <f>D251&amp;-1</f>
        <v>23-1</v>
      </c>
      <c r="L251" s="232">
        <f>alpha_n</f>
        <v>0.2</v>
      </c>
      <c r="M251" s="235">
        <v>0</v>
      </c>
      <c r="N251" s="232">
        <f>t_out</f>
        <v>150</v>
      </c>
      <c r="O251" s="232">
        <f>N251+T_s1</f>
        <v>750</v>
      </c>
      <c r="Q251" s="38">
        <f t="shared" si="376"/>
        <v>22</v>
      </c>
      <c r="R251" s="38">
        <f>Q251+v_step</f>
        <v>24</v>
      </c>
      <c r="S251" s="39">
        <f t="shared" si="402"/>
        <v>0.99883835115349351</v>
      </c>
      <c r="T251" s="39">
        <f t="shared" si="403"/>
        <v>0.99967848848331109</v>
      </c>
      <c r="U251" s="39">
        <f t="shared" si="404"/>
        <v>8.4013732981758071E-4</v>
      </c>
      <c r="V251" s="39">
        <f t="shared" si="382"/>
        <v>9.528076189624378E-4</v>
      </c>
      <c r="W251" s="40">
        <f t="shared" si="434"/>
        <v>9.528076189624378E-4</v>
      </c>
      <c r="X251" s="40" t="s">
        <v>3710</v>
      </c>
      <c r="Y251" s="217">
        <f t="shared" si="435"/>
        <v>0.11433691427549254</v>
      </c>
      <c r="Z251" s="217">
        <f t="shared" si="436"/>
        <v>1.9056152379248757E-2</v>
      </c>
    </row>
    <row r="252" spans="1:26" x14ac:dyDescent="0.25">
      <c r="A252" s="229">
        <f t="shared" si="383"/>
        <v>3242</v>
      </c>
      <c r="B252" s="230">
        <f t="shared" si="384"/>
        <v>242</v>
      </c>
      <c r="C252" s="229" t="str">
        <f t="shared" si="377"/>
        <v>24cX23_020-030_02</v>
      </c>
      <c r="D252" s="231">
        <f t="shared" ref="D252:D298" si="467">D251</f>
        <v>23</v>
      </c>
      <c r="E252" s="239">
        <f t="shared" si="357"/>
        <v>3.1990000000000003</v>
      </c>
      <c r="F252" s="232">
        <f t="shared" si="358"/>
        <v>13.908695652173913</v>
      </c>
      <c r="G252" s="232">
        <f t="shared" si="359"/>
        <v>11.126956521739132</v>
      </c>
      <c r="H252" s="232">
        <f t="shared" si="360"/>
        <v>6.9543478260869565</v>
      </c>
      <c r="I252" s="232">
        <f t="shared" si="354"/>
        <v>8</v>
      </c>
      <c r="J252" s="233">
        <f t="shared" si="354"/>
        <v>20</v>
      </c>
      <c r="K252" s="228" t="str">
        <f>D252&amp;-2</f>
        <v>23-2</v>
      </c>
      <c r="L252" s="232">
        <f t="shared" ref="L252:L274" si="468">L251</f>
        <v>0.2</v>
      </c>
      <c r="M252" s="235">
        <v>30</v>
      </c>
      <c r="N252" s="232">
        <f t="shared" ref="N252:O252" si="469">N251</f>
        <v>150</v>
      </c>
      <c r="O252" s="232">
        <f t="shared" si="469"/>
        <v>750</v>
      </c>
      <c r="Q252" s="38">
        <f t="shared" ref="Q252:Q274" si="470">Q251</f>
        <v>22</v>
      </c>
      <c r="R252" s="38">
        <f t="shared" ref="R252:R262" si="471">R251</f>
        <v>24</v>
      </c>
      <c r="S252" s="39">
        <f t="shared" si="402"/>
        <v>0.99883835115349351</v>
      </c>
      <c r="T252" s="39">
        <f t="shared" si="403"/>
        <v>0.99967848848331109</v>
      </c>
      <c r="U252" s="39">
        <f t="shared" si="404"/>
        <v>8.4013732981758071E-4</v>
      </c>
      <c r="V252" s="39">
        <f t="shared" si="382"/>
        <v>9.528076189624378E-4</v>
      </c>
      <c r="W252" s="40">
        <f t="shared" si="434"/>
        <v>9.528076189624378E-4</v>
      </c>
      <c r="X252" s="40" t="s">
        <v>3710</v>
      </c>
      <c r="Y252" s="217">
        <f t="shared" si="435"/>
        <v>0.11433691427549254</v>
      </c>
      <c r="Z252" s="217">
        <f t="shared" si="436"/>
        <v>1.9056152379248757E-2</v>
      </c>
    </row>
    <row r="253" spans="1:26" x14ac:dyDescent="0.25">
      <c r="A253" s="229">
        <f t="shared" si="383"/>
        <v>3243</v>
      </c>
      <c r="B253" s="230">
        <f t="shared" si="384"/>
        <v>243</v>
      </c>
      <c r="C253" s="229" t="str">
        <f t="shared" si="377"/>
        <v>24cX23_020-060_03</v>
      </c>
      <c r="D253" s="231">
        <f t="shared" si="467"/>
        <v>23</v>
      </c>
      <c r="E253" s="239">
        <f t="shared" si="357"/>
        <v>3.1990000000000003</v>
      </c>
      <c r="F253" s="232">
        <f t="shared" si="358"/>
        <v>13.908695652173913</v>
      </c>
      <c r="G253" s="232">
        <f t="shared" si="359"/>
        <v>11.126956521739132</v>
      </c>
      <c r="H253" s="232">
        <f t="shared" si="360"/>
        <v>6.9543478260869565</v>
      </c>
      <c r="I253" s="232">
        <f t="shared" si="354"/>
        <v>8</v>
      </c>
      <c r="J253" s="233">
        <f t="shared" si="354"/>
        <v>20</v>
      </c>
      <c r="K253" s="228" t="str">
        <f>D253&amp;-3</f>
        <v>23-3</v>
      </c>
      <c r="L253" s="232">
        <f t="shared" si="468"/>
        <v>0.2</v>
      </c>
      <c r="M253" s="235">
        <v>60</v>
      </c>
      <c r="N253" s="232">
        <f t="shared" ref="N253:O253" si="472">N252</f>
        <v>150</v>
      </c>
      <c r="O253" s="232">
        <f t="shared" si="472"/>
        <v>750</v>
      </c>
      <c r="Q253" s="38">
        <f t="shared" si="470"/>
        <v>22</v>
      </c>
      <c r="R253" s="38">
        <f t="shared" si="471"/>
        <v>24</v>
      </c>
      <c r="S253" s="39">
        <f t="shared" si="402"/>
        <v>0.99883835115349351</v>
      </c>
      <c r="T253" s="39">
        <f t="shared" si="403"/>
        <v>0.99967848848331109</v>
      </c>
      <c r="U253" s="39">
        <f t="shared" si="404"/>
        <v>8.4013732981758071E-4</v>
      </c>
      <c r="V253" s="39">
        <f t="shared" si="382"/>
        <v>9.528076189624378E-4</v>
      </c>
      <c r="W253" s="40">
        <f t="shared" si="434"/>
        <v>9.528076189624378E-4</v>
      </c>
      <c r="X253" s="40" t="s">
        <v>3710</v>
      </c>
      <c r="Y253" s="217">
        <f t="shared" si="435"/>
        <v>0.11433691427549254</v>
      </c>
      <c r="Z253" s="217">
        <f t="shared" si="436"/>
        <v>1.9056152379248757E-2</v>
      </c>
    </row>
    <row r="254" spans="1:26" x14ac:dyDescent="0.25">
      <c r="A254" s="229">
        <f t="shared" si="383"/>
        <v>3244</v>
      </c>
      <c r="B254" s="230">
        <f t="shared" si="384"/>
        <v>244</v>
      </c>
      <c r="C254" s="229" t="str">
        <f t="shared" si="377"/>
        <v>24cX23_020-090_04</v>
      </c>
      <c r="D254" s="231">
        <f t="shared" si="467"/>
        <v>23</v>
      </c>
      <c r="E254" s="239">
        <f t="shared" si="357"/>
        <v>3.1990000000000003</v>
      </c>
      <c r="F254" s="232">
        <f t="shared" si="358"/>
        <v>13.908695652173913</v>
      </c>
      <c r="G254" s="232">
        <f t="shared" si="359"/>
        <v>11.126956521739132</v>
      </c>
      <c r="H254" s="232">
        <f t="shared" si="360"/>
        <v>6.9543478260869565</v>
      </c>
      <c r="I254" s="232">
        <f t="shared" si="354"/>
        <v>8</v>
      </c>
      <c r="J254" s="233">
        <f t="shared" si="354"/>
        <v>20</v>
      </c>
      <c r="K254" s="228" t="str">
        <f>D254&amp;-4</f>
        <v>23-4</v>
      </c>
      <c r="L254" s="232">
        <f t="shared" si="468"/>
        <v>0.2</v>
      </c>
      <c r="M254" s="235">
        <v>90</v>
      </c>
      <c r="N254" s="232">
        <f t="shared" ref="N254:O254" si="473">N253</f>
        <v>150</v>
      </c>
      <c r="O254" s="232">
        <f t="shared" si="473"/>
        <v>750</v>
      </c>
      <c r="Q254" s="38">
        <f t="shared" si="470"/>
        <v>22</v>
      </c>
      <c r="R254" s="38">
        <f t="shared" si="471"/>
        <v>24</v>
      </c>
      <c r="S254" s="39">
        <f t="shared" si="402"/>
        <v>0.99883835115349351</v>
      </c>
      <c r="T254" s="39">
        <f t="shared" si="403"/>
        <v>0.99967848848331109</v>
      </c>
      <c r="U254" s="39">
        <f t="shared" si="404"/>
        <v>8.4013732981758071E-4</v>
      </c>
      <c r="V254" s="39">
        <f t="shared" si="382"/>
        <v>9.528076189624378E-4</v>
      </c>
      <c r="W254" s="40">
        <f t="shared" si="434"/>
        <v>9.528076189624378E-4</v>
      </c>
      <c r="X254" s="40" t="s">
        <v>3710</v>
      </c>
      <c r="Y254" s="217">
        <f t="shared" si="435"/>
        <v>0.11433691427549254</v>
      </c>
      <c r="Z254" s="217">
        <f t="shared" si="436"/>
        <v>1.9056152379248757E-2</v>
      </c>
    </row>
    <row r="255" spans="1:26" x14ac:dyDescent="0.25">
      <c r="A255" s="229">
        <f t="shared" si="383"/>
        <v>3245</v>
      </c>
      <c r="B255" s="230">
        <f t="shared" si="384"/>
        <v>245</v>
      </c>
      <c r="C255" s="229" t="str">
        <f t="shared" si="377"/>
        <v>24cX23_020-000_05</v>
      </c>
      <c r="D255" s="231">
        <f t="shared" si="467"/>
        <v>23</v>
      </c>
      <c r="E255" s="239">
        <f t="shared" si="357"/>
        <v>3.1990000000000003</v>
      </c>
      <c r="F255" s="232">
        <f t="shared" si="358"/>
        <v>13.908695652173913</v>
      </c>
      <c r="G255" s="232">
        <f t="shared" si="359"/>
        <v>11.126956521739132</v>
      </c>
      <c r="H255" s="232">
        <f t="shared" si="360"/>
        <v>6.9543478260869565</v>
      </c>
      <c r="I255" s="232">
        <f t="shared" si="354"/>
        <v>8</v>
      </c>
      <c r="J255" s="233">
        <f t="shared" si="354"/>
        <v>20</v>
      </c>
      <c r="K255" s="228" t="str">
        <f>D255&amp;-5</f>
        <v>23-5</v>
      </c>
      <c r="L255" s="232">
        <f t="shared" si="468"/>
        <v>0.2</v>
      </c>
      <c r="M255" s="235">
        <v>0</v>
      </c>
      <c r="N255" s="232">
        <f t="shared" ref="N255:O255" si="474">N254</f>
        <v>150</v>
      </c>
      <c r="O255" s="232">
        <f t="shared" si="474"/>
        <v>750</v>
      </c>
      <c r="Q255" s="38">
        <f t="shared" si="470"/>
        <v>22</v>
      </c>
      <c r="R255" s="38">
        <f t="shared" si="471"/>
        <v>24</v>
      </c>
      <c r="S255" s="39">
        <f t="shared" si="402"/>
        <v>0.99883835115349351</v>
      </c>
      <c r="T255" s="39">
        <f t="shared" si="403"/>
        <v>0.99967848848331109</v>
      </c>
      <c r="U255" s="39">
        <f t="shared" si="404"/>
        <v>8.4013732981758071E-4</v>
      </c>
      <c r="V255" s="39">
        <f t="shared" si="382"/>
        <v>9.528076189624378E-4</v>
      </c>
      <c r="W255" s="40">
        <f t="shared" si="434"/>
        <v>9.528076189624378E-4</v>
      </c>
      <c r="X255" s="40" t="s">
        <v>3710</v>
      </c>
      <c r="Y255" s="217">
        <f t="shared" si="435"/>
        <v>0.11433691427549254</v>
      </c>
      <c r="Z255" s="217">
        <f t="shared" si="436"/>
        <v>1.9056152379248757E-2</v>
      </c>
    </row>
    <row r="256" spans="1:26" x14ac:dyDescent="0.25">
      <c r="A256" s="229">
        <f t="shared" si="383"/>
        <v>3246</v>
      </c>
      <c r="B256" s="230">
        <f t="shared" si="384"/>
        <v>246</v>
      </c>
      <c r="C256" s="229" t="str">
        <f t="shared" si="377"/>
        <v>24cX23_020-030_06</v>
      </c>
      <c r="D256" s="231">
        <f t="shared" si="467"/>
        <v>23</v>
      </c>
      <c r="E256" s="239">
        <f t="shared" si="357"/>
        <v>3.1990000000000003</v>
      </c>
      <c r="F256" s="232">
        <f t="shared" si="358"/>
        <v>13.908695652173913</v>
      </c>
      <c r="G256" s="232">
        <f t="shared" si="359"/>
        <v>11.126956521739132</v>
      </c>
      <c r="H256" s="232">
        <f t="shared" si="360"/>
        <v>6.9543478260869565</v>
      </c>
      <c r="I256" s="232">
        <f t="shared" ref="I256:J262" si="475">I255</f>
        <v>8</v>
      </c>
      <c r="J256" s="233">
        <f t="shared" si="475"/>
        <v>20</v>
      </c>
      <c r="K256" s="228" t="str">
        <f>D256&amp;-6</f>
        <v>23-6</v>
      </c>
      <c r="L256" s="232">
        <f t="shared" si="468"/>
        <v>0.2</v>
      </c>
      <c r="M256" s="235">
        <v>30</v>
      </c>
      <c r="N256" s="232">
        <f t="shared" ref="N256:O256" si="476">N255</f>
        <v>150</v>
      </c>
      <c r="O256" s="232">
        <f t="shared" si="476"/>
        <v>750</v>
      </c>
      <c r="Q256" s="38">
        <f t="shared" si="470"/>
        <v>22</v>
      </c>
      <c r="R256" s="38">
        <f t="shared" si="471"/>
        <v>24</v>
      </c>
      <c r="S256" s="39">
        <f t="shared" si="402"/>
        <v>0.99883835115349351</v>
      </c>
      <c r="T256" s="39">
        <f t="shared" si="403"/>
        <v>0.99967848848331109</v>
      </c>
      <c r="U256" s="39">
        <f t="shared" si="404"/>
        <v>8.4013732981758071E-4</v>
      </c>
      <c r="V256" s="39">
        <f t="shared" si="382"/>
        <v>9.528076189624378E-4</v>
      </c>
      <c r="W256" s="40">
        <f t="shared" si="434"/>
        <v>9.528076189624378E-4</v>
      </c>
      <c r="X256" s="40" t="s">
        <v>3710</v>
      </c>
      <c r="Y256" s="217">
        <f t="shared" si="435"/>
        <v>0.11433691427549254</v>
      </c>
      <c r="Z256" s="217">
        <f t="shared" si="436"/>
        <v>1.9056152379248757E-2</v>
      </c>
    </row>
    <row r="257" spans="1:26" x14ac:dyDescent="0.25">
      <c r="A257" s="229">
        <f t="shared" si="383"/>
        <v>3247</v>
      </c>
      <c r="B257" s="230">
        <f t="shared" si="384"/>
        <v>247</v>
      </c>
      <c r="C257" s="229" t="str">
        <f t="shared" si="377"/>
        <v>24cX23_020-060_07</v>
      </c>
      <c r="D257" s="231">
        <f t="shared" si="467"/>
        <v>23</v>
      </c>
      <c r="E257" s="239">
        <f t="shared" si="357"/>
        <v>3.1990000000000003</v>
      </c>
      <c r="F257" s="232">
        <f t="shared" si="358"/>
        <v>13.908695652173913</v>
      </c>
      <c r="G257" s="232">
        <f t="shared" si="359"/>
        <v>11.126956521739132</v>
      </c>
      <c r="H257" s="232">
        <f t="shared" si="360"/>
        <v>6.9543478260869565</v>
      </c>
      <c r="I257" s="232">
        <f t="shared" si="386"/>
        <v>8</v>
      </c>
      <c r="J257" s="233">
        <f t="shared" si="475"/>
        <v>20</v>
      </c>
      <c r="K257" s="228" t="str">
        <f>D257&amp;-7</f>
        <v>23-7</v>
      </c>
      <c r="L257" s="232">
        <f t="shared" si="468"/>
        <v>0.2</v>
      </c>
      <c r="M257" s="235">
        <v>60</v>
      </c>
      <c r="N257" s="232">
        <f t="shared" ref="N257:O257" si="477">N256</f>
        <v>150</v>
      </c>
      <c r="O257" s="232">
        <f t="shared" si="477"/>
        <v>750</v>
      </c>
      <c r="Q257" s="38">
        <f t="shared" si="470"/>
        <v>22</v>
      </c>
      <c r="R257" s="38">
        <f t="shared" si="471"/>
        <v>24</v>
      </c>
      <c r="S257" s="39">
        <f t="shared" si="402"/>
        <v>0.99883835115349351</v>
      </c>
      <c r="T257" s="39">
        <f t="shared" si="403"/>
        <v>0.99967848848331109</v>
      </c>
      <c r="U257" s="39">
        <f t="shared" si="404"/>
        <v>8.4013732981758071E-4</v>
      </c>
      <c r="V257" s="39">
        <f t="shared" si="382"/>
        <v>9.528076189624378E-4</v>
      </c>
      <c r="W257" s="40">
        <f t="shared" si="434"/>
        <v>9.528076189624378E-4</v>
      </c>
      <c r="X257" s="40" t="s">
        <v>3710</v>
      </c>
      <c r="Y257" s="217">
        <f t="shared" si="435"/>
        <v>0.11433691427549254</v>
      </c>
      <c r="Z257" s="217">
        <f t="shared" si="436"/>
        <v>1.9056152379248757E-2</v>
      </c>
    </row>
    <row r="258" spans="1:26" x14ac:dyDescent="0.25">
      <c r="A258" s="229">
        <f t="shared" si="383"/>
        <v>3248</v>
      </c>
      <c r="B258" s="230">
        <f t="shared" si="384"/>
        <v>248</v>
      </c>
      <c r="C258" s="229" t="str">
        <f t="shared" si="377"/>
        <v>24cX23_020-090_08</v>
      </c>
      <c r="D258" s="231">
        <f t="shared" si="467"/>
        <v>23</v>
      </c>
      <c r="E258" s="239">
        <f t="shared" si="357"/>
        <v>3.1990000000000003</v>
      </c>
      <c r="F258" s="232">
        <f t="shared" si="358"/>
        <v>13.908695652173913</v>
      </c>
      <c r="G258" s="232">
        <f t="shared" si="359"/>
        <v>11.126956521739132</v>
      </c>
      <c r="H258" s="232">
        <f t="shared" si="360"/>
        <v>6.9543478260869565</v>
      </c>
      <c r="I258" s="232">
        <f t="shared" si="386"/>
        <v>8</v>
      </c>
      <c r="J258" s="233">
        <f t="shared" si="475"/>
        <v>20</v>
      </c>
      <c r="K258" s="228" t="str">
        <f>D258&amp;-8</f>
        <v>23-8</v>
      </c>
      <c r="L258" s="232">
        <f t="shared" si="468"/>
        <v>0.2</v>
      </c>
      <c r="M258" s="235">
        <v>90</v>
      </c>
      <c r="N258" s="232">
        <f t="shared" ref="N258:O258" si="478">N257</f>
        <v>150</v>
      </c>
      <c r="O258" s="232">
        <f t="shared" si="478"/>
        <v>750</v>
      </c>
      <c r="Q258" s="38">
        <f t="shared" si="470"/>
        <v>22</v>
      </c>
      <c r="R258" s="38">
        <f t="shared" si="471"/>
        <v>24</v>
      </c>
      <c r="S258" s="39">
        <f t="shared" si="402"/>
        <v>0.99883835115349351</v>
      </c>
      <c r="T258" s="39">
        <f t="shared" si="403"/>
        <v>0.99967848848331109</v>
      </c>
      <c r="U258" s="39">
        <f t="shared" si="404"/>
        <v>8.4013732981758071E-4</v>
      </c>
      <c r="V258" s="39">
        <f t="shared" si="382"/>
        <v>9.528076189624378E-4</v>
      </c>
      <c r="W258" s="40">
        <f t="shared" si="434"/>
        <v>9.528076189624378E-4</v>
      </c>
      <c r="X258" s="40" t="s">
        <v>3710</v>
      </c>
      <c r="Y258" s="217">
        <f t="shared" si="435"/>
        <v>0.11433691427549254</v>
      </c>
      <c r="Z258" s="217">
        <f t="shared" si="436"/>
        <v>1.9056152379248757E-2</v>
      </c>
    </row>
    <row r="259" spans="1:26" x14ac:dyDescent="0.25">
      <c r="A259" s="229">
        <f t="shared" si="383"/>
        <v>3249</v>
      </c>
      <c r="B259" s="230">
        <f t="shared" si="384"/>
        <v>249</v>
      </c>
      <c r="C259" s="229" t="str">
        <f t="shared" si="377"/>
        <v>24cX23_020-000_09</v>
      </c>
      <c r="D259" s="231">
        <f t="shared" si="467"/>
        <v>23</v>
      </c>
      <c r="E259" s="239">
        <f t="shared" si="357"/>
        <v>3.1990000000000003</v>
      </c>
      <c r="F259" s="232">
        <f t="shared" si="358"/>
        <v>13.908695652173913</v>
      </c>
      <c r="G259" s="232">
        <f t="shared" si="359"/>
        <v>11.126956521739132</v>
      </c>
      <c r="H259" s="232">
        <f t="shared" si="360"/>
        <v>6.9543478260869565</v>
      </c>
      <c r="I259" s="232">
        <f t="shared" si="386"/>
        <v>8</v>
      </c>
      <c r="J259" s="233">
        <f t="shared" si="475"/>
        <v>20</v>
      </c>
      <c r="K259" s="228" t="str">
        <f>D259&amp;-9</f>
        <v>23-9</v>
      </c>
      <c r="L259" s="232">
        <f t="shared" si="468"/>
        <v>0.2</v>
      </c>
      <c r="M259" s="235">
        <v>0</v>
      </c>
      <c r="N259" s="232">
        <f t="shared" ref="N259:O259" si="479">N258</f>
        <v>150</v>
      </c>
      <c r="O259" s="232">
        <f t="shared" si="479"/>
        <v>750</v>
      </c>
      <c r="Q259" s="38">
        <f t="shared" si="470"/>
        <v>22</v>
      </c>
      <c r="R259" s="38">
        <f t="shared" si="471"/>
        <v>24</v>
      </c>
      <c r="S259" s="39">
        <f t="shared" si="402"/>
        <v>0.99883835115349351</v>
      </c>
      <c r="T259" s="39">
        <f t="shared" si="403"/>
        <v>0.99967848848331109</v>
      </c>
      <c r="U259" s="39">
        <f t="shared" si="404"/>
        <v>8.4013732981758071E-4</v>
      </c>
      <c r="V259" s="39">
        <f t="shared" si="382"/>
        <v>9.528076189624378E-4</v>
      </c>
      <c r="W259" s="40">
        <f t="shared" si="434"/>
        <v>9.528076189624378E-4</v>
      </c>
      <c r="X259" s="40" t="s">
        <v>3710</v>
      </c>
      <c r="Y259" s="217">
        <f t="shared" si="435"/>
        <v>0.11433691427549254</v>
      </c>
      <c r="Z259" s="217">
        <f t="shared" si="436"/>
        <v>1.9056152379248757E-2</v>
      </c>
    </row>
    <row r="260" spans="1:26" x14ac:dyDescent="0.25">
      <c r="A260" s="229">
        <f t="shared" si="383"/>
        <v>3250</v>
      </c>
      <c r="B260" s="230">
        <f t="shared" si="384"/>
        <v>250</v>
      </c>
      <c r="C260" s="229" t="str">
        <f t="shared" si="377"/>
        <v>24cX23_020-030_10</v>
      </c>
      <c r="D260" s="231">
        <f t="shared" si="467"/>
        <v>23</v>
      </c>
      <c r="E260" s="239">
        <f t="shared" ref="E260:E298" si="480">I_ref*(0.75*D260+5.6)</f>
        <v>3.1990000000000003</v>
      </c>
      <c r="F260" s="232">
        <f t="shared" ref="F260:F298" si="481">E260/D260*100</f>
        <v>13.908695652173913</v>
      </c>
      <c r="G260" s="232">
        <f t="shared" ref="G260:G298" si="482">m_ty*F260</f>
        <v>11.126956521739132</v>
      </c>
      <c r="H260" s="232">
        <f t="shared" ref="H260:H298" si="483">m_tz*F260</f>
        <v>6.9543478260869565</v>
      </c>
      <c r="I260" s="232">
        <f t="shared" si="386"/>
        <v>8</v>
      </c>
      <c r="J260" s="233">
        <f t="shared" si="475"/>
        <v>20</v>
      </c>
      <c r="K260" s="228" t="str">
        <f>D260&amp;-10</f>
        <v>23-10</v>
      </c>
      <c r="L260" s="232">
        <f t="shared" si="468"/>
        <v>0.2</v>
      </c>
      <c r="M260" s="235">
        <v>30</v>
      </c>
      <c r="N260" s="232">
        <f t="shared" ref="N260:O260" si="484">N259</f>
        <v>150</v>
      </c>
      <c r="O260" s="232">
        <f t="shared" si="484"/>
        <v>750</v>
      </c>
      <c r="Q260" s="38">
        <f t="shared" si="470"/>
        <v>22</v>
      </c>
      <c r="R260" s="38">
        <f t="shared" si="471"/>
        <v>24</v>
      </c>
      <c r="S260" s="39">
        <f t="shared" si="402"/>
        <v>0.99883835115349351</v>
      </c>
      <c r="T260" s="39">
        <f t="shared" si="403"/>
        <v>0.99967848848331109</v>
      </c>
      <c r="U260" s="39">
        <f t="shared" si="404"/>
        <v>8.4013732981758071E-4</v>
      </c>
      <c r="V260" s="39">
        <f t="shared" si="382"/>
        <v>9.528076189624378E-4</v>
      </c>
      <c r="W260" s="40">
        <f t="shared" si="434"/>
        <v>9.528076189624378E-4</v>
      </c>
      <c r="X260" s="40" t="s">
        <v>3710</v>
      </c>
      <c r="Y260" s="217">
        <f t="shared" si="435"/>
        <v>0.11433691427549254</v>
      </c>
      <c r="Z260" s="217">
        <f t="shared" si="436"/>
        <v>1.9056152379248757E-2</v>
      </c>
    </row>
    <row r="261" spans="1:26" x14ac:dyDescent="0.25">
      <c r="A261" s="229">
        <f t="shared" si="383"/>
        <v>3251</v>
      </c>
      <c r="B261" s="230">
        <f t="shared" si="384"/>
        <v>251</v>
      </c>
      <c r="C261" s="229" t="str">
        <f t="shared" si="377"/>
        <v>24cX23_020-060_11</v>
      </c>
      <c r="D261" s="231">
        <f t="shared" si="467"/>
        <v>23</v>
      </c>
      <c r="E261" s="239">
        <f t="shared" si="480"/>
        <v>3.1990000000000003</v>
      </c>
      <c r="F261" s="232">
        <f t="shared" si="481"/>
        <v>13.908695652173913</v>
      </c>
      <c r="G261" s="232">
        <f t="shared" si="482"/>
        <v>11.126956521739132</v>
      </c>
      <c r="H261" s="232">
        <f t="shared" si="483"/>
        <v>6.9543478260869565</v>
      </c>
      <c r="I261" s="232">
        <f t="shared" si="386"/>
        <v>8</v>
      </c>
      <c r="J261" s="233">
        <f t="shared" si="475"/>
        <v>20</v>
      </c>
      <c r="K261" s="228" t="str">
        <f>D261&amp;-11</f>
        <v>23-11</v>
      </c>
      <c r="L261" s="232">
        <f t="shared" si="468"/>
        <v>0.2</v>
      </c>
      <c r="M261" s="235">
        <v>60</v>
      </c>
      <c r="N261" s="232">
        <f t="shared" ref="N261:O261" si="485">N260</f>
        <v>150</v>
      </c>
      <c r="O261" s="232">
        <f t="shared" si="485"/>
        <v>750</v>
      </c>
      <c r="Q261" s="38">
        <f t="shared" si="470"/>
        <v>22</v>
      </c>
      <c r="R261" s="38">
        <f t="shared" si="471"/>
        <v>24</v>
      </c>
      <c r="S261" s="39">
        <f t="shared" si="402"/>
        <v>0.99883835115349351</v>
      </c>
      <c r="T261" s="39">
        <f t="shared" si="403"/>
        <v>0.99967848848331109</v>
      </c>
      <c r="U261" s="39">
        <f t="shared" si="404"/>
        <v>8.4013732981758071E-4</v>
      </c>
      <c r="V261" s="39">
        <f t="shared" si="382"/>
        <v>9.528076189624378E-4</v>
      </c>
      <c r="W261" s="40">
        <f t="shared" si="434"/>
        <v>9.528076189624378E-4</v>
      </c>
      <c r="X261" s="40" t="s">
        <v>3710</v>
      </c>
      <c r="Y261" s="217">
        <f t="shared" si="435"/>
        <v>0.11433691427549254</v>
      </c>
      <c r="Z261" s="217">
        <f t="shared" si="436"/>
        <v>1.9056152379248757E-2</v>
      </c>
    </row>
    <row r="262" spans="1:26" x14ac:dyDescent="0.25">
      <c r="A262" s="229">
        <f t="shared" si="383"/>
        <v>3252</v>
      </c>
      <c r="B262" s="230">
        <f t="shared" si="384"/>
        <v>252</v>
      </c>
      <c r="C262" s="229" t="str">
        <f t="shared" si="377"/>
        <v>24cX23_020-090_12</v>
      </c>
      <c r="D262" s="231">
        <f t="shared" si="467"/>
        <v>23</v>
      </c>
      <c r="E262" s="239">
        <f t="shared" si="480"/>
        <v>3.1990000000000003</v>
      </c>
      <c r="F262" s="232">
        <f t="shared" si="481"/>
        <v>13.908695652173913</v>
      </c>
      <c r="G262" s="232">
        <f t="shared" si="482"/>
        <v>11.126956521739132</v>
      </c>
      <c r="H262" s="232">
        <f t="shared" si="483"/>
        <v>6.9543478260869565</v>
      </c>
      <c r="I262" s="232">
        <f t="shared" si="386"/>
        <v>8</v>
      </c>
      <c r="J262" s="233">
        <f t="shared" si="475"/>
        <v>20</v>
      </c>
      <c r="K262" s="228" t="str">
        <f>D262&amp;-12</f>
        <v>23-12</v>
      </c>
      <c r="L262" s="232">
        <f t="shared" si="468"/>
        <v>0.2</v>
      </c>
      <c r="M262" s="235">
        <v>90</v>
      </c>
      <c r="N262" s="232">
        <f t="shared" ref="N262:O262" si="486">N261</f>
        <v>150</v>
      </c>
      <c r="O262" s="232">
        <f t="shared" si="486"/>
        <v>750</v>
      </c>
      <c r="Q262" s="38">
        <f t="shared" si="470"/>
        <v>22</v>
      </c>
      <c r="R262" s="38">
        <f t="shared" si="471"/>
        <v>24</v>
      </c>
      <c r="S262" s="39">
        <f t="shared" si="402"/>
        <v>0.99883835115349351</v>
      </c>
      <c r="T262" s="39">
        <f t="shared" si="403"/>
        <v>0.99967848848331109</v>
      </c>
      <c r="U262" s="39">
        <f t="shared" si="404"/>
        <v>8.4013732981758071E-4</v>
      </c>
      <c r="V262" s="39">
        <f t="shared" si="382"/>
        <v>9.528076189624378E-4</v>
      </c>
      <c r="W262" s="40">
        <f t="shared" si="434"/>
        <v>9.528076189624378E-4</v>
      </c>
      <c r="X262" s="40" t="s">
        <v>3710</v>
      </c>
      <c r="Y262" s="217">
        <f t="shared" si="435"/>
        <v>0.11433691427549254</v>
      </c>
      <c r="Z262" s="217">
        <f t="shared" si="436"/>
        <v>1.9056152379248757E-2</v>
      </c>
    </row>
    <row r="263" spans="1:26" x14ac:dyDescent="0.25">
      <c r="A263" s="229">
        <f t="shared" si="383"/>
        <v>3253</v>
      </c>
      <c r="B263" s="230">
        <f t="shared" si="384"/>
        <v>253</v>
      </c>
      <c r="C263" s="229" t="str">
        <f t="shared" si="377"/>
        <v>24cX23_340-000_01</v>
      </c>
      <c r="D263" s="231">
        <f t="shared" si="467"/>
        <v>23</v>
      </c>
      <c r="E263" s="239">
        <f t="shared" si="480"/>
        <v>3.1990000000000003</v>
      </c>
      <c r="F263" s="232">
        <f t="shared" si="481"/>
        <v>13.908695652173913</v>
      </c>
      <c r="G263" s="232">
        <f t="shared" si="482"/>
        <v>11.126956521739132</v>
      </c>
      <c r="H263" s="232">
        <f t="shared" si="483"/>
        <v>6.9543478260869565</v>
      </c>
      <c r="I263" s="232">
        <f t="shared" si="386"/>
        <v>8</v>
      </c>
      <c r="J263" s="233">
        <f>-J251</f>
        <v>-20</v>
      </c>
      <c r="K263" s="228" t="str">
        <f>D263&amp;-1</f>
        <v>23-1</v>
      </c>
      <c r="L263" s="232">
        <f t="shared" si="468"/>
        <v>0.2</v>
      </c>
      <c r="M263" s="235">
        <v>0</v>
      </c>
      <c r="N263" s="232">
        <f t="shared" ref="N263:O263" si="487">N262</f>
        <v>150</v>
      </c>
      <c r="O263" s="232">
        <f t="shared" si="487"/>
        <v>750</v>
      </c>
      <c r="Q263" s="38">
        <f t="shared" si="470"/>
        <v>22</v>
      </c>
      <c r="R263" s="38">
        <f>Q263+v_step</f>
        <v>24</v>
      </c>
      <c r="S263" s="39">
        <f t="shared" si="402"/>
        <v>0.99883835115349351</v>
      </c>
      <c r="T263" s="39">
        <f t="shared" si="403"/>
        <v>0.99967848848331109</v>
      </c>
      <c r="U263" s="39">
        <f t="shared" si="404"/>
        <v>8.4013732981758071E-4</v>
      </c>
      <c r="V263" s="39">
        <f t="shared" si="382"/>
        <v>9.528076189624378E-4</v>
      </c>
      <c r="W263" s="40">
        <f t="shared" si="434"/>
        <v>9.528076189624378E-4</v>
      </c>
      <c r="X263" s="40" t="s">
        <v>3710</v>
      </c>
      <c r="Y263" s="217">
        <f t="shared" si="435"/>
        <v>0.11433691427549254</v>
      </c>
      <c r="Z263" s="217">
        <f t="shared" si="436"/>
        <v>1.9056152379248757E-2</v>
      </c>
    </row>
    <row r="264" spans="1:26" x14ac:dyDescent="0.25">
      <c r="A264" s="229">
        <f t="shared" si="383"/>
        <v>3254</v>
      </c>
      <c r="B264" s="230">
        <f t="shared" si="384"/>
        <v>254</v>
      </c>
      <c r="C264" s="229" t="str">
        <f t="shared" si="377"/>
        <v>24cX23_340-030_02</v>
      </c>
      <c r="D264" s="231">
        <f t="shared" si="467"/>
        <v>23</v>
      </c>
      <c r="E264" s="239">
        <f t="shared" si="480"/>
        <v>3.1990000000000003</v>
      </c>
      <c r="F264" s="232">
        <f t="shared" si="481"/>
        <v>13.908695652173913</v>
      </c>
      <c r="G264" s="232">
        <f t="shared" si="482"/>
        <v>11.126956521739132</v>
      </c>
      <c r="H264" s="232">
        <f t="shared" si="483"/>
        <v>6.9543478260869565</v>
      </c>
      <c r="I264" s="232">
        <f t="shared" si="386"/>
        <v>8</v>
      </c>
      <c r="J264" s="233">
        <f t="shared" si="386"/>
        <v>-20</v>
      </c>
      <c r="K264" s="228" t="str">
        <f>D264&amp;-2</f>
        <v>23-2</v>
      </c>
      <c r="L264" s="232">
        <f t="shared" si="468"/>
        <v>0.2</v>
      </c>
      <c r="M264" s="235">
        <v>30</v>
      </c>
      <c r="N264" s="232">
        <f t="shared" ref="N264:O264" si="488">N263</f>
        <v>150</v>
      </c>
      <c r="O264" s="232">
        <f t="shared" si="488"/>
        <v>750</v>
      </c>
      <c r="Q264" s="38">
        <f t="shared" si="470"/>
        <v>22</v>
      </c>
      <c r="R264" s="38">
        <f t="shared" ref="R264:R274" si="489">R263</f>
        <v>24</v>
      </c>
      <c r="S264" s="39">
        <f t="shared" si="402"/>
        <v>0.99883835115349351</v>
      </c>
      <c r="T264" s="39">
        <f t="shared" si="403"/>
        <v>0.99967848848331109</v>
      </c>
      <c r="U264" s="39">
        <f t="shared" si="404"/>
        <v>8.4013732981758071E-4</v>
      </c>
      <c r="V264" s="39">
        <f t="shared" si="382"/>
        <v>9.528076189624378E-4</v>
      </c>
      <c r="W264" s="40">
        <f t="shared" si="434"/>
        <v>9.528076189624378E-4</v>
      </c>
      <c r="X264" s="40" t="s">
        <v>3710</v>
      </c>
      <c r="Y264" s="217">
        <f t="shared" si="435"/>
        <v>0.11433691427549254</v>
      </c>
      <c r="Z264" s="217">
        <f t="shared" si="436"/>
        <v>1.9056152379248757E-2</v>
      </c>
    </row>
    <row r="265" spans="1:26" x14ac:dyDescent="0.25">
      <c r="A265" s="229">
        <f t="shared" si="383"/>
        <v>3255</v>
      </c>
      <c r="B265" s="230">
        <f t="shared" si="384"/>
        <v>255</v>
      </c>
      <c r="C265" s="229" t="str">
        <f t="shared" si="377"/>
        <v>24cX23_340-060_03</v>
      </c>
      <c r="D265" s="231">
        <f t="shared" si="467"/>
        <v>23</v>
      </c>
      <c r="E265" s="239">
        <f t="shared" si="480"/>
        <v>3.1990000000000003</v>
      </c>
      <c r="F265" s="232">
        <f t="shared" si="481"/>
        <v>13.908695652173913</v>
      </c>
      <c r="G265" s="232">
        <f t="shared" si="482"/>
        <v>11.126956521739132</v>
      </c>
      <c r="H265" s="232">
        <f t="shared" si="483"/>
        <v>6.9543478260869565</v>
      </c>
      <c r="I265" s="232">
        <f t="shared" si="386"/>
        <v>8</v>
      </c>
      <c r="J265" s="233">
        <f t="shared" si="386"/>
        <v>-20</v>
      </c>
      <c r="K265" s="228" t="str">
        <f>D265&amp;-3</f>
        <v>23-3</v>
      </c>
      <c r="L265" s="232">
        <f t="shared" si="468"/>
        <v>0.2</v>
      </c>
      <c r="M265" s="235">
        <v>60</v>
      </c>
      <c r="N265" s="232">
        <f t="shared" ref="N265:O265" si="490">N264</f>
        <v>150</v>
      </c>
      <c r="O265" s="232">
        <f t="shared" si="490"/>
        <v>750</v>
      </c>
      <c r="Q265" s="38">
        <f t="shared" si="470"/>
        <v>22</v>
      </c>
      <c r="R265" s="38">
        <f t="shared" si="489"/>
        <v>24</v>
      </c>
      <c r="S265" s="39">
        <f t="shared" si="402"/>
        <v>0.99883835115349351</v>
      </c>
      <c r="T265" s="39">
        <f t="shared" si="403"/>
        <v>0.99967848848331109</v>
      </c>
      <c r="U265" s="39">
        <f t="shared" si="404"/>
        <v>8.4013732981758071E-4</v>
      </c>
      <c r="V265" s="39">
        <f t="shared" si="382"/>
        <v>9.528076189624378E-4</v>
      </c>
      <c r="W265" s="40">
        <f t="shared" si="434"/>
        <v>9.528076189624378E-4</v>
      </c>
      <c r="X265" s="40" t="s">
        <v>3710</v>
      </c>
      <c r="Y265" s="217">
        <f t="shared" si="435"/>
        <v>0.11433691427549254</v>
      </c>
      <c r="Z265" s="217">
        <f t="shared" si="436"/>
        <v>1.9056152379248757E-2</v>
      </c>
    </row>
    <row r="266" spans="1:26" x14ac:dyDescent="0.25">
      <c r="A266" s="229">
        <f t="shared" si="383"/>
        <v>3256</v>
      </c>
      <c r="B266" s="230">
        <f t="shared" si="384"/>
        <v>256</v>
      </c>
      <c r="C266" s="229" t="str">
        <f t="shared" si="377"/>
        <v>24cX23_340-090_04</v>
      </c>
      <c r="D266" s="231">
        <f t="shared" si="467"/>
        <v>23</v>
      </c>
      <c r="E266" s="239">
        <f t="shared" si="480"/>
        <v>3.1990000000000003</v>
      </c>
      <c r="F266" s="232">
        <f t="shared" si="481"/>
        <v>13.908695652173913</v>
      </c>
      <c r="G266" s="232">
        <f t="shared" si="482"/>
        <v>11.126956521739132</v>
      </c>
      <c r="H266" s="232">
        <f t="shared" si="483"/>
        <v>6.9543478260869565</v>
      </c>
      <c r="I266" s="232">
        <f t="shared" si="386"/>
        <v>8</v>
      </c>
      <c r="J266" s="233">
        <f t="shared" si="386"/>
        <v>-20</v>
      </c>
      <c r="K266" s="228" t="str">
        <f>D266&amp;-4</f>
        <v>23-4</v>
      </c>
      <c r="L266" s="232">
        <f t="shared" si="468"/>
        <v>0.2</v>
      </c>
      <c r="M266" s="235">
        <v>90</v>
      </c>
      <c r="N266" s="232">
        <f t="shared" ref="N266:O266" si="491">N265</f>
        <v>150</v>
      </c>
      <c r="O266" s="232">
        <f t="shared" si="491"/>
        <v>750</v>
      </c>
      <c r="Q266" s="38">
        <f t="shared" si="470"/>
        <v>22</v>
      </c>
      <c r="R266" s="38">
        <f t="shared" si="489"/>
        <v>24</v>
      </c>
      <c r="S266" s="39">
        <f t="shared" si="402"/>
        <v>0.99883835115349351</v>
      </c>
      <c r="T266" s="39">
        <f t="shared" si="403"/>
        <v>0.99967848848331109</v>
      </c>
      <c r="U266" s="39">
        <f t="shared" si="404"/>
        <v>8.4013732981758071E-4</v>
      </c>
      <c r="V266" s="39">
        <f t="shared" si="382"/>
        <v>9.528076189624378E-4</v>
      </c>
      <c r="W266" s="40">
        <f t="shared" si="434"/>
        <v>9.528076189624378E-4</v>
      </c>
      <c r="X266" s="40" t="s">
        <v>3710</v>
      </c>
      <c r="Y266" s="217">
        <f t="shared" si="435"/>
        <v>0.11433691427549254</v>
      </c>
      <c r="Z266" s="217">
        <f t="shared" si="436"/>
        <v>1.9056152379248757E-2</v>
      </c>
    </row>
    <row r="267" spans="1:26" x14ac:dyDescent="0.25">
      <c r="A267" s="229">
        <f t="shared" si="383"/>
        <v>3257</v>
      </c>
      <c r="B267" s="230">
        <f t="shared" si="384"/>
        <v>257</v>
      </c>
      <c r="C267" s="229" t="str">
        <f t="shared" si="377"/>
        <v>24cX23_340-000_05</v>
      </c>
      <c r="D267" s="231">
        <f t="shared" si="467"/>
        <v>23</v>
      </c>
      <c r="E267" s="239">
        <f t="shared" si="480"/>
        <v>3.1990000000000003</v>
      </c>
      <c r="F267" s="232">
        <f t="shared" si="481"/>
        <v>13.908695652173913</v>
      </c>
      <c r="G267" s="232">
        <f t="shared" si="482"/>
        <v>11.126956521739132</v>
      </c>
      <c r="H267" s="232">
        <f t="shared" si="483"/>
        <v>6.9543478260869565</v>
      </c>
      <c r="I267" s="232">
        <f t="shared" si="386"/>
        <v>8</v>
      </c>
      <c r="J267" s="233">
        <f t="shared" si="386"/>
        <v>-20</v>
      </c>
      <c r="K267" s="228" t="str">
        <f>D267&amp;-5</f>
        <v>23-5</v>
      </c>
      <c r="L267" s="232">
        <f t="shared" si="468"/>
        <v>0.2</v>
      </c>
      <c r="M267" s="235">
        <v>0</v>
      </c>
      <c r="N267" s="232">
        <f t="shared" ref="N267:O267" si="492">N266</f>
        <v>150</v>
      </c>
      <c r="O267" s="232">
        <f t="shared" si="492"/>
        <v>750</v>
      </c>
      <c r="Q267" s="38">
        <f t="shared" si="470"/>
        <v>22</v>
      </c>
      <c r="R267" s="38">
        <f t="shared" si="489"/>
        <v>24</v>
      </c>
      <c r="S267" s="39">
        <f t="shared" si="402"/>
        <v>0.99883835115349351</v>
      </c>
      <c r="T267" s="39">
        <f t="shared" si="403"/>
        <v>0.99967848848331109</v>
      </c>
      <c r="U267" s="39">
        <f t="shared" si="404"/>
        <v>8.4013732981758071E-4</v>
      </c>
      <c r="V267" s="39">
        <f t="shared" si="382"/>
        <v>9.528076189624378E-4</v>
      </c>
      <c r="W267" s="40">
        <f t="shared" si="434"/>
        <v>9.528076189624378E-4</v>
      </c>
      <c r="X267" s="40" t="s">
        <v>3710</v>
      </c>
      <c r="Y267" s="217">
        <f t="shared" si="435"/>
        <v>0.11433691427549254</v>
      </c>
      <c r="Z267" s="217">
        <f t="shared" si="436"/>
        <v>1.9056152379248757E-2</v>
      </c>
    </row>
    <row r="268" spans="1:26" x14ac:dyDescent="0.25">
      <c r="A268" s="229">
        <f t="shared" si="383"/>
        <v>3258</v>
      </c>
      <c r="B268" s="230">
        <f t="shared" si="384"/>
        <v>258</v>
      </c>
      <c r="C268" s="229" t="str">
        <f t="shared" ref="C268:C298" si="493">TEXT(RIGHT($B$2,LEN($B$2)-3),"000")&amp;"X"&amp;TEXT(D268,"00")&amp;"_"&amp;IF(J268&lt;0,TEXT(360+J268,"000"),TEXT(J268,"000"))&amp;"-"&amp;TEXT(M268,"000")&amp;"_"&amp;TEXT(RIGHT(K268,LEN(K268)-FIND("-",K268)),"00")</f>
        <v>24cX23_340-030_06</v>
      </c>
      <c r="D268" s="231">
        <f t="shared" si="467"/>
        <v>23</v>
      </c>
      <c r="E268" s="239">
        <f t="shared" si="480"/>
        <v>3.1990000000000003</v>
      </c>
      <c r="F268" s="232">
        <f t="shared" si="481"/>
        <v>13.908695652173913</v>
      </c>
      <c r="G268" s="232">
        <f t="shared" si="482"/>
        <v>11.126956521739132</v>
      </c>
      <c r="H268" s="232">
        <f t="shared" si="483"/>
        <v>6.9543478260869565</v>
      </c>
      <c r="I268" s="232">
        <f t="shared" si="386"/>
        <v>8</v>
      </c>
      <c r="J268" s="233">
        <f t="shared" si="386"/>
        <v>-20</v>
      </c>
      <c r="K268" s="228" t="str">
        <f>D268&amp;-6</f>
        <v>23-6</v>
      </c>
      <c r="L268" s="232">
        <f t="shared" si="468"/>
        <v>0.2</v>
      </c>
      <c r="M268" s="235">
        <v>30</v>
      </c>
      <c r="N268" s="232">
        <f t="shared" ref="N268:O268" si="494">N267</f>
        <v>150</v>
      </c>
      <c r="O268" s="232">
        <f t="shared" si="494"/>
        <v>750</v>
      </c>
      <c r="Q268" s="38">
        <f t="shared" si="470"/>
        <v>22</v>
      </c>
      <c r="R268" s="38">
        <f t="shared" si="489"/>
        <v>24</v>
      </c>
      <c r="S268" s="39">
        <f t="shared" si="402"/>
        <v>0.99883835115349351</v>
      </c>
      <c r="T268" s="39">
        <f t="shared" si="403"/>
        <v>0.99967848848331109</v>
      </c>
      <c r="U268" s="39">
        <f t="shared" si="404"/>
        <v>8.4013732981758071E-4</v>
      </c>
      <c r="V268" s="39">
        <f t="shared" ref="V268:V298" si="495">U268/(U$11+U$35+U$59+U$83+U$107+U$131+U$155+U$179+U$203+U$227+U$251+U$275)</f>
        <v>9.528076189624378E-4</v>
      </c>
      <c r="W268" s="40">
        <f t="shared" si="434"/>
        <v>9.528076189624378E-4</v>
      </c>
      <c r="X268" s="40" t="s">
        <v>3710</v>
      </c>
      <c r="Y268" s="217">
        <f t="shared" si="435"/>
        <v>0.11433691427549254</v>
      </c>
      <c r="Z268" s="217">
        <f t="shared" si="436"/>
        <v>1.9056152379248757E-2</v>
      </c>
    </row>
    <row r="269" spans="1:26" x14ac:dyDescent="0.25">
      <c r="A269" s="229">
        <f t="shared" ref="A269:A298" si="496">A268+1</f>
        <v>3259</v>
      </c>
      <c r="B269" s="230">
        <f t="shared" ref="B269:B298" si="497">B268+1</f>
        <v>259</v>
      </c>
      <c r="C269" s="229" t="str">
        <f t="shared" si="493"/>
        <v>24cX23_340-060_07</v>
      </c>
      <c r="D269" s="231">
        <f t="shared" si="467"/>
        <v>23</v>
      </c>
      <c r="E269" s="239">
        <f t="shared" si="480"/>
        <v>3.1990000000000003</v>
      </c>
      <c r="F269" s="232">
        <f t="shared" si="481"/>
        <v>13.908695652173913</v>
      </c>
      <c r="G269" s="232">
        <f t="shared" si="482"/>
        <v>11.126956521739132</v>
      </c>
      <c r="H269" s="232">
        <f t="shared" si="483"/>
        <v>6.9543478260869565</v>
      </c>
      <c r="I269" s="232">
        <f t="shared" si="386"/>
        <v>8</v>
      </c>
      <c r="J269" s="233">
        <f t="shared" si="386"/>
        <v>-20</v>
      </c>
      <c r="K269" s="228" t="str">
        <f>D269&amp;-7</f>
        <v>23-7</v>
      </c>
      <c r="L269" s="232">
        <f t="shared" si="468"/>
        <v>0.2</v>
      </c>
      <c r="M269" s="235">
        <v>60</v>
      </c>
      <c r="N269" s="232">
        <f t="shared" ref="N269:O269" si="498">N268</f>
        <v>150</v>
      </c>
      <c r="O269" s="232">
        <f t="shared" si="498"/>
        <v>750</v>
      </c>
      <c r="Q269" s="38">
        <f t="shared" si="470"/>
        <v>22</v>
      </c>
      <c r="R269" s="38">
        <f t="shared" si="489"/>
        <v>24</v>
      </c>
      <c r="S269" s="39">
        <f t="shared" si="402"/>
        <v>0.99883835115349351</v>
      </c>
      <c r="T269" s="39">
        <f t="shared" si="403"/>
        <v>0.99967848848331109</v>
      </c>
      <c r="U269" s="39">
        <f t="shared" si="404"/>
        <v>8.4013732981758071E-4</v>
      </c>
      <c r="V269" s="39">
        <f t="shared" si="495"/>
        <v>9.528076189624378E-4</v>
      </c>
      <c r="W269" s="40">
        <f t="shared" si="434"/>
        <v>9.528076189624378E-4</v>
      </c>
      <c r="X269" s="40" t="s">
        <v>3710</v>
      </c>
      <c r="Y269" s="217">
        <f t="shared" si="435"/>
        <v>0.11433691427549254</v>
      </c>
      <c r="Z269" s="217">
        <f t="shared" si="436"/>
        <v>1.9056152379248757E-2</v>
      </c>
    </row>
    <row r="270" spans="1:26" x14ac:dyDescent="0.25">
      <c r="A270" s="229">
        <f t="shared" si="496"/>
        <v>3260</v>
      </c>
      <c r="B270" s="230">
        <f t="shared" si="497"/>
        <v>260</v>
      </c>
      <c r="C270" s="229" t="str">
        <f t="shared" si="493"/>
        <v>24cX23_340-090_08</v>
      </c>
      <c r="D270" s="231">
        <f t="shared" si="467"/>
        <v>23</v>
      </c>
      <c r="E270" s="239">
        <f t="shared" si="480"/>
        <v>3.1990000000000003</v>
      </c>
      <c r="F270" s="232">
        <f t="shared" si="481"/>
        <v>13.908695652173913</v>
      </c>
      <c r="G270" s="232">
        <f t="shared" si="482"/>
        <v>11.126956521739132</v>
      </c>
      <c r="H270" s="232">
        <f t="shared" si="483"/>
        <v>6.9543478260869565</v>
      </c>
      <c r="I270" s="232">
        <f t="shared" ref="I270:J298" si="499">I269</f>
        <v>8</v>
      </c>
      <c r="J270" s="233">
        <f t="shared" si="499"/>
        <v>-20</v>
      </c>
      <c r="K270" s="228" t="str">
        <f>D270&amp;-8</f>
        <v>23-8</v>
      </c>
      <c r="L270" s="232">
        <f t="shared" si="468"/>
        <v>0.2</v>
      </c>
      <c r="M270" s="235">
        <v>90</v>
      </c>
      <c r="N270" s="232">
        <f t="shared" ref="N270:O270" si="500">N269</f>
        <v>150</v>
      </c>
      <c r="O270" s="232">
        <f t="shared" si="500"/>
        <v>750</v>
      </c>
      <c r="Q270" s="38">
        <f t="shared" si="470"/>
        <v>22</v>
      </c>
      <c r="R270" s="38">
        <f t="shared" si="489"/>
        <v>24</v>
      </c>
      <c r="S270" s="39">
        <f t="shared" si="402"/>
        <v>0.99883835115349351</v>
      </c>
      <c r="T270" s="39">
        <f t="shared" si="403"/>
        <v>0.99967848848331109</v>
      </c>
      <c r="U270" s="39">
        <f t="shared" si="404"/>
        <v>8.4013732981758071E-4</v>
      </c>
      <c r="V270" s="39">
        <f t="shared" si="495"/>
        <v>9.528076189624378E-4</v>
      </c>
      <c r="W270" s="40">
        <f t="shared" si="434"/>
        <v>9.528076189624378E-4</v>
      </c>
      <c r="X270" s="40" t="s">
        <v>3710</v>
      </c>
      <c r="Y270" s="217">
        <f t="shared" si="435"/>
        <v>0.11433691427549254</v>
      </c>
      <c r="Z270" s="217">
        <f t="shared" si="436"/>
        <v>1.9056152379248757E-2</v>
      </c>
    </row>
    <row r="271" spans="1:26" x14ac:dyDescent="0.25">
      <c r="A271" s="229">
        <f t="shared" si="496"/>
        <v>3261</v>
      </c>
      <c r="B271" s="230">
        <f t="shared" si="497"/>
        <v>261</v>
      </c>
      <c r="C271" s="229" t="str">
        <f t="shared" si="493"/>
        <v>24cX23_340-000_09</v>
      </c>
      <c r="D271" s="231">
        <f t="shared" si="467"/>
        <v>23</v>
      </c>
      <c r="E271" s="239">
        <f t="shared" si="480"/>
        <v>3.1990000000000003</v>
      </c>
      <c r="F271" s="232">
        <f t="shared" si="481"/>
        <v>13.908695652173913</v>
      </c>
      <c r="G271" s="232">
        <f t="shared" si="482"/>
        <v>11.126956521739132</v>
      </c>
      <c r="H271" s="232">
        <f t="shared" si="483"/>
        <v>6.9543478260869565</v>
      </c>
      <c r="I271" s="232">
        <f t="shared" si="499"/>
        <v>8</v>
      </c>
      <c r="J271" s="233">
        <f t="shared" si="499"/>
        <v>-20</v>
      </c>
      <c r="K271" s="228" t="str">
        <f>D271&amp;-9</f>
        <v>23-9</v>
      </c>
      <c r="L271" s="232">
        <f t="shared" si="468"/>
        <v>0.2</v>
      </c>
      <c r="M271" s="235">
        <v>0</v>
      </c>
      <c r="N271" s="232">
        <f t="shared" ref="N271:O271" si="501">N270</f>
        <v>150</v>
      </c>
      <c r="O271" s="232">
        <f t="shared" si="501"/>
        <v>750</v>
      </c>
      <c r="Q271" s="38">
        <f t="shared" si="470"/>
        <v>22</v>
      </c>
      <c r="R271" s="38">
        <f t="shared" si="489"/>
        <v>24</v>
      </c>
      <c r="S271" s="39">
        <f t="shared" si="402"/>
        <v>0.99883835115349351</v>
      </c>
      <c r="T271" s="39">
        <f t="shared" si="403"/>
        <v>0.99967848848331109</v>
      </c>
      <c r="U271" s="39">
        <f t="shared" si="404"/>
        <v>8.4013732981758071E-4</v>
      </c>
      <c r="V271" s="39">
        <f t="shared" si="495"/>
        <v>9.528076189624378E-4</v>
      </c>
      <c r="W271" s="40">
        <f t="shared" si="434"/>
        <v>9.528076189624378E-4</v>
      </c>
      <c r="X271" s="40" t="s">
        <v>3710</v>
      </c>
      <c r="Y271" s="217">
        <f t="shared" si="435"/>
        <v>0.11433691427549254</v>
      </c>
      <c r="Z271" s="217">
        <f t="shared" si="436"/>
        <v>1.9056152379248757E-2</v>
      </c>
    </row>
    <row r="272" spans="1:26" x14ac:dyDescent="0.25">
      <c r="A272" s="229">
        <f t="shared" si="496"/>
        <v>3262</v>
      </c>
      <c r="B272" s="230">
        <f t="shared" si="497"/>
        <v>262</v>
      </c>
      <c r="C272" s="229" t="str">
        <f t="shared" si="493"/>
        <v>24cX23_340-030_10</v>
      </c>
      <c r="D272" s="231">
        <f t="shared" si="467"/>
        <v>23</v>
      </c>
      <c r="E272" s="239">
        <f t="shared" si="480"/>
        <v>3.1990000000000003</v>
      </c>
      <c r="F272" s="232">
        <f t="shared" si="481"/>
        <v>13.908695652173913</v>
      </c>
      <c r="G272" s="232">
        <f t="shared" si="482"/>
        <v>11.126956521739132</v>
      </c>
      <c r="H272" s="232">
        <f t="shared" si="483"/>
        <v>6.9543478260869565</v>
      </c>
      <c r="I272" s="232">
        <f t="shared" si="499"/>
        <v>8</v>
      </c>
      <c r="J272" s="233">
        <f t="shared" si="499"/>
        <v>-20</v>
      </c>
      <c r="K272" s="228" t="str">
        <f>D272&amp;-10</f>
        <v>23-10</v>
      </c>
      <c r="L272" s="232">
        <f t="shared" si="468"/>
        <v>0.2</v>
      </c>
      <c r="M272" s="235">
        <v>30</v>
      </c>
      <c r="N272" s="232">
        <f t="shared" ref="N272:O272" si="502">N271</f>
        <v>150</v>
      </c>
      <c r="O272" s="232">
        <f t="shared" si="502"/>
        <v>750</v>
      </c>
      <c r="Q272" s="38">
        <f t="shared" si="470"/>
        <v>22</v>
      </c>
      <c r="R272" s="38">
        <f t="shared" si="489"/>
        <v>24</v>
      </c>
      <c r="S272" s="39">
        <f t="shared" si="402"/>
        <v>0.99883835115349351</v>
      </c>
      <c r="T272" s="39">
        <f t="shared" si="403"/>
        <v>0.99967848848331109</v>
      </c>
      <c r="U272" s="39">
        <f t="shared" si="404"/>
        <v>8.4013732981758071E-4</v>
      </c>
      <c r="V272" s="39">
        <f t="shared" si="495"/>
        <v>9.528076189624378E-4</v>
      </c>
      <c r="W272" s="40">
        <f t="shared" si="434"/>
        <v>9.528076189624378E-4</v>
      </c>
      <c r="X272" s="40" t="s">
        <v>3710</v>
      </c>
      <c r="Y272" s="217">
        <f t="shared" si="435"/>
        <v>0.11433691427549254</v>
      </c>
      <c r="Z272" s="217">
        <f t="shared" si="436"/>
        <v>1.9056152379248757E-2</v>
      </c>
    </row>
    <row r="273" spans="1:26" x14ac:dyDescent="0.25">
      <c r="A273" s="229">
        <f t="shared" si="496"/>
        <v>3263</v>
      </c>
      <c r="B273" s="230">
        <f t="shared" si="497"/>
        <v>263</v>
      </c>
      <c r="C273" s="229" t="str">
        <f t="shared" si="493"/>
        <v>24cX23_340-060_11</v>
      </c>
      <c r="D273" s="231">
        <f t="shared" si="467"/>
        <v>23</v>
      </c>
      <c r="E273" s="239">
        <f t="shared" si="480"/>
        <v>3.1990000000000003</v>
      </c>
      <c r="F273" s="232">
        <f t="shared" si="481"/>
        <v>13.908695652173913</v>
      </c>
      <c r="G273" s="232">
        <f t="shared" si="482"/>
        <v>11.126956521739132</v>
      </c>
      <c r="H273" s="232">
        <f t="shared" si="483"/>
        <v>6.9543478260869565</v>
      </c>
      <c r="I273" s="232">
        <f t="shared" si="499"/>
        <v>8</v>
      </c>
      <c r="J273" s="233">
        <f t="shared" si="499"/>
        <v>-20</v>
      </c>
      <c r="K273" s="228" t="str">
        <f>D273&amp;-11</f>
        <v>23-11</v>
      </c>
      <c r="L273" s="232">
        <f t="shared" si="468"/>
        <v>0.2</v>
      </c>
      <c r="M273" s="235">
        <v>60</v>
      </c>
      <c r="N273" s="232">
        <f t="shared" ref="N273:O273" si="503">N272</f>
        <v>150</v>
      </c>
      <c r="O273" s="232">
        <f t="shared" si="503"/>
        <v>750</v>
      </c>
      <c r="Q273" s="38">
        <f t="shared" si="470"/>
        <v>22</v>
      </c>
      <c r="R273" s="38">
        <f t="shared" si="489"/>
        <v>24</v>
      </c>
      <c r="S273" s="39">
        <f t="shared" si="402"/>
        <v>0.99883835115349351</v>
      </c>
      <c r="T273" s="39">
        <f t="shared" si="403"/>
        <v>0.99967848848331109</v>
      </c>
      <c r="U273" s="39">
        <f t="shared" si="404"/>
        <v>8.4013732981758071E-4</v>
      </c>
      <c r="V273" s="39">
        <f t="shared" si="495"/>
        <v>9.528076189624378E-4</v>
      </c>
      <c r="W273" s="40">
        <f t="shared" si="434"/>
        <v>9.528076189624378E-4</v>
      </c>
      <c r="X273" s="40" t="s">
        <v>3710</v>
      </c>
      <c r="Y273" s="217">
        <f t="shared" si="435"/>
        <v>0.11433691427549254</v>
      </c>
      <c r="Z273" s="217">
        <f t="shared" si="436"/>
        <v>1.9056152379248757E-2</v>
      </c>
    </row>
    <row r="274" spans="1:26" x14ac:dyDescent="0.25">
      <c r="A274" s="229">
        <f t="shared" si="496"/>
        <v>3264</v>
      </c>
      <c r="B274" s="230">
        <f t="shared" si="497"/>
        <v>264</v>
      </c>
      <c r="C274" s="229" t="str">
        <f t="shared" si="493"/>
        <v>24cX23_340-090_12</v>
      </c>
      <c r="D274" s="231">
        <f t="shared" si="467"/>
        <v>23</v>
      </c>
      <c r="E274" s="239">
        <f t="shared" si="480"/>
        <v>3.1990000000000003</v>
      </c>
      <c r="F274" s="232">
        <f t="shared" si="481"/>
        <v>13.908695652173913</v>
      </c>
      <c r="G274" s="232">
        <f t="shared" si="482"/>
        <v>11.126956521739132</v>
      </c>
      <c r="H274" s="232">
        <f t="shared" si="483"/>
        <v>6.9543478260869565</v>
      </c>
      <c r="I274" s="232">
        <f t="shared" si="499"/>
        <v>8</v>
      </c>
      <c r="J274" s="233">
        <f t="shared" si="499"/>
        <v>-20</v>
      </c>
      <c r="K274" s="228" t="str">
        <f>D274&amp;-12</f>
        <v>23-12</v>
      </c>
      <c r="L274" s="232">
        <f t="shared" si="468"/>
        <v>0.2</v>
      </c>
      <c r="M274" s="235">
        <v>90</v>
      </c>
      <c r="N274" s="232">
        <f t="shared" ref="N274:O274" si="504">N273</f>
        <v>150</v>
      </c>
      <c r="O274" s="232">
        <f t="shared" si="504"/>
        <v>750</v>
      </c>
      <c r="Q274" s="38">
        <f t="shared" si="470"/>
        <v>22</v>
      </c>
      <c r="R274" s="38">
        <f t="shared" si="489"/>
        <v>24</v>
      </c>
      <c r="S274" s="39">
        <f t="shared" si="402"/>
        <v>0.99883835115349351</v>
      </c>
      <c r="T274" s="39">
        <f t="shared" si="403"/>
        <v>0.99967848848331109</v>
      </c>
      <c r="U274" s="39">
        <f t="shared" si="404"/>
        <v>8.4013732981758071E-4</v>
      </c>
      <c r="V274" s="39">
        <f t="shared" si="495"/>
        <v>9.528076189624378E-4</v>
      </c>
      <c r="W274" s="40">
        <f t="shared" si="434"/>
        <v>9.528076189624378E-4</v>
      </c>
      <c r="X274" s="40" t="s">
        <v>3710</v>
      </c>
      <c r="Y274" s="217">
        <f t="shared" si="435"/>
        <v>0.11433691427549254</v>
      </c>
      <c r="Z274" s="217">
        <f t="shared" si="436"/>
        <v>1.9056152379248757E-2</v>
      </c>
    </row>
    <row r="275" spans="1:26" x14ac:dyDescent="0.25">
      <c r="A275" s="229">
        <f t="shared" si="496"/>
        <v>3265</v>
      </c>
      <c r="B275" s="230">
        <f t="shared" si="497"/>
        <v>265</v>
      </c>
      <c r="C275" s="229" t="str">
        <f t="shared" si="493"/>
        <v>24cX25_020-000_01</v>
      </c>
      <c r="D275" s="231">
        <f t="shared" si="412"/>
        <v>25</v>
      </c>
      <c r="E275" s="239">
        <f t="shared" si="480"/>
        <v>3.4090000000000007</v>
      </c>
      <c r="F275" s="232">
        <f t="shared" si="481"/>
        <v>13.636000000000003</v>
      </c>
      <c r="G275" s="232">
        <f t="shared" si="482"/>
        <v>10.908800000000003</v>
      </c>
      <c r="H275" s="232">
        <f t="shared" si="483"/>
        <v>6.8180000000000014</v>
      </c>
      <c r="I275" s="232">
        <f t="shared" si="499"/>
        <v>8</v>
      </c>
      <c r="J275" s="233">
        <v>20</v>
      </c>
      <c r="K275" s="228" t="str">
        <f>D275&amp;-1</f>
        <v>25-1</v>
      </c>
      <c r="L275" s="232">
        <f>alpha_n</f>
        <v>0.2</v>
      </c>
      <c r="M275" s="235">
        <v>0</v>
      </c>
      <c r="N275" s="232">
        <f>t_out</f>
        <v>150</v>
      </c>
      <c r="O275" s="232">
        <f>N275+T_s1</f>
        <v>750</v>
      </c>
      <c r="Q275" s="38">
        <f t="shared" ref="Q275" si="505">R274</f>
        <v>24</v>
      </c>
      <c r="R275" s="38">
        <f>D275</f>
        <v>25</v>
      </c>
      <c r="S275" s="39">
        <f t="shared" si="402"/>
        <v>0.99967848848331109</v>
      </c>
      <c r="T275" s="39">
        <f t="shared" si="403"/>
        <v>0.99983779445975174</v>
      </c>
      <c r="U275" s="39">
        <f t="shared" si="404"/>
        <v>1.5930597644064903E-4</v>
      </c>
      <c r="V275" s="39">
        <f t="shared" si="495"/>
        <v>1.8067040079252137E-4</v>
      </c>
      <c r="W275" s="40">
        <f t="shared" si="434"/>
        <v>1.8067040079252139E-4</v>
      </c>
      <c r="X275" s="40" t="s">
        <v>3710</v>
      </c>
      <c r="Y275" s="217">
        <f t="shared" si="435"/>
        <v>2.168044809510257E-2</v>
      </c>
      <c r="Z275" s="217">
        <f t="shared" si="436"/>
        <v>3.613408015850428E-3</v>
      </c>
    </row>
    <row r="276" spans="1:26" x14ac:dyDescent="0.25">
      <c r="A276" s="229">
        <f t="shared" si="496"/>
        <v>3266</v>
      </c>
      <c r="B276" s="230">
        <f t="shared" si="497"/>
        <v>266</v>
      </c>
      <c r="C276" s="229" t="str">
        <f t="shared" si="493"/>
        <v>24cX25_020-030_02</v>
      </c>
      <c r="D276" s="231">
        <f t="shared" si="414"/>
        <v>25</v>
      </c>
      <c r="E276" s="239">
        <f t="shared" si="480"/>
        <v>3.4090000000000007</v>
      </c>
      <c r="F276" s="232">
        <f t="shared" si="481"/>
        <v>13.636000000000003</v>
      </c>
      <c r="G276" s="232">
        <f t="shared" si="482"/>
        <v>10.908800000000003</v>
      </c>
      <c r="H276" s="232">
        <f t="shared" si="483"/>
        <v>6.8180000000000014</v>
      </c>
      <c r="I276" s="232">
        <f t="shared" si="499"/>
        <v>8</v>
      </c>
      <c r="J276" s="233">
        <f t="shared" si="499"/>
        <v>20</v>
      </c>
      <c r="K276" s="228" t="str">
        <f>D276&amp;-2</f>
        <v>25-2</v>
      </c>
      <c r="L276" s="232">
        <f t="shared" ref="L276:L298" si="506">L275</f>
        <v>0.2</v>
      </c>
      <c r="M276" s="235">
        <v>30</v>
      </c>
      <c r="N276" s="232">
        <f t="shared" ref="N276:O276" si="507">N275</f>
        <v>150</v>
      </c>
      <c r="O276" s="232">
        <f t="shared" si="507"/>
        <v>750</v>
      </c>
      <c r="Q276" s="38">
        <f t="shared" ref="Q276" si="508">Q275</f>
        <v>24</v>
      </c>
      <c r="R276" s="38">
        <f t="shared" ref="R276" si="509">R275</f>
        <v>25</v>
      </c>
      <c r="S276" s="39">
        <f t="shared" si="402"/>
        <v>0.99967848848331109</v>
      </c>
      <c r="T276" s="39">
        <f t="shared" si="403"/>
        <v>0.99983779445975174</v>
      </c>
      <c r="U276" s="39">
        <f t="shared" si="404"/>
        <v>1.5930597644064903E-4</v>
      </c>
      <c r="V276" s="39">
        <f t="shared" si="495"/>
        <v>1.8067040079252137E-4</v>
      </c>
      <c r="W276" s="40">
        <f t="shared" si="434"/>
        <v>1.8067040079252139E-4</v>
      </c>
      <c r="X276" s="40" t="s">
        <v>3710</v>
      </c>
      <c r="Y276" s="217">
        <f t="shared" si="435"/>
        <v>2.168044809510257E-2</v>
      </c>
      <c r="Z276" s="217">
        <f t="shared" si="436"/>
        <v>3.613408015850428E-3</v>
      </c>
    </row>
    <row r="277" spans="1:26" x14ac:dyDescent="0.25">
      <c r="A277" s="229">
        <f t="shared" si="496"/>
        <v>3267</v>
      </c>
      <c r="B277" s="230">
        <f t="shared" si="497"/>
        <v>267</v>
      </c>
      <c r="C277" s="229" t="str">
        <f t="shared" si="493"/>
        <v>24cX25_020-060_03</v>
      </c>
      <c r="D277" s="231">
        <f t="shared" si="467"/>
        <v>25</v>
      </c>
      <c r="E277" s="239">
        <f t="shared" si="480"/>
        <v>3.4090000000000007</v>
      </c>
      <c r="F277" s="232">
        <f t="shared" si="481"/>
        <v>13.636000000000003</v>
      </c>
      <c r="G277" s="232">
        <f t="shared" si="482"/>
        <v>10.908800000000003</v>
      </c>
      <c r="H277" s="232">
        <f t="shared" si="483"/>
        <v>6.8180000000000014</v>
      </c>
      <c r="I277" s="232">
        <f t="shared" si="499"/>
        <v>8</v>
      </c>
      <c r="J277" s="233">
        <f t="shared" si="499"/>
        <v>20</v>
      </c>
      <c r="K277" s="228" t="str">
        <f>D277&amp;-3</f>
        <v>25-3</v>
      </c>
      <c r="L277" s="232">
        <f t="shared" si="506"/>
        <v>0.2</v>
      </c>
      <c r="M277" s="235">
        <v>60</v>
      </c>
      <c r="N277" s="232">
        <f t="shared" ref="N277:O277" si="510">N276</f>
        <v>150</v>
      </c>
      <c r="O277" s="232">
        <f t="shared" si="510"/>
        <v>750</v>
      </c>
      <c r="Q277" s="38">
        <f t="shared" ref="Q277:R277" si="511">Q276</f>
        <v>24</v>
      </c>
      <c r="R277" s="38">
        <f t="shared" si="511"/>
        <v>25</v>
      </c>
      <c r="S277" s="39">
        <f t="shared" si="402"/>
        <v>0.99967848848331109</v>
      </c>
      <c r="T277" s="39">
        <f t="shared" si="403"/>
        <v>0.99983779445975174</v>
      </c>
      <c r="U277" s="39">
        <f t="shared" si="404"/>
        <v>1.5930597644064903E-4</v>
      </c>
      <c r="V277" s="39">
        <f t="shared" si="495"/>
        <v>1.8067040079252137E-4</v>
      </c>
      <c r="W277" s="40">
        <f t="shared" si="434"/>
        <v>1.8067040079252139E-4</v>
      </c>
      <c r="X277" s="40" t="s">
        <v>3710</v>
      </c>
      <c r="Y277" s="217">
        <f t="shared" si="435"/>
        <v>2.168044809510257E-2</v>
      </c>
      <c r="Z277" s="217">
        <f t="shared" si="436"/>
        <v>3.613408015850428E-3</v>
      </c>
    </row>
    <row r="278" spans="1:26" x14ac:dyDescent="0.25">
      <c r="A278" s="229">
        <f t="shared" si="496"/>
        <v>3268</v>
      </c>
      <c r="B278" s="230">
        <f t="shared" si="497"/>
        <v>268</v>
      </c>
      <c r="C278" s="229" t="str">
        <f t="shared" si="493"/>
        <v>24cX25_020-090_04</v>
      </c>
      <c r="D278" s="231">
        <f t="shared" si="467"/>
        <v>25</v>
      </c>
      <c r="E278" s="239">
        <f t="shared" si="480"/>
        <v>3.4090000000000007</v>
      </c>
      <c r="F278" s="232">
        <f t="shared" si="481"/>
        <v>13.636000000000003</v>
      </c>
      <c r="G278" s="232">
        <f t="shared" si="482"/>
        <v>10.908800000000003</v>
      </c>
      <c r="H278" s="232">
        <f t="shared" si="483"/>
        <v>6.8180000000000014</v>
      </c>
      <c r="I278" s="232">
        <f t="shared" si="499"/>
        <v>8</v>
      </c>
      <c r="J278" s="233">
        <f t="shared" si="499"/>
        <v>20</v>
      </c>
      <c r="K278" s="228" t="str">
        <f>D278&amp;-4</f>
        <v>25-4</v>
      </c>
      <c r="L278" s="232">
        <f t="shared" si="506"/>
        <v>0.2</v>
      </c>
      <c r="M278" s="235">
        <v>90</v>
      </c>
      <c r="N278" s="232">
        <f t="shared" ref="N278:O278" si="512">N277</f>
        <v>150</v>
      </c>
      <c r="O278" s="232">
        <f t="shared" si="512"/>
        <v>750</v>
      </c>
      <c r="Q278" s="38">
        <f t="shared" ref="Q278:R278" si="513">Q277</f>
        <v>24</v>
      </c>
      <c r="R278" s="38">
        <f t="shared" si="513"/>
        <v>25</v>
      </c>
      <c r="S278" s="39">
        <f t="shared" si="402"/>
        <v>0.99967848848331109</v>
      </c>
      <c r="T278" s="39">
        <f t="shared" si="403"/>
        <v>0.99983779445975174</v>
      </c>
      <c r="U278" s="39">
        <f t="shared" si="404"/>
        <v>1.5930597644064903E-4</v>
      </c>
      <c r="V278" s="39">
        <f t="shared" si="495"/>
        <v>1.8067040079252137E-4</v>
      </c>
      <c r="W278" s="40">
        <f t="shared" si="434"/>
        <v>1.8067040079252139E-4</v>
      </c>
      <c r="X278" s="40" t="s">
        <v>3710</v>
      </c>
      <c r="Y278" s="217">
        <f t="shared" si="435"/>
        <v>2.168044809510257E-2</v>
      </c>
      <c r="Z278" s="217">
        <f t="shared" si="436"/>
        <v>3.613408015850428E-3</v>
      </c>
    </row>
    <row r="279" spans="1:26" x14ac:dyDescent="0.25">
      <c r="A279" s="229">
        <f t="shared" si="496"/>
        <v>3269</v>
      </c>
      <c r="B279" s="230">
        <f t="shared" si="497"/>
        <v>269</v>
      </c>
      <c r="C279" s="229" t="str">
        <f t="shared" si="493"/>
        <v>24cX25_020-000_05</v>
      </c>
      <c r="D279" s="231">
        <f t="shared" si="467"/>
        <v>25</v>
      </c>
      <c r="E279" s="239">
        <f t="shared" si="480"/>
        <v>3.4090000000000007</v>
      </c>
      <c r="F279" s="232">
        <f t="shared" si="481"/>
        <v>13.636000000000003</v>
      </c>
      <c r="G279" s="232">
        <f t="shared" si="482"/>
        <v>10.908800000000003</v>
      </c>
      <c r="H279" s="232">
        <f t="shared" si="483"/>
        <v>6.8180000000000014</v>
      </c>
      <c r="I279" s="232">
        <f t="shared" si="499"/>
        <v>8</v>
      </c>
      <c r="J279" s="233">
        <f t="shared" si="499"/>
        <v>20</v>
      </c>
      <c r="K279" s="228" t="str">
        <f>D279&amp;-5</f>
        <v>25-5</v>
      </c>
      <c r="L279" s="232">
        <f t="shared" si="506"/>
        <v>0.2</v>
      </c>
      <c r="M279" s="235">
        <v>0</v>
      </c>
      <c r="N279" s="232">
        <f t="shared" ref="N279:O279" si="514">N278</f>
        <v>150</v>
      </c>
      <c r="O279" s="232">
        <f t="shared" si="514"/>
        <v>750</v>
      </c>
      <c r="Q279" s="38">
        <f t="shared" ref="Q279:R279" si="515">Q278</f>
        <v>24</v>
      </c>
      <c r="R279" s="38">
        <f t="shared" si="515"/>
        <v>25</v>
      </c>
      <c r="S279" s="39">
        <f t="shared" si="402"/>
        <v>0.99967848848331109</v>
      </c>
      <c r="T279" s="39">
        <f t="shared" si="403"/>
        <v>0.99983779445975174</v>
      </c>
      <c r="U279" s="39">
        <f t="shared" si="404"/>
        <v>1.5930597644064903E-4</v>
      </c>
      <c r="V279" s="39">
        <f t="shared" si="495"/>
        <v>1.8067040079252137E-4</v>
      </c>
      <c r="W279" s="40">
        <f t="shared" si="434"/>
        <v>1.8067040079252139E-4</v>
      </c>
      <c r="X279" s="40" t="s">
        <v>3710</v>
      </c>
      <c r="Y279" s="217">
        <f t="shared" si="435"/>
        <v>2.168044809510257E-2</v>
      </c>
      <c r="Z279" s="217">
        <f t="shared" si="436"/>
        <v>3.613408015850428E-3</v>
      </c>
    </row>
    <row r="280" spans="1:26" x14ac:dyDescent="0.25">
      <c r="A280" s="229">
        <f t="shared" si="496"/>
        <v>3270</v>
      </c>
      <c r="B280" s="230">
        <f t="shared" si="497"/>
        <v>270</v>
      </c>
      <c r="C280" s="229" t="str">
        <f t="shared" si="493"/>
        <v>24cX25_020-030_06</v>
      </c>
      <c r="D280" s="231">
        <f t="shared" si="467"/>
        <v>25</v>
      </c>
      <c r="E280" s="239">
        <f t="shared" si="480"/>
        <v>3.4090000000000007</v>
      </c>
      <c r="F280" s="232">
        <f t="shared" si="481"/>
        <v>13.636000000000003</v>
      </c>
      <c r="G280" s="232">
        <f t="shared" si="482"/>
        <v>10.908800000000003</v>
      </c>
      <c r="H280" s="232">
        <f t="shared" si="483"/>
        <v>6.8180000000000014</v>
      </c>
      <c r="I280" s="232">
        <f t="shared" si="499"/>
        <v>8</v>
      </c>
      <c r="J280" s="233">
        <f t="shared" si="499"/>
        <v>20</v>
      </c>
      <c r="K280" s="228" t="str">
        <f>D280&amp;-6</f>
        <v>25-6</v>
      </c>
      <c r="L280" s="232">
        <f t="shared" si="506"/>
        <v>0.2</v>
      </c>
      <c r="M280" s="235">
        <v>30</v>
      </c>
      <c r="N280" s="232">
        <f t="shared" ref="N280:O280" si="516">N279</f>
        <v>150</v>
      </c>
      <c r="O280" s="232">
        <f t="shared" si="516"/>
        <v>750</v>
      </c>
      <c r="Q280" s="38">
        <f t="shared" ref="Q280:R280" si="517">Q279</f>
        <v>24</v>
      </c>
      <c r="R280" s="38">
        <f t="shared" si="517"/>
        <v>25</v>
      </c>
      <c r="S280" s="39">
        <f t="shared" si="402"/>
        <v>0.99967848848331109</v>
      </c>
      <c r="T280" s="39">
        <f t="shared" si="403"/>
        <v>0.99983779445975174</v>
      </c>
      <c r="U280" s="39">
        <f t="shared" si="404"/>
        <v>1.5930597644064903E-4</v>
      </c>
      <c r="V280" s="39">
        <f t="shared" si="495"/>
        <v>1.8067040079252137E-4</v>
      </c>
      <c r="W280" s="40">
        <f t="shared" si="434"/>
        <v>1.8067040079252139E-4</v>
      </c>
      <c r="X280" s="40" t="s">
        <v>3710</v>
      </c>
      <c r="Y280" s="217">
        <f t="shared" si="435"/>
        <v>2.168044809510257E-2</v>
      </c>
      <c r="Z280" s="217">
        <f t="shared" si="436"/>
        <v>3.613408015850428E-3</v>
      </c>
    </row>
    <row r="281" spans="1:26" x14ac:dyDescent="0.25">
      <c r="A281" s="229">
        <f t="shared" si="496"/>
        <v>3271</v>
      </c>
      <c r="B281" s="230">
        <f t="shared" si="497"/>
        <v>271</v>
      </c>
      <c r="C281" s="229" t="str">
        <f t="shared" si="493"/>
        <v>24cX25_020-060_07</v>
      </c>
      <c r="D281" s="231">
        <f t="shared" si="467"/>
        <v>25</v>
      </c>
      <c r="E281" s="239">
        <f t="shared" si="480"/>
        <v>3.4090000000000007</v>
      </c>
      <c r="F281" s="232">
        <f t="shared" si="481"/>
        <v>13.636000000000003</v>
      </c>
      <c r="G281" s="232">
        <f t="shared" si="482"/>
        <v>10.908800000000003</v>
      </c>
      <c r="H281" s="232">
        <f t="shared" si="483"/>
        <v>6.8180000000000014</v>
      </c>
      <c r="I281" s="232">
        <f t="shared" ref="I281:J296" si="518">I280</f>
        <v>8</v>
      </c>
      <c r="J281" s="233">
        <f t="shared" si="499"/>
        <v>20</v>
      </c>
      <c r="K281" s="228" t="str">
        <f>D281&amp;-7</f>
        <v>25-7</v>
      </c>
      <c r="L281" s="232">
        <f t="shared" si="506"/>
        <v>0.2</v>
      </c>
      <c r="M281" s="235">
        <v>60</v>
      </c>
      <c r="N281" s="232">
        <f t="shared" ref="N281:O281" si="519">N280</f>
        <v>150</v>
      </c>
      <c r="O281" s="232">
        <f t="shared" si="519"/>
        <v>750</v>
      </c>
      <c r="Q281" s="38">
        <f t="shared" ref="Q281:R281" si="520">Q280</f>
        <v>24</v>
      </c>
      <c r="R281" s="38">
        <f t="shared" si="520"/>
        <v>25</v>
      </c>
      <c r="S281" s="39">
        <f t="shared" si="402"/>
        <v>0.99967848848331109</v>
      </c>
      <c r="T281" s="39">
        <f t="shared" si="403"/>
        <v>0.99983779445975174</v>
      </c>
      <c r="U281" s="39">
        <f t="shared" si="404"/>
        <v>1.5930597644064903E-4</v>
      </c>
      <c r="V281" s="39">
        <f t="shared" si="495"/>
        <v>1.8067040079252137E-4</v>
      </c>
      <c r="W281" s="40">
        <f t="shared" si="434"/>
        <v>1.8067040079252139E-4</v>
      </c>
      <c r="X281" s="40" t="s">
        <v>3710</v>
      </c>
      <c r="Y281" s="217">
        <f t="shared" si="435"/>
        <v>2.168044809510257E-2</v>
      </c>
      <c r="Z281" s="217">
        <f t="shared" si="436"/>
        <v>3.613408015850428E-3</v>
      </c>
    </row>
    <row r="282" spans="1:26" x14ac:dyDescent="0.25">
      <c r="A282" s="229">
        <f t="shared" si="496"/>
        <v>3272</v>
      </c>
      <c r="B282" s="230">
        <f t="shared" si="497"/>
        <v>272</v>
      </c>
      <c r="C282" s="229" t="str">
        <f t="shared" si="493"/>
        <v>24cX25_020-090_08</v>
      </c>
      <c r="D282" s="231">
        <f t="shared" si="467"/>
        <v>25</v>
      </c>
      <c r="E282" s="239">
        <f t="shared" si="480"/>
        <v>3.4090000000000007</v>
      </c>
      <c r="F282" s="232">
        <f t="shared" si="481"/>
        <v>13.636000000000003</v>
      </c>
      <c r="G282" s="232">
        <f t="shared" si="482"/>
        <v>10.908800000000003</v>
      </c>
      <c r="H282" s="232">
        <f t="shared" si="483"/>
        <v>6.8180000000000014</v>
      </c>
      <c r="I282" s="232">
        <f t="shared" si="518"/>
        <v>8</v>
      </c>
      <c r="J282" s="233">
        <f t="shared" si="499"/>
        <v>20</v>
      </c>
      <c r="K282" s="228" t="str">
        <f>D282&amp;-8</f>
        <v>25-8</v>
      </c>
      <c r="L282" s="232">
        <f t="shared" si="506"/>
        <v>0.2</v>
      </c>
      <c r="M282" s="235">
        <v>90</v>
      </c>
      <c r="N282" s="232">
        <f t="shared" ref="N282:O282" si="521">N281</f>
        <v>150</v>
      </c>
      <c r="O282" s="232">
        <f t="shared" si="521"/>
        <v>750</v>
      </c>
      <c r="Q282" s="38">
        <f t="shared" ref="Q282:R282" si="522">Q281</f>
        <v>24</v>
      </c>
      <c r="R282" s="38">
        <f t="shared" si="522"/>
        <v>25</v>
      </c>
      <c r="S282" s="39">
        <f t="shared" si="402"/>
        <v>0.99967848848331109</v>
      </c>
      <c r="T282" s="39">
        <f t="shared" si="403"/>
        <v>0.99983779445975174</v>
      </c>
      <c r="U282" s="39">
        <f t="shared" si="404"/>
        <v>1.5930597644064903E-4</v>
      </c>
      <c r="V282" s="39">
        <f t="shared" si="495"/>
        <v>1.8067040079252137E-4</v>
      </c>
      <c r="W282" s="40">
        <f t="shared" si="434"/>
        <v>1.8067040079252139E-4</v>
      </c>
      <c r="X282" s="40" t="s">
        <v>3710</v>
      </c>
      <c r="Y282" s="217">
        <f t="shared" si="435"/>
        <v>2.168044809510257E-2</v>
      </c>
      <c r="Z282" s="217">
        <f t="shared" si="436"/>
        <v>3.613408015850428E-3</v>
      </c>
    </row>
    <row r="283" spans="1:26" x14ac:dyDescent="0.25">
      <c r="A283" s="229">
        <f t="shared" si="496"/>
        <v>3273</v>
      </c>
      <c r="B283" s="230">
        <f t="shared" si="497"/>
        <v>273</v>
      </c>
      <c r="C283" s="229" t="str">
        <f t="shared" si="493"/>
        <v>24cX25_020-000_09</v>
      </c>
      <c r="D283" s="231">
        <f t="shared" si="467"/>
        <v>25</v>
      </c>
      <c r="E283" s="239">
        <f t="shared" si="480"/>
        <v>3.4090000000000007</v>
      </c>
      <c r="F283" s="232">
        <f t="shared" si="481"/>
        <v>13.636000000000003</v>
      </c>
      <c r="G283" s="232">
        <f t="shared" si="482"/>
        <v>10.908800000000003</v>
      </c>
      <c r="H283" s="232">
        <f t="shared" si="483"/>
        <v>6.8180000000000014</v>
      </c>
      <c r="I283" s="232">
        <f t="shared" si="518"/>
        <v>8</v>
      </c>
      <c r="J283" s="233">
        <f t="shared" si="499"/>
        <v>20</v>
      </c>
      <c r="K283" s="228" t="str">
        <f>D283&amp;-9</f>
        <v>25-9</v>
      </c>
      <c r="L283" s="232">
        <f t="shared" si="506"/>
        <v>0.2</v>
      </c>
      <c r="M283" s="235">
        <v>0</v>
      </c>
      <c r="N283" s="232">
        <f t="shared" ref="N283:O283" si="523">N282</f>
        <v>150</v>
      </c>
      <c r="O283" s="232">
        <f t="shared" si="523"/>
        <v>750</v>
      </c>
      <c r="Q283" s="38">
        <f t="shared" ref="Q283:R283" si="524">Q282</f>
        <v>24</v>
      </c>
      <c r="R283" s="38">
        <f t="shared" si="524"/>
        <v>25</v>
      </c>
      <c r="S283" s="39">
        <f t="shared" ref="S283:S298" si="525">IF(wpd="Rayleigh",1-EXP(-PI()*((Q283/2/v_ave)^2)),IF(wpd="Weibull",1-EXP(-((Q283/weibull_A)^weibull_K))))</f>
        <v>0.99967848848331109</v>
      </c>
      <c r="T283" s="39">
        <f t="shared" ref="T283:T298" si="526">IF(wpd="Rayleigh",1-EXP(-PI()*((R283/2/v_ave)^2)),IF(wpd="Weibull",1-EXP(-((R283/weibull_A)^weibull_K))))</f>
        <v>0.99983779445975174</v>
      </c>
      <c r="U283" s="39">
        <f t="shared" ref="U283:U298" si="527">T283-S283</f>
        <v>1.5930597644064903E-4</v>
      </c>
      <c r="V283" s="39">
        <f t="shared" si="495"/>
        <v>1.8067040079252137E-4</v>
      </c>
      <c r="W283" s="40">
        <f t="shared" si="434"/>
        <v>1.8067040079252139E-4</v>
      </c>
      <c r="X283" s="40" t="s">
        <v>3710</v>
      </c>
      <c r="Y283" s="217">
        <f t="shared" si="435"/>
        <v>2.168044809510257E-2</v>
      </c>
      <c r="Z283" s="217">
        <f t="shared" si="436"/>
        <v>3.613408015850428E-3</v>
      </c>
    </row>
    <row r="284" spans="1:26" x14ac:dyDescent="0.25">
      <c r="A284" s="229">
        <f t="shared" si="496"/>
        <v>3274</v>
      </c>
      <c r="B284" s="230">
        <f t="shared" si="497"/>
        <v>274</v>
      </c>
      <c r="C284" s="229" t="str">
        <f t="shared" si="493"/>
        <v>24cX25_020-030_10</v>
      </c>
      <c r="D284" s="231">
        <f t="shared" si="467"/>
        <v>25</v>
      </c>
      <c r="E284" s="239">
        <f t="shared" si="480"/>
        <v>3.4090000000000007</v>
      </c>
      <c r="F284" s="232">
        <f t="shared" si="481"/>
        <v>13.636000000000003</v>
      </c>
      <c r="G284" s="232">
        <f t="shared" si="482"/>
        <v>10.908800000000003</v>
      </c>
      <c r="H284" s="232">
        <f t="shared" si="483"/>
        <v>6.8180000000000014</v>
      </c>
      <c r="I284" s="232">
        <f t="shared" si="518"/>
        <v>8</v>
      </c>
      <c r="J284" s="233">
        <f t="shared" si="499"/>
        <v>20</v>
      </c>
      <c r="K284" s="228" t="str">
        <f>D284&amp;-10</f>
        <v>25-10</v>
      </c>
      <c r="L284" s="232">
        <f t="shared" si="506"/>
        <v>0.2</v>
      </c>
      <c r="M284" s="235">
        <v>30</v>
      </c>
      <c r="N284" s="232">
        <f t="shared" ref="N284:O284" si="528">N283</f>
        <v>150</v>
      </c>
      <c r="O284" s="232">
        <f t="shared" si="528"/>
        <v>750</v>
      </c>
      <c r="Q284" s="38">
        <f t="shared" ref="Q284:R284" si="529">Q283</f>
        <v>24</v>
      </c>
      <c r="R284" s="38">
        <f t="shared" si="529"/>
        <v>25</v>
      </c>
      <c r="S284" s="39">
        <f t="shared" si="525"/>
        <v>0.99967848848331109</v>
      </c>
      <c r="T284" s="39">
        <f t="shared" si="526"/>
        <v>0.99983779445975174</v>
      </c>
      <c r="U284" s="39">
        <f t="shared" si="527"/>
        <v>1.5930597644064903E-4</v>
      </c>
      <c r="V284" s="39">
        <f t="shared" si="495"/>
        <v>1.8067040079252137E-4</v>
      </c>
      <c r="W284" s="40">
        <f t="shared" si="434"/>
        <v>1.8067040079252139E-4</v>
      </c>
      <c r="X284" s="40" t="s">
        <v>3710</v>
      </c>
      <c r="Y284" s="217">
        <f t="shared" si="435"/>
        <v>2.168044809510257E-2</v>
      </c>
      <c r="Z284" s="217">
        <f t="shared" si="436"/>
        <v>3.613408015850428E-3</v>
      </c>
    </row>
    <row r="285" spans="1:26" x14ac:dyDescent="0.25">
      <c r="A285" s="229">
        <f t="shared" si="496"/>
        <v>3275</v>
      </c>
      <c r="B285" s="230">
        <f t="shared" si="497"/>
        <v>275</v>
      </c>
      <c r="C285" s="229" t="str">
        <f t="shared" si="493"/>
        <v>24cX25_020-060_11</v>
      </c>
      <c r="D285" s="231">
        <f t="shared" si="467"/>
        <v>25</v>
      </c>
      <c r="E285" s="239">
        <f t="shared" si="480"/>
        <v>3.4090000000000007</v>
      </c>
      <c r="F285" s="232">
        <f t="shared" si="481"/>
        <v>13.636000000000003</v>
      </c>
      <c r="G285" s="232">
        <f t="shared" si="482"/>
        <v>10.908800000000003</v>
      </c>
      <c r="H285" s="232">
        <f t="shared" si="483"/>
        <v>6.8180000000000014</v>
      </c>
      <c r="I285" s="232">
        <f t="shared" si="518"/>
        <v>8</v>
      </c>
      <c r="J285" s="233">
        <f t="shared" si="499"/>
        <v>20</v>
      </c>
      <c r="K285" s="228" t="str">
        <f>D285&amp;-11</f>
        <v>25-11</v>
      </c>
      <c r="L285" s="232">
        <f t="shared" si="506"/>
        <v>0.2</v>
      </c>
      <c r="M285" s="235">
        <v>60</v>
      </c>
      <c r="N285" s="232">
        <f t="shared" ref="N285:O285" si="530">N284</f>
        <v>150</v>
      </c>
      <c r="O285" s="232">
        <f t="shared" si="530"/>
        <v>750</v>
      </c>
      <c r="Q285" s="38">
        <f t="shared" ref="Q285:R285" si="531">Q284</f>
        <v>24</v>
      </c>
      <c r="R285" s="38">
        <f t="shared" si="531"/>
        <v>25</v>
      </c>
      <c r="S285" s="39">
        <f t="shared" si="525"/>
        <v>0.99967848848331109</v>
      </c>
      <c r="T285" s="39">
        <f t="shared" si="526"/>
        <v>0.99983779445975174</v>
      </c>
      <c r="U285" s="39">
        <f t="shared" si="527"/>
        <v>1.5930597644064903E-4</v>
      </c>
      <c r="V285" s="39">
        <f t="shared" si="495"/>
        <v>1.8067040079252137E-4</v>
      </c>
      <c r="W285" s="40">
        <f t="shared" si="434"/>
        <v>1.8067040079252139E-4</v>
      </c>
      <c r="X285" s="40" t="s">
        <v>3710</v>
      </c>
      <c r="Y285" s="217">
        <f t="shared" si="435"/>
        <v>2.168044809510257E-2</v>
      </c>
      <c r="Z285" s="217">
        <f t="shared" si="436"/>
        <v>3.613408015850428E-3</v>
      </c>
    </row>
    <row r="286" spans="1:26" x14ac:dyDescent="0.25">
      <c r="A286" s="229">
        <f t="shared" si="496"/>
        <v>3276</v>
      </c>
      <c r="B286" s="230">
        <f t="shared" si="497"/>
        <v>276</v>
      </c>
      <c r="C286" s="229" t="str">
        <f t="shared" si="493"/>
        <v>24cX25_020-090_12</v>
      </c>
      <c r="D286" s="231">
        <f t="shared" si="467"/>
        <v>25</v>
      </c>
      <c r="E286" s="239">
        <f t="shared" si="480"/>
        <v>3.4090000000000007</v>
      </c>
      <c r="F286" s="232">
        <f t="shared" si="481"/>
        <v>13.636000000000003</v>
      </c>
      <c r="G286" s="232">
        <f t="shared" si="482"/>
        <v>10.908800000000003</v>
      </c>
      <c r="H286" s="232">
        <f t="shared" si="483"/>
        <v>6.8180000000000014</v>
      </c>
      <c r="I286" s="232">
        <f t="shared" si="518"/>
        <v>8</v>
      </c>
      <c r="J286" s="233">
        <f t="shared" si="499"/>
        <v>20</v>
      </c>
      <c r="K286" s="228" t="str">
        <f>D286&amp;-12</f>
        <v>25-12</v>
      </c>
      <c r="L286" s="232">
        <f t="shared" si="506"/>
        <v>0.2</v>
      </c>
      <c r="M286" s="235">
        <v>90</v>
      </c>
      <c r="N286" s="232">
        <f t="shared" ref="N286:O286" si="532">N285</f>
        <v>150</v>
      </c>
      <c r="O286" s="232">
        <f t="shared" si="532"/>
        <v>750</v>
      </c>
      <c r="Q286" s="38">
        <f t="shared" ref="Q286:R286" si="533">Q285</f>
        <v>24</v>
      </c>
      <c r="R286" s="38">
        <f t="shared" si="533"/>
        <v>25</v>
      </c>
      <c r="S286" s="39">
        <f t="shared" si="525"/>
        <v>0.99967848848331109</v>
      </c>
      <c r="T286" s="39">
        <f t="shared" si="526"/>
        <v>0.99983779445975174</v>
      </c>
      <c r="U286" s="39">
        <f t="shared" si="527"/>
        <v>1.5930597644064903E-4</v>
      </c>
      <c r="V286" s="39">
        <f t="shared" si="495"/>
        <v>1.8067040079252137E-4</v>
      </c>
      <c r="W286" s="40">
        <f t="shared" si="434"/>
        <v>1.8067040079252139E-4</v>
      </c>
      <c r="X286" s="40" t="s">
        <v>3710</v>
      </c>
      <c r="Y286" s="217">
        <f t="shared" si="435"/>
        <v>2.168044809510257E-2</v>
      </c>
      <c r="Z286" s="217">
        <f t="shared" si="436"/>
        <v>3.613408015850428E-3</v>
      </c>
    </row>
    <row r="287" spans="1:26" x14ac:dyDescent="0.25">
      <c r="A287" s="229">
        <f t="shared" si="496"/>
        <v>3277</v>
      </c>
      <c r="B287" s="230">
        <f t="shared" si="497"/>
        <v>277</v>
      </c>
      <c r="C287" s="229" t="str">
        <f t="shared" si="493"/>
        <v>24cX25_340-000_01</v>
      </c>
      <c r="D287" s="231">
        <f t="shared" si="467"/>
        <v>25</v>
      </c>
      <c r="E287" s="239">
        <f t="shared" si="480"/>
        <v>3.4090000000000007</v>
      </c>
      <c r="F287" s="232">
        <f t="shared" si="481"/>
        <v>13.636000000000003</v>
      </c>
      <c r="G287" s="232">
        <f t="shared" si="482"/>
        <v>10.908800000000003</v>
      </c>
      <c r="H287" s="232">
        <f t="shared" si="483"/>
        <v>6.8180000000000014</v>
      </c>
      <c r="I287" s="232">
        <f t="shared" si="518"/>
        <v>8</v>
      </c>
      <c r="J287" s="233">
        <f>-J275</f>
        <v>-20</v>
      </c>
      <c r="K287" s="228" t="str">
        <f>D287&amp;-1</f>
        <v>25-1</v>
      </c>
      <c r="L287" s="232">
        <f t="shared" si="506"/>
        <v>0.2</v>
      </c>
      <c r="M287" s="235">
        <v>0</v>
      </c>
      <c r="N287" s="232">
        <f t="shared" ref="N287:O287" si="534">N286</f>
        <v>150</v>
      </c>
      <c r="O287" s="232">
        <f t="shared" si="534"/>
        <v>750</v>
      </c>
      <c r="Q287" s="38">
        <f t="shared" ref="Q287:Q288" si="535">Q286</f>
        <v>24</v>
      </c>
      <c r="R287" s="38">
        <f>R286</f>
        <v>25</v>
      </c>
      <c r="S287" s="39">
        <f t="shared" si="525"/>
        <v>0.99967848848331109</v>
      </c>
      <c r="T287" s="39">
        <f t="shared" si="526"/>
        <v>0.99983779445975174</v>
      </c>
      <c r="U287" s="39">
        <f t="shared" si="527"/>
        <v>1.5930597644064903E-4</v>
      </c>
      <c r="V287" s="39">
        <f t="shared" si="495"/>
        <v>1.8067040079252137E-4</v>
      </c>
      <c r="W287" s="40">
        <f t="shared" si="434"/>
        <v>1.8067040079252139E-4</v>
      </c>
      <c r="X287" s="40" t="s">
        <v>3710</v>
      </c>
      <c r="Y287" s="217">
        <f t="shared" si="435"/>
        <v>2.168044809510257E-2</v>
      </c>
      <c r="Z287" s="217">
        <f t="shared" si="436"/>
        <v>3.613408015850428E-3</v>
      </c>
    </row>
    <row r="288" spans="1:26" x14ac:dyDescent="0.25">
      <c r="A288" s="229">
        <f t="shared" si="496"/>
        <v>3278</v>
      </c>
      <c r="B288" s="230">
        <f t="shared" si="497"/>
        <v>278</v>
      </c>
      <c r="C288" s="229" t="str">
        <f t="shared" si="493"/>
        <v>24cX25_340-030_02</v>
      </c>
      <c r="D288" s="231">
        <f t="shared" si="467"/>
        <v>25</v>
      </c>
      <c r="E288" s="239">
        <f t="shared" si="480"/>
        <v>3.4090000000000007</v>
      </c>
      <c r="F288" s="232">
        <f t="shared" si="481"/>
        <v>13.636000000000003</v>
      </c>
      <c r="G288" s="232">
        <f t="shared" si="482"/>
        <v>10.908800000000003</v>
      </c>
      <c r="H288" s="232">
        <f t="shared" si="483"/>
        <v>6.8180000000000014</v>
      </c>
      <c r="I288" s="232">
        <f t="shared" si="518"/>
        <v>8</v>
      </c>
      <c r="J288" s="233">
        <f t="shared" si="518"/>
        <v>-20</v>
      </c>
      <c r="K288" s="228" t="str">
        <f>D288&amp;-2</f>
        <v>25-2</v>
      </c>
      <c r="L288" s="232">
        <f t="shared" si="506"/>
        <v>0.2</v>
      </c>
      <c r="M288" s="235">
        <v>30</v>
      </c>
      <c r="N288" s="232">
        <f t="shared" ref="N288:O288" si="536">N287</f>
        <v>150</v>
      </c>
      <c r="O288" s="232">
        <f t="shared" si="536"/>
        <v>750</v>
      </c>
      <c r="Q288" s="38">
        <f t="shared" si="535"/>
        <v>24</v>
      </c>
      <c r="R288" s="38">
        <f t="shared" ref="R288" si="537">R287</f>
        <v>25</v>
      </c>
      <c r="S288" s="39">
        <f t="shared" si="525"/>
        <v>0.99967848848331109</v>
      </c>
      <c r="T288" s="39">
        <f t="shared" si="526"/>
        <v>0.99983779445975174</v>
      </c>
      <c r="U288" s="39">
        <f t="shared" si="527"/>
        <v>1.5930597644064903E-4</v>
      </c>
      <c r="V288" s="39">
        <f t="shared" si="495"/>
        <v>1.8067040079252137E-4</v>
      </c>
      <c r="W288" s="40">
        <f t="shared" si="434"/>
        <v>1.8067040079252139E-4</v>
      </c>
      <c r="X288" s="40" t="s">
        <v>3710</v>
      </c>
      <c r="Y288" s="217">
        <f t="shared" si="435"/>
        <v>2.168044809510257E-2</v>
      </c>
      <c r="Z288" s="217">
        <f t="shared" si="436"/>
        <v>3.613408015850428E-3</v>
      </c>
    </row>
    <row r="289" spans="1:26" x14ac:dyDescent="0.25">
      <c r="A289" s="229">
        <f t="shared" si="496"/>
        <v>3279</v>
      </c>
      <c r="B289" s="230">
        <f t="shared" si="497"/>
        <v>279</v>
      </c>
      <c r="C289" s="229" t="str">
        <f t="shared" si="493"/>
        <v>24cX25_340-060_03</v>
      </c>
      <c r="D289" s="231">
        <f t="shared" si="467"/>
        <v>25</v>
      </c>
      <c r="E289" s="239">
        <f t="shared" si="480"/>
        <v>3.4090000000000007</v>
      </c>
      <c r="F289" s="232">
        <f t="shared" si="481"/>
        <v>13.636000000000003</v>
      </c>
      <c r="G289" s="232">
        <f t="shared" si="482"/>
        <v>10.908800000000003</v>
      </c>
      <c r="H289" s="232">
        <f t="shared" si="483"/>
        <v>6.8180000000000014</v>
      </c>
      <c r="I289" s="232">
        <f t="shared" si="518"/>
        <v>8</v>
      </c>
      <c r="J289" s="233">
        <f t="shared" si="518"/>
        <v>-20</v>
      </c>
      <c r="K289" s="228" t="str">
        <f>D289&amp;-3</f>
        <v>25-3</v>
      </c>
      <c r="L289" s="232">
        <f t="shared" si="506"/>
        <v>0.2</v>
      </c>
      <c r="M289" s="235">
        <v>60</v>
      </c>
      <c r="N289" s="232">
        <f t="shared" ref="N289:O289" si="538">N288</f>
        <v>150</v>
      </c>
      <c r="O289" s="232">
        <f t="shared" si="538"/>
        <v>750</v>
      </c>
      <c r="Q289" s="38">
        <f t="shared" ref="Q289:R289" si="539">Q288</f>
        <v>24</v>
      </c>
      <c r="R289" s="38">
        <f t="shared" si="539"/>
        <v>25</v>
      </c>
      <c r="S289" s="39">
        <f t="shared" si="525"/>
        <v>0.99967848848331109</v>
      </c>
      <c r="T289" s="39">
        <f t="shared" si="526"/>
        <v>0.99983779445975174</v>
      </c>
      <c r="U289" s="39">
        <f t="shared" si="527"/>
        <v>1.5930597644064903E-4</v>
      </c>
      <c r="V289" s="39">
        <f t="shared" si="495"/>
        <v>1.8067040079252137E-4</v>
      </c>
      <c r="W289" s="40">
        <f t="shared" si="434"/>
        <v>1.8067040079252139E-4</v>
      </c>
      <c r="X289" s="40" t="s">
        <v>3710</v>
      </c>
      <c r="Y289" s="217">
        <f t="shared" si="435"/>
        <v>2.168044809510257E-2</v>
      </c>
      <c r="Z289" s="217">
        <f t="shared" si="436"/>
        <v>3.613408015850428E-3</v>
      </c>
    </row>
    <row r="290" spans="1:26" x14ac:dyDescent="0.25">
      <c r="A290" s="229">
        <f t="shared" si="496"/>
        <v>3280</v>
      </c>
      <c r="B290" s="230">
        <f t="shared" si="497"/>
        <v>280</v>
      </c>
      <c r="C290" s="229" t="str">
        <f t="shared" si="493"/>
        <v>24cX25_340-090_04</v>
      </c>
      <c r="D290" s="231">
        <f t="shared" si="467"/>
        <v>25</v>
      </c>
      <c r="E290" s="239">
        <f t="shared" si="480"/>
        <v>3.4090000000000007</v>
      </c>
      <c r="F290" s="232">
        <f t="shared" si="481"/>
        <v>13.636000000000003</v>
      </c>
      <c r="G290" s="232">
        <f t="shared" si="482"/>
        <v>10.908800000000003</v>
      </c>
      <c r="H290" s="232">
        <f t="shared" si="483"/>
        <v>6.8180000000000014</v>
      </c>
      <c r="I290" s="232">
        <f t="shared" si="518"/>
        <v>8</v>
      </c>
      <c r="J290" s="233">
        <f t="shared" si="518"/>
        <v>-20</v>
      </c>
      <c r="K290" s="228" t="str">
        <f>D290&amp;-4</f>
        <v>25-4</v>
      </c>
      <c r="L290" s="232">
        <f t="shared" si="506"/>
        <v>0.2</v>
      </c>
      <c r="M290" s="235">
        <v>90</v>
      </c>
      <c r="N290" s="232">
        <f t="shared" ref="N290:O290" si="540">N289</f>
        <v>150</v>
      </c>
      <c r="O290" s="232">
        <f t="shared" si="540"/>
        <v>750</v>
      </c>
      <c r="Q290" s="38">
        <f t="shared" ref="Q290:R290" si="541">Q289</f>
        <v>24</v>
      </c>
      <c r="R290" s="38">
        <f t="shared" si="541"/>
        <v>25</v>
      </c>
      <c r="S290" s="39">
        <f t="shared" si="525"/>
        <v>0.99967848848331109</v>
      </c>
      <c r="T290" s="39">
        <f t="shared" si="526"/>
        <v>0.99983779445975174</v>
      </c>
      <c r="U290" s="39">
        <f t="shared" si="527"/>
        <v>1.5930597644064903E-4</v>
      </c>
      <c r="V290" s="39">
        <f t="shared" si="495"/>
        <v>1.8067040079252137E-4</v>
      </c>
      <c r="W290" s="40">
        <f t="shared" si="434"/>
        <v>1.8067040079252139E-4</v>
      </c>
      <c r="X290" s="40" t="s">
        <v>3710</v>
      </c>
      <c r="Y290" s="217">
        <f t="shared" si="435"/>
        <v>2.168044809510257E-2</v>
      </c>
      <c r="Z290" s="217">
        <f t="shared" si="436"/>
        <v>3.613408015850428E-3</v>
      </c>
    </row>
    <row r="291" spans="1:26" x14ac:dyDescent="0.25">
      <c r="A291" s="229">
        <f t="shared" si="496"/>
        <v>3281</v>
      </c>
      <c r="B291" s="230">
        <f t="shared" si="497"/>
        <v>281</v>
      </c>
      <c r="C291" s="229" t="str">
        <f t="shared" si="493"/>
        <v>24cX25_340-000_05</v>
      </c>
      <c r="D291" s="231">
        <f t="shared" si="467"/>
        <v>25</v>
      </c>
      <c r="E291" s="239">
        <f t="shared" si="480"/>
        <v>3.4090000000000007</v>
      </c>
      <c r="F291" s="232">
        <f t="shared" si="481"/>
        <v>13.636000000000003</v>
      </c>
      <c r="G291" s="232">
        <f t="shared" si="482"/>
        <v>10.908800000000003</v>
      </c>
      <c r="H291" s="232">
        <f t="shared" si="483"/>
        <v>6.8180000000000014</v>
      </c>
      <c r="I291" s="232">
        <f t="shared" si="518"/>
        <v>8</v>
      </c>
      <c r="J291" s="233">
        <f t="shared" si="518"/>
        <v>-20</v>
      </c>
      <c r="K291" s="228" t="str">
        <f>D291&amp;-5</f>
        <v>25-5</v>
      </c>
      <c r="L291" s="232">
        <f t="shared" si="506"/>
        <v>0.2</v>
      </c>
      <c r="M291" s="235">
        <v>0</v>
      </c>
      <c r="N291" s="232">
        <f t="shared" ref="N291:O291" si="542">N290</f>
        <v>150</v>
      </c>
      <c r="O291" s="232">
        <f t="shared" si="542"/>
        <v>750</v>
      </c>
      <c r="Q291" s="38">
        <f t="shared" ref="Q291:R291" si="543">Q290</f>
        <v>24</v>
      </c>
      <c r="R291" s="38">
        <f t="shared" si="543"/>
        <v>25</v>
      </c>
      <c r="S291" s="39">
        <f t="shared" si="525"/>
        <v>0.99967848848331109</v>
      </c>
      <c r="T291" s="39">
        <f t="shared" si="526"/>
        <v>0.99983779445975174</v>
      </c>
      <c r="U291" s="39">
        <f t="shared" si="527"/>
        <v>1.5930597644064903E-4</v>
      </c>
      <c r="V291" s="39">
        <f t="shared" si="495"/>
        <v>1.8067040079252137E-4</v>
      </c>
      <c r="W291" s="40">
        <f t="shared" si="434"/>
        <v>1.8067040079252139E-4</v>
      </c>
      <c r="X291" s="40" t="s">
        <v>3710</v>
      </c>
      <c r="Y291" s="217">
        <f t="shared" si="435"/>
        <v>2.168044809510257E-2</v>
      </c>
      <c r="Z291" s="217">
        <f t="shared" si="436"/>
        <v>3.613408015850428E-3</v>
      </c>
    </row>
    <row r="292" spans="1:26" x14ac:dyDescent="0.25">
      <c r="A292" s="229">
        <f t="shared" si="496"/>
        <v>3282</v>
      </c>
      <c r="B292" s="230">
        <f t="shared" si="497"/>
        <v>282</v>
      </c>
      <c r="C292" s="229" t="str">
        <f t="shared" si="493"/>
        <v>24cX25_340-030_06</v>
      </c>
      <c r="D292" s="231">
        <f t="shared" si="467"/>
        <v>25</v>
      </c>
      <c r="E292" s="239">
        <f t="shared" si="480"/>
        <v>3.4090000000000007</v>
      </c>
      <c r="F292" s="232">
        <f t="shared" si="481"/>
        <v>13.636000000000003</v>
      </c>
      <c r="G292" s="232">
        <f t="shared" si="482"/>
        <v>10.908800000000003</v>
      </c>
      <c r="H292" s="232">
        <f t="shared" si="483"/>
        <v>6.8180000000000014</v>
      </c>
      <c r="I292" s="232">
        <f t="shared" si="518"/>
        <v>8</v>
      </c>
      <c r="J292" s="233">
        <f t="shared" si="518"/>
        <v>-20</v>
      </c>
      <c r="K292" s="228" t="str">
        <f>D292&amp;-6</f>
        <v>25-6</v>
      </c>
      <c r="L292" s="232">
        <f t="shared" si="506"/>
        <v>0.2</v>
      </c>
      <c r="M292" s="235">
        <v>30</v>
      </c>
      <c r="N292" s="232">
        <f t="shared" ref="N292:O292" si="544">N291</f>
        <v>150</v>
      </c>
      <c r="O292" s="232">
        <f t="shared" si="544"/>
        <v>750</v>
      </c>
      <c r="Q292" s="38">
        <f t="shared" ref="Q292:R292" si="545">Q291</f>
        <v>24</v>
      </c>
      <c r="R292" s="38">
        <f t="shared" si="545"/>
        <v>25</v>
      </c>
      <c r="S292" s="39">
        <f t="shared" si="525"/>
        <v>0.99967848848331109</v>
      </c>
      <c r="T292" s="39">
        <f t="shared" si="526"/>
        <v>0.99983779445975174</v>
      </c>
      <c r="U292" s="39">
        <f t="shared" si="527"/>
        <v>1.5930597644064903E-4</v>
      </c>
      <c r="V292" s="39">
        <f t="shared" si="495"/>
        <v>1.8067040079252137E-4</v>
      </c>
      <c r="W292" s="40">
        <f t="shared" si="434"/>
        <v>1.8067040079252139E-4</v>
      </c>
      <c r="X292" s="40" t="s">
        <v>3710</v>
      </c>
      <c r="Y292" s="217">
        <f t="shared" si="435"/>
        <v>2.168044809510257E-2</v>
      </c>
      <c r="Z292" s="217">
        <f t="shared" si="436"/>
        <v>3.613408015850428E-3</v>
      </c>
    </row>
    <row r="293" spans="1:26" x14ac:dyDescent="0.25">
      <c r="A293" s="229">
        <f t="shared" si="496"/>
        <v>3283</v>
      </c>
      <c r="B293" s="230">
        <f t="shared" si="497"/>
        <v>283</v>
      </c>
      <c r="C293" s="229" t="str">
        <f t="shared" si="493"/>
        <v>24cX25_340-060_07</v>
      </c>
      <c r="D293" s="231">
        <f t="shared" si="467"/>
        <v>25</v>
      </c>
      <c r="E293" s="239">
        <f t="shared" si="480"/>
        <v>3.4090000000000007</v>
      </c>
      <c r="F293" s="232">
        <f t="shared" si="481"/>
        <v>13.636000000000003</v>
      </c>
      <c r="G293" s="232">
        <f t="shared" si="482"/>
        <v>10.908800000000003</v>
      </c>
      <c r="H293" s="232">
        <f t="shared" si="483"/>
        <v>6.8180000000000014</v>
      </c>
      <c r="I293" s="232">
        <f t="shared" si="518"/>
        <v>8</v>
      </c>
      <c r="J293" s="233">
        <f t="shared" si="518"/>
        <v>-20</v>
      </c>
      <c r="K293" s="228" t="str">
        <f>D293&amp;-7</f>
        <v>25-7</v>
      </c>
      <c r="L293" s="232">
        <f t="shared" si="506"/>
        <v>0.2</v>
      </c>
      <c r="M293" s="235">
        <v>60</v>
      </c>
      <c r="N293" s="232">
        <f t="shared" ref="N293:O293" si="546">N292</f>
        <v>150</v>
      </c>
      <c r="O293" s="232">
        <f t="shared" si="546"/>
        <v>750</v>
      </c>
      <c r="Q293" s="38">
        <f t="shared" ref="Q293:R293" si="547">Q292</f>
        <v>24</v>
      </c>
      <c r="R293" s="38">
        <f t="shared" si="547"/>
        <v>25</v>
      </c>
      <c r="S293" s="39">
        <f t="shared" si="525"/>
        <v>0.99967848848331109</v>
      </c>
      <c r="T293" s="39">
        <f t="shared" si="526"/>
        <v>0.99983779445975174</v>
      </c>
      <c r="U293" s="39">
        <f t="shared" si="527"/>
        <v>1.5930597644064903E-4</v>
      </c>
      <c r="V293" s="39">
        <f t="shared" si="495"/>
        <v>1.8067040079252137E-4</v>
      </c>
      <c r="W293" s="40">
        <f t="shared" si="434"/>
        <v>1.8067040079252139E-4</v>
      </c>
      <c r="X293" s="40" t="s">
        <v>3710</v>
      </c>
      <c r="Y293" s="217">
        <f t="shared" si="435"/>
        <v>2.168044809510257E-2</v>
      </c>
      <c r="Z293" s="217">
        <f t="shared" si="436"/>
        <v>3.613408015850428E-3</v>
      </c>
    </row>
    <row r="294" spans="1:26" x14ac:dyDescent="0.25">
      <c r="A294" s="229">
        <f t="shared" si="496"/>
        <v>3284</v>
      </c>
      <c r="B294" s="230">
        <f t="shared" si="497"/>
        <v>284</v>
      </c>
      <c r="C294" s="229" t="str">
        <f t="shared" si="493"/>
        <v>24cX25_340-090_08</v>
      </c>
      <c r="D294" s="231">
        <f t="shared" si="467"/>
        <v>25</v>
      </c>
      <c r="E294" s="239">
        <f t="shared" si="480"/>
        <v>3.4090000000000007</v>
      </c>
      <c r="F294" s="232">
        <f t="shared" si="481"/>
        <v>13.636000000000003</v>
      </c>
      <c r="G294" s="232">
        <f t="shared" si="482"/>
        <v>10.908800000000003</v>
      </c>
      <c r="H294" s="232">
        <f t="shared" si="483"/>
        <v>6.8180000000000014</v>
      </c>
      <c r="I294" s="232">
        <f t="shared" si="518"/>
        <v>8</v>
      </c>
      <c r="J294" s="233">
        <f t="shared" si="518"/>
        <v>-20</v>
      </c>
      <c r="K294" s="228" t="str">
        <f>D294&amp;-8</f>
        <v>25-8</v>
      </c>
      <c r="L294" s="232">
        <f t="shared" si="506"/>
        <v>0.2</v>
      </c>
      <c r="M294" s="235">
        <v>90</v>
      </c>
      <c r="N294" s="232">
        <f t="shared" ref="N294:O294" si="548">N293</f>
        <v>150</v>
      </c>
      <c r="O294" s="232">
        <f t="shared" si="548"/>
        <v>750</v>
      </c>
      <c r="Q294" s="38">
        <f t="shared" ref="Q294:R294" si="549">Q293</f>
        <v>24</v>
      </c>
      <c r="R294" s="38">
        <f t="shared" si="549"/>
        <v>25</v>
      </c>
      <c r="S294" s="39">
        <f t="shared" si="525"/>
        <v>0.99967848848331109</v>
      </c>
      <c r="T294" s="39">
        <f t="shared" si="526"/>
        <v>0.99983779445975174</v>
      </c>
      <c r="U294" s="39">
        <f t="shared" si="527"/>
        <v>1.5930597644064903E-4</v>
      </c>
      <c r="V294" s="39">
        <f t="shared" si="495"/>
        <v>1.8067040079252137E-4</v>
      </c>
      <c r="W294" s="40">
        <f t="shared" si="434"/>
        <v>1.8067040079252139E-4</v>
      </c>
      <c r="X294" s="40" t="s">
        <v>3710</v>
      </c>
      <c r="Y294" s="217">
        <f t="shared" si="435"/>
        <v>2.168044809510257E-2</v>
      </c>
      <c r="Z294" s="217">
        <f t="shared" si="436"/>
        <v>3.613408015850428E-3</v>
      </c>
    </row>
    <row r="295" spans="1:26" x14ac:dyDescent="0.25">
      <c r="A295" s="229">
        <f t="shared" si="496"/>
        <v>3285</v>
      </c>
      <c r="B295" s="230">
        <f t="shared" si="497"/>
        <v>285</v>
      </c>
      <c r="C295" s="229" t="str">
        <f t="shared" si="493"/>
        <v>24cX25_340-000_09</v>
      </c>
      <c r="D295" s="231">
        <f t="shared" si="467"/>
        <v>25</v>
      </c>
      <c r="E295" s="239">
        <f t="shared" si="480"/>
        <v>3.4090000000000007</v>
      </c>
      <c r="F295" s="232">
        <f t="shared" si="481"/>
        <v>13.636000000000003</v>
      </c>
      <c r="G295" s="232">
        <f t="shared" si="482"/>
        <v>10.908800000000003</v>
      </c>
      <c r="H295" s="232">
        <f t="shared" si="483"/>
        <v>6.8180000000000014</v>
      </c>
      <c r="I295" s="232">
        <f t="shared" si="499"/>
        <v>8</v>
      </c>
      <c r="J295" s="233">
        <f t="shared" si="518"/>
        <v>-20</v>
      </c>
      <c r="K295" s="228" t="str">
        <f>D295&amp;-9</f>
        <v>25-9</v>
      </c>
      <c r="L295" s="232">
        <f t="shared" si="506"/>
        <v>0.2</v>
      </c>
      <c r="M295" s="235">
        <v>0</v>
      </c>
      <c r="N295" s="232">
        <f t="shared" ref="N295:O295" si="550">N294</f>
        <v>150</v>
      </c>
      <c r="O295" s="232">
        <f t="shared" si="550"/>
        <v>750</v>
      </c>
      <c r="Q295" s="38">
        <f t="shared" ref="Q295:R295" si="551">Q294</f>
        <v>24</v>
      </c>
      <c r="R295" s="38">
        <f t="shared" si="551"/>
        <v>25</v>
      </c>
      <c r="S295" s="39">
        <f t="shared" si="525"/>
        <v>0.99967848848331109</v>
      </c>
      <c r="T295" s="39">
        <f t="shared" si="526"/>
        <v>0.99983779445975174</v>
      </c>
      <c r="U295" s="39">
        <f t="shared" si="527"/>
        <v>1.5930597644064903E-4</v>
      </c>
      <c r="V295" s="39">
        <f t="shared" si="495"/>
        <v>1.8067040079252137E-4</v>
      </c>
      <c r="W295" s="40">
        <f t="shared" si="434"/>
        <v>1.8067040079252139E-4</v>
      </c>
      <c r="X295" s="40" t="s">
        <v>3710</v>
      </c>
      <c r="Y295" s="217">
        <f t="shared" si="435"/>
        <v>2.168044809510257E-2</v>
      </c>
      <c r="Z295" s="217">
        <f t="shared" si="436"/>
        <v>3.613408015850428E-3</v>
      </c>
    </row>
    <row r="296" spans="1:26" x14ac:dyDescent="0.25">
      <c r="A296" s="229">
        <f t="shared" si="496"/>
        <v>3286</v>
      </c>
      <c r="B296" s="230">
        <f t="shared" si="497"/>
        <v>286</v>
      </c>
      <c r="C296" s="229" t="str">
        <f t="shared" si="493"/>
        <v>24cX25_340-030_10</v>
      </c>
      <c r="D296" s="231">
        <f t="shared" si="467"/>
        <v>25</v>
      </c>
      <c r="E296" s="239">
        <f t="shared" si="480"/>
        <v>3.4090000000000007</v>
      </c>
      <c r="F296" s="232">
        <f t="shared" si="481"/>
        <v>13.636000000000003</v>
      </c>
      <c r="G296" s="232">
        <f t="shared" si="482"/>
        <v>10.908800000000003</v>
      </c>
      <c r="H296" s="232">
        <f t="shared" si="483"/>
        <v>6.8180000000000014</v>
      </c>
      <c r="I296" s="232">
        <f t="shared" si="499"/>
        <v>8</v>
      </c>
      <c r="J296" s="233">
        <f t="shared" si="518"/>
        <v>-20</v>
      </c>
      <c r="K296" s="228" t="str">
        <f>D296&amp;-10</f>
        <v>25-10</v>
      </c>
      <c r="L296" s="232">
        <f t="shared" si="506"/>
        <v>0.2</v>
      </c>
      <c r="M296" s="235">
        <v>30</v>
      </c>
      <c r="N296" s="232">
        <f t="shared" ref="N296:O296" si="552">N295</f>
        <v>150</v>
      </c>
      <c r="O296" s="232">
        <f t="shared" si="552"/>
        <v>750</v>
      </c>
      <c r="Q296" s="38">
        <f t="shared" ref="Q296:R296" si="553">Q295</f>
        <v>24</v>
      </c>
      <c r="R296" s="38">
        <f t="shared" si="553"/>
        <v>25</v>
      </c>
      <c r="S296" s="39">
        <f t="shared" si="525"/>
        <v>0.99967848848331109</v>
      </c>
      <c r="T296" s="39">
        <f t="shared" si="526"/>
        <v>0.99983779445975174</v>
      </c>
      <c r="U296" s="39">
        <f t="shared" si="527"/>
        <v>1.5930597644064903E-4</v>
      </c>
      <c r="V296" s="39">
        <f t="shared" si="495"/>
        <v>1.8067040079252137E-4</v>
      </c>
      <c r="W296" s="40">
        <f t="shared" si="434"/>
        <v>1.8067040079252139E-4</v>
      </c>
      <c r="X296" s="40" t="s">
        <v>3710</v>
      </c>
      <c r="Y296" s="217">
        <f t="shared" si="435"/>
        <v>2.168044809510257E-2</v>
      </c>
      <c r="Z296" s="217">
        <f t="shared" si="436"/>
        <v>3.613408015850428E-3</v>
      </c>
    </row>
    <row r="297" spans="1:26" x14ac:dyDescent="0.25">
      <c r="A297" s="229">
        <f t="shared" si="496"/>
        <v>3287</v>
      </c>
      <c r="B297" s="230">
        <f t="shared" si="497"/>
        <v>287</v>
      </c>
      <c r="C297" s="229" t="str">
        <f t="shared" si="493"/>
        <v>24cX25_340-060_11</v>
      </c>
      <c r="D297" s="231">
        <f t="shared" si="467"/>
        <v>25</v>
      </c>
      <c r="E297" s="239">
        <f t="shared" si="480"/>
        <v>3.4090000000000007</v>
      </c>
      <c r="F297" s="232">
        <f t="shared" si="481"/>
        <v>13.636000000000003</v>
      </c>
      <c r="G297" s="232">
        <f t="shared" si="482"/>
        <v>10.908800000000003</v>
      </c>
      <c r="H297" s="232">
        <f t="shared" si="483"/>
        <v>6.8180000000000014</v>
      </c>
      <c r="I297" s="232">
        <f t="shared" si="499"/>
        <v>8</v>
      </c>
      <c r="J297" s="233">
        <f t="shared" si="499"/>
        <v>-20</v>
      </c>
      <c r="K297" s="228" t="str">
        <f>D297&amp;-11</f>
        <v>25-11</v>
      </c>
      <c r="L297" s="232">
        <f t="shared" si="506"/>
        <v>0.2</v>
      </c>
      <c r="M297" s="235">
        <v>60</v>
      </c>
      <c r="N297" s="232">
        <f t="shared" ref="N297:O297" si="554">N296</f>
        <v>150</v>
      </c>
      <c r="O297" s="232">
        <f t="shared" si="554"/>
        <v>750</v>
      </c>
      <c r="Q297" s="38">
        <f t="shared" ref="Q297:R297" si="555">Q296</f>
        <v>24</v>
      </c>
      <c r="R297" s="38">
        <f t="shared" si="555"/>
        <v>25</v>
      </c>
      <c r="S297" s="39">
        <f t="shared" si="525"/>
        <v>0.99967848848331109</v>
      </c>
      <c r="T297" s="39">
        <f t="shared" si="526"/>
        <v>0.99983779445975174</v>
      </c>
      <c r="U297" s="39">
        <f t="shared" si="527"/>
        <v>1.5930597644064903E-4</v>
      </c>
      <c r="V297" s="39">
        <f t="shared" si="495"/>
        <v>1.8067040079252137E-4</v>
      </c>
      <c r="W297" s="40">
        <f t="shared" si="434"/>
        <v>1.8067040079252139E-4</v>
      </c>
      <c r="X297" s="40" t="s">
        <v>3710</v>
      </c>
      <c r="Y297" s="217">
        <f t="shared" si="435"/>
        <v>2.168044809510257E-2</v>
      </c>
      <c r="Z297" s="217">
        <f t="shared" si="436"/>
        <v>3.613408015850428E-3</v>
      </c>
    </row>
    <row r="298" spans="1:26" x14ac:dyDescent="0.25">
      <c r="A298" s="229">
        <f t="shared" si="496"/>
        <v>3288</v>
      </c>
      <c r="B298" s="230">
        <f t="shared" si="497"/>
        <v>288</v>
      </c>
      <c r="C298" s="229" t="str">
        <f t="shared" si="493"/>
        <v>24cX25_340-090_12</v>
      </c>
      <c r="D298" s="231">
        <f t="shared" si="467"/>
        <v>25</v>
      </c>
      <c r="E298" s="239">
        <f t="shared" si="480"/>
        <v>3.4090000000000007</v>
      </c>
      <c r="F298" s="232">
        <f t="shared" si="481"/>
        <v>13.636000000000003</v>
      </c>
      <c r="G298" s="232">
        <f t="shared" si="482"/>
        <v>10.908800000000003</v>
      </c>
      <c r="H298" s="232">
        <f t="shared" si="483"/>
        <v>6.8180000000000014</v>
      </c>
      <c r="I298" s="232">
        <f t="shared" si="499"/>
        <v>8</v>
      </c>
      <c r="J298" s="233">
        <f t="shared" si="499"/>
        <v>-20</v>
      </c>
      <c r="K298" s="228" t="str">
        <f>D298&amp;-12</f>
        <v>25-12</v>
      </c>
      <c r="L298" s="232">
        <f t="shared" si="506"/>
        <v>0.2</v>
      </c>
      <c r="M298" s="235">
        <v>90</v>
      </c>
      <c r="N298" s="232">
        <f t="shared" ref="N298:O298" si="556">N297</f>
        <v>150</v>
      </c>
      <c r="O298" s="232">
        <f t="shared" si="556"/>
        <v>750</v>
      </c>
      <c r="Q298" s="38">
        <f t="shared" ref="Q298:R298" si="557">Q297</f>
        <v>24</v>
      </c>
      <c r="R298" s="38">
        <f t="shared" si="557"/>
        <v>25</v>
      </c>
      <c r="S298" s="39">
        <f t="shared" si="525"/>
        <v>0.99967848848331109</v>
      </c>
      <c r="T298" s="39">
        <f t="shared" si="526"/>
        <v>0.99983779445975174</v>
      </c>
      <c r="U298" s="39">
        <f t="shared" si="527"/>
        <v>1.5930597644064903E-4</v>
      </c>
      <c r="V298" s="39">
        <f t="shared" si="495"/>
        <v>1.8067040079252137E-4</v>
      </c>
      <c r="W298" s="40">
        <f t="shared" si="434"/>
        <v>1.8067040079252139E-4</v>
      </c>
      <c r="X298" s="40" t="s">
        <v>3710</v>
      </c>
      <c r="Y298" s="217">
        <f t="shared" si="435"/>
        <v>2.168044809510257E-2</v>
      </c>
      <c r="Z298" s="217">
        <f t="shared" si="436"/>
        <v>3.613408015850428E-3</v>
      </c>
    </row>
  </sheetData>
  <mergeCells count="1">
    <mergeCell ref="Q8:X8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B154"/>
  <sheetViews>
    <sheetView topLeftCell="C1" zoomScaleNormal="100" workbookViewId="0">
      <selection activeCell="N5" sqref="N5"/>
    </sheetView>
  </sheetViews>
  <sheetFormatPr defaultColWidth="9" defaultRowHeight="15" x14ac:dyDescent="0.15"/>
  <cols>
    <col min="1" max="1" width="7" style="182" customWidth="1"/>
    <col min="2" max="2" width="7.375" style="182" customWidth="1"/>
    <col min="3" max="3" width="20.5" style="182" customWidth="1"/>
    <col min="4" max="4" width="6.875" style="182" customWidth="1"/>
    <col min="5" max="5" width="7.375" style="182" customWidth="1"/>
    <col min="6" max="6" width="8.125" style="182" customWidth="1"/>
    <col min="7" max="8" width="7.375" style="182" customWidth="1"/>
    <col min="9" max="9" width="8" style="182" customWidth="1"/>
    <col min="10" max="10" width="9" style="182"/>
    <col min="11" max="11" width="8.875" style="182" customWidth="1"/>
    <col min="12" max="12" width="7.375" style="182" customWidth="1"/>
    <col min="13" max="13" width="7.125" style="182" customWidth="1"/>
    <col min="14" max="14" width="6.75" style="182" customWidth="1"/>
    <col min="15" max="15" width="7" style="182" customWidth="1"/>
    <col min="16" max="16" width="7.875" style="182" customWidth="1"/>
    <col min="17" max="16384" width="9" style="182"/>
  </cols>
  <sheetData>
    <row r="1" spans="1:28" x14ac:dyDescent="0.15">
      <c r="H1" s="181" t="s">
        <v>135</v>
      </c>
      <c r="I1" s="216" t="s">
        <v>3958</v>
      </c>
      <c r="J1" s="180"/>
    </row>
    <row r="2" spans="1:28" x14ac:dyDescent="0.15">
      <c r="B2" s="181" t="s">
        <v>3704</v>
      </c>
      <c r="C2" s="181"/>
      <c r="D2" s="181"/>
      <c r="E2" s="181"/>
      <c r="F2" s="181"/>
      <c r="G2" s="181"/>
      <c r="H2" s="181"/>
      <c r="I2" s="216" t="s">
        <v>3928</v>
      </c>
      <c r="J2" s="180"/>
      <c r="P2" s="206"/>
    </row>
    <row r="3" spans="1:28" x14ac:dyDescent="0.15">
      <c r="B3" s="181" t="s">
        <v>88</v>
      </c>
      <c r="C3" s="181"/>
      <c r="D3" s="181"/>
      <c r="E3" s="181" t="s">
        <v>95</v>
      </c>
      <c r="F3" s="181"/>
      <c r="G3" s="181"/>
      <c r="H3" s="181"/>
      <c r="I3" s="240" t="s">
        <v>3939</v>
      </c>
      <c r="J3" s="180"/>
      <c r="P3" s="206"/>
    </row>
    <row r="4" spans="1:28" x14ac:dyDescent="0.15">
      <c r="B4" s="181" t="s">
        <v>89</v>
      </c>
      <c r="C4" s="181"/>
      <c r="D4" s="181"/>
      <c r="E4" s="181" t="s">
        <v>3703</v>
      </c>
      <c r="F4" s="181"/>
      <c r="G4" s="181"/>
      <c r="H4" s="181"/>
      <c r="I4" s="216" t="s">
        <v>3937</v>
      </c>
      <c r="J4" s="180"/>
      <c r="P4" s="206"/>
    </row>
    <row r="5" spans="1:28" x14ac:dyDescent="0.15">
      <c r="B5" s="181" t="s">
        <v>91</v>
      </c>
      <c r="C5" s="181"/>
      <c r="D5" s="181"/>
      <c r="E5" s="181" t="s">
        <v>890</v>
      </c>
      <c r="F5" s="181"/>
      <c r="G5" s="181"/>
      <c r="H5" s="181"/>
      <c r="I5" s="240" t="s">
        <v>3940</v>
      </c>
      <c r="J5" s="180"/>
      <c r="K5" s="181"/>
      <c r="P5" s="206"/>
    </row>
    <row r="6" spans="1:28" x14ac:dyDescent="0.15">
      <c r="B6" s="181" t="s">
        <v>93</v>
      </c>
      <c r="C6" s="181"/>
      <c r="D6" s="181"/>
      <c r="E6" s="181" t="s">
        <v>891</v>
      </c>
      <c r="F6" s="181"/>
      <c r="G6" s="181"/>
      <c r="H6" s="181"/>
      <c r="I6" s="216" t="s">
        <v>3932</v>
      </c>
      <c r="J6" s="180"/>
      <c r="P6" s="206"/>
    </row>
    <row r="7" spans="1:28" x14ac:dyDescent="0.15">
      <c r="I7" s="216" t="s">
        <v>3930</v>
      </c>
      <c r="Q7" s="182">
        <v>17</v>
      </c>
      <c r="R7" s="182">
        <v>18</v>
      </c>
      <c r="S7" s="217">
        <v>19</v>
      </c>
      <c r="T7" s="217">
        <v>20</v>
      </c>
      <c r="U7" s="217">
        <v>21</v>
      </c>
      <c r="V7" s="217">
        <v>22</v>
      </c>
      <c r="W7" s="217">
        <v>23</v>
      </c>
      <c r="X7" s="217">
        <v>24</v>
      </c>
      <c r="Y7" s="217">
        <v>25</v>
      </c>
    </row>
    <row r="8" spans="1:28" ht="15.75" thickBot="1" x14ac:dyDescent="0.2">
      <c r="A8" s="182">
        <v>1</v>
      </c>
      <c r="B8" s="182">
        <v>2</v>
      </c>
      <c r="C8" s="182">
        <v>3</v>
      </c>
      <c r="D8" s="182">
        <v>4</v>
      </c>
      <c r="E8" s="182">
        <v>5</v>
      </c>
      <c r="F8" s="182">
        <v>6</v>
      </c>
      <c r="G8" s="182">
        <v>7</v>
      </c>
      <c r="H8" s="182">
        <v>8</v>
      </c>
      <c r="I8" s="182">
        <v>9</v>
      </c>
      <c r="J8" s="182">
        <v>10</v>
      </c>
      <c r="K8" s="182">
        <v>11</v>
      </c>
      <c r="L8" s="182">
        <v>12</v>
      </c>
      <c r="M8" s="182">
        <v>13</v>
      </c>
      <c r="N8" s="182">
        <v>14</v>
      </c>
      <c r="O8" s="182">
        <v>15</v>
      </c>
      <c r="P8" s="182">
        <v>16</v>
      </c>
      <c r="R8" s="273" t="s">
        <v>249</v>
      </c>
      <c r="S8" s="274"/>
      <c r="T8" s="274"/>
      <c r="U8" s="274"/>
      <c r="V8" s="274"/>
      <c r="W8" s="274"/>
      <c r="X8" s="274"/>
      <c r="Y8" s="275"/>
    </row>
    <row r="9" spans="1:28" x14ac:dyDescent="0.25">
      <c r="A9" s="183" t="s">
        <v>97</v>
      </c>
      <c r="B9" s="184" t="s">
        <v>96</v>
      </c>
      <c r="C9" s="183" t="s">
        <v>0</v>
      </c>
      <c r="D9" s="184" t="s">
        <v>137</v>
      </c>
      <c r="E9" s="201" t="s">
        <v>142</v>
      </c>
      <c r="F9" s="184" t="s">
        <v>119</v>
      </c>
      <c r="G9" s="184" t="s">
        <v>120</v>
      </c>
      <c r="H9" s="184" t="s">
        <v>121</v>
      </c>
      <c r="I9" s="184" t="s">
        <v>144</v>
      </c>
      <c r="J9" s="184" t="s">
        <v>140</v>
      </c>
      <c r="K9" s="185" t="s">
        <v>3</v>
      </c>
      <c r="L9" s="184" t="s">
        <v>141</v>
      </c>
      <c r="M9" s="184" t="s">
        <v>13</v>
      </c>
      <c r="N9" s="186" t="s">
        <v>138</v>
      </c>
      <c r="O9" s="186" t="s">
        <v>139</v>
      </c>
      <c r="P9" s="186" t="s">
        <v>3713</v>
      </c>
      <c r="R9" s="28" t="s">
        <v>77</v>
      </c>
      <c r="S9" s="28" t="s">
        <v>78</v>
      </c>
      <c r="T9" s="28" t="s">
        <v>79</v>
      </c>
      <c r="U9" s="28" t="s">
        <v>80</v>
      </c>
      <c r="V9" s="28" t="s">
        <v>81</v>
      </c>
      <c r="W9" s="28" t="s">
        <v>86</v>
      </c>
      <c r="X9" s="28" t="s">
        <v>85</v>
      </c>
      <c r="Y9" s="28" t="s">
        <v>250</v>
      </c>
    </row>
    <row r="10" spans="1:28" ht="15.75" thickBot="1" x14ac:dyDescent="0.3">
      <c r="A10" s="187" t="s">
        <v>76</v>
      </c>
      <c r="B10" s="188" t="str">
        <f>B2</f>
        <v>DLC24d</v>
      </c>
      <c r="C10" s="187"/>
      <c r="D10" s="188" t="s">
        <v>4</v>
      </c>
      <c r="E10" s="202" t="s">
        <v>4</v>
      </c>
      <c r="F10" s="188" t="s">
        <v>5</v>
      </c>
      <c r="G10" s="188" t="s">
        <v>5</v>
      </c>
      <c r="H10" s="188" t="s">
        <v>5</v>
      </c>
      <c r="I10" s="188" t="s">
        <v>6</v>
      </c>
      <c r="J10" s="188" t="s">
        <v>6</v>
      </c>
      <c r="K10" s="189"/>
      <c r="L10" s="188"/>
      <c r="M10" s="190" t="s">
        <v>7</v>
      </c>
      <c r="N10" s="190" t="s">
        <v>7</v>
      </c>
      <c r="O10" s="190" t="s">
        <v>7</v>
      </c>
      <c r="P10" s="190" t="s">
        <v>1718</v>
      </c>
      <c r="R10" s="207" t="s">
        <v>83</v>
      </c>
      <c r="S10" s="28" t="s">
        <v>83</v>
      </c>
      <c r="T10" s="28" t="s">
        <v>76</v>
      </c>
      <c r="U10" s="28" t="s">
        <v>76</v>
      </c>
      <c r="V10" s="28" t="s">
        <v>76</v>
      </c>
      <c r="W10" s="207"/>
      <c r="X10" s="28" t="s">
        <v>76</v>
      </c>
      <c r="Y10" s="28" t="s">
        <v>251</v>
      </c>
      <c r="AB10" s="182" t="s">
        <v>201</v>
      </c>
    </row>
    <row r="11" spans="1:28" x14ac:dyDescent="0.25">
      <c r="A11" s="195">
        <f>DLC24c!A298+1</f>
        <v>3289</v>
      </c>
      <c r="B11" s="196">
        <v>1</v>
      </c>
      <c r="C11" s="229" t="str">
        <f>TEXT(RIGHT($B$2,LEN($B$2)-3),"000")&amp;"X"&amp;TEXT(D11,"00")&amp;"-"&amp;IF(J11&lt;0,TEXT(360+J11,"000"),TEXT(J11,"000"))&amp;"_"&amp;TEXT(M11,"000")&amp;"_"&amp;TEXT(RIGHT(K11,LEN(K11)-FIND("-",K11)),"00")</f>
        <v>24dX03-000_000_01</v>
      </c>
      <c r="D11" s="226">
        <v>3</v>
      </c>
      <c r="E11" s="204">
        <f t="shared" ref="E11:E22" si="0">I_ref*(0.75*D11+5.6)</f>
        <v>1.099</v>
      </c>
      <c r="F11" s="198">
        <f t="shared" ref="F11:F22" si="1">E11/D11*100</f>
        <v>36.633333333333333</v>
      </c>
      <c r="G11" s="198">
        <f t="shared" ref="G11:G22" si="2">m_ty*F11</f>
        <v>29.306666666666668</v>
      </c>
      <c r="H11" s="198">
        <f t="shared" ref="H11:H22" si="3">m_tz*F11</f>
        <v>18.316666666666666</v>
      </c>
      <c r="I11" s="198">
        <f>inflow</f>
        <v>8</v>
      </c>
      <c r="J11" s="199">
        <f>yaw_null</f>
        <v>0</v>
      </c>
      <c r="K11" s="194" t="str">
        <f>D11&amp;-1</f>
        <v>3-1</v>
      </c>
      <c r="L11" s="198">
        <f>alpha_n</f>
        <v>0.2</v>
      </c>
      <c r="M11" s="49">
        <v>0</v>
      </c>
      <c r="N11" s="198">
        <f>t_out</f>
        <v>150</v>
      </c>
      <c r="O11" s="198">
        <f>N11+T_s1</f>
        <v>750</v>
      </c>
      <c r="P11" s="196">
        <f>Pitch_angle_powprod</f>
        <v>2</v>
      </c>
      <c r="Q11" s="56"/>
      <c r="R11" s="38">
        <f t="shared" ref="R11:R22" si="4">v_in</f>
        <v>3</v>
      </c>
      <c r="S11" s="38">
        <f>R11+v_step/2</f>
        <v>4</v>
      </c>
      <c r="T11" s="39">
        <f t="shared" ref="T11:U22" si="5">IF(wpd="Rayleigh",1-EXP(-PI()*((R11/2/v_ave)^2)),IF(wpd="Weibull",1-EXP(-((R11/weibull_A)^weibull_K))))</f>
        <v>0.11808862170182366</v>
      </c>
      <c r="U11" s="39">
        <f t="shared" si="5"/>
        <v>0.20020684760703333</v>
      </c>
      <c r="V11" s="39">
        <f>U11-T11</f>
        <v>8.2118225905209674E-2</v>
      </c>
      <c r="W11" s="39">
        <f>V11/(V$11+V$23+V$35+V$83+V$131+V$47+V$59+V$71+V$95+V$107+V$119+V$143)</f>
        <v>9.3131049557280493E-2</v>
      </c>
      <c r="X11" s="40">
        <f t="shared" ref="X11:X42" si="6">H_hp*W11/12</f>
        <v>0.18626209911456101</v>
      </c>
      <c r="Y11" s="40" t="s">
        <v>3710</v>
      </c>
      <c r="Z11" s="182">
        <f t="shared" ref="Z11:Z22" si="7">AA11*3600/(O11-N11)</f>
        <v>22.351451893747324</v>
      </c>
      <c r="AA11" s="182">
        <f>X11*20</f>
        <v>3.7252419822912204</v>
      </c>
      <c r="AB11" s="176">
        <f>SUM(X11:X154)</f>
        <v>24.000000000000032</v>
      </c>
    </row>
    <row r="12" spans="1:28" x14ac:dyDescent="0.25">
      <c r="A12" s="195">
        <f t="shared" ref="A12:B12" si="8">A11+1</f>
        <v>3290</v>
      </c>
      <c r="B12" s="196">
        <f t="shared" si="8"/>
        <v>2</v>
      </c>
      <c r="C12" s="229" t="str">
        <f t="shared" ref="C12:C75" si="9">TEXT(RIGHT($B$2,LEN($B$2)-3),"000")&amp;"X"&amp;TEXT(D12,"00")&amp;"-"&amp;IF(J12&lt;0,TEXT(360+J12,"000"),TEXT(J12,"000"))&amp;"_"&amp;TEXT(M12,"000")&amp;"_"&amp;TEXT(RIGHT(K12,LEN(K12)-FIND("-",K12)),"00")</f>
        <v>24dX03-000_030_02</v>
      </c>
      <c r="D12" s="231">
        <f>D11</f>
        <v>3</v>
      </c>
      <c r="E12" s="204">
        <f t="shared" si="0"/>
        <v>1.099</v>
      </c>
      <c r="F12" s="198">
        <f t="shared" si="1"/>
        <v>36.633333333333333</v>
      </c>
      <c r="G12" s="198">
        <f t="shared" si="2"/>
        <v>29.306666666666668</v>
      </c>
      <c r="H12" s="198">
        <f t="shared" si="3"/>
        <v>18.316666666666666</v>
      </c>
      <c r="I12" s="198">
        <f t="shared" ref="I12" si="10">I11</f>
        <v>8</v>
      </c>
      <c r="J12" s="199">
        <f>J11</f>
        <v>0</v>
      </c>
      <c r="K12" s="194" t="str">
        <f>D12&amp;-2</f>
        <v>3-2</v>
      </c>
      <c r="L12" s="198">
        <f t="shared" ref="L12:L22" si="11">L11</f>
        <v>0.2</v>
      </c>
      <c r="M12" s="49">
        <v>30</v>
      </c>
      <c r="N12" s="198">
        <f t="shared" ref="N12:P22" si="12">N11</f>
        <v>150</v>
      </c>
      <c r="O12" s="198">
        <f t="shared" si="12"/>
        <v>750</v>
      </c>
      <c r="P12" s="196">
        <f>P11</f>
        <v>2</v>
      </c>
      <c r="Q12" s="56"/>
      <c r="R12" s="38">
        <f t="shared" si="4"/>
        <v>3</v>
      </c>
      <c r="S12" s="38">
        <f>S11</f>
        <v>4</v>
      </c>
      <c r="T12" s="39">
        <f t="shared" si="5"/>
        <v>0.11808862170182366</v>
      </c>
      <c r="U12" s="39">
        <f t="shared" si="5"/>
        <v>0.20020684760703333</v>
      </c>
      <c r="V12" s="39">
        <f t="shared" ref="V12:V34" si="13">U12-T12</f>
        <v>8.2118225905209674E-2</v>
      </c>
      <c r="W12" s="39">
        <f t="shared" ref="W12:W75" si="14">V12/(V$11+V$23+V$35+V$83+V$131+V$47+V$59+V$71+V$95+V$107+V$119+V$143)</f>
        <v>9.3131049557280493E-2</v>
      </c>
      <c r="X12" s="40">
        <f t="shared" si="6"/>
        <v>0.18626209911456101</v>
      </c>
      <c r="Y12" s="40" t="s">
        <v>3710</v>
      </c>
      <c r="Z12" s="182">
        <f t="shared" si="7"/>
        <v>22.351451893747324</v>
      </c>
      <c r="AA12" s="182">
        <f t="shared" ref="AA12:AA22" si="15">X12*20</f>
        <v>3.7252419822912204</v>
      </c>
    </row>
    <row r="13" spans="1:28" x14ac:dyDescent="0.25">
      <c r="A13" s="229">
        <f t="shared" ref="A13:B13" si="16">A12+1</f>
        <v>3291</v>
      </c>
      <c r="B13" s="230">
        <f t="shared" si="16"/>
        <v>3</v>
      </c>
      <c r="C13" s="229" t="str">
        <f t="shared" si="9"/>
        <v>24dX03-000_060_03</v>
      </c>
      <c r="D13" s="231">
        <f t="shared" ref="D13:D22" si="17">D12</f>
        <v>3</v>
      </c>
      <c r="E13" s="204">
        <f t="shared" si="0"/>
        <v>1.099</v>
      </c>
      <c r="F13" s="198">
        <f t="shared" si="1"/>
        <v>36.633333333333333</v>
      </c>
      <c r="G13" s="198">
        <f t="shared" si="2"/>
        <v>29.306666666666668</v>
      </c>
      <c r="H13" s="198">
        <f t="shared" si="3"/>
        <v>18.316666666666666</v>
      </c>
      <c r="I13" s="198">
        <f t="shared" ref="I13:J22" si="18">I12</f>
        <v>8</v>
      </c>
      <c r="J13" s="199">
        <f t="shared" si="18"/>
        <v>0</v>
      </c>
      <c r="K13" s="194" t="str">
        <f>D13&amp;-3</f>
        <v>3-3</v>
      </c>
      <c r="L13" s="198">
        <f t="shared" si="11"/>
        <v>0.2</v>
      </c>
      <c r="M13" s="49">
        <v>60</v>
      </c>
      <c r="N13" s="198">
        <f t="shared" si="12"/>
        <v>150</v>
      </c>
      <c r="O13" s="198">
        <f t="shared" si="12"/>
        <v>750</v>
      </c>
      <c r="P13" s="196">
        <f t="shared" si="12"/>
        <v>2</v>
      </c>
      <c r="Q13" s="56"/>
      <c r="R13" s="38">
        <f t="shared" si="4"/>
        <v>3</v>
      </c>
      <c r="S13" s="38">
        <f t="shared" ref="S13:S22" si="19">S12</f>
        <v>4</v>
      </c>
      <c r="T13" s="39">
        <f t="shared" si="5"/>
        <v>0.11808862170182366</v>
      </c>
      <c r="U13" s="39">
        <f t="shared" si="5"/>
        <v>0.20020684760703333</v>
      </c>
      <c r="V13" s="39">
        <f t="shared" si="13"/>
        <v>8.2118225905209674E-2</v>
      </c>
      <c r="W13" s="39">
        <f t="shared" si="14"/>
        <v>9.3131049557280493E-2</v>
      </c>
      <c r="X13" s="40">
        <f t="shared" si="6"/>
        <v>0.18626209911456101</v>
      </c>
      <c r="Y13" s="40" t="s">
        <v>3710</v>
      </c>
      <c r="Z13" s="182">
        <f t="shared" si="7"/>
        <v>22.351451893747324</v>
      </c>
      <c r="AA13" s="182">
        <f t="shared" si="15"/>
        <v>3.7252419822912204</v>
      </c>
    </row>
    <row r="14" spans="1:28" x14ac:dyDescent="0.25">
      <c r="A14" s="229">
        <f t="shared" ref="A14:B14" si="20">A13+1</f>
        <v>3292</v>
      </c>
      <c r="B14" s="230">
        <f t="shared" si="20"/>
        <v>4</v>
      </c>
      <c r="C14" s="229" t="str">
        <f t="shared" si="9"/>
        <v>24dX03-000_090_04</v>
      </c>
      <c r="D14" s="231">
        <f t="shared" si="17"/>
        <v>3</v>
      </c>
      <c r="E14" s="204">
        <f t="shared" si="0"/>
        <v>1.099</v>
      </c>
      <c r="F14" s="198">
        <f t="shared" si="1"/>
        <v>36.633333333333333</v>
      </c>
      <c r="G14" s="198">
        <f t="shared" si="2"/>
        <v>29.306666666666668</v>
      </c>
      <c r="H14" s="198">
        <f t="shared" si="3"/>
        <v>18.316666666666666</v>
      </c>
      <c r="I14" s="198">
        <f t="shared" si="18"/>
        <v>8</v>
      </c>
      <c r="J14" s="199">
        <f t="shared" si="18"/>
        <v>0</v>
      </c>
      <c r="K14" s="194" t="str">
        <f>D14&amp;-4</f>
        <v>3-4</v>
      </c>
      <c r="L14" s="198">
        <f t="shared" si="11"/>
        <v>0.2</v>
      </c>
      <c r="M14" s="49">
        <v>90</v>
      </c>
      <c r="N14" s="198">
        <f t="shared" si="12"/>
        <v>150</v>
      </c>
      <c r="O14" s="198">
        <f t="shared" si="12"/>
        <v>750</v>
      </c>
      <c r="P14" s="196">
        <f t="shared" si="12"/>
        <v>2</v>
      </c>
      <c r="Q14" s="56"/>
      <c r="R14" s="38">
        <f t="shared" si="4"/>
        <v>3</v>
      </c>
      <c r="S14" s="38">
        <f t="shared" si="19"/>
        <v>4</v>
      </c>
      <c r="T14" s="39">
        <f t="shared" si="5"/>
        <v>0.11808862170182366</v>
      </c>
      <c r="U14" s="39">
        <f t="shared" si="5"/>
        <v>0.20020684760703333</v>
      </c>
      <c r="V14" s="39">
        <f t="shared" si="13"/>
        <v>8.2118225905209674E-2</v>
      </c>
      <c r="W14" s="39">
        <f t="shared" si="14"/>
        <v>9.3131049557280493E-2</v>
      </c>
      <c r="X14" s="40">
        <f t="shared" si="6"/>
        <v>0.18626209911456101</v>
      </c>
      <c r="Y14" s="40" t="s">
        <v>3710</v>
      </c>
      <c r="Z14" s="182">
        <f t="shared" si="7"/>
        <v>22.351451893747324</v>
      </c>
      <c r="AA14" s="182">
        <f t="shared" si="15"/>
        <v>3.7252419822912204</v>
      </c>
    </row>
    <row r="15" spans="1:28" x14ac:dyDescent="0.25">
      <c r="A15" s="229">
        <f>A14+1</f>
        <v>3293</v>
      </c>
      <c r="B15" s="230">
        <f>B14+1</f>
        <v>5</v>
      </c>
      <c r="C15" s="229" t="str">
        <f t="shared" si="9"/>
        <v>24dX03-000_000_05</v>
      </c>
      <c r="D15" s="231">
        <f>D14</f>
        <v>3</v>
      </c>
      <c r="E15" s="204">
        <f t="shared" si="0"/>
        <v>1.099</v>
      </c>
      <c r="F15" s="198">
        <f t="shared" si="1"/>
        <v>36.633333333333333</v>
      </c>
      <c r="G15" s="198">
        <f t="shared" si="2"/>
        <v>29.306666666666668</v>
      </c>
      <c r="H15" s="198">
        <f t="shared" si="3"/>
        <v>18.316666666666666</v>
      </c>
      <c r="I15" s="198">
        <f>I14</f>
        <v>8</v>
      </c>
      <c r="J15" s="199">
        <f>J14</f>
        <v>0</v>
      </c>
      <c r="K15" s="194" t="str">
        <f>D15&amp;-5</f>
        <v>3-5</v>
      </c>
      <c r="L15" s="198">
        <f>L14</f>
        <v>0.2</v>
      </c>
      <c r="M15" s="49">
        <v>0</v>
      </c>
      <c r="N15" s="198">
        <f>N14</f>
        <v>150</v>
      </c>
      <c r="O15" s="198">
        <f>O14</f>
        <v>750</v>
      </c>
      <c r="P15" s="196">
        <f>P14</f>
        <v>2</v>
      </c>
      <c r="Q15" s="56"/>
      <c r="R15" s="38">
        <f t="shared" si="4"/>
        <v>3</v>
      </c>
      <c r="S15" s="38">
        <f>S14</f>
        <v>4</v>
      </c>
      <c r="T15" s="39">
        <f t="shared" si="5"/>
        <v>0.11808862170182366</v>
      </c>
      <c r="U15" s="39">
        <f t="shared" si="5"/>
        <v>0.20020684760703333</v>
      </c>
      <c r="V15" s="39">
        <f t="shared" si="13"/>
        <v>8.2118225905209674E-2</v>
      </c>
      <c r="W15" s="39">
        <f t="shared" si="14"/>
        <v>9.3131049557280493E-2</v>
      </c>
      <c r="X15" s="40">
        <f t="shared" si="6"/>
        <v>0.18626209911456101</v>
      </c>
      <c r="Y15" s="40" t="s">
        <v>3710</v>
      </c>
      <c r="Z15" s="182">
        <f t="shared" si="7"/>
        <v>22.351451893747324</v>
      </c>
      <c r="AA15" s="182">
        <f t="shared" si="15"/>
        <v>3.7252419822912204</v>
      </c>
    </row>
    <row r="16" spans="1:28" x14ac:dyDescent="0.25">
      <c r="A16" s="229">
        <f t="shared" ref="A16:B16" si="21">A15+1</f>
        <v>3294</v>
      </c>
      <c r="B16" s="230">
        <f t="shared" si="21"/>
        <v>6</v>
      </c>
      <c r="C16" s="229" t="str">
        <f t="shared" si="9"/>
        <v>24dX03-000_030_06</v>
      </c>
      <c r="D16" s="231">
        <f t="shared" si="17"/>
        <v>3</v>
      </c>
      <c r="E16" s="204">
        <f t="shared" si="0"/>
        <v>1.099</v>
      </c>
      <c r="F16" s="198">
        <f t="shared" si="1"/>
        <v>36.633333333333333</v>
      </c>
      <c r="G16" s="198">
        <f t="shared" si="2"/>
        <v>29.306666666666668</v>
      </c>
      <c r="H16" s="198">
        <f t="shared" si="3"/>
        <v>18.316666666666666</v>
      </c>
      <c r="I16" s="198">
        <f t="shared" si="18"/>
        <v>8</v>
      </c>
      <c r="J16" s="199">
        <f t="shared" si="18"/>
        <v>0</v>
      </c>
      <c r="K16" s="194" t="str">
        <f>D16&amp;-6</f>
        <v>3-6</v>
      </c>
      <c r="L16" s="198">
        <f t="shared" si="11"/>
        <v>0.2</v>
      </c>
      <c r="M16" s="49">
        <v>30</v>
      </c>
      <c r="N16" s="198">
        <f t="shared" si="12"/>
        <v>150</v>
      </c>
      <c r="O16" s="198">
        <f t="shared" si="12"/>
        <v>750</v>
      </c>
      <c r="P16" s="196">
        <f t="shared" si="12"/>
        <v>2</v>
      </c>
      <c r="Q16" s="56"/>
      <c r="R16" s="38">
        <f t="shared" si="4"/>
        <v>3</v>
      </c>
      <c r="S16" s="38">
        <f t="shared" si="19"/>
        <v>4</v>
      </c>
      <c r="T16" s="39">
        <f t="shared" si="5"/>
        <v>0.11808862170182366</v>
      </c>
      <c r="U16" s="39">
        <f t="shared" si="5"/>
        <v>0.20020684760703333</v>
      </c>
      <c r="V16" s="39">
        <f t="shared" si="13"/>
        <v>8.2118225905209674E-2</v>
      </c>
      <c r="W16" s="39">
        <f t="shared" si="14"/>
        <v>9.3131049557280493E-2</v>
      </c>
      <c r="X16" s="40">
        <f t="shared" si="6"/>
        <v>0.18626209911456101</v>
      </c>
      <c r="Y16" s="40" t="s">
        <v>3710</v>
      </c>
      <c r="Z16" s="182">
        <f t="shared" si="7"/>
        <v>22.351451893747324</v>
      </c>
      <c r="AA16" s="182">
        <f t="shared" si="15"/>
        <v>3.7252419822912204</v>
      </c>
    </row>
    <row r="17" spans="1:28" x14ac:dyDescent="0.25">
      <c r="A17" s="229">
        <f t="shared" ref="A17:B17" si="22">A16+1</f>
        <v>3295</v>
      </c>
      <c r="B17" s="230">
        <f t="shared" si="22"/>
        <v>7</v>
      </c>
      <c r="C17" s="229" t="str">
        <f t="shared" si="9"/>
        <v>24dX03-000_060_07</v>
      </c>
      <c r="D17" s="231">
        <f>D16</f>
        <v>3</v>
      </c>
      <c r="E17" s="204">
        <f t="shared" si="0"/>
        <v>1.099</v>
      </c>
      <c r="F17" s="198">
        <f t="shared" si="1"/>
        <v>36.633333333333333</v>
      </c>
      <c r="G17" s="198">
        <f t="shared" si="2"/>
        <v>29.306666666666668</v>
      </c>
      <c r="H17" s="198">
        <f t="shared" si="3"/>
        <v>18.316666666666666</v>
      </c>
      <c r="I17" s="198">
        <f t="shared" si="18"/>
        <v>8</v>
      </c>
      <c r="J17" s="199">
        <f t="shared" si="18"/>
        <v>0</v>
      </c>
      <c r="K17" s="194" t="str">
        <f>D17&amp;-7</f>
        <v>3-7</v>
      </c>
      <c r="L17" s="198">
        <f t="shared" si="11"/>
        <v>0.2</v>
      </c>
      <c r="M17" s="49">
        <v>60</v>
      </c>
      <c r="N17" s="198">
        <f t="shared" si="12"/>
        <v>150</v>
      </c>
      <c r="O17" s="198">
        <f t="shared" si="12"/>
        <v>750</v>
      </c>
      <c r="P17" s="196">
        <f t="shared" si="12"/>
        <v>2</v>
      </c>
      <c r="Q17" s="56"/>
      <c r="R17" s="38">
        <f t="shared" si="4"/>
        <v>3</v>
      </c>
      <c r="S17" s="38">
        <f t="shared" si="19"/>
        <v>4</v>
      </c>
      <c r="T17" s="39">
        <f t="shared" si="5"/>
        <v>0.11808862170182366</v>
      </c>
      <c r="U17" s="39">
        <f t="shared" si="5"/>
        <v>0.20020684760703333</v>
      </c>
      <c r="V17" s="39">
        <f t="shared" si="13"/>
        <v>8.2118225905209674E-2</v>
      </c>
      <c r="W17" s="39">
        <f t="shared" si="14"/>
        <v>9.3131049557280493E-2</v>
      </c>
      <c r="X17" s="40">
        <f t="shared" si="6"/>
        <v>0.18626209911456101</v>
      </c>
      <c r="Y17" s="40" t="s">
        <v>3710</v>
      </c>
      <c r="Z17" s="182">
        <f t="shared" si="7"/>
        <v>22.351451893747324</v>
      </c>
      <c r="AA17" s="182">
        <f t="shared" si="15"/>
        <v>3.7252419822912204</v>
      </c>
    </row>
    <row r="18" spans="1:28" x14ac:dyDescent="0.25">
      <c r="A18" s="229">
        <f t="shared" ref="A18:B18" si="23">A17+1</f>
        <v>3296</v>
      </c>
      <c r="B18" s="230">
        <f t="shared" si="23"/>
        <v>8</v>
      </c>
      <c r="C18" s="229" t="str">
        <f t="shared" si="9"/>
        <v>24dX03-000_090_08</v>
      </c>
      <c r="D18" s="231">
        <f t="shared" si="17"/>
        <v>3</v>
      </c>
      <c r="E18" s="204">
        <f t="shared" si="0"/>
        <v>1.099</v>
      </c>
      <c r="F18" s="198">
        <f t="shared" si="1"/>
        <v>36.633333333333333</v>
      </c>
      <c r="G18" s="198">
        <f t="shared" si="2"/>
        <v>29.306666666666668</v>
      </c>
      <c r="H18" s="198">
        <f t="shared" si="3"/>
        <v>18.316666666666666</v>
      </c>
      <c r="I18" s="198">
        <f t="shared" si="18"/>
        <v>8</v>
      </c>
      <c r="J18" s="199">
        <f t="shared" si="18"/>
        <v>0</v>
      </c>
      <c r="K18" s="194" t="str">
        <f>D18&amp;-8</f>
        <v>3-8</v>
      </c>
      <c r="L18" s="198">
        <f t="shared" si="11"/>
        <v>0.2</v>
      </c>
      <c r="M18" s="49">
        <v>90</v>
      </c>
      <c r="N18" s="198">
        <f t="shared" si="12"/>
        <v>150</v>
      </c>
      <c r="O18" s="198">
        <f t="shared" si="12"/>
        <v>750</v>
      </c>
      <c r="P18" s="196">
        <f t="shared" si="12"/>
        <v>2</v>
      </c>
      <c r="Q18" s="56"/>
      <c r="R18" s="38">
        <f t="shared" si="4"/>
        <v>3</v>
      </c>
      <c r="S18" s="38">
        <f t="shared" si="19"/>
        <v>4</v>
      </c>
      <c r="T18" s="39">
        <f t="shared" si="5"/>
        <v>0.11808862170182366</v>
      </c>
      <c r="U18" s="39">
        <f t="shared" si="5"/>
        <v>0.20020684760703333</v>
      </c>
      <c r="V18" s="39">
        <f t="shared" si="13"/>
        <v>8.2118225905209674E-2</v>
      </c>
      <c r="W18" s="39">
        <f t="shared" si="14"/>
        <v>9.3131049557280493E-2</v>
      </c>
      <c r="X18" s="40">
        <f t="shared" si="6"/>
        <v>0.18626209911456101</v>
      </c>
      <c r="Y18" s="40" t="s">
        <v>3710</v>
      </c>
      <c r="Z18" s="182">
        <f t="shared" si="7"/>
        <v>22.351451893747324</v>
      </c>
      <c r="AA18" s="182">
        <f t="shared" si="15"/>
        <v>3.7252419822912204</v>
      </c>
    </row>
    <row r="19" spans="1:28" x14ac:dyDescent="0.25">
      <c r="A19" s="229">
        <f t="shared" ref="A19:B19" si="24">A18+1</f>
        <v>3297</v>
      </c>
      <c r="B19" s="230">
        <f t="shared" si="24"/>
        <v>9</v>
      </c>
      <c r="C19" s="229" t="str">
        <f t="shared" si="9"/>
        <v>24dX03-000_000_09</v>
      </c>
      <c r="D19" s="231">
        <f t="shared" si="17"/>
        <v>3</v>
      </c>
      <c r="E19" s="204">
        <f t="shared" si="0"/>
        <v>1.099</v>
      </c>
      <c r="F19" s="198">
        <f t="shared" si="1"/>
        <v>36.633333333333333</v>
      </c>
      <c r="G19" s="198">
        <f t="shared" si="2"/>
        <v>29.306666666666668</v>
      </c>
      <c r="H19" s="198">
        <f t="shared" si="3"/>
        <v>18.316666666666666</v>
      </c>
      <c r="I19" s="198">
        <f t="shared" si="18"/>
        <v>8</v>
      </c>
      <c r="J19" s="199">
        <f t="shared" si="18"/>
        <v>0</v>
      </c>
      <c r="K19" s="194" t="str">
        <f>D19&amp;-9</f>
        <v>3-9</v>
      </c>
      <c r="L19" s="198">
        <f t="shared" si="11"/>
        <v>0.2</v>
      </c>
      <c r="M19" s="49">
        <v>0</v>
      </c>
      <c r="N19" s="198">
        <f t="shared" si="12"/>
        <v>150</v>
      </c>
      <c r="O19" s="198">
        <f t="shared" si="12"/>
        <v>750</v>
      </c>
      <c r="P19" s="196">
        <f t="shared" si="12"/>
        <v>2</v>
      </c>
      <c r="Q19" s="56"/>
      <c r="R19" s="38">
        <f t="shared" si="4"/>
        <v>3</v>
      </c>
      <c r="S19" s="38">
        <f t="shared" si="19"/>
        <v>4</v>
      </c>
      <c r="T19" s="39">
        <f t="shared" si="5"/>
        <v>0.11808862170182366</v>
      </c>
      <c r="U19" s="39">
        <f t="shared" si="5"/>
        <v>0.20020684760703333</v>
      </c>
      <c r="V19" s="39">
        <f t="shared" si="13"/>
        <v>8.2118225905209674E-2</v>
      </c>
      <c r="W19" s="39">
        <f t="shared" si="14"/>
        <v>9.3131049557280493E-2</v>
      </c>
      <c r="X19" s="40">
        <f t="shared" si="6"/>
        <v>0.18626209911456101</v>
      </c>
      <c r="Y19" s="40" t="s">
        <v>3710</v>
      </c>
      <c r="Z19" s="182">
        <f t="shared" si="7"/>
        <v>22.351451893747324</v>
      </c>
      <c r="AA19" s="182">
        <f t="shared" si="15"/>
        <v>3.7252419822912204</v>
      </c>
    </row>
    <row r="20" spans="1:28" x14ac:dyDescent="0.25">
      <c r="A20" s="229">
        <f t="shared" ref="A20:B20" si="25">A19+1</f>
        <v>3298</v>
      </c>
      <c r="B20" s="230">
        <f t="shared" si="25"/>
        <v>10</v>
      </c>
      <c r="C20" s="229" t="str">
        <f t="shared" si="9"/>
        <v>24dX03-000_030_10</v>
      </c>
      <c r="D20" s="231">
        <f t="shared" si="17"/>
        <v>3</v>
      </c>
      <c r="E20" s="204">
        <f t="shared" si="0"/>
        <v>1.099</v>
      </c>
      <c r="F20" s="198">
        <f t="shared" si="1"/>
        <v>36.633333333333333</v>
      </c>
      <c r="G20" s="198">
        <f t="shared" si="2"/>
        <v>29.306666666666668</v>
      </c>
      <c r="H20" s="198">
        <f t="shared" si="3"/>
        <v>18.316666666666666</v>
      </c>
      <c r="I20" s="198">
        <f t="shared" si="18"/>
        <v>8</v>
      </c>
      <c r="J20" s="199">
        <f t="shared" si="18"/>
        <v>0</v>
      </c>
      <c r="K20" s="194" t="str">
        <f>D20&amp;-10</f>
        <v>3-10</v>
      </c>
      <c r="L20" s="198">
        <f t="shared" si="11"/>
        <v>0.2</v>
      </c>
      <c r="M20" s="49">
        <v>30</v>
      </c>
      <c r="N20" s="198">
        <f t="shared" si="12"/>
        <v>150</v>
      </c>
      <c r="O20" s="198">
        <f t="shared" si="12"/>
        <v>750</v>
      </c>
      <c r="P20" s="196">
        <f t="shared" si="12"/>
        <v>2</v>
      </c>
      <c r="Q20" s="56"/>
      <c r="R20" s="38">
        <f t="shared" si="4"/>
        <v>3</v>
      </c>
      <c r="S20" s="38">
        <f t="shared" si="19"/>
        <v>4</v>
      </c>
      <c r="T20" s="39">
        <f t="shared" si="5"/>
        <v>0.11808862170182366</v>
      </c>
      <c r="U20" s="39">
        <f t="shared" si="5"/>
        <v>0.20020684760703333</v>
      </c>
      <c r="V20" s="39">
        <f t="shared" si="13"/>
        <v>8.2118225905209674E-2</v>
      </c>
      <c r="W20" s="39">
        <f t="shared" si="14"/>
        <v>9.3131049557280493E-2</v>
      </c>
      <c r="X20" s="40">
        <f t="shared" si="6"/>
        <v>0.18626209911456101</v>
      </c>
      <c r="Y20" s="40" t="s">
        <v>3710</v>
      </c>
      <c r="Z20" s="182">
        <f t="shared" si="7"/>
        <v>22.351451893747324</v>
      </c>
      <c r="AA20" s="182">
        <f t="shared" si="15"/>
        <v>3.7252419822912204</v>
      </c>
    </row>
    <row r="21" spans="1:28" x14ac:dyDescent="0.25">
      <c r="A21" s="229">
        <f t="shared" ref="A21:B21" si="26">A20+1</f>
        <v>3299</v>
      </c>
      <c r="B21" s="230">
        <f t="shared" si="26"/>
        <v>11</v>
      </c>
      <c r="C21" s="229" t="str">
        <f t="shared" si="9"/>
        <v>24dX03-000_060_11</v>
      </c>
      <c r="D21" s="231">
        <f t="shared" si="17"/>
        <v>3</v>
      </c>
      <c r="E21" s="204">
        <f t="shared" si="0"/>
        <v>1.099</v>
      </c>
      <c r="F21" s="198">
        <f t="shared" si="1"/>
        <v>36.633333333333333</v>
      </c>
      <c r="G21" s="198">
        <f t="shared" si="2"/>
        <v>29.306666666666668</v>
      </c>
      <c r="H21" s="198">
        <f t="shared" si="3"/>
        <v>18.316666666666666</v>
      </c>
      <c r="I21" s="198">
        <f t="shared" si="18"/>
        <v>8</v>
      </c>
      <c r="J21" s="199">
        <f t="shared" si="18"/>
        <v>0</v>
      </c>
      <c r="K21" s="194" t="str">
        <f>D21&amp;-11</f>
        <v>3-11</v>
      </c>
      <c r="L21" s="198">
        <f t="shared" si="11"/>
        <v>0.2</v>
      </c>
      <c r="M21" s="49">
        <v>60</v>
      </c>
      <c r="N21" s="198">
        <f t="shared" si="12"/>
        <v>150</v>
      </c>
      <c r="O21" s="198">
        <f t="shared" si="12"/>
        <v>750</v>
      </c>
      <c r="P21" s="196">
        <f t="shared" si="12"/>
        <v>2</v>
      </c>
      <c r="Q21" s="56"/>
      <c r="R21" s="38">
        <f t="shared" si="4"/>
        <v>3</v>
      </c>
      <c r="S21" s="38">
        <f t="shared" si="19"/>
        <v>4</v>
      </c>
      <c r="T21" s="39">
        <f t="shared" si="5"/>
        <v>0.11808862170182366</v>
      </c>
      <c r="U21" s="39">
        <f t="shared" si="5"/>
        <v>0.20020684760703333</v>
      </c>
      <c r="V21" s="39">
        <f t="shared" si="13"/>
        <v>8.2118225905209674E-2</v>
      </c>
      <c r="W21" s="39">
        <f t="shared" si="14"/>
        <v>9.3131049557280493E-2</v>
      </c>
      <c r="X21" s="40">
        <f t="shared" si="6"/>
        <v>0.18626209911456101</v>
      </c>
      <c r="Y21" s="40" t="s">
        <v>3710</v>
      </c>
      <c r="Z21" s="182">
        <f t="shared" si="7"/>
        <v>22.351451893747324</v>
      </c>
      <c r="AA21" s="182">
        <f t="shared" si="15"/>
        <v>3.7252419822912204</v>
      </c>
    </row>
    <row r="22" spans="1:28" x14ac:dyDescent="0.25">
      <c r="A22" s="229">
        <f t="shared" ref="A22:B22" si="27">A21+1</f>
        <v>3300</v>
      </c>
      <c r="B22" s="230">
        <f t="shared" si="27"/>
        <v>12</v>
      </c>
      <c r="C22" s="229" t="str">
        <f t="shared" si="9"/>
        <v>24dX03-000_090_12</v>
      </c>
      <c r="D22" s="231">
        <f t="shared" si="17"/>
        <v>3</v>
      </c>
      <c r="E22" s="204">
        <f t="shared" si="0"/>
        <v>1.099</v>
      </c>
      <c r="F22" s="198">
        <f t="shared" si="1"/>
        <v>36.633333333333333</v>
      </c>
      <c r="G22" s="198">
        <f t="shared" si="2"/>
        <v>29.306666666666668</v>
      </c>
      <c r="H22" s="198">
        <f t="shared" si="3"/>
        <v>18.316666666666666</v>
      </c>
      <c r="I22" s="198">
        <f t="shared" si="18"/>
        <v>8</v>
      </c>
      <c r="J22" s="199">
        <f t="shared" si="18"/>
        <v>0</v>
      </c>
      <c r="K22" s="194" t="str">
        <f>D22&amp;-12</f>
        <v>3-12</v>
      </c>
      <c r="L22" s="198">
        <f t="shared" si="11"/>
        <v>0.2</v>
      </c>
      <c r="M22" s="49">
        <v>90</v>
      </c>
      <c r="N22" s="198">
        <f t="shared" si="12"/>
        <v>150</v>
      </c>
      <c r="O22" s="198">
        <f t="shared" si="12"/>
        <v>750</v>
      </c>
      <c r="P22" s="196">
        <f t="shared" si="12"/>
        <v>2</v>
      </c>
      <c r="Q22" s="56"/>
      <c r="R22" s="38">
        <f t="shared" si="4"/>
        <v>3</v>
      </c>
      <c r="S22" s="38">
        <f t="shared" si="19"/>
        <v>4</v>
      </c>
      <c r="T22" s="39">
        <f t="shared" si="5"/>
        <v>0.11808862170182366</v>
      </c>
      <c r="U22" s="39">
        <f t="shared" si="5"/>
        <v>0.20020684760703333</v>
      </c>
      <c r="V22" s="39">
        <f t="shared" si="13"/>
        <v>8.2118225905209674E-2</v>
      </c>
      <c r="W22" s="39">
        <f t="shared" si="14"/>
        <v>9.3131049557280493E-2</v>
      </c>
      <c r="X22" s="40">
        <f t="shared" si="6"/>
        <v>0.18626209911456101</v>
      </c>
      <c r="Y22" s="40" t="s">
        <v>3710</v>
      </c>
      <c r="Z22" s="182">
        <f t="shared" si="7"/>
        <v>22.351451893747324</v>
      </c>
      <c r="AA22" s="182">
        <f t="shared" si="15"/>
        <v>3.7252419822912204</v>
      </c>
    </row>
    <row r="23" spans="1:28" x14ac:dyDescent="0.25">
      <c r="A23" s="229">
        <f t="shared" ref="A23" si="28">A22+1</f>
        <v>3301</v>
      </c>
      <c r="B23" s="230">
        <f t="shared" ref="B23" si="29">B22+1</f>
        <v>13</v>
      </c>
      <c r="C23" s="229" t="str">
        <f t="shared" si="9"/>
        <v>24dX05-000_000_01</v>
      </c>
      <c r="D23" s="231">
        <f>D22+v_step</f>
        <v>5</v>
      </c>
      <c r="E23" s="204">
        <f t="shared" ref="E23:E34" si="30">I_ref*(0.75*D23+5.6)</f>
        <v>1.3090000000000002</v>
      </c>
      <c r="F23" s="198">
        <f t="shared" ref="F23:F34" si="31">E23/D23*100</f>
        <v>26.180000000000003</v>
      </c>
      <c r="G23" s="198">
        <f t="shared" ref="G23:G34" si="32">m_ty*F23</f>
        <v>20.944000000000003</v>
      </c>
      <c r="H23" s="198">
        <f t="shared" ref="H23:H34" si="33">m_tz*F23</f>
        <v>13.090000000000002</v>
      </c>
      <c r="I23" s="198">
        <f>inflow</f>
        <v>8</v>
      </c>
      <c r="J23" s="199">
        <f>yaw_null</f>
        <v>0</v>
      </c>
      <c r="K23" s="228" t="str">
        <f>D23&amp;-1</f>
        <v>5-1</v>
      </c>
      <c r="L23" s="198">
        <f>alpha_n</f>
        <v>0.2</v>
      </c>
      <c r="M23" s="49">
        <v>0</v>
      </c>
      <c r="N23" s="198">
        <f>t_out</f>
        <v>150</v>
      </c>
      <c r="O23" s="198">
        <f>N23+T_s1</f>
        <v>750</v>
      </c>
      <c r="P23" s="196">
        <f>Pitch_angle_powprod</f>
        <v>2</v>
      </c>
      <c r="Q23" s="56"/>
      <c r="R23" s="38">
        <f>S22</f>
        <v>4</v>
      </c>
      <c r="S23" s="38">
        <f t="shared" ref="S23:S54" si="34">R23+v_step</f>
        <v>6</v>
      </c>
      <c r="T23" s="39">
        <f t="shared" ref="T23:U50" si="35">IF(wpd="Rayleigh",1-EXP(-PI()*((R23/2/v_ave)^2)),IF(wpd="Weibull",1-EXP(-((R23/weibull_A)^weibull_K))))</f>
        <v>0.20020684760703333</v>
      </c>
      <c r="U23" s="39">
        <f t="shared" si="35"/>
        <v>0.39507743723572908</v>
      </c>
      <c r="V23" s="39">
        <f t="shared" si="13"/>
        <v>0.19487058962869575</v>
      </c>
      <c r="W23" s="39">
        <f t="shared" si="14"/>
        <v>0.22100456189732626</v>
      </c>
      <c r="X23" s="40">
        <f t="shared" si="6"/>
        <v>0.44200912379465257</v>
      </c>
      <c r="Y23" s="40" t="s">
        <v>3710</v>
      </c>
      <c r="Z23" s="182">
        <f t="shared" ref="Z23:Z34" si="36">AA23*3600/(O23-N23)</f>
        <v>53.04109485535831</v>
      </c>
      <c r="AA23" s="182">
        <f>X23*20</f>
        <v>8.8401824758930516</v>
      </c>
      <c r="AB23" s="176"/>
    </row>
    <row r="24" spans="1:28" x14ac:dyDescent="0.25">
      <c r="A24" s="229">
        <f t="shared" ref="A24" si="37">A23+1</f>
        <v>3302</v>
      </c>
      <c r="B24" s="230">
        <f t="shared" ref="B24" si="38">B23+1</f>
        <v>14</v>
      </c>
      <c r="C24" s="229" t="str">
        <f t="shared" si="9"/>
        <v>24dX05-000_030_02</v>
      </c>
      <c r="D24" s="231">
        <f t="shared" ref="D24:D87" si="39">D23</f>
        <v>5</v>
      </c>
      <c r="E24" s="204">
        <f t="shared" si="30"/>
        <v>1.3090000000000002</v>
      </c>
      <c r="F24" s="198">
        <f t="shared" si="31"/>
        <v>26.180000000000003</v>
      </c>
      <c r="G24" s="198">
        <f t="shared" si="32"/>
        <v>20.944000000000003</v>
      </c>
      <c r="H24" s="198">
        <f t="shared" si="33"/>
        <v>13.090000000000002</v>
      </c>
      <c r="I24" s="198">
        <f t="shared" ref="I24:J29" si="40">I23</f>
        <v>8</v>
      </c>
      <c r="J24" s="199">
        <f>J23</f>
        <v>0</v>
      </c>
      <c r="K24" s="228" t="str">
        <f>D24&amp;-2</f>
        <v>5-2</v>
      </c>
      <c r="L24" s="198">
        <f t="shared" ref="L24:L34" si="41">L23</f>
        <v>0.2</v>
      </c>
      <c r="M24" s="49">
        <v>30</v>
      </c>
      <c r="N24" s="198">
        <f t="shared" ref="N24:P34" si="42">N23</f>
        <v>150</v>
      </c>
      <c r="O24" s="198">
        <f t="shared" si="42"/>
        <v>750</v>
      </c>
      <c r="P24" s="196">
        <f>P23</f>
        <v>2</v>
      </c>
      <c r="Q24" s="56"/>
      <c r="R24" s="38">
        <f t="shared" ref="R24:R51" si="43">R23</f>
        <v>4</v>
      </c>
      <c r="S24" s="38">
        <f t="shared" si="34"/>
        <v>6</v>
      </c>
      <c r="T24" s="39">
        <f t="shared" si="35"/>
        <v>0.20020684760703333</v>
      </c>
      <c r="U24" s="39">
        <f t="shared" si="35"/>
        <v>0.39507743723572908</v>
      </c>
      <c r="V24" s="39">
        <f t="shared" si="13"/>
        <v>0.19487058962869575</v>
      </c>
      <c r="W24" s="39">
        <f t="shared" si="14"/>
        <v>0.22100456189732626</v>
      </c>
      <c r="X24" s="40">
        <f t="shared" si="6"/>
        <v>0.44200912379465257</v>
      </c>
      <c r="Y24" s="40" t="s">
        <v>3710</v>
      </c>
      <c r="Z24" s="182">
        <f t="shared" si="36"/>
        <v>53.04109485535831</v>
      </c>
      <c r="AA24" s="182">
        <f t="shared" ref="AA24:AA34" si="44">X24*20</f>
        <v>8.8401824758930516</v>
      </c>
    </row>
    <row r="25" spans="1:28" x14ac:dyDescent="0.25">
      <c r="A25" s="229">
        <f t="shared" ref="A25" si="45">A24+1</f>
        <v>3303</v>
      </c>
      <c r="B25" s="230">
        <f t="shared" ref="B25" si="46">B24+1</f>
        <v>15</v>
      </c>
      <c r="C25" s="229" t="str">
        <f t="shared" si="9"/>
        <v>24dX05-000_060_03</v>
      </c>
      <c r="D25" s="231">
        <f t="shared" si="39"/>
        <v>5</v>
      </c>
      <c r="E25" s="204">
        <f t="shared" si="30"/>
        <v>1.3090000000000002</v>
      </c>
      <c r="F25" s="198">
        <f t="shared" si="31"/>
        <v>26.180000000000003</v>
      </c>
      <c r="G25" s="198">
        <f t="shared" si="32"/>
        <v>20.944000000000003</v>
      </c>
      <c r="H25" s="198">
        <f t="shared" si="33"/>
        <v>13.090000000000002</v>
      </c>
      <c r="I25" s="198">
        <f t="shared" si="40"/>
        <v>8</v>
      </c>
      <c r="J25" s="199">
        <f t="shared" si="40"/>
        <v>0</v>
      </c>
      <c r="K25" s="228" t="str">
        <f>D25&amp;-3</f>
        <v>5-3</v>
      </c>
      <c r="L25" s="198">
        <f t="shared" si="41"/>
        <v>0.2</v>
      </c>
      <c r="M25" s="49">
        <v>60</v>
      </c>
      <c r="N25" s="198">
        <f t="shared" si="42"/>
        <v>150</v>
      </c>
      <c r="O25" s="198">
        <f t="shared" si="42"/>
        <v>750</v>
      </c>
      <c r="P25" s="196">
        <f t="shared" si="42"/>
        <v>2</v>
      </c>
      <c r="Q25" s="56"/>
      <c r="R25" s="38">
        <f t="shared" si="43"/>
        <v>4</v>
      </c>
      <c r="S25" s="38">
        <f t="shared" si="34"/>
        <v>6</v>
      </c>
      <c r="T25" s="39">
        <f t="shared" si="35"/>
        <v>0.20020684760703333</v>
      </c>
      <c r="U25" s="39">
        <f t="shared" si="35"/>
        <v>0.39507743723572908</v>
      </c>
      <c r="V25" s="39">
        <f t="shared" si="13"/>
        <v>0.19487058962869575</v>
      </c>
      <c r="W25" s="39">
        <f t="shared" si="14"/>
        <v>0.22100456189732626</v>
      </c>
      <c r="X25" s="40">
        <f t="shared" si="6"/>
        <v>0.44200912379465257</v>
      </c>
      <c r="Y25" s="40" t="s">
        <v>3710</v>
      </c>
      <c r="Z25" s="182">
        <f t="shared" si="36"/>
        <v>53.04109485535831</v>
      </c>
      <c r="AA25" s="182">
        <f t="shared" si="44"/>
        <v>8.8401824758930516</v>
      </c>
    </row>
    <row r="26" spans="1:28" x14ac:dyDescent="0.25">
      <c r="A26" s="229">
        <f t="shared" ref="A26" si="47">A25+1</f>
        <v>3304</v>
      </c>
      <c r="B26" s="230">
        <f t="shared" ref="B26" si="48">B25+1</f>
        <v>16</v>
      </c>
      <c r="C26" s="229" t="str">
        <f t="shared" si="9"/>
        <v>24dX05-000_090_04</v>
      </c>
      <c r="D26" s="231">
        <f t="shared" si="39"/>
        <v>5</v>
      </c>
      <c r="E26" s="204">
        <f t="shared" si="30"/>
        <v>1.3090000000000002</v>
      </c>
      <c r="F26" s="198">
        <f t="shared" si="31"/>
        <v>26.180000000000003</v>
      </c>
      <c r="G26" s="198">
        <f t="shared" si="32"/>
        <v>20.944000000000003</v>
      </c>
      <c r="H26" s="198">
        <f t="shared" si="33"/>
        <v>13.090000000000002</v>
      </c>
      <c r="I26" s="198">
        <f t="shared" si="40"/>
        <v>8</v>
      </c>
      <c r="J26" s="199">
        <f t="shared" si="40"/>
        <v>0</v>
      </c>
      <c r="K26" s="228" t="str">
        <f>D26&amp;-4</f>
        <v>5-4</v>
      </c>
      <c r="L26" s="198">
        <f t="shared" si="41"/>
        <v>0.2</v>
      </c>
      <c r="M26" s="49">
        <v>90</v>
      </c>
      <c r="N26" s="198">
        <f t="shared" si="42"/>
        <v>150</v>
      </c>
      <c r="O26" s="198">
        <f t="shared" si="42"/>
        <v>750</v>
      </c>
      <c r="P26" s="196">
        <f t="shared" si="42"/>
        <v>2</v>
      </c>
      <c r="Q26" s="56"/>
      <c r="R26" s="38">
        <f t="shared" si="43"/>
        <v>4</v>
      </c>
      <c r="S26" s="38">
        <f t="shared" si="34"/>
        <v>6</v>
      </c>
      <c r="T26" s="39">
        <f t="shared" si="35"/>
        <v>0.20020684760703333</v>
      </c>
      <c r="U26" s="39">
        <f t="shared" si="35"/>
        <v>0.39507743723572908</v>
      </c>
      <c r="V26" s="39">
        <f t="shared" si="13"/>
        <v>0.19487058962869575</v>
      </c>
      <c r="W26" s="39">
        <f t="shared" si="14"/>
        <v>0.22100456189732626</v>
      </c>
      <c r="X26" s="40">
        <f t="shared" si="6"/>
        <v>0.44200912379465257</v>
      </c>
      <c r="Y26" s="40" t="s">
        <v>3710</v>
      </c>
      <c r="Z26" s="182">
        <f t="shared" si="36"/>
        <v>53.04109485535831</v>
      </c>
      <c r="AA26" s="182">
        <f t="shared" si="44"/>
        <v>8.8401824758930516</v>
      </c>
    </row>
    <row r="27" spans="1:28" x14ac:dyDescent="0.25">
      <c r="A27" s="229">
        <f t="shared" ref="A27" si="49">A26+1</f>
        <v>3305</v>
      </c>
      <c r="B27" s="230">
        <f t="shared" ref="B27" si="50">B26+1</f>
        <v>17</v>
      </c>
      <c r="C27" s="229" t="str">
        <f t="shared" si="9"/>
        <v>24dX05-000_000_05</v>
      </c>
      <c r="D27" s="231">
        <f t="shared" si="39"/>
        <v>5</v>
      </c>
      <c r="E27" s="204">
        <f t="shared" si="30"/>
        <v>1.3090000000000002</v>
      </c>
      <c r="F27" s="198">
        <f t="shared" si="31"/>
        <v>26.180000000000003</v>
      </c>
      <c r="G27" s="198">
        <f t="shared" si="32"/>
        <v>20.944000000000003</v>
      </c>
      <c r="H27" s="198">
        <f t="shared" si="33"/>
        <v>13.090000000000002</v>
      </c>
      <c r="I27" s="198">
        <f t="shared" si="40"/>
        <v>8</v>
      </c>
      <c r="J27" s="199">
        <f t="shared" si="40"/>
        <v>0</v>
      </c>
      <c r="K27" s="228" t="str">
        <f>D27&amp;-5</f>
        <v>5-5</v>
      </c>
      <c r="L27" s="198">
        <f t="shared" si="41"/>
        <v>0.2</v>
      </c>
      <c r="M27" s="49">
        <v>0</v>
      </c>
      <c r="N27" s="198">
        <f t="shared" si="42"/>
        <v>150</v>
      </c>
      <c r="O27" s="198">
        <f t="shared" si="42"/>
        <v>750</v>
      </c>
      <c r="P27" s="196">
        <f t="shared" si="42"/>
        <v>2</v>
      </c>
      <c r="Q27" s="56"/>
      <c r="R27" s="38">
        <f t="shared" si="43"/>
        <v>4</v>
      </c>
      <c r="S27" s="38">
        <f t="shared" si="34"/>
        <v>6</v>
      </c>
      <c r="T27" s="39">
        <f t="shared" si="35"/>
        <v>0.20020684760703333</v>
      </c>
      <c r="U27" s="39">
        <f t="shared" si="35"/>
        <v>0.39507743723572908</v>
      </c>
      <c r="V27" s="39">
        <f t="shared" si="13"/>
        <v>0.19487058962869575</v>
      </c>
      <c r="W27" s="39">
        <f t="shared" si="14"/>
        <v>0.22100456189732626</v>
      </c>
      <c r="X27" s="40">
        <f t="shared" si="6"/>
        <v>0.44200912379465257</v>
      </c>
      <c r="Y27" s="40" t="s">
        <v>3710</v>
      </c>
      <c r="Z27" s="182">
        <f t="shared" si="36"/>
        <v>53.04109485535831</v>
      </c>
      <c r="AA27" s="182">
        <f t="shared" si="44"/>
        <v>8.8401824758930516</v>
      </c>
    </row>
    <row r="28" spans="1:28" x14ac:dyDescent="0.25">
      <c r="A28" s="229">
        <f t="shared" ref="A28" si="51">A27+1</f>
        <v>3306</v>
      </c>
      <c r="B28" s="230">
        <f t="shared" ref="B28" si="52">B27+1</f>
        <v>18</v>
      </c>
      <c r="C28" s="229" t="str">
        <f t="shared" si="9"/>
        <v>24dX05-000_030_06</v>
      </c>
      <c r="D28" s="231">
        <f t="shared" si="39"/>
        <v>5</v>
      </c>
      <c r="E28" s="204">
        <f t="shared" si="30"/>
        <v>1.3090000000000002</v>
      </c>
      <c r="F28" s="198">
        <f t="shared" si="31"/>
        <v>26.180000000000003</v>
      </c>
      <c r="G28" s="198">
        <f t="shared" si="32"/>
        <v>20.944000000000003</v>
      </c>
      <c r="H28" s="198">
        <f t="shared" si="33"/>
        <v>13.090000000000002</v>
      </c>
      <c r="I28" s="198">
        <f t="shared" si="40"/>
        <v>8</v>
      </c>
      <c r="J28" s="199">
        <f t="shared" si="40"/>
        <v>0</v>
      </c>
      <c r="K28" s="228" t="str">
        <f>D28&amp;-6</f>
        <v>5-6</v>
      </c>
      <c r="L28" s="198">
        <f t="shared" si="41"/>
        <v>0.2</v>
      </c>
      <c r="M28" s="49">
        <v>30</v>
      </c>
      <c r="N28" s="198">
        <f t="shared" si="42"/>
        <v>150</v>
      </c>
      <c r="O28" s="198">
        <f t="shared" si="42"/>
        <v>750</v>
      </c>
      <c r="P28" s="196">
        <f t="shared" si="42"/>
        <v>2</v>
      </c>
      <c r="Q28" s="56"/>
      <c r="R28" s="38">
        <f t="shared" si="43"/>
        <v>4</v>
      </c>
      <c r="S28" s="38">
        <f t="shared" si="34"/>
        <v>6</v>
      </c>
      <c r="T28" s="39">
        <f t="shared" si="35"/>
        <v>0.20020684760703333</v>
      </c>
      <c r="U28" s="39">
        <f t="shared" si="35"/>
        <v>0.39507743723572908</v>
      </c>
      <c r="V28" s="39">
        <f t="shared" si="13"/>
        <v>0.19487058962869575</v>
      </c>
      <c r="W28" s="39">
        <f t="shared" si="14"/>
        <v>0.22100456189732626</v>
      </c>
      <c r="X28" s="40">
        <f t="shared" si="6"/>
        <v>0.44200912379465257</v>
      </c>
      <c r="Y28" s="40" t="s">
        <v>3710</v>
      </c>
      <c r="Z28" s="182">
        <f t="shared" si="36"/>
        <v>53.04109485535831</v>
      </c>
      <c r="AA28" s="182">
        <f t="shared" si="44"/>
        <v>8.8401824758930516</v>
      </c>
    </row>
    <row r="29" spans="1:28" x14ac:dyDescent="0.25">
      <c r="A29" s="229">
        <f t="shared" ref="A29" si="53">A28+1</f>
        <v>3307</v>
      </c>
      <c r="B29" s="230">
        <f t="shared" ref="B29" si="54">B28+1</f>
        <v>19</v>
      </c>
      <c r="C29" s="229" t="str">
        <f t="shared" si="9"/>
        <v>24dX05-000_060_07</v>
      </c>
      <c r="D29" s="231">
        <f t="shared" si="39"/>
        <v>5</v>
      </c>
      <c r="E29" s="204">
        <f t="shared" si="30"/>
        <v>1.3090000000000002</v>
      </c>
      <c r="F29" s="198">
        <f t="shared" si="31"/>
        <v>26.180000000000003</v>
      </c>
      <c r="G29" s="198">
        <f t="shared" si="32"/>
        <v>20.944000000000003</v>
      </c>
      <c r="H29" s="198">
        <f t="shared" si="33"/>
        <v>13.090000000000002</v>
      </c>
      <c r="I29" s="198">
        <f t="shared" si="40"/>
        <v>8</v>
      </c>
      <c r="J29" s="199">
        <f t="shared" si="40"/>
        <v>0</v>
      </c>
      <c r="K29" s="228" t="str">
        <f>D29&amp;-7</f>
        <v>5-7</v>
      </c>
      <c r="L29" s="198">
        <f t="shared" si="41"/>
        <v>0.2</v>
      </c>
      <c r="M29" s="49">
        <v>60</v>
      </c>
      <c r="N29" s="198">
        <f t="shared" si="42"/>
        <v>150</v>
      </c>
      <c r="O29" s="198">
        <f t="shared" si="42"/>
        <v>750</v>
      </c>
      <c r="P29" s="196">
        <f t="shared" si="42"/>
        <v>2</v>
      </c>
      <c r="Q29" s="56"/>
      <c r="R29" s="38">
        <f t="shared" si="43"/>
        <v>4</v>
      </c>
      <c r="S29" s="38">
        <f t="shared" si="34"/>
        <v>6</v>
      </c>
      <c r="T29" s="39">
        <f t="shared" si="35"/>
        <v>0.20020684760703333</v>
      </c>
      <c r="U29" s="39">
        <f t="shared" si="35"/>
        <v>0.39507743723572908</v>
      </c>
      <c r="V29" s="39">
        <f t="shared" si="13"/>
        <v>0.19487058962869575</v>
      </c>
      <c r="W29" s="39">
        <f t="shared" si="14"/>
        <v>0.22100456189732626</v>
      </c>
      <c r="X29" s="40">
        <f t="shared" si="6"/>
        <v>0.44200912379465257</v>
      </c>
      <c r="Y29" s="40" t="s">
        <v>3710</v>
      </c>
      <c r="Z29" s="182">
        <f t="shared" si="36"/>
        <v>53.04109485535831</v>
      </c>
      <c r="AA29" s="182">
        <f t="shared" si="44"/>
        <v>8.8401824758930516</v>
      </c>
    </row>
    <row r="30" spans="1:28" x14ac:dyDescent="0.25">
      <c r="A30" s="229">
        <f t="shared" ref="A30" si="55">A29+1</f>
        <v>3308</v>
      </c>
      <c r="B30" s="230">
        <f t="shared" ref="B30" si="56">B29+1</f>
        <v>20</v>
      </c>
      <c r="C30" s="229" t="str">
        <f t="shared" si="9"/>
        <v>24dX05-000_090_08</v>
      </c>
      <c r="D30" s="231">
        <f t="shared" si="39"/>
        <v>5</v>
      </c>
      <c r="E30" s="204">
        <f t="shared" si="30"/>
        <v>1.3090000000000002</v>
      </c>
      <c r="F30" s="198">
        <f t="shared" si="31"/>
        <v>26.180000000000003</v>
      </c>
      <c r="G30" s="198">
        <f t="shared" si="32"/>
        <v>20.944000000000003</v>
      </c>
      <c r="H30" s="198">
        <f t="shared" si="33"/>
        <v>13.090000000000002</v>
      </c>
      <c r="I30" s="198">
        <f t="shared" ref="I30:J34" si="57">I29</f>
        <v>8</v>
      </c>
      <c r="J30" s="199">
        <f t="shared" si="57"/>
        <v>0</v>
      </c>
      <c r="K30" s="228" t="str">
        <f>D30&amp;-8</f>
        <v>5-8</v>
      </c>
      <c r="L30" s="198">
        <f t="shared" si="41"/>
        <v>0.2</v>
      </c>
      <c r="M30" s="49">
        <v>90</v>
      </c>
      <c r="N30" s="198">
        <f t="shared" si="42"/>
        <v>150</v>
      </c>
      <c r="O30" s="198">
        <f t="shared" si="42"/>
        <v>750</v>
      </c>
      <c r="P30" s="196">
        <f t="shared" si="42"/>
        <v>2</v>
      </c>
      <c r="Q30" s="56"/>
      <c r="R30" s="38">
        <f t="shared" si="43"/>
        <v>4</v>
      </c>
      <c r="S30" s="38">
        <f t="shared" si="34"/>
        <v>6</v>
      </c>
      <c r="T30" s="39">
        <f t="shared" si="35"/>
        <v>0.20020684760703333</v>
      </c>
      <c r="U30" s="39">
        <f t="shared" si="35"/>
        <v>0.39507743723572908</v>
      </c>
      <c r="V30" s="39">
        <f t="shared" si="13"/>
        <v>0.19487058962869575</v>
      </c>
      <c r="W30" s="39">
        <f t="shared" si="14"/>
        <v>0.22100456189732626</v>
      </c>
      <c r="X30" s="40">
        <f t="shared" si="6"/>
        <v>0.44200912379465257</v>
      </c>
      <c r="Y30" s="40" t="s">
        <v>3710</v>
      </c>
      <c r="Z30" s="182">
        <f t="shared" si="36"/>
        <v>53.04109485535831</v>
      </c>
      <c r="AA30" s="182">
        <f t="shared" si="44"/>
        <v>8.8401824758930516</v>
      </c>
    </row>
    <row r="31" spans="1:28" x14ac:dyDescent="0.25">
      <c r="A31" s="229">
        <f t="shared" ref="A31" si="58">A30+1</f>
        <v>3309</v>
      </c>
      <c r="B31" s="230">
        <f t="shared" ref="B31" si="59">B30+1</f>
        <v>21</v>
      </c>
      <c r="C31" s="229" t="str">
        <f t="shared" si="9"/>
        <v>24dX05-000_000_09</v>
      </c>
      <c r="D31" s="231">
        <f t="shared" si="39"/>
        <v>5</v>
      </c>
      <c r="E31" s="204">
        <f t="shared" si="30"/>
        <v>1.3090000000000002</v>
      </c>
      <c r="F31" s="198">
        <f t="shared" si="31"/>
        <v>26.180000000000003</v>
      </c>
      <c r="G31" s="198">
        <f t="shared" si="32"/>
        <v>20.944000000000003</v>
      </c>
      <c r="H31" s="198">
        <f t="shared" si="33"/>
        <v>13.090000000000002</v>
      </c>
      <c r="I31" s="198">
        <f t="shared" si="57"/>
        <v>8</v>
      </c>
      <c r="J31" s="199">
        <f t="shared" si="57"/>
        <v>0</v>
      </c>
      <c r="K31" s="228" t="str">
        <f>D31&amp;-9</f>
        <v>5-9</v>
      </c>
      <c r="L31" s="198">
        <f t="shared" si="41"/>
        <v>0.2</v>
      </c>
      <c r="M31" s="49">
        <v>0</v>
      </c>
      <c r="N31" s="198">
        <f t="shared" si="42"/>
        <v>150</v>
      </c>
      <c r="O31" s="198">
        <f t="shared" si="42"/>
        <v>750</v>
      </c>
      <c r="P31" s="196">
        <f t="shared" si="42"/>
        <v>2</v>
      </c>
      <c r="Q31" s="56"/>
      <c r="R31" s="38">
        <f t="shared" si="43"/>
        <v>4</v>
      </c>
      <c r="S31" s="38">
        <f t="shared" si="34"/>
        <v>6</v>
      </c>
      <c r="T31" s="39">
        <f t="shared" si="35"/>
        <v>0.20020684760703333</v>
      </c>
      <c r="U31" s="39">
        <f t="shared" si="35"/>
        <v>0.39507743723572908</v>
      </c>
      <c r="V31" s="39">
        <f t="shared" si="13"/>
        <v>0.19487058962869575</v>
      </c>
      <c r="W31" s="39">
        <f t="shared" si="14"/>
        <v>0.22100456189732626</v>
      </c>
      <c r="X31" s="40">
        <f t="shared" si="6"/>
        <v>0.44200912379465257</v>
      </c>
      <c r="Y31" s="40" t="s">
        <v>3710</v>
      </c>
      <c r="Z31" s="182">
        <f t="shared" si="36"/>
        <v>53.04109485535831</v>
      </c>
      <c r="AA31" s="182">
        <f t="shared" si="44"/>
        <v>8.8401824758930516</v>
      </c>
    </row>
    <row r="32" spans="1:28" x14ac:dyDescent="0.25">
      <c r="A32" s="229">
        <f t="shared" ref="A32" si="60">A31+1</f>
        <v>3310</v>
      </c>
      <c r="B32" s="230">
        <f t="shared" ref="B32" si="61">B31+1</f>
        <v>22</v>
      </c>
      <c r="C32" s="229" t="str">
        <f t="shared" si="9"/>
        <v>24dX05-000_030_10</v>
      </c>
      <c r="D32" s="231">
        <f t="shared" si="39"/>
        <v>5</v>
      </c>
      <c r="E32" s="204">
        <f t="shared" si="30"/>
        <v>1.3090000000000002</v>
      </c>
      <c r="F32" s="198">
        <f t="shared" si="31"/>
        <v>26.180000000000003</v>
      </c>
      <c r="G32" s="198">
        <f t="shared" si="32"/>
        <v>20.944000000000003</v>
      </c>
      <c r="H32" s="198">
        <f t="shared" si="33"/>
        <v>13.090000000000002</v>
      </c>
      <c r="I32" s="198">
        <f t="shared" si="57"/>
        <v>8</v>
      </c>
      <c r="J32" s="199">
        <f t="shared" si="57"/>
        <v>0</v>
      </c>
      <c r="K32" s="228" t="str">
        <f>D32&amp;-10</f>
        <v>5-10</v>
      </c>
      <c r="L32" s="198">
        <f t="shared" si="41"/>
        <v>0.2</v>
      </c>
      <c r="M32" s="49">
        <v>30</v>
      </c>
      <c r="N32" s="198">
        <f t="shared" si="42"/>
        <v>150</v>
      </c>
      <c r="O32" s="198">
        <f t="shared" si="42"/>
        <v>750</v>
      </c>
      <c r="P32" s="196">
        <f t="shared" si="42"/>
        <v>2</v>
      </c>
      <c r="Q32" s="56"/>
      <c r="R32" s="38">
        <f t="shared" si="43"/>
        <v>4</v>
      </c>
      <c r="S32" s="38">
        <f t="shared" si="34"/>
        <v>6</v>
      </c>
      <c r="T32" s="39">
        <f t="shared" si="35"/>
        <v>0.20020684760703333</v>
      </c>
      <c r="U32" s="39">
        <f t="shared" si="35"/>
        <v>0.39507743723572908</v>
      </c>
      <c r="V32" s="39">
        <f t="shared" si="13"/>
        <v>0.19487058962869575</v>
      </c>
      <c r="W32" s="39">
        <f t="shared" si="14"/>
        <v>0.22100456189732626</v>
      </c>
      <c r="X32" s="40">
        <f t="shared" si="6"/>
        <v>0.44200912379465257</v>
      </c>
      <c r="Y32" s="40" t="s">
        <v>3710</v>
      </c>
      <c r="Z32" s="182">
        <f t="shared" si="36"/>
        <v>53.04109485535831</v>
      </c>
      <c r="AA32" s="182">
        <f t="shared" si="44"/>
        <v>8.8401824758930516</v>
      </c>
    </row>
    <row r="33" spans="1:28" x14ac:dyDescent="0.25">
      <c r="A33" s="229">
        <f t="shared" ref="A33" si="62">A32+1</f>
        <v>3311</v>
      </c>
      <c r="B33" s="230">
        <f t="shared" ref="B33" si="63">B32+1</f>
        <v>23</v>
      </c>
      <c r="C33" s="229" t="str">
        <f t="shared" si="9"/>
        <v>24dX05-000_060_11</v>
      </c>
      <c r="D33" s="231">
        <f t="shared" si="39"/>
        <v>5</v>
      </c>
      <c r="E33" s="204">
        <f t="shared" si="30"/>
        <v>1.3090000000000002</v>
      </c>
      <c r="F33" s="198">
        <f t="shared" si="31"/>
        <v>26.180000000000003</v>
      </c>
      <c r="G33" s="198">
        <f t="shared" si="32"/>
        <v>20.944000000000003</v>
      </c>
      <c r="H33" s="198">
        <f t="shared" si="33"/>
        <v>13.090000000000002</v>
      </c>
      <c r="I33" s="198">
        <f t="shared" si="57"/>
        <v>8</v>
      </c>
      <c r="J33" s="199">
        <f t="shared" si="57"/>
        <v>0</v>
      </c>
      <c r="K33" s="228" t="str">
        <f>D33&amp;-11</f>
        <v>5-11</v>
      </c>
      <c r="L33" s="198">
        <f t="shared" si="41"/>
        <v>0.2</v>
      </c>
      <c r="M33" s="49">
        <v>60</v>
      </c>
      <c r="N33" s="198">
        <f t="shared" si="42"/>
        <v>150</v>
      </c>
      <c r="O33" s="198">
        <f t="shared" si="42"/>
        <v>750</v>
      </c>
      <c r="P33" s="196">
        <f t="shared" si="42"/>
        <v>2</v>
      </c>
      <c r="Q33" s="56"/>
      <c r="R33" s="38">
        <f t="shared" si="43"/>
        <v>4</v>
      </c>
      <c r="S33" s="38">
        <f t="shared" si="34"/>
        <v>6</v>
      </c>
      <c r="T33" s="39">
        <f t="shared" si="35"/>
        <v>0.20020684760703333</v>
      </c>
      <c r="U33" s="39">
        <f t="shared" si="35"/>
        <v>0.39507743723572908</v>
      </c>
      <c r="V33" s="39">
        <f t="shared" si="13"/>
        <v>0.19487058962869575</v>
      </c>
      <c r="W33" s="39">
        <f t="shared" si="14"/>
        <v>0.22100456189732626</v>
      </c>
      <c r="X33" s="40">
        <f t="shared" si="6"/>
        <v>0.44200912379465257</v>
      </c>
      <c r="Y33" s="40" t="s">
        <v>3710</v>
      </c>
      <c r="Z33" s="182">
        <f t="shared" si="36"/>
        <v>53.04109485535831</v>
      </c>
      <c r="AA33" s="182">
        <f t="shared" si="44"/>
        <v>8.8401824758930516</v>
      </c>
    </row>
    <row r="34" spans="1:28" x14ac:dyDescent="0.25">
      <c r="A34" s="229">
        <f t="shared" ref="A34" si="64">A33+1</f>
        <v>3312</v>
      </c>
      <c r="B34" s="230">
        <f t="shared" ref="B34" si="65">B33+1</f>
        <v>24</v>
      </c>
      <c r="C34" s="229" t="str">
        <f t="shared" si="9"/>
        <v>24dX05-000_090_12</v>
      </c>
      <c r="D34" s="231">
        <f t="shared" si="39"/>
        <v>5</v>
      </c>
      <c r="E34" s="204">
        <f t="shared" si="30"/>
        <v>1.3090000000000002</v>
      </c>
      <c r="F34" s="198">
        <f t="shared" si="31"/>
        <v>26.180000000000003</v>
      </c>
      <c r="G34" s="198">
        <f t="shared" si="32"/>
        <v>20.944000000000003</v>
      </c>
      <c r="H34" s="198">
        <f t="shared" si="33"/>
        <v>13.090000000000002</v>
      </c>
      <c r="I34" s="198">
        <f t="shared" si="57"/>
        <v>8</v>
      </c>
      <c r="J34" s="199">
        <f t="shared" si="57"/>
        <v>0</v>
      </c>
      <c r="K34" s="228" t="str">
        <f>D34&amp;-12</f>
        <v>5-12</v>
      </c>
      <c r="L34" s="198">
        <f t="shared" si="41"/>
        <v>0.2</v>
      </c>
      <c r="M34" s="49">
        <v>90</v>
      </c>
      <c r="N34" s="198">
        <f t="shared" si="42"/>
        <v>150</v>
      </c>
      <c r="O34" s="198">
        <f t="shared" si="42"/>
        <v>750</v>
      </c>
      <c r="P34" s="196">
        <f t="shared" si="42"/>
        <v>2</v>
      </c>
      <c r="Q34" s="56"/>
      <c r="R34" s="38">
        <f t="shared" si="43"/>
        <v>4</v>
      </c>
      <c r="S34" s="38">
        <f t="shared" si="34"/>
        <v>6</v>
      </c>
      <c r="T34" s="39">
        <f t="shared" si="35"/>
        <v>0.20020684760703333</v>
      </c>
      <c r="U34" s="39">
        <f t="shared" si="35"/>
        <v>0.39507743723572908</v>
      </c>
      <c r="V34" s="39">
        <f t="shared" si="13"/>
        <v>0.19487058962869575</v>
      </c>
      <c r="W34" s="39">
        <f t="shared" si="14"/>
        <v>0.22100456189732626</v>
      </c>
      <c r="X34" s="40">
        <f t="shared" si="6"/>
        <v>0.44200912379465257</v>
      </c>
      <c r="Y34" s="40" t="s">
        <v>3710</v>
      </c>
      <c r="Z34" s="182">
        <f t="shared" si="36"/>
        <v>53.04109485535831</v>
      </c>
      <c r="AA34" s="182">
        <f t="shared" si="44"/>
        <v>8.8401824758930516</v>
      </c>
    </row>
    <row r="35" spans="1:28" x14ac:dyDescent="0.25">
      <c r="A35" s="229">
        <f t="shared" ref="A35" si="66">A34+1</f>
        <v>3313</v>
      </c>
      <c r="B35" s="230">
        <f t="shared" ref="B35" si="67">B34+1</f>
        <v>25</v>
      </c>
      <c r="C35" s="229" t="str">
        <f t="shared" si="9"/>
        <v>24dX07-000_000_01</v>
      </c>
      <c r="D35" s="231">
        <f>D34+v_step</f>
        <v>7</v>
      </c>
      <c r="E35" s="204">
        <f t="shared" ref="E35:E50" si="68">I_ref*(0.75*D35+5.6)</f>
        <v>1.5190000000000001</v>
      </c>
      <c r="F35" s="198">
        <f t="shared" ref="F35:F64" si="69">E35/D35*100</f>
        <v>21.700000000000003</v>
      </c>
      <c r="G35" s="198">
        <f t="shared" ref="G35:G50" si="70">m_ty*F35</f>
        <v>17.360000000000003</v>
      </c>
      <c r="H35" s="198">
        <f t="shared" ref="H35:H50" si="71">m_tz*F35</f>
        <v>10.850000000000001</v>
      </c>
      <c r="I35" s="198">
        <f>inflow</f>
        <v>8</v>
      </c>
      <c r="J35" s="199">
        <f>yaw_null</f>
        <v>0</v>
      </c>
      <c r="K35" s="228" t="str">
        <f>D35&amp;-1</f>
        <v>7-1</v>
      </c>
      <c r="L35" s="198">
        <f>alpha_n</f>
        <v>0.2</v>
      </c>
      <c r="M35" s="49">
        <v>0</v>
      </c>
      <c r="N35" s="198">
        <f>t_out</f>
        <v>150</v>
      </c>
      <c r="O35" s="198">
        <f>N35+T_s1</f>
        <v>750</v>
      </c>
      <c r="P35" s="196">
        <f>Pitch_angle_powprod</f>
        <v>2</v>
      </c>
      <c r="Q35" s="56"/>
      <c r="R35" s="38">
        <f>S34</f>
        <v>6</v>
      </c>
      <c r="S35" s="38">
        <f t="shared" si="34"/>
        <v>8</v>
      </c>
      <c r="T35" s="39">
        <f t="shared" si="35"/>
        <v>0.39507743723572908</v>
      </c>
      <c r="U35" s="39">
        <f t="shared" si="35"/>
        <v>0.59082345962954208</v>
      </c>
      <c r="V35" s="39">
        <f t="shared" ref="V35:V67" si="72">U35-T35</f>
        <v>0.195746022393813</v>
      </c>
      <c r="W35" s="39">
        <f t="shared" si="14"/>
        <v>0.22199739840022775</v>
      </c>
      <c r="X35" s="40">
        <f t="shared" si="6"/>
        <v>0.44399479680045556</v>
      </c>
      <c r="Y35" s="40" t="s">
        <v>3710</v>
      </c>
      <c r="Z35" s="182">
        <f t="shared" ref="Z35:Z66" si="73">AA35*3600/(O35-N35)</f>
        <v>53.279375616054672</v>
      </c>
      <c r="AA35" s="182">
        <f>X35*20</f>
        <v>8.8798959360091114</v>
      </c>
      <c r="AB35" s="176"/>
    </row>
    <row r="36" spans="1:28" x14ac:dyDescent="0.25">
      <c r="A36" s="229">
        <f t="shared" ref="A36" si="74">A35+1</f>
        <v>3314</v>
      </c>
      <c r="B36" s="230">
        <f t="shared" ref="B36" si="75">B35+1</f>
        <v>26</v>
      </c>
      <c r="C36" s="229" t="str">
        <f t="shared" si="9"/>
        <v>24dX07-000_030_02</v>
      </c>
      <c r="D36" s="231">
        <f t="shared" si="39"/>
        <v>7</v>
      </c>
      <c r="E36" s="204">
        <f t="shared" si="68"/>
        <v>1.5190000000000001</v>
      </c>
      <c r="F36" s="198">
        <f t="shared" si="69"/>
        <v>21.700000000000003</v>
      </c>
      <c r="G36" s="198">
        <f t="shared" si="70"/>
        <v>17.360000000000003</v>
      </c>
      <c r="H36" s="198">
        <f t="shared" si="71"/>
        <v>10.850000000000001</v>
      </c>
      <c r="I36" s="198">
        <f t="shared" ref="I36:J41" si="76">I35</f>
        <v>8</v>
      </c>
      <c r="J36" s="199">
        <f>J35</f>
        <v>0</v>
      </c>
      <c r="K36" s="228" t="str">
        <f>D36&amp;-2</f>
        <v>7-2</v>
      </c>
      <c r="L36" s="198">
        <f t="shared" ref="L36:L75" si="77">L35</f>
        <v>0.2</v>
      </c>
      <c r="M36" s="49">
        <v>30</v>
      </c>
      <c r="N36" s="198">
        <f t="shared" ref="N36:P51" si="78">N35</f>
        <v>150</v>
      </c>
      <c r="O36" s="198">
        <f t="shared" si="78"/>
        <v>750</v>
      </c>
      <c r="P36" s="196">
        <f>P35</f>
        <v>2</v>
      </c>
      <c r="Q36" s="56"/>
      <c r="R36" s="38">
        <f t="shared" si="43"/>
        <v>6</v>
      </c>
      <c r="S36" s="38">
        <f t="shared" si="34"/>
        <v>8</v>
      </c>
      <c r="T36" s="39">
        <f t="shared" si="35"/>
        <v>0.39507743723572908</v>
      </c>
      <c r="U36" s="39">
        <f t="shared" si="35"/>
        <v>0.59082345962954208</v>
      </c>
      <c r="V36" s="39">
        <f t="shared" si="72"/>
        <v>0.195746022393813</v>
      </c>
      <c r="W36" s="39">
        <f t="shared" si="14"/>
        <v>0.22199739840022775</v>
      </c>
      <c r="X36" s="40">
        <f t="shared" si="6"/>
        <v>0.44399479680045556</v>
      </c>
      <c r="Y36" s="40" t="s">
        <v>3710</v>
      </c>
      <c r="Z36" s="182">
        <f t="shared" si="73"/>
        <v>53.279375616054672</v>
      </c>
      <c r="AA36" s="182">
        <f t="shared" ref="AA36:AA46" si="79">X36*20</f>
        <v>8.8798959360091114</v>
      </c>
    </row>
    <row r="37" spans="1:28" x14ac:dyDescent="0.25">
      <c r="A37" s="229">
        <f t="shared" ref="A37" si="80">A36+1</f>
        <v>3315</v>
      </c>
      <c r="B37" s="230">
        <f t="shared" ref="B37" si="81">B36+1</f>
        <v>27</v>
      </c>
      <c r="C37" s="229" t="str">
        <f t="shared" si="9"/>
        <v>24dX07-000_060_03</v>
      </c>
      <c r="D37" s="231">
        <f t="shared" si="39"/>
        <v>7</v>
      </c>
      <c r="E37" s="204">
        <f t="shared" si="68"/>
        <v>1.5190000000000001</v>
      </c>
      <c r="F37" s="198">
        <f t="shared" si="69"/>
        <v>21.700000000000003</v>
      </c>
      <c r="G37" s="198">
        <f t="shared" si="70"/>
        <v>17.360000000000003</v>
      </c>
      <c r="H37" s="198">
        <f t="shared" si="71"/>
        <v>10.850000000000001</v>
      </c>
      <c r="I37" s="198">
        <f t="shared" si="76"/>
        <v>8</v>
      </c>
      <c r="J37" s="199">
        <f t="shared" si="76"/>
        <v>0</v>
      </c>
      <c r="K37" s="228" t="str">
        <f>D37&amp;-3</f>
        <v>7-3</v>
      </c>
      <c r="L37" s="198">
        <f t="shared" si="77"/>
        <v>0.2</v>
      </c>
      <c r="M37" s="49">
        <v>60</v>
      </c>
      <c r="N37" s="198">
        <f t="shared" si="78"/>
        <v>150</v>
      </c>
      <c r="O37" s="198">
        <f t="shared" si="78"/>
        <v>750</v>
      </c>
      <c r="P37" s="196">
        <f t="shared" si="78"/>
        <v>2</v>
      </c>
      <c r="Q37" s="56"/>
      <c r="R37" s="38">
        <f t="shared" si="43"/>
        <v>6</v>
      </c>
      <c r="S37" s="38">
        <f t="shared" si="34"/>
        <v>8</v>
      </c>
      <c r="T37" s="39">
        <f t="shared" si="35"/>
        <v>0.39507743723572908</v>
      </c>
      <c r="U37" s="39">
        <f t="shared" si="35"/>
        <v>0.59082345962954208</v>
      </c>
      <c r="V37" s="39">
        <f t="shared" si="72"/>
        <v>0.195746022393813</v>
      </c>
      <c r="W37" s="39">
        <f t="shared" si="14"/>
        <v>0.22199739840022775</v>
      </c>
      <c r="X37" s="40">
        <f t="shared" si="6"/>
        <v>0.44399479680045556</v>
      </c>
      <c r="Y37" s="40" t="s">
        <v>3710</v>
      </c>
      <c r="Z37" s="182">
        <f t="shared" si="73"/>
        <v>53.279375616054672</v>
      </c>
      <c r="AA37" s="182">
        <f t="shared" si="79"/>
        <v>8.8798959360091114</v>
      </c>
    </row>
    <row r="38" spans="1:28" x14ac:dyDescent="0.25">
      <c r="A38" s="229">
        <f t="shared" ref="A38" si="82">A37+1</f>
        <v>3316</v>
      </c>
      <c r="B38" s="230">
        <f t="shared" ref="B38" si="83">B37+1</f>
        <v>28</v>
      </c>
      <c r="C38" s="229" t="str">
        <f t="shared" si="9"/>
        <v>24dX07-000_090_04</v>
      </c>
      <c r="D38" s="231">
        <f t="shared" si="39"/>
        <v>7</v>
      </c>
      <c r="E38" s="204">
        <f t="shared" si="68"/>
        <v>1.5190000000000001</v>
      </c>
      <c r="F38" s="198">
        <f t="shared" si="69"/>
        <v>21.700000000000003</v>
      </c>
      <c r="G38" s="198">
        <f t="shared" si="70"/>
        <v>17.360000000000003</v>
      </c>
      <c r="H38" s="198">
        <f t="shared" si="71"/>
        <v>10.850000000000001</v>
      </c>
      <c r="I38" s="198">
        <f t="shared" si="76"/>
        <v>8</v>
      </c>
      <c r="J38" s="199">
        <f t="shared" si="76"/>
        <v>0</v>
      </c>
      <c r="K38" s="228" t="str">
        <f>D38&amp;-4</f>
        <v>7-4</v>
      </c>
      <c r="L38" s="198">
        <f t="shared" si="77"/>
        <v>0.2</v>
      </c>
      <c r="M38" s="49">
        <v>90</v>
      </c>
      <c r="N38" s="198">
        <f t="shared" si="78"/>
        <v>150</v>
      </c>
      <c r="O38" s="198">
        <f t="shared" si="78"/>
        <v>750</v>
      </c>
      <c r="P38" s="196">
        <f t="shared" si="78"/>
        <v>2</v>
      </c>
      <c r="Q38" s="56"/>
      <c r="R38" s="38">
        <f t="shared" si="43"/>
        <v>6</v>
      </c>
      <c r="S38" s="38">
        <f t="shared" si="34"/>
        <v>8</v>
      </c>
      <c r="T38" s="39">
        <f t="shared" si="35"/>
        <v>0.39507743723572908</v>
      </c>
      <c r="U38" s="39">
        <f t="shared" si="35"/>
        <v>0.59082345962954208</v>
      </c>
      <c r="V38" s="39">
        <f t="shared" si="72"/>
        <v>0.195746022393813</v>
      </c>
      <c r="W38" s="39">
        <f t="shared" si="14"/>
        <v>0.22199739840022775</v>
      </c>
      <c r="X38" s="40">
        <f t="shared" si="6"/>
        <v>0.44399479680045556</v>
      </c>
      <c r="Y38" s="40" t="s">
        <v>3710</v>
      </c>
      <c r="Z38" s="182">
        <f t="shared" si="73"/>
        <v>53.279375616054672</v>
      </c>
      <c r="AA38" s="182">
        <f t="shared" si="79"/>
        <v>8.8798959360091114</v>
      </c>
    </row>
    <row r="39" spans="1:28" x14ac:dyDescent="0.25">
      <c r="A39" s="229">
        <f t="shared" ref="A39" si="84">A38+1</f>
        <v>3317</v>
      </c>
      <c r="B39" s="230">
        <f t="shared" ref="B39" si="85">B38+1</f>
        <v>29</v>
      </c>
      <c r="C39" s="229" t="str">
        <f t="shared" si="9"/>
        <v>24dX07-000_000_05</v>
      </c>
      <c r="D39" s="231">
        <f t="shared" si="39"/>
        <v>7</v>
      </c>
      <c r="E39" s="204">
        <f t="shared" si="68"/>
        <v>1.5190000000000001</v>
      </c>
      <c r="F39" s="198">
        <f t="shared" si="69"/>
        <v>21.700000000000003</v>
      </c>
      <c r="G39" s="198">
        <f t="shared" si="70"/>
        <v>17.360000000000003</v>
      </c>
      <c r="H39" s="198">
        <f t="shared" si="71"/>
        <v>10.850000000000001</v>
      </c>
      <c r="I39" s="198">
        <f t="shared" si="76"/>
        <v>8</v>
      </c>
      <c r="J39" s="199">
        <f t="shared" si="76"/>
        <v>0</v>
      </c>
      <c r="K39" s="228" t="str">
        <f>D39&amp;-5</f>
        <v>7-5</v>
      </c>
      <c r="L39" s="198">
        <f t="shared" si="77"/>
        <v>0.2</v>
      </c>
      <c r="M39" s="49">
        <v>0</v>
      </c>
      <c r="N39" s="198">
        <f t="shared" si="78"/>
        <v>150</v>
      </c>
      <c r="O39" s="198">
        <f t="shared" si="78"/>
        <v>750</v>
      </c>
      <c r="P39" s="196">
        <f t="shared" si="78"/>
        <v>2</v>
      </c>
      <c r="Q39" s="56"/>
      <c r="R39" s="38">
        <f t="shared" si="43"/>
        <v>6</v>
      </c>
      <c r="S39" s="38">
        <f t="shared" si="34"/>
        <v>8</v>
      </c>
      <c r="T39" s="39">
        <f t="shared" si="35"/>
        <v>0.39507743723572908</v>
      </c>
      <c r="U39" s="39">
        <f t="shared" si="35"/>
        <v>0.59082345962954208</v>
      </c>
      <c r="V39" s="39">
        <f t="shared" si="72"/>
        <v>0.195746022393813</v>
      </c>
      <c r="W39" s="39">
        <f t="shared" si="14"/>
        <v>0.22199739840022775</v>
      </c>
      <c r="X39" s="40">
        <f t="shared" si="6"/>
        <v>0.44399479680045556</v>
      </c>
      <c r="Y39" s="40" t="s">
        <v>3710</v>
      </c>
      <c r="Z39" s="182">
        <f t="shared" si="73"/>
        <v>53.279375616054672</v>
      </c>
      <c r="AA39" s="182">
        <f t="shared" si="79"/>
        <v>8.8798959360091114</v>
      </c>
    </row>
    <row r="40" spans="1:28" x14ac:dyDescent="0.25">
      <c r="A40" s="229">
        <f t="shared" ref="A40" si="86">A39+1</f>
        <v>3318</v>
      </c>
      <c r="B40" s="230">
        <f t="shared" ref="B40" si="87">B39+1</f>
        <v>30</v>
      </c>
      <c r="C40" s="229" t="str">
        <f t="shared" si="9"/>
        <v>24dX07-000_030_06</v>
      </c>
      <c r="D40" s="231">
        <f t="shared" si="39"/>
        <v>7</v>
      </c>
      <c r="E40" s="204">
        <f t="shared" si="68"/>
        <v>1.5190000000000001</v>
      </c>
      <c r="F40" s="198">
        <f t="shared" si="69"/>
        <v>21.700000000000003</v>
      </c>
      <c r="G40" s="198">
        <f t="shared" si="70"/>
        <v>17.360000000000003</v>
      </c>
      <c r="H40" s="198">
        <f t="shared" si="71"/>
        <v>10.850000000000001</v>
      </c>
      <c r="I40" s="198">
        <f t="shared" si="76"/>
        <v>8</v>
      </c>
      <c r="J40" s="199">
        <f t="shared" si="76"/>
        <v>0</v>
      </c>
      <c r="K40" s="228" t="str">
        <f>D40&amp;-6</f>
        <v>7-6</v>
      </c>
      <c r="L40" s="198">
        <f t="shared" si="77"/>
        <v>0.2</v>
      </c>
      <c r="M40" s="49">
        <v>30</v>
      </c>
      <c r="N40" s="198">
        <f t="shared" si="78"/>
        <v>150</v>
      </c>
      <c r="O40" s="198">
        <f t="shared" si="78"/>
        <v>750</v>
      </c>
      <c r="P40" s="196">
        <f t="shared" si="78"/>
        <v>2</v>
      </c>
      <c r="Q40" s="56"/>
      <c r="R40" s="38">
        <f t="shared" si="43"/>
        <v>6</v>
      </c>
      <c r="S40" s="38">
        <f t="shared" si="34"/>
        <v>8</v>
      </c>
      <c r="T40" s="39">
        <f t="shared" si="35"/>
        <v>0.39507743723572908</v>
      </c>
      <c r="U40" s="39">
        <f t="shared" si="35"/>
        <v>0.59082345962954208</v>
      </c>
      <c r="V40" s="39">
        <f t="shared" si="72"/>
        <v>0.195746022393813</v>
      </c>
      <c r="W40" s="39">
        <f t="shared" si="14"/>
        <v>0.22199739840022775</v>
      </c>
      <c r="X40" s="40">
        <f t="shared" si="6"/>
        <v>0.44399479680045556</v>
      </c>
      <c r="Y40" s="40" t="s">
        <v>3710</v>
      </c>
      <c r="Z40" s="182">
        <f t="shared" si="73"/>
        <v>53.279375616054672</v>
      </c>
      <c r="AA40" s="182">
        <f t="shared" si="79"/>
        <v>8.8798959360091114</v>
      </c>
    </row>
    <row r="41" spans="1:28" x14ac:dyDescent="0.25">
      <c r="A41" s="229">
        <f t="shared" ref="A41" si="88">A40+1</f>
        <v>3319</v>
      </c>
      <c r="B41" s="230">
        <f t="shared" ref="B41" si="89">B40+1</f>
        <v>31</v>
      </c>
      <c r="C41" s="229" t="str">
        <f t="shared" si="9"/>
        <v>24dX07-000_060_07</v>
      </c>
      <c r="D41" s="231">
        <f t="shared" si="39"/>
        <v>7</v>
      </c>
      <c r="E41" s="204">
        <f t="shared" si="68"/>
        <v>1.5190000000000001</v>
      </c>
      <c r="F41" s="198">
        <f t="shared" si="69"/>
        <v>21.700000000000003</v>
      </c>
      <c r="G41" s="198">
        <f t="shared" si="70"/>
        <v>17.360000000000003</v>
      </c>
      <c r="H41" s="198">
        <f t="shared" si="71"/>
        <v>10.850000000000001</v>
      </c>
      <c r="I41" s="198">
        <f t="shared" si="76"/>
        <v>8</v>
      </c>
      <c r="J41" s="199">
        <f t="shared" si="76"/>
        <v>0</v>
      </c>
      <c r="K41" s="228" t="str">
        <f>D41&amp;-7</f>
        <v>7-7</v>
      </c>
      <c r="L41" s="198">
        <f t="shared" si="77"/>
        <v>0.2</v>
      </c>
      <c r="M41" s="49">
        <v>60</v>
      </c>
      <c r="N41" s="198">
        <f t="shared" si="78"/>
        <v>150</v>
      </c>
      <c r="O41" s="198">
        <f t="shared" si="78"/>
        <v>750</v>
      </c>
      <c r="P41" s="196">
        <f t="shared" si="78"/>
        <v>2</v>
      </c>
      <c r="Q41" s="56"/>
      <c r="R41" s="38">
        <f t="shared" si="43"/>
        <v>6</v>
      </c>
      <c r="S41" s="38">
        <f t="shared" si="34"/>
        <v>8</v>
      </c>
      <c r="T41" s="39">
        <f t="shared" si="35"/>
        <v>0.39507743723572908</v>
      </c>
      <c r="U41" s="39">
        <f t="shared" si="35"/>
        <v>0.59082345962954208</v>
      </c>
      <c r="V41" s="39">
        <f t="shared" si="72"/>
        <v>0.195746022393813</v>
      </c>
      <c r="W41" s="39">
        <f t="shared" si="14"/>
        <v>0.22199739840022775</v>
      </c>
      <c r="X41" s="40">
        <f t="shared" si="6"/>
        <v>0.44399479680045556</v>
      </c>
      <c r="Y41" s="40" t="s">
        <v>3710</v>
      </c>
      <c r="Z41" s="182">
        <f t="shared" si="73"/>
        <v>53.279375616054672</v>
      </c>
      <c r="AA41" s="182">
        <f t="shared" si="79"/>
        <v>8.8798959360091114</v>
      </c>
    </row>
    <row r="42" spans="1:28" x14ac:dyDescent="0.25">
      <c r="A42" s="229">
        <f t="shared" ref="A42" si="90">A41+1</f>
        <v>3320</v>
      </c>
      <c r="B42" s="230">
        <f t="shared" ref="B42" si="91">B41+1</f>
        <v>32</v>
      </c>
      <c r="C42" s="229" t="str">
        <f t="shared" si="9"/>
        <v>24dX07-000_090_08</v>
      </c>
      <c r="D42" s="231">
        <f t="shared" si="39"/>
        <v>7</v>
      </c>
      <c r="E42" s="204">
        <f t="shared" si="68"/>
        <v>1.5190000000000001</v>
      </c>
      <c r="F42" s="198">
        <f t="shared" si="69"/>
        <v>21.700000000000003</v>
      </c>
      <c r="G42" s="198">
        <f t="shared" si="70"/>
        <v>17.360000000000003</v>
      </c>
      <c r="H42" s="198">
        <f t="shared" si="71"/>
        <v>10.850000000000001</v>
      </c>
      <c r="I42" s="198">
        <f t="shared" ref="I42:J57" si="92">I41</f>
        <v>8</v>
      </c>
      <c r="J42" s="199">
        <f t="shared" si="92"/>
        <v>0</v>
      </c>
      <c r="K42" s="228" t="str">
        <f>D42&amp;-8</f>
        <v>7-8</v>
      </c>
      <c r="L42" s="198">
        <f t="shared" si="77"/>
        <v>0.2</v>
      </c>
      <c r="M42" s="49">
        <v>90</v>
      </c>
      <c r="N42" s="198">
        <f t="shared" si="78"/>
        <v>150</v>
      </c>
      <c r="O42" s="198">
        <f t="shared" si="78"/>
        <v>750</v>
      </c>
      <c r="P42" s="196">
        <f t="shared" si="78"/>
        <v>2</v>
      </c>
      <c r="Q42" s="56"/>
      <c r="R42" s="38">
        <f t="shared" si="43"/>
        <v>6</v>
      </c>
      <c r="S42" s="38">
        <f t="shared" si="34"/>
        <v>8</v>
      </c>
      <c r="T42" s="39">
        <f t="shared" si="35"/>
        <v>0.39507743723572908</v>
      </c>
      <c r="U42" s="39">
        <f t="shared" si="35"/>
        <v>0.59082345962954208</v>
      </c>
      <c r="V42" s="39">
        <f t="shared" si="72"/>
        <v>0.195746022393813</v>
      </c>
      <c r="W42" s="39">
        <f t="shared" si="14"/>
        <v>0.22199739840022775</v>
      </c>
      <c r="X42" s="40">
        <f t="shared" si="6"/>
        <v>0.44399479680045556</v>
      </c>
      <c r="Y42" s="40" t="s">
        <v>3710</v>
      </c>
      <c r="Z42" s="182">
        <f t="shared" si="73"/>
        <v>53.279375616054672</v>
      </c>
      <c r="AA42" s="182">
        <f t="shared" si="79"/>
        <v>8.8798959360091114</v>
      </c>
    </row>
    <row r="43" spans="1:28" x14ac:dyDescent="0.25">
      <c r="A43" s="229">
        <f t="shared" ref="A43" si="93">A42+1</f>
        <v>3321</v>
      </c>
      <c r="B43" s="230">
        <f t="shared" ref="B43" si="94">B42+1</f>
        <v>33</v>
      </c>
      <c r="C43" s="229" t="str">
        <f t="shared" si="9"/>
        <v>24dX07-000_000_09</v>
      </c>
      <c r="D43" s="231">
        <f t="shared" si="39"/>
        <v>7</v>
      </c>
      <c r="E43" s="204">
        <f t="shared" si="68"/>
        <v>1.5190000000000001</v>
      </c>
      <c r="F43" s="198">
        <f t="shared" si="69"/>
        <v>21.700000000000003</v>
      </c>
      <c r="G43" s="198">
        <f t="shared" si="70"/>
        <v>17.360000000000003</v>
      </c>
      <c r="H43" s="198">
        <f t="shared" si="71"/>
        <v>10.850000000000001</v>
      </c>
      <c r="I43" s="198">
        <f t="shared" si="92"/>
        <v>8</v>
      </c>
      <c r="J43" s="199">
        <f t="shared" si="92"/>
        <v>0</v>
      </c>
      <c r="K43" s="228" t="str">
        <f>D43&amp;-9</f>
        <v>7-9</v>
      </c>
      <c r="L43" s="198">
        <f t="shared" si="77"/>
        <v>0.2</v>
      </c>
      <c r="M43" s="49">
        <v>0</v>
      </c>
      <c r="N43" s="198">
        <f t="shared" si="78"/>
        <v>150</v>
      </c>
      <c r="O43" s="198">
        <f t="shared" si="78"/>
        <v>750</v>
      </c>
      <c r="P43" s="196">
        <f t="shared" si="78"/>
        <v>2</v>
      </c>
      <c r="Q43" s="56"/>
      <c r="R43" s="38">
        <f t="shared" si="43"/>
        <v>6</v>
      </c>
      <c r="S43" s="38">
        <f t="shared" si="34"/>
        <v>8</v>
      </c>
      <c r="T43" s="39">
        <f t="shared" si="35"/>
        <v>0.39507743723572908</v>
      </c>
      <c r="U43" s="39">
        <f t="shared" si="35"/>
        <v>0.59082345962954208</v>
      </c>
      <c r="V43" s="39">
        <f t="shared" si="72"/>
        <v>0.195746022393813</v>
      </c>
      <c r="W43" s="39">
        <f t="shared" si="14"/>
        <v>0.22199739840022775</v>
      </c>
      <c r="X43" s="40">
        <f t="shared" ref="X43:X74" si="95">H_hp*W43/12</f>
        <v>0.44399479680045556</v>
      </c>
      <c r="Y43" s="40" t="s">
        <v>3710</v>
      </c>
      <c r="Z43" s="182">
        <f t="shared" si="73"/>
        <v>53.279375616054672</v>
      </c>
      <c r="AA43" s="182">
        <f t="shared" si="79"/>
        <v>8.8798959360091114</v>
      </c>
    </row>
    <row r="44" spans="1:28" x14ac:dyDescent="0.25">
      <c r="A44" s="229">
        <f t="shared" ref="A44" si="96">A43+1</f>
        <v>3322</v>
      </c>
      <c r="B44" s="230">
        <f t="shared" ref="B44" si="97">B43+1</f>
        <v>34</v>
      </c>
      <c r="C44" s="229" t="str">
        <f t="shared" si="9"/>
        <v>24dX07-000_030_10</v>
      </c>
      <c r="D44" s="231">
        <f t="shared" si="39"/>
        <v>7</v>
      </c>
      <c r="E44" s="204">
        <f t="shared" si="68"/>
        <v>1.5190000000000001</v>
      </c>
      <c r="F44" s="198">
        <f t="shared" si="69"/>
        <v>21.700000000000003</v>
      </c>
      <c r="G44" s="198">
        <f t="shared" si="70"/>
        <v>17.360000000000003</v>
      </c>
      <c r="H44" s="198">
        <f t="shared" si="71"/>
        <v>10.850000000000001</v>
      </c>
      <c r="I44" s="198">
        <f t="shared" si="92"/>
        <v>8</v>
      </c>
      <c r="J44" s="199">
        <f t="shared" si="92"/>
        <v>0</v>
      </c>
      <c r="K44" s="228" t="str">
        <f>D44&amp;-10</f>
        <v>7-10</v>
      </c>
      <c r="L44" s="198">
        <f t="shared" si="77"/>
        <v>0.2</v>
      </c>
      <c r="M44" s="49">
        <v>30</v>
      </c>
      <c r="N44" s="198">
        <f t="shared" si="78"/>
        <v>150</v>
      </c>
      <c r="O44" s="198">
        <f t="shared" si="78"/>
        <v>750</v>
      </c>
      <c r="P44" s="196">
        <f t="shared" si="78"/>
        <v>2</v>
      </c>
      <c r="Q44" s="56"/>
      <c r="R44" s="38">
        <f t="shared" si="43"/>
        <v>6</v>
      </c>
      <c r="S44" s="38">
        <f t="shared" si="34"/>
        <v>8</v>
      </c>
      <c r="T44" s="39">
        <f t="shared" si="35"/>
        <v>0.39507743723572908</v>
      </c>
      <c r="U44" s="39">
        <f t="shared" si="35"/>
        <v>0.59082345962954208</v>
      </c>
      <c r="V44" s="39">
        <f t="shared" si="72"/>
        <v>0.195746022393813</v>
      </c>
      <c r="W44" s="39">
        <f t="shared" si="14"/>
        <v>0.22199739840022775</v>
      </c>
      <c r="X44" s="40">
        <f t="shared" si="95"/>
        <v>0.44399479680045556</v>
      </c>
      <c r="Y44" s="40" t="s">
        <v>3710</v>
      </c>
      <c r="Z44" s="182">
        <f t="shared" si="73"/>
        <v>53.279375616054672</v>
      </c>
      <c r="AA44" s="182">
        <f t="shared" si="79"/>
        <v>8.8798959360091114</v>
      </c>
    </row>
    <row r="45" spans="1:28" x14ac:dyDescent="0.25">
      <c r="A45" s="229">
        <f t="shared" ref="A45" si="98">A44+1</f>
        <v>3323</v>
      </c>
      <c r="B45" s="230">
        <f t="shared" ref="B45" si="99">B44+1</f>
        <v>35</v>
      </c>
      <c r="C45" s="229" t="str">
        <f t="shared" si="9"/>
        <v>24dX07-000_060_11</v>
      </c>
      <c r="D45" s="231">
        <f t="shared" si="39"/>
        <v>7</v>
      </c>
      <c r="E45" s="204">
        <f t="shared" si="68"/>
        <v>1.5190000000000001</v>
      </c>
      <c r="F45" s="198">
        <f t="shared" si="69"/>
        <v>21.700000000000003</v>
      </c>
      <c r="G45" s="198">
        <f t="shared" si="70"/>
        <v>17.360000000000003</v>
      </c>
      <c r="H45" s="198">
        <f t="shared" si="71"/>
        <v>10.850000000000001</v>
      </c>
      <c r="I45" s="198">
        <f t="shared" si="92"/>
        <v>8</v>
      </c>
      <c r="J45" s="199">
        <f t="shared" si="92"/>
        <v>0</v>
      </c>
      <c r="K45" s="228" t="str">
        <f>D45&amp;-11</f>
        <v>7-11</v>
      </c>
      <c r="L45" s="198">
        <f t="shared" si="77"/>
        <v>0.2</v>
      </c>
      <c r="M45" s="49">
        <v>60</v>
      </c>
      <c r="N45" s="198">
        <f t="shared" si="78"/>
        <v>150</v>
      </c>
      <c r="O45" s="198">
        <f t="shared" si="78"/>
        <v>750</v>
      </c>
      <c r="P45" s="196">
        <f t="shared" si="78"/>
        <v>2</v>
      </c>
      <c r="Q45" s="56"/>
      <c r="R45" s="38">
        <f t="shared" si="43"/>
        <v>6</v>
      </c>
      <c r="S45" s="38">
        <f t="shared" si="34"/>
        <v>8</v>
      </c>
      <c r="T45" s="39">
        <f t="shared" si="35"/>
        <v>0.39507743723572908</v>
      </c>
      <c r="U45" s="39">
        <f t="shared" si="35"/>
        <v>0.59082345962954208</v>
      </c>
      <c r="V45" s="39">
        <f t="shared" si="72"/>
        <v>0.195746022393813</v>
      </c>
      <c r="W45" s="39">
        <f t="shared" si="14"/>
        <v>0.22199739840022775</v>
      </c>
      <c r="X45" s="40">
        <f t="shared" si="95"/>
        <v>0.44399479680045556</v>
      </c>
      <c r="Y45" s="40" t="s">
        <v>3710</v>
      </c>
      <c r="Z45" s="182">
        <f t="shared" si="73"/>
        <v>53.279375616054672</v>
      </c>
      <c r="AA45" s="182">
        <f t="shared" si="79"/>
        <v>8.8798959360091114</v>
      </c>
    </row>
    <row r="46" spans="1:28" x14ac:dyDescent="0.25">
      <c r="A46" s="229">
        <f t="shared" ref="A46" si="100">A45+1</f>
        <v>3324</v>
      </c>
      <c r="B46" s="230">
        <f t="shared" ref="B46" si="101">B45+1</f>
        <v>36</v>
      </c>
      <c r="C46" s="229" t="str">
        <f t="shared" si="9"/>
        <v>24dX07-000_090_12</v>
      </c>
      <c r="D46" s="231">
        <f t="shared" si="39"/>
        <v>7</v>
      </c>
      <c r="E46" s="204">
        <f t="shared" si="68"/>
        <v>1.5190000000000001</v>
      </c>
      <c r="F46" s="198">
        <f t="shared" si="69"/>
        <v>21.700000000000003</v>
      </c>
      <c r="G46" s="198">
        <f t="shared" si="70"/>
        <v>17.360000000000003</v>
      </c>
      <c r="H46" s="198">
        <f t="shared" si="71"/>
        <v>10.850000000000001</v>
      </c>
      <c r="I46" s="198">
        <f t="shared" si="92"/>
        <v>8</v>
      </c>
      <c r="J46" s="199">
        <f t="shared" si="92"/>
        <v>0</v>
      </c>
      <c r="K46" s="228" t="str">
        <f>D46&amp;-12</f>
        <v>7-12</v>
      </c>
      <c r="L46" s="198">
        <f t="shared" si="77"/>
        <v>0.2</v>
      </c>
      <c r="M46" s="49">
        <v>90</v>
      </c>
      <c r="N46" s="198">
        <f t="shared" si="78"/>
        <v>150</v>
      </c>
      <c r="O46" s="198">
        <f t="shared" si="78"/>
        <v>750</v>
      </c>
      <c r="P46" s="196">
        <f t="shared" si="78"/>
        <v>2</v>
      </c>
      <c r="Q46" s="56"/>
      <c r="R46" s="38">
        <f t="shared" si="43"/>
        <v>6</v>
      </c>
      <c r="S46" s="38">
        <f t="shared" si="34"/>
        <v>8</v>
      </c>
      <c r="T46" s="39">
        <f t="shared" si="35"/>
        <v>0.39507743723572908</v>
      </c>
      <c r="U46" s="39">
        <f t="shared" si="35"/>
        <v>0.59082345962954208</v>
      </c>
      <c r="V46" s="39">
        <f t="shared" si="72"/>
        <v>0.195746022393813</v>
      </c>
      <c r="W46" s="39">
        <f t="shared" si="14"/>
        <v>0.22199739840022775</v>
      </c>
      <c r="X46" s="40">
        <f t="shared" si="95"/>
        <v>0.44399479680045556</v>
      </c>
      <c r="Y46" s="40" t="s">
        <v>3710</v>
      </c>
      <c r="Z46" s="182">
        <f t="shared" si="73"/>
        <v>53.279375616054672</v>
      </c>
      <c r="AA46" s="182">
        <f t="shared" si="79"/>
        <v>8.8798959360091114</v>
      </c>
    </row>
    <row r="47" spans="1:28" x14ac:dyDescent="0.25">
      <c r="A47" s="229">
        <f t="shared" ref="A47" si="102">A46+1</f>
        <v>3325</v>
      </c>
      <c r="B47" s="230">
        <f t="shared" ref="B47" si="103">B46+1</f>
        <v>37</v>
      </c>
      <c r="C47" s="229" t="str">
        <f t="shared" si="9"/>
        <v>24dX09-000_000_01</v>
      </c>
      <c r="D47" s="231">
        <f>D46+v_step</f>
        <v>9</v>
      </c>
      <c r="E47" s="204">
        <f t="shared" si="68"/>
        <v>1.7290000000000001</v>
      </c>
      <c r="F47" s="198">
        <f t="shared" si="69"/>
        <v>19.211111111111112</v>
      </c>
      <c r="G47" s="198">
        <f t="shared" si="70"/>
        <v>15.36888888888889</v>
      </c>
      <c r="H47" s="198">
        <f t="shared" si="71"/>
        <v>9.6055555555555561</v>
      </c>
      <c r="I47" s="198">
        <f t="shared" si="92"/>
        <v>8</v>
      </c>
      <c r="J47" s="199">
        <f t="shared" si="92"/>
        <v>0</v>
      </c>
      <c r="K47" s="228" t="str">
        <f>D47&amp;-1</f>
        <v>9-1</v>
      </c>
      <c r="L47" s="198">
        <f t="shared" si="77"/>
        <v>0.2</v>
      </c>
      <c r="M47" s="49">
        <v>0</v>
      </c>
      <c r="N47" s="198">
        <f t="shared" si="78"/>
        <v>150</v>
      </c>
      <c r="O47" s="198">
        <f t="shared" si="78"/>
        <v>750</v>
      </c>
      <c r="P47" s="196">
        <f t="shared" si="78"/>
        <v>2</v>
      </c>
      <c r="Q47" s="56"/>
      <c r="R47" s="38">
        <f>S46</f>
        <v>8</v>
      </c>
      <c r="S47" s="38">
        <f t="shared" si="34"/>
        <v>10</v>
      </c>
      <c r="T47" s="39">
        <f t="shared" si="35"/>
        <v>0.59082345962954208</v>
      </c>
      <c r="U47" s="39">
        <f t="shared" si="35"/>
        <v>0.75247987857608445</v>
      </c>
      <c r="V47" s="39">
        <f t="shared" si="72"/>
        <v>0.16165641894654237</v>
      </c>
      <c r="W47" s="39">
        <f t="shared" si="14"/>
        <v>0.18333605966526137</v>
      </c>
      <c r="X47" s="40">
        <f t="shared" si="95"/>
        <v>0.36667211933052274</v>
      </c>
      <c r="Y47" s="40" t="s">
        <v>3710</v>
      </c>
      <c r="Z47" s="182">
        <f t="shared" si="73"/>
        <v>44.000654319662729</v>
      </c>
      <c r="AA47" s="182">
        <f>X47*20</f>
        <v>7.3334423866104546</v>
      </c>
      <c r="AB47" s="176"/>
    </row>
    <row r="48" spans="1:28" x14ac:dyDescent="0.25">
      <c r="A48" s="229">
        <f t="shared" ref="A48" si="104">A47+1</f>
        <v>3326</v>
      </c>
      <c r="B48" s="230">
        <f t="shared" ref="B48" si="105">B47+1</f>
        <v>38</v>
      </c>
      <c r="C48" s="229" t="str">
        <f t="shared" si="9"/>
        <v>24dX09-000_030_02</v>
      </c>
      <c r="D48" s="231">
        <f t="shared" si="39"/>
        <v>9</v>
      </c>
      <c r="E48" s="204">
        <f t="shared" si="68"/>
        <v>1.7290000000000001</v>
      </c>
      <c r="F48" s="198">
        <f t="shared" si="69"/>
        <v>19.211111111111112</v>
      </c>
      <c r="G48" s="198">
        <f t="shared" si="70"/>
        <v>15.36888888888889</v>
      </c>
      <c r="H48" s="198">
        <f t="shared" si="71"/>
        <v>9.6055555555555561</v>
      </c>
      <c r="I48" s="198">
        <f t="shared" si="92"/>
        <v>8</v>
      </c>
      <c r="J48" s="199">
        <f t="shared" si="92"/>
        <v>0</v>
      </c>
      <c r="K48" s="228" t="str">
        <f>D48&amp;-2</f>
        <v>9-2</v>
      </c>
      <c r="L48" s="198">
        <f t="shared" si="77"/>
        <v>0.2</v>
      </c>
      <c r="M48" s="49">
        <v>30</v>
      </c>
      <c r="N48" s="198">
        <f t="shared" si="78"/>
        <v>150</v>
      </c>
      <c r="O48" s="198">
        <f t="shared" si="78"/>
        <v>750</v>
      </c>
      <c r="P48" s="196">
        <f t="shared" si="78"/>
        <v>2</v>
      </c>
      <c r="Q48" s="56"/>
      <c r="R48" s="38">
        <f t="shared" si="43"/>
        <v>8</v>
      </c>
      <c r="S48" s="38">
        <f t="shared" si="34"/>
        <v>10</v>
      </c>
      <c r="T48" s="39">
        <f t="shared" si="35"/>
        <v>0.59082345962954208</v>
      </c>
      <c r="U48" s="39">
        <f t="shared" si="35"/>
        <v>0.75247987857608445</v>
      </c>
      <c r="V48" s="39">
        <f t="shared" si="72"/>
        <v>0.16165641894654237</v>
      </c>
      <c r="W48" s="39">
        <f t="shared" si="14"/>
        <v>0.18333605966526137</v>
      </c>
      <c r="X48" s="40">
        <f t="shared" si="95"/>
        <v>0.36667211933052274</v>
      </c>
      <c r="Y48" s="40" t="s">
        <v>3710</v>
      </c>
      <c r="Z48" s="182">
        <f t="shared" si="73"/>
        <v>44.000654319662729</v>
      </c>
      <c r="AA48" s="182">
        <f t="shared" ref="AA48:AA58" si="106">X48*20</f>
        <v>7.3334423866104546</v>
      </c>
    </row>
    <row r="49" spans="1:28" x14ac:dyDescent="0.25">
      <c r="A49" s="229">
        <f t="shared" ref="A49" si="107">A48+1</f>
        <v>3327</v>
      </c>
      <c r="B49" s="230">
        <f t="shared" ref="B49" si="108">B48+1</f>
        <v>39</v>
      </c>
      <c r="C49" s="229" t="str">
        <f t="shared" si="9"/>
        <v>24dX09-000_060_03</v>
      </c>
      <c r="D49" s="231">
        <f t="shared" si="39"/>
        <v>9</v>
      </c>
      <c r="E49" s="204">
        <f t="shared" si="68"/>
        <v>1.7290000000000001</v>
      </c>
      <c r="F49" s="198">
        <f t="shared" si="69"/>
        <v>19.211111111111112</v>
      </c>
      <c r="G49" s="198">
        <f t="shared" si="70"/>
        <v>15.36888888888889</v>
      </c>
      <c r="H49" s="198">
        <f t="shared" si="71"/>
        <v>9.6055555555555561</v>
      </c>
      <c r="I49" s="198">
        <f t="shared" si="92"/>
        <v>8</v>
      </c>
      <c r="J49" s="199">
        <f t="shared" si="92"/>
        <v>0</v>
      </c>
      <c r="K49" s="228" t="str">
        <f>D49&amp;-3</f>
        <v>9-3</v>
      </c>
      <c r="L49" s="198">
        <f t="shared" si="77"/>
        <v>0.2</v>
      </c>
      <c r="M49" s="49">
        <v>60</v>
      </c>
      <c r="N49" s="198">
        <f t="shared" si="78"/>
        <v>150</v>
      </c>
      <c r="O49" s="198">
        <f t="shared" si="78"/>
        <v>750</v>
      </c>
      <c r="P49" s="196">
        <f t="shared" si="78"/>
        <v>2</v>
      </c>
      <c r="Q49" s="56"/>
      <c r="R49" s="38">
        <f t="shared" si="43"/>
        <v>8</v>
      </c>
      <c r="S49" s="38">
        <f t="shared" si="34"/>
        <v>10</v>
      </c>
      <c r="T49" s="39">
        <f t="shared" si="35"/>
        <v>0.59082345962954208</v>
      </c>
      <c r="U49" s="39">
        <f t="shared" si="35"/>
        <v>0.75247987857608445</v>
      </c>
      <c r="V49" s="39">
        <f t="shared" si="72"/>
        <v>0.16165641894654237</v>
      </c>
      <c r="W49" s="39">
        <f t="shared" si="14"/>
        <v>0.18333605966526137</v>
      </c>
      <c r="X49" s="40">
        <f t="shared" si="95"/>
        <v>0.36667211933052274</v>
      </c>
      <c r="Y49" s="40" t="s">
        <v>3710</v>
      </c>
      <c r="Z49" s="182">
        <f t="shared" si="73"/>
        <v>44.000654319662729</v>
      </c>
      <c r="AA49" s="182">
        <f t="shared" si="106"/>
        <v>7.3334423866104546</v>
      </c>
    </row>
    <row r="50" spans="1:28" x14ac:dyDescent="0.25">
      <c r="A50" s="229">
        <f t="shared" ref="A50" si="109">A49+1</f>
        <v>3328</v>
      </c>
      <c r="B50" s="230">
        <f t="shared" ref="B50" si="110">B49+1</f>
        <v>40</v>
      </c>
      <c r="C50" s="229" t="str">
        <f t="shared" si="9"/>
        <v>24dX09-000_090_04</v>
      </c>
      <c r="D50" s="231">
        <f t="shared" si="39"/>
        <v>9</v>
      </c>
      <c r="E50" s="204">
        <f t="shared" si="68"/>
        <v>1.7290000000000001</v>
      </c>
      <c r="F50" s="198">
        <f t="shared" si="69"/>
        <v>19.211111111111112</v>
      </c>
      <c r="G50" s="198">
        <f t="shared" si="70"/>
        <v>15.36888888888889</v>
      </c>
      <c r="H50" s="198">
        <f t="shared" si="71"/>
        <v>9.6055555555555561</v>
      </c>
      <c r="I50" s="198">
        <f t="shared" si="92"/>
        <v>8</v>
      </c>
      <c r="J50" s="199">
        <f t="shared" si="92"/>
        <v>0</v>
      </c>
      <c r="K50" s="228" t="str">
        <f>D50&amp;-4</f>
        <v>9-4</v>
      </c>
      <c r="L50" s="198">
        <f t="shared" si="77"/>
        <v>0.2</v>
      </c>
      <c r="M50" s="49">
        <v>90</v>
      </c>
      <c r="N50" s="198">
        <f t="shared" si="78"/>
        <v>150</v>
      </c>
      <c r="O50" s="198">
        <f t="shared" si="78"/>
        <v>750</v>
      </c>
      <c r="P50" s="196">
        <f t="shared" si="78"/>
        <v>2</v>
      </c>
      <c r="Q50" s="56"/>
      <c r="R50" s="38">
        <f t="shared" si="43"/>
        <v>8</v>
      </c>
      <c r="S50" s="38">
        <f t="shared" si="34"/>
        <v>10</v>
      </c>
      <c r="T50" s="39">
        <f t="shared" si="35"/>
        <v>0.59082345962954208</v>
      </c>
      <c r="U50" s="39">
        <f t="shared" si="35"/>
        <v>0.75247987857608445</v>
      </c>
      <c r="V50" s="39">
        <f t="shared" si="72"/>
        <v>0.16165641894654237</v>
      </c>
      <c r="W50" s="39">
        <f t="shared" si="14"/>
        <v>0.18333605966526137</v>
      </c>
      <c r="X50" s="40">
        <f t="shared" si="95"/>
        <v>0.36667211933052274</v>
      </c>
      <c r="Y50" s="40" t="s">
        <v>3710</v>
      </c>
      <c r="Z50" s="182">
        <f t="shared" si="73"/>
        <v>44.000654319662729</v>
      </c>
      <c r="AA50" s="182">
        <f t="shared" si="106"/>
        <v>7.3334423866104546</v>
      </c>
    </row>
    <row r="51" spans="1:28" x14ac:dyDescent="0.25">
      <c r="A51" s="229">
        <f t="shared" ref="A51" si="111">A50+1</f>
        <v>3329</v>
      </c>
      <c r="B51" s="230">
        <f t="shared" ref="B51" si="112">B50+1</f>
        <v>41</v>
      </c>
      <c r="C51" s="229" t="str">
        <f t="shared" si="9"/>
        <v>24dX09-000_000_05</v>
      </c>
      <c r="D51" s="231">
        <f t="shared" si="39"/>
        <v>9</v>
      </c>
      <c r="E51" s="204">
        <f t="shared" ref="E51:E82" si="113">I_ref*(0.75*D51+5.6)</f>
        <v>1.7290000000000001</v>
      </c>
      <c r="F51" s="198">
        <f t="shared" si="69"/>
        <v>19.211111111111112</v>
      </c>
      <c r="G51" s="198">
        <f t="shared" ref="G51:G82" si="114">m_ty*F51</f>
        <v>15.36888888888889</v>
      </c>
      <c r="H51" s="198">
        <f t="shared" ref="H51:H82" si="115">m_tz*F51</f>
        <v>9.6055555555555561</v>
      </c>
      <c r="I51" s="198">
        <f t="shared" si="92"/>
        <v>8</v>
      </c>
      <c r="J51" s="199">
        <f t="shared" si="92"/>
        <v>0</v>
      </c>
      <c r="K51" s="228" t="str">
        <f>D51&amp;-5</f>
        <v>9-5</v>
      </c>
      <c r="L51" s="198">
        <f t="shared" si="77"/>
        <v>0.2</v>
      </c>
      <c r="M51" s="49">
        <v>0</v>
      </c>
      <c r="N51" s="198">
        <f t="shared" si="78"/>
        <v>150</v>
      </c>
      <c r="O51" s="198">
        <f t="shared" si="78"/>
        <v>750</v>
      </c>
      <c r="P51" s="196">
        <f t="shared" si="78"/>
        <v>2</v>
      </c>
      <c r="Q51" s="56"/>
      <c r="R51" s="38">
        <f t="shared" si="43"/>
        <v>8</v>
      </c>
      <c r="S51" s="38">
        <f t="shared" si="34"/>
        <v>10</v>
      </c>
      <c r="T51" s="39">
        <f t="shared" ref="T51:U82" si="116">IF(wpd="Rayleigh",1-EXP(-PI()*((R51/2/v_ave)^2)),IF(wpd="Weibull",1-EXP(-((R51/weibull_A)^weibull_K))))</f>
        <v>0.59082345962954208</v>
      </c>
      <c r="U51" s="39">
        <f t="shared" si="116"/>
        <v>0.75247987857608445</v>
      </c>
      <c r="V51" s="39">
        <f t="shared" si="72"/>
        <v>0.16165641894654237</v>
      </c>
      <c r="W51" s="39">
        <f t="shared" si="14"/>
        <v>0.18333605966526137</v>
      </c>
      <c r="X51" s="40">
        <f t="shared" si="95"/>
        <v>0.36667211933052274</v>
      </c>
      <c r="Y51" s="40" t="s">
        <v>3710</v>
      </c>
      <c r="Z51" s="182">
        <f t="shared" si="73"/>
        <v>44.000654319662729</v>
      </c>
      <c r="AA51" s="182">
        <f t="shared" si="106"/>
        <v>7.3334423866104546</v>
      </c>
    </row>
    <row r="52" spans="1:28" x14ac:dyDescent="0.25">
      <c r="A52" s="229">
        <f t="shared" ref="A52" si="117">A51+1</f>
        <v>3330</v>
      </c>
      <c r="B52" s="230">
        <f t="shared" ref="B52" si="118">B51+1</f>
        <v>42</v>
      </c>
      <c r="C52" s="229" t="str">
        <f t="shared" si="9"/>
        <v>24dX09-000_030_06</v>
      </c>
      <c r="D52" s="231">
        <f t="shared" si="39"/>
        <v>9</v>
      </c>
      <c r="E52" s="204">
        <f t="shared" si="113"/>
        <v>1.7290000000000001</v>
      </c>
      <c r="F52" s="198">
        <f t="shared" si="69"/>
        <v>19.211111111111112</v>
      </c>
      <c r="G52" s="198">
        <f t="shared" si="114"/>
        <v>15.36888888888889</v>
      </c>
      <c r="H52" s="198">
        <f t="shared" si="115"/>
        <v>9.6055555555555561</v>
      </c>
      <c r="I52" s="198">
        <f t="shared" si="92"/>
        <v>8</v>
      </c>
      <c r="J52" s="199">
        <f t="shared" si="92"/>
        <v>0</v>
      </c>
      <c r="K52" s="228" t="str">
        <f>D52&amp;-6</f>
        <v>9-6</v>
      </c>
      <c r="L52" s="198">
        <f t="shared" si="77"/>
        <v>0.2</v>
      </c>
      <c r="M52" s="49">
        <v>30</v>
      </c>
      <c r="N52" s="198">
        <f t="shared" ref="N52:P67" si="119">N51</f>
        <v>150</v>
      </c>
      <c r="O52" s="198">
        <f t="shared" si="119"/>
        <v>750</v>
      </c>
      <c r="P52" s="196">
        <f t="shared" si="119"/>
        <v>2</v>
      </c>
      <c r="Q52" s="56"/>
      <c r="R52" s="38">
        <f t="shared" ref="R52:R58" si="120">R51</f>
        <v>8</v>
      </c>
      <c r="S52" s="38">
        <f t="shared" si="34"/>
        <v>10</v>
      </c>
      <c r="T52" s="39">
        <f t="shared" si="116"/>
        <v>0.59082345962954208</v>
      </c>
      <c r="U52" s="39">
        <f t="shared" si="116"/>
        <v>0.75247987857608445</v>
      </c>
      <c r="V52" s="39">
        <f t="shared" si="72"/>
        <v>0.16165641894654237</v>
      </c>
      <c r="W52" s="39">
        <f t="shared" si="14"/>
        <v>0.18333605966526137</v>
      </c>
      <c r="X52" s="40">
        <f t="shared" si="95"/>
        <v>0.36667211933052274</v>
      </c>
      <c r="Y52" s="40" t="s">
        <v>3710</v>
      </c>
      <c r="Z52" s="182">
        <f t="shared" si="73"/>
        <v>44.000654319662729</v>
      </c>
      <c r="AA52" s="182">
        <f t="shared" si="106"/>
        <v>7.3334423866104546</v>
      </c>
    </row>
    <row r="53" spans="1:28" x14ac:dyDescent="0.25">
      <c r="A53" s="229">
        <f t="shared" ref="A53" si="121">A52+1</f>
        <v>3331</v>
      </c>
      <c r="B53" s="230">
        <f t="shared" ref="B53" si="122">B52+1</f>
        <v>43</v>
      </c>
      <c r="C53" s="229" t="str">
        <f t="shared" si="9"/>
        <v>24dX09-000_060_07</v>
      </c>
      <c r="D53" s="231">
        <f t="shared" si="39"/>
        <v>9</v>
      </c>
      <c r="E53" s="204">
        <f t="shared" si="113"/>
        <v>1.7290000000000001</v>
      </c>
      <c r="F53" s="198">
        <f t="shared" si="69"/>
        <v>19.211111111111112</v>
      </c>
      <c r="G53" s="198">
        <f t="shared" si="114"/>
        <v>15.36888888888889</v>
      </c>
      <c r="H53" s="198">
        <f t="shared" si="115"/>
        <v>9.6055555555555561</v>
      </c>
      <c r="I53" s="198">
        <f t="shared" si="92"/>
        <v>8</v>
      </c>
      <c r="J53" s="199">
        <f t="shared" si="92"/>
        <v>0</v>
      </c>
      <c r="K53" s="228" t="str">
        <f>D53&amp;-7</f>
        <v>9-7</v>
      </c>
      <c r="L53" s="198">
        <f t="shared" si="77"/>
        <v>0.2</v>
      </c>
      <c r="M53" s="49">
        <v>60</v>
      </c>
      <c r="N53" s="198">
        <f t="shared" si="119"/>
        <v>150</v>
      </c>
      <c r="O53" s="198">
        <f t="shared" si="119"/>
        <v>750</v>
      </c>
      <c r="P53" s="196">
        <f t="shared" si="119"/>
        <v>2</v>
      </c>
      <c r="Q53" s="56"/>
      <c r="R53" s="38">
        <f t="shared" si="120"/>
        <v>8</v>
      </c>
      <c r="S53" s="38">
        <f t="shared" si="34"/>
        <v>10</v>
      </c>
      <c r="T53" s="39">
        <f t="shared" si="116"/>
        <v>0.59082345962954208</v>
      </c>
      <c r="U53" s="39">
        <f t="shared" si="116"/>
        <v>0.75247987857608445</v>
      </c>
      <c r="V53" s="39">
        <f t="shared" si="72"/>
        <v>0.16165641894654237</v>
      </c>
      <c r="W53" s="39">
        <f t="shared" si="14"/>
        <v>0.18333605966526137</v>
      </c>
      <c r="X53" s="40">
        <f t="shared" si="95"/>
        <v>0.36667211933052274</v>
      </c>
      <c r="Y53" s="40" t="s">
        <v>3710</v>
      </c>
      <c r="Z53" s="182">
        <f t="shared" si="73"/>
        <v>44.000654319662729</v>
      </c>
      <c r="AA53" s="182">
        <f t="shared" si="106"/>
        <v>7.3334423866104546</v>
      </c>
    </row>
    <row r="54" spans="1:28" x14ac:dyDescent="0.25">
      <c r="A54" s="229">
        <f t="shared" ref="A54" si="123">A53+1</f>
        <v>3332</v>
      </c>
      <c r="B54" s="230">
        <f t="shared" ref="B54" si="124">B53+1</f>
        <v>44</v>
      </c>
      <c r="C54" s="229" t="str">
        <f t="shared" si="9"/>
        <v>24dX09-000_090_08</v>
      </c>
      <c r="D54" s="231">
        <f t="shared" si="39"/>
        <v>9</v>
      </c>
      <c r="E54" s="204">
        <f t="shared" si="113"/>
        <v>1.7290000000000001</v>
      </c>
      <c r="F54" s="198">
        <f t="shared" si="69"/>
        <v>19.211111111111112</v>
      </c>
      <c r="G54" s="198">
        <f t="shared" si="114"/>
        <v>15.36888888888889</v>
      </c>
      <c r="H54" s="198">
        <f t="shared" si="115"/>
        <v>9.6055555555555561</v>
      </c>
      <c r="I54" s="198">
        <f t="shared" si="92"/>
        <v>8</v>
      </c>
      <c r="J54" s="199">
        <f t="shared" si="92"/>
        <v>0</v>
      </c>
      <c r="K54" s="228" t="str">
        <f>D54&amp;-8</f>
        <v>9-8</v>
      </c>
      <c r="L54" s="198">
        <f t="shared" si="77"/>
        <v>0.2</v>
      </c>
      <c r="M54" s="49">
        <v>90</v>
      </c>
      <c r="N54" s="198">
        <f t="shared" si="119"/>
        <v>150</v>
      </c>
      <c r="O54" s="198">
        <f t="shared" si="119"/>
        <v>750</v>
      </c>
      <c r="P54" s="196">
        <f t="shared" si="119"/>
        <v>2</v>
      </c>
      <c r="Q54" s="56"/>
      <c r="R54" s="38">
        <f t="shared" si="120"/>
        <v>8</v>
      </c>
      <c r="S54" s="38">
        <f t="shared" si="34"/>
        <v>10</v>
      </c>
      <c r="T54" s="39">
        <f t="shared" si="116"/>
        <v>0.59082345962954208</v>
      </c>
      <c r="U54" s="39">
        <f t="shared" si="116"/>
        <v>0.75247987857608445</v>
      </c>
      <c r="V54" s="39">
        <f t="shared" si="72"/>
        <v>0.16165641894654237</v>
      </c>
      <c r="W54" s="39">
        <f t="shared" si="14"/>
        <v>0.18333605966526137</v>
      </c>
      <c r="X54" s="40">
        <f t="shared" si="95"/>
        <v>0.36667211933052274</v>
      </c>
      <c r="Y54" s="40" t="s">
        <v>3710</v>
      </c>
      <c r="Z54" s="182">
        <f t="shared" si="73"/>
        <v>44.000654319662729</v>
      </c>
      <c r="AA54" s="182">
        <f t="shared" si="106"/>
        <v>7.3334423866104546</v>
      </c>
    </row>
    <row r="55" spans="1:28" x14ac:dyDescent="0.25">
      <c r="A55" s="229">
        <f t="shared" ref="A55" si="125">A54+1</f>
        <v>3333</v>
      </c>
      <c r="B55" s="230">
        <f t="shared" ref="B55" si="126">B54+1</f>
        <v>45</v>
      </c>
      <c r="C55" s="229" t="str">
        <f t="shared" si="9"/>
        <v>24dX09-000_000_09</v>
      </c>
      <c r="D55" s="231">
        <f t="shared" si="39"/>
        <v>9</v>
      </c>
      <c r="E55" s="204">
        <f t="shared" si="113"/>
        <v>1.7290000000000001</v>
      </c>
      <c r="F55" s="198">
        <f t="shared" si="69"/>
        <v>19.211111111111112</v>
      </c>
      <c r="G55" s="198">
        <f t="shared" si="114"/>
        <v>15.36888888888889</v>
      </c>
      <c r="H55" s="198">
        <f t="shared" si="115"/>
        <v>9.6055555555555561</v>
      </c>
      <c r="I55" s="198">
        <f t="shared" si="92"/>
        <v>8</v>
      </c>
      <c r="J55" s="199">
        <f t="shared" si="92"/>
        <v>0</v>
      </c>
      <c r="K55" s="228" t="str">
        <f>D55&amp;-9</f>
        <v>9-9</v>
      </c>
      <c r="L55" s="198">
        <f t="shared" si="77"/>
        <v>0.2</v>
      </c>
      <c r="M55" s="49">
        <v>0</v>
      </c>
      <c r="N55" s="198">
        <f t="shared" si="119"/>
        <v>150</v>
      </c>
      <c r="O55" s="198">
        <f t="shared" si="119"/>
        <v>750</v>
      </c>
      <c r="P55" s="196">
        <f t="shared" si="119"/>
        <v>2</v>
      </c>
      <c r="Q55" s="56"/>
      <c r="R55" s="38">
        <f t="shared" si="120"/>
        <v>8</v>
      </c>
      <c r="S55" s="38">
        <f t="shared" ref="S55:S86" si="127">R55+v_step</f>
        <v>10</v>
      </c>
      <c r="T55" s="39">
        <f t="shared" si="116"/>
        <v>0.59082345962954208</v>
      </c>
      <c r="U55" s="39">
        <f t="shared" si="116"/>
        <v>0.75247987857608445</v>
      </c>
      <c r="V55" s="39">
        <f t="shared" si="72"/>
        <v>0.16165641894654237</v>
      </c>
      <c r="W55" s="39">
        <f t="shared" si="14"/>
        <v>0.18333605966526137</v>
      </c>
      <c r="X55" s="40">
        <f t="shared" si="95"/>
        <v>0.36667211933052274</v>
      </c>
      <c r="Y55" s="40" t="s">
        <v>3710</v>
      </c>
      <c r="Z55" s="182">
        <f t="shared" si="73"/>
        <v>44.000654319662729</v>
      </c>
      <c r="AA55" s="182">
        <f t="shared" si="106"/>
        <v>7.3334423866104546</v>
      </c>
    </row>
    <row r="56" spans="1:28" x14ac:dyDescent="0.25">
      <c r="A56" s="229">
        <f t="shared" ref="A56" si="128">A55+1</f>
        <v>3334</v>
      </c>
      <c r="B56" s="230">
        <f t="shared" ref="B56" si="129">B55+1</f>
        <v>46</v>
      </c>
      <c r="C56" s="229" t="str">
        <f t="shared" si="9"/>
        <v>24dX09-000_030_10</v>
      </c>
      <c r="D56" s="231">
        <f t="shared" si="39"/>
        <v>9</v>
      </c>
      <c r="E56" s="204">
        <f t="shared" si="113"/>
        <v>1.7290000000000001</v>
      </c>
      <c r="F56" s="198">
        <f t="shared" si="69"/>
        <v>19.211111111111112</v>
      </c>
      <c r="G56" s="198">
        <f t="shared" si="114"/>
        <v>15.36888888888889</v>
      </c>
      <c r="H56" s="198">
        <f t="shared" si="115"/>
        <v>9.6055555555555561</v>
      </c>
      <c r="I56" s="198">
        <f t="shared" si="92"/>
        <v>8</v>
      </c>
      <c r="J56" s="199">
        <f t="shared" si="92"/>
        <v>0</v>
      </c>
      <c r="K56" s="228" t="str">
        <f>D56&amp;-10</f>
        <v>9-10</v>
      </c>
      <c r="L56" s="198">
        <f t="shared" si="77"/>
        <v>0.2</v>
      </c>
      <c r="M56" s="49">
        <v>30</v>
      </c>
      <c r="N56" s="198">
        <f t="shared" si="119"/>
        <v>150</v>
      </c>
      <c r="O56" s="198">
        <f t="shared" si="119"/>
        <v>750</v>
      </c>
      <c r="P56" s="196">
        <f t="shared" si="119"/>
        <v>2</v>
      </c>
      <c r="Q56" s="56"/>
      <c r="R56" s="38">
        <f t="shared" si="120"/>
        <v>8</v>
      </c>
      <c r="S56" s="38">
        <f t="shared" si="127"/>
        <v>10</v>
      </c>
      <c r="T56" s="39">
        <f t="shared" si="116"/>
        <v>0.59082345962954208</v>
      </c>
      <c r="U56" s="39">
        <f t="shared" si="116"/>
        <v>0.75247987857608445</v>
      </c>
      <c r="V56" s="39">
        <f t="shared" si="72"/>
        <v>0.16165641894654237</v>
      </c>
      <c r="W56" s="39">
        <f t="shared" si="14"/>
        <v>0.18333605966526137</v>
      </c>
      <c r="X56" s="40">
        <f t="shared" si="95"/>
        <v>0.36667211933052274</v>
      </c>
      <c r="Y56" s="40" t="s">
        <v>3710</v>
      </c>
      <c r="Z56" s="182">
        <f t="shared" si="73"/>
        <v>44.000654319662729</v>
      </c>
      <c r="AA56" s="182">
        <f t="shared" si="106"/>
        <v>7.3334423866104546</v>
      </c>
    </row>
    <row r="57" spans="1:28" x14ac:dyDescent="0.25">
      <c r="A57" s="229">
        <f t="shared" ref="A57" si="130">A56+1</f>
        <v>3335</v>
      </c>
      <c r="B57" s="230">
        <f t="shared" ref="B57" si="131">B56+1</f>
        <v>47</v>
      </c>
      <c r="C57" s="229" t="str">
        <f t="shared" si="9"/>
        <v>24dX09-000_060_11</v>
      </c>
      <c r="D57" s="231">
        <f t="shared" si="39"/>
        <v>9</v>
      </c>
      <c r="E57" s="204">
        <f t="shared" si="113"/>
        <v>1.7290000000000001</v>
      </c>
      <c r="F57" s="198">
        <f t="shared" si="69"/>
        <v>19.211111111111112</v>
      </c>
      <c r="G57" s="198">
        <f t="shared" si="114"/>
        <v>15.36888888888889</v>
      </c>
      <c r="H57" s="198">
        <f t="shared" si="115"/>
        <v>9.6055555555555561</v>
      </c>
      <c r="I57" s="198">
        <f t="shared" si="92"/>
        <v>8</v>
      </c>
      <c r="J57" s="199">
        <f t="shared" si="92"/>
        <v>0</v>
      </c>
      <c r="K57" s="228" t="str">
        <f>D57&amp;-11</f>
        <v>9-11</v>
      </c>
      <c r="L57" s="198">
        <f t="shared" si="77"/>
        <v>0.2</v>
      </c>
      <c r="M57" s="49">
        <v>60</v>
      </c>
      <c r="N57" s="198">
        <f t="shared" si="119"/>
        <v>150</v>
      </c>
      <c r="O57" s="198">
        <f t="shared" si="119"/>
        <v>750</v>
      </c>
      <c r="P57" s="196">
        <f t="shared" si="119"/>
        <v>2</v>
      </c>
      <c r="Q57" s="56"/>
      <c r="R57" s="38">
        <f t="shared" si="120"/>
        <v>8</v>
      </c>
      <c r="S57" s="38">
        <f t="shared" si="127"/>
        <v>10</v>
      </c>
      <c r="T57" s="39">
        <f t="shared" si="116"/>
        <v>0.59082345962954208</v>
      </c>
      <c r="U57" s="39">
        <f t="shared" si="116"/>
        <v>0.75247987857608445</v>
      </c>
      <c r="V57" s="39">
        <f t="shared" si="72"/>
        <v>0.16165641894654237</v>
      </c>
      <c r="W57" s="39">
        <f t="shared" si="14"/>
        <v>0.18333605966526137</v>
      </c>
      <c r="X57" s="40">
        <f t="shared" si="95"/>
        <v>0.36667211933052274</v>
      </c>
      <c r="Y57" s="40" t="s">
        <v>3710</v>
      </c>
      <c r="Z57" s="182">
        <f t="shared" si="73"/>
        <v>44.000654319662729</v>
      </c>
      <c r="AA57" s="182">
        <f t="shared" si="106"/>
        <v>7.3334423866104546</v>
      </c>
    </row>
    <row r="58" spans="1:28" x14ac:dyDescent="0.25">
      <c r="A58" s="229">
        <f t="shared" ref="A58" si="132">A57+1</f>
        <v>3336</v>
      </c>
      <c r="B58" s="230">
        <f t="shared" ref="B58" si="133">B57+1</f>
        <v>48</v>
      </c>
      <c r="C58" s="229" t="str">
        <f t="shared" si="9"/>
        <v>24dX09-000_090_12</v>
      </c>
      <c r="D58" s="231">
        <f t="shared" si="39"/>
        <v>9</v>
      </c>
      <c r="E58" s="204">
        <f t="shared" si="113"/>
        <v>1.7290000000000001</v>
      </c>
      <c r="F58" s="198">
        <f t="shared" si="69"/>
        <v>19.211111111111112</v>
      </c>
      <c r="G58" s="198">
        <f t="shared" si="114"/>
        <v>15.36888888888889</v>
      </c>
      <c r="H58" s="198">
        <f t="shared" si="115"/>
        <v>9.6055555555555561</v>
      </c>
      <c r="I58" s="198">
        <f t="shared" ref="I58:J73" si="134">I57</f>
        <v>8</v>
      </c>
      <c r="J58" s="199">
        <f t="shared" si="134"/>
        <v>0</v>
      </c>
      <c r="K58" s="228" t="str">
        <f>D58&amp;-12</f>
        <v>9-12</v>
      </c>
      <c r="L58" s="198">
        <f t="shared" si="77"/>
        <v>0.2</v>
      </c>
      <c r="M58" s="49">
        <v>90</v>
      </c>
      <c r="N58" s="198">
        <f t="shared" si="119"/>
        <v>150</v>
      </c>
      <c r="O58" s="198">
        <f t="shared" si="119"/>
        <v>750</v>
      </c>
      <c r="P58" s="196">
        <f t="shared" si="119"/>
        <v>2</v>
      </c>
      <c r="Q58" s="56"/>
      <c r="R58" s="38">
        <f t="shared" si="120"/>
        <v>8</v>
      </c>
      <c r="S58" s="38">
        <f t="shared" si="127"/>
        <v>10</v>
      </c>
      <c r="T58" s="39">
        <f t="shared" si="116"/>
        <v>0.59082345962954208</v>
      </c>
      <c r="U58" s="39">
        <f t="shared" si="116"/>
        <v>0.75247987857608445</v>
      </c>
      <c r="V58" s="39">
        <f t="shared" si="72"/>
        <v>0.16165641894654237</v>
      </c>
      <c r="W58" s="39">
        <f t="shared" si="14"/>
        <v>0.18333605966526137</v>
      </c>
      <c r="X58" s="40">
        <f t="shared" si="95"/>
        <v>0.36667211933052274</v>
      </c>
      <c r="Y58" s="40" t="s">
        <v>3710</v>
      </c>
      <c r="Z58" s="182">
        <f t="shared" si="73"/>
        <v>44.000654319662729</v>
      </c>
      <c r="AA58" s="182">
        <f t="shared" si="106"/>
        <v>7.3334423866104546</v>
      </c>
    </row>
    <row r="59" spans="1:28" x14ac:dyDescent="0.25">
      <c r="A59" s="229">
        <f t="shared" ref="A59" si="135">A58+1</f>
        <v>3337</v>
      </c>
      <c r="B59" s="230">
        <f t="shared" ref="B59" si="136">B58+1</f>
        <v>49</v>
      </c>
      <c r="C59" s="229" t="str">
        <f t="shared" si="9"/>
        <v>24dX11-000_000_01</v>
      </c>
      <c r="D59" s="231">
        <f>D58+v_step</f>
        <v>11</v>
      </c>
      <c r="E59" s="204">
        <f t="shared" si="113"/>
        <v>1.9390000000000001</v>
      </c>
      <c r="F59" s="198">
        <f t="shared" si="69"/>
        <v>17.627272727272729</v>
      </c>
      <c r="G59" s="198">
        <f t="shared" si="114"/>
        <v>14.101818181818183</v>
      </c>
      <c r="H59" s="198">
        <f t="shared" si="115"/>
        <v>8.8136363636363644</v>
      </c>
      <c r="I59" s="198">
        <f t="shared" si="134"/>
        <v>8</v>
      </c>
      <c r="J59" s="199">
        <f t="shared" si="134"/>
        <v>0</v>
      </c>
      <c r="K59" s="228" t="str">
        <f>D59&amp;-1</f>
        <v>11-1</v>
      </c>
      <c r="L59" s="198">
        <f t="shared" si="77"/>
        <v>0.2</v>
      </c>
      <c r="M59" s="49">
        <v>0</v>
      </c>
      <c r="N59" s="198">
        <f t="shared" si="119"/>
        <v>150</v>
      </c>
      <c r="O59" s="198">
        <f t="shared" si="119"/>
        <v>750</v>
      </c>
      <c r="P59" s="196">
        <f t="shared" si="119"/>
        <v>2</v>
      </c>
      <c r="Q59" s="56"/>
      <c r="R59" s="38">
        <f>S58</f>
        <v>10</v>
      </c>
      <c r="S59" s="38">
        <f t="shared" si="127"/>
        <v>12</v>
      </c>
      <c r="T59" s="39">
        <f t="shared" si="116"/>
        <v>0.75247987857608445</v>
      </c>
      <c r="U59" s="39">
        <f t="shared" si="116"/>
        <v>0.86609427860023702</v>
      </c>
      <c r="V59" s="39">
        <f t="shared" si="72"/>
        <v>0.11361440002415257</v>
      </c>
      <c r="W59" s="39">
        <f t="shared" si="14"/>
        <v>0.12885115578707076</v>
      </c>
      <c r="X59" s="40">
        <f t="shared" si="95"/>
        <v>0.25770231157414153</v>
      </c>
      <c r="Y59" s="40" t="s">
        <v>3710</v>
      </c>
      <c r="Z59" s="182">
        <f t="shared" si="73"/>
        <v>30.924277388896982</v>
      </c>
      <c r="AA59" s="182">
        <f>X59*20</f>
        <v>5.1540462314828304</v>
      </c>
      <c r="AB59" s="176"/>
    </row>
    <row r="60" spans="1:28" x14ac:dyDescent="0.25">
      <c r="A60" s="229">
        <f t="shared" ref="A60" si="137">A59+1</f>
        <v>3338</v>
      </c>
      <c r="B60" s="230">
        <f t="shared" ref="B60" si="138">B59+1</f>
        <v>50</v>
      </c>
      <c r="C60" s="229" t="str">
        <f t="shared" si="9"/>
        <v>24dX11-000_030_02</v>
      </c>
      <c r="D60" s="231">
        <f t="shared" si="39"/>
        <v>11</v>
      </c>
      <c r="E60" s="204">
        <f t="shared" si="113"/>
        <v>1.9390000000000001</v>
      </c>
      <c r="F60" s="198">
        <f t="shared" si="69"/>
        <v>17.627272727272729</v>
      </c>
      <c r="G60" s="198">
        <f t="shared" si="114"/>
        <v>14.101818181818183</v>
      </c>
      <c r="H60" s="198">
        <f t="shared" si="115"/>
        <v>8.8136363636363644</v>
      </c>
      <c r="I60" s="198">
        <f t="shared" si="134"/>
        <v>8</v>
      </c>
      <c r="J60" s="199">
        <f t="shared" si="134"/>
        <v>0</v>
      </c>
      <c r="K60" s="228" t="str">
        <f>D60&amp;-2</f>
        <v>11-2</v>
      </c>
      <c r="L60" s="198">
        <f t="shared" si="77"/>
        <v>0.2</v>
      </c>
      <c r="M60" s="49">
        <v>30</v>
      </c>
      <c r="N60" s="198">
        <f t="shared" si="119"/>
        <v>150</v>
      </c>
      <c r="O60" s="198">
        <f t="shared" si="119"/>
        <v>750</v>
      </c>
      <c r="P60" s="196">
        <f t="shared" si="119"/>
        <v>2</v>
      </c>
      <c r="Q60" s="56"/>
      <c r="R60" s="38">
        <f t="shared" ref="R60:R70" si="139">R59</f>
        <v>10</v>
      </c>
      <c r="S60" s="38">
        <f t="shared" si="127"/>
        <v>12</v>
      </c>
      <c r="T60" s="39">
        <f t="shared" si="116"/>
        <v>0.75247987857608445</v>
      </c>
      <c r="U60" s="39">
        <f t="shared" si="116"/>
        <v>0.86609427860023702</v>
      </c>
      <c r="V60" s="39">
        <f t="shared" si="72"/>
        <v>0.11361440002415257</v>
      </c>
      <c r="W60" s="39">
        <f t="shared" si="14"/>
        <v>0.12885115578707076</v>
      </c>
      <c r="X60" s="40">
        <f t="shared" si="95"/>
        <v>0.25770231157414153</v>
      </c>
      <c r="Y60" s="40" t="s">
        <v>3710</v>
      </c>
      <c r="Z60" s="182">
        <f t="shared" si="73"/>
        <v>30.924277388896982</v>
      </c>
      <c r="AA60" s="182">
        <f t="shared" ref="AA60:AA70" si="140">X60*20</f>
        <v>5.1540462314828304</v>
      </c>
    </row>
    <row r="61" spans="1:28" x14ac:dyDescent="0.25">
      <c r="A61" s="229">
        <f t="shared" ref="A61" si="141">A60+1</f>
        <v>3339</v>
      </c>
      <c r="B61" s="230">
        <f t="shared" ref="B61" si="142">B60+1</f>
        <v>51</v>
      </c>
      <c r="C61" s="229" t="str">
        <f t="shared" si="9"/>
        <v>24dX11-000_060_03</v>
      </c>
      <c r="D61" s="231">
        <f t="shared" si="39"/>
        <v>11</v>
      </c>
      <c r="E61" s="204">
        <f t="shared" si="113"/>
        <v>1.9390000000000001</v>
      </c>
      <c r="F61" s="198">
        <f t="shared" si="69"/>
        <v>17.627272727272729</v>
      </c>
      <c r="G61" s="198">
        <f t="shared" si="114"/>
        <v>14.101818181818183</v>
      </c>
      <c r="H61" s="198">
        <f t="shared" si="115"/>
        <v>8.8136363636363644</v>
      </c>
      <c r="I61" s="198">
        <f t="shared" si="134"/>
        <v>8</v>
      </c>
      <c r="J61" s="199">
        <f t="shared" si="134"/>
        <v>0</v>
      </c>
      <c r="K61" s="228" t="str">
        <f>D61&amp;-3</f>
        <v>11-3</v>
      </c>
      <c r="L61" s="198">
        <f t="shared" si="77"/>
        <v>0.2</v>
      </c>
      <c r="M61" s="49">
        <v>60</v>
      </c>
      <c r="N61" s="198">
        <f t="shared" si="119"/>
        <v>150</v>
      </c>
      <c r="O61" s="198">
        <f t="shared" si="119"/>
        <v>750</v>
      </c>
      <c r="P61" s="196">
        <f t="shared" si="119"/>
        <v>2</v>
      </c>
      <c r="Q61" s="56"/>
      <c r="R61" s="38">
        <f t="shared" si="139"/>
        <v>10</v>
      </c>
      <c r="S61" s="38">
        <f t="shared" si="127"/>
        <v>12</v>
      </c>
      <c r="T61" s="39">
        <f t="shared" si="116"/>
        <v>0.75247987857608445</v>
      </c>
      <c r="U61" s="39">
        <f t="shared" si="116"/>
        <v>0.86609427860023702</v>
      </c>
      <c r="V61" s="39">
        <f t="shared" si="72"/>
        <v>0.11361440002415257</v>
      </c>
      <c r="W61" s="39">
        <f t="shared" si="14"/>
        <v>0.12885115578707076</v>
      </c>
      <c r="X61" s="40">
        <f t="shared" si="95"/>
        <v>0.25770231157414153</v>
      </c>
      <c r="Y61" s="40" t="s">
        <v>3710</v>
      </c>
      <c r="Z61" s="182">
        <f t="shared" si="73"/>
        <v>30.924277388896982</v>
      </c>
      <c r="AA61" s="182">
        <f t="shared" si="140"/>
        <v>5.1540462314828304</v>
      </c>
    </row>
    <row r="62" spans="1:28" x14ac:dyDescent="0.25">
      <c r="A62" s="229">
        <f t="shared" ref="A62" si="143">A61+1</f>
        <v>3340</v>
      </c>
      <c r="B62" s="230">
        <f t="shared" ref="B62" si="144">B61+1</f>
        <v>52</v>
      </c>
      <c r="C62" s="229" t="str">
        <f t="shared" si="9"/>
        <v>24dX11-000_090_04</v>
      </c>
      <c r="D62" s="231">
        <f t="shared" si="39"/>
        <v>11</v>
      </c>
      <c r="E62" s="204">
        <f t="shared" si="113"/>
        <v>1.9390000000000001</v>
      </c>
      <c r="F62" s="198">
        <f t="shared" si="69"/>
        <v>17.627272727272729</v>
      </c>
      <c r="G62" s="198">
        <f t="shared" si="114"/>
        <v>14.101818181818183</v>
      </c>
      <c r="H62" s="198">
        <f t="shared" si="115"/>
        <v>8.8136363636363644</v>
      </c>
      <c r="I62" s="198">
        <f t="shared" si="134"/>
        <v>8</v>
      </c>
      <c r="J62" s="199">
        <f t="shared" si="134"/>
        <v>0</v>
      </c>
      <c r="K62" s="228" t="str">
        <f>D62&amp;-4</f>
        <v>11-4</v>
      </c>
      <c r="L62" s="198">
        <f t="shared" si="77"/>
        <v>0.2</v>
      </c>
      <c r="M62" s="49">
        <v>90</v>
      </c>
      <c r="N62" s="198">
        <f t="shared" si="119"/>
        <v>150</v>
      </c>
      <c r="O62" s="198">
        <f t="shared" si="119"/>
        <v>750</v>
      </c>
      <c r="P62" s="196">
        <f t="shared" si="119"/>
        <v>2</v>
      </c>
      <c r="Q62" s="56"/>
      <c r="R62" s="38">
        <f t="shared" si="139"/>
        <v>10</v>
      </c>
      <c r="S62" s="38">
        <f t="shared" si="127"/>
        <v>12</v>
      </c>
      <c r="T62" s="39">
        <f t="shared" si="116"/>
        <v>0.75247987857608445</v>
      </c>
      <c r="U62" s="39">
        <f t="shared" si="116"/>
        <v>0.86609427860023702</v>
      </c>
      <c r="V62" s="39">
        <f t="shared" si="72"/>
        <v>0.11361440002415257</v>
      </c>
      <c r="W62" s="39">
        <f t="shared" si="14"/>
        <v>0.12885115578707076</v>
      </c>
      <c r="X62" s="40">
        <f t="shared" si="95"/>
        <v>0.25770231157414153</v>
      </c>
      <c r="Y62" s="40" t="s">
        <v>3710</v>
      </c>
      <c r="Z62" s="182">
        <f t="shared" si="73"/>
        <v>30.924277388896982</v>
      </c>
      <c r="AA62" s="182">
        <f t="shared" si="140"/>
        <v>5.1540462314828304</v>
      </c>
    </row>
    <row r="63" spans="1:28" x14ac:dyDescent="0.25">
      <c r="A63" s="229">
        <f t="shared" ref="A63" si="145">A62+1</f>
        <v>3341</v>
      </c>
      <c r="B63" s="230">
        <f t="shared" ref="B63" si="146">B62+1</f>
        <v>53</v>
      </c>
      <c r="C63" s="229" t="str">
        <f t="shared" si="9"/>
        <v>24dX11-000_000_05</v>
      </c>
      <c r="D63" s="231">
        <f t="shared" si="39"/>
        <v>11</v>
      </c>
      <c r="E63" s="204">
        <f t="shared" si="113"/>
        <v>1.9390000000000001</v>
      </c>
      <c r="F63" s="198">
        <f t="shared" si="69"/>
        <v>17.627272727272729</v>
      </c>
      <c r="G63" s="198">
        <f t="shared" si="114"/>
        <v>14.101818181818183</v>
      </c>
      <c r="H63" s="198">
        <f t="shared" si="115"/>
        <v>8.8136363636363644</v>
      </c>
      <c r="I63" s="198">
        <f t="shared" si="134"/>
        <v>8</v>
      </c>
      <c r="J63" s="199">
        <f t="shared" si="134"/>
        <v>0</v>
      </c>
      <c r="K63" s="228" t="str">
        <f>D63&amp;-5</f>
        <v>11-5</v>
      </c>
      <c r="L63" s="198">
        <f t="shared" si="77"/>
        <v>0.2</v>
      </c>
      <c r="M63" s="49">
        <v>0</v>
      </c>
      <c r="N63" s="198">
        <f t="shared" si="119"/>
        <v>150</v>
      </c>
      <c r="O63" s="198">
        <f t="shared" si="119"/>
        <v>750</v>
      </c>
      <c r="P63" s="196">
        <f t="shared" si="119"/>
        <v>2</v>
      </c>
      <c r="Q63" s="56"/>
      <c r="R63" s="38">
        <f t="shared" si="139"/>
        <v>10</v>
      </c>
      <c r="S63" s="38">
        <f t="shared" si="127"/>
        <v>12</v>
      </c>
      <c r="T63" s="39">
        <f t="shared" si="116"/>
        <v>0.75247987857608445</v>
      </c>
      <c r="U63" s="39">
        <f t="shared" si="116"/>
        <v>0.86609427860023702</v>
      </c>
      <c r="V63" s="39">
        <f t="shared" si="72"/>
        <v>0.11361440002415257</v>
      </c>
      <c r="W63" s="39">
        <f t="shared" si="14"/>
        <v>0.12885115578707076</v>
      </c>
      <c r="X63" s="40">
        <f t="shared" si="95"/>
        <v>0.25770231157414153</v>
      </c>
      <c r="Y63" s="40" t="s">
        <v>3710</v>
      </c>
      <c r="Z63" s="182">
        <f t="shared" si="73"/>
        <v>30.924277388896982</v>
      </c>
      <c r="AA63" s="182">
        <f t="shared" si="140"/>
        <v>5.1540462314828304</v>
      </c>
    </row>
    <row r="64" spans="1:28" x14ac:dyDescent="0.25">
      <c r="A64" s="229">
        <f t="shared" ref="A64" si="147">A63+1</f>
        <v>3342</v>
      </c>
      <c r="B64" s="230">
        <f t="shared" ref="B64" si="148">B63+1</f>
        <v>54</v>
      </c>
      <c r="C64" s="229" t="str">
        <f t="shared" si="9"/>
        <v>24dX11-000_030_06</v>
      </c>
      <c r="D64" s="231">
        <f t="shared" si="39"/>
        <v>11</v>
      </c>
      <c r="E64" s="204">
        <f t="shared" si="113"/>
        <v>1.9390000000000001</v>
      </c>
      <c r="F64" s="198">
        <f t="shared" si="69"/>
        <v>17.627272727272729</v>
      </c>
      <c r="G64" s="198">
        <f t="shared" si="114"/>
        <v>14.101818181818183</v>
      </c>
      <c r="H64" s="198">
        <f t="shared" si="115"/>
        <v>8.8136363636363644</v>
      </c>
      <c r="I64" s="198">
        <f t="shared" si="134"/>
        <v>8</v>
      </c>
      <c r="J64" s="199">
        <f t="shared" si="134"/>
        <v>0</v>
      </c>
      <c r="K64" s="228" t="str">
        <f>D64&amp;-6</f>
        <v>11-6</v>
      </c>
      <c r="L64" s="198">
        <f t="shared" si="77"/>
        <v>0.2</v>
      </c>
      <c r="M64" s="49">
        <v>30</v>
      </c>
      <c r="N64" s="198">
        <f t="shared" si="119"/>
        <v>150</v>
      </c>
      <c r="O64" s="198">
        <f t="shared" si="119"/>
        <v>750</v>
      </c>
      <c r="P64" s="196">
        <f t="shared" si="119"/>
        <v>2</v>
      </c>
      <c r="Q64" s="56"/>
      <c r="R64" s="38">
        <f t="shared" si="139"/>
        <v>10</v>
      </c>
      <c r="S64" s="38">
        <f t="shared" si="127"/>
        <v>12</v>
      </c>
      <c r="T64" s="39">
        <f t="shared" si="116"/>
        <v>0.75247987857608445</v>
      </c>
      <c r="U64" s="39">
        <f t="shared" si="116"/>
        <v>0.86609427860023702</v>
      </c>
      <c r="V64" s="39">
        <f t="shared" si="72"/>
        <v>0.11361440002415257</v>
      </c>
      <c r="W64" s="39">
        <f t="shared" si="14"/>
        <v>0.12885115578707076</v>
      </c>
      <c r="X64" s="40">
        <f t="shared" si="95"/>
        <v>0.25770231157414153</v>
      </c>
      <c r="Y64" s="40" t="s">
        <v>3710</v>
      </c>
      <c r="Z64" s="182">
        <f t="shared" si="73"/>
        <v>30.924277388896982</v>
      </c>
      <c r="AA64" s="182">
        <f t="shared" si="140"/>
        <v>5.1540462314828304</v>
      </c>
    </row>
    <row r="65" spans="1:28" x14ac:dyDescent="0.25">
      <c r="A65" s="229">
        <f t="shared" ref="A65" si="149">A64+1</f>
        <v>3343</v>
      </c>
      <c r="B65" s="230">
        <f t="shared" ref="B65" si="150">B64+1</f>
        <v>55</v>
      </c>
      <c r="C65" s="229" t="str">
        <f t="shared" si="9"/>
        <v>24dX11-000_060_07</v>
      </c>
      <c r="D65" s="231">
        <f t="shared" si="39"/>
        <v>11</v>
      </c>
      <c r="E65" s="204">
        <f t="shared" si="113"/>
        <v>1.9390000000000001</v>
      </c>
      <c r="F65" s="198">
        <f t="shared" ref="F65:F82" si="151">E65/D65*100</f>
        <v>17.627272727272729</v>
      </c>
      <c r="G65" s="198">
        <f t="shared" si="114"/>
        <v>14.101818181818183</v>
      </c>
      <c r="H65" s="198">
        <f t="shared" si="115"/>
        <v>8.8136363636363644</v>
      </c>
      <c r="I65" s="198">
        <f t="shared" si="134"/>
        <v>8</v>
      </c>
      <c r="J65" s="199">
        <f t="shared" si="134"/>
        <v>0</v>
      </c>
      <c r="K65" s="228" t="str">
        <f>D65&amp;-7</f>
        <v>11-7</v>
      </c>
      <c r="L65" s="198">
        <f t="shared" si="77"/>
        <v>0.2</v>
      </c>
      <c r="M65" s="49">
        <v>60</v>
      </c>
      <c r="N65" s="198">
        <f t="shared" si="119"/>
        <v>150</v>
      </c>
      <c r="O65" s="198">
        <f t="shared" si="119"/>
        <v>750</v>
      </c>
      <c r="P65" s="196">
        <f t="shared" si="119"/>
        <v>2</v>
      </c>
      <c r="Q65" s="56"/>
      <c r="R65" s="38">
        <f t="shared" si="139"/>
        <v>10</v>
      </c>
      <c r="S65" s="38">
        <f t="shared" si="127"/>
        <v>12</v>
      </c>
      <c r="T65" s="39">
        <f t="shared" si="116"/>
        <v>0.75247987857608445</v>
      </c>
      <c r="U65" s="39">
        <f t="shared" si="116"/>
        <v>0.86609427860023702</v>
      </c>
      <c r="V65" s="39">
        <f t="shared" si="72"/>
        <v>0.11361440002415257</v>
      </c>
      <c r="W65" s="39">
        <f t="shared" si="14"/>
        <v>0.12885115578707076</v>
      </c>
      <c r="X65" s="40">
        <f t="shared" si="95"/>
        <v>0.25770231157414153</v>
      </c>
      <c r="Y65" s="40" t="s">
        <v>3710</v>
      </c>
      <c r="Z65" s="182">
        <f t="shared" si="73"/>
        <v>30.924277388896982</v>
      </c>
      <c r="AA65" s="182">
        <f t="shared" si="140"/>
        <v>5.1540462314828304</v>
      </c>
    </row>
    <row r="66" spans="1:28" x14ac:dyDescent="0.25">
      <c r="A66" s="229">
        <f t="shared" ref="A66" si="152">A65+1</f>
        <v>3344</v>
      </c>
      <c r="B66" s="230">
        <f t="shared" ref="B66" si="153">B65+1</f>
        <v>56</v>
      </c>
      <c r="C66" s="229" t="str">
        <f t="shared" si="9"/>
        <v>24dX11-000_090_08</v>
      </c>
      <c r="D66" s="231">
        <f t="shared" si="39"/>
        <v>11</v>
      </c>
      <c r="E66" s="204">
        <f t="shared" si="113"/>
        <v>1.9390000000000001</v>
      </c>
      <c r="F66" s="198">
        <f t="shared" si="151"/>
        <v>17.627272727272729</v>
      </c>
      <c r="G66" s="198">
        <f t="shared" si="114"/>
        <v>14.101818181818183</v>
      </c>
      <c r="H66" s="198">
        <f t="shared" si="115"/>
        <v>8.8136363636363644</v>
      </c>
      <c r="I66" s="198">
        <f t="shared" si="134"/>
        <v>8</v>
      </c>
      <c r="J66" s="199">
        <f t="shared" si="134"/>
        <v>0</v>
      </c>
      <c r="K66" s="228" t="str">
        <f>D66&amp;-8</f>
        <v>11-8</v>
      </c>
      <c r="L66" s="198">
        <f t="shared" si="77"/>
        <v>0.2</v>
      </c>
      <c r="M66" s="49">
        <v>90</v>
      </c>
      <c r="N66" s="198">
        <f t="shared" si="119"/>
        <v>150</v>
      </c>
      <c r="O66" s="198">
        <f t="shared" si="119"/>
        <v>750</v>
      </c>
      <c r="P66" s="196">
        <f t="shared" si="119"/>
        <v>2</v>
      </c>
      <c r="Q66" s="56"/>
      <c r="R66" s="38">
        <f t="shared" si="139"/>
        <v>10</v>
      </c>
      <c r="S66" s="38">
        <f t="shared" si="127"/>
        <v>12</v>
      </c>
      <c r="T66" s="39">
        <f t="shared" si="116"/>
        <v>0.75247987857608445</v>
      </c>
      <c r="U66" s="39">
        <f t="shared" si="116"/>
        <v>0.86609427860023702</v>
      </c>
      <c r="V66" s="39">
        <f t="shared" si="72"/>
        <v>0.11361440002415257</v>
      </c>
      <c r="W66" s="39">
        <f t="shared" si="14"/>
        <v>0.12885115578707076</v>
      </c>
      <c r="X66" s="40">
        <f t="shared" si="95"/>
        <v>0.25770231157414153</v>
      </c>
      <c r="Y66" s="40" t="s">
        <v>3710</v>
      </c>
      <c r="Z66" s="182">
        <f t="shared" si="73"/>
        <v>30.924277388896982</v>
      </c>
      <c r="AA66" s="182">
        <f t="shared" si="140"/>
        <v>5.1540462314828304</v>
      </c>
    </row>
    <row r="67" spans="1:28" x14ac:dyDescent="0.25">
      <c r="A67" s="229">
        <f t="shared" ref="A67" si="154">A66+1</f>
        <v>3345</v>
      </c>
      <c r="B67" s="230">
        <f t="shared" ref="B67" si="155">B66+1</f>
        <v>57</v>
      </c>
      <c r="C67" s="229" t="str">
        <f t="shared" si="9"/>
        <v>24dX11-000_000_09</v>
      </c>
      <c r="D67" s="231">
        <f t="shared" si="39"/>
        <v>11</v>
      </c>
      <c r="E67" s="204">
        <f t="shared" si="113"/>
        <v>1.9390000000000001</v>
      </c>
      <c r="F67" s="198">
        <f t="shared" si="151"/>
        <v>17.627272727272729</v>
      </c>
      <c r="G67" s="198">
        <f t="shared" si="114"/>
        <v>14.101818181818183</v>
      </c>
      <c r="H67" s="198">
        <f t="shared" si="115"/>
        <v>8.8136363636363644</v>
      </c>
      <c r="I67" s="198">
        <f t="shared" si="134"/>
        <v>8</v>
      </c>
      <c r="J67" s="199">
        <f t="shared" si="134"/>
        <v>0</v>
      </c>
      <c r="K67" s="228" t="str">
        <f>D67&amp;-9</f>
        <v>11-9</v>
      </c>
      <c r="L67" s="198">
        <f t="shared" si="77"/>
        <v>0.2</v>
      </c>
      <c r="M67" s="49">
        <v>0</v>
      </c>
      <c r="N67" s="198">
        <f t="shared" si="119"/>
        <v>150</v>
      </c>
      <c r="O67" s="198">
        <f t="shared" si="119"/>
        <v>750</v>
      </c>
      <c r="P67" s="196">
        <f t="shared" si="119"/>
        <v>2</v>
      </c>
      <c r="Q67" s="56"/>
      <c r="R67" s="38">
        <f t="shared" si="139"/>
        <v>10</v>
      </c>
      <c r="S67" s="38">
        <f t="shared" si="127"/>
        <v>12</v>
      </c>
      <c r="T67" s="39">
        <f t="shared" si="116"/>
        <v>0.75247987857608445</v>
      </c>
      <c r="U67" s="39">
        <f t="shared" si="116"/>
        <v>0.86609427860023702</v>
      </c>
      <c r="V67" s="39">
        <f t="shared" si="72"/>
        <v>0.11361440002415257</v>
      </c>
      <c r="W67" s="39">
        <f t="shared" si="14"/>
        <v>0.12885115578707076</v>
      </c>
      <c r="X67" s="40">
        <f t="shared" si="95"/>
        <v>0.25770231157414153</v>
      </c>
      <c r="Y67" s="40" t="s">
        <v>3710</v>
      </c>
      <c r="Z67" s="182">
        <f t="shared" ref="Z67:Z98" si="156">AA67*3600/(O67-N67)</f>
        <v>30.924277388896982</v>
      </c>
      <c r="AA67" s="182">
        <f t="shared" si="140"/>
        <v>5.1540462314828304</v>
      </c>
    </row>
    <row r="68" spans="1:28" x14ac:dyDescent="0.25">
      <c r="A68" s="229">
        <f t="shared" ref="A68" si="157">A67+1</f>
        <v>3346</v>
      </c>
      <c r="B68" s="230">
        <f t="shared" ref="B68" si="158">B67+1</f>
        <v>58</v>
      </c>
      <c r="C68" s="229" t="str">
        <f t="shared" si="9"/>
        <v>24dX11-000_030_10</v>
      </c>
      <c r="D68" s="231">
        <f t="shared" si="39"/>
        <v>11</v>
      </c>
      <c r="E68" s="204">
        <f t="shared" si="113"/>
        <v>1.9390000000000001</v>
      </c>
      <c r="F68" s="198">
        <f t="shared" si="151"/>
        <v>17.627272727272729</v>
      </c>
      <c r="G68" s="198">
        <f t="shared" si="114"/>
        <v>14.101818181818183</v>
      </c>
      <c r="H68" s="198">
        <f t="shared" si="115"/>
        <v>8.8136363636363644</v>
      </c>
      <c r="I68" s="198">
        <f t="shared" si="134"/>
        <v>8</v>
      </c>
      <c r="J68" s="199">
        <f t="shared" si="134"/>
        <v>0</v>
      </c>
      <c r="K68" s="228" t="str">
        <f>D68&amp;-10</f>
        <v>11-10</v>
      </c>
      <c r="L68" s="198">
        <f t="shared" si="77"/>
        <v>0.2</v>
      </c>
      <c r="M68" s="49">
        <v>30</v>
      </c>
      <c r="N68" s="198">
        <f t="shared" ref="N68:P82" si="159">N67</f>
        <v>150</v>
      </c>
      <c r="O68" s="198">
        <f t="shared" si="159"/>
        <v>750</v>
      </c>
      <c r="P68" s="196">
        <f t="shared" si="159"/>
        <v>2</v>
      </c>
      <c r="Q68" s="56"/>
      <c r="R68" s="38">
        <f t="shared" si="139"/>
        <v>10</v>
      </c>
      <c r="S68" s="38">
        <f t="shared" si="127"/>
        <v>12</v>
      </c>
      <c r="T68" s="39">
        <f t="shared" si="116"/>
        <v>0.75247987857608445</v>
      </c>
      <c r="U68" s="39">
        <f t="shared" si="116"/>
        <v>0.86609427860023702</v>
      </c>
      <c r="V68" s="39">
        <f t="shared" ref="V68:V81" si="160">U68-T68</f>
        <v>0.11361440002415257</v>
      </c>
      <c r="W68" s="39">
        <f t="shared" si="14"/>
        <v>0.12885115578707076</v>
      </c>
      <c r="X68" s="40">
        <f t="shared" si="95"/>
        <v>0.25770231157414153</v>
      </c>
      <c r="Y68" s="40" t="s">
        <v>3710</v>
      </c>
      <c r="Z68" s="182">
        <f t="shared" si="156"/>
        <v>30.924277388896982</v>
      </c>
      <c r="AA68" s="182">
        <f t="shared" si="140"/>
        <v>5.1540462314828304</v>
      </c>
    </row>
    <row r="69" spans="1:28" x14ac:dyDescent="0.25">
      <c r="A69" s="229">
        <f t="shared" ref="A69" si="161">A68+1</f>
        <v>3347</v>
      </c>
      <c r="B69" s="230">
        <f t="shared" ref="B69" si="162">B68+1</f>
        <v>59</v>
      </c>
      <c r="C69" s="229" t="str">
        <f t="shared" si="9"/>
        <v>24dX11-000_060_11</v>
      </c>
      <c r="D69" s="231">
        <f t="shared" si="39"/>
        <v>11</v>
      </c>
      <c r="E69" s="204">
        <f t="shared" si="113"/>
        <v>1.9390000000000001</v>
      </c>
      <c r="F69" s="198">
        <f t="shared" si="151"/>
        <v>17.627272727272729</v>
      </c>
      <c r="G69" s="198">
        <f t="shared" si="114"/>
        <v>14.101818181818183</v>
      </c>
      <c r="H69" s="198">
        <f t="shared" si="115"/>
        <v>8.8136363636363644</v>
      </c>
      <c r="I69" s="198">
        <f t="shared" si="134"/>
        <v>8</v>
      </c>
      <c r="J69" s="199">
        <f t="shared" si="134"/>
        <v>0</v>
      </c>
      <c r="K69" s="228" t="str">
        <f>D69&amp;-11</f>
        <v>11-11</v>
      </c>
      <c r="L69" s="198">
        <f t="shared" si="77"/>
        <v>0.2</v>
      </c>
      <c r="M69" s="49">
        <v>60</v>
      </c>
      <c r="N69" s="198">
        <f t="shared" si="159"/>
        <v>150</v>
      </c>
      <c r="O69" s="198">
        <f t="shared" si="159"/>
        <v>750</v>
      </c>
      <c r="P69" s="196">
        <f t="shared" si="159"/>
        <v>2</v>
      </c>
      <c r="Q69" s="56"/>
      <c r="R69" s="38">
        <f t="shared" si="139"/>
        <v>10</v>
      </c>
      <c r="S69" s="38">
        <f t="shared" si="127"/>
        <v>12</v>
      </c>
      <c r="T69" s="39">
        <f t="shared" si="116"/>
        <v>0.75247987857608445</v>
      </c>
      <c r="U69" s="39">
        <f t="shared" si="116"/>
        <v>0.86609427860023702</v>
      </c>
      <c r="V69" s="39">
        <f t="shared" si="160"/>
        <v>0.11361440002415257</v>
      </c>
      <c r="W69" s="39">
        <f t="shared" si="14"/>
        <v>0.12885115578707076</v>
      </c>
      <c r="X69" s="40">
        <f t="shared" si="95"/>
        <v>0.25770231157414153</v>
      </c>
      <c r="Y69" s="40" t="s">
        <v>3710</v>
      </c>
      <c r="Z69" s="182">
        <f t="shared" si="156"/>
        <v>30.924277388896982</v>
      </c>
      <c r="AA69" s="182">
        <f t="shared" si="140"/>
        <v>5.1540462314828304</v>
      </c>
    </row>
    <row r="70" spans="1:28" x14ac:dyDescent="0.25">
      <c r="A70" s="229">
        <f t="shared" ref="A70" si="163">A69+1</f>
        <v>3348</v>
      </c>
      <c r="B70" s="230">
        <f t="shared" ref="B70" si="164">B69+1</f>
        <v>60</v>
      </c>
      <c r="C70" s="229" t="str">
        <f t="shared" si="9"/>
        <v>24dX11-000_090_12</v>
      </c>
      <c r="D70" s="231">
        <f t="shared" si="39"/>
        <v>11</v>
      </c>
      <c r="E70" s="204">
        <f t="shared" si="113"/>
        <v>1.9390000000000001</v>
      </c>
      <c r="F70" s="198">
        <f t="shared" si="151"/>
        <v>17.627272727272729</v>
      </c>
      <c r="G70" s="198">
        <f t="shared" si="114"/>
        <v>14.101818181818183</v>
      </c>
      <c r="H70" s="198">
        <f t="shared" si="115"/>
        <v>8.8136363636363644</v>
      </c>
      <c r="I70" s="198">
        <f t="shared" si="134"/>
        <v>8</v>
      </c>
      <c r="J70" s="199">
        <f t="shared" si="134"/>
        <v>0</v>
      </c>
      <c r="K70" s="228" t="str">
        <f>D70&amp;-12</f>
        <v>11-12</v>
      </c>
      <c r="L70" s="198">
        <f t="shared" si="77"/>
        <v>0.2</v>
      </c>
      <c r="M70" s="49">
        <v>90</v>
      </c>
      <c r="N70" s="198">
        <f t="shared" si="159"/>
        <v>150</v>
      </c>
      <c r="O70" s="198">
        <f t="shared" si="159"/>
        <v>750</v>
      </c>
      <c r="P70" s="196">
        <f t="shared" si="159"/>
        <v>2</v>
      </c>
      <c r="Q70" s="56"/>
      <c r="R70" s="38">
        <f t="shared" si="139"/>
        <v>10</v>
      </c>
      <c r="S70" s="38">
        <f t="shared" si="127"/>
        <v>12</v>
      </c>
      <c r="T70" s="39">
        <f t="shared" si="116"/>
        <v>0.75247987857608445</v>
      </c>
      <c r="U70" s="39">
        <f t="shared" si="116"/>
        <v>0.86609427860023702</v>
      </c>
      <c r="V70" s="39">
        <f t="shared" si="160"/>
        <v>0.11361440002415257</v>
      </c>
      <c r="W70" s="39">
        <f t="shared" si="14"/>
        <v>0.12885115578707076</v>
      </c>
      <c r="X70" s="40">
        <f t="shared" si="95"/>
        <v>0.25770231157414153</v>
      </c>
      <c r="Y70" s="40" t="s">
        <v>3710</v>
      </c>
      <c r="Z70" s="182">
        <f t="shared" si="156"/>
        <v>30.924277388896982</v>
      </c>
      <c r="AA70" s="182">
        <f t="shared" si="140"/>
        <v>5.1540462314828304</v>
      </c>
    </row>
    <row r="71" spans="1:28" x14ac:dyDescent="0.25">
      <c r="A71" s="229">
        <f t="shared" ref="A71" si="165">A70+1</f>
        <v>3349</v>
      </c>
      <c r="B71" s="230">
        <f t="shared" ref="B71" si="166">B70+1</f>
        <v>61</v>
      </c>
      <c r="C71" s="229" t="str">
        <f t="shared" si="9"/>
        <v>24dX13-000_000_01</v>
      </c>
      <c r="D71" s="231">
        <f>D70+v_step</f>
        <v>13</v>
      </c>
      <c r="E71" s="204">
        <f t="shared" si="113"/>
        <v>2.149</v>
      </c>
      <c r="F71" s="198">
        <f t="shared" si="151"/>
        <v>16.530769230769231</v>
      </c>
      <c r="G71" s="198">
        <f t="shared" si="114"/>
        <v>13.224615384615385</v>
      </c>
      <c r="H71" s="198">
        <f t="shared" si="115"/>
        <v>8.2653846153846153</v>
      </c>
      <c r="I71" s="198">
        <f t="shared" si="134"/>
        <v>8</v>
      </c>
      <c r="J71" s="199">
        <f t="shared" si="134"/>
        <v>0</v>
      </c>
      <c r="K71" s="228" t="str">
        <f>D71&amp;-1</f>
        <v>13-1</v>
      </c>
      <c r="L71" s="198">
        <f t="shared" si="77"/>
        <v>0.2</v>
      </c>
      <c r="M71" s="49">
        <v>0</v>
      </c>
      <c r="N71" s="198">
        <f t="shared" si="159"/>
        <v>150</v>
      </c>
      <c r="O71" s="198">
        <f t="shared" si="159"/>
        <v>750</v>
      </c>
      <c r="P71" s="196">
        <f t="shared" si="159"/>
        <v>2</v>
      </c>
      <c r="Q71" s="56"/>
      <c r="R71" s="38">
        <f>S70</f>
        <v>12</v>
      </c>
      <c r="S71" s="38">
        <f t="shared" si="127"/>
        <v>14</v>
      </c>
      <c r="T71" s="39">
        <f t="shared" si="116"/>
        <v>0.86609427860023702</v>
      </c>
      <c r="U71" s="39">
        <f t="shared" si="116"/>
        <v>0.93521468146599684</v>
      </c>
      <c r="V71" s="39">
        <f t="shared" si="160"/>
        <v>6.9120402865759822E-2</v>
      </c>
      <c r="W71" s="39">
        <f t="shared" si="14"/>
        <v>7.8390096641163351E-2</v>
      </c>
      <c r="X71" s="40">
        <f t="shared" si="95"/>
        <v>0.1567801932823267</v>
      </c>
      <c r="Y71" s="40" t="s">
        <v>3710</v>
      </c>
      <c r="Z71" s="182">
        <f t="shared" si="156"/>
        <v>18.813623193879206</v>
      </c>
      <c r="AA71" s="182">
        <f>X71*20</f>
        <v>3.1356038656465341</v>
      </c>
      <c r="AB71" s="176"/>
    </row>
    <row r="72" spans="1:28" x14ac:dyDescent="0.25">
      <c r="A72" s="229">
        <f t="shared" ref="A72" si="167">A71+1</f>
        <v>3350</v>
      </c>
      <c r="B72" s="230">
        <f t="shared" ref="B72" si="168">B71+1</f>
        <v>62</v>
      </c>
      <c r="C72" s="229" t="str">
        <f t="shared" si="9"/>
        <v>24dX13-000_030_02</v>
      </c>
      <c r="D72" s="231">
        <f t="shared" si="39"/>
        <v>13</v>
      </c>
      <c r="E72" s="204">
        <f t="shared" si="113"/>
        <v>2.149</v>
      </c>
      <c r="F72" s="198">
        <f t="shared" si="151"/>
        <v>16.530769230769231</v>
      </c>
      <c r="G72" s="198">
        <f t="shared" si="114"/>
        <v>13.224615384615385</v>
      </c>
      <c r="H72" s="198">
        <f t="shared" si="115"/>
        <v>8.2653846153846153</v>
      </c>
      <c r="I72" s="198">
        <f t="shared" si="134"/>
        <v>8</v>
      </c>
      <c r="J72" s="199">
        <f t="shared" si="134"/>
        <v>0</v>
      </c>
      <c r="K72" s="228" t="str">
        <f>D72&amp;-2</f>
        <v>13-2</v>
      </c>
      <c r="L72" s="198">
        <f t="shared" si="77"/>
        <v>0.2</v>
      </c>
      <c r="M72" s="49">
        <v>30</v>
      </c>
      <c r="N72" s="198">
        <f t="shared" si="159"/>
        <v>150</v>
      </c>
      <c r="O72" s="198">
        <f t="shared" si="159"/>
        <v>750</v>
      </c>
      <c r="P72" s="196">
        <f t="shared" si="159"/>
        <v>2</v>
      </c>
      <c r="Q72" s="56"/>
      <c r="R72" s="38">
        <f t="shared" ref="R72:R82" si="169">R71</f>
        <v>12</v>
      </c>
      <c r="S72" s="38">
        <f t="shared" si="127"/>
        <v>14</v>
      </c>
      <c r="T72" s="39">
        <f t="shared" si="116"/>
        <v>0.86609427860023702</v>
      </c>
      <c r="U72" s="39">
        <f t="shared" si="116"/>
        <v>0.93521468146599684</v>
      </c>
      <c r="V72" s="39">
        <f t="shared" si="160"/>
        <v>6.9120402865759822E-2</v>
      </c>
      <c r="W72" s="39">
        <f t="shared" si="14"/>
        <v>7.8390096641163351E-2</v>
      </c>
      <c r="X72" s="40">
        <f t="shared" si="95"/>
        <v>0.1567801932823267</v>
      </c>
      <c r="Y72" s="40" t="s">
        <v>3710</v>
      </c>
      <c r="Z72" s="182">
        <f t="shared" si="156"/>
        <v>18.813623193879206</v>
      </c>
      <c r="AA72" s="182">
        <f t="shared" ref="AA72:AA82" si="170">X72*20</f>
        <v>3.1356038656465341</v>
      </c>
    </row>
    <row r="73" spans="1:28" x14ac:dyDescent="0.25">
      <c r="A73" s="229">
        <f t="shared" ref="A73" si="171">A72+1</f>
        <v>3351</v>
      </c>
      <c r="B73" s="230">
        <f t="shared" ref="B73" si="172">B72+1</f>
        <v>63</v>
      </c>
      <c r="C73" s="229" t="str">
        <f t="shared" si="9"/>
        <v>24dX13-000_060_03</v>
      </c>
      <c r="D73" s="231">
        <f t="shared" si="39"/>
        <v>13</v>
      </c>
      <c r="E73" s="204">
        <f t="shared" si="113"/>
        <v>2.149</v>
      </c>
      <c r="F73" s="198">
        <f t="shared" si="151"/>
        <v>16.530769230769231</v>
      </c>
      <c r="G73" s="198">
        <f t="shared" si="114"/>
        <v>13.224615384615385</v>
      </c>
      <c r="H73" s="198">
        <f t="shared" si="115"/>
        <v>8.2653846153846153</v>
      </c>
      <c r="I73" s="198">
        <f t="shared" si="134"/>
        <v>8</v>
      </c>
      <c r="J73" s="199">
        <f t="shared" si="134"/>
        <v>0</v>
      </c>
      <c r="K73" s="228" t="str">
        <f>D73&amp;-3</f>
        <v>13-3</v>
      </c>
      <c r="L73" s="198">
        <f t="shared" si="77"/>
        <v>0.2</v>
      </c>
      <c r="M73" s="49">
        <v>60</v>
      </c>
      <c r="N73" s="198">
        <f t="shared" si="159"/>
        <v>150</v>
      </c>
      <c r="O73" s="198">
        <f t="shared" si="159"/>
        <v>750</v>
      </c>
      <c r="P73" s="196">
        <f t="shared" si="159"/>
        <v>2</v>
      </c>
      <c r="Q73" s="56"/>
      <c r="R73" s="38">
        <f t="shared" si="169"/>
        <v>12</v>
      </c>
      <c r="S73" s="38">
        <f t="shared" si="127"/>
        <v>14</v>
      </c>
      <c r="T73" s="39">
        <f t="shared" si="116"/>
        <v>0.86609427860023702</v>
      </c>
      <c r="U73" s="39">
        <f t="shared" si="116"/>
        <v>0.93521468146599684</v>
      </c>
      <c r="V73" s="39">
        <f t="shared" si="160"/>
        <v>6.9120402865759822E-2</v>
      </c>
      <c r="W73" s="39">
        <f t="shared" si="14"/>
        <v>7.8390096641163351E-2</v>
      </c>
      <c r="X73" s="40">
        <f t="shared" si="95"/>
        <v>0.1567801932823267</v>
      </c>
      <c r="Y73" s="40" t="s">
        <v>3710</v>
      </c>
      <c r="Z73" s="182">
        <f t="shared" si="156"/>
        <v>18.813623193879206</v>
      </c>
      <c r="AA73" s="182">
        <f t="shared" si="170"/>
        <v>3.1356038656465341</v>
      </c>
    </row>
    <row r="74" spans="1:28" x14ac:dyDescent="0.25">
      <c r="A74" s="229">
        <f t="shared" ref="A74" si="173">A73+1</f>
        <v>3352</v>
      </c>
      <c r="B74" s="230">
        <f t="shared" ref="B74" si="174">B73+1</f>
        <v>64</v>
      </c>
      <c r="C74" s="229" t="str">
        <f t="shared" si="9"/>
        <v>24dX13-000_090_04</v>
      </c>
      <c r="D74" s="231">
        <f t="shared" si="39"/>
        <v>13</v>
      </c>
      <c r="E74" s="204">
        <f t="shared" si="113"/>
        <v>2.149</v>
      </c>
      <c r="F74" s="198">
        <f t="shared" si="151"/>
        <v>16.530769230769231</v>
      </c>
      <c r="G74" s="198">
        <f t="shared" si="114"/>
        <v>13.224615384615385</v>
      </c>
      <c r="H74" s="198">
        <f t="shared" si="115"/>
        <v>8.2653846153846153</v>
      </c>
      <c r="I74" s="198">
        <f t="shared" ref="I74:J82" si="175">I73</f>
        <v>8</v>
      </c>
      <c r="J74" s="199">
        <f t="shared" si="175"/>
        <v>0</v>
      </c>
      <c r="K74" s="228" t="str">
        <f>D74&amp;-4</f>
        <v>13-4</v>
      </c>
      <c r="L74" s="198">
        <f t="shared" si="77"/>
        <v>0.2</v>
      </c>
      <c r="M74" s="49">
        <v>90</v>
      </c>
      <c r="N74" s="198">
        <f t="shared" si="159"/>
        <v>150</v>
      </c>
      <c r="O74" s="198">
        <f t="shared" si="159"/>
        <v>750</v>
      </c>
      <c r="P74" s="196">
        <f t="shared" si="159"/>
        <v>2</v>
      </c>
      <c r="Q74" s="56"/>
      <c r="R74" s="38">
        <f t="shared" si="169"/>
        <v>12</v>
      </c>
      <c r="S74" s="38">
        <f t="shared" si="127"/>
        <v>14</v>
      </c>
      <c r="T74" s="39">
        <f t="shared" si="116"/>
        <v>0.86609427860023702</v>
      </c>
      <c r="U74" s="39">
        <f t="shared" si="116"/>
        <v>0.93521468146599684</v>
      </c>
      <c r="V74" s="39">
        <f t="shared" si="160"/>
        <v>6.9120402865759822E-2</v>
      </c>
      <c r="W74" s="39">
        <f t="shared" si="14"/>
        <v>7.8390096641163351E-2</v>
      </c>
      <c r="X74" s="40">
        <f t="shared" si="95"/>
        <v>0.1567801932823267</v>
      </c>
      <c r="Y74" s="40" t="s">
        <v>3710</v>
      </c>
      <c r="Z74" s="182">
        <f t="shared" si="156"/>
        <v>18.813623193879206</v>
      </c>
      <c r="AA74" s="182">
        <f t="shared" si="170"/>
        <v>3.1356038656465341</v>
      </c>
    </row>
    <row r="75" spans="1:28" x14ac:dyDescent="0.25">
      <c r="A75" s="229">
        <f t="shared" ref="A75" si="176">A74+1</f>
        <v>3353</v>
      </c>
      <c r="B75" s="230">
        <f t="shared" ref="B75" si="177">B74+1</f>
        <v>65</v>
      </c>
      <c r="C75" s="229" t="str">
        <f t="shared" si="9"/>
        <v>24dX13-000_000_05</v>
      </c>
      <c r="D75" s="231">
        <f t="shared" si="39"/>
        <v>13</v>
      </c>
      <c r="E75" s="204">
        <f t="shared" si="113"/>
        <v>2.149</v>
      </c>
      <c r="F75" s="198">
        <f t="shared" si="151"/>
        <v>16.530769230769231</v>
      </c>
      <c r="G75" s="198">
        <f t="shared" si="114"/>
        <v>13.224615384615385</v>
      </c>
      <c r="H75" s="198">
        <f t="shared" si="115"/>
        <v>8.2653846153846153</v>
      </c>
      <c r="I75" s="198">
        <f t="shared" si="175"/>
        <v>8</v>
      </c>
      <c r="J75" s="199">
        <f t="shared" si="175"/>
        <v>0</v>
      </c>
      <c r="K75" s="228" t="str">
        <f>D75&amp;-5</f>
        <v>13-5</v>
      </c>
      <c r="L75" s="198">
        <f t="shared" si="77"/>
        <v>0.2</v>
      </c>
      <c r="M75" s="49">
        <v>0</v>
      </c>
      <c r="N75" s="198">
        <f t="shared" si="159"/>
        <v>150</v>
      </c>
      <c r="O75" s="198">
        <f t="shared" si="159"/>
        <v>750</v>
      </c>
      <c r="P75" s="196">
        <f t="shared" si="159"/>
        <v>2</v>
      </c>
      <c r="Q75" s="56"/>
      <c r="R75" s="38">
        <f t="shared" si="169"/>
        <v>12</v>
      </c>
      <c r="S75" s="38">
        <f t="shared" si="127"/>
        <v>14</v>
      </c>
      <c r="T75" s="39">
        <f t="shared" si="116"/>
        <v>0.86609427860023702</v>
      </c>
      <c r="U75" s="39">
        <f t="shared" si="116"/>
        <v>0.93521468146599684</v>
      </c>
      <c r="V75" s="39">
        <f t="shared" si="160"/>
        <v>6.9120402865759822E-2</v>
      </c>
      <c r="W75" s="39">
        <f t="shared" si="14"/>
        <v>7.8390096641163351E-2</v>
      </c>
      <c r="X75" s="40">
        <f t="shared" ref="X75:X106" si="178">H_hp*W75/12</f>
        <v>0.1567801932823267</v>
      </c>
      <c r="Y75" s="40" t="s">
        <v>3710</v>
      </c>
      <c r="Z75" s="182">
        <f t="shared" si="156"/>
        <v>18.813623193879206</v>
      </c>
      <c r="AA75" s="182">
        <f t="shared" si="170"/>
        <v>3.1356038656465341</v>
      </c>
    </row>
    <row r="76" spans="1:28" x14ac:dyDescent="0.25">
      <c r="A76" s="229">
        <f t="shared" ref="A76" si="179">A75+1</f>
        <v>3354</v>
      </c>
      <c r="B76" s="230">
        <f t="shared" ref="B76" si="180">B75+1</f>
        <v>66</v>
      </c>
      <c r="C76" s="229" t="str">
        <f t="shared" ref="C76:C139" si="181">TEXT(RIGHT($B$2,LEN($B$2)-3),"000")&amp;"X"&amp;TEXT(D76,"00")&amp;"-"&amp;IF(J76&lt;0,TEXT(360+J76,"000"),TEXT(J76,"000"))&amp;"_"&amp;TEXT(M76,"000")&amp;"_"&amp;TEXT(RIGHT(K76,LEN(K76)-FIND("-",K76)),"00")</f>
        <v>24dX13-000_030_06</v>
      </c>
      <c r="D76" s="231">
        <f t="shared" si="39"/>
        <v>13</v>
      </c>
      <c r="E76" s="204">
        <f t="shared" si="113"/>
        <v>2.149</v>
      </c>
      <c r="F76" s="198">
        <f t="shared" si="151"/>
        <v>16.530769230769231</v>
      </c>
      <c r="G76" s="198">
        <f t="shared" si="114"/>
        <v>13.224615384615385</v>
      </c>
      <c r="H76" s="198">
        <f t="shared" si="115"/>
        <v>8.2653846153846153</v>
      </c>
      <c r="I76" s="198">
        <f t="shared" si="175"/>
        <v>8</v>
      </c>
      <c r="J76" s="199">
        <f t="shared" si="175"/>
        <v>0</v>
      </c>
      <c r="K76" s="228" t="str">
        <f>D76&amp;-6</f>
        <v>13-6</v>
      </c>
      <c r="L76" s="198">
        <f t="shared" ref="L76:L82" si="182">L75</f>
        <v>0.2</v>
      </c>
      <c r="M76" s="49">
        <v>30</v>
      </c>
      <c r="N76" s="198">
        <f t="shared" si="159"/>
        <v>150</v>
      </c>
      <c r="O76" s="198">
        <f t="shared" si="159"/>
        <v>750</v>
      </c>
      <c r="P76" s="196">
        <f t="shared" si="159"/>
        <v>2</v>
      </c>
      <c r="Q76" s="56"/>
      <c r="R76" s="38">
        <f t="shared" si="169"/>
        <v>12</v>
      </c>
      <c r="S76" s="38">
        <f t="shared" si="127"/>
        <v>14</v>
      </c>
      <c r="T76" s="39">
        <f t="shared" si="116"/>
        <v>0.86609427860023702</v>
      </c>
      <c r="U76" s="39">
        <f t="shared" si="116"/>
        <v>0.93521468146599684</v>
      </c>
      <c r="V76" s="39">
        <f t="shared" si="160"/>
        <v>6.9120402865759822E-2</v>
      </c>
      <c r="W76" s="39">
        <f t="shared" ref="W76:W139" si="183">V76/(V$11+V$23+V$35+V$83+V$131+V$47+V$59+V$71+V$95+V$107+V$119+V$143)</f>
        <v>7.8390096641163351E-2</v>
      </c>
      <c r="X76" s="40">
        <f t="shared" si="178"/>
        <v>0.1567801932823267</v>
      </c>
      <c r="Y76" s="40" t="s">
        <v>3710</v>
      </c>
      <c r="Z76" s="182">
        <f t="shared" si="156"/>
        <v>18.813623193879206</v>
      </c>
      <c r="AA76" s="182">
        <f t="shared" si="170"/>
        <v>3.1356038656465341</v>
      </c>
    </row>
    <row r="77" spans="1:28" x14ac:dyDescent="0.25">
      <c r="A77" s="229">
        <f t="shared" ref="A77" si="184">A76+1</f>
        <v>3355</v>
      </c>
      <c r="B77" s="230">
        <f t="shared" ref="B77" si="185">B76+1</f>
        <v>67</v>
      </c>
      <c r="C77" s="229" t="str">
        <f t="shared" si="181"/>
        <v>24dX13-000_060_07</v>
      </c>
      <c r="D77" s="231">
        <f t="shared" si="39"/>
        <v>13</v>
      </c>
      <c r="E77" s="204">
        <f t="shared" si="113"/>
        <v>2.149</v>
      </c>
      <c r="F77" s="198">
        <f t="shared" si="151"/>
        <v>16.530769230769231</v>
      </c>
      <c r="G77" s="198">
        <f t="shared" si="114"/>
        <v>13.224615384615385</v>
      </c>
      <c r="H77" s="198">
        <f t="shared" si="115"/>
        <v>8.2653846153846153</v>
      </c>
      <c r="I77" s="198">
        <f t="shared" si="175"/>
        <v>8</v>
      </c>
      <c r="J77" s="199">
        <f t="shared" si="175"/>
        <v>0</v>
      </c>
      <c r="K77" s="228" t="str">
        <f>D77&amp;-7</f>
        <v>13-7</v>
      </c>
      <c r="L77" s="198">
        <f t="shared" si="182"/>
        <v>0.2</v>
      </c>
      <c r="M77" s="49">
        <v>60</v>
      </c>
      <c r="N77" s="198">
        <f t="shared" si="159"/>
        <v>150</v>
      </c>
      <c r="O77" s="198">
        <f t="shared" si="159"/>
        <v>750</v>
      </c>
      <c r="P77" s="196">
        <f t="shared" si="159"/>
        <v>2</v>
      </c>
      <c r="Q77" s="56"/>
      <c r="R77" s="38">
        <f t="shared" si="169"/>
        <v>12</v>
      </c>
      <c r="S77" s="38">
        <f t="shared" si="127"/>
        <v>14</v>
      </c>
      <c r="T77" s="39">
        <f t="shared" si="116"/>
        <v>0.86609427860023702</v>
      </c>
      <c r="U77" s="39">
        <f t="shared" si="116"/>
        <v>0.93521468146599684</v>
      </c>
      <c r="V77" s="39">
        <f t="shared" si="160"/>
        <v>6.9120402865759822E-2</v>
      </c>
      <c r="W77" s="39">
        <f t="shared" si="183"/>
        <v>7.8390096641163351E-2</v>
      </c>
      <c r="X77" s="40">
        <f t="shared" si="178"/>
        <v>0.1567801932823267</v>
      </c>
      <c r="Y77" s="40" t="s">
        <v>3710</v>
      </c>
      <c r="Z77" s="182">
        <f t="shared" si="156"/>
        <v>18.813623193879206</v>
      </c>
      <c r="AA77" s="182">
        <f t="shared" si="170"/>
        <v>3.1356038656465341</v>
      </c>
    </row>
    <row r="78" spans="1:28" x14ac:dyDescent="0.25">
      <c r="A78" s="229">
        <f t="shared" ref="A78" si="186">A77+1</f>
        <v>3356</v>
      </c>
      <c r="B78" s="230">
        <f t="shared" ref="B78" si="187">B77+1</f>
        <v>68</v>
      </c>
      <c r="C78" s="229" t="str">
        <f t="shared" si="181"/>
        <v>24dX13-000_090_08</v>
      </c>
      <c r="D78" s="231">
        <f t="shared" si="39"/>
        <v>13</v>
      </c>
      <c r="E78" s="204">
        <f t="shared" si="113"/>
        <v>2.149</v>
      </c>
      <c r="F78" s="198">
        <f t="shared" si="151"/>
        <v>16.530769230769231</v>
      </c>
      <c r="G78" s="198">
        <f t="shared" si="114"/>
        <v>13.224615384615385</v>
      </c>
      <c r="H78" s="198">
        <f t="shared" si="115"/>
        <v>8.2653846153846153</v>
      </c>
      <c r="I78" s="198">
        <f t="shared" si="175"/>
        <v>8</v>
      </c>
      <c r="J78" s="199">
        <f t="shared" si="175"/>
        <v>0</v>
      </c>
      <c r="K78" s="228" t="str">
        <f>D78&amp;-8</f>
        <v>13-8</v>
      </c>
      <c r="L78" s="198">
        <f t="shared" si="182"/>
        <v>0.2</v>
      </c>
      <c r="M78" s="49">
        <v>90</v>
      </c>
      <c r="N78" s="198">
        <f t="shared" si="159"/>
        <v>150</v>
      </c>
      <c r="O78" s="198">
        <f t="shared" si="159"/>
        <v>750</v>
      </c>
      <c r="P78" s="196">
        <f t="shared" si="159"/>
        <v>2</v>
      </c>
      <c r="Q78" s="56"/>
      <c r="R78" s="38">
        <f t="shared" si="169"/>
        <v>12</v>
      </c>
      <c r="S78" s="38">
        <f t="shared" si="127"/>
        <v>14</v>
      </c>
      <c r="T78" s="39">
        <f t="shared" si="116"/>
        <v>0.86609427860023702</v>
      </c>
      <c r="U78" s="39">
        <f t="shared" si="116"/>
        <v>0.93521468146599684</v>
      </c>
      <c r="V78" s="39">
        <f t="shared" si="160"/>
        <v>6.9120402865759822E-2</v>
      </c>
      <c r="W78" s="39">
        <f t="shared" si="183"/>
        <v>7.8390096641163351E-2</v>
      </c>
      <c r="X78" s="40">
        <f t="shared" si="178"/>
        <v>0.1567801932823267</v>
      </c>
      <c r="Y78" s="40" t="s">
        <v>3710</v>
      </c>
      <c r="Z78" s="182">
        <f t="shared" si="156"/>
        <v>18.813623193879206</v>
      </c>
      <c r="AA78" s="182">
        <f t="shared" si="170"/>
        <v>3.1356038656465341</v>
      </c>
    </row>
    <row r="79" spans="1:28" x14ac:dyDescent="0.25">
      <c r="A79" s="229">
        <f t="shared" ref="A79" si="188">A78+1</f>
        <v>3357</v>
      </c>
      <c r="B79" s="230">
        <f t="shared" ref="B79" si="189">B78+1</f>
        <v>69</v>
      </c>
      <c r="C79" s="229" t="str">
        <f t="shared" si="181"/>
        <v>24dX13-000_000_09</v>
      </c>
      <c r="D79" s="231">
        <f t="shared" si="39"/>
        <v>13</v>
      </c>
      <c r="E79" s="204">
        <f t="shared" si="113"/>
        <v>2.149</v>
      </c>
      <c r="F79" s="198">
        <f t="shared" si="151"/>
        <v>16.530769230769231</v>
      </c>
      <c r="G79" s="198">
        <f t="shared" si="114"/>
        <v>13.224615384615385</v>
      </c>
      <c r="H79" s="198">
        <f t="shared" si="115"/>
        <v>8.2653846153846153</v>
      </c>
      <c r="I79" s="198">
        <f t="shared" si="175"/>
        <v>8</v>
      </c>
      <c r="J79" s="199">
        <f t="shared" si="175"/>
        <v>0</v>
      </c>
      <c r="K79" s="228" t="str">
        <f>D79&amp;-9</f>
        <v>13-9</v>
      </c>
      <c r="L79" s="198">
        <f t="shared" si="182"/>
        <v>0.2</v>
      </c>
      <c r="M79" s="49">
        <v>0</v>
      </c>
      <c r="N79" s="198">
        <f t="shared" si="159"/>
        <v>150</v>
      </c>
      <c r="O79" s="198">
        <f t="shared" si="159"/>
        <v>750</v>
      </c>
      <c r="P79" s="196">
        <f t="shared" si="159"/>
        <v>2</v>
      </c>
      <c r="Q79" s="56"/>
      <c r="R79" s="38">
        <f t="shared" si="169"/>
        <v>12</v>
      </c>
      <c r="S79" s="38">
        <f t="shared" si="127"/>
        <v>14</v>
      </c>
      <c r="T79" s="39">
        <f t="shared" si="116"/>
        <v>0.86609427860023702</v>
      </c>
      <c r="U79" s="39">
        <f t="shared" si="116"/>
        <v>0.93521468146599684</v>
      </c>
      <c r="V79" s="39">
        <f t="shared" si="160"/>
        <v>6.9120402865759822E-2</v>
      </c>
      <c r="W79" s="39">
        <f t="shared" si="183"/>
        <v>7.8390096641163351E-2</v>
      </c>
      <c r="X79" s="40">
        <f t="shared" si="178"/>
        <v>0.1567801932823267</v>
      </c>
      <c r="Y79" s="40" t="s">
        <v>3710</v>
      </c>
      <c r="Z79" s="182">
        <f t="shared" si="156"/>
        <v>18.813623193879206</v>
      </c>
      <c r="AA79" s="182">
        <f t="shared" si="170"/>
        <v>3.1356038656465341</v>
      </c>
    </row>
    <row r="80" spans="1:28" x14ac:dyDescent="0.25">
      <c r="A80" s="229">
        <f t="shared" ref="A80" si="190">A79+1</f>
        <v>3358</v>
      </c>
      <c r="B80" s="230">
        <f t="shared" ref="B80" si="191">B79+1</f>
        <v>70</v>
      </c>
      <c r="C80" s="229" t="str">
        <f t="shared" si="181"/>
        <v>24dX13-000_030_10</v>
      </c>
      <c r="D80" s="231">
        <f t="shared" si="39"/>
        <v>13</v>
      </c>
      <c r="E80" s="204">
        <f t="shared" si="113"/>
        <v>2.149</v>
      </c>
      <c r="F80" s="198">
        <f t="shared" si="151"/>
        <v>16.530769230769231</v>
      </c>
      <c r="G80" s="198">
        <f t="shared" si="114"/>
        <v>13.224615384615385</v>
      </c>
      <c r="H80" s="198">
        <f t="shared" si="115"/>
        <v>8.2653846153846153</v>
      </c>
      <c r="I80" s="198">
        <f t="shared" si="175"/>
        <v>8</v>
      </c>
      <c r="J80" s="199">
        <f t="shared" si="175"/>
        <v>0</v>
      </c>
      <c r="K80" s="228" t="str">
        <f>D80&amp;-10</f>
        <v>13-10</v>
      </c>
      <c r="L80" s="198">
        <f t="shared" si="182"/>
        <v>0.2</v>
      </c>
      <c r="M80" s="49">
        <v>30</v>
      </c>
      <c r="N80" s="198">
        <f t="shared" si="159"/>
        <v>150</v>
      </c>
      <c r="O80" s="198">
        <f t="shared" si="159"/>
        <v>750</v>
      </c>
      <c r="P80" s="196">
        <f t="shared" si="159"/>
        <v>2</v>
      </c>
      <c r="Q80" s="56"/>
      <c r="R80" s="38">
        <f t="shared" si="169"/>
        <v>12</v>
      </c>
      <c r="S80" s="38">
        <f t="shared" si="127"/>
        <v>14</v>
      </c>
      <c r="T80" s="39">
        <f t="shared" si="116"/>
        <v>0.86609427860023702</v>
      </c>
      <c r="U80" s="39">
        <f t="shared" si="116"/>
        <v>0.93521468146599684</v>
      </c>
      <c r="V80" s="39">
        <f t="shared" si="160"/>
        <v>6.9120402865759822E-2</v>
      </c>
      <c r="W80" s="39">
        <f t="shared" si="183"/>
        <v>7.8390096641163351E-2</v>
      </c>
      <c r="X80" s="40">
        <f t="shared" si="178"/>
        <v>0.1567801932823267</v>
      </c>
      <c r="Y80" s="40" t="s">
        <v>3710</v>
      </c>
      <c r="Z80" s="182">
        <f t="shared" si="156"/>
        <v>18.813623193879206</v>
      </c>
      <c r="AA80" s="182">
        <f t="shared" si="170"/>
        <v>3.1356038656465341</v>
      </c>
    </row>
    <row r="81" spans="1:28" x14ac:dyDescent="0.25">
      <c r="A81" s="229">
        <f t="shared" ref="A81" si="192">A80+1</f>
        <v>3359</v>
      </c>
      <c r="B81" s="230">
        <f t="shared" ref="B81" si="193">B80+1</f>
        <v>71</v>
      </c>
      <c r="C81" s="229" t="str">
        <f t="shared" si="181"/>
        <v>24dX13-000_060_11</v>
      </c>
      <c r="D81" s="231">
        <f t="shared" si="39"/>
        <v>13</v>
      </c>
      <c r="E81" s="204">
        <f t="shared" si="113"/>
        <v>2.149</v>
      </c>
      <c r="F81" s="198">
        <f t="shared" si="151"/>
        <v>16.530769230769231</v>
      </c>
      <c r="G81" s="198">
        <f t="shared" si="114"/>
        <v>13.224615384615385</v>
      </c>
      <c r="H81" s="198">
        <f t="shared" si="115"/>
        <v>8.2653846153846153</v>
      </c>
      <c r="I81" s="198">
        <f t="shared" si="175"/>
        <v>8</v>
      </c>
      <c r="J81" s="199">
        <f t="shared" si="175"/>
        <v>0</v>
      </c>
      <c r="K81" s="228" t="str">
        <f>D81&amp;-11</f>
        <v>13-11</v>
      </c>
      <c r="L81" s="198">
        <f t="shared" si="182"/>
        <v>0.2</v>
      </c>
      <c r="M81" s="49">
        <v>60</v>
      </c>
      <c r="N81" s="198">
        <f t="shared" si="159"/>
        <v>150</v>
      </c>
      <c r="O81" s="198">
        <f t="shared" si="159"/>
        <v>750</v>
      </c>
      <c r="P81" s="196">
        <f t="shared" si="159"/>
        <v>2</v>
      </c>
      <c r="Q81" s="56"/>
      <c r="R81" s="38">
        <f t="shared" si="169"/>
        <v>12</v>
      </c>
      <c r="S81" s="38">
        <f t="shared" si="127"/>
        <v>14</v>
      </c>
      <c r="T81" s="39">
        <f t="shared" si="116"/>
        <v>0.86609427860023702</v>
      </c>
      <c r="U81" s="39">
        <f t="shared" si="116"/>
        <v>0.93521468146599684</v>
      </c>
      <c r="V81" s="39">
        <f t="shared" si="160"/>
        <v>6.9120402865759822E-2</v>
      </c>
      <c r="W81" s="39">
        <f t="shared" si="183"/>
        <v>7.8390096641163351E-2</v>
      </c>
      <c r="X81" s="40">
        <f t="shared" si="178"/>
        <v>0.1567801932823267</v>
      </c>
      <c r="Y81" s="40" t="s">
        <v>3710</v>
      </c>
      <c r="Z81" s="182">
        <f t="shared" si="156"/>
        <v>18.813623193879206</v>
      </c>
      <c r="AA81" s="182">
        <f t="shared" si="170"/>
        <v>3.1356038656465341</v>
      </c>
    </row>
    <row r="82" spans="1:28" x14ac:dyDescent="0.25">
      <c r="A82" s="229">
        <f t="shared" ref="A82" si="194">A81+1</f>
        <v>3360</v>
      </c>
      <c r="B82" s="230">
        <f t="shared" ref="B82" si="195">B81+1</f>
        <v>72</v>
      </c>
      <c r="C82" s="229" t="str">
        <f t="shared" si="181"/>
        <v>24dX13-000_090_12</v>
      </c>
      <c r="D82" s="231">
        <f t="shared" si="39"/>
        <v>13</v>
      </c>
      <c r="E82" s="204">
        <f t="shared" si="113"/>
        <v>2.149</v>
      </c>
      <c r="F82" s="198">
        <f t="shared" si="151"/>
        <v>16.530769230769231</v>
      </c>
      <c r="G82" s="198">
        <f t="shared" si="114"/>
        <v>13.224615384615385</v>
      </c>
      <c r="H82" s="198">
        <f t="shared" si="115"/>
        <v>8.2653846153846153</v>
      </c>
      <c r="I82" s="198">
        <f t="shared" si="175"/>
        <v>8</v>
      </c>
      <c r="J82" s="199">
        <f t="shared" si="175"/>
        <v>0</v>
      </c>
      <c r="K82" s="228" t="str">
        <f>D82&amp;-12</f>
        <v>13-12</v>
      </c>
      <c r="L82" s="198">
        <f t="shared" si="182"/>
        <v>0.2</v>
      </c>
      <c r="M82" s="49">
        <v>90</v>
      </c>
      <c r="N82" s="198">
        <f t="shared" si="159"/>
        <v>150</v>
      </c>
      <c r="O82" s="198">
        <f t="shared" si="159"/>
        <v>750</v>
      </c>
      <c r="P82" s="196">
        <f t="shared" si="159"/>
        <v>2</v>
      </c>
      <c r="Q82" s="56"/>
      <c r="R82" s="38">
        <f t="shared" si="169"/>
        <v>12</v>
      </c>
      <c r="S82" s="38">
        <f t="shared" si="127"/>
        <v>14</v>
      </c>
      <c r="T82" s="39">
        <f t="shared" si="116"/>
        <v>0.86609427860023702</v>
      </c>
      <c r="U82" s="39">
        <f t="shared" si="116"/>
        <v>0.93521468146599684</v>
      </c>
      <c r="V82" s="39">
        <f>U82-T82</f>
        <v>6.9120402865759822E-2</v>
      </c>
      <c r="W82" s="39">
        <f t="shared" si="183"/>
        <v>7.8390096641163351E-2</v>
      </c>
      <c r="X82" s="40">
        <f t="shared" si="178"/>
        <v>0.1567801932823267</v>
      </c>
      <c r="Y82" s="40" t="s">
        <v>3710</v>
      </c>
      <c r="Z82" s="182">
        <f t="shared" si="156"/>
        <v>18.813623193879206</v>
      </c>
      <c r="AA82" s="182">
        <f t="shared" si="170"/>
        <v>3.1356038656465341</v>
      </c>
    </row>
    <row r="83" spans="1:28" x14ac:dyDescent="0.25">
      <c r="A83" s="229">
        <f t="shared" ref="A83" si="196">A82+1</f>
        <v>3361</v>
      </c>
      <c r="B83" s="230">
        <f t="shared" ref="B83" si="197">B82+1</f>
        <v>73</v>
      </c>
      <c r="C83" s="229" t="str">
        <f t="shared" si="181"/>
        <v>24dX15-000_000_01</v>
      </c>
      <c r="D83" s="231">
        <f>D82+v_step</f>
        <v>15</v>
      </c>
      <c r="E83" s="204">
        <f t="shared" ref="E83:E130" si="198">I_ref*(0.75*D83+5.6)</f>
        <v>2.3590000000000004</v>
      </c>
      <c r="F83" s="198">
        <f t="shared" ref="F83:F112" si="199">E83/D83*100</f>
        <v>15.72666666666667</v>
      </c>
      <c r="G83" s="198">
        <f t="shared" ref="G83:G130" si="200">m_ty*F83</f>
        <v>12.581333333333337</v>
      </c>
      <c r="H83" s="198">
        <f t="shared" ref="H83:H130" si="201">m_tz*F83</f>
        <v>7.8633333333333351</v>
      </c>
      <c r="I83" s="198">
        <f>inflow</f>
        <v>8</v>
      </c>
      <c r="J83" s="199">
        <f>yaw_null</f>
        <v>0</v>
      </c>
      <c r="K83" s="228" t="str">
        <f>D83&amp;-1</f>
        <v>15-1</v>
      </c>
      <c r="L83" s="198">
        <f>alpha_n</f>
        <v>0.2</v>
      </c>
      <c r="M83" s="49">
        <v>0</v>
      </c>
      <c r="N83" s="198">
        <f>t_out</f>
        <v>150</v>
      </c>
      <c r="O83" s="198">
        <f>N83+T_s1</f>
        <v>750</v>
      </c>
      <c r="P83" s="196">
        <f>Pitch_angle_powprod</f>
        <v>2</v>
      </c>
      <c r="Q83" s="56"/>
      <c r="R83" s="38">
        <f>S82</f>
        <v>14</v>
      </c>
      <c r="S83" s="38">
        <f t="shared" si="127"/>
        <v>16</v>
      </c>
      <c r="T83" s="39">
        <f t="shared" ref="T83:U92" si="202">IF(wpd="Rayleigh",1-EXP(-PI()*((R83/2/v_ave)^2)),IF(wpd="Weibull",1-EXP(-((R83/weibull_A)^weibull_K))))</f>
        <v>0.93521468146599684</v>
      </c>
      <c r="U83" s="39">
        <f t="shared" si="202"/>
        <v>0.97196872164248893</v>
      </c>
      <c r="V83" s="39">
        <f t="shared" ref="V83:V130" si="203">U83-T83</f>
        <v>3.6754040176492087E-2</v>
      </c>
      <c r="W83" s="39">
        <f t="shared" si="183"/>
        <v>4.1683101398930819E-2</v>
      </c>
      <c r="X83" s="40">
        <f t="shared" si="178"/>
        <v>8.3366202797861624E-2</v>
      </c>
      <c r="Y83" s="40" t="s">
        <v>3710</v>
      </c>
      <c r="Z83" s="182">
        <f t="shared" si="156"/>
        <v>10.003944335743395</v>
      </c>
      <c r="AA83" s="182">
        <f>X83*20</f>
        <v>1.6673240559572324</v>
      </c>
      <c r="AB83" s="176"/>
    </row>
    <row r="84" spans="1:28" x14ac:dyDescent="0.25">
      <c r="A84" s="229">
        <f t="shared" ref="A84" si="204">A83+1</f>
        <v>3362</v>
      </c>
      <c r="B84" s="230">
        <f t="shared" ref="B84" si="205">B83+1</f>
        <v>74</v>
      </c>
      <c r="C84" s="229" t="str">
        <f t="shared" si="181"/>
        <v>24dX15-000_030_02</v>
      </c>
      <c r="D84" s="231">
        <f t="shared" si="39"/>
        <v>15</v>
      </c>
      <c r="E84" s="204">
        <f t="shared" si="198"/>
        <v>2.3590000000000004</v>
      </c>
      <c r="F84" s="198">
        <f t="shared" si="199"/>
        <v>15.72666666666667</v>
      </c>
      <c r="G84" s="198">
        <f t="shared" si="200"/>
        <v>12.581333333333337</v>
      </c>
      <c r="H84" s="198">
        <f t="shared" si="201"/>
        <v>7.8633333333333351</v>
      </c>
      <c r="I84" s="198">
        <f t="shared" ref="I84:J89" si="206">I83</f>
        <v>8</v>
      </c>
      <c r="J84" s="199">
        <f>J83</f>
        <v>0</v>
      </c>
      <c r="K84" s="228" t="str">
        <f>D84&amp;-2</f>
        <v>15-2</v>
      </c>
      <c r="L84" s="198">
        <f t="shared" ref="L84:L123" si="207">L83</f>
        <v>0.2</v>
      </c>
      <c r="M84" s="49">
        <v>30</v>
      </c>
      <c r="N84" s="198">
        <f t="shared" ref="N84:P99" si="208">N83</f>
        <v>150</v>
      </c>
      <c r="O84" s="198">
        <f t="shared" si="208"/>
        <v>750</v>
      </c>
      <c r="P84" s="196">
        <f>P83</f>
        <v>2</v>
      </c>
      <c r="Q84" s="56"/>
      <c r="R84" s="38">
        <f t="shared" ref="R84:R147" si="209">R83</f>
        <v>14</v>
      </c>
      <c r="S84" s="38">
        <f t="shared" si="127"/>
        <v>16</v>
      </c>
      <c r="T84" s="39">
        <f t="shared" si="202"/>
        <v>0.93521468146599684</v>
      </c>
      <c r="U84" s="39">
        <f t="shared" si="202"/>
        <v>0.97196872164248893</v>
      </c>
      <c r="V84" s="39">
        <f t="shared" si="203"/>
        <v>3.6754040176492087E-2</v>
      </c>
      <c r="W84" s="39">
        <f t="shared" si="183"/>
        <v>4.1683101398930819E-2</v>
      </c>
      <c r="X84" s="40">
        <f t="shared" si="178"/>
        <v>8.3366202797861624E-2</v>
      </c>
      <c r="Y84" s="40" t="s">
        <v>3710</v>
      </c>
      <c r="Z84" s="182">
        <f t="shared" si="156"/>
        <v>10.003944335743395</v>
      </c>
      <c r="AA84" s="182">
        <f t="shared" ref="AA84:AA94" si="210">X84*20</f>
        <v>1.6673240559572324</v>
      </c>
    </row>
    <row r="85" spans="1:28" x14ac:dyDescent="0.25">
      <c r="A85" s="229">
        <f t="shared" ref="A85" si="211">A84+1</f>
        <v>3363</v>
      </c>
      <c r="B85" s="230">
        <f t="shared" ref="B85" si="212">B84+1</f>
        <v>75</v>
      </c>
      <c r="C85" s="229" t="str">
        <f t="shared" si="181"/>
        <v>24dX15-000_060_03</v>
      </c>
      <c r="D85" s="231">
        <f t="shared" si="39"/>
        <v>15</v>
      </c>
      <c r="E85" s="204">
        <f t="shared" si="198"/>
        <v>2.3590000000000004</v>
      </c>
      <c r="F85" s="198">
        <f t="shared" si="199"/>
        <v>15.72666666666667</v>
      </c>
      <c r="G85" s="198">
        <f t="shared" si="200"/>
        <v>12.581333333333337</v>
      </c>
      <c r="H85" s="198">
        <f t="shared" si="201"/>
        <v>7.8633333333333351</v>
      </c>
      <c r="I85" s="198">
        <f t="shared" si="206"/>
        <v>8</v>
      </c>
      <c r="J85" s="199">
        <f t="shared" si="206"/>
        <v>0</v>
      </c>
      <c r="K85" s="228" t="str">
        <f>D85&amp;-3</f>
        <v>15-3</v>
      </c>
      <c r="L85" s="198">
        <f t="shared" si="207"/>
        <v>0.2</v>
      </c>
      <c r="M85" s="49">
        <v>60</v>
      </c>
      <c r="N85" s="198">
        <f t="shared" si="208"/>
        <v>150</v>
      </c>
      <c r="O85" s="198">
        <f t="shared" si="208"/>
        <v>750</v>
      </c>
      <c r="P85" s="196">
        <f t="shared" si="208"/>
        <v>2</v>
      </c>
      <c r="Q85" s="56"/>
      <c r="R85" s="38">
        <f t="shared" si="209"/>
        <v>14</v>
      </c>
      <c r="S85" s="38">
        <f t="shared" si="127"/>
        <v>16</v>
      </c>
      <c r="T85" s="39">
        <f t="shared" si="202"/>
        <v>0.93521468146599684</v>
      </c>
      <c r="U85" s="39">
        <f t="shared" si="202"/>
        <v>0.97196872164248893</v>
      </c>
      <c r="V85" s="39">
        <f t="shared" si="203"/>
        <v>3.6754040176492087E-2</v>
      </c>
      <c r="W85" s="39">
        <f t="shared" si="183"/>
        <v>4.1683101398930819E-2</v>
      </c>
      <c r="X85" s="40">
        <f t="shared" si="178"/>
        <v>8.3366202797861624E-2</v>
      </c>
      <c r="Y85" s="40" t="s">
        <v>3710</v>
      </c>
      <c r="Z85" s="182">
        <f t="shared" si="156"/>
        <v>10.003944335743395</v>
      </c>
      <c r="AA85" s="182">
        <f t="shared" si="210"/>
        <v>1.6673240559572324</v>
      </c>
    </row>
    <row r="86" spans="1:28" x14ac:dyDescent="0.25">
      <c r="A86" s="229">
        <f t="shared" ref="A86" si="213">A85+1</f>
        <v>3364</v>
      </c>
      <c r="B86" s="230">
        <f t="shared" ref="B86" si="214">B85+1</f>
        <v>76</v>
      </c>
      <c r="C86" s="229" t="str">
        <f t="shared" si="181"/>
        <v>24dX15-000_090_04</v>
      </c>
      <c r="D86" s="231">
        <f t="shared" si="39"/>
        <v>15</v>
      </c>
      <c r="E86" s="204">
        <f t="shared" si="198"/>
        <v>2.3590000000000004</v>
      </c>
      <c r="F86" s="198">
        <f t="shared" si="199"/>
        <v>15.72666666666667</v>
      </c>
      <c r="G86" s="198">
        <f t="shared" si="200"/>
        <v>12.581333333333337</v>
      </c>
      <c r="H86" s="198">
        <f t="shared" si="201"/>
        <v>7.8633333333333351</v>
      </c>
      <c r="I86" s="198">
        <f t="shared" si="206"/>
        <v>8</v>
      </c>
      <c r="J86" s="199">
        <f t="shared" si="206"/>
        <v>0</v>
      </c>
      <c r="K86" s="228" t="str">
        <f>D86&amp;-4</f>
        <v>15-4</v>
      </c>
      <c r="L86" s="198">
        <f t="shared" si="207"/>
        <v>0.2</v>
      </c>
      <c r="M86" s="49">
        <v>90</v>
      </c>
      <c r="N86" s="198">
        <f t="shared" si="208"/>
        <v>150</v>
      </c>
      <c r="O86" s="198">
        <f t="shared" si="208"/>
        <v>750</v>
      </c>
      <c r="P86" s="196">
        <f t="shared" si="208"/>
        <v>2</v>
      </c>
      <c r="Q86" s="56"/>
      <c r="R86" s="38">
        <f t="shared" si="209"/>
        <v>14</v>
      </c>
      <c r="S86" s="38">
        <f t="shared" si="127"/>
        <v>16</v>
      </c>
      <c r="T86" s="39">
        <f t="shared" si="202"/>
        <v>0.93521468146599684</v>
      </c>
      <c r="U86" s="39">
        <f t="shared" si="202"/>
        <v>0.97196872164248893</v>
      </c>
      <c r="V86" s="39">
        <f t="shared" si="203"/>
        <v>3.6754040176492087E-2</v>
      </c>
      <c r="W86" s="39">
        <f t="shared" si="183"/>
        <v>4.1683101398930819E-2</v>
      </c>
      <c r="X86" s="40">
        <f t="shared" si="178"/>
        <v>8.3366202797861624E-2</v>
      </c>
      <c r="Y86" s="40" t="s">
        <v>3710</v>
      </c>
      <c r="Z86" s="182">
        <f t="shared" si="156"/>
        <v>10.003944335743395</v>
      </c>
      <c r="AA86" s="182">
        <f t="shared" si="210"/>
        <v>1.6673240559572324</v>
      </c>
    </row>
    <row r="87" spans="1:28" x14ac:dyDescent="0.25">
      <c r="A87" s="229">
        <f t="shared" ref="A87" si="215">A86+1</f>
        <v>3365</v>
      </c>
      <c r="B87" s="230">
        <f t="shared" ref="B87" si="216">B86+1</f>
        <v>77</v>
      </c>
      <c r="C87" s="229" t="str">
        <f t="shared" si="181"/>
        <v>24dX15-000_000_05</v>
      </c>
      <c r="D87" s="231">
        <f t="shared" si="39"/>
        <v>15</v>
      </c>
      <c r="E87" s="204">
        <f t="shared" si="198"/>
        <v>2.3590000000000004</v>
      </c>
      <c r="F87" s="198">
        <f t="shared" si="199"/>
        <v>15.72666666666667</v>
      </c>
      <c r="G87" s="198">
        <f t="shared" si="200"/>
        <v>12.581333333333337</v>
      </c>
      <c r="H87" s="198">
        <f t="shared" si="201"/>
        <v>7.8633333333333351</v>
      </c>
      <c r="I87" s="198">
        <f t="shared" si="206"/>
        <v>8</v>
      </c>
      <c r="J87" s="199">
        <f t="shared" si="206"/>
        <v>0</v>
      </c>
      <c r="K87" s="228" t="str">
        <f>D87&amp;-5</f>
        <v>15-5</v>
      </c>
      <c r="L87" s="198">
        <f t="shared" si="207"/>
        <v>0.2</v>
      </c>
      <c r="M87" s="49">
        <v>0</v>
      </c>
      <c r="N87" s="198">
        <f t="shared" si="208"/>
        <v>150</v>
      </c>
      <c r="O87" s="198">
        <f t="shared" si="208"/>
        <v>750</v>
      </c>
      <c r="P87" s="196">
        <f t="shared" si="208"/>
        <v>2</v>
      </c>
      <c r="Q87" s="56"/>
      <c r="R87" s="38">
        <f t="shared" si="209"/>
        <v>14</v>
      </c>
      <c r="S87" s="38">
        <f t="shared" ref="S87:S118" si="217">R87+v_step</f>
        <v>16</v>
      </c>
      <c r="T87" s="39">
        <f t="shared" si="202"/>
        <v>0.93521468146599684</v>
      </c>
      <c r="U87" s="39">
        <f t="shared" si="202"/>
        <v>0.97196872164248893</v>
      </c>
      <c r="V87" s="39">
        <f t="shared" si="203"/>
        <v>3.6754040176492087E-2</v>
      </c>
      <c r="W87" s="39">
        <f t="shared" si="183"/>
        <v>4.1683101398930819E-2</v>
      </c>
      <c r="X87" s="40">
        <f t="shared" si="178"/>
        <v>8.3366202797861624E-2</v>
      </c>
      <c r="Y87" s="40" t="s">
        <v>3710</v>
      </c>
      <c r="Z87" s="182">
        <f t="shared" si="156"/>
        <v>10.003944335743395</v>
      </c>
      <c r="AA87" s="182">
        <f t="shared" si="210"/>
        <v>1.6673240559572324</v>
      </c>
    </row>
    <row r="88" spans="1:28" x14ac:dyDescent="0.25">
      <c r="A88" s="229">
        <f t="shared" ref="A88" si="218">A87+1</f>
        <v>3366</v>
      </c>
      <c r="B88" s="230">
        <f t="shared" ref="B88" si="219">B87+1</f>
        <v>78</v>
      </c>
      <c r="C88" s="229" t="str">
        <f t="shared" si="181"/>
        <v>24dX15-000_030_06</v>
      </c>
      <c r="D88" s="231">
        <f t="shared" ref="D88:D94" si="220">D87</f>
        <v>15</v>
      </c>
      <c r="E88" s="204">
        <f t="shared" si="198"/>
        <v>2.3590000000000004</v>
      </c>
      <c r="F88" s="198">
        <f t="shared" si="199"/>
        <v>15.72666666666667</v>
      </c>
      <c r="G88" s="198">
        <f t="shared" si="200"/>
        <v>12.581333333333337</v>
      </c>
      <c r="H88" s="198">
        <f t="shared" si="201"/>
        <v>7.8633333333333351</v>
      </c>
      <c r="I88" s="198">
        <f t="shared" si="206"/>
        <v>8</v>
      </c>
      <c r="J88" s="199">
        <f t="shared" si="206"/>
        <v>0</v>
      </c>
      <c r="K88" s="228" t="str">
        <f>D88&amp;-6</f>
        <v>15-6</v>
      </c>
      <c r="L88" s="198">
        <f t="shared" si="207"/>
        <v>0.2</v>
      </c>
      <c r="M88" s="49">
        <v>30</v>
      </c>
      <c r="N88" s="198">
        <f t="shared" si="208"/>
        <v>150</v>
      </c>
      <c r="O88" s="198">
        <f t="shared" si="208"/>
        <v>750</v>
      </c>
      <c r="P88" s="196">
        <f t="shared" si="208"/>
        <v>2</v>
      </c>
      <c r="Q88" s="56"/>
      <c r="R88" s="38">
        <f t="shared" si="209"/>
        <v>14</v>
      </c>
      <c r="S88" s="38">
        <f t="shared" si="217"/>
        <v>16</v>
      </c>
      <c r="T88" s="39">
        <f t="shared" si="202"/>
        <v>0.93521468146599684</v>
      </c>
      <c r="U88" s="39">
        <f t="shared" si="202"/>
        <v>0.97196872164248893</v>
      </c>
      <c r="V88" s="39">
        <f t="shared" si="203"/>
        <v>3.6754040176492087E-2</v>
      </c>
      <c r="W88" s="39">
        <f t="shared" si="183"/>
        <v>4.1683101398930819E-2</v>
      </c>
      <c r="X88" s="40">
        <f t="shared" si="178"/>
        <v>8.3366202797861624E-2</v>
      </c>
      <c r="Y88" s="40" t="s">
        <v>3710</v>
      </c>
      <c r="Z88" s="182">
        <f t="shared" si="156"/>
        <v>10.003944335743395</v>
      </c>
      <c r="AA88" s="182">
        <f t="shared" si="210"/>
        <v>1.6673240559572324</v>
      </c>
    </row>
    <row r="89" spans="1:28" x14ac:dyDescent="0.25">
      <c r="A89" s="229">
        <f t="shared" ref="A89" si="221">A88+1</f>
        <v>3367</v>
      </c>
      <c r="B89" s="230">
        <f t="shared" ref="B89" si="222">B88+1</f>
        <v>79</v>
      </c>
      <c r="C89" s="229" t="str">
        <f t="shared" si="181"/>
        <v>24dX15-000_060_07</v>
      </c>
      <c r="D89" s="231">
        <f t="shared" si="220"/>
        <v>15</v>
      </c>
      <c r="E89" s="204">
        <f t="shared" si="198"/>
        <v>2.3590000000000004</v>
      </c>
      <c r="F89" s="198">
        <f t="shared" si="199"/>
        <v>15.72666666666667</v>
      </c>
      <c r="G89" s="198">
        <f t="shared" si="200"/>
        <v>12.581333333333337</v>
      </c>
      <c r="H89" s="198">
        <f t="shared" si="201"/>
        <v>7.8633333333333351</v>
      </c>
      <c r="I89" s="198">
        <f t="shared" si="206"/>
        <v>8</v>
      </c>
      <c r="J89" s="199">
        <f t="shared" si="206"/>
        <v>0</v>
      </c>
      <c r="K89" s="228" t="str">
        <f>D89&amp;-7</f>
        <v>15-7</v>
      </c>
      <c r="L89" s="198">
        <f t="shared" si="207"/>
        <v>0.2</v>
      </c>
      <c r="M89" s="49">
        <v>60</v>
      </c>
      <c r="N89" s="198">
        <f t="shared" si="208"/>
        <v>150</v>
      </c>
      <c r="O89" s="198">
        <f t="shared" si="208"/>
        <v>750</v>
      </c>
      <c r="P89" s="196">
        <f t="shared" si="208"/>
        <v>2</v>
      </c>
      <c r="Q89" s="56"/>
      <c r="R89" s="38">
        <f t="shared" si="209"/>
        <v>14</v>
      </c>
      <c r="S89" s="38">
        <f t="shared" si="217"/>
        <v>16</v>
      </c>
      <c r="T89" s="39">
        <f t="shared" si="202"/>
        <v>0.93521468146599684</v>
      </c>
      <c r="U89" s="39">
        <f t="shared" si="202"/>
        <v>0.97196872164248893</v>
      </c>
      <c r="V89" s="39">
        <f t="shared" si="203"/>
        <v>3.6754040176492087E-2</v>
      </c>
      <c r="W89" s="39">
        <f t="shared" si="183"/>
        <v>4.1683101398930819E-2</v>
      </c>
      <c r="X89" s="40">
        <f t="shared" si="178"/>
        <v>8.3366202797861624E-2</v>
      </c>
      <c r="Y89" s="40" t="s">
        <v>3710</v>
      </c>
      <c r="Z89" s="182">
        <f t="shared" si="156"/>
        <v>10.003944335743395</v>
      </c>
      <c r="AA89" s="182">
        <f t="shared" si="210"/>
        <v>1.6673240559572324</v>
      </c>
    </row>
    <row r="90" spans="1:28" x14ac:dyDescent="0.25">
      <c r="A90" s="229">
        <f t="shared" ref="A90" si="223">A89+1</f>
        <v>3368</v>
      </c>
      <c r="B90" s="230">
        <f t="shared" ref="B90" si="224">B89+1</f>
        <v>80</v>
      </c>
      <c r="C90" s="229" t="str">
        <f t="shared" si="181"/>
        <v>24dX15-000_090_08</v>
      </c>
      <c r="D90" s="231">
        <f t="shared" si="220"/>
        <v>15</v>
      </c>
      <c r="E90" s="204">
        <f t="shared" si="198"/>
        <v>2.3590000000000004</v>
      </c>
      <c r="F90" s="198">
        <f t="shared" si="199"/>
        <v>15.72666666666667</v>
      </c>
      <c r="G90" s="198">
        <f t="shared" si="200"/>
        <v>12.581333333333337</v>
      </c>
      <c r="H90" s="198">
        <f t="shared" si="201"/>
        <v>7.8633333333333351</v>
      </c>
      <c r="I90" s="198">
        <f t="shared" ref="I90:J105" si="225">I89</f>
        <v>8</v>
      </c>
      <c r="J90" s="199">
        <f t="shared" si="225"/>
        <v>0</v>
      </c>
      <c r="K90" s="228" t="str">
        <f>D90&amp;-8</f>
        <v>15-8</v>
      </c>
      <c r="L90" s="198">
        <f t="shared" si="207"/>
        <v>0.2</v>
      </c>
      <c r="M90" s="49">
        <v>90</v>
      </c>
      <c r="N90" s="198">
        <f t="shared" si="208"/>
        <v>150</v>
      </c>
      <c r="O90" s="198">
        <f t="shared" si="208"/>
        <v>750</v>
      </c>
      <c r="P90" s="196">
        <f t="shared" si="208"/>
        <v>2</v>
      </c>
      <c r="Q90" s="56"/>
      <c r="R90" s="38">
        <f t="shared" si="209"/>
        <v>14</v>
      </c>
      <c r="S90" s="38">
        <f t="shared" si="217"/>
        <v>16</v>
      </c>
      <c r="T90" s="39">
        <f t="shared" si="202"/>
        <v>0.93521468146599684</v>
      </c>
      <c r="U90" s="39">
        <f t="shared" si="202"/>
        <v>0.97196872164248893</v>
      </c>
      <c r="V90" s="39">
        <f t="shared" si="203"/>
        <v>3.6754040176492087E-2</v>
      </c>
      <c r="W90" s="39">
        <f t="shared" si="183"/>
        <v>4.1683101398930819E-2</v>
      </c>
      <c r="X90" s="40">
        <f t="shared" si="178"/>
        <v>8.3366202797861624E-2</v>
      </c>
      <c r="Y90" s="40" t="s">
        <v>3710</v>
      </c>
      <c r="Z90" s="182">
        <f t="shared" si="156"/>
        <v>10.003944335743395</v>
      </c>
      <c r="AA90" s="182">
        <f t="shared" si="210"/>
        <v>1.6673240559572324</v>
      </c>
    </row>
    <row r="91" spans="1:28" x14ac:dyDescent="0.25">
      <c r="A91" s="229">
        <f t="shared" ref="A91" si="226">A90+1</f>
        <v>3369</v>
      </c>
      <c r="B91" s="230">
        <f t="shared" ref="B91" si="227">B90+1</f>
        <v>81</v>
      </c>
      <c r="C91" s="229" t="str">
        <f t="shared" si="181"/>
        <v>24dX15-000_000_09</v>
      </c>
      <c r="D91" s="231">
        <f t="shared" si="220"/>
        <v>15</v>
      </c>
      <c r="E91" s="204">
        <f t="shared" si="198"/>
        <v>2.3590000000000004</v>
      </c>
      <c r="F91" s="198">
        <f t="shared" si="199"/>
        <v>15.72666666666667</v>
      </c>
      <c r="G91" s="198">
        <f t="shared" si="200"/>
        <v>12.581333333333337</v>
      </c>
      <c r="H91" s="198">
        <f t="shared" si="201"/>
        <v>7.8633333333333351</v>
      </c>
      <c r="I91" s="198">
        <f t="shared" si="225"/>
        <v>8</v>
      </c>
      <c r="J91" s="199">
        <f t="shared" si="225"/>
        <v>0</v>
      </c>
      <c r="K91" s="228" t="str">
        <f>D91&amp;-9</f>
        <v>15-9</v>
      </c>
      <c r="L91" s="198">
        <f t="shared" si="207"/>
        <v>0.2</v>
      </c>
      <c r="M91" s="49">
        <v>0</v>
      </c>
      <c r="N91" s="198">
        <f t="shared" si="208"/>
        <v>150</v>
      </c>
      <c r="O91" s="198">
        <f t="shared" si="208"/>
        <v>750</v>
      </c>
      <c r="P91" s="196">
        <f t="shared" si="208"/>
        <v>2</v>
      </c>
      <c r="Q91" s="56"/>
      <c r="R91" s="38">
        <f t="shared" si="209"/>
        <v>14</v>
      </c>
      <c r="S91" s="38">
        <f t="shared" si="217"/>
        <v>16</v>
      </c>
      <c r="T91" s="39">
        <f t="shared" si="202"/>
        <v>0.93521468146599684</v>
      </c>
      <c r="U91" s="39">
        <f t="shared" si="202"/>
        <v>0.97196872164248893</v>
      </c>
      <c r="V91" s="39">
        <f t="shared" si="203"/>
        <v>3.6754040176492087E-2</v>
      </c>
      <c r="W91" s="39">
        <f t="shared" si="183"/>
        <v>4.1683101398930819E-2</v>
      </c>
      <c r="X91" s="40">
        <f t="shared" si="178"/>
        <v>8.3366202797861624E-2</v>
      </c>
      <c r="Y91" s="40" t="s">
        <v>3710</v>
      </c>
      <c r="Z91" s="182">
        <f t="shared" si="156"/>
        <v>10.003944335743395</v>
      </c>
      <c r="AA91" s="182">
        <f t="shared" si="210"/>
        <v>1.6673240559572324</v>
      </c>
    </row>
    <row r="92" spans="1:28" x14ac:dyDescent="0.25">
      <c r="A92" s="229">
        <f t="shared" ref="A92" si="228">A91+1</f>
        <v>3370</v>
      </c>
      <c r="B92" s="230">
        <f t="shared" ref="B92" si="229">B91+1</f>
        <v>82</v>
      </c>
      <c r="C92" s="229" t="str">
        <f t="shared" si="181"/>
        <v>24dX15-000_030_10</v>
      </c>
      <c r="D92" s="231">
        <f t="shared" si="220"/>
        <v>15</v>
      </c>
      <c r="E92" s="204">
        <f t="shared" si="198"/>
        <v>2.3590000000000004</v>
      </c>
      <c r="F92" s="198">
        <f t="shared" si="199"/>
        <v>15.72666666666667</v>
      </c>
      <c r="G92" s="198">
        <f t="shared" si="200"/>
        <v>12.581333333333337</v>
      </c>
      <c r="H92" s="198">
        <f t="shared" si="201"/>
        <v>7.8633333333333351</v>
      </c>
      <c r="I92" s="198">
        <f t="shared" si="225"/>
        <v>8</v>
      </c>
      <c r="J92" s="199">
        <f t="shared" si="225"/>
        <v>0</v>
      </c>
      <c r="K92" s="228" t="str">
        <f>D92&amp;-10</f>
        <v>15-10</v>
      </c>
      <c r="L92" s="198">
        <f t="shared" si="207"/>
        <v>0.2</v>
      </c>
      <c r="M92" s="49">
        <v>30</v>
      </c>
      <c r="N92" s="198">
        <f t="shared" si="208"/>
        <v>150</v>
      </c>
      <c r="O92" s="198">
        <f t="shared" si="208"/>
        <v>750</v>
      </c>
      <c r="P92" s="196">
        <f t="shared" si="208"/>
        <v>2</v>
      </c>
      <c r="Q92" s="56"/>
      <c r="R92" s="38">
        <f t="shared" si="209"/>
        <v>14</v>
      </c>
      <c r="S92" s="38">
        <f t="shared" si="217"/>
        <v>16</v>
      </c>
      <c r="T92" s="39">
        <f t="shared" si="202"/>
        <v>0.93521468146599684</v>
      </c>
      <c r="U92" s="39">
        <f t="shared" si="202"/>
        <v>0.97196872164248893</v>
      </c>
      <c r="V92" s="39">
        <f t="shared" si="203"/>
        <v>3.6754040176492087E-2</v>
      </c>
      <c r="W92" s="39">
        <f t="shared" si="183"/>
        <v>4.1683101398930819E-2</v>
      </c>
      <c r="X92" s="40">
        <f t="shared" si="178"/>
        <v>8.3366202797861624E-2</v>
      </c>
      <c r="Y92" s="40" t="s">
        <v>3710</v>
      </c>
      <c r="Z92" s="182">
        <f t="shared" si="156"/>
        <v>10.003944335743395</v>
      </c>
      <c r="AA92" s="182">
        <f t="shared" si="210"/>
        <v>1.6673240559572324</v>
      </c>
    </row>
    <row r="93" spans="1:28" x14ac:dyDescent="0.25">
      <c r="A93" s="229">
        <f t="shared" ref="A93" si="230">A92+1</f>
        <v>3371</v>
      </c>
      <c r="B93" s="230">
        <f t="shared" ref="B93" si="231">B92+1</f>
        <v>83</v>
      </c>
      <c r="C93" s="229" t="str">
        <f t="shared" si="181"/>
        <v>24dX15-000_060_11</v>
      </c>
      <c r="D93" s="231">
        <f t="shared" si="220"/>
        <v>15</v>
      </c>
      <c r="E93" s="204">
        <f t="shared" si="198"/>
        <v>2.3590000000000004</v>
      </c>
      <c r="F93" s="198">
        <f t="shared" si="199"/>
        <v>15.72666666666667</v>
      </c>
      <c r="G93" s="198">
        <f t="shared" si="200"/>
        <v>12.581333333333337</v>
      </c>
      <c r="H93" s="198">
        <f t="shared" si="201"/>
        <v>7.8633333333333351</v>
      </c>
      <c r="I93" s="198">
        <f t="shared" si="225"/>
        <v>8</v>
      </c>
      <c r="J93" s="199">
        <f t="shared" si="225"/>
        <v>0</v>
      </c>
      <c r="K93" s="228" t="str">
        <f>D93&amp;-11</f>
        <v>15-11</v>
      </c>
      <c r="L93" s="198">
        <f t="shared" si="207"/>
        <v>0.2</v>
      </c>
      <c r="M93" s="49">
        <v>60</v>
      </c>
      <c r="N93" s="198">
        <f t="shared" si="208"/>
        <v>150</v>
      </c>
      <c r="O93" s="198">
        <f t="shared" si="208"/>
        <v>750</v>
      </c>
      <c r="P93" s="196">
        <f t="shared" si="208"/>
        <v>2</v>
      </c>
      <c r="Q93" s="56"/>
      <c r="R93" s="38">
        <f t="shared" si="209"/>
        <v>14</v>
      </c>
      <c r="S93" s="38">
        <f t="shared" si="217"/>
        <v>16</v>
      </c>
      <c r="T93" s="39">
        <f t="shared" ref="T93:U130" si="232">IF(wpd="Rayleigh",1-EXP(-PI()*((R93/2/v_ave)^2)),IF(wpd="Weibull",1-EXP(-((R93/weibull_A)^weibull_K))))</f>
        <v>0.93521468146599684</v>
      </c>
      <c r="U93" s="39">
        <f t="shared" si="232"/>
        <v>0.97196872164248893</v>
      </c>
      <c r="V93" s="39">
        <f t="shared" si="203"/>
        <v>3.6754040176492087E-2</v>
      </c>
      <c r="W93" s="39">
        <f t="shared" si="183"/>
        <v>4.1683101398930819E-2</v>
      </c>
      <c r="X93" s="40">
        <f t="shared" si="178"/>
        <v>8.3366202797861624E-2</v>
      </c>
      <c r="Y93" s="40" t="s">
        <v>3710</v>
      </c>
      <c r="Z93" s="182">
        <f t="shared" si="156"/>
        <v>10.003944335743395</v>
      </c>
      <c r="AA93" s="182">
        <f t="shared" si="210"/>
        <v>1.6673240559572324</v>
      </c>
    </row>
    <row r="94" spans="1:28" x14ac:dyDescent="0.25">
      <c r="A94" s="229">
        <f t="shared" ref="A94" si="233">A93+1</f>
        <v>3372</v>
      </c>
      <c r="B94" s="230">
        <f t="shared" ref="B94" si="234">B93+1</f>
        <v>84</v>
      </c>
      <c r="C94" s="229" t="str">
        <f t="shared" si="181"/>
        <v>24dX15-000_090_12</v>
      </c>
      <c r="D94" s="231">
        <f t="shared" si="220"/>
        <v>15</v>
      </c>
      <c r="E94" s="204">
        <f t="shared" si="198"/>
        <v>2.3590000000000004</v>
      </c>
      <c r="F94" s="198">
        <f t="shared" si="199"/>
        <v>15.72666666666667</v>
      </c>
      <c r="G94" s="198">
        <f t="shared" si="200"/>
        <v>12.581333333333337</v>
      </c>
      <c r="H94" s="198">
        <f t="shared" si="201"/>
        <v>7.8633333333333351</v>
      </c>
      <c r="I94" s="198">
        <f t="shared" si="225"/>
        <v>8</v>
      </c>
      <c r="J94" s="199">
        <f t="shared" si="225"/>
        <v>0</v>
      </c>
      <c r="K94" s="228" t="str">
        <f>D94&amp;-12</f>
        <v>15-12</v>
      </c>
      <c r="L94" s="198">
        <f t="shared" si="207"/>
        <v>0.2</v>
      </c>
      <c r="M94" s="49">
        <v>90</v>
      </c>
      <c r="N94" s="198">
        <f t="shared" si="208"/>
        <v>150</v>
      </c>
      <c r="O94" s="198">
        <f t="shared" si="208"/>
        <v>750</v>
      </c>
      <c r="P94" s="196">
        <f t="shared" si="208"/>
        <v>2</v>
      </c>
      <c r="Q94" s="56"/>
      <c r="R94" s="38">
        <f t="shared" si="209"/>
        <v>14</v>
      </c>
      <c r="S94" s="38">
        <f t="shared" si="217"/>
        <v>16</v>
      </c>
      <c r="T94" s="39">
        <f t="shared" si="232"/>
        <v>0.93521468146599684</v>
      </c>
      <c r="U94" s="39">
        <f t="shared" si="232"/>
        <v>0.97196872164248893</v>
      </c>
      <c r="V94" s="39">
        <f t="shared" si="203"/>
        <v>3.6754040176492087E-2</v>
      </c>
      <c r="W94" s="39">
        <f t="shared" si="183"/>
        <v>4.1683101398930819E-2</v>
      </c>
      <c r="X94" s="40">
        <f t="shared" si="178"/>
        <v>8.3366202797861624E-2</v>
      </c>
      <c r="Y94" s="40" t="s">
        <v>3710</v>
      </c>
      <c r="Z94" s="182">
        <f t="shared" si="156"/>
        <v>10.003944335743395</v>
      </c>
      <c r="AA94" s="182">
        <f t="shared" si="210"/>
        <v>1.6673240559572324</v>
      </c>
    </row>
    <row r="95" spans="1:28" x14ac:dyDescent="0.25">
      <c r="A95" s="229">
        <f t="shared" ref="A95" si="235">A94+1</f>
        <v>3373</v>
      </c>
      <c r="B95" s="230">
        <f t="shared" ref="B95" si="236">B94+1</f>
        <v>85</v>
      </c>
      <c r="C95" s="229" t="str">
        <f t="shared" si="181"/>
        <v>24dX17-000_000_01</v>
      </c>
      <c r="D95" s="231">
        <f>D94+v_step</f>
        <v>17</v>
      </c>
      <c r="E95" s="204">
        <f t="shared" si="198"/>
        <v>2.5690000000000004</v>
      </c>
      <c r="F95" s="198">
        <f t="shared" si="199"/>
        <v>15.111764705882354</v>
      </c>
      <c r="G95" s="198">
        <f t="shared" si="200"/>
        <v>12.089411764705885</v>
      </c>
      <c r="H95" s="198">
        <f t="shared" si="201"/>
        <v>7.5558823529411772</v>
      </c>
      <c r="I95" s="198">
        <f t="shared" si="225"/>
        <v>8</v>
      </c>
      <c r="J95" s="199">
        <f t="shared" si="225"/>
        <v>0</v>
      </c>
      <c r="K95" s="228" t="str">
        <f>D95&amp;-1</f>
        <v>17-1</v>
      </c>
      <c r="L95" s="198">
        <f t="shared" si="207"/>
        <v>0.2</v>
      </c>
      <c r="M95" s="49">
        <v>0</v>
      </c>
      <c r="N95" s="198">
        <f t="shared" si="208"/>
        <v>150</v>
      </c>
      <c r="O95" s="198">
        <f t="shared" si="208"/>
        <v>750</v>
      </c>
      <c r="P95" s="196">
        <f t="shared" si="208"/>
        <v>2</v>
      </c>
      <c r="Q95" s="56"/>
      <c r="R95" s="38">
        <f>S94</f>
        <v>16</v>
      </c>
      <c r="S95" s="38">
        <f t="shared" si="217"/>
        <v>18</v>
      </c>
      <c r="T95" s="39">
        <f t="shared" si="232"/>
        <v>0.97196872164248893</v>
      </c>
      <c r="U95" s="39">
        <f t="shared" si="232"/>
        <v>0.98915328946183989</v>
      </c>
      <c r="V95" s="39">
        <f t="shared" si="203"/>
        <v>1.718456781935096E-2</v>
      </c>
      <c r="W95" s="39">
        <f t="shared" si="183"/>
        <v>1.948917940643052E-2</v>
      </c>
      <c r="X95" s="40">
        <f t="shared" si="178"/>
        <v>3.897835881286104E-2</v>
      </c>
      <c r="Y95" s="40" t="s">
        <v>3710</v>
      </c>
      <c r="Z95" s="182">
        <f t="shared" si="156"/>
        <v>4.6774030575433247</v>
      </c>
      <c r="AA95" s="182">
        <f>X95*20</f>
        <v>0.77956717625722083</v>
      </c>
      <c r="AB95" s="176"/>
    </row>
    <row r="96" spans="1:28" x14ac:dyDescent="0.25">
      <c r="A96" s="229">
        <f t="shared" ref="A96" si="237">A95+1</f>
        <v>3374</v>
      </c>
      <c r="B96" s="230">
        <f t="shared" ref="B96" si="238">B95+1</f>
        <v>86</v>
      </c>
      <c r="C96" s="229" t="str">
        <f t="shared" si="181"/>
        <v>24dX17-000_030_02</v>
      </c>
      <c r="D96" s="231">
        <f t="shared" ref="D96:D106" si="239">D95</f>
        <v>17</v>
      </c>
      <c r="E96" s="204">
        <f t="shared" si="198"/>
        <v>2.5690000000000004</v>
      </c>
      <c r="F96" s="198">
        <f t="shared" si="199"/>
        <v>15.111764705882354</v>
      </c>
      <c r="G96" s="198">
        <f t="shared" si="200"/>
        <v>12.089411764705885</v>
      </c>
      <c r="H96" s="198">
        <f t="shared" si="201"/>
        <v>7.5558823529411772</v>
      </c>
      <c r="I96" s="198">
        <f t="shared" si="225"/>
        <v>8</v>
      </c>
      <c r="J96" s="199">
        <f t="shared" si="225"/>
        <v>0</v>
      </c>
      <c r="K96" s="228" t="str">
        <f>D96&amp;-2</f>
        <v>17-2</v>
      </c>
      <c r="L96" s="198">
        <f t="shared" si="207"/>
        <v>0.2</v>
      </c>
      <c r="M96" s="49">
        <v>30</v>
      </c>
      <c r="N96" s="198">
        <f t="shared" si="208"/>
        <v>150</v>
      </c>
      <c r="O96" s="198">
        <f t="shared" si="208"/>
        <v>750</v>
      </c>
      <c r="P96" s="196">
        <f t="shared" si="208"/>
        <v>2</v>
      </c>
      <c r="Q96" s="56"/>
      <c r="R96" s="38">
        <f t="shared" si="209"/>
        <v>16</v>
      </c>
      <c r="S96" s="38">
        <f t="shared" si="217"/>
        <v>18</v>
      </c>
      <c r="T96" s="39">
        <f t="shared" si="232"/>
        <v>0.97196872164248893</v>
      </c>
      <c r="U96" s="39">
        <f t="shared" si="232"/>
        <v>0.98915328946183989</v>
      </c>
      <c r="V96" s="39">
        <f t="shared" si="203"/>
        <v>1.718456781935096E-2</v>
      </c>
      <c r="W96" s="39">
        <f t="shared" si="183"/>
        <v>1.948917940643052E-2</v>
      </c>
      <c r="X96" s="40">
        <f t="shared" si="178"/>
        <v>3.897835881286104E-2</v>
      </c>
      <c r="Y96" s="40" t="s">
        <v>3710</v>
      </c>
      <c r="Z96" s="182">
        <f t="shared" si="156"/>
        <v>4.6774030575433247</v>
      </c>
      <c r="AA96" s="182">
        <f t="shared" ref="AA96:AA106" si="240">X96*20</f>
        <v>0.77956717625722083</v>
      </c>
    </row>
    <row r="97" spans="1:28" x14ac:dyDescent="0.25">
      <c r="A97" s="229">
        <f t="shared" ref="A97" si="241">A96+1</f>
        <v>3375</v>
      </c>
      <c r="B97" s="230">
        <f t="shared" ref="B97" si="242">B96+1</f>
        <v>87</v>
      </c>
      <c r="C97" s="229" t="str">
        <f t="shared" si="181"/>
        <v>24dX17-000_060_03</v>
      </c>
      <c r="D97" s="231">
        <f t="shared" si="239"/>
        <v>17</v>
      </c>
      <c r="E97" s="204">
        <f t="shared" si="198"/>
        <v>2.5690000000000004</v>
      </c>
      <c r="F97" s="198">
        <f t="shared" si="199"/>
        <v>15.111764705882354</v>
      </c>
      <c r="G97" s="198">
        <f t="shared" si="200"/>
        <v>12.089411764705885</v>
      </c>
      <c r="H97" s="198">
        <f t="shared" si="201"/>
        <v>7.5558823529411772</v>
      </c>
      <c r="I97" s="198">
        <f t="shared" si="225"/>
        <v>8</v>
      </c>
      <c r="J97" s="199">
        <f t="shared" si="225"/>
        <v>0</v>
      </c>
      <c r="K97" s="228" t="str">
        <f>D97&amp;-3</f>
        <v>17-3</v>
      </c>
      <c r="L97" s="198">
        <f t="shared" si="207"/>
        <v>0.2</v>
      </c>
      <c r="M97" s="49">
        <v>60</v>
      </c>
      <c r="N97" s="198">
        <f t="shared" si="208"/>
        <v>150</v>
      </c>
      <c r="O97" s="198">
        <f t="shared" si="208"/>
        <v>750</v>
      </c>
      <c r="P97" s="196">
        <f t="shared" si="208"/>
        <v>2</v>
      </c>
      <c r="Q97" s="56"/>
      <c r="R97" s="38">
        <f t="shared" si="209"/>
        <v>16</v>
      </c>
      <c r="S97" s="38">
        <f t="shared" si="217"/>
        <v>18</v>
      </c>
      <c r="T97" s="39">
        <f t="shared" si="232"/>
        <v>0.97196872164248893</v>
      </c>
      <c r="U97" s="39">
        <f t="shared" si="232"/>
        <v>0.98915328946183989</v>
      </c>
      <c r="V97" s="39">
        <f t="shared" si="203"/>
        <v>1.718456781935096E-2</v>
      </c>
      <c r="W97" s="39">
        <f t="shared" si="183"/>
        <v>1.948917940643052E-2</v>
      </c>
      <c r="X97" s="40">
        <f t="shared" si="178"/>
        <v>3.897835881286104E-2</v>
      </c>
      <c r="Y97" s="40" t="s">
        <v>3710</v>
      </c>
      <c r="Z97" s="182">
        <f t="shared" si="156"/>
        <v>4.6774030575433247</v>
      </c>
      <c r="AA97" s="182">
        <f t="shared" si="240"/>
        <v>0.77956717625722083</v>
      </c>
    </row>
    <row r="98" spans="1:28" x14ac:dyDescent="0.25">
      <c r="A98" s="229">
        <f t="shared" ref="A98" si="243">A97+1</f>
        <v>3376</v>
      </c>
      <c r="B98" s="230">
        <f t="shared" ref="B98" si="244">B97+1</f>
        <v>88</v>
      </c>
      <c r="C98" s="229" t="str">
        <f t="shared" si="181"/>
        <v>24dX17-000_090_04</v>
      </c>
      <c r="D98" s="231">
        <f t="shared" si="239"/>
        <v>17</v>
      </c>
      <c r="E98" s="204">
        <f t="shared" si="198"/>
        <v>2.5690000000000004</v>
      </c>
      <c r="F98" s="198">
        <f t="shared" si="199"/>
        <v>15.111764705882354</v>
      </c>
      <c r="G98" s="198">
        <f t="shared" si="200"/>
        <v>12.089411764705885</v>
      </c>
      <c r="H98" s="198">
        <f t="shared" si="201"/>
        <v>7.5558823529411772</v>
      </c>
      <c r="I98" s="198">
        <f t="shared" si="225"/>
        <v>8</v>
      </c>
      <c r="J98" s="199">
        <f t="shared" si="225"/>
        <v>0</v>
      </c>
      <c r="K98" s="228" t="str">
        <f>D98&amp;-4</f>
        <v>17-4</v>
      </c>
      <c r="L98" s="198">
        <f t="shared" si="207"/>
        <v>0.2</v>
      </c>
      <c r="M98" s="49">
        <v>90</v>
      </c>
      <c r="N98" s="198">
        <f t="shared" si="208"/>
        <v>150</v>
      </c>
      <c r="O98" s="198">
        <f t="shared" si="208"/>
        <v>750</v>
      </c>
      <c r="P98" s="196">
        <f t="shared" si="208"/>
        <v>2</v>
      </c>
      <c r="Q98" s="56"/>
      <c r="R98" s="38">
        <f t="shared" si="209"/>
        <v>16</v>
      </c>
      <c r="S98" s="38">
        <f t="shared" si="217"/>
        <v>18</v>
      </c>
      <c r="T98" s="39">
        <f t="shared" si="232"/>
        <v>0.97196872164248893</v>
      </c>
      <c r="U98" s="39">
        <f t="shared" si="232"/>
        <v>0.98915328946183989</v>
      </c>
      <c r="V98" s="39">
        <f t="shared" si="203"/>
        <v>1.718456781935096E-2</v>
      </c>
      <c r="W98" s="39">
        <f t="shared" si="183"/>
        <v>1.948917940643052E-2</v>
      </c>
      <c r="X98" s="40">
        <f t="shared" si="178"/>
        <v>3.897835881286104E-2</v>
      </c>
      <c r="Y98" s="40" t="s">
        <v>3710</v>
      </c>
      <c r="Z98" s="182">
        <f t="shared" si="156"/>
        <v>4.6774030575433247</v>
      </c>
      <c r="AA98" s="182">
        <f t="shared" si="240"/>
        <v>0.77956717625722083</v>
      </c>
    </row>
    <row r="99" spans="1:28" x14ac:dyDescent="0.25">
      <c r="A99" s="229">
        <f t="shared" ref="A99" si="245">A98+1</f>
        <v>3377</v>
      </c>
      <c r="B99" s="230">
        <f t="shared" ref="B99" si="246">B98+1</f>
        <v>89</v>
      </c>
      <c r="C99" s="229" t="str">
        <f t="shared" si="181"/>
        <v>24dX17-000_000_05</v>
      </c>
      <c r="D99" s="231">
        <f t="shared" si="239"/>
        <v>17</v>
      </c>
      <c r="E99" s="204">
        <f t="shared" si="198"/>
        <v>2.5690000000000004</v>
      </c>
      <c r="F99" s="198">
        <f t="shared" si="199"/>
        <v>15.111764705882354</v>
      </c>
      <c r="G99" s="198">
        <f t="shared" si="200"/>
        <v>12.089411764705885</v>
      </c>
      <c r="H99" s="198">
        <f t="shared" si="201"/>
        <v>7.5558823529411772</v>
      </c>
      <c r="I99" s="198">
        <f t="shared" si="225"/>
        <v>8</v>
      </c>
      <c r="J99" s="199">
        <f t="shared" si="225"/>
        <v>0</v>
      </c>
      <c r="K99" s="228" t="str">
        <f>D99&amp;-5</f>
        <v>17-5</v>
      </c>
      <c r="L99" s="198">
        <f t="shared" si="207"/>
        <v>0.2</v>
      </c>
      <c r="M99" s="49">
        <v>0</v>
      </c>
      <c r="N99" s="198">
        <f t="shared" si="208"/>
        <v>150</v>
      </c>
      <c r="O99" s="198">
        <f t="shared" si="208"/>
        <v>750</v>
      </c>
      <c r="P99" s="196">
        <f t="shared" si="208"/>
        <v>2</v>
      </c>
      <c r="Q99" s="56"/>
      <c r="R99" s="38">
        <f t="shared" si="209"/>
        <v>16</v>
      </c>
      <c r="S99" s="38">
        <f t="shared" si="217"/>
        <v>18</v>
      </c>
      <c r="T99" s="39">
        <f t="shared" si="232"/>
        <v>0.97196872164248893</v>
      </c>
      <c r="U99" s="39">
        <f t="shared" si="232"/>
        <v>0.98915328946183989</v>
      </c>
      <c r="V99" s="39">
        <f t="shared" si="203"/>
        <v>1.718456781935096E-2</v>
      </c>
      <c r="W99" s="39">
        <f t="shared" si="183"/>
        <v>1.948917940643052E-2</v>
      </c>
      <c r="X99" s="40">
        <f t="shared" si="178"/>
        <v>3.897835881286104E-2</v>
      </c>
      <c r="Y99" s="40" t="s">
        <v>3710</v>
      </c>
      <c r="Z99" s="182">
        <f t="shared" ref="Z99:Z130" si="247">AA99*3600/(O99-N99)</f>
        <v>4.6774030575433247</v>
      </c>
      <c r="AA99" s="182">
        <f t="shared" si="240"/>
        <v>0.77956717625722083</v>
      </c>
    </row>
    <row r="100" spans="1:28" x14ac:dyDescent="0.25">
      <c r="A100" s="229">
        <f t="shared" ref="A100" si="248">A99+1</f>
        <v>3378</v>
      </c>
      <c r="B100" s="230">
        <f t="shared" ref="B100" si="249">B99+1</f>
        <v>90</v>
      </c>
      <c r="C100" s="229" t="str">
        <f t="shared" si="181"/>
        <v>24dX17-000_030_06</v>
      </c>
      <c r="D100" s="231">
        <f t="shared" si="239"/>
        <v>17</v>
      </c>
      <c r="E100" s="204">
        <f t="shared" si="198"/>
        <v>2.5690000000000004</v>
      </c>
      <c r="F100" s="198">
        <f t="shared" si="199"/>
        <v>15.111764705882354</v>
      </c>
      <c r="G100" s="198">
        <f t="shared" si="200"/>
        <v>12.089411764705885</v>
      </c>
      <c r="H100" s="198">
        <f t="shared" si="201"/>
        <v>7.5558823529411772</v>
      </c>
      <c r="I100" s="198">
        <f t="shared" si="225"/>
        <v>8</v>
      </c>
      <c r="J100" s="199">
        <f t="shared" si="225"/>
        <v>0</v>
      </c>
      <c r="K100" s="228" t="str">
        <f>D100&amp;-6</f>
        <v>17-6</v>
      </c>
      <c r="L100" s="198">
        <f t="shared" si="207"/>
        <v>0.2</v>
      </c>
      <c r="M100" s="49">
        <v>30</v>
      </c>
      <c r="N100" s="198">
        <f t="shared" ref="N100:P115" si="250">N99</f>
        <v>150</v>
      </c>
      <c r="O100" s="198">
        <f t="shared" si="250"/>
        <v>750</v>
      </c>
      <c r="P100" s="196">
        <f t="shared" si="250"/>
        <v>2</v>
      </c>
      <c r="Q100" s="56"/>
      <c r="R100" s="38">
        <f t="shared" si="209"/>
        <v>16</v>
      </c>
      <c r="S100" s="38">
        <f t="shared" si="217"/>
        <v>18</v>
      </c>
      <c r="T100" s="39">
        <f t="shared" si="232"/>
        <v>0.97196872164248893</v>
      </c>
      <c r="U100" s="39">
        <f t="shared" si="232"/>
        <v>0.98915328946183989</v>
      </c>
      <c r="V100" s="39">
        <f t="shared" si="203"/>
        <v>1.718456781935096E-2</v>
      </c>
      <c r="W100" s="39">
        <f t="shared" si="183"/>
        <v>1.948917940643052E-2</v>
      </c>
      <c r="X100" s="40">
        <f t="shared" si="178"/>
        <v>3.897835881286104E-2</v>
      </c>
      <c r="Y100" s="40" t="s">
        <v>3710</v>
      </c>
      <c r="Z100" s="182">
        <f t="shared" si="247"/>
        <v>4.6774030575433247</v>
      </c>
      <c r="AA100" s="182">
        <f t="shared" si="240"/>
        <v>0.77956717625722083</v>
      </c>
    </row>
    <row r="101" spans="1:28" x14ac:dyDescent="0.25">
      <c r="A101" s="229">
        <f t="shared" ref="A101" si="251">A100+1</f>
        <v>3379</v>
      </c>
      <c r="B101" s="230">
        <f t="shared" ref="B101" si="252">B100+1</f>
        <v>91</v>
      </c>
      <c r="C101" s="229" t="str">
        <f t="shared" si="181"/>
        <v>24dX17-000_060_07</v>
      </c>
      <c r="D101" s="231">
        <f t="shared" si="239"/>
        <v>17</v>
      </c>
      <c r="E101" s="204">
        <f t="shared" si="198"/>
        <v>2.5690000000000004</v>
      </c>
      <c r="F101" s="198">
        <f t="shared" si="199"/>
        <v>15.111764705882354</v>
      </c>
      <c r="G101" s="198">
        <f t="shared" si="200"/>
        <v>12.089411764705885</v>
      </c>
      <c r="H101" s="198">
        <f t="shared" si="201"/>
        <v>7.5558823529411772</v>
      </c>
      <c r="I101" s="198">
        <f t="shared" si="225"/>
        <v>8</v>
      </c>
      <c r="J101" s="199">
        <f t="shared" si="225"/>
        <v>0</v>
      </c>
      <c r="K101" s="228" t="str">
        <f>D101&amp;-7</f>
        <v>17-7</v>
      </c>
      <c r="L101" s="198">
        <f t="shared" si="207"/>
        <v>0.2</v>
      </c>
      <c r="M101" s="49">
        <v>60</v>
      </c>
      <c r="N101" s="198">
        <f t="shared" si="250"/>
        <v>150</v>
      </c>
      <c r="O101" s="198">
        <f t="shared" si="250"/>
        <v>750</v>
      </c>
      <c r="P101" s="196">
        <f t="shared" si="250"/>
        <v>2</v>
      </c>
      <c r="Q101" s="56"/>
      <c r="R101" s="38">
        <f t="shared" si="209"/>
        <v>16</v>
      </c>
      <c r="S101" s="38">
        <f t="shared" si="217"/>
        <v>18</v>
      </c>
      <c r="T101" s="39">
        <f t="shared" si="232"/>
        <v>0.97196872164248893</v>
      </c>
      <c r="U101" s="39">
        <f t="shared" si="232"/>
        <v>0.98915328946183989</v>
      </c>
      <c r="V101" s="39">
        <f t="shared" si="203"/>
        <v>1.718456781935096E-2</v>
      </c>
      <c r="W101" s="39">
        <f t="shared" si="183"/>
        <v>1.948917940643052E-2</v>
      </c>
      <c r="X101" s="40">
        <f t="shared" si="178"/>
        <v>3.897835881286104E-2</v>
      </c>
      <c r="Y101" s="40" t="s">
        <v>3710</v>
      </c>
      <c r="Z101" s="182">
        <f t="shared" si="247"/>
        <v>4.6774030575433247</v>
      </c>
      <c r="AA101" s="182">
        <f t="shared" si="240"/>
        <v>0.77956717625722083</v>
      </c>
    </row>
    <row r="102" spans="1:28" x14ac:dyDescent="0.25">
      <c r="A102" s="229">
        <f t="shared" ref="A102" si="253">A101+1</f>
        <v>3380</v>
      </c>
      <c r="B102" s="230">
        <f t="shared" ref="B102" si="254">B101+1</f>
        <v>92</v>
      </c>
      <c r="C102" s="229" t="str">
        <f t="shared" si="181"/>
        <v>24dX17-000_090_08</v>
      </c>
      <c r="D102" s="231">
        <f t="shared" si="239"/>
        <v>17</v>
      </c>
      <c r="E102" s="204">
        <f t="shared" si="198"/>
        <v>2.5690000000000004</v>
      </c>
      <c r="F102" s="198">
        <f t="shared" si="199"/>
        <v>15.111764705882354</v>
      </c>
      <c r="G102" s="198">
        <f t="shared" si="200"/>
        <v>12.089411764705885</v>
      </c>
      <c r="H102" s="198">
        <f t="shared" si="201"/>
        <v>7.5558823529411772</v>
      </c>
      <c r="I102" s="198">
        <f t="shared" si="225"/>
        <v>8</v>
      </c>
      <c r="J102" s="199">
        <f t="shared" si="225"/>
        <v>0</v>
      </c>
      <c r="K102" s="228" t="str">
        <f>D102&amp;-8</f>
        <v>17-8</v>
      </c>
      <c r="L102" s="198">
        <f t="shared" si="207"/>
        <v>0.2</v>
      </c>
      <c r="M102" s="49">
        <v>90</v>
      </c>
      <c r="N102" s="198">
        <f t="shared" si="250"/>
        <v>150</v>
      </c>
      <c r="O102" s="198">
        <f t="shared" si="250"/>
        <v>750</v>
      </c>
      <c r="P102" s="196">
        <f t="shared" si="250"/>
        <v>2</v>
      </c>
      <c r="Q102" s="56"/>
      <c r="R102" s="38">
        <f t="shared" si="209"/>
        <v>16</v>
      </c>
      <c r="S102" s="38">
        <f t="shared" si="217"/>
        <v>18</v>
      </c>
      <c r="T102" s="39">
        <f t="shared" si="232"/>
        <v>0.97196872164248893</v>
      </c>
      <c r="U102" s="39">
        <f t="shared" si="232"/>
        <v>0.98915328946183989</v>
      </c>
      <c r="V102" s="39">
        <f t="shared" si="203"/>
        <v>1.718456781935096E-2</v>
      </c>
      <c r="W102" s="39">
        <f t="shared" si="183"/>
        <v>1.948917940643052E-2</v>
      </c>
      <c r="X102" s="40">
        <f t="shared" si="178"/>
        <v>3.897835881286104E-2</v>
      </c>
      <c r="Y102" s="40" t="s">
        <v>3710</v>
      </c>
      <c r="Z102" s="182">
        <f t="shared" si="247"/>
        <v>4.6774030575433247</v>
      </c>
      <c r="AA102" s="182">
        <f t="shared" si="240"/>
        <v>0.77956717625722083</v>
      </c>
    </row>
    <row r="103" spans="1:28" x14ac:dyDescent="0.25">
      <c r="A103" s="229">
        <f t="shared" ref="A103" si="255">A102+1</f>
        <v>3381</v>
      </c>
      <c r="B103" s="230">
        <f t="shared" ref="B103" si="256">B102+1</f>
        <v>93</v>
      </c>
      <c r="C103" s="229" t="str">
        <f t="shared" si="181"/>
        <v>24dX17-000_000_09</v>
      </c>
      <c r="D103" s="231">
        <f t="shared" si="239"/>
        <v>17</v>
      </c>
      <c r="E103" s="204">
        <f t="shared" si="198"/>
        <v>2.5690000000000004</v>
      </c>
      <c r="F103" s="198">
        <f t="shared" si="199"/>
        <v>15.111764705882354</v>
      </c>
      <c r="G103" s="198">
        <f t="shared" si="200"/>
        <v>12.089411764705885</v>
      </c>
      <c r="H103" s="198">
        <f t="shared" si="201"/>
        <v>7.5558823529411772</v>
      </c>
      <c r="I103" s="198">
        <f t="shared" si="225"/>
        <v>8</v>
      </c>
      <c r="J103" s="199">
        <f t="shared" si="225"/>
        <v>0</v>
      </c>
      <c r="K103" s="228" t="str">
        <f>D103&amp;-9</f>
        <v>17-9</v>
      </c>
      <c r="L103" s="198">
        <f t="shared" si="207"/>
        <v>0.2</v>
      </c>
      <c r="M103" s="49">
        <v>0</v>
      </c>
      <c r="N103" s="198">
        <f t="shared" si="250"/>
        <v>150</v>
      </c>
      <c r="O103" s="198">
        <f t="shared" si="250"/>
        <v>750</v>
      </c>
      <c r="P103" s="196">
        <f t="shared" si="250"/>
        <v>2</v>
      </c>
      <c r="Q103" s="56"/>
      <c r="R103" s="38">
        <f t="shared" si="209"/>
        <v>16</v>
      </c>
      <c r="S103" s="38">
        <f t="shared" si="217"/>
        <v>18</v>
      </c>
      <c r="T103" s="39">
        <f t="shared" si="232"/>
        <v>0.97196872164248893</v>
      </c>
      <c r="U103" s="39">
        <f t="shared" si="232"/>
        <v>0.98915328946183989</v>
      </c>
      <c r="V103" s="39">
        <f t="shared" si="203"/>
        <v>1.718456781935096E-2</v>
      </c>
      <c r="W103" s="39">
        <f t="shared" si="183"/>
        <v>1.948917940643052E-2</v>
      </c>
      <c r="X103" s="40">
        <f t="shared" si="178"/>
        <v>3.897835881286104E-2</v>
      </c>
      <c r="Y103" s="40" t="s">
        <v>3710</v>
      </c>
      <c r="Z103" s="182">
        <f t="shared" si="247"/>
        <v>4.6774030575433247</v>
      </c>
      <c r="AA103" s="182">
        <f t="shared" si="240"/>
        <v>0.77956717625722083</v>
      </c>
    </row>
    <row r="104" spans="1:28" x14ac:dyDescent="0.25">
      <c r="A104" s="229">
        <f t="shared" ref="A104" si="257">A103+1</f>
        <v>3382</v>
      </c>
      <c r="B104" s="230">
        <f t="shared" ref="B104" si="258">B103+1</f>
        <v>94</v>
      </c>
      <c r="C104" s="229" t="str">
        <f t="shared" si="181"/>
        <v>24dX17-000_030_10</v>
      </c>
      <c r="D104" s="231">
        <f t="shared" si="239"/>
        <v>17</v>
      </c>
      <c r="E104" s="204">
        <f t="shared" si="198"/>
        <v>2.5690000000000004</v>
      </c>
      <c r="F104" s="198">
        <f t="shared" si="199"/>
        <v>15.111764705882354</v>
      </c>
      <c r="G104" s="198">
        <f t="shared" si="200"/>
        <v>12.089411764705885</v>
      </c>
      <c r="H104" s="198">
        <f t="shared" si="201"/>
        <v>7.5558823529411772</v>
      </c>
      <c r="I104" s="198">
        <f t="shared" si="225"/>
        <v>8</v>
      </c>
      <c r="J104" s="199">
        <f t="shared" si="225"/>
        <v>0</v>
      </c>
      <c r="K104" s="228" t="str">
        <f>D104&amp;-10</f>
        <v>17-10</v>
      </c>
      <c r="L104" s="198">
        <f t="shared" si="207"/>
        <v>0.2</v>
      </c>
      <c r="M104" s="49">
        <v>30</v>
      </c>
      <c r="N104" s="198">
        <f t="shared" si="250"/>
        <v>150</v>
      </c>
      <c r="O104" s="198">
        <f t="shared" si="250"/>
        <v>750</v>
      </c>
      <c r="P104" s="196">
        <f t="shared" si="250"/>
        <v>2</v>
      </c>
      <c r="Q104" s="56"/>
      <c r="R104" s="38">
        <f t="shared" si="209"/>
        <v>16</v>
      </c>
      <c r="S104" s="38">
        <f t="shared" si="217"/>
        <v>18</v>
      </c>
      <c r="T104" s="39">
        <f t="shared" si="232"/>
        <v>0.97196872164248893</v>
      </c>
      <c r="U104" s="39">
        <f t="shared" si="232"/>
        <v>0.98915328946183989</v>
      </c>
      <c r="V104" s="39">
        <f t="shared" si="203"/>
        <v>1.718456781935096E-2</v>
      </c>
      <c r="W104" s="39">
        <f t="shared" si="183"/>
        <v>1.948917940643052E-2</v>
      </c>
      <c r="X104" s="40">
        <f t="shared" si="178"/>
        <v>3.897835881286104E-2</v>
      </c>
      <c r="Y104" s="40" t="s">
        <v>3710</v>
      </c>
      <c r="Z104" s="182">
        <f t="shared" si="247"/>
        <v>4.6774030575433247</v>
      </c>
      <c r="AA104" s="182">
        <f t="shared" si="240"/>
        <v>0.77956717625722083</v>
      </c>
    </row>
    <row r="105" spans="1:28" x14ac:dyDescent="0.25">
      <c r="A105" s="229">
        <f t="shared" ref="A105" si="259">A104+1</f>
        <v>3383</v>
      </c>
      <c r="B105" s="230">
        <f t="shared" ref="B105" si="260">B104+1</f>
        <v>95</v>
      </c>
      <c r="C105" s="229" t="str">
        <f t="shared" si="181"/>
        <v>24dX17-000_060_11</v>
      </c>
      <c r="D105" s="231">
        <f t="shared" si="239"/>
        <v>17</v>
      </c>
      <c r="E105" s="204">
        <f t="shared" si="198"/>
        <v>2.5690000000000004</v>
      </c>
      <c r="F105" s="198">
        <f t="shared" si="199"/>
        <v>15.111764705882354</v>
      </c>
      <c r="G105" s="198">
        <f t="shared" si="200"/>
        <v>12.089411764705885</v>
      </c>
      <c r="H105" s="198">
        <f t="shared" si="201"/>
        <v>7.5558823529411772</v>
      </c>
      <c r="I105" s="198">
        <f t="shared" si="225"/>
        <v>8</v>
      </c>
      <c r="J105" s="199">
        <f t="shared" si="225"/>
        <v>0</v>
      </c>
      <c r="K105" s="228" t="str">
        <f>D105&amp;-11</f>
        <v>17-11</v>
      </c>
      <c r="L105" s="198">
        <f t="shared" si="207"/>
        <v>0.2</v>
      </c>
      <c r="M105" s="49">
        <v>60</v>
      </c>
      <c r="N105" s="198">
        <f t="shared" si="250"/>
        <v>150</v>
      </c>
      <c r="O105" s="198">
        <f t="shared" si="250"/>
        <v>750</v>
      </c>
      <c r="P105" s="196">
        <f t="shared" si="250"/>
        <v>2</v>
      </c>
      <c r="Q105" s="56"/>
      <c r="R105" s="38">
        <f t="shared" si="209"/>
        <v>16</v>
      </c>
      <c r="S105" s="38">
        <f t="shared" si="217"/>
        <v>18</v>
      </c>
      <c r="T105" s="39">
        <f t="shared" si="232"/>
        <v>0.97196872164248893</v>
      </c>
      <c r="U105" s="39">
        <f t="shared" si="232"/>
        <v>0.98915328946183989</v>
      </c>
      <c r="V105" s="39">
        <f t="shared" si="203"/>
        <v>1.718456781935096E-2</v>
      </c>
      <c r="W105" s="39">
        <f t="shared" si="183"/>
        <v>1.948917940643052E-2</v>
      </c>
      <c r="X105" s="40">
        <f t="shared" si="178"/>
        <v>3.897835881286104E-2</v>
      </c>
      <c r="Y105" s="40" t="s">
        <v>3710</v>
      </c>
      <c r="Z105" s="182">
        <f t="shared" si="247"/>
        <v>4.6774030575433247</v>
      </c>
      <c r="AA105" s="182">
        <f t="shared" si="240"/>
        <v>0.77956717625722083</v>
      </c>
    </row>
    <row r="106" spans="1:28" x14ac:dyDescent="0.25">
      <c r="A106" s="229">
        <f t="shared" ref="A106" si="261">A105+1</f>
        <v>3384</v>
      </c>
      <c r="B106" s="230">
        <f t="shared" ref="B106" si="262">B105+1</f>
        <v>96</v>
      </c>
      <c r="C106" s="229" t="str">
        <f t="shared" si="181"/>
        <v>24dX17-000_090_12</v>
      </c>
      <c r="D106" s="231">
        <f t="shared" si="239"/>
        <v>17</v>
      </c>
      <c r="E106" s="204">
        <f t="shared" si="198"/>
        <v>2.5690000000000004</v>
      </c>
      <c r="F106" s="198">
        <f t="shared" si="199"/>
        <v>15.111764705882354</v>
      </c>
      <c r="G106" s="198">
        <f t="shared" si="200"/>
        <v>12.089411764705885</v>
      </c>
      <c r="H106" s="198">
        <f t="shared" si="201"/>
        <v>7.5558823529411772</v>
      </c>
      <c r="I106" s="198">
        <f t="shared" ref="I106:J121" si="263">I105</f>
        <v>8</v>
      </c>
      <c r="J106" s="199">
        <f t="shared" si="263"/>
        <v>0</v>
      </c>
      <c r="K106" s="228" t="str">
        <f>D106&amp;-12</f>
        <v>17-12</v>
      </c>
      <c r="L106" s="198">
        <f t="shared" si="207"/>
        <v>0.2</v>
      </c>
      <c r="M106" s="49">
        <v>90</v>
      </c>
      <c r="N106" s="198">
        <f t="shared" si="250"/>
        <v>150</v>
      </c>
      <c r="O106" s="198">
        <f t="shared" si="250"/>
        <v>750</v>
      </c>
      <c r="P106" s="196">
        <f t="shared" si="250"/>
        <v>2</v>
      </c>
      <c r="Q106" s="56"/>
      <c r="R106" s="38">
        <f t="shared" si="209"/>
        <v>16</v>
      </c>
      <c r="S106" s="38">
        <f t="shared" si="217"/>
        <v>18</v>
      </c>
      <c r="T106" s="39">
        <f t="shared" si="232"/>
        <v>0.97196872164248893</v>
      </c>
      <c r="U106" s="39">
        <f t="shared" si="232"/>
        <v>0.98915328946183989</v>
      </c>
      <c r="V106" s="39">
        <f t="shared" si="203"/>
        <v>1.718456781935096E-2</v>
      </c>
      <c r="W106" s="39">
        <f t="shared" si="183"/>
        <v>1.948917940643052E-2</v>
      </c>
      <c r="X106" s="40">
        <f t="shared" si="178"/>
        <v>3.897835881286104E-2</v>
      </c>
      <c r="Y106" s="40" t="s">
        <v>3710</v>
      </c>
      <c r="Z106" s="182">
        <f t="shared" si="247"/>
        <v>4.6774030575433247</v>
      </c>
      <c r="AA106" s="182">
        <f t="shared" si="240"/>
        <v>0.77956717625722083</v>
      </c>
    </row>
    <row r="107" spans="1:28" x14ac:dyDescent="0.25">
      <c r="A107" s="229">
        <f t="shared" ref="A107" si="264">A106+1</f>
        <v>3385</v>
      </c>
      <c r="B107" s="230">
        <f t="shared" ref="B107" si="265">B106+1</f>
        <v>97</v>
      </c>
      <c r="C107" s="229" t="str">
        <f t="shared" si="181"/>
        <v>24dX19-000_000_01</v>
      </c>
      <c r="D107" s="231">
        <f>D106+v_step</f>
        <v>19</v>
      </c>
      <c r="E107" s="204">
        <f t="shared" si="198"/>
        <v>2.7790000000000004</v>
      </c>
      <c r="F107" s="198">
        <f t="shared" si="199"/>
        <v>14.626315789473686</v>
      </c>
      <c r="G107" s="198">
        <f t="shared" si="200"/>
        <v>11.70105263157895</v>
      </c>
      <c r="H107" s="198">
        <f t="shared" si="201"/>
        <v>7.3131578947368432</v>
      </c>
      <c r="I107" s="198">
        <f t="shared" si="263"/>
        <v>8</v>
      </c>
      <c r="J107" s="199">
        <f t="shared" si="263"/>
        <v>0</v>
      </c>
      <c r="K107" s="228" t="str">
        <f>D107&amp;-1</f>
        <v>19-1</v>
      </c>
      <c r="L107" s="198">
        <f t="shared" si="207"/>
        <v>0.2</v>
      </c>
      <c r="M107" s="49">
        <v>0</v>
      </c>
      <c r="N107" s="198">
        <f t="shared" si="250"/>
        <v>150</v>
      </c>
      <c r="O107" s="198">
        <f t="shared" si="250"/>
        <v>750</v>
      </c>
      <c r="P107" s="196">
        <f t="shared" si="250"/>
        <v>2</v>
      </c>
      <c r="Q107" s="56"/>
      <c r="R107" s="38">
        <f>S106</f>
        <v>18</v>
      </c>
      <c r="S107" s="38">
        <f t="shared" si="217"/>
        <v>20</v>
      </c>
      <c r="T107" s="39">
        <f t="shared" si="232"/>
        <v>0.98915328946183989</v>
      </c>
      <c r="U107" s="39">
        <f t="shared" si="232"/>
        <v>0.99624645144977986</v>
      </c>
      <c r="V107" s="39">
        <f t="shared" si="203"/>
        <v>7.0931619879399666E-3</v>
      </c>
      <c r="W107" s="39">
        <f t="shared" si="183"/>
        <v>8.0444214829870839E-3</v>
      </c>
      <c r="X107" s="40">
        <f t="shared" ref="X107:X138" si="266">H_hp*W107/12</f>
        <v>1.6088842965974168E-2</v>
      </c>
      <c r="Y107" s="40" t="s">
        <v>3710</v>
      </c>
      <c r="Z107" s="182">
        <f t="shared" si="247"/>
        <v>1.9306611559169</v>
      </c>
      <c r="AA107" s="182">
        <f>X107*20</f>
        <v>0.32177685931948335</v>
      </c>
      <c r="AB107" s="176"/>
    </row>
    <row r="108" spans="1:28" x14ac:dyDescent="0.25">
      <c r="A108" s="229">
        <f t="shared" ref="A108" si="267">A107+1</f>
        <v>3386</v>
      </c>
      <c r="B108" s="230">
        <f t="shared" ref="B108" si="268">B107+1</f>
        <v>98</v>
      </c>
      <c r="C108" s="229" t="str">
        <f t="shared" si="181"/>
        <v>24dX19-000_030_02</v>
      </c>
      <c r="D108" s="231">
        <f t="shared" ref="D108:D118" si="269">D107</f>
        <v>19</v>
      </c>
      <c r="E108" s="204">
        <f t="shared" si="198"/>
        <v>2.7790000000000004</v>
      </c>
      <c r="F108" s="198">
        <f t="shared" si="199"/>
        <v>14.626315789473686</v>
      </c>
      <c r="G108" s="198">
        <f t="shared" si="200"/>
        <v>11.70105263157895</v>
      </c>
      <c r="H108" s="198">
        <f t="shared" si="201"/>
        <v>7.3131578947368432</v>
      </c>
      <c r="I108" s="198">
        <f t="shared" si="263"/>
        <v>8</v>
      </c>
      <c r="J108" s="199">
        <f t="shared" si="263"/>
        <v>0</v>
      </c>
      <c r="K108" s="228" t="str">
        <f>D108&amp;-2</f>
        <v>19-2</v>
      </c>
      <c r="L108" s="198">
        <f t="shared" si="207"/>
        <v>0.2</v>
      </c>
      <c r="M108" s="49">
        <v>30</v>
      </c>
      <c r="N108" s="198">
        <f t="shared" si="250"/>
        <v>150</v>
      </c>
      <c r="O108" s="198">
        <f t="shared" si="250"/>
        <v>750</v>
      </c>
      <c r="P108" s="196">
        <f t="shared" si="250"/>
        <v>2</v>
      </c>
      <c r="Q108" s="56"/>
      <c r="R108" s="38">
        <f t="shared" si="209"/>
        <v>18</v>
      </c>
      <c r="S108" s="38">
        <f t="shared" si="217"/>
        <v>20</v>
      </c>
      <c r="T108" s="39">
        <f t="shared" si="232"/>
        <v>0.98915328946183989</v>
      </c>
      <c r="U108" s="39">
        <f t="shared" si="232"/>
        <v>0.99624645144977986</v>
      </c>
      <c r="V108" s="39">
        <f t="shared" si="203"/>
        <v>7.0931619879399666E-3</v>
      </c>
      <c r="W108" s="39">
        <f t="shared" si="183"/>
        <v>8.0444214829870839E-3</v>
      </c>
      <c r="X108" s="40">
        <f t="shared" si="266"/>
        <v>1.6088842965974168E-2</v>
      </c>
      <c r="Y108" s="40" t="s">
        <v>3710</v>
      </c>
      <c r="Z108" s="182">
        <f t="shared" si="247"/>
        <v>1.9306611559169</v>
      </c>
      <c r="AA108" s="182">
        <f t="shared" ref="AA108:AA118" si="270">X108*20</f>
        <v>0.32177685931948335</v>
      </c>
    </row>
    <row r="109" spans="1:28" x14ac:dyDescent="0.25">
      <c r="A109" s="229">
        <f t="shared" ref="A109" si="271">A108+1</f>
        <v>3387</v>
      </c>
      <c r="B109" s="230">
        <f t="shared" ref="B109" si="272">B108+1</f>
        <v>99</v>
      </c>
      <c r="C109" s="229" t="str">
        <f t="shared" si="181"/>
        <v>24dX19-000_060_03</v>
      </c>
      <c r="D109" s="231">
        <f t="shared" si="269"/>
        <v>19</v>
      </c>
      <c r="E109" s="204">
        <f t="shared" si="198"/>
        <v>2.7790000000000004</v>
      </c>
      <c r="F109" s="198">
        <f t="shared" si="199"/>
        <v>14.626315789473686</v>
      </c>
      <c r="G109" s="198">
        <f t="shared" si="200"/>
        <v>11.70105263157895</v>
      </c>
      <c r="H109" s="198">
        <f t="shared" si="201"/>
        <v>7.3131578947368432</v>
      </c>
      <c r="I109" s="198">
        <f t="shared" si="263"/>
        <v>8</v>
      </c>
      <c r="J109" s="199">
        <f t="shared" si="263"/>
        <v>0</v>
      </c>
      <c r="K109" s="228" t="str">
        <f>D109&amp;-3</f>
        <v>19-3</v>
      </c>
      <c r="L109" s="198">
        <f t="shared" si="207"/>
        <v>0.2</v>
      </c>
      <c r="M109" s="49">
        <v>60</v>
      </c>
      <c r="N109" s="198">
        <f t="shared" si="250"/>
        <v>150</v>
      </c>
      <c r="O109" s="198">
        <f t="shared" si="250"/>
        <v>750</v>
      </c>
      <c r="P109" s="196">
        <f t="shared" si="250"/>
        <v>2</v>
      </c>
      <c r="Q109" s="56"/>
      <c r="R109" s="38">
        <f t="shared" si="209"/>
        <v>18</v>
      </c>
      <c r="S109" s="38">
        <f t="shared" si="217"/>
        <v>20</v>
      </c>
      <c r="T109" s="39">
        <f t="shared" si="232"/>
        <v>0.98915328946183989</v>
      </c>
      <c r="U109" s="39">
        <f t="shared" si="232"/>
        <v>0.99624645144977986</v>
      </c>
      <c r="V109" s="39">
        <f t="shared" si="203"/>
        <v>7.0931619879399666E-3</v>
      </c>
      <c r="W109" s="39">
        <f t="shared" si="183"/>
        <v>8.0444214829870839E-3</v>
      </c>
      <c r="X109" s="40">
        <f t="shared" si="266"/>
        <v>1.6088842965974168E-2</v>
      </c>
      <c r="Y109" s="40" t="s">
        <v>3710</v>
      </c>
      <c r="Z109" s="182">
        <f t="shared" si="247"/>
        <v>1.9306611559169</v>
      </c>
      <c r="AA109" s="182">
        <f t="shared" si="270"/>
        <v>0.32177685931948335</v>
      </c>
    </row>
    <row r="110" spans="1:28" x14ac:dyDescent="0.25">
      <c r="A110" s="229">
        <f t="shared" ref="A110" si="273">A109+1</f>
        <v>3388</v>
      </c>
      <c r="B110" s="230">
        <f t="shared" ref="B110" si="274">B109+1</f>
        <v>100</v>
      </c>
      <c r="C110" s="229" t="str">
        <f t="shared" si="181"/>
        <v>24dX19-000_090_04</v>
      </c>
      <c r="D110" s="231">
        <f t="shared" si="269"/>
        <v>19</v>
      </c>
      <c r="E110" s="204">
        <f t="shared" si="198"/>
        <v>2.7790000000000004</v>
      </c>
      <c r="F110" s="198">
        <f t="shared" si="199"/>
        <v>14.626315789473686</v>
      </c>
      <c r="G110" s="198">
        <f t="shared" si="200"/>
        <v>11.70105263157895</v>
      </c>
      <c r="H110" s="198">
        <f t="shared" si="201"/>
        <v>7.3131578947368432</v>
      </c>
      <c r="I110" s="198">
        <f t="shared" si="263"/>
        <v>8</v>
      </c>
      <c r="J110" s="199">
        <f t="shared" si="263"/>
        <v>0</v>
      </c>
      <c r="K110" s="228" t="str">
        <f>D110&amp;-4</f>
        <v>19-4</v>
      </c>
      <c r="L110" s="198">
        <f t="shared" si="207"/>
        <v>0.2</v>
      </c>
      <c r="M110" s="49">
        <v>90</v>
      </c>
      <c r="N110" s="198">
        <f t="shared" si="250"/>
        <v>150</v>
      </c>
      <c r="O110" s="198">
        <f t="shared" si="250"/>
        <v>750</v>
      </c>
      <c r="P110" s="196">
        <f t="shared" si="250"/>
        <v>2</v>
      </c>
      <c r="Q110" s="56"/>
      <c r="R110" s="38">
        <f t="shared" si="209"/>
        <v>18</v>
      </c>
      <c r="S110" s="38">
        <f t="shared" si="217"/>
        <v>20</v>
      </c>
      <c r="T110" s="39">
        <f t="shared" si="232"/>
        <v>0.98915328946183989</v>
      </c>
      <c r="U110" s="39">
        <f t="shared" si="232"/>
        <v>0.99624645144977986</v>
      </c>
      <c r="V110" s="39">
        <f t="shared" si="203"/>
        <v>7.0931619879399666E-3</v>
      </c>
      <c r="W110" s="39">
        <f t="shared" si="183"/>
        <v>8.0444214829870839E-3</v>
      </c>
      <c r="X110" s="40">
        <f t="shared" si="266"/>
        <v>1.6088842965974168E-2</v>
      </c>
      <c r="Y110" s="40" t="s">
        <v>3710</v>
      </c>
      <c r="Z110" s="182">
        <f t="shared" si="247"/>
        <v>1.9306611559169</v>
      </c>
      <c r="AA110" s="182">
        <f t="shared" si="270"/>
        <v>0.32177685931948335</v>
      </c>
    </row>
    <row r="111" spans="1:28" x14ac:dyDescent="0.25">
      <c r="A111" s="229">
        <f t="shared" ref="A111" si="275">A110+1</f>
        <v>3389</v>
      </c>
      <c r="B111" s="230">
        <f t="shared" ref="B111" si="276">B110+1</f>
        <v>101</v>
      </c>
      <c r="C111" s="229" t="str">
        <f t="shared" si="181"/>
        <v>24dX19-000_000_05</v>
      </c>
      <c r="D111" s="231">
        <f t="shared" si="269"/>
        <v>19</v>
      </c>
      <c r="E111" s="204">
        <f t="shared" si="198"/>
        <v>2.7790000000000004</v>
      </c>
      <c r="F111" s="198">
        <f t="shared" si="199"/>
        <v>14.626315789473686</v>
      </c>
      <c r="G111" s="198">
        <f t="shared" si="200"/>
        <v>11.70105263157895</v>
      </c>
      <c r="H111" s="198">
        <f t="shared" si="201"/>
        <v>7.3131578947368432</v>
      </c>
      <c r="I111" s="198">
        <f t="shared" si="263"/>
        <v>8</v>
      </c>
      <c r="J111" s="199">
        <f t="shared" si="263"/>
        <v>0</v>
      </c>
      <c r="K111" s="228" t="str">
        <f>D111&amp;-5</f>
        <v>19-5</v>
      </c>
      <c r="L111" s="198">
        <f t="shared" si="207"/>
        <v>0.2</v>
      </c>
      <c r="M111" s="49">
        <v>0</v>
      </c>
      <c r="N111" s="198">
        <f t="shared" si="250"/>
        <v>150</v>
      </c>
      <c r="O111" s="198">
        <f t="shared" si="250"/>
        <v>750</v>
      </c>
      <c r="P111" s="196">
        <f t="shared" si="250"/>
        <v>2</v>
      </c>
      <c r="Q111" s="56"/>
      <c r="R111" s="38">
        <f t="shared" si="209"/>
        <v>18</v>
      </c>
      <c r="S111" s="38">
        <f t="shared" si="217"/>
        <v>20</v>
      </c>
      <c r="T111" s="39">
        <f t="shared" si="232"/>
        <v>0.98915328946183989</v>
      </c>
      <c r="U111" s="39">
        <f t="shared" si="232"/>
        <v>0.99624645144977986</v>
      </c>
      <c r="V111" s="39">
        <f t="shared" si="203"/>
        <v>7.0931619879399666E-3</v>
      </c>
      <c r="W111" s="39">
        <f t="shared" si="183"/>
        <v>8.0444214829870839E-3</v>
      </c>
      <c r="X111" s="40">
        <f t="shared" si="266"/>
        <v>1.6088842965974168E-2</v>
      </c>
      <c r="Y111" s="40" t="s">
        <v>3710</v>
      </c>
      <c r="Z111" s="182">
        <f t="shared" si="247"/>
        <v>1.9306611559169</v>
      </c>
      <c r="AA111" s="182">
        <f t="shared" si="270"/>
        <v>0.32177685931948335</v>
      </c>
    </row>
    <row r="112" spans="1:28" x14ac:dyDescent="0.25">
      <c r="A112" s="229">
        <f t="shared" ref="A112" si="277">A111+1</f>
        <v>3390</v>
      </c>
      <c r="B112" s="230">
        <f t="shared" ref="B112" si="278">B111+1</f>
        <v>102</v>
      </c>
      <c r="C112" s="229" t="str">
        <f t="shared" si="181"/>
        <v>24dX19-000_030_06</v>
      </c>
      <c r="D112" s="231">
        <f t="shared" si="269"/>
        <v>19</v>
      </c>
      <c r="E112" s="204">
        <f t="shared" si="198"/>
        <v>2.7790000000000004</v>
      </c>
      <c r="F112" s="198">
        <f t="shared" si="199"/>
        <v>14.626315789473686</v>
      </c>
      <c r="G112" s="198">
        <f t="shared" si="200"/>
        <v>11.70105263157895</v>
      </c>
      <c r="H112" s="198">
        <f t="shared" si="201"/>
        <v>7.3131578947368432</v>
      </c>
      <c r="I112" s="198">
        <f t="shared" si="263"/>
        <v>8</v>
      </c>
      <c r="J112" s="199">
        <f t="shared" si="263"/>
        <v>0</v>
      </c>
      <c r="K112" s="228" t="str">
        <f>D112&amp;-6</f>
        <v>19-6</v>
      </c>
      <c r="L112" s="198">
        <f t="shared" si="207"/>
        <v>0.2</v>
      </c>
      <c r="M112" s="49">
        <v>30</v>
      </c>
      <c r="N112" s="198">
        <f t="shared" si="250"/>
        <v>150</v>
      </c>
      <c r="O112" s="198">
        <f t="shared" si="250"/>
        <v>750</v>
      </c>
      <c r="P112" s="196">
        <f t="shared" si="250"/>
        <v>2</v>
      </c>
      <c r="Q112" s="56"/>
      <c r="R112" s="38">
        <f t="shared" si="209"/>
        <v>18</v>
      </c>
      <c r="S112" s="38">
        <f t="shared" si="217"/>
        <v>20</v>
      </c>
      <c r="T112" s="39">
        <f t="shared" si="232"/>
        <v>0.98915328946183989</v>
      </c>
      <c r="U112" s="39">
        <f t="shared" si="232"/>
        <v>0.99624645144977986</v>
      </c>
      <c r="V112" s="39">
        <f t="shared" si="203"/>
        <v>7.0931619879399666E-3</v>
      </c>
      <c r="W112" s="39">
        <f t="shared" si="183"/>
        <v>8.0444214829870839E-3</v>
      </c>
      <c r="X112" s="40">
        <f t="shared" si="266"/>
        <v>1.6088842965974168E-2</v>
      </c>
      <c r="Y112" s="40" t="s">
        <v>3710</v>
      </c>
      <c r="Z112" s="182">
        <f t="shared" si="247"/>
        <v>1.9306611559169</v>
      </c>
      <c r="AA112" s="182">
        <f t="shared" si="270"/>
        <v>0.32177685931948335</v>
      </c>
    </row>
    <row r="113" spans="1:28" x14ac:dyDescent="0.25">
      <c r="A113" s="229">
        <f t="shared" ref="A113" si="279">A112+1</f>
        <v>3391</v>
      </c>
      <c r="B113" s="230">
        <f t="shared" ref="B113" si="280">B112+1</f>
        <v>103</v>
      </c>
      <c r="C113" s="229" t="str">
        <f t="shared" si="181"/>
        <v>24dX19-000_060_07</v>
      </c>
      <c r="D113" s="231">
        <f t="shared" si="269"/>
        <v>19</v>
      </c>
      <c r="E113" s="204">
        <f t="shared" si="198"/>
        <v>2.7790000000000004</v>
      </c>
      <c r="F113" s="198">
        <f t="shared" ref="F113:F154" si="281">E113/D113*100</f>
        <v>14.626315789473686</v>
      </c>
      <c r="G113" s="198">
        <f t="shared" si="200"/>
        <v>11.70105263157895</v>
      </c>
      <c r="H113" s="198">
        <f t="shared" si="201"/>
        <v>7.3131578947368432</v>
      </c>
      <c r="I113" s="198">
        <f t="shared" si="263"/>
        <v>8</v>
      </c>
      <c r="J113" s="199">
        <f t="shared" si="263"/>
        <v>0</v>
      </c>
      <c r="K113" s="228" t="str">
        <f>D113&amp;-7</f>
        <v>19-7</v>
      </c>
      <c r="L113" s="198">
        <f t="shared" si="207"/>
        <v>0.2</v>
      </c>
      <c r="M113" s="49">
        <v>60</v>
      </c>
      <c r="N113" s="198">
        <f t="shared" si="250"/>
        <v>150</v>
      </c>
      <c r="O113" s="198">
        <f t="shared" si="250"/>
        <v>750</v>
      </c>
      <c r="P113" s="196">
        <f t="shared" si="250"/>
        <v>2</v>
      </c>
      <c r="Q113" s="56"/>
      <c r="R113" s="38">
        <f t="shared" si="209"/>
        <v>18</v>
      </c>
      <c r="S113" s="38">
        <f t="shared" si="217"/>
        <v>20</v>
      </c>
      <c r="T113" s="39">
        <f t="shared" si="232"/>
        <v>0.98915328946183989</v>
      </c>
      <c r="U113" s="39">
        <f t="shared" si="232"/>
        <v>0.99624645144977986</v>
      </c>
      <c r="V113" s="39">
        <f t="shared" si="203"/>
        <v>7.0931619879399666E-3</v>
      </c>
      <c r="W113" s="39">
        <f t="shared" si="183"/>
        <v>8.0444214829870839E-3</v>
      </c>
      <c r="X113" s="40">
        <f t="shared" si="266"/>
        <v>1.6088842965974168E-2</v>
      </c>
      <c r="Y113" s="40" t="s">
        <v>3710</v>
      </c>
      <c r="Z113" s="182">
        <f t="shared" si="247"/>
        <v>1.9306611559169</v>
      </c>
      <c r="AA113" s="182">
        <f t="shared" si="270"/>
        <v>0.32177685931948335</v>
      </c>
    </row>
    <row r="114" spans="1:28" x14ac:dyDescent="0.25">
      <c r="A114" s="229">
        <f t="shared" ref="A114" si="282">A113+1</f>
        <v>3392</v>
      </c>
      <c r="B114" s="230">
        <f t="shared" ref="B114" si="283">B113+1</f>
        <v>104</v>
      </c>
      <c r="C114" s="229" t="str">
        <f t="shared" si="181"/>
        <v>24dX19-000_090_08</v>
      </c>
      <c r="D114" s="231">
        <f t="shared" si="269"/>
        <v>19</v>
      </c>
      <c r="E114" s="204">
        <f t="shared" si="198"/>
        <v>2.7790000000000004</v>
      </c>
      <c r="F114" s="198">
        <f t="shared" si="281"/>
        <v>14.626315789473686</v>
      </c>
      <c r="G114" s="198">
        <f t="shared" si="200"/>
        <v>11.70105263157895</v>
      </c>
      <c r="H114" s="198">
        <f t="shared" si="201"/>
        <v>7.3131578947368432</v>
      </c>
      <c r="I114" s="198">
        <f t="shared" si="263"/>
        <v>8</v>
      </c>
      <c r="J114" s="199">
        <f t="shared" si="263"/>
        <v>0</v>
      </c>
      <c r="K114" s="228" t="str">
        <f>D114&amp;-8</f>
        <v>19-8</v>
      </c>
      <c r="L114" s="198">
        <f t="shared" si="207"/>
        <v>0.2</v>
      </c>
      <c r="M114" s="49">
        <v>90</v>
      </c>
      <c r="N114" s="198">
        <f t="shared" si="250"/>
        <v>150</v>
      </c>
      <c r="O114" s="198">
        <f t="shared" si="250"/>
        <v>750</v>
      </c>
      <c r="P114" s="196">
        <f t="shared" si="250"/>
        <v>2</v>
      </c>
      <c r="Q114" s="56"/>
      <c r="R114" s="38">
        <f t="shared" si="209"/>
        <v>18</v>
      </c>
      <c r="S114" s="38">
        <f t="shared" si="217"/>
        <v>20</v>
      </c>
      <c r="T114" s="39">
        <f t="shared" si="232"/>
        <v>0.98915328946183989</v>
      </c>
      <c r="U114" s="39">
        <f t="shared" si="232"/>
        <v>0.99624645144977986</v>
      </c>
      <c r="V114" s="39">
        <f t="shared" si="203"/>
        <v>7.0931619879399666E-3</v>
      </c>
      <c r="W114" s="39">
        <f t="shared" si="183"/>
        <v>8.0444214829870839E-3</v>
      </c>
      <c r="X114" s="40">
        <f t="shared" si="266"/>
        <v>1.6088842965974168E-2</v>
      </c>
      <c r="Y114" s="40" t="s">
        <v>3710</v>
      </c>
      <c r="Z114" s="182">
        <f t="shared" si="247"/>
        <v>1.9306611559169</v>
      </c>
      <c r="AA114" s="182">
        <f t="shared" si="270"/>
        <v>0.32177685931948335</v>
      </c>
    </row>
    <row r="115" spans="1:28" x14ac:dyDescent="0.25">
      <c r="A115" s="229">
        <f t="shared" ref="A115" si="284">A114+1</f>
        <v>3393</v>
      </c>
      <c r="B115" s="230">
        <f t="shared" ref="B115" si="285">B114+1</f>
        <v>105</v>
      </c>
      <c r="C115" s="229" t="str">
        <f t="shared" si="181"/>
        <v>24dX19-000_000_09</v>
      </c>
      <c r="D115" s="231">
        <f t="shared" si="269"/>
        <v>19</v>
      </c>
      <c r="E115" s="204">
        <f t="shared" si="198"/>
        <v>2.7790000000000004</v>
      </c>
      <c r="F115" s="198">
        <f t="shared" si="281"/>
        <v>14.626315789473686</v>
      </c>
      <c r="G115" s="198">
        <f t="shared" si="200"/>
        <v>11.70105263157895</v>
      </c>
      <c r="H115" s="198">
        <f t="shared" si="201"/>
        <v>7.3131578947368432</v>
      </c>
      <c r="I115" s="198">
        <f t="shared" si="263"/>
        <v>8</v>
      </c>
      <c r="J115" s="199">
        <f t="shared" si="263"/>
        <v>0</v>
      </c>
      <c r="K115" s="228" t="str">
        <f>D115&amp;-9</f>
        <v>19-9</v>
      </c>
      <c r="L115" s="198">
        <f t="shared" si="207"/>
        <v>0.2</v>
      </c>
      <c r="M115" s="49">
        <v>0</v>
      </c>
      <c r="N115" s="198">
        <f t="shared" si="250"/>
        <v>150</v>
      </c>
      <c r="O115" s="198">
        <f t="shared" si="250"/>
        <v>750</v>
      </c>
      <c r="P115" s="196">
        <f t="shared" si="250"/>
        <v>2</v>
      </c>
      <c r="Q115" s="56"/>
      <c r="R115" s="38">
        <f t="shared" si="209"/>
        <v>18</v>
      </c>
      <c r="S115" s="38">
        <f t="shared" si="217"/>
        <v>20</v>
      </c>
      <c r="T115" s="39">
        <f t="shared" si="232"/>
        <v>0.98915328946183989</v>
      </c>
      <c r="U115" s="39">
        <f t="shared" si="232"/>
        <v>0.99624645144977986</v>
      </c>
      <c r="V115" s="39">
        <f t="shared" si="203"/>
        <v>7.0931619879399666E-3</v>
      </c>
      <c r="W115" s="39">
        <f t="shared" si="183"/>
        <v>8.0444214829870839E-3</v>
      </c>
      <c r="X115" s="40">
        <f t="shared" si="266"/>
        <v>1.6088842965974168E-2</v>
      </c>
      <c r="Y115" s="40" t="s">
        <v>3710</v>
      </c>
      <c r="Z115" s="182">
        <f t="shared" si="247"/>
        <v>1.9306611559169</v>
      </c>
      <c r="AA115" s="182">
        <f t="shared" si="270"/>
        <v>0.32177685931948335</v>
      </c>
    </row>
    <row r="116" spans="1:28" x14ac:dyDescent="0.25">
      <c r="A116" s="229">
        <f t="shared" ref="A116" si="286">A115+1</f>
        <v>3394</v>
      </c>
      <c r="B116" s="230">
        <f t="shared" ref="B116" si="287">B115+1</f>
        <v>106</v>
      </c>
      <c r="C116" s="229" t="str">
        <f t="shared" si="181"/>
        <v>24dX19-000_030_10</v>
      </c>
      <c r="D116" s="231">
        <f t="shared" si="269"/>
        <v>19</v>
      </c>
      <c r="E116" s="204">
        <f t="shared" si="198"/>
        <v>2.7790000000000004</v>
      </c>
      <c r="F116" s="198">
        <f t="shared" si="281"/>
        <v>14.626315789473686</v>
      </c>
      <c r="G116" s="198">
        <f t="shared" si="200"/>
        <v>11.70105263157895</v>
      </c>
      <c r="H116" s="198">
        <f t="shared" si="201"/>
        <v>7.3131578947368432</v>
      </c>
      <c r="I116" s="198">
        <f t="shared" si="263"/>
        <v>8</v>
      </c>
      <c r="J116" s="199">
        <f t="shared" si="263"/>
        <v>0</v>
      </c>
      <c r="K116" s="228" t="str">
        <f>D116&amp;-10</f>
        <v>19-10</v>
      </c>
      <c r="L116" s="198">
        <f t="shared" si="207"/>
        <v>0.2</v>
      </c>
      <c r="M116" s="49">
        <v>30</v>
      </c>
      <c r="N116" s="198">
        <f t="shared" ref="N116:P130" si="288">N115</f>
        <v>150</v>
      </c>
      <c r="O116" s="198">
        <f t="shared" si="288"/>
        <v>750</v>
      </c>
      <c r="P116" s="196">
        <f t="shared" si="288"/>
        <v>2</v>
      </c>
      <c r="Q116" s="56"/>
      <c r="R116" s="38">
        <f t="shared" si="209"/>
        <v>18</v>
      </c>
      <c r="S116" s="38">
        <f t="shared" si="217"/>
        <v>20</v>
      </c>
      <c r="T116" s="39">
        <f t="shared" si="232"/>
        <v>0.98915328946183989</v>
      </c>
      <c r="U116" s="39">
        <f t="shared" si="232"/>
        <v>0.99624645144977986</v>
      </c>
      <c r="V116" s="39">
        <f t="shared" si="203"/>
        <v>7.0931619879399666E-3</v>
      </c>
      <c r="W116" s="39">
        <f t="shared" si="183"/>
        <v>8.0444214829870839E-3</v>
      </c>
      <c r="X116" s="40">
        <f t="shared" si="266"/>
        <v>1.6088842965974168E-2</v>
      </c>
      <c r="Y116" s="40" t="s">
        <v>3710</v>
      </c>
      <c r="Z116" s="182">
        <f t="shared" si="247"/>
        <v>1.9306611559169</v>
      </c>
      <c r="AA116" s="182">
        <f t="shared" si="270"/>
        <v>0.32177685931948335</v>
      </c>
    </row>
    <row r="117" spans="1:28" x14ac:dyDescent="0.25">
      <c r="A117" s="229">
        <f t="shared" ref="A117" si="289">A116+1</f>
        <v>3395</v>
      </c>
      <c r="B117" s="230">
        <f t="shared" ref="B117" si="290">B116+1</f>
        <v>107</v>
      </c>
      <c r="C117" s="229" t="str">
        <f t="shared" si="181"/>
        <v>24dX19-000_060_11</v>
      </c>
      <c r="D117" s="231">
        <f t="shared" si="269"/>
        <v>19</v>
      </c>
      <c r="E117" s="204">
        <f t="shared" si="198"/>
        <v>2.7790000000000004</v>
      </c>
      <c r="F117" s="198">
        <f t="shared" si="281"/>
        <v>14.626315789473686</v>
      </c>
      <c r="G117" s="198">
        <f t="shared" si="200"/>
        <v>11.70105263157895</v>
      </c>
      <c r="H117" s="198">
        <f t="shared" si="201"/>
        <v>7.3131578947368432</v>
      </c>
      <c r="I117" s="198">
        <f t="shared" si="263"/>
        <v>8</v>
      </c>
      <c r="J117" s="199">
        <f t="shared" si="263"/>
        <v>0</v>
      </c>
      <c r="K117" s="228" t="str">
        <f>D117&amp;-11</f>
        <v>19-11</v>
      </c>
      <c r="L117" s="198">
        <f t="shared" si="207"/>
        <v>0.2</v>
      </c>
      <c r="M117" s="49">
        <v>60</v>
      </c>
      <c r="N117" s="198">
        <f t="shared" si="288"/>
        <v>150</v>
      </c>
      <c r="O117" s="198">
        <f t="shared" si="288"/>
        <v>750</v>
      </c>
      <c r="P117" s="196">
        <f t="shared" si="288"/>
        <v>2</v>
      </c>
      <c r="Q117" s="56"/>
      <c r="R117" s="38">
        <f t="shared" si="209"/>
        <v>18</v>
      </c>
      <c r="S117" s="38">
        <f t="shared" si="217"/>
        <v>20</v>
      </c>
      <c r="T117" s="39">
        <f t="shared" si="232"/>
        <v>0.98915328946183989</v>
      </c>
      <c r="U117" s="39">
        <f t="shared" si="232"/>
        <v>0.99624645144977986</v>
      </c>
      <c r="V117" s="39">
        <f t="shared" si="203"/>
        <v>7.0931619879399666E-3</v>
      </c>
      <c r="W117" s="39">
        <f t="shared" si="183"/>
        <v>8.0444214829870839E-3</v>
      </c>
      <c r="X117" s="40">
        <f t="shared" si="266"/>
        <v>1.6088842965974168E-2</v>
      </c>
      <c r="Y117" s="40" t="s">
        <v>3710</v>
      </c>
      <c r="Z117" s="182">
        <f t="shared" si="247"/>
        <v>1.9306611559169</v>
      </c>
      <c r="AA117" s="182">
        <f t="shared" si="270"/>
        <v>0.32177685931948335</v>
      </c>
    </row>
    <row r="118" spans="1:28" x14ac:dyDescent="0.25">
      <c r="A118" s="229">
        <f t="shared" ref="A118" si="291">A117+1</f>
        <v>3396</v>
      </c>
      <c r="B118" s="230">
        <f t="shared" ref="B118" si="292">B117+1</f>
        <v>108</v>
      </c>
      <c r="C118" s="229" t="str">
        <f t="shared" si="181"/>
        <v>24dX19-000_090_12</v>
      </c>
      <c r="D118" s="231">
        <f t="shared" si="269"/>
        <v>19</v>
      </c>
      <c r="E118" s="204">
        <f t="shared" si="198"/>
        <v>2.7790000000000004</v>
      </c>
      <c r="F118" s="198">
        <f t="shared" si="281"/>
        <v>14.626315789473686</v>
      </c>
      <c r="G118" s="198">
        <f t="shared" si="200"/>
        <v>11.70105263157895</v>
      </c>
      <c r="H118" s="198">
        <f t="shared" si="201"/>
        <v>7.3131578947368432</v>
      </c>
      <c r="I118" s="198">
        <f t="shared" si="263"/>
        <v>8</v>
      </c>
      <c r="J118" s="199">
        <f t="shared" si="263"/>
        <v>0</v>
      </c>
      <c r="K118" s="228" t="str">
        <f>D118&amp;-12</f>
        <v>19-12</v>
      </c>
      <c r="L118" s="198">
        <f t="shared" si="207"/>
        <v>0.2</v>
      </c>
      <c r="M118" s="49">
        <v>90</v>
      </c>
      <c r="N118" s="198">
        <f t="shared" si="288"/>
        <v>150</v>
      </c>
      <c r="O118" s="198">
        <f t="shared" si="288"/>
        <v>750</v>
      </c>
      <c r="P118" s="196">
        <f t="shared" si="288"/>
        <v>2</v>
      </c>
      <c r="Q118" s="56"/>
      <c r="R118" s="38">
        <f t="shared" si="209"/>
        <v>18</v>
      </c>
      <c r="S118" s="38">
        <f t="shared" si="217"/>
        <v>20</v>
      </c>
      <c r="T118" s="39">
        <f t="shared" si="232"/>
        <v>0.98915328946183989</v>
      </c>
      <c r="U118" s="39">
        <f t="shared" si="232"/>
        <v>0.99624645144977986</v>
      </c>
      <c r="V118" s="39">
        <f t="shared" si="203"/>
        <v>7.0931619879399666E-3</v>
      </c>
      <c r="W118" s="39">
        <f t="shared" si="183"/>
        <v>8.0444214829870839E-3</v>
      </c>
      <c r="X118" s="40">
        <f t="shared" si="266"/>
        <v>1.6088842965974168E-2</v>
      </c>
      <c r="Y118" s="40" t="s">
        <v>3710</v>
      </c>
      <c r="Z118" s="182">
        <f t="shared" si="247"/>
        <v>1.9306611559169</v>
      </c>
      <c r="AA118" s="182">
        <f t="shared" si="270"/>
        <v>0.32177685931948335</v>
      </c>
    </row>
    <row r="119" spans="1:28" x14ac:dyDescent="0.25">
      <c r="A119" s="229">
        <f t="shared" ref="A119" si="293">A118+1</f>
        <v>3397</v>
      </c>
      <c r="B119" s="230">
        <f t="shared" ref="B119" si="294">B118+1</f>
        <v>109</v>
      </c>
      <c r="C119" s="229" t="str">
        <f t="shared" si="181"/>
        <v>24dX21-000_000_01</v>
      </c>
      <c r="D119" s="231">
        <f>D118+v_step</f>
        <v>21</v>
      </c>
      <c r="E119" s="204">
        <f t="shared" si="198"/>
        <v>2.9890000000000003</v>
      </c>
      <c r="F119" s="198">
        <f t="shared" si="281"/>
        <v>14.233333333333334</v>
      </c>
      <c r="G119" s="198">
        <f t="shared" si="200"/>
        <v>11.386666666666668</v>
      </c>
      <c r="H119" s="198">
        <f t="shared" si="201"/>
        <v>7.1166666666666671</v>
      </c>
      <c r="I119" s="198">
        <f t="shared" si="263"/>
        <v>8</v>
      </c>
      <c r="J119" s="199">
        <f t="shared" si="263"/>
        <v>0</v>
      </c>
      <c r="K119" s="228" t="str">
        <f>D119&amp;-1</f>
        <v>21-1</v>
      </c>
      <c r="L119" s="198">
        <f t="shared" si="207"/>
        <v>0.2</v>
      </c>
      <c r="M119" s="49">
        <v>0</v>
      </c>
      <c r="N119" s="198">
        <f t="shared" si="288"/>
        <v>150</v>
      </c>
      <c r="O119" s="198">
        <f t="shared" si="288"/>
        <v>750</v>
      </c>
      <c r="P119" s="196">
        <f t="shared" si="288"/>
        <v>2</v>
      </c>
      <c r="Q119" s="56"/>
      <c r="R119" s="38">
        <f>S118</f>
        <v>20</v>
      </c>
      <c r="S119" s="38">
        <f t="shared" ref="S119:S142" si="295">R119+v_step</f>
        <v>22</v>
      </c>
      <c r="T119" s="39">
        <f t="shared" si="232"/>
        <v>0.99624645144977986</v>
      </c>
      <c r="U119" s="39">
        <f t="shared" si="232"/>
        <v>0.99883835115349351</v>
      </c>
      <c r="V119" s="39">
        <f t="shared" si="203"/>
        <v>2.5918997037136515E-3</v>
      </c>
      <c r="W119" s="39">
        <f t="shared" si="183"/>
        <v>2.9394977435666064E-3</v>
      </c>
      <c r="X119" s="40">
        <f t="shared" si="266"/>
        <v>5.8789954871332128E-3</v>
      </c>
      <c r="Y119" s="40" t="s">
        <v>3710</v>
      </c>
      <c r="Z119" s="182">
        <f t="shared" si="247"/>
        <v>0.70547945845598559</v>
      </c>
      <c r="AA119" s="182">
        <f>X119*20</f>
        <v>0.11757990974266426</v>
      </c>
      <c r="AB119" s="176"/>
    </row>
    <row r="120" spans="1:28" x14ac:dyDescent="0.25">
      <c r="A120" s="229">
        <f t="shared" ref="A120" si="296">A119+1</f>
        <v>3398</v>
      </c>
      <c r="B120" s="230">
        <f t="shared" ref="B120" si="297">B119+1</f>
        <v>110</v>
      </c>
      <c r="C120" s="229" t="str">
        <f t="shared" si="181"/>
        <v>24dX21-000_030_02</v>
      </c>
      <c r="D120" s="231">
        <f t="shared" ref="D120:D130" si="298">D119</f>
        <v>21</v>
      </c>
      <c r="E120" s="204">
        <f t="shared" si="198"/>
        <v>2.9890000000000003</v>
      </c>
      <c r="F120" s="198">
        <f t="shared" si="281"/>
        <v>14.233333333333334</v>
      </c>
      <c r="G120" s="198">
        <f t="shared" si="200"/>
        <v>11.386666666666668</v>
      </c>
      <c r="H120" s="198">
        <f t="shared" si="201"/>
        <v>7.1166666666666671</v>
      </c>
      <c r="I120" s="198">
        <f t="shared" si="263"/>
        <v>8</v>
      </c>
      <c r="J120" s="199">
        <f t="shared" si="263"/>
        <v>0</v>
      </c>
      <c r="K120" s="228" t="str">
        <f>D120&amp;-2</f>
        <v>21-2</v>
      </c>
      <c r="L120" s="198">
        <f t="shared" si="207"/>
        <v>0.2</v>
      </c>
      <c r="M120" s="49">
        <v>30</v>
      </c>
      <c r="N120" s="198">
        <f t="shared" si="288"/>
        <v>150</v>
      </c>
      <c r="O120" s="198">
        <f t="shared" si="288"/>
        <v>750</v>
      </c>
      <c r="P120" s="196">
        <f t="shared" si="288"/>
        <v>2</v>
      </c>
      <c r="Q120" s="56"/>
      <c r="R120" s="38">
        <f t="shared" si="209"/>
        <v>20</v>
      </c>
      <c r="S120" s="38">
        <f t="shared" si="295"/>
        <v>22</v>
      </c>
      <c r="T120" s="39">
        <f t="shared" si="232"/>
        <v>0.99624645144977986</v>
      </c>
      <c r="U120" s="39">
        <f t="shared" si="232"/>
        <v>0.99883835115349351</v>
      </c>
      <c r="V120" s="39">
        <f t="shared" si="203"/>
        <v>2.5918997037136515E-3</v>
      </c>
      <c r="W120" s="39">
        <f t="shared" si="183"/>
        <v>2.9394977435666064E-3</v>
      </c>
      <c r="X120" s="40">
        <f t="shared" si="266"/>
        <v>5.8789954871332128E-3</v>
      </c>
      <c r="Y120" s="40" t="s">
        <v>3710</v>
      </c>
      <c r="Z120" s="182">
        <f t="shared" si="247"/>
        <v>0.70547945845598559</v>
      </c>
      <c r="AA120" s="182">
        <f t="shared" ref="AA120:AA130" si="299">X120*20</f>
        <v>0.11757990974266426</v>
      </c>
    </row>
    <row r="121" spans="1:28" x14ac:dyDescent="0.25">
      <c r="A121" s="229">
        <f t="shared" ref="A121" si="300">A120+1</f>
        <v>3399</v>
      </c>
      <c r="B121" s="230">
        <f t="shared" ref="B121" si="301">B120+1</f>
        <v>111</v>
      </c>
      <c r="C121" s="229" t="str">
        <f t="shared" si="181"/>
        <v>24dX21-000_060_03</v>
      </c>
      <c r="D121" s="231">
        <f t="shared" si="298"/>
        <v>21</v>
      </c>
      <c r="E121" s="204">
        <f t="shared" si="198"/>
        <v>2.9890000000000003</v>
      </c>
      <c r="F121" s="198">
        <f t="shared" si="281"/>
        <v>14.233333333333334</v>
      </c>
      <c r="G121" s="198">
        <f t="shared" si="200"/>
        <v>11.386666666666668</v>
      </c>
      <c r="H121" s="198">
        <f t="shared" si="201"/>
        <v>7.1166666666666671</v>
      </c>
      <c r="I121" s="198">
        <f t="shared" si="263"/>
        <v>8</v>
      </c>
      <c r="J121" s="199">
        <f t="shared" si="263"/>
        <v>0</v>
      </c>
      <c r="K121" s="228" t="str">
        <f>D121&amp;-3</f>
        <v>21-3</v>
      </c>
      <c r="L121" s="198">
        <f t="shared" si="207"/>
        <v>0.2</v>
      </c>
      <c r="M121" s="49">
        <v>60</v>
      </c>
      <c r="N121" s="198">
        <f t="shared" si="288"/>
        <v>150</v>
      </c>
      <c r="O121" s="198">
        <f t="shared" si="288"/>
        <v>750</v>
      </c>
      <c r="P121" s="196">
        <f t="shared" si="288"/>
        <v>2</v>
      </c>
      <c r="Q121" s="56"/>
      <c r="R121" s="38">
        <f t="shared" si="209"/>
        <v>20</v>
      </c>
      <c r="S121" s="38">
        <f t="shared" si="295"/>
        <v>22</v>
      </c>
      <c r="T121" s="39">
        <f t="shared" si="232"/>
        <v>0.99624645144977986</v>
      </c>
      <c r="U121" s="39">
        <f t="shared" si="232"/>
        <v>0.99883835115349351</v>
      </c>
      <c r="V121" s="39">
        <f t="shared" si="203"/>
        <v>2.5918997037136515E-3</v>
      </c>
      <c r="W121" s="39">
        <f t="shared" si="183"/>
        <v>2.9394977435666064E-3</v>
      </c>
      <c r="X121" s="40">
        <f t="shared" si="266"/>
        <v>5.8789954871332128E-3</v>
      </c>
      <c r="Y121" s="40" t="s">
        <v>3710</v>
      </c>
      <c r="Z121" s="182">
        <f t="shared" si="247"/>
        <v>0.70547945845598559</v>
      </c>
      <c r="AA121" s="182">
        <f t="shared" si="299"/>
        <v>0.11757990974266426</v>
      </c>
    </row>
    <row r="122" spans="1:28" x14ac:dyDescent="0.25">
      <c r="A122" s="229">
        <f t="shared" ref="A122" si="302">A121+1</f>
        <v>3400</v>
      </c>
      <c r="B122" s="230">
        <f t="shared" ref="B122" si="303">B121+1</f>
        <v>112</v>
      </c>
      <c r="C122" s="229" t="str">
        <f t="shared" si="181"/>
        <v>24dX21-000_090_04</v>
      </c>
      <c r="D122" s="231">
        <f t="shared" si="298"/>
        <v>21</v>
      </c>
      <c r="E122" s="204">
        <f t="shared" si="198"/>
        <v>2.9890000000000003</v>
      </c>
      <c r="F122" s="198">
        <f t="shared" si="281"/>
        <v>14.233333333333334</v>
      </c>
      <c r="G122" s="198">
        <f t="shared" si="200"/>
        <v>11.386666666666668</v>
      </c>
      <c r="H122" s="198">
        <f t="shared" si="201"/>
        <v>7.1166666666666671</v>
      </c>
      <c r="I122" s="198">
        <f t="shared" ref="I122:J130" si="304">I121</f>
        <v>8</v>
      </c>
      <c r="J122" s="199">
        <f t="shared" si="304"/>
        <v>0</v>
      </c>
      <c r="K122" s="228" t="str">
        <f>D122&amp;-4</f>
        <v>21-4</v>
      </c>
      <c r="L122" s="198">
        <f t="shared" si="207"/>
        <v>0.2</v>
      </c>
      <c r="M122" s="49">
        <v>90</v>
      </c>
      <c r="N122" s="198">
        <f t="shared" si="288"/>
        <v>150</v>
      </c>
      <c r="O122" s="198">
        <f t="shared" si="288"/>
        <v>750</v>
      </c>
      <c r="P122" s="196">
        <f t="shared" si="288"/>
        <v>2</v>
      </c>
      <c r="Q122" s="56"/>
      <c r="R122" s="38">
        <f t="shared" si="209"/>
        <v>20</v>
      </c>
      <c r="S122" s="38">
        <f t="shared" si="295"/>
        <v>22</v>
      </c>
      <c r="T122" s="39">
        <f t="shared" si="232"/>
        <v>0.99624645144977986</v>
      </c>
      <c r="U122" s="39">
        <f t="shared" si="232"/>
        <v>0.99883835115349351</v>
      </c>
      <c r="V122" s="39">
        <f t="shared" si="203"/>
        <v>2.5918997037136515E-3</v>
      </c>
      <c r="W122" s="39">
        <f t="shared" si="183"/>
        <v>2.9394977435666064E-3</v>
      </c>
      <c r="X122" s="40">
        <f t="shared" si="266"/>
        <v>5.8789954871332128E-3</v>
      </c>
      <c r="Y122" s="40" t="s">
        <v>3710</v>
      </c>
      <c r="Z122" s="182">
        <f t="shared" si="247"/>
        <v>0.70547945845598559</v>
      </c>
      <c r="AA122" s="182">
        <f t="shared" si="299"/>
        <v>0.11757990974266426</v>
      </c>
    </row>
    <row r="123" spans="1:28" x14ac:dyDescent="0.25">
      <c r="A123" s="229">
        <f t="shared" ref="A123" si="305">A122+1</f>
        <v>3401</v>
      </c>
      <c r="B123" s="230">
        <f t="shared" ref="B123" si="306">B122+1</f>
        <v>113</v>
      </c>
      <c r="C123" s="229" t="str">
        <f t="shared" si="181"/>
        <v>24dX21-000_000_05</v>
      </c>
      <c r="D123" s="231">
        <f t="shared" si="298"/>
        <v>21</v>
      </c>
      <c r="E123" s="204">
        <f t="shared" si="198"/>
        <v>2.9890000000000003</v>
      </c>
      <c r="F123" s="198">
        <f t="shared" si="281"/>
        <v>14.233333333333334</v>
      </c>
      <c r="G123" s="198">
        <f t="shared" si="200"/>
        <v>11.386666666666668</v>
      </c>
      <c r="H123" s="198">
        <f t="shared" si="201"/>
        <v>7.1166666666666671</v>
      </c>
      <c r="I123" s="198">
        <f t="shared" si="304"/>
        <v>8</v>
      </c>
      <c r="J123" s="199">
        <f t="shared" si="304"/>
        <v>0</v>
      </c>
      <c r="K123" s="228" t="str">
        <f>D123&amp;-5</f>
        <v>21-5</v>
      </c>
      <c r="L123" s="198">
        <f t="shared" si="207"/>
        <v>0.2</v>
      </c>
      <c r="M123" s="49">
        <v>0</v>
      </c>
      <c r="N123" s="198">
        <f t="shared" si="288"/>
        <v>150</v>
      </c>
      <c r="O123" s="198">
        <f t="shared" si="288"/>
        <v>750</v>
      </c>
      <c r="P123" s="196">
        <f t="shared" si="288"/>
        <v>2</v>
      </c>
      <c r="Q123" s="56"/>
      <c r="R123" s="38">
        <f t="shared" si="209"/>
        <v>20</v>
      </c>
      <c r="S123" s="38">
        <f t="shared" si="295"/>
        <v>22</v>
      </c>
      <c r="T123" s="39">
        <f t="shared" si="232"/>
        <v>0.99624645144977986</v>
      </c>
      <c r="U123" s="39">
        <f t="shared" si="232"/>
        <v>0.99883835115349351</v>
      </c>
      <c r="V123" s="39">
        <f t="shared" si="203"/>
        <v>2.5918997037136515E-3</v>
      </c>
      <c r="W123" s="39">
        <f t="shared" si="183"/>
        <v>2.9394977435666064E-3</v>
      </c>
      <c r="X123" s="40">
        <f t="shared" si="266"/>
        <v>5.8789954871332128E-3</v>
      </c>
      <c r="Y123" s="40" t="s">
        <v>3710</v>
      </c>
      <c r="Z123" s="182">
        <f t="shared" si="247"/>
        <v>0.70547945845598559</v>
      </c>
      <c r="AA123" s="182">
        <f t="shared" si="299"/>
        <v>0.11757990974266426</v>
      </c>
    </row>
    <row r="124" spans="1:28" x14ac:dyDescent="0.25">
      <c r="A124" s="229">
        <f t="shared" ref="A124" si="307">A123+1</f>
        <v>3402</v>
      </c>
      <c r="B124" s="230">
        <f t="shared" ref="B124" si="308">B123+1</f>
        <v>114</v>
      </c>
      <c r="C124" s="229" t="str">
        <f t="shared" si="181"/>
        <v>24dX21-000_030_06</v>
      </c>
      <c r="D124" s="231">
        <f t="shared" si="298"/>
        <v>21</v>
      </c>
      <c r="E124" s="204">
        <f t="shared" si="198"/>
        <v>2.9890000000000003</v>
      </c>
      <c r="F124" s="198">
        <f t="shared" si="281"/>
        <v>14.233333333333334</v>
      </c>
      <c r="G124" s="198">
        <f t="shared" si="200"/>
        <v>11.386666666666668</v>
      </c>
      <c r="H124" s="198">
        <f t="shared" si="201"/>
        <v>7.1166666666666671</v>
      </c>
      <c r="I124" s="198">
        <f t="shared" si="304"/>
        <v>8</v>
      </c>
      <c r="J124" s="199">
        <f t="shared" si="304"/>
        <v>0</v>
      </c>
      <c r="K124" s="228" t="str">
        <f>D124&amp;-6</f>
        <v>21-6</v>
      </c>
      <c r="L124" s="198">
        <f t="shared" ref="L124:L130" si="309">L123</f>
        <v>0.2</v>
      </c>
      <c r="M124" s="49">
        <v>30</v>
      </c>
      <c r="N124" s="198">
        <f t="shared" si="288"/>
        <v>150</v>
      </c>
      <c r="O124" s="198">
        <f t="shared" si="288"/>
        <v>750</v>
      </c>
      <c r="P124" s="196">
        <f t="shared" si="288"/>
        <v>2</v>
      </c>
      <c r="Q124" s="56"/>
      <c r="R124" s="38">
        <f t="shared" si="209"/>
        <v>20</v>
      </c>
      <c r="S124" s="38">
        <f t="shared" si="295"/>
        <v>22</v>
      </c>
      <c r="T124" s="39">
        <f t="shared" si="232"/>
        <v>0.99624645144977986</v>
      </c>
      <c r="U124" s="39">
        <f t="shared" si="232"/>
        <v>0.99883835115349351</v>
      </c>
      <c r="V124" s="39">
        <f t="shared" si="203"/>
        <v>2.5918997037136515E-3</v>
      </c>
      <c r="W124" s="39">
        <f t="shared" si="183"/>
        <v>2.9394977435666064E-3</v>
      </c>
      <c r="X124" s="40">
        <f t="shared" si="266"/>
        <v>5.8789954871332128E-3</v>
      </c>
      <c r="Y124" s="40" t="s">
        <v>3710</v>
      </c>
      <c r="Z124" s="182">
        <f t="shared" si="247"/>
        <v>0.70547945845598559</v>
      </c>
      <c r="AA124" s="182">
        <f t="shared" si="299"/>
        <v>0.11757990974266426</v>
      </c>
    </row>
    <row r="125" spans="1:28" x14ac:dyDescent="0.25">
      <c r="A125" s="229">
        <f t="shared" ref="A125" si="310">A124+1</f>
        <v>3403</v>
      </c>
      <c r="B125" s="230">
        <f t="shared" ref="B125" si="311">B124+1</f>
        <v>115</v>
      </c>
      <c r="C125" s="229" t="str">
        <f t="shared" si="181"/>
        <v>24dX21-000_060_07</v>
      </c>
      <c r="D125" s="231">
        <f t="shared" si="298"/>
        <v>21</v>
      </c>
      <c r="E125" s="204">
        <f t="shared" si="198"/>
        <v>2.9890000000000003</v>
      </c>
      <c r="F125" s="198">
        <f t="shared" si="281"/>
        <v>14.233333333333334</v>
      </c>
      <c r="G125" s="198">
        <f t="shared" si="200"/>
        <v>11.386666666666668</v>
      </c>
      <c r="H125" s="198">
        <f t="shared" si="201"/>
        <v>7.1166666666666671</v>
      </c>
      <c r="I125" s="198">
        <f t="shared" si="304"/>
        <v>8</v>
      </c>
      <c r="J125" s="199">
        <f t="shared" si="304"/>
        <v>0</v>
      </c>
      <c r="K125" s="228" t="str">
        <f>D125&amp;-7</f>
        <v>21-7</v>
      </c>
      <c r="L125" s="198">
        <f t="shared" si="309"/>
        <v>0.2</v>
      </c>
      <c r="M125" s="49">
        <v>60</v>
      </c>
      <c r="N125" s="198">
        <f t="shared" si="288"/>
        <v>150</v>
      </c>
      <c r="O125" s="198">
        <f t="shared" si="288"/>
        <v>750</v>
      </c>
      <c r="P125" s="196">
        <f t="shared" si="288"/>
        <v>2</v>
      </c>
      <c r="Q125" s="56"/>
      <c r="R125" s="38">
        <f t="shared" si="209"/>
        <v>20</v>
      </c>
      <c r="S125" s="38">
        <f t="shared" si="295"/>
        <v>22</v>
      </c>
      <c r="T125" s="39">
        <f t="shared" si="232"/>
        <v>0.99624645144977986</v>
      </c>
      <c r="U125" s="39">
        <f t="shared" si="232"/>
        <v>0.99883835115349351</v>
      </c>
      <c r="V125" s="39">
        <f t="shared" si="203"/>
        <v>2.5918997037136515E-3</v>
      </c>
      <c r="W125" s="39">
        <f t="shared" si="183"/>
        <v>2.9394977435666064E-3</v>
      </c>
      <c r="X125" s="40">
        <f t="shared" si="266"/>
        <v>5.8789954871332128E-3</v>
      </c>
      <c r="Y125" s="40" t="s">
        <v>3710</v>
      </c>
      <c r="Z125" s="182">
        <f t="shared" si="247"/>
        <v>0.70547945845598559</v>
      </c>
      <c r="AA125" s="182">
        <f t="shared" si="299"/>
        <v>0.11757990974266426</v>
      </c>
    </row>
    <row r="126" spans="1:28" x14ac:dyDescent="0.25">
      <c r="A126" s="229">
        <f t="shared" ref="A126" si="312">A125+1</f>
        <v>3404</v>
      </c>
      <c r="B126" s="230">
        <f t="shared" ref="B126" si="313">B125+1</f>
        <v>116</v>
      </c>
      <c r="C126" s="229" t="str">
        <f t="shared" si="181"/>
        <v>24dX21-000_090_08</v>
      </c>
      <c r="D126" s="231">
        <f t="shared" si="298"/>
        <v>21</v>
      </c>
      <c r="E126" s="204">
        <f t="shared" si="198"/>
        <v>2.9890000000000003</v>
      </c>
      <c r="F126" s="198">
        <f t="shared" si="281"/>
        <v>14.233333333333334</v>
      </c>
      <c r="G126" s="198">
        <f t="shared" si="200"/>
        <v>11.386666666666668</v>
      </c>
      <c r="H126" s="198">
        <f t="shared" si="201"/>
        <v>7.1166666666666671</v>
      </c>
      <c r="I126" s="198">
        <f t="shared" si="304"/>
        <v>8</v>
      </c>
      <c r="J126" s="199">
        <f t="shared" si="304"/>
        <v>0</v>
      </c>
      <c r="K126" s="228" t="str">
        <f>D126&amp;-8</f>
        <v>21-8</v>
      </c>
      <c r="L126" s="198">
        <f t="shared" si="309"/>
        <v>0.2</v>
      </c>
      <c r="M126" s="49">
        <v>90</v>
      </c>
      <c r="N126" s="198">
        <f t="shared" si="288"/>
        <v>150</v>
      </c>
      <c r="O126" s="198">
        <f t="shared" si="288"/>
        <v>750</v>
      </c>
      <c r="P126" s="196">
        <f t="shared" si="288"/>
        <v>2</v>
      </c>
      <c r="Q126" s="56"/>
      <c r="R126" s="38">
        <f t="shared" si="209"/>
        <v>20</v>
      </c>
      <c r="S126" s="38">
        <f t="shared" si="295"/>
        <v>22</v>
      </c>
      <c r="T126" s="39">
        <f t="shared" si="232"/>
        <v>0.99624645144977986</v>
      </c>
      <c r="U126" s="39">
        <f t="shared" si="232"/>
        <v>0.99883835115349351</v>
      </c>
      <c r="V126" s="39">
        <f t="shared" si="203"/>
        <v>2.5918997037136515E-3</v>
      </c>
      <c r="W126" s="39">
        <f t="shared" si="183"/>
        <v>2.9394977435666064E-3</v>
      </c>
      <c r="X126" s="40">
        <f t="shared" si="266"/>
        <v>5.8789954871332128E-3</v>
      </c>
      <c r="Y126" s="40" t="s">
        <v>3710</v>
      </c>
      <c r="Z126" s="182">
        <f t="shared" si="247"/>
        <v>0.70547945845598559</v>
      </c>
      <c r="AA126" s="182">
        <f t="shared" si="299"/>
        <v>0.11757990974266426</v>
      </c>
    </row>
    <row r="127" spans="1:28" x14ac:dyDescent="0.25">
      <c r="A127" s="229">
        <f t="shared" ref="A127" si="314">A126+1</f>
        <v>3405</v>
      </c>
      <c r="B127" s="230">
        <f t="shared" ref="B127" si="315">B126+1</f>
        <v>117</v>
      </c>
      <c r="C127" s="229" t="str">
        <f t="shared" si="181"/>
        <v>24dX21-000_000_09</v>
      </c>
      <c r="D127" s="231">
        <f t="shared" si="298"/>
        <v>21</v>
      </c>
      <c r="E127" s="204">
        <f t="shared" si="198"/>
        <v>2.9890000000000003</v>
      </c>
      <c r="F127" s="198">
        <f t="shared" si="281"/>
        <v>14.233333333333334</v>
      </c>
      <c r="G127" s="198">
        <f t="shared" si="200"/>
        <v>11.386666666666668</v>
      </c>
      <c r="H127" s="198">
        <f t="shared" si="201"/>
        <v>7.1166666666666671</v>
      </c>
      <c r="I127" s="198">
        <f t="shared" si="304"/>
        <v>8</v>
      </c>
      <c r="J127" s="199">
        <f t="shared" si="304"/>
        <v>0</v>
      </c>
      <c r="K127" s="228" t="str">
        <f>D127&amp;-9</f>
        <v>21-9</v>
      </c>
      <c r="L127" s="198">
        <f t="shared" si="309"/>
        <v>0.2</v>
      </c>
      <c r="M127" s="49">
        <v>0</v>
      </c>
      <c r="N127" s="198">
        <f t="shared" si="288"/>
        <v>150</v>
      </c>
      <c r="O127" s="198">
        <f t="shared" si="288"/>
        <v>750</v>
      </c>
      <c r="P127" s="196">
        <f t="shared" si="288"/>
        <v>2</v>
      </c>
      <c r="Q127" s="56"/>
      <c r="R127" s="38">
        <f t="shared" si="209"/>
        <v>20</v>
      </c>
      <c r="S127" s="38">
        <f t="shared" si="295"/>
        <v>22</v>
      </c>
      <c r="T127" s="39">
        <f t="shared" si="232"/>
        <v>0.99624645144977986</v>
      </c>
      <c r="U127" s="39">
        <f t="shared" si="232"/>
        <v>0.99883835115349351</v>
      </c>
      <c r="V127" s="39">
        <f t="shared" si="203"/>
        <v>2.5918997037136515E-3</v>
      </c>
      <c r="W127" s="39">
        <f t="shared" si="183"/>
        <v>2.9394977435666064E-3</v>
      </c>
      <c r="X127" s="40">
        <f t="shared" si="266"/>
        <v>5.8789954871332128E-3</v>
      </c>
      <c r="Y127" s="40" t="s">
        <v>3710</v>
      </c>
      <c r="Z127" s="182">
        <f t="shared" si="247"/>
        <v>0.70547945845598559</v>
      </c>
      <c r="AA127" s="182">
        <f t="shared" si="299"/>
        <v>0.11757990974266426</v>
      </c>
    </row>
    <row r="128" spans="1:28" x14ac:dyDescent="0.25">
      <c r="A128" s="229">
        <f t="shared" ref="A128" si="316">A127+1</f>
        <v>3406</v>
      </c>
      <c r="B128" s="230">
        <f t="shared" ref="B128" si="317">B127+1</f>
        <v>118</v>
      </c>
      <c r="C128" s="229" t="str">
        <f t="shared" si="181"/>
        <v>24dX21-000_030_10</v>
      </c>
      <c r="D128" s="231">
        <f t="shared" si="298"/>
        <v>21</v>
      </c>
      <c r="E128" s="204">
        <f t="shared" si="198"/>
        <v>2.9890000000000003</v>
      </c>
      <c r="F128" s="198">
        <f t="shared" si="281"/>
        <v>14.233333333333334</v>
      </c>
      <c r="G128" s="198">
        <f t="shared" si="200"/>
        <v>11.386666666666668</v>
      </c>
      <c r="H128" s="198">
        <f t="shared" si="201"/>
        <v>7.1166666666666671</v>
      </c>
      <c r="I128" s="198">
        <f t="shared" si="304"/>
        <v>8</v>
      </c>
      <c r="J128" s="199">
        <f t="shared" si="304"/>
        <v>0</v>
      </c>
      <c r="K128" s="228" t="str">
        <f>D128&amp;-10</f>
        <v>21-10</v>
      </c>
      <c r="L128" s="198">
        <f t="shared" si="309"/>
        <v>0.2</v>
      </c>
      <c r="M128" s="49">
        <v>30</v>
      </c>
      <c r="N128" s="198">
        <f t="shared" si="288"/>
        <v>150</v>
      </c>
      <c r="O128" s="198">
        <f t="shared" si="288"/>
        <v>750</v>
      </c>
      <c r="P128" s="196">
        <f t="shared" si="288"/>
        <v>2</v>
      </c>
      <c r="Q128" s="56"/>
      <c r="R128" s="38">
        <f t="shared" si="209"/>
        <v>20</v>
      </c>
      <c r="S128" s="38">
        <f t="shared" si="295"/>
        <v>22</v>
      </c>
      <c r="T128" s="39">
        <f t="shared" si="232"/>
        <v>0.99624645144977986</v>
      </c>
      <c r="U128" s="39">
        <f t="shared" si="232"/>
        <v>0.99883835115349351</v>
      </c>
      <c r="V128" s="39">
        <f t="shared" si="203"/>
        <v>2.5918997037136515E-3</v>
      </c>
      <c r="W128" s="39">
        <f t="shared" si="183"/>
        <v>2.9394977435666064E-3</v>
      </c>
      <c r="X128" s="40">
        <f t="shared" si="266"/>
        <v>5.8789954871332128E-3</v>
      </c>
      <c r="Y128" s="40" t="s">
        <v>3710</v>
      </c>
      <c r="Z128" s="182">
        <f t="shared" si="247"/>
        <v>0.70547945845598559</v>
      </c>
      <c r="AA128" s="182">
        <f t="shared" si="299"/>
        <v>0.11757990974266426</v>
      </c>
    </row>
    <row r="129" spans="1:27" x14ac:dyDescent="0.25">
      <c r="A129" s="229">
        <f t="shared" ref="A129" si="318">A128+1</f>
        <v>3407</v>
      </c>
      <c r="B129" s="230">
        <f t="shared" ref="B129" si="319">B128+1</f>
        <v>119</v>
      </c>
      <c r="C129" s="229" t="str">
        <f t="shared" si="181"/>
        <v>24dX21-000_060_11</v>
      </c>
      <c r="D129" s="231">
        <f t="shared" si="298"/>
        <v>21</v>
      </c>
      <c r="E129" s="204">
        <f t="shared" si="198"/>
        <v>2.9890000000000003</v>
      </c>
      <c r="F129" s="198">
        <f t="shared" si="281"/>
        <v>14.233333333333334</v>
      </c>
      <c r="G129" s="198">
        <f t="shared" si="200"/>
        <v>11.386666666666668</v>
      </c>
      <c r="H129" s="198">
        <f t="shared" si="201"/>
        <v>7.1166666666666671</v>
      </c>
      <c r="I129" s="198">
        <f t="shared" si="304"/>
        <v>8</v>
      </c>
      <c r="J129" s="199">
        <f t="shared" si="304"/>
        <v>0</v>
      </c>
      <c r="K129" s="228" t="str">
        <f>D129&amp;-11</f>
        <v>21-11</v>
      </c>
      <c r="L129" s="198">
        <f t="shared" si="309"/>
        <v>0.2</v>
      </c>
      <c r="M129" s="49">
        <v>60</v>
      </c>
      <c r="N129" s="198">
        <f t="shared" si="288"/>
        <v>150</v>
      </c>
      <c r="O129" s="198">
        <f t="shared" si="288"/>
        <v>750</v>
      </c>
      <c r="P129" s="196">
        <f t="shared" si="288"/>
        <v>2</v>
      </c>
      <c r="Q129" s="56"/>
      <c r="R129" s="38">
        <f t="shared" si="209"/>
        <v>20</v>
      </c>
      <c r="S129" s="38">
        <f t="shared" si="295"/>
        <v>22</v>
      </c>
      <c r="T129" s="39">
        <f t="shared" si="232"/>
        <v>0.99624645144977986</v>
      </c>
      <c r="U129" s="39">
        <f t="shared" si="232"/>
        <v>0.99883835115349351</v>
      </c>
      <c r="V129" s="39">
        <f t="shared" si="203"/>
        <v>2.5918997037136515E-3</v>
      </c>
      <c r="W129" s="39">
        <f t="shared" si="183"/>
        <v>2.9394977435666064E-3</v>
      </c>
      <c r="X129" s="40">
        <f t="shared" si="266"/>
        <v>5.8789954871332128E-3</v>
      </c>
      <c r="Y129" s="40" t="s">
        <v>3710</v>
      </c>
      <c r="Z129" s="182">
        <f t="shared" si="247"/>
        <v>0.70547945845598559</v>
      </c>
      <c r="AA129" s="182">
        <f t="shared" si="299"/>
        <v>0.11757990974266426</v>
      </c>
    </row>
    <row r="130" spans="1:27" x14ac:dyDescent="0.25">
      <c r="A130" s="229">
        <f t="shared" ref="A130" si="320">A129+1</f>
        <v>3408</v>
      </c>
      <c r="B130" s="230">
        <f t="shared" ref="B130" si="321">B129+1</f>
        <v>120</v>
      </c>
      <c r="C130" s="229" t="str">
        <f t="shared" si="181"/>
        <v>24dX21-000_090_12</v>
      </c>
      <c r="D130" s="231">
        <f t="shared" si="298"/>
        <v>21</v>
      </c>
      <c r="E130" s="204">
        <f t="shared" si="198"/>
        <v>2.9890000000000003</v>
      </c>
      <c r="F130" s="198">
        <f t="shared" si="281"/>
        <v>14.233333333333334</v>
      </c>
      <c r="G130" s="198">
        <f t="shared" si="200"/>
        <v>11.386666666666668</v>
      </c>
      <c r="H130" s="198">
        <f t="shared" si="201"/>
        <v>7.1166666666666671</v>
      </c>
      <c r="I130" s="198">
        <f t="shared" si="304"/>
        <v>8</v>
      </c>
      <c r="J130" s="199">
        <f t="shared" si="304"/>
        <v>0</v>
      </c>
      <c r="K130" s="228" t="str">
        <f>D130&amp;-12</f>
        <v>21-12</v>
      </c>
      <c r="L130" s="198">
        <f t="shared" si="309"/>
        <v>0.2</v>
      </c>
      <c r="M130" s="49">
        <v>90</v>
      </c>
      <c r="N130" s="198">
        <f t="shared" si="288"/>
        <v>150</v>
      </c>
      <c r="O130" s="198">
        <f t="shared" si="288"/>
        <v>750</v>
      </c>
      <c r="P130" s="196">
        <f t="shared" si="288"/>
        <v>2</v>
      </c>
      <c r="Q130" s="56"/>
      <c r="R130" s="38">
        <f t="shared" si="209"/>
        <v>20</v>
      </c>
      <c r="S130" s="38">
        <f t="shared" si="295"/>
        <v>22</v>
      </c>
      <c r="T130" s="39">
        <f t="shared" si="232"/>
        <v>0.99624645144977986</v>
      </c>
      <c r="U130" s="39">
        <f t="shared" si="232"/>
        <v>0.99883835115349351</v>
      </c>
      <c r="V130" s="39">
        <f t="shared" si="203"/>
        <v>2.5918997037136515E-3</v>
      </c>
      <c r="W130" s="39">
        <f t="shared" si="183"/>
        <v>2.9394977435666064E-3</v>
      </c>
      <c r="X130" s="40">
        <f t="shared" si="266"/>
        <v>5.8789954871332128E-3</v>
      </c>
      <c r="Y130" s="40" t="s">
        <v>3710</v>
      </c>
      <c r="Z130" s="182">
        <f t="shared" si="247"/>
        <v>0.70547945845598559</v>
      </c>
      <c r="AA130" s="182">
        <f t="shared" si="299"/>
        <v>0.11757990974266426</v>
      </c>
    </row>
    <row r="131" spans="1:27" x14ac:dyDescent="0.25">
      <c r="A131" s="229">
        <f t="shared" ref="A131" si="322">A130+1</f>
        <v>3409</v>
      </c>
      <c r="B131" s="230">
        <f t="shared" ref="B131" si="323">B130+1</f>
        <v>121</v>
      </c>
      <c r="C131" s="229" t="str">
        <f t="shared" si="181"/>
        <v>24dX23-000_000_01</v>
      </c>
      <c r="D131" s="231">
        <f>D130+v_step</f>
        <v>23</v>
      </c>
      <c r="E131" s="239">
        <f t="shared" ref="E131:E154" si="324">I_ref*(0.75*D131+5.6)</f>
        <v>3.1990000000000003</v>
      </c>
      <c r="F131" s="232">
        <f t="shared" si="281"/>
        <v>13.908695652173913</v>
      </c>
      <c r="G131" s="232">
        <f t="shared" ref="G131:G154" si="325">m_ty*F131</f>
        <v>11.126956521739132</v>
      </c>
      <c r="H131" s="232">
        <f t="shared" ref="H131:H154" si="326">m_tz*F131</f>
        <v>6.9543478260869565</v>
      </c>
      <c r="I131" s="232">
        <f>inflow</f>
        <v>8</v>
      </c>
      <c r="J131" s="233">
        <f>yaw_null</f>
        <v>0</v>
      </c>
      <c r="K131" s="228" t="str">
        <f>D131&amp;-1</f>
        <v>23-1</v>
      </c>
      <c r="L131" s="232">
        <f>alpha_n</f>
        <v>0.2</v>
      </c>
      <c r="M131" s="235">
        <v>0</v>
      </c>
      <c r="N131" s="232">
        <f>t_out</f>
        <v>150</v>
      </c>
      <c r="O131" s="232">
        <f>N131+T_s1</f>
        <v>750</v>
      </c>
      <c r="P131" s="230">
        <f>Pitch_angle_powprod</f>
        <v>2</v>
      </c>
      <c r="R131" s="38">
        <f>S130</f>
        <v>22</v>
      </c>
      <c r="S131" s="38">
        <f t="shared" si="295"/>
        <v>24</v>
      </c>
      <c r="T131" s="39">
        <f t="shared" ref="T131:T154" si="327">IF(wpd="Rayleigh",1-EXP(-PI()*((R131/2/v_ave)^2)),IF(wpd="Weibull",1-EXP(-((R131/weibull_A)^weibull_K))))</f>
        <v>0.99883835115349351</v>
      </c>
      <c r="U131" s="39">
        <f t="shared" ref="U131:U154" si="328">IF(wpd="Rayleigh",1-EXP(-PI()*((S131/2/v_ave)^2)),IF(wpd="Weibull",1-EXP(-((S131/weibull_A)^weibull_K))))</f>
        <v>0.99967848848331109</v>
      </c>
      <c r="V131" s="39">
        <f t="shared" ref="V131:V154" si="329">U131-T131</f>
        <v>8.4013732981758071E-4</v>
      </c>
      <c r="W131" s="39">
        <f t="shared" si="183"/>
        <v>9.528076189624378E-4</v>
      </c>
      <c r="X131" s="40">
        <f t="shared" si="266"/>
        <v>1.9056152379248756E-3</v>
      </c>
      <c r="Y131" s="40" t="s">
        <v>3710</v>
      </c>
      <c r="Z131" s="217">
        <f t="shared" ref="Z131:Z154" si="330">AA131*3600/(O131-N131)</f>
        <v>0.22867382855098509</v>
      </c>
      <c r="AA131" s="217">
        <f t="shared" ref="AA131:AA154" si="331">X131*20</f>
        <v>3.8112304758497514E-2</v>
      </c>
    </row>
    <row r="132" spans="1:27" x14ac:dyDescent="0.25">
      <c r="A132" s="229">
        <f t="shared" ref="A132" si="332">A131+1</f>
        <v>3410</v>
      </c>
      <c r="B132" s="230">
        <f t="shared" ref="B132" si="333">B131+1</f>
        <v>122</v>
      </c>
      <c r="C132" s="229" t="str">
        <f t="shared" si="181"/>
        <v>24dX23-000_030_02</v>
      </c>
      <c r="D132" s="231">
        <f t="shared" ref="D132:D142" si="334">D131</f>
        <v>23</v>
      </c>
      <c r="E132" s="239">
        <f t="shared" si="324"/>
        <v>3.1990000000000003</v>
      </c>
      <c r="F132" s="232">
        <f t="shared" si="281"/>
        <v>13.908695652173913</v>
      </c>
      <c r="G132" s="232">
        <f t="shared" si="325"/>
        <v>11.126956521739132</v>
      </c>
      <c r="H132" s="232">
        <f t="shared" si="326"/>
        <v>6.9543478260869565</v>
      </c>
      <c r="I132" s="232">
        <f t="shared" ref="I132" si="335">I131</f>
        <v>8</v>
      </c>
      <c r="J132" s="233">
        <f>J131</f>
        <v>0</v>
      </c>
      <c r="K132" s="228" t="str">
        <f>D132&amp;-2</f>
        <v>23-2</v>
      </c>
      <c r="L132" s="232">
        <f t="shared" ref="L132:L154" si="336">L131</f>
        <v>0.2</v>
      </c>
      <c r="M132" s="235">
        <v>30</v>
      </c>
      <c r="N132" s="232">
        <f t="shared" ref="N132:O132" si="337">N131</f>
        <v>150</v>
      </c>
      <c r="O132" s="232">
        <f t="shared" si="337"/>
        <v>750</v>
      </c>
      <c r="P132" s="230">
        <f>P131</f>
        <v>2</v>
      </c>
      <c r="R132" s="38">
        <f t="shared" si="209"/>
        <v>22</v>
      </c>
      <c r="S132" s="38">
        <f t="shared" si="295"/>
        <v>24</v>
      </c>
      <c r="T132" s="39">
        <f t="shared" si="327"/>
        <v>0.99883835115349351</v>
      </c>
      <c r="U132" s="39">
        <f t="shared" si="328"/>
        <v>0.99967848848331109</v>
      </c>
      <c r="V132" s="39">
        <f t="shared" si="329"/>
        <v>8.4013732981758071E-4</v>
      </c>
      <c r="W132" s="39">
        <f t="shared" si="183"/>
        <v>9.528076189624378E-4</v>
      </c>
      <c r="X132" s="40">
        <f t="shared" si="266"/>
        <v>1.9056152379248756E-3</v>
      </c>
      <c r="Y132" s="40" t="s">
        <v>3710</v>
      </c>
      <c r="Z132" s="217">
        <f t="shared" si="330"/>
        <v>0.22867382855098509</v>
      </c>
      <c r="AA132" s="217">
        <f t="shared" si="331"/>
        <v>3.8112304758497514E-2</v>
      </c>
    </row>
    <row r="133" spans="1:27" x14ac:dyDescent="0.25">
      <c r="A133" s="229">
        <f t="shared" ref="A133" si="338">A132+1</f>
        <v>3411</v>
      </c>
      <c r="B133" s="230">
        <f t="shared" ref="B133" si="339">B132+1</f>
        <v>123</v>
      </c>
      <c r="C133" s="229" t="str">
        <f t="shared" si="181"/>
        <v>24dX23-000_060_03</v>
      </c>
      <c r="D133" s="231">
        <f t="shared" si="334"/>
        <v>23</v>
      </c>
      <c r="E133" s="239">
        <f t="shared" si="324"/>
        <v>3.1990000000000003</v>
      </c>
      <c r="F133" s="232">
        <f t="shared" si="281"/>
        <v>13.908695652173913</v>
      </c>
      <c r="G133" s="232">
        <f t="shared" si="325"/>
        <v>11.126956521739132</v>
      </c>
      <c r="H133" s="232">
        <f t="shared" si="326"/>
        <v>6.9543478260869565</v>
      </c>
      <c r="I133" s="232">
        <f t="shared" ref="I133:J133" si="340">I132</f>
        <v>8</v>
      </c>
      <c r="J133" s="233">
        <f t="shared" si="340"/>
        <v>0</v>
      </c>
      <c r="K133" s="228" t="str">
        <f>D133&amp;-3</f>
        <v>23-3</v>
      </c>
      <c r="L133" s="232">
        <f t="shared" si="336"/>
        <v>0.2</v>
      </c>
      <c r="M133" s="235">
        <v>60</v>
      </c>
      <c r="N133" s="232">
        <f t="shared" ref="N133:P133" si="341">N132</f>
        <v>150</v>
      </c>
      <c r="O133" s="232">
        <f t="shared" si="341"/>
        <v>750</v>
      </c>
      <c r="P133" s="230">
        <f t="shared" si="341"/>
        <v>2</v>
      </c>
      <c r="R133" s="38">
        <f t="shared" si="209"/>
        <v>22</v>
      </c>
      <c r="S133" s="38">
        <f t="shared" si="295"/>
        <v>24</v>
      </c>
      <c r="T133" s="39">
        <f t="shared" si="327"/>
        <v>0.99883835115349351</v>
      </c>
      <c r="U133" s="39">
        <f t="shared" si="328"/>
        <v>0.99967848848331109</v>
      </c>
      <c r="V133" s="39">
        <f t="shared" si="329"/>
        <v>8.4013732981758071E-4</v>
      </c>
      <c r="W133" s="39">
        <f t="shared" si="183"/>
        <v>9.528076189624378E-4</v>
      </c>
      <c r="X133" s="40">
        <f t="shared" si="266"/>
        <v>1.9056152379248756E-3</v>
      </c>
      <c r="Y133" s="40" t="s">
        <v>3710</v>
      </c>
      <c r="Z133" s="217">
        <f t="shared" si="330"/>
        <v>0.22867382855098509</v>
      </c>
      <c r="AA133" s="217">
        <f t="shared" si="331"/>
        <v>3.8112304758497514E-2</v>
      </c>
    </row>
    <row r="134" spans="1:27" x14ac:dyDescent="0.25">
      <c r="A134" s="229">
        <f t="shared" ref="A134" si="342">A133+1</f>
        <v>3412</v>
      </c>
      <c r="B134" s="230">
        <f t="shared" ref="B134" si="343">B133+1</f>
        <v>124</v>
      </c>
      <c r="C134" s="229" t="str">
        <f t="shared" si="181"/>
        <v>24dX23-000_090_04</v>
      </c>
      <c r="D134" s="231">
        <f t="shared" si="334"/>
        <v>23</v>
      </c>
      <c r="E134" s="239">
        <f t="shared" si="324"/>
        <v>3.1990000000000003</v>
      </c>
      <c r="F134" s="232">
        <f t="shared" si="281"/>
        <v>13.908695652173913</v>
      </c>
      <c r="G134" s="232">
        <f t="shared" si="325"/>
        <v>11.126956521739132</v>
      </c>
      <c r="H134" s="232">
        <f t="shared" si="326"/>
        <v>6.9543478260869565</v>
      </c>
      <c r="I134" s="232">
        <f t="shared" ref="I134:J134" si="344">I133</f>
        <v>8</v>
      </c>
      <c r="J134" s="233">
        <f t="shared" si="344"/>
        <v>0</v>
      </c>
      <c r="K134" s="228" t="str">
        <f>D134&amp;-4</f>
        <v>23-4</v>
      </c>
      <c r="L134" s="232">
        <f t="shared" si="336"/>
        <v>0.2</v>
      </c>
      <c r="M134" s="235">
        <v>90</v>
      </c>
      <c r="N134" s="232">
        <f t="shared" ref="N134:P134" si="345">N133</f>
        <v>150</v>
      </c>
      <c r="O134" s="232">
        <f t="shared" si="345"/>
        <v>750</v>
      </c>
      <c r="P134" s="230">
        <f t="shared" si="345"/>
        <v>2</v>
      </c>
      <c r="R134" s="38">
        <f t="shared" si="209"/>
        <v>22</v>
      </c>
      <c r="S134" s="38">
        <f t="shared" si="295"/>
        <v>24</v>
      </c>
      <c r="T134" s="39">
        <f t="shared" si="327"/>
        <v>0.99883835115349351</v>
      </c>
      <c r="U134" s="39">
        <f t="shared" si="328"/>
        <v>0.99967848848331109</v>
      </c>
      <c r="V134" s="39">
        <f t="shared" si="329"/>
        <v>8.4013732981758071E-4</v>
      </c>
      <c r="W134" s="39">
        <f t="shared" si="183"/>
        <v>9.528076189624378E-4</v>
      </c>
      <c r="X134" s="40">
        <f t="shared" si="266"/>
        <v>1.9056152379248756E-3</v>
      </c>
      <c r="Y134" s="40" t="s">
        <v>3710</v>
      </c>
      <c r="Z134" s="217">
        <f t="shared" si="330"/>
        <v>0.22867382855098509</v>
      </c>
      <c r="AA134" s="217">
        <f t="shared" si="331"/>
        <v>3.8112304758497514E-2</v>
      </c>
    </row>
    <row r="135" spans="1:27" x14ac:dyDescent="0.25">
      <c r="A135" s="229">
        <f t="shared" ref="A135" si="346">A134+1</f>
        <v>3413</v>
      </c>
      <c r="B135" s="230">
        <f t="shared" ref="B135" si="347">B134+1</f>
        <v>125</v>
      </c>
      <c r="C135" s="229" t="str">
        <f t="shared" si="181"/>
        <v>24dX23-000_000_05</v>
      </c>
      <c r="D135" s="231">
        <f t="shared" si="334"/>
        <v>23</v>
      </c>
      <c r="E135" s="239">
        <f t="shared" si="324"/>
        <v>3.1990000000000003</v>
      </c>
      <c r="F135" s="232">
        <f t="shared" si="281"/>
        <v>13.908695652173913</v>
      </c>
      <c r="G135" s="232">
        <f t="shared" si="325"/>
        <v>11.126956521739132</v>
      </c>
      <c r="H135" s="232">
        <f t="shared" si="326"/>
        <v>6.9543478260869565</v>
      </c>
      <c r="I135" s="232">
        <f t="shared" ref="I135:J135" si="348">I134</f>
        <v>8</v>
      </c>
      <c r="J135" s="233">
        <f t="shared" si="348"/>
        <v>0</v>
      </c>
      <c r="K135" s="228" t="str">
        <f>D135&amp;-5</f>
        <v>23-5</v>
      </c>
      <c r="L135" s="232">
        <f t="shared" si="336"/>
        <v>0.2</v>
      </c>
      <c r="M135" s="235">
        <v>0</v>
      </c>
      <c r="N135" s="232">
        <f t="shared" ref="N135:P135" si="349">N134</f>
        <v>150</v>
      </c>
      <c r="O135" s="232">
        <f t="shared" si="349"/>
        <v>750</v>
      </c>
      <c r="P135" s="230">
        <f t="shared" si="349"/>
        <v>2</v>
      </c>
      <c r="R135" s="38">
        <f t="shared" si="209"/>
        <v>22</v>
      </c>
      <c r="S135" s="38">
        <f t="shared" si="295"/>
        <v>24</v>
      </c>
      <c r="T135" s="39">
        <f t="shared" si="327"/>
        <v>0.99883835115349351</v>
      </c>
      <c r="U135" s="39">
        <f t="shared" si="328"/>
        <v>0.99967848848331109</v>
      </c>
      <c r="V135" s="39">
        <f t="shared" si="329"/>
        <v>8.4013732981758071E-4</v>
      </c>
      <c r="W135" s="39">
        <f t="shared" si="183"/>
        <v>9.528076189624378E-4</v>
      </c>
      <c r="X135" s="40">
        <f t="shared" si="266"/>
        <v>1.9056152379248756E-3</v>
      </c>
      <c r="Y135" s="40" t="s">
        <v>3710</v>
      </c>
      <c r="Z135" s="217">
        <f t="shared" si="330"/>
        <v>0.22867382855098509</v>
      </c>
      <c r="AA135" s="217">
        <f t="shared" si="331"/>
        <v>3.8112304758497514E-2</v>
      </c>
    </row>
    <row r="136" spans="1:27" x14ac:dyDescent="0.25">
      <c r="A136" s="229">
        <f t="shared" ref="A136" si="350">A135+1</f>
        <v>3414</v>
      </c>
      <c r="B136" s="230">
        <f t="shared" ref="B136" si="351">B135+1</f>
        <v>126</v>
      </c>
      <c r="C136" s="229" t="str">
        <f t="shared" si="181"/>
        <v>24dX23-000_030_06</v>
      </c>
      <c r="D136" s="231">
        <f t="shared" si="334"/>
        <v>23</v>
      </c>
      <c r="E136" s="239">
        <f t="shared" si="324"/>
        <v>3.1990000000000003</v>
      </c>
      <c r="F136" s="232">
        <f t="shared" si="281"/>
        <v>13.908695652173913</v>
      </c>
      <c r="G136" s="232">
        <f t="shared" si="325"/>
        <v>11.126956521739132</v>
      </c>
      <c r="H136" s="232">
        <f t="shared" si="326"/>
        <v>6.9543478260869565</v>
      </c>
      <c r="I136" s="232">
        <f t="shared" ref="I136:J136" si="352">I135</f>
        <v>8</v>
      </c>
      <c r="J136" s="233">
        <f t="shared" si="352"/>
        <v>0</v>
      </c>
      <c r="K136" s="228" t="str">
        <f>D136&amp;-6</f>
        <v>23-6</v>
      </c>
      <c r="L136" s="232">
        <f t="shared" si="336"/>
        <v>0.2</v>
      </c>
      <c r="M136" s="235">
        <v>30</v>
      </c>
      <c r="N136" s="232">
        <f t="shared" ref="N136:P136" si="353">N135</f>
        <v>150</v>
      </c>
      <c r="O136" s="232">
        <f t="shared" si="353"/>
        <v>750</v>
      </c>
      <c r="P136" s="230">
        <f t="shared" si="353"/>
        <v>2</v>
      </c>
      <c r="R136" s="38">
        <f t="shared" si="209"/>
        <v>22</v>
      </c>
      <c r="S136" s="38">
        <f t="shared" si="295"/>
        <v>24</v>
      </c>
      <c r="T136" s="39">
        <f t="shared" si="327"/>
        <v>0.99883835115349351</v>
      </c>
      <c r="U136" s="39">
        <f t="shared" si="328"/>
        <v>0.99967848848331109</v>
      </c>
      <c r="V136" s="39">
        <f t="shared" si="329"/>
        <v>8.4013732981758071E-4</v>
      </c>
      <c r="W136" s="39">
        <f t="shared" si="183"/>
        <v>9.528076189624378E-4</v>
      </c>
      <c r="X136" s="40">
        <f t="shared" si="266"/>
        <v>1.9056152379248756E-3</v>
      </c>
      <c r="Y136" s="40" t="s">
        <v>3710</v>
      </c>
      <c r="Z136" s="217">
        <f t="shared" si="330"/>
        <v>0.22867382855098509</v>
      </c>
      <c r="AA136" s="217">
        <f t="shared" si="331"/>
        <v>3.8112304758497514E-2</v>
      </c>
    </row>
    <row r="137" spans="1:27" x14ac:dyDescent="0.25">
      <c r="A137" s="229">
        <f t="shared" ref="A137" si="354">A136+1</f>
        <v>3415</v>
      </c>
      <c r="B137" s="230">
        <f t="shared" ref="B137" si="355">B136+1</f>
        <v>127</v>
      </c>
      <c r="C137" s="229" t="str">
        <f t="shared" si="181"/>
        <v>24dX23-000_060_07</v>
      </c>
      <c r="D137" s="231">
        <f t="shared" si="334"/>
        <v>23</v>
      </c>
      <c r="E137" s="239">
        <f t="shared" si="324"/>
        <v>3.1990000000000003</v>
      </c>
      <c r="F137" s="232">
        <f t="shared" si="281"/>
        <v>13.908695652173913</v>
      </c>
      <c r="G137" s="232">
        <f t="shared" si="325"/>
        <v>11.126956521739132</v>
      </c>
      <c r="H137" s="232">
        <f t="shared" si="326"/>
        <v>6.9543478260869565</v>
      </c>
      <c r="I137" s="232">
        <f t="shared" ref="I137:J137" si="356">I136</f>
        <v>8</v>
      </c>
      <c r="J137" s="233">
        <f t="shared" si="356"/>
        <v>0</v>
      </c>
      <c r="K137" s="228" t="str">
        <f>D137&amp;-7</f>
        <v>23-7</v>
      </c>
      <c r="L137" s="232">
        <f t="shared" si="336"/>
        <v>0.2</v>
      </c>
      <c r="M137" s="235">
        <v>60</v>
      </c>
      <c r="N137" s="232">
        <f t="shared" ref="N137:P137" si="357">N136</f>
        <v>150</v>
      </c>
      <c r="O137" s="232">
        <f t="shared" si="357"/>
        <v>750</v>
      </c>
      <c r="P137" s="230">
        <f t="shared" si="357"/>
        <v>2</v>
      </c>
      <c r="R137" s="38">
        <f t="shared" si="209"/>
        <v>22</v>
      </c>
      <c r="S137" s="38">
        <f t="shared" si="295"/>
        <v>24</v>
      </c>
      <c r="T137" s="39">
        <f t="shared" si="327"/>
        <v>0.99883835115349351</v>
      </c>
      <c r="U137" s="39">
        <f t="shared" si="328"/>
        <v>0.99967848848331109</v>
      </c>
      <c r="V137" s="39">
        <f t="shared" si="329"/>
        <v>8.4013732981758071E-4</v>
      </c>
      <c r="W137" s="39">
        <f t="shared" si="183"/>
        <v>9.528076189624378E-4</v>
      </c>
      <c r="X137" s="40">
        <f t="shared" si="266"/>
        <v>1.9056152379248756E-3</v>
      </c>
      <c r="Y137" s="40" t="s">
        <v>3710</v>
      </c>
      <c r="Z137" s="217">
        <f t="shared" si="330"/>
        <v>0.22867382855098509</v>
      </c>
      <c r="AA137" s="217">
        <f t="shared" si="331"/>
        <v>3.8112304758497514E-2</v>
      </c>
    </row>
    <row r="138" spans="1:27" x14ac:dyDescent="0.25">
      <c r="A138" s="229">
        <f t="shared" ref="A138" si="358">A137+1</f>
        <v>3416</v>
      </c>
      <c r="B138" s="230">
        <f t="shared" ref="B138" si="359">B137+1</f>
        <v>128</v>
      </c>
      <c r="C138" s="229" t="str">
        <f t="shared" si="181"/>
        <v>24dX23-000_090_08</v>
      </c>
      <c r="D138" s="231">
        <f t="shared" si="334"/>
        <v>23</v>
      </c>
      <c r="E138" s="239">
        <f t="shared" si="324"/>
        <v>3.1990000000000003</v>
      </c>
      <c r="F138" s="232">
        <f t="shared" si="281"/>
        <v>13.908695652173913</v>
      </c>
      <c r="G138" s="232">
        <f t="shared" si="325"/>
        <v>11.126956521739132</v>
      </c>
      <c r="H138" s="232">
        <f t="shared" si="326"/>
        <v>6.9543478260869565</v>
      </c>
      <c r="I138" s="232">
        <f t="shared" ref="I138:J138" si="360">I137</f>
        <v>8</v>
      </c>
      <c r="J138" s="233">
        <f t="shared" si="360"/>
        <v>0</v>
      </c>
      <c r="K138" s="228" t="str">
        <f>D138&amp;-8</f>
        <v>23-8</v>
      </c>
      <c r="L138" s="232">
        <f t="shared" si="336"/>
        <v>0.2</v>
      </c>
      <c r="M138" s="235">
        <v>90</v>
      </c>
      <c r="N138" s="232">
        <f t="shared" ref="N138:P138" si="361">N137</f>
        <v>150</v>
      </c>
      <c r="O138" s="232">
        <f t="shared" si="361"/>
        <v>750</v>
      </c>
      <c r="P138" s="230">
        <f t="shared" si="361"/>
        <v>2</v>
      </c>
      <c r="R138" s="38">
        <f t="shared" si="209"/>
        <v>22</v>
      </c>
      <c r="S138" s="38">
        <f t="shared" si="295"/>
        <v>24</v>
      </c>
      <c r="T138" s="39">
        <f t="shared" si="327"/>
        <v>0.99883835115349351</v>
      </c>
      <c r="U138" s="39">
        <f t="shared" si="328"/>
        <v>0.99967848848331109</v>
      </c>
      <c r="V138" s="39">
        <f t="shared" si="329"/>
        <v>8.4013732981758071E-4</v>
      </c>
      <c r="W138" s="39">
        <f t="shared" si="183"/>
        <v>9.528076189624378E-4</v>
      </c>
      <c r="X138" s="40">
        <f t="shared" si="266"/>
        <v>1.9056152379248756E-3</v>
      </c>
      <c r="Y138" s="40" t="s">
        <v>3710</v>
      </c>
      <c r="Z138" s="217">
        <f t="shared" si="330"/>
        <v>0.22867382855098509</v>
      </c>
      <c r="AA138" s="217">
        <f t="shared" si="331"/>
        <v>3.8112304758497514E-2</v>
      </c>
    </row>
    <row r="139" spans="1:27" x14ac:dyDescent="0.25">
      <c r="A139" s="229">
        <f t="shared" ref="A139" si="362">A138+1</f>
        <v>3417</v>
      </c>
      <c r="B139" s="230">
        <f t="shared" ref="B139" si="363">B138+1</f>
        <v>129</v>
      </c>
      <c r="C139" s="229" t="str">
        <f t="shared" si="181"/>
        <v>24dX23-000_000_09</v>
      </c>
      <c r="D139" s="231">
        <f t="shared" si="334"/>
        <v>23</v>
      </c>
      <c r="E139" s="239">
        <f t="shared" si="324"/>
        <v>3.1990000000000003</v>
      </c>
      <c r="F139" s="232">
        <f t="shared" si="281"/>
        <v>13.908695652173913</v>
      </c>
      <c r="G139" s="232">
        <f t="shared" si="325"/>
        <v>11.126956521739132</v>
      </c>
      <c r="H139" s="232">
        <f t="shared" si="326"/>
        <v>6.9543478260869565</v>
      </c>
      <c r="I139" s="232">
        <f t="shared" ref="I139:J139" si="364">I138</f>
        <v>8</v>
      </c>
      <c r="J139" s="233">
        <f t="shared" si="364"/>
        <v>0</v>
      </c>
      <c r="K139" s="228" t="str">
        <f>D139&amp;-9</f>
        <v>23-9</v>
      </c>
      <c r="L139" s="232">
        <f t="shared" si="336"/>
        <v>0.2</v>
      </c>
      <c r="M139" s="235">
        <v>0</v>
      </c>
      <c r="N139" s="232">
        <f t="shared" ref="N139:P139" si="365">N138</f>
        <v>150</v>
      </c>
      <c r="O139" s="232">
        <f t="shared" si="365"/>
        <v>750</v>
      </c>
      <c r="P139" s="230">
        <f t="shared" si="365"/>
        <v>2</v>
      </c>
      <c r="R139" s="38">
        <f t="shared" si="209"/>
        <v>22</v>
      </c>
      <c r="S139" s="38">
        <f t="shared" si="295"/>
        <v>24</v>
      </c>
      <c r="T139" s="39">
        <f t="shared" si="327"/>
        <v>0.99883835115349351</v>
      </c>
      <c r="U139" s="39">
        <f t="shared" si="328"/>
        <v>0.99967848848331109</v>
      </c>
      <c r="V139" s="39">
        <f t="shared" si="329"/>
        <v>8.4013732981758071E-4</v>
      </c>
      <c r="W139" s="39">
        <f t="shared" si="183"/>
        <v>9.528076189624378E-4</v>
      </c>
      <c r="X139" s="40">
        <f t="shared" ref="X139:X154" si="366">H_hp*W139/12</f>
        <v>1.9056152379248756E-3</v>
      </c>
      <c r="Y139" s="40" t="s">
        <v>3710</v>
      </c>
      <c r="Z139" s="217">
        <f t="shared" si="330"/>
        <v>0.22867382855098509</v>
      </c>
      <c r="AA139" s="217">
        <f t="shared" si="331"/>
        <v>3.8112304758497514E-2</v>
      </c>
    </row>
    <row r="140" spans="1:27" x14ac:dyDescent="0.25">
      <c r="A140" s="229">
        <f t="shared" ref="A140" si="367">A139+1</f>
        <v>3418</v>
      </c>
      <c r="B140" s="230">
        <f t="shared" ref="B140" si="368">B139+1</f>
        <v>130</v>
      </c>
      <c r="C140" s="229" t="str">
        <f t="shared" ref="C140:C154" si="369">TEXT(RIGHT($B$2,LEN($B$2)-3),"000")&amp;"X"&amp;TEXT(D140,"00")&amp;"-"&amp;IF(J140&lt;0,TEXT(360+J140,"000"),TEXT(J140,"000"))&amp;"_"&amp;TEXT(M140,"000")&amp;"_"&amp;TEXT(RIGHT(K140,LEN(K140)-FIND("-",K140)),"00")</f>
        <v>24dX23-000_030_10</v>
      </c>
      <c r="D140" s="231">
        <f t="shared" si="334"/>
        <v>23</v>
      </c>
      <c r="E140" s="239">
        <f t="shared" si="324"/>
        <v>3.1990000000000003</v>
      </c>
      <c r="F140" s="232">
        <f t="shared" si="281"/>
        <v>13.908695652173913</v>
      </c>
      <c r="G140" s="232">
        <f t="shared" si="325"/>
        <v>11.126956521739132</v>
      </c>
      <c r="H140" s="232">
        <f t="shared" si="326"/>
        <v>6.9543478260869565</v>
      </c>
      <c r="I140" s="232">
        <f t="shared" ref="I140:J140" si="370">I139</f>
        <v>8</v>
      </c>
      <c r="J140" s="233">
        <f t="shared" si="370"/>
        <v>0</v>
      </c>
      <c r="K140" s="228" t="str">
        <f>D140&amp;-10</f>
        <v>23-10</v>
      </c>
      <c r="L140" s="232">
        <f t="shared" si="336"/>
        <v>0.2</v>
      </c>
      <c r="M140" s="235">
        <v>30</v>
      </c>
      <c r="N140" s="232">
        <f t="shared" ref="N140:P140" si="371">N139</f>
        <v>150</v>
      </c>
      <c r="O140" s="232">
        <f t="shared" si="371"/>
        <v>750</v>
      </c>
      <c r="P140" s="230">
        <f t="shared" si="371"/>
        <v>2</v>
      </c>
      <c r="R140" s="38">
        <f t="shared" si="209"/>
        <v>22</v>
      </c>
      <c r="S140" s="38">
        <f t="shared" si="295"/>
        <v>24</v>
      </c>
      <c r="T140" s="39">
        <f t="shared" si="327"/>
        <v>0.99883835115349351</v>
      </c>
      <c r="U140" s="39">
        <f t="shared" si="328"/>
        <v>0.99967848848331109</v>
      </c>
      <c r="V140" s="39">
        <f t="shared" si="329"/>
        <v>8.4013732981758071E-4</v>
      </c>
      <c r="W140" s="39">
        <f t="shared" ref="W140:W154" si="372">V140/(V$11+V$23+V$35+V$83+V$131+V$47+V$59+V$71+V$95+V$107+V$119+V$143)</f>
        <v>9.528076189624378E-4</v>
      </c>
      <c r="X140" s="40">
        <f t="shared" si="366"/>
        <v>1.9056152379248756E-3</v>
      </c>
      <c r="Y140" s="40" t="s">
        <v>3710</v>
      </c>
      <c r="Z140" s="217">
        <f t="shared" si="330"/>
        <v>0.22867382855098509</v>
      </c>
      <c r="AA140" s="217">
        <f t="shared" si="331"/>
        <v>3.8112304758497514E-2</v>
      </c>
    </row>
    <row r="141" spans="1:27" x14ac:dyDescent="0.25">
      <c r="A141" s="229">
        <f t="shared" ref="A141" si="373">A140+1</f>
        <v>3419</v>
      </c>
      <c r="B141" s="230">
        <f t="shared" ref="B141" si="374">B140+1</f>
        <v>131</v>
      </c>
      <c r="C141" s="229" t="str">
        <f t="shared" si="369"/>
        <v>24dX23-000_060_11</v>
      </c>
      <c r="D141" s="231">
        <f t="shared" si="334"/>
        <v>23</v>
      </c>
      <c r="E141" s="239">
        <f t="shared" si="324"/>
        <v>3.1990000000000003</v>
      </c>
      <c r="F141" s="232">
        <f t="shared" si="281"/>
        <v>13.908695652173913</v>
      </c>
      <c r="G141" s="232">
        <f t="shared" si="325"/>
        <v>11.126956521739132</v>
      </c>
      <c r="H141" s="232">
        <f t="shared" si="326"/>
        <v>6.9543478260869565</v>
      </c>
      <c r="I141" s="232">
        <f t="shared" ref="I141:J141" si="375">I140</f>
        <v>8</v>
      </c>
      <c r="J141" s="233">
        <f t="shared" si="375"/>
        <v>0</v>
      </c>
      <c r="K141" s="228" t="str">
        <f>D141&amp;-11</f>
        <v>23-11</v>
      </c>
      <c r="L141" s="232">
        <f t="shared" si="336"/>
        <v>0.2</v>
      </c>
      <c r="M141" s="235">
        <v>60</v>
      </c>
      <c r="N141" s="232">
        <f t="shared" ref="N141:P141" si="376">N140</f>
        <v>150</v>
      </c>
      <c r="O141" s="232">
        <f t="shared" si="376"/>
        <v>750</v>
      </c>
      <c r="P141" s="230">
        <f t="shared" si="376"/>
        <v>2</v>
      </c>
      <c r="R141" s="38">
        <f t="shared" si="209"/>
        <v>22</v>
      </c>
      <c r="S141" s="38">
        <f t="shared" si="295"/>
        <v>24</v>
      </c>
      <c r="T141" s="39">
        <f t="shared" si="327"/>
        <v>0.99883835115349351</v>
      </c>
      <c r="U141" s="39">
        <f t="shared" si="328"/>
        <v>0.99967848848331109</v>
      </c>
      <c r="V141" s="39">
        <f t="shared" si="329"/>
        <v>8.4013732981758071E-4</v>
      </c>
      <c r="W141" s="39">
        <f t="shared" si="372"/>
        <v>9.528076189624378E-4</v>
      </c>
      <c r="X141" s="40">
        <f t="shared" si="366"/>
        <v>1.9056152379248756E-3</v>
      </c>
      <c r="Y141" s="40" t="s">
        <v>3710</v>
      </c>
      <c r="Z141" s="217">
        <f t="shared" si="330"/>
        <v>0.22867382855098509</v>
      </c>
      <c r="AA141" s="217">
        <f t="shared" si="331"/>
        <v>3.8112304758497514E-2</v>
      </c>
    </row>
    <row r="142" spans="1:27" x14ac:dyDescent="0.25">
      <c r="A142" s="229">
        <f t="shared" ref="A142" si="377">A141+1</f>
        <v>3420</v>
      </c>
      <c r="B142" s="230">
        <f t="shared" ref="B142" si="378">B141+1</f>
        <v>132</v>
      </c>
      <c r="C142" s="229" t="str">
        <f t="shared" si="369"/>
        <v>24dX23-000_090_12</v>
      </c>
      <c r="D142" s="231">
        <f t="shared" si="334"/>
        <v>23</v>
      </c>
      <c r="E142" s="239">
        <f t="shared" si="324"/>
        <v>3.1990000000000003</v>
      </c>
      <c r="F142" s="232">
        <f t="shared" si="281"/>
        <v>13.908695652173913</v>
      </c>
      <c r="G142" s="232">
        <f t="shared" si="325"/>
        <v>11.126956521739132</v>
      </c>
      <c r="H142" s="232">
        <f t="shared" si="326"/>
        <v>6.9543478260869565</v>
      </c>
      <c r="I142" s="232">
        <f t="shared" ref="I142:J142" si="379">I141</f>
        <v>8</v>
      </c>
      <c r="J142" s="233">
        <f t="shared" si="379"/>
        <v>0</v>
      </c>
      <c r="K142" s="228" t="str">
        <f>D142&amp;-12</f>
        <v>23-12</v>
      </c>
      <c r="L142" s="232">
        <f t="shared" si="336"/>
        <v>0.2</v>
      </c>
      <c r="M142" s="235">
        <v>90</v>
      </c>
      <c r="N142" s="232">
        <f t="shared" ref="N142:P142" si="380">N141</f>
        <v>150</v>
      </c>
      <c r="O142" s="232">
        <f t="shared" si="380"/>
        <v>750</v>
      </c>
      <c r="P142" s="230">
        <f t="shared" si="380"/>
        <v>2</v>
      </c>
      <c r="R142" s="38">
        <f t="shared" si="209"/>
        <v>22</v>
      </c>
      <c r="S142" s="38">
        <f t="shared" si="295"/>
        <v>24</v>
      </c>
      <c r="T142" s="39">
        <f t="shared" si="327"/>
        <v>0.99883835115349351</v>
      </c>
      <c r="U142" s="39">
        <f t="shared" si="328"/>
        <v>0.99967848848331109</v>
      </c>
      <c r="V142" s="39">
        <f t="shared" si="329"/>
        <v>8.4013732981758071E-4</v>
      </c>
      <c r="W142" s="39">
        <f t="shared" si="372"/>
        <v>9.528076189624378E-4</v>
      </c>
      <c r="X142" s="40">
        <f t="shared" si="366"/>
        <v>1.9056152379248756E-3</v>
      </c>
      <c r="Y142" s="40" t="s">
        <v>3710</v>
      </c>
      <c r="Z142" s="217">
        <f t="shared" si="330"/>
        <v>0.22867382855098509</v>
      </c>
      <c r="AA142" s="217">
        <f t="shared" si="331"/>
        <v>3.8112304758497514E-2</v>
      </c>
    </row>
    <row r="143" spans="1:27" x14ac:dyDescent="0.25">
      <c r="A143" s="229">
        <f t="shared" ref="A143" si="381">A142+1</f>
        <v>3421</v>
      </c>
      <c r="B143" s="230">
        <f t="shared" ref="B143" si="382">B142+1</f>
        <v>133</v>
      </c>
      <c r="C143" s="229" t="str">
        <f t="shared" si="369"/>
        <v>24dX25-000_000_01</v>
      </c>
      <c r="D143" s="231">
        <f>D142+v_step</f>
        <v>25</v>
      </c>
      <c r="E143" s="239">
        <f t="shared" si="324"/>
        <v>3.4090000000000007</v>
      </c>
      <c r="F143" s="232">
        <f t="shared" si="281"/>
        <v>13.636000000000003</v>
      </c>
      <c r="G143" s="232">
        <f t="shared" si="325"/>
        <v>10.908800000000003</v>
      </c>
      <c r="H143" s="232">
        <f t="shared" si="326"/>
        <v>6.8180000000000014</v>
      </c>
      <c r="I143" s="232">
        <f t="shared" ref="I143:J143" si="383">I142</f>
        <v>8</v>
      </c>
      <c r="J143" s="233">
        <f t="shared" si="383"/>
        <v>0</v>
      </c>
      <c r="K143" s="228" t="str">
        <f>D143&amp;-1</f>
        <v>25-1</v>
      </c>
      <c r="L143" s="232">
        <f t="shared" si="336"/>
        <v>0.2</v>
      </c>
      <c r="M143" s="235">
        <v>0</v>
      </c>
      <c r="N143" s="232">
        <f t="shared" ref="N143:P143" si="384">N142</f>
        <v>150</v>
      </c>
      <c r="O143" s="232">
        <f t="shared" si="384"/>
        <v>750</v>
      </c>
      <c r="P143" s="230">
        <f t="shared" si="384"/>
        <v>2</v>
      </c>
      <c r="R143" s="38">
        <f>S142</f>
        <v>24</v>
      </c>
      <c r="S143" s="38">
        <f t="shared" ref="S143:S154" si="385">v_out</f>
        <v>25</v>
      </c>
      <c r="T143" s="39">
        <f t="shared" si="327"/>
        <v>0.99967848848331109</v>
      </c>
      <c r="U143" s="39">
        <f t="shared" si="328"/>
        <v>0.99983779445975174</v>
      </c>
      <c r="V143" s="39">
        <f t="shared" si="329"/>
        <v>1.5930597644064903E-4</v>
      </c>
      <c r="W143" s="39">
        <f t="shared" si="372"/>
        <v>1.8067040079252137E-4</v>
      </c>
      <c r="X143" s="40">
        <f t="shared" si="366"/>
        <v>3.6134080158504279E-4</v>
      </c>
      <c r="Y143" s="40" t="s">
        <v>3710</v>
      </c>
      <c r="Z143" s="217">
        <f t="shared" si="330"/>
        <v>4.3360896190205139E-2</v>
      </c>
      <c r="AA143" s="217">
        <f t="shared" si="331"/>
        <v>7.226816031700856E-3</v>
      </c>
    </row>
    <row r="144" spans="1:27" x14ac:dyDescent="0.25">
      <c r="A144" s="229">
        <f t="shared" ref="A144" si="386">A143+1</f>
        <v>3422</v>
      </c>
      <c r="B144" s="230">
        <f t="shared" ref="B144" si="387">B143+1</f>
        <v>134</v>
      </c>
      <c r="C144" s="229" t="str">
        <f t="shared" si="369"/>
        <v>24dX25-000_030_02</v>
      </c>
      <c r="D144" s="231">
        <f t="shared" ref="D144:D154" si="388">D143</f>
        <v>25</v>
      </c>
      <c r="E144" s="239">
        <f t="shared" si="324"/>
        <v>3.4090000000000007</v>
      </c>
      <c r="F144" s="232">
        <f t="shared" si="281"/>
        <v>13.636000000000003</v>
      </c>
      <c r="G144" s="232">
        <f t="shared" si="325"/>
        <v>10.908800000000003</v>
      </c>
      <c r="H144" s="232">
        <f t="shared" si="326"/>
        <v>6.8180000000000014</v>
      </c>
      <c r="I144" s="232">
        <f t="shared" ref="I144:J144" si="389">I143</f>
        <v>8</v>
      </c>
      <c r="J144" s="233">
        <f t="shared" si="389"/>
        <v>0</v>
      </c>
      <c r="K144" s="228" t="str">
        <f>D144&amp;-2</f>
        <v>25-2</v>
      </c>
      <c r="L144" s="232">
        <f t="shared" si="336"/>
        <v>0.2</v>
      </c>
      <c r="M144" s="235">
        <v>30</v>
      </c>
      <c r="N144" s="232">
        <f t="shared" ref="N144:P144" si="390">N143</f>
        <v>150</v>
      </c>
      <c r="O144" s="232">
        <f t="shared" si="390"/>
        <v>750</v>
      </c>
      <c r="P144" s="230">
        <f t="shared" si="390"/>
        <v>2</v>
      </c>
      <c r="R144" s="38">
        <f t="shared" si="209"/>
        <v>24</v>
      </c>
      <c r="S144" s="38">
        <f t="shared" si="385"/>
        <v>25</v>
      </c>
      <c r="T144" s="39">
        <f t="shared" si="327"/>
        <v>0.99967848848331109</v>
      </c>
      <c r="U144" s="39">
        <f t="shared" si="328"/>
        <v>0.99983779445975174</v>
      </c>
      <c r="V144" s="39">
        <f t="shared" si="329"/>
        <v>1.5930597644064903E-4</v>
      </c>
      <c r="W144" s="39">
        <f t="shared" si="372"/>
        <v>1.8067040079252137E-4</v>
      </c>
      <c r="X144" s="40">
        <f t="shared" si="366"/>
        <v>3.6134080158504279E-4</v>
      </c>
      <c r="Y144" s="40" t="s">
        <v>3710</v>
      </c>
      <c r="Z144" s="217">
        <f t="shared" si="330"/>
        <v>4.3360896190205139E-2</v>
      </c>
      <c r="AA144" s="217">
        <f t="shared" si="331"/>
        <v>7.226816031700856E-3</v>
      </c>
    </row>
    <row r="145" spans="1:27" x14ac:dyDescent="0.25">
      <c r="A145" s="229">
        <f t="shared" ref="A145" si="391">A144+1</f>
        <v>3423</v>
      </c>
      <c r="B145" s="230">
        <f t="shared" ref="B145" si="392">B144+1</f>
        <v>135</v>
      </c>
      <c r="C145" s="229" t="str">
        <f t="shared" si="369"/>
        <v>24dX25-000_060_03</v>
      </c>
      <c r="D145" s="231">
        <f t="shared" si="388"/>
        <v>25</v>
      </c>
      <c r="E145" s="239">
        <f t="shared" si="324"/>
        <v>3.4090000000000007</v>
      </c>
      <c r="F145" s="232">
        <f t="shared" si="281"/>
        <v>13.636000000000003</v>
      </c>
      <c r="G145" s="232">
        <f t="shared" si="325"/>
        <v>10.908800000000003</v>
      </c>
      <c r="H145" s="232">
        <f t="shared" si="326"/>
        <v>6.8180000000000014</v>
      </c>
      <c r="I145" s="232">
        <f t="shared" ref="I145:J145" si="393">I144</f>
        <v>8</v>
      </c>
      <c r="J145" s="233">
        <f t="shared" si="393"/>
        <v>0</v>
      </c>
      <c r="K145" s="228" t="str">
        <f>D145&amp;-3</f>
        <v>25-3</v>
      </c>
      <c r="L145" s="232">
        <f t="shared" si="336"/>
        <v>0.2</v>
      </c>
      <c r="M145" s="235">
        <v>60</v>
      </c>
      <c r="N145" s="232">
        <f t="shared" ref="N145:P145" si="394">N144</f>
        <v>150</v>
      </c>
      <c r="O145" s="232">
        <f t="shared" si="394"/>
        <v>750</v>
      </c>
      <c r="P145" s="230">
        <f t="shared" si="394"/>
        <v>2</v>
      </c>
      <c r="R145" s="38">
        <f t="shared" si="209"/>
        <v>24</v>
      </c>
      <c r="S145" s="38">
        <f t="shared" si="385"/>
        <v>25</v>
      </c>
      <c r="T145" s="39">
        <f t="shared" si="327"/>
        <v>0.99967848848331109</v>
      </c>
      <c r="U145" s="39">
        <f t="shared" si="328"/>
        <v>0.99983779445975174</v>
      </c>
      <c r="V145" s="39">
        <f t="shared" si="329"/>
        <v>1.5930597644064903E-4</v>
      </c>
      <c r="W145" s="39">
        <f t="shared" si="372"/>
        <v>1.8067040079252137E-4</v>
      </c>
      <c r="X145" s="40">
        <f t="shared" si="366"/>
        <v>3.6134080158504279E-4</v>
      </c>
      <c r="Y145" s="40" t="s">
        <v>3710</v>
      </c>
      <c r="Z145" s="217">
        <f t="shared" si="330"/>
        <v>4.3360896190205139E-2</v>
      </c>
      <c r="AA145" s="217">
        <f t="shared" si="331"/>
        <v>7.226816031700856E-3</v>
      </c>
    </row>
    <row r="146" spans="1:27" x14ac:dyDescent="0.25">
      <c r="A146" s="229">
        <f t="shared" ref="A146" si="395">A145+1</f>
        <v>3424</v>
      </c>
      <c r="B146" s="230">
        <f t="shared" ref="B146" si="396">B145+1</f>
        <v>136</v>
      </c>
      <c r="C146" s="229" t="str">
        <f t="shared" si="369"/>
        <v>24dX25-000_090_04</v>
      </c>
      <c r="D146" s="231">
        <f t="shared" si="388"/>
        <v>25</v>
      </c>
      <c r="E146" s="239">
        <f t="shared" si="324"/>
        <v>3.4090000000000007</v>
      </c>
      <c r="F146" s="232">
        <f t="shared" si="281"/>
        <v>13.636000000000003</v>
      </c>
      <c r="G146" s="232">
        <f t="shared" si="325"/>
        <v>10.908800000000003</v>
      </c>
      <c r="H146" s="232">
        <f t="shared" si="326"/>
        <v>6.8180000000000014</v>
      </c>
      <c r="I146" s="232">
        <f t="shared" ref="I146:J146" si="397">I145</f>
        <v>8</v>
      </c>
      <c r="J146" s="233">
        <f t="shared" si="397"/>
        <v>0</v>
      </c>
      <c r="K146" s="228" t="str">
        <f>D146&amp;-4</f>
        <v>25-4</v>
      </c>
      <c r="L146" s="232">
        <f t="shared" si="336"/>
        <v>0.2</v>
      </c>
      <c r="M146" s="235">
        <v>90</v>
      </c>
      <c r="N146" s="232">
        <f t="shared" ref="N146:P146" si="398">N145</f>
        <v>150</v>
      </c>
      <c r="O146" s="232">
        <f t="shared" si="398"/>
        <v>750</v>
      </c>
      <c r="P146" s="230">
        <f t="shared" si="398"/>
        <v>2</v>
      </c>
      <c r="R146" s="38">
        <f t="shared" si="209"/>
        <v>24</v>
      </c>
      <c r="S146" s="38">
        <f t="shared" si="385"/>
        <v>25</v>
      </c>
      <c r="T146" s="39">
        <f t="shared" si="327"/>
        <v>0.99967848848331109</v>
      </c>
      <c r="U146" s="39">
        <f t="shared" si="328"/>
        <v>0.99983779445975174</v>
      </c>
      <c r="V146" s="39">
        <f t="shared" si="329"/>
        <v>1.5930597644064903E-4</v>
      </c>
      <c r="W146" s="39">
        <f t="shared" si="372"/>
        <v>1.8067040079252137E-4</v>
      </c>
      <c r="X146" s="40">
        <f t="shared" si="366"/>
        <v>3.6134080158504279E-4</v>
      </c>
      <c r="Y146" s="40" t="s">
        <v>3710</v>
      </c>
      <c r="Z146" s="217">
        <f t="shared" si="330"/>
        <v>4.3360896190205139E-2</v>
      </c>
      <c r="AA146" s="217">
        <f t="shared" si="331"/>
        <v>7.226816031700856E-3</v>
      </c>
    </row>
    <row r="147" spans="1:27" x14ac:dyDescent="0.25">
      <c r="A147" s="229">
        <f t="shared" ref="A147" si="399">A146+1</f>
        <v>3425</v>
      </c>
      <c r="B147" s="230">
        <f t="shared" ref="B147" si="400">B146+1</f>
        <v>137</v>
      </c>
      <c r="C147" s="229" t="str">
        <f t="shared" si="369"/>
        <v>24dX25-000_000_05</v>
      </c>
      <c r="D147" s="231">
        <f t="shared" si="388"/>
        <v>25</v>
      </c>
      <c r="E147" s="239">
        <f t="shared" si="324"/>
        <v>3.4090000000000007</v>
      </c>
      <c r="F147" s="232">
        <f t="shared" si="281"/>
        <v>13.636000000000003</v>
      </c>
      <c r="G147" s="232">
        <f t="shared" si="325"/>
        <v>10.908800000000003</v>
      </c>
      <c r="H147" s="232">
        <f t="shared" si="326"/>
        <v>6.8180000000000014</v>
      </c>
      <c r="I147" s="232">
        <f t="shared" ref="I147:J147" si="401">I146</f>
        <v>8</v>
      </c>
      <c r="J147" s="233">
        <f t="shared" si="401"/>
        <v>0</v>
      </c>
      <c r="K147" s="228" t="str">
        <f>D147&amp;-5</f>
        <v>25-5</v>
      </c>
      <c r="L147" s="232">
        <f t="shared" si="336"/>
        <v>0.2</v>
      </c>
      <c r="M147" s="235">
        <v>0</v>
      </c>
      <c r="N147" s="232">
        <f t="shared" ref="N147:P147" si="402">N146</f>
        <v>150</v>
      </c>
      <c r="O147" s="232">
        <f t="shared" si="402"/>
        <v>750</v>
      </c>
      <c r="P147" s="230">
        <f t="shared" si="402"/>
        <v>2</v>
      </c>
      <c r="R147" s="38">
        <f t="shared" si="209"/>
        <v>24</v>
      </c>
      <c r="S147" s="38">
        <f t="shared" si="385"/>
        <v>25</v>
      </c>
      <c r="T147" s="39">
        <f t="shared" si="327"/>
        <v>0.99967848848331109</v>
      </c>
      <c r="U147" s="39">
        <f t="shared" si="328"/>
        <v>0.99983779445975174</v>
      </c>
      <c r="V147" s="39">
        <f t="shared" si="329"/>
        <v>1.5930597644064903E-4</v>
      </c>
      <c r="W147" s="39">
        <f t="shared" si="372"/>
        <v>1.8067040079252137E-4</v>
      </c>
      <c r="X147" s="40">
        <f t="shared" si="366"/>
        <v>3.6134080158504279E-4</v>
      </c>
      <c r="Y147" s="40" t="s">
        <v>3710</v>
      </c>
      <c r="Z147" s="217">
        <f t="shared" si="330"/>
        <v>4.3360896190205139E-2</v>
      </c>
      <c r="AA147" s="217">
        <f t="shared" si="331"/>
        <v>7.226816031700856E-3</v>
      </c>
    </row>
    <row r="148" spans="1:27" x14ac:dyDescent="0.25">
      <c r="A148" s="229">
        <f t="shared" ref="A148" si="403">A147+1</f>
        <v>3426</v>
      </c>
      <c r="B148" s="230">
        <f t="shared" ref="B148" si="404">B147+1</f>
        <v>138</v>
      </c>
      <c r="C148" s="229" t="str">
        <f t="shared" si="369"/>
        <v>24dX25-000_030_06</v>
      </c>
      <c r="D148" s="231">
        <f t="shared" si="388"/>
        <v>25</v>
      </c>
      <c r="E148" s="239">
        <f t="shared" si="324"/>
        <v>3.4090000000000007</v>
      </c>
      <c r="F148" s="232">
        <f t="shared" si="281"/>
        <v>13.636000000000003</v>
      </c>
      <c r="G148" s="232">
        <f t="shared" si="325"/>
        <v>10.908800000000003</v>
      </c>
      <c r="H148" s="232">
        <f t="shared" si="326"/>
        <v>6.8180000000000014</v>
      </c>
      <c r="I148" s="232">
        <f t="shared" ref="I148:J148" si="405">I147</f>
        <v>8</v>
      </c>
      <c r="J148" s="233">
        <f t="shared" si="405"/>
        <v>0</v>
      </c>
      <c r="K148" s="228" t="str">
        <f>D148&amp;-6</f>
        <v>25-6</v>
      </c>
      <c r="L148" s="232">
        <f t="shared" si="336"/>
        <v>0.2</v>
      </c>
      <c r="M148" s="235">
        <v>30</v>
      </c>
      <c r="N148" s="232">
        <f t="shared" ref="N148:P148" si="406">N147</f>
        <v>150</v>
      </c>
      <c r="O148" s="232">
        <f t="shared" si="406"/>
        <v>750</v>
      </c>
      <c r="P148" s="230">
        <f t="shared" si="406"/>
        <v>2</v>
      </c>
      <c r="R148" s="38">
        <f t="shared" ref="R148:R154" si="407">R147</f>
        <v>24</v>
      </c>
      <c r="S148" s="38">
        <f t="shared" si="385"/>
        <v>25</v>
      </c>
      <c r="T148" s="39">
        <f t="shared" si="327"/>
        <v>0.99967848848331109</v>
      </c>
      <c r="U148" s="39">
        <f t="shared" si="328"/>
        <v>0.99983779445975174</v>
      </c>
      <c r="V148" s="39">
        <f t="shared" si="329"/>
        <v>1.5930597644064903E-4</v>
      </c>
      <c r="W148" s="39">
        <f t="shared" si="372"/>
        <v>1.8067040079252137E-4</v>
      </c>
      <c r="X148" s="40">
        <f t="shared" si="366"/>
        <v>3.6134080158504279E-4</v>
      </c>
      <c r="Y148" s="40" t="s">
        <v>3710</v>
      </c>
      <c r="Z148" s="217">
        <f t="shared" si="330"/>
        <v>4.3360896190205139E-2</v>
      </c>
      <c r="AA148" s="217">
        <f t="shared" si="331"/>
        <v>7.226816031700856E-3</v>
      </c>
    </row>
    <row r="149" spans="1:27" x14ac:dyDescent="0.25">
      <c r="A149" s="229">
        <f t="shared" ref="A149" si="408">A148+1</f>
        <v>3427</v>
      </c>
      <c r="B149" s="230">
        <f t="shared" ref="B149" si="409">B148+1</f>
        <v>139</v>
      </c>
      <c r="C149" s="229" t="str">
        <f t="shared" si="369"/>
        <v>24dX25-000_060_07</v>
      </c>
      <c r="D149" s="231">
        <f t="shared" si="388"/>
        <v>25</v>
      </c>
      <c r="E149" s="239">
        <f t="shared" si="324"/>
        <v>3.4090000000000007</v>
      </c>
      <c r="F149" s="232">
        <f t="shared" si="281"/>
        <v>13.636000000000003</v>
      </c>
      <c r="G149" s="232">
        <f t="shared" si="325"/>
        <v>10.908800000000003</v>
      </c>
      <c r="H149" s="232">
        <f t="shared" si="326"/>
        <v>6.8180000000000014</v>
      </c>
      <c r="I149" s="232">
        <f t="shared" ref="I149:J149" si="410">I148</f>
        <v>8</v>
      </c>
      <c r="J149" s="233">
        <f t="shared" si="410"/>
        <v>0</v>
      </c>
      <c r="K149" s="228" t="str">
        <f>D149&amp;-7</f>
        <v>25-7</v>
      </c>
      <c r="L149" s="232">
        <f t="shared" si="336"/>
        <v>0.2</v>
      </c>
      <c r="M149" s="235">
        <v>60</v>
      </c>
      <c r="N149" s="232">
        <f t="shared" ref="N149:P149" si="411">N148</f>
        <v>150</v>
      </c>
      <c r="O149" s="232">
        <f t="shared" si="411"/>
        <v>750</v>
      </c>
      <c r="P149" s="230">
        <f t="shared" si="411"/>
        <v>2</v>
      </c>
      <c r="R149" s="38">
        <f t="shared" si="407"/>
        <v>24</v>
      </c>
      <c r="S149" s="38">
        <f t="shared" si="385"/>
        <v>25</v>
      </c>
      <c r="T149" s="39">
        <f t="shared" si="327"/>
        <v>0.99967848848331109</v>
      </c>
      <c r="U149" s="39">
        <f t="shared" si="328"/>
        <v>0.99983779445975174</v>
      </c>
      <c r="V149" s="39">
        <f t="shared" si="329"/>
        <v>1.5930597644064903E-4</v>
      </c>
      <c r="W149" s="39">
        <f t="shared" si="372"/>
        <v>1.8067040079252137E-4</v>
      </c>
      <c r="X149" s="40">
        <f t="shared" si="366"/>
        <v>3.6134080158504279E-4</v>
      </c>
      <c r="Y149" s="40" t="s">
        <v>3710</v>
      </c>
      <c r="Z149" s="217">
        <f t="shared" si="330"/>
        <v>4.3360896190205139E-2</v>
      </c>
      <c r="AA149" s="217">
        <f t="shared" si="331"/>
        <v>7.226816031700856E-3</v>
      </c>
    </row>
    <row r="150" spans="1:27" x14ac:dyDescent="0.25">
      <c r="A150" s="229">
        <f t="shared" ref="A150" si="412">A149+1</f>
        <v>3428</v>
      </c>
      <c r="B150" s="230">
        <f t="shared" ref="B150" si="413">B149+1</f>
        <v>140</v>
      </c>
      <c r="C150" s="229" t="str">
        <f t="shared" si="369"/>
        <v>24dX25-000_090_08</v>
      </c>
      <c r="D150" s="231">
        <f t="shared" si="388"/>
        <v>25</v>
      </c>
      <c r="E150" s="239">
        <f t="shared" si="324"/>
        <v>3.4090000000000007</v>
      </c>
      <c r="F150" s="232">
        <f t="shared" si="281"/>
        <v>13.636000000000003</v>
      </c>
      <c r="G150" s="232">
        <f t="shared" si="325"/>
        <v>10.908800000000003</v>
      </c>
      <c r="H150" s="232">
        <f t="shared" si="326"/>
        <v>6.8180000000000014</v>
      </c>
      <c r="I150" s="232">
        <f t="shared" ref="I150:J150" si="414">I149</f>
        <v>8</v>
      </c>
      <c r="J150" s="233">
        <f t="shared" si="414"/>
        <v>0</v>
      </c>
      <c r="K150" s="228" t="str">
        <f>D150&amp;-8</f>
        <v>25-8</v>
      </c>
      <c r="L150" s="232">
        <f t="shared" si="336"/>
        <v>0.2</v>
      </c>
      <c r="M150" s="235">
        <v>90</v>
      </c>
      <c r="N150" s="232">
        <f t="shared" ref="N150:P150" si="415">N149</f>
        <v>150</v>
      </c>
      <c r="O150" s="232">
        <f t="shared" si="415"/>
        <v>750</v>
      </c>
      <c r="P150" s="230">
        <f t="shared" si="415"/>
        <v>2</v>
      </c>
      <c r="R150" s="38">
        <f t="shared" si="407"/>
        <v>24</v>
      </c>
      <c r="S150" s="38">
        <f t="shared" si="385"/>
        <v>25</v>
      </c>
      <c r="T150" s="39">
        <f t="shared" si="327"/>
        <v>0.99967848848331109</v>
      </c>
      <c r="U150" s="39">
        <f t="shared" si="328"/>
        <v>0.99983779445975174</v>
      </c>
      <c r="V150" s="39">
        <f t="shared" si="329"/>
        <v>1.5930597644064903E-4</v>
      </c>
      <c r="W150" s="39">
        <f t="shared" si="372"/>
        <v>1.8067040079252137E-4</v>
      </c>
      <c r="X150" s="40">
        <f t="shared" si="366"/>
        <v>3.6134080158504279E-4</v>
      </c>
      <c r="Y150" s="40" t="s">
        <v>3710</v>
      </c>
      <c r="Z150" s="217">
        <f t="shared" si="330"/>
        <v>4.3360896190205139E-2</v>
      </c>
      <c r="AA150" s="217">
        <f t="shared" si="331"/>
        <v>7.226816031700856E-3</v>
      </c>
    </row>
    <row r="151" spans="1:27" x14ac:dyDescent="0.25">
      <c r="A151" s="229">
        <f t="shared" ref="A151" si="416">A150+1</f>
        <v>3429</v>
      </c>
      <c r="B151" s="230">
        <f t="shared" ref="B151" si="417">B150+1</f>
        <v>141</v>
      </c>
      <c r="C151" s="229" t="str">
        <f t="shared" si="369"/>
        <v>24dX25-000_000_09</v>
      </c>
      <c r="D151" s="231">
        <f t="shared" si="388"/>
        <v>25</v>
      </c>
      <c r="E151" s="239">
        <f t="shared" si="324"/>
        <v>3.4090000000000007</v>
      </c>
      <c r="F151" s="232">
        <f t="shared" si="281"/>
        <v>13.636000000000003</v>
      </c>
      <c r="G151" s="232">
        <f t="shared" si="325"/>
        <v>10.908800000000003</v>
      </c>
      <c r="H151" s="232">
        <f t="shared" si="326"/>
        <v>6.8180000000000014</v>
      </c>
      <c r="I151" s="232">
        <f t="shared" ref="I151:J151" si="418">I150</f>
        <v>8</v>
      </c>
      <c r="J151" s="233">
        <f t="shared" si="418"/>
        <v>0</v>
      </c>
      <c r="K151" s="228" t="str">
        <f>D151&amp;-9</f>
        <v>25-9</v>
      </c>
      <c r="L151" s="232">
        <f t="shared" si="336"/>
        <v>0.2</v>
      </c>
      <c r="M151" s="235">
        <v>0</v>
      </c>
      <c r="N151" s="232">
        <f t="shared" ref="N151:P151" si="419">N150</f>
        <v>150</v>
      </c>
      <c r="O151" s="232">
        <f t="shared" si="419"/>
        <v>750</v>
      </c>
      <c r="P151" s="230">
        <f t="shared" si="419"/>
        <v>2</v>
      </c>
      <c r="R151" s="38">
        <f t="shared" si="407"/>
        <v>24</v>
      </c>
      <c r="S151" s="38">
        <f t="shared" si="385"/>
        <v>25</v>
      </c>
      <c r="T151" s="39">
        <f t="shared" si="327"/>
        <v>0.99967848848331109</v>
      </c>
      <c r="U151" s="39">
        <f t="shared" si="328"/>
        <v>0.99983779445975174</v>
      </c>
      <c r="V151" s="39">
        <f t="shared" si="329"/>
        <v>1.5930597644064903E-4</v>
      </c>
      <c r="W151" s="39">
        <f t="shared" si="372"/>
        <v>1.8067040079252137E-4</v>
      </c>
      <c r="X151" s="40">
        <f t="shared" si="366"/>
        <v>3.6134080158504279E-4</v>
      </c>
      <c r="Y151" s="40" t="s">
        <v>3710</v>
      </c>
      <c r="Z151" s="217">
        <f t="shared" si="330"/>
        <v>4.3360896190205139E-2</v>
      </c>
      <c r="AA151" s="217">
        <f t="shared" si="331"/>
        <v>7.226816031700856E-3</v>
      </c>
    </row>
    <row r="152" spans="1:27" x14ac:dyDescent="0.25">
      <c r="A152" s="229">
        <f t="shared" ref="A152" si="420">A151+1</f>
        <v>3430</v>
      </c>
      <c r="B152" s="230">
        <f t="shared" ref="B152" si="421">B151+1</f>
        <v>142</v>
      </c>
      <c r="C152" s="229" t="str">
        <f t="shared" si="369"/>
        <v>24dX25-000_030_10</v>
      </c>
      <c r="D152" s="231">
        <f t="shared" si="388"/>
        <v>25</v>
      </c>
      <c r="E152" s="239">
        <f t="shared" si="324"/>
        <v>3.4090000000000007</v>
      </c>
      <c r="F152" s="232">
        <f t="shared" si="281"/>
        <v>13.636000000000003</v>
      </c>
      <c r="G152" s="232">
        <f t="shared" si="325"/>
        <v>10.908800000000003</v>
      </c>
      <c r="H152" s="232">
        <f t="shared" si="326"/>
        <v>6.8180000000000014</v>
      </c>
      <c r="I152" s="232">
        <f t="shared" ref="I152:J152" si="422">I151</f>
        <v>8</v>
      </c>
      <c r="J152" s="233">
        <f t="shared" si="422"/>
        <v>0</v>
      </c>
      <c r="K152" s="228" t="str">
        <f>D152&amp;-10</f>
        <v>25-10</v>
      </c>
      <c r="L152" s="232">
        <f t="shared" si="336"/>
        <v>0.2</v>
      </c>
      <c r="M152" s="235">
        <v>30</v>
      </c>
      <c r="N152" s="232">
        <f t="shared" ref="N152:P152" si="423">N151</f>
        <v>150</v>
      </c>
      <c r="O152" s="232">
        <f t="shared" si="423"/>
        <v>750</v>
      </c>
      <c r="P152" s="230">
        <f t="shared" si="423"/>
        <v>2</v>
      </c>
      <c r="R152" s="38">
        <f t="shared" si="407"/>
        <v>24</v>
      </c>
      <c r="S152" s="38">
        <f t="shared" si="385"/>
        <v>25</v>
      </c>
      <c r="T152" s="39">
        <f t="shared" si="327"/>
        <v>0.99967848848331109</v>
      </c>
      <c r="U152" s="39">
        <f t="shared" si="328"/>
        <v>0.99983779445975174</v>
      </c>
      <c r="V152" s="39">
        <f t="shared" si="329"/>
        <v>1.5930597644064903E-4</v>
      </c>
      <c r="W152" s="39">
        <f t="shared" si="372"/>
        <v>1.8067040079252137E-4</v>
      </c>
      <c r="X152" s="40">
        <f t="shared" si="366"/>
        <v>3.6134080158504279E-4</v>
      </c>
      <c r="Y152" s="40" t="s">
        <v>3710</v>
      </c>
      <c r="Z152" s="217">
        <f t="shared" si="330"/>
        <v>4.3360896190205139E-2</v>
      </c>
      <c r="AA152" s="217">
        <f t="shared" si="331"/>
        <v>7.226816031700856E-3</v>
      </c>
    </row>
    <row r="153" spans="1:27" x14ac:dyDescent="0.25">
      <c r="A153" s="229">
        <f t="shared" ref="A153" si="424">A152+1</f>
        <v>3431</v>
      </c>
      <c r="B153" s="230">
        <f t="shared" ref="B153" si="425">B152+1</f>
        <v>143</v>
      </c>
      <c r="C153" s="229" t="str">
        <f t="shared" si="369"/>
        <v>24dX25-000_060_11</v>
      </c>
      <c r="D153" s="231">
        <f t="shared" si="388"/>
        <v>25</v>
      </c>
      <c r="E153" s="239">
        <f t="shared" si="324"/>
        <v>3.4090000000000007</v>
      </c>
      <c r="F153" s="232">
        <f t="shared" si="281"/>
        <v>13.636000000000003</v>
      </c>
      <c r="G153" s="232">
        <f t="shared" si="325"/>
        <v>10.908800000000003</v>
      </c>
      <c r="H153" s="232">
        <f t="shared" si="326"/>
        <v>6.8180000000000014</v>
      </c>
      <c r="I153" s="232">
        <f t="shared" ref="I153:J153" si="426">I152</f>
        <v>8</v>
      </c>
      <c r="J153" s="233">
        <f t="shared" si="426"/>
        <v>0</v>
      </c>
      <c r="K153" s="228" t="str">
        <f>D153&amp;-11</f>
        <v>25-11</v>
      </c>
      <c r="L153" s="232">
        <f t="shared" si="336"/>
        <v>0.2</v>
      </c>
      <c r="M153" s="235">
        <v>60</v>
      </c>
      <c r="N153" s="232">
        <f t="shared" ref="N153:P153" si="427">N152</f>
        <v>150</v>
      </c>
      <c r="O153" s="232">
        <f t="shared" si="427"/>
        <v>750</v>
      </c>
      <c r="P153" s="230">
        <f t="shared" si="427"/>
        <v>2</v>
      </c>
      <c r="R153" s="38">
        <f t="shared" si="407"/>
        <v>24</v>
      </c>
      <c r="S153" s="38">
        <f t="shared" si="385"/>
        <v>25</v>
      </c>
      <c r="T153" s="39">
        <f t="shared" si="327"/>
        <v>0.99967848848331109</v>
      </c>
      <c r="U153" s="39">
        <f t="shared" si="328"/>
        <v>0.99983779445975174</v>
      </c>
      <c r="V153" s="39">
        <f t="shared" si="329"/>
        <v>1.5930597644064903E-4</v>
      </c>
      <c r="W153" s="39">
        <f t="shared" si="372"/>
        <v>1.8067040079252137E-4</v>
      </c>
      <c r="X153" s="40">
        <f t="shared" si="366"/>
        <v>3.6134080158504279E-4</v>
      </c>
      <c r="Y153" s="40" t="s">
        <v>3710</v>
      </c>
      <c r="Z153" s="217">
        <f t="shared" si="330"/>
        <v>4.3360896190205139E-2</v>
      </c>
      <c r="AA153" s="217">
        <f t="shared" si="331"/>
        <v>7.226816031700856E-3</v>
      </c>
    </row>
    <row r="154" spans="1:27" x14ac:dyDescent="0.25">
      <c r="A154" s="229">
        <f t="shared" ref="A154" si="428">A153+1</f>
        <v>3432</v>
      </c>
      <c r="B154" s="230">
        <f t="shared" ref="B154" si="429">B153+1</f>
        <v>144</v>
      </c>
      <c r="C154" s="229" t="str">
        <f t="shared" si="369"/>
        <v>24dX25-000_090_12</v>
      </c>
      <c r="D154" s="231">
        <f t="shared" si="388"/>
        <v>25</v>
      </c>
      <c r="E154" s="239">
        <f t="shared" si="324"/>
        <v>3.4090000000000007</v>
      </c>
      <c r="F154" s="232">
        <f t="shared" si="281"/>
        <v>13.636000000000003</v>
      </c>
      <c r="G154" s="232">
        <f t="shared" si="325"/>
        <v>10.908800000000003</v>
      </c>
      <c r="H154" s="232">
        <f t="shared" si="326"/>
        <v>6.8180000000000014</v>
      </c>
      <c r="I154" s="232">
        <f t="shared" ref="I154:J154" si="430">I153</f>
        <v>8</v>
      </c>
      <c r="J154" s="233">
        <f t="shared" si="430"/>
        <v>0</v>
      </c>
      <c r="K154" s="228" t="str">
        <f>D154&amp;-12</f>
        <v>25-12</v>
      </c>
      <c r="L154" s="232">
        <f t="shared" si="336"/>
        <v>0.2</v>
      </c>
      <c r="M154" s="235">
        <v>90</v>
      </c>
      <c r="N154" s="232">
        <f t="shared" ref="N154:P154" si="431">N153</f>
        <v>150</v>
      </c>
      <c r="O154" s="232">
        <f t="shared" si="431"/>
        <v>750</v>
      </c>
      <c r="P154" s="230">
        <f t="shared" si="431"/>
        <v>2</v>
      </c>
      <c r="R154" s="38">
        <f t="shared" si="407"/>
        <v>24</v>
      </c>
      <c r="S154" s="38">
        <f t="shared" si="385"/>
        <v>25</v>
      </c>
      <c r="T154" s="39">
        <f t="shared" si="327"/>
        <v>0.99967848848331109</v>
      </c>
      <c r="U154" s="39">
        <f t="shared" si="328"/>
        <v>0.99983779445975174</v>
      </c>
      <c r="V154" s="39">
        <f t="shared" si="329"/>
        <v>1.5930597644064903E-4</v>
      </c>
      <c r="W154" s="39">
        <f t="shared" si="372"/>
        <v>1.8067040079252137E-4</v>
      </c>
      <c r="X154" s="40">
        <f t="shared" si="366"/>
        <v>3.6134080158504279E-4</v>
      </c>
      <c r="Y154" s="40" t="s">
        <v>3710</v>
      </c>
      <c r="Z154" s="217">
        <f t="shared" si="330"/>
        <v>4.3360896190205139E-2</v>
      </c>
      <c r="AA154" s="217">
        <f t="shared" si="331"/>
        <v>7.226816031700856E-3</v>
      </c>
    </row>
  </sheetData>
  <mergeCells count="1">
    <mergeCell ref="R8:Y8"/>
  </mergeCells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Q46"/>
  <sheetViews>
    <sheetView topLeftCell="B1" zoomScaleNormal="100" workbookViewId="0">
      <selection activeCell="V22" sqref="V22"/>
    </sheetView>
  </sheetViews>
  <sheetFormatPr defaultColWidth="9" defaultRowHeight="15" x14ac:dyDescent="0.15"/>
  <cols>
    <col min="1" max="1" width="7" style="163" customWidth="1"/>
    <col min="2" max="2" width="6.875" style="163" customWidth="1"/>
    <col min="3" max="3" width="19.375" style="163" customWidth="1"/>
    <col min="4" max="6" width="7.375" style="163" customWidth="1"/>
    <col min="7" max="7" width="7.875" style="163" customWidth="1"/>
    <col min="8" max="8" width="7.125" style="163" customWidth="1"/>
    <col min="9" max="9" width="9.75" style="163" bestFit="1" customWidth="1"/>
    <col min="10" max="11" width="6.375" style="163" customWidth="1"/>
    <col min="12" max="12" width="9.375" style="182" customWidth="1"/>
    <col min="13" max="16384" width="9" style="163"/>
  </cols>
  <sheetData>
    <row r="1" spans="1:17" x14ac:dyDescent="0.15">
      <c r="I1" s="22" t="s">
        <v>135</v>
      </c>
      <c r="J1" s="216" t="s">
        <v>3959</v>
      </c>
    </row>
    <row r="2" spans="1:17" x14ac:dyDescent="0.15">
      <c r="B2" s="22" t="s">
        <v>3640</v>
      </c>
      <c r="C2" s="22"/>
      <c r="D2" s="22"/>
      <c r="E2" s="22"/>
      <c r="I2" s="22"/>
      <c r="J2" s="216" t="s">
        <v>3928</v>
      </c>
      <c r="P2" s="22"/>
    </row>
    <row r="3" spans="1:17" x14ac:dyDescent="0.15">
      <c r="B3" s="22" t="s">
        <v>88</v>
      </c>
      <c r="C3" s="22"/>
      <c r="D3" s="22"/>
      <c r="E3" s="22" t="s">
        <v>102</v>
      </c>
      <c r="I3" s="22"/>
      <c r="J3" s="240" t="s">
        <v>3939</v>
      </c>
      <c r="P3" s="119"/>
      <c r="Q3" s="119"/>
    </row>
    <row r="4" spans="1:17" x14ac:dyDescent="0.15">
      <c r="B4" s="22" t="s">
        <v>89</v>
      </c>
      <c r="C4" s="22"/>
      <c r="D4" s="22"/>
      <c r="E4" s="22" t="s">
        <v>3641</v>
      </c>
      <c r="I4" s="22"/>
      <c r="J4" s="216" t="s">
        <v>3941</v>
      </c>
      <c r="P4" s="119"/>
      <c r="Q4" s="119"/>
    </row>
    <row r="5" spans="1:17" x14ac:dyDescent="0.15">
      <c r="B5" s="22" t="s">
        <v>91</v>
      </c>
      <c r="C5" s="22"/>
      <c r="D5" s="22"/>
      <c r="E5" s="22" t="s">
        <v>3252</v>
      </c>
      <c r="J5" s="240" t="s">
        <v>3940</v>
      </c>
    </row>
    <row r="6" spans="1:17" x14ac:dyDescent="0.15">
      <c r="B6" s="22" t="s">
        <v>93</v>
      </c>
      <c r="C6" s="22"/>
      <c r="D6" s="22"/>
      <c r="E6" s="22">
        <v>1.2</v>
      </c>
      <c r="J6" s="216" t="s">
        <v>3932</v>
      </c>
    </row>
    <row r="7" spans="1:17" x14ac:dyDescent="0.15">
      <c r="A7" s="139"/>
      <c r="B7" s="139"/>
      <c r="C7" s="139"/>
      <c r="D7" s="139"/>
      <c r="E7" s="139"/>
      <c r="F7" s="139"/>
      <c r="G7" s="139"/>
      <c r="I7" s="139"/>
      <c r="J7" s="216" t="s">
        <v>3930</v>
      </c>
      <c r="K7" s="139"/>
    </row>
    <row r="8" spans="1:17" ht="15.75" thickBot="1" x14ac:dyDescent="0.2">
      <c r="A8" s="139">
        <v>1</v>
      </c>
      <c r="B8" s="139">
        <v>2</v>
      </c>
      <c r="C8" s="139">
        <v>3</v>
      </c>
      <c r="D8" s="139">
        <v>4</v>
      </c>
      <c r="E8" s="139">
        <v>5</v>
      </c>
      <c r="F8" s="139">
        <v>6</v>
      </c>
      <c r="G8" s="139">
        <v>7</v>
      </c>
      <c r="H8" s="139">
        <v>8</v>
      </c>
      <c r="I8" s="139">
        <v>9</v>
      </c>
      <c r="J8" s="139">
        <v>10</v>
      </c>
      <c r="K8" s="139">
        <v>11</v>
      </c>
      <c r="L8" s="139">
        <v>12</v>
      </c>
      <c r="M8" s="139"/>
      <c r="N8" s="139"/>
      <c r="O8" s="139"/>
      <c r="P8" s="139"/>
      <c r="Q8" s="139"/>
    </row>
    <row r="9" spans="1:17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25" t="s">
        <v>144</v>
      </c>
      <c r="F9" s="25" t="s">
        <v>2</v>
      </c>
      <c r="G9" s="26" t="s">
        <v>150</v>
      </c>
      <c r="H9" s="25" t="s">
        <v>13</v>
      </c>
      <c r="I9" s="25" t="s">
        <v>3642</v>
      </c>
      <c r="J9" s="27" t="s">
        <v>138</v>
      </c>
      <c r="K9" s="27" t="s">
        <v>139</v>
      </c>
      <c r="L9" s="186" t="s">
        <v>933</v>
      </c>
    </row>
    <row r="10" spans="1:17" ht="15.75" thickBot="1" x14ac:dyDescent="0.3">
      <c r="A10" s="29" t="s">
        <v>76</v>
      </c>
      <c r="B10" s="30" t="str">
        <f>B2</f>
        <v>DLC25</v>
      </c>
      <c r="C10" s="29"/>
      <c r="D10" s="30" t="s">
        <v>4</v>
      </c>
      <c r="E10" s="30" t="s">
        <v>6</v>
      </c>
      <c r="F10" s="30" t="s">
        <v>6</v>
      </c>
      <c r="G10" s="31"/>
      <c r="H10" s="32" t="s">
        <v>7</v>
      </c>
      <c r="I10" s="30" t="s">
        <v>17</v>
      </c>
      <c r="J10" s="32" t="s">
        <v>7</v>
      </c>
      <c r="K10" s="32" t="s">
        <v>7</v>
      </c>
      <c r="L10" s="190"/>
    </row>
    <row r="11" spans="1:17" ht="15.75" thickBot="1" x14ac:dyDescent="0.3">
      <c r="A11" s="24">
        <f>DLC24d!A154+1</f>
        <v>3433</v>
      </c>
      <c r="B11" s="27">
        <v>1</v>
      </c>
      <c r="C11" s="24" t="str">
        <f>TEXT(RIGHT($B$2,LEN($B$2)-3),"L00")&amp;"X"&amp;TEXT(D11,"00")&amp;"#"&amp;IF(F11&lt;0,TEXT(360+F11,"000"),TEXT(F11,"000"))&amp;"_"&amp;TEXT(H11,"000")&amp;"_00"</f>
        <v>L25X03#352_000_00</v>
      </c>
      <c r="D11" s="169">
        <f t="shared" ref="D11:D22" si="0">v_in</f>
        <v>3</v>
      </c>
      <c r="E11" s="164">
        <f t="shared" ref="E11:E46" si="1">inflow</f>
        <v>8</v>
      </c>
      <c r="F11" s="165">
        <f>yaw_min</f>
        <v>-8</v>
      </c>
      <c r="G11" s="166">
        <f t="shared" ref="G11:G46" si="2">alpha_n</f>
        <v>0.2</v>
      </c>
      <c r="H11" s="49">
        <v>0</v>
      </c>
      <c r="I11" s="164">
        <f t="shared" ref="I11:I46" si="3">trig_t</f>
        <v>160</v>
      </c>
      <c r="J11" s="170">
        <f t="shared" ref="J11:J46" si="4">t_out</f>
        <v>150</v>
      </c>
      <c r="K11" s="170">
        <f t="shared" ref="K11:K46" si="5">J11+T_s2</f>
        <v>210</v>
      </c>
      <c r="L11" s="196" t="str">
        <f>LVRT</f>
        <v>\\10.0.80.11\bladed\LSY\W2500-135-140\Rated_10.66_loop2\input\excontroller\LVRT\LVRT.txt</v>
      </c>
    </row>
    <row r="12" spans="1:17" ht="15.75" thickBot="1" x14ac:dyDescent="0.3">
      <c r="A12" s="167">
        <f t="shared" ref="A12:B12" si="6">A11+1</f>
        <v>3434</v>
      </c>
      <c r="B12" s="168">
        <f t="shared" si="6"/>
        <v>2</v>
      </c>
      <c r="C12" s="218" t="str">
        <f t="shared" ref="C12:C46" si="7">TEXT(RIGHT($B$2,LEN($B$2)-3),"L00")&amp;"X"&amp;TEXT(D12,"00")&amp;"#"&amp;IF(F12&lt;0,TEXT(360+F12,"000"),TEXT(F12,"000"))&amp;"_"&amp;TEXT(H12,"000")&amp;"_00"</f>
        <v>L25X03#352_030_00</v>
      </c>
      <c r="D12" s="169">
        <f t="shared" si="0"/>
        <v>3</v>
      </c>
      <c r="E12" s="170">
        <f t="shared" si="1"/>
        <v>8</v>
      </c>
      <c r="F12" s="171">
        <f>yaw_min</f>
        <v>-8</v>
      </c>
      <c r="G12" s="166">
        <f t="shared" si="2"/>
        <v>0.2</v>
      </c>
      <c r="H12" s="49">
        <v>30</v>
      </c>
      <c r="I12" s="170">
        <f t="shared" si="3"/>
        <v>160</v>
      </c>
      <c r="J12" s="170">
        <f t="shared" si="4"/>
        <v>150</v>
      </c>
      <c r="K12" s="170">
        <f t="shared" si="5"/>
        <v>210</v>
      </c>
      <c r="L12" s="196" t="str">
        <f>L11</f>
        <v>\\10.0.80.11\bladed\LSY\W2500-135-140\Rated_10.66_loop2\input\excontroller\LVRT\LVRT.txt</v>
      </c>
    </row>
    <row r="13" spans="1:17" ht="15.75" thickBot="1" x14ac:dyDescent="0.3">
      <c r="A13" s="229">
        <f t="shared" ref="A13:B13" si="8">A12+1</f>
        <v>3435</v>
      </c>
      <c r="B13" s="230">
        <f t="shared" si="8"/>
        <v>3</v>
      </c>
      <c r="C13" s="218" t="str">
        <f t="shared" si="7"/>
        <v>L25X03#352_060_00</v>
      </c>
      <c r="D13" s="169">
        <f t="shared" si="0"/>
        <v>3</v>
      </c>
      <c r="E13" s="170">
        <f t="shared" si="1"/>
        <v>8</v>
      </c>
      <c r="F13" s="171">
        <f>yaw_min</f>
        <v>-8</v>
      </c>
      <c r="G13" s="166">
        <f t="shared" si="2"/>
        <v>0.2</v>
      </c>
      <c r="H13" s="49">
        <v>60</v>
      </c>
      <c r="I13" s="170">
        <f t="shared" si="3"/>
        <v>160</v>
      </c>
      <c r="J13" s="170">
        <f t="shared" si="4"/>
        <v>150</v>
      </c>
      <c r="K13" s="170">
        <f t="shared" si="5"/>
        <v>210</v>
      </c>
      <c r="L13" s="196" t="str">
        <f t="shared" ref="L13:L46" si="9">L12</f>
        <v>\\10.0.80.11\bladed\LSY\W2500-135-140\Rated_10.66_loop2\input\excontroller\LVRT\LVRT.txt</v>
      </c>
    </row>
    <row r="14" spans="1:17" ht="15.75" thickBot="1" x14ac:dyDescent="0.3">
      <c r="A14" s="229">
        <f t="shared" ref="A14:B14" si="10">A13+1</f>
        <v>3436</v>
      </c>
      <c r="B14" s="230">
        <f t="shared" si="10"/>
        <v>4</v>
      </c>
      <c r="C14" s="218" t="str">
        <f t="shared" si="7"/>
        <v>L25X03#352_090_00</v>
      </c>
      <c r="D14" s="169">
        <f t="shared" si="0"/>
        <v>3</v>
      </c>
      <c r="E14" s="170">
        <f t="shared" si="1"/>
        <v>8</v>
      </c>
      <c r="F14" s="171">
        <f>yaw_min</f>
        <v>-8</v>
      </c>
      <c r="G14" s="166">
        <f t="shared" si="2"/>
        <v>0.2</v>
      </c>
      <c r="H14" s="49">
        <v>90</v>
      </c>
      <c r="I14" s="170">
        <f t="shared" si="3"/>
        <v>160</v>
      </c>
      <c r="J14" s="170">
        <f t="shared" si="4"/>
        <v>150</v>
      </c>
      <c r="K14" s="170">
        <f t="shared" si="5"/>
        <v>210</v>
      </c>
      <c r="L14" s="196" t="str">
        <f t="shared" si="9"/>
        <v>\\10.0.80.11\bladed\LSY\W2500-135-140\Rated_10.66_loop2\input\excontroller\LVRT\LVRT.txt</v>
      </c>
    </row>
    <row r="15" spans="1:17" ht="15.75" thickBot="1" x14ac:dyDescent="0.3">
      <c r="A15" s="229">
        <f t="shared" ref="A15:B15" si="11">A14+1</f>
        <v>3437</v>
      </c>
      <c r="B15" s="230">
        <f t="shared" si="11"/>
        <v>5</v>
      </c>
      <c r="C15" s="218" t="str">
        <f t="shared" si="7"/>
        <v>L25X03#000_000_00</v>
      </c>
      <c r="D15" s="169">
        <f t="shared" si="0"/>
        <v>3</v>
      </c>
      <c r="E15" s="170">
        <f t="shared" si="1"/>
        <v>8</v>
      </c>
      <c r="F15" s="171">
        <f>yaw_null</f>
        <v>0</v>
      </c>
      <c r="G15" s="166">
        <f t="shared" si="2"/>
        <v>0.2</v>
      </c>
      <c r="H15" s="49">
        <v>0</v>
      </c>
      <c r="I15" s="170">
        <f t="shared" si="3"/>
        <v>160</v>
      </c>
      <c r="J15" s="170">
        <f t="shared" si="4"/>
        <v>150</v>
      </c>
      <c r="K15" s="170">
        <f t="shared" si="5"/>
        <v>210</v>
      </c>
      <c r="L15" s="196" t="str">
        <f t="shared" si="9"/>
        <v>\\10.0.80.11\bladed\LSY\W2500-135-140\Rated_10.66_loop2\input\excontroller\LVRT\LVRT.txt</v>
      </c>
    </row>
    <row r="16" spans="1:17" ht="15.75" thickBot="1" x14ac:dyDescent="0.3">
      <c r="A16" s="229">
        <f t="shared" ref="A16:B16" si="12">A15+1</f>
        <v>3438</v>
      </c>
      <c r="B16" s="230">
        <f t="shared" si="12"/>
        <v>6</v>
      </c>
      <c r="C16" s="218" t="str">
        <f t="shared" si="7"/>
        <v>L25X03#000_030_00</v>
      </c>
      <c r="D16" s="169">
        <f t="shared" si="0"/>
        <v>3</v>
      </c>
      <c r="E16" s="170">
        <f t="shared" si="1"/>
        <v>8</v>
      </c>
      <c r="F16" s="171">
        <f>yaw_null</f>
        <v>0</v>
      </c>
      <c r="G16" s="166">
        <f t="shared" si="2"/>
        <v>0.2</v>
      </c>
      <c r="H16" s="49">
        <v>30</v>
      </c>
      <c r="I16" s="170">
        <f t="shared" si="3"/>
        <v>160</v>
      </c>
      <c r="J16" s="170">
        <f t="shared" si="4"/>
        <v>150</v>
      </c>
      <c r="K16" s="170">
        <f t="shared" si="5"/>
        <v>210</v>
      </c>
      <c r="L16" s="196" t="str">
        <f t="shared" si="9"/>
        <v>\\10.0.80.11\bladed\LSY\W2500-135-140\Rated_10.66_loop2\input\excontroller\LVRT\LVRT.txt</v>
      </c>
    </row>
    <row r="17" spans="1:12" ht="15.75" thickBot="1" x14ac:dyDescent="0.3">
      <c r="A17" s="229">
        <f t="shared" ref="A17:B17" si="13">A16+1</f>
        <v>3439</v>
      </c>
      <c r="B17" s="230">
        <f t="shared" si="13"/>
        <v>7</v>
      </c>
      <c r="C17" s="218" t="str">
        <f t="shared" si="7"/>
        <v>L25X03#000_060_00</v>
      </c>
      <c r="D17" s="169">
        <f t="shared" si="0"/>
        <v>3</v>
      </c>
      <c r="E17" s="170">
        <f t="shared" si="1"/>
        <v>8</v>
      </c>
      <c r="F17" s="171">
        <f>yaw_null</f>
        <v>0</v>
      </c>
      <c r="G17" s="166">
        <f t="shared" si="2"/>
        <v>0.2</v>
      </c>
      <c r="H17" s="49">
        <v>60</v>
      </c>
      <c r="I17" s="170">
        <f t="shared" si="3"/>
        <v>160</v>
      </c>
      <c r="J17" s="170">
        <f t="shared" si="4"/>
        <v>150</v>
      </c>
      <c r="K17" s="170">
        <f t="shared" si="5"/>
        <v>210</v>
      </c>
      <c r="L17" s="196" t="str">
        <f t="shared" si="9"/>
        <v>\\10.0.80.11\bladed\LSY\W2500-135-140\Rated_10.66_loop2\input\excontroller\LVRT\LVRT.txt</v>
      </c>
    </row>
    <row r="18" spans="1:12" ht="15.75" thickBot="1" x14ac:dyDescent="0.3">
      <c r="A18" s="229">
        <f t="shared" ref="A18:B18" si="14">A17+1</f>
        <v>3440</v>
      </c>
      <c r="B18" s="230">
        <f t="shared" si="14"/>
        <v>8</v>
      </c>
      <c r="C18" s="218" t="str">
        <f t="shared" si="7"/>
        <v>L25X03#000_090_00</v>
      </c>
      <c r="D18" s="169">
        <f t="shared" si="0"/>
        <v>3</v>
      </c>
      <c r="E18" s="170">
        <f t="shared" si="1"/>
        <v>8</v>
      </c>
      <c r="F18" s="171">
        <f>yaw_null</f>
        <v>0</v>
      </c>
      <c r="G18" s="166">
        <f t="shared" si="2"/>
        <v>0.2</v>
      </c>
      <c r="H18" s="49">
        <v>90</v>
      </c>
      <c r="I18" s="170">
        <f t="shared" si="3"/>
        <v>160</v>
      </c>
      <c r="J18" s="170">
        <f t="shared" si="4"/>
        <v>150</v>
      </c>
      <c r="K18" s="170">
        <f t="shared" si="5"/>
        <v>210</v>
      </c>
      <c r="L18" s="196" t="str">
        <f t="shared" si="9"/>
        <v>\\10.0.80.11\bladed\LSY\W2500-135-140\Rated_10.66_loop2\input\excontroller\LVRT\LVRT.txt</v>
      </c>
    </row>
    <row r="19" spans="1:12" ht="15.75" thickBot="1" x14ac:dyDescent="0.3">
      <c r="A19" s="229">
        <f t="shared" ref="A19:B19" si="15">A18+1</f>
        <v>3441</v>
      </c>
      <c r="B19" s="230">
        <f t="shared" si="15"/>
        <v>9</v>
      </c>
      <c r="C19" s="218" t="str">
        <f t="shared" si="7"/>
        <v>L25X03#008_000_00</v>
      </c>
      <c r="D19" s="169">
        <f t="shared" si="0"/>
        <v>3</v>
      </c>
      <c r="E19" s="170">
        <f t="shared" si="1"/>
        <v>8</v>
      </c>
      <c r="F19" s="171">
        <f>yaw_max</f>
        <v>8</v>
      </c>
      <c r="G19" s="166">
        <f t="shared" si="2"/>
        <v>0.2</v>
      </c>
      <c r="H19" s="49">
        <v>0</v>
      </c>
      <c r="I19" s="170">
        <f t="shared" si="3"/>
        <v>160</v>
      </c>
      <c r="J19" s="170">
        <f t="shared" si="4"/>
        <v>150</v>
      </c>
      <c r="K19" s="170">
        <f t="shared" si="5"/>
        <v>210</v>
      </c>
      <c r="L19" s="196" t="str">
        <f t="shared" si="9"/>
        <v>\\10.0.80.11\bladed\LSY\W2500-135-140\Rated_10.66_loop2\input\excontroller\LVRT\LVRT.txt</v>
      </c>
    </row>
    <row r="20" spans="1:12" ht="15.75" thickBot="1" x14ac:dyDescent="0.3">
      <c r="A20" s="229">
        <f t="shared" ref="A20:B20" si="16">A19+1</f>
        <v>3442</v>
      </c>
      <c r="B20" s="230">
        <f t="shared" si="16"/>
        <v>10</v>
      </c>
      <c r="C20" s="218" t="str">
        <f t="shared" si="7"/>
        <v>L25X03#008_030_00</v>
      </c>
      <c r="D20" s="169">
        <f t="shared" si="0"/>
        <v>3</v>
      </c>
      <c r="E20" s="170">
        <f t="shared" si="1"/>
        <v>8</v>
      </c>
      <c r="F20" s="171">
        <f>yaw_max</f>
        <v>8</v>
      </c>
      <c r="G20" s="166">
        <f t="shared" si="2"/>
        <v>0.2</v>
      </c>
      <c r="H20" s="49">
        <v>30</v>
      </c>
      <c r="I20" s="170">
        <f t="shared" si="3"/>
        <v>160</v>
      </c>
      <c r="J20" s="170">
        <f t="shared" si="4"/>
        <v>150</v>
      </c>
      <c r="K20" s="170">
        <f t="shared" si="5"/>
        <v>210</v>
      </c>
      <c r="L20" s="196" t="str">
        <f t="shared" si="9"/>
        <v>\\10.0.80.11\bladed\LSY\W2500-135-140\Rated_10.66_loop2\input\excontroller\LVRT\LVRT.txt</v>
      </c>
    </row>
    <row r="21" spans="1:12" ht="15.75" thickBot="1" x14ac:dyDescent="0.3">
      <c r="A21" s="229">
        <f t="shared" ref="A21:B21" si="17">A20+1</f>
        <v>3443</v>
      </c>
      <c r="B21" s="230">
        <f t="shared" si="17"/>
        <v>11</v>
      </c>
      <c r="C21" s="218" t="str">
        <f t="shared" si="7"/>
        <v>L25X03#008_060_00</v>
      </c>
      <c r="D21" s="169">
        <f t="shared" si="0"/>
        <v>3</v>
      </c>
      <c r="E21" s="170">
        <f t="shared" si="1"/>
        <v>8</v>
      </c>
      <c r="F21" s="171">
        <f>yaw_max</f>
        <v>8</v>
      </c>
      <c r="G21" s="166">
        <f t="shared" si="2"/>
        <v>0.2</v>
      </c>
      <c r="H21" s="49">
        <v>60</v>
      </c>
      <c r="I21" s="170">
        <f t="shared" si="3"/>
        <v>160</v>
      </c>
      <c r="J21" s="170">
        <f t="shared" si="4"/>
        <v>150</v>
      </c>
      <c r="K21" s="170">
        <f t="shared" si="5"/>
        <v>210</v>
      </c>
      <c r="L21" s="196" t="str">
        <f t="shared" si="9"/>
        <v>\\10.0.80.11\bladed\LSY\W2500-135-140\Rated_10.66_loop2\input\excontroller\LVRT\LVRT.txt</v>
      </c>
    </row>
    <row r="22" spans="1:12" ht="15.75" thickBot="1" x14ac:dyDescent="0.3">
      <c r="A22" s="229">
        <f t="shared" ref="A22:B22" si="18">A21+1</f>
        <v>3444</v>
      </c>
      <c r="B22" s="230">
        <f t="shared" si="18"/>
        <v>12</v>
      </c>
      <c r="C22" s="218" t="str">
        <f t="shared" si="7"/>
        <v>L25X03#008_090_00</v>
      </c>
      <c r="D22" s="169">
        <f t="shared" si="0"/>
        <v>3</v>
      </c>
      <c r="E22" s="170">
        <f t="shared" si="1"/>
        <v>8</v>
      </c>
      <c r="F22" s="171">
        <f>yaw_max</f>
        <v>8</v>
      </c>
      <c r="G22" s="166">
        <f t="shared" si="2"/>
        <v>0.2</v>
      </c>
      <c r="H22" s="49">
        <v>90</v>
      </c>
      <c r="I22" s="170">
        <f t="shared" si="3"/>
        <v>160</v>
      </c>
      <c r="J22" s="170">
        <f t="shared" si="4"/>
        <v>150</v>
      </c>
      <c r="K22" s="170">
        <f t="shared" si="5"/>
        <v>210</v>
      </c>
      <c r="L22" s="196" t="str">
        <f t="shared" si="9"/>
        <v>\\10.0.80.11\bladed\LSY\W2500-135-140\Rated_10.66_loop2\input\excontroller\LVRT\LVRT.txt</v>
      </c>
    </row>
    <row r="23" spans="1:12" ht="15.75" thickBot="1" x14ac:dyDescent="0.3">
      <c r="A23" s="229">
        <f t="shared" ref="A23:B23" si="19">A22+1</f>
        <v>3445</v>
      </c>
      <c r="B23" s="230">
        <f t="shared" si="19"/>
        <v>13</v>
      </c>
      <c r="C23" s="218" t="str">
        <f t="shared" si="7"/>
        <v>L25X10#352_000_00</v>
      </c>
      <c r="D23" s="169">
        <f t="shared" ref="D23:D34" si="20">v_r</f>
        <v>9.8000000000000007</v>
      </c>
      <c r="E23" s="170">
        <f t="shared" si="1"/>
        <v>8</v>
      </c>
      <c r="F23" s="171">
        <f>yaw_min</f>
        <v>-8</v>
      </c>
      <c r="G23" s="166">
        <f t="shared" si="2"/>
        <v>0.2</v>
      </c>
      <c r="H23" s="49">
        <v>0</v>
      </c>
      <c r="I23" s="170">
        <f t="shared" si="3"/>
        <v>160</v>
      </c>
      <c r="J23" s="170">
        <f t="shared" si="4"/>
        <v>150</v>
      </c>
      <c r="K23" s="170">
        <f t="shared" si="5"/>
        <v>210</v>
      </c>
      <c r="L23" s="196" t="str">
        <f t="shared" si="9"/>
        <v>\\10.0.80.11\bladed\LSY\W2500-135-140\Rated_10.66_loop2\input\excontroller\LVRT\LVRT.txt</v>
      </c>
    </row>
    <row r="24" spans="1:12" ht="15.75" thickBot="1" x14ac:dyDescent="0.3">
      <c r="A24" s="229">
        <f t="shared" ref="A24:B24" si="21">A23+1</f>
        <v>3446</v>
      </c>
      <c r="B24" s="230">
        <f t="shared" si="21"/>
        <v>14</v>
      </c>
      <c r="C24" s="218" t="str">
        <f t="shared" si="7"/>
        <v>L25X10#352_030_00</v>
      </c>
      <c r="D24" s="169">
        <f t="shared" si="20"/>
        <v>9.8000000000000007</v>
      </c>
      <c r="E24" s="170">
        <f t="shared" si="1"/>
        <v>8</v>
      </c>
      <c r="F24" s="171">
        <f>yaw_min</f>
        <v>-8</v>
      </c>
      <c r="G24" s="166">
        <f t="shared" si="2"/>
        <v>0.2</v>
      </c>
      <c r="H24" s="49">
        <v>30</v>
      </c>
      <c r="I24" s="170">
        <f t="shared" si="3"/>
        <v>160</v>
      </c>
      <c r="J24" s="170">
        <f t="shared" si="4"/>
        <v>150</v>
      </c>
      <c r="K24" s="170">
        <f t="shared" si="5"/>
        <v>210</v>
      </c>
      <c r="L24" s="196" t="str">
        <f t="shared" si="9"/>
        <v>\\10.0.80.11\bladed\LSY\W2500-135-140\Rated_10.66_loop2\input\excontroller\LVRT\LVRT.txt</v>
      </c>
    </row>
    <row r="25" spans="1:12" ht="15.75" thickBot="1" x14ac:dyDescent="0.3">
      <c r="A25" s="229">
        <f t="shared" ref="A25:B25" si="22">A24+1</f>
        <v>3447</v>
      </c>
      <c r="B25" s="230">
        <f t="shared" si="22"/>
        <v>15</v>
      </c>
      <c r="C25" s="218" t="str">
        <f t="shared" si="7"/>
        <v>L25X10#352_060_00</v>
      </c>
      <c r="D25" s="169">
        <f t="shared" si="20"/>
        <v>9.8000000000000007</v>
      </c>
      <c r="E25" s="170">
        <f t="shared" si="1"/>
        <v>8</v>
      </c>
      <c r="F25" s="171">
        <f>yaw_min</f>
        <v>-8</v>
      </c>
      <c r="G25" s="166">
        <f t="shared" si="2"/>
        <v>0.2</v>
      </c>
      <c r="H25" s="49">
        <v>60</v>
      </c>
      <c r="I25" s="170">
        <f t="shared" si="3"/>
        <v>160</v>
      </c>
      <c r="J25" s="170">
        <f t="shared" si="4"/>
        <v>150</v>
      </c>
      <c r="K25" s="170">
        <f t="shared" si="5"/>
        <v>210</v>
      </c>
      <c r="L25" s="196" t="str">
        <f t="shared" si="9"/>
        <v>\\10.0.80.11\bladed\LSY\W2500-135-140\Rated_10.66_loop2\input\excontroller\LVRT\LVRT.txt</v>
      </c>
    </row>
    <row r="26" spans="1:12" ht="15.75" thickBot="1" x14ac:dyDescent="0.3">
      <c r="A26" s="229">
        <f t="shared" ref="A26:B26" si="23">A25+1</f>
        <v>3448</v>
      </c>
      <c r="B26" s="230">
        <f t="shared" si="23"/>
        <v>16</v>
      </c>
      <c r="C26" s="218" t="str">
        <f t="shared" si="7"/>
        <v>L25X10#352_090_00</v>
      </c>
      <c r="D26" s="169">
        <f t="shared" si="20"/>
        <v>9.8000000000000007</v>
      </c>
      <c r="E26" s="170">
        <f t="shared" si="1"/>
        <v>8</v>
      </c>
      <c r="F26" s="171">
        <f>yaw_min</f>
        <v>-8</v>
      </c>
      <c r="G26" s="166">
        <f t="shared" si="2"/>
        <v>0.2</v>
      </c>
      <c r="H26" s="49">
        <v>90</v>
      </c>
      <c r="I26" s="170">
        <f t="shared" si="3"/>
        <v>160</v>
      </c>
      <c r="J26" s="170">
        <f t="shared" si="4"/>
        <v>150</v>
      </c>
      <c r="K26" s="170">
        <f t="shared" si="5"/>
        <v>210</v>
      </c>
      <c r="L26" s="196" t="str">
        <f t="shared" si="9"/>
        <v>\\10.0.80.11\bladed\LSY\W2500-135-140\Rated_10.66_loop2\input\excontroller\LVRT\LVRT.txt</v>
      </c>
    </row>
    <row r="27" spans="1:12" ht="15.75" thickBot="1" x14ac:dyDescent="0.3">
      <c r="A27" s="229">
        <f t="shared" ref="A27:B27" si="24">A26+1</f>
        <v>3449</v>
      </c>
      <c r="B27" s="230">
        <f t="shared" si="24"/>
        <v>17</v>
      </c>
      <c r="C27" s="218" t="str">
        <f t="shared" si="7"/>
        <v>L25X10#000_000_00</v>
      </c>
      <c r="D27" s="169">
        <f t="shared" si="20"/>
        <v>9.8000000000000007</v>
      </c>
      <c r="E27" s="170">
        <f t="shared" si="1"/>
        <v>8</v>
      </c>
      <c r="F27" s="171">
        <f>yaw_null</f>
        <v>0</v>
      </c>
      <c r="G27" s="166">
        <f t="shared" si="2"/>
        <v>0.2</v>
      </c>
      <c r="H27" s="49">
        <v>0</v>
      </c>
      <c r="I27" s="170">
        <f t="shared" si="3"/>
        <v>160</v>
      </c>
      <c r="J27" s="170">
        <f t="shared" si="4"/>
        <v>150</v>
      </c>
      <c r="K27" s="170">
        <f t="shared" si="5"/>
        <v>210</v>
      </c>
      <c r="L27" s="196" t="str">
        <f t="shared" si="9"/>
        <v>\\10.0.80.11\bladed\LSY\W2500-135-140\Rated_10.66_loop2\input\excontroller\LVRT\LVRT.txt</v>
      </c>
    </row>
    <row r="28" spans="1:12" ht="15.75" thickBot="1" x14ac:dyDescent="0.3">
      <c r="A28" s="229">
        <f t="shared" ref="A28:B28" si="25">A27+1</f>
        <v>3450</v>
      </c>
      <c r="B28" s="230">
        <f t="shared" si="25"/>
        <v>18</v>
      </c>
      <c r="C28" s="218" t="str">
        <f t="shared" si="7"/>
        <v>L25X10#000_030_00</v>
      </c>
      <c r="D28" s="169">
        <f t="shared" si="20"/>
        <v>9.8000000000000007</v>
      </c>
      <c r="E28" s="170">
        <f t="shared" si="1"/>
        <v>8</v>
      </c>
      <c r="F28" s="171">
        <f>yaw_null</f>
        <v>0</v>
      </c>
      <c r="G28" s="166">
        <f t="shared" si="2"/>
        <v>0.2</v>
      </c>
      <c r="H28" s="49">
        <v>30</v>
      </c>
      <c r="I28" s="170">
        <f t="shared" si="3"/>
        <v>160</v>
      </c>
      <c r="J28" s="170">
        <f t="shared" si="4"/>
        <v>150</v>
      </c>
      <c r="K28" s="170">
        <f t="shared" si="5"/>
        <v>210</v>
      </c>
      <c r="L28" s="196" t="str">
        <f t="shared" si="9"/>
        <v>\\10.0.80.11\bladed\LSY\W2500-135-140\Rated_10.66_loop2\input\excontroller\LVRT\LVRT.txt</v>
      </c>
    </row>
    <row r="29" spans="1:12" ht="15.75" thickBot="1" x14ac:dyDescent="0.3">
      <c r="A29" s="229">
        <f t="shared" ref="A29:B29" si="26">A28+1</f>
        <v>3451</v>
      </c>
      <c r="B29" s="230">
        <f t="shared" si="26"/>
        <v>19</v>
      </c>
      <c r="C29" s="218" t="str">
        <f t="shared" si="7"/>
        <v>L25X10#000_060_00</v>
      </c>
      <c r="D29" s="169">
        <f t="shared" si="20"/>
        <v>9.8000000000000007</v>
      </c>
      <c r="E29" s="170">
        <f t="shared" si="1"/>
        <v>8</v>
      </c>
      <c r="F29" s="171">
        <f>yaw_null</f>
        <v>0</v>
      </c>
      <c r="G29" s="166">
        <f t="shared" si="2"/>
        <v>0.2</v>
      </c>
      <c r="H29" s="49">
        <v>60</v>
      </c>
      <c r="I29" s="170">
        <f t="shared" si="3"/>
        <v>160</v>
      </c>
      <c r="J29" s="170">
        <f t="shared" si="4"/>
        <v>150</v>
      </c>
      <c r="K29" s="170">
        <f t="shared" si="5"/>
        <v>210</v>
      </c>
      <c r="L29" s="196" t="str">
        <f t="shared" si="9"/>
        <v>\\10.0.80.11\bladed\LSY\W2500-135-140\Rated_10.66_loop2\input\excontroller\LVRT\LVRT.txt</v>
      </c>
    </row>
    <row r="30" spans="1:12" ht="15.75" thickBot="1" x14ac:dyDescent="0.3">
      <c r="A30" s="229">
        <f t="shared" ref="A30:B30" si="27">A29+1</f>
        <v>3452</v>
      </c>
      <c r="B30" s="230">
        <f t="shared" si="27"/>
        <v>20</v>
      </c>
      <c r="C30" s="218" t="str">
        <f t="shared" si="7"/>
        <v>L25X10#000_090_00</v>
      </c>
      <c r="D30" s="169">
        <f t="shared" si="20"/>
        <v>9.8000000000000007</v>
      </c>
      <c r="E30" s="170">
        <f t="shared" si="1"/>
        <v>8</v>
      </c>
      <c r="F30" s="171">
        <f>yaw_null</f>
        <v>0</v>
      </c>
      <c r="G30" s="166">
        <f t="shared" si="2"/>
        <v>0.2</v>
      </c>
      <c r="H30" s="49">
        <v>90</v>
      </c>
      <c r="I30" s="170">
        <f t="shared" si="3"/>
        <v>160</v>
      </c>
      <c r="J30" s="170">
        <f t="shared" si="4"/>
        <v>150</v>
      </c>
      <c r="K30" s="170">
        <f t="shared" si="5"/>
        <v>210</v>
      </c>
      <c r="L30" s="196" t="str">
        <f t="shared" si="9"/>
        <v>\\10.0.80.11\bladed\LSY\W2500-135-140\Rated_10.66_loop2\input\excontroller\LVRT\LVRT.txt</v>
      </c>
    </row>
    <row r="31" spans="1:12" ht="15.75" thickBot="1" x14ac:dyDescent="0.3">
      <c r="A31" s="229">
        <f t="shared" ref="A31:B31" si="28">A30+1</f>
        <v>3453</v>
      </c>
      <c r="B31" s="230">
        <f t="shared" si="28"/>
        <v>21</v>
      </c>
      <c r="C31" s="218" t="str">
        <f t="shared" si="7"/>
        <v>L25X10#008_000_00</v>
      </c>
      <c r="D31" s="169">
        <f t="shared" si="20"/>
        <v>9.8000000000000007</v>
      </c>
      <c r="E31" s="170">
        <f t="shared" si="1"/>
        <v>8</v>
      </c>
      <c r="F31" s="171">
        <f>yaw_max</f>
        <v>8</v>
      </c>
      <c r="G31" s="166">
        <f t="shared" si="2"/>
        <v>0.2</v>
      </c>
      <c r="H31" s="49">
        <v>0</v>
      </c>
      <c r="I31" s="170">
        <f t="shared" si="3"/>
        <v>160</v>
      </c>
      <c r="J31" s="170">
        <f t="shared" si="4"/>
        <v>150</v>
      </c>
      <c r="K31" s="170">
        <f t="shared" si="5"/>
        <v>210</v>
      </c>
      <c r="L31" s="196" t="str">
        <f t="shared" si="9"/>
        <v>\\10.0.80.11\bladed\LSY\W2500-135-140\Rated_10.66_loop2\input\excontroller\LVRT\LVRT.txt</v>
      </c>
    </row>
    <row r="32" spans="1:12" ht="15.75" thickBot="1" x14ac:dyDescent="0.3">
      <c r="A32" s="229">
        <f t="shared" ref="A32:B32" si="29">A31+1</f>
        <v>3454</v>
      </c>
      <c r="B32" s="230">
        <f t="shared" si="29"/>
        <v>22</v>
      </c>
      <c r="C32" s="218" t="str">
        <f t="shared" si="7"/>
        <v>L25X10#008_030_00</v>
      </c>
      <c r="D32" s="169">
        <f t="shared" si="20"/>
        <v>9.8000000000000007</v>
      </c>
      <c r="E32" s="170">
        <f t="shared" si="1"/>
        <v>8</v>
      </c>
      <c r="F32" s="171">
        <f>yaw_max</f>
        <v>8</v>
      </c>
      <c r="G32" s="166">
        <f t="shared" si="2"/>
        <v>0.2</v>
      </c>
      <c r="H32" s="49">
        <v>30</v>
      </c>
      <c r="I32" s="170">
        <f t="shared" si="3"/>
        <v>160</v>
      </c>
      <c r="J32" s="170">
        <f t="shared" si="4"/>
        <v>150</v>
      </c>
      <c r="K32" s="170">
        <f t="shared" si="5"/>
        <v>210</v>
      </c>
      <c r="L32" s="196" t="str">
        <f t="shared" si="9"/>
        <v>\\10.0.80.11\bladed\LSY\W2500-135-140\Rated_10.66_loop2\input\excontroller\LVRT\LVRT.txt</v>
      </c>
    </row>
    <row r="33" spans="1:12" ht="15.75" thickBot="1" x14ac:dyDescent="0.3">
      <c r="A33" s="229">
        <f t="shared" ref="A33:B33" si="30">A32+1</f>
        <v>3455</v>
      </c>
      <c r="B33" s="230">
        <f t="shared" si="30"/>
        <v>23</v>
      </c>
      <c r="C33" s="218" t="str">
        <f t="shared" si="7"/>
        <v>L25X10#008_060_00</v>
      </c>
      <c r="D33" s="169">
        <f t="shared" si="20"/>
        <v>9.8000000000000007</v>
      </c>
      <c r="E33" s="170">
        <f t="shared" si="1"/>
        <v>8</v>
      </c>
      <c r="F33" s="171">
        <f>yaw_max</f>
        <v>8</v>
      </c>
      <c r="G33" s="166">
        <f t="shared" si="2"/>
        <v>0.2</v>
      </c>
      <c r="H33" s="49">
        <v>60</v>
      </c>
      <c r="I33" s="170">
        <f t="shared" si="3"/>
        <v>160</v>
      </c>
      <c r="J33" s="170">
        <f t="shared" si="4"/>
        <v>150</v>
      </c>
      <c r="K33" s="170">
        <f t="shared" si="5"/>
        <v>210</v>
      </c>
      <c r="L33" s="196" t="str">
        <f t="shared" si="9"/>
        <v>\\10.0.80.11\bladed\LSY\W2500-135-140\Rated_10.66_loop2\input\excontroller\LVRT\LVRT.txt</v>
      </c>
    </row>
    <row r="34" spans="1:12" ht="15.75" thickBot="1" x14ac:dyDescent="0.3">
      <c r="A34" s="229">
        <f t="shared" ref="A34:B34" si="31">A33+1</f>
        <v>3456</v>
      </c>
      <c r="B34" s="230">
        <f t="shared" si="31"/>
        <v>24</v>
      </c>
      <c r="C34" s="218" t="str">
        <f t="shared" si="7"/>
        <v>L25X10#008_090_00</v>
      </c>
      <c r="D34" s="169">
        <f t="shared" si="20"/>
        <v>9.8000000000000007</v>
      </c>
      <c r="E34" s="170">
        <f t="shared" si="1"/>
        <v>8</v>
      </c>
      <c r="F34" s="171">
        <f>yaw_max</f>
        <v>8</v>
      </c>
      <c r="G34" s="166">
        <f t="shared" si="2"/>
        <v>0.2</v>
      </c>
      <c r="H34" s="49">
        <v>90</v>
      </c>
      <c r="I34" s="170">
        <f t="shared" si="3"/>
        <v>160</v>
      </c>
      <c r="J34" s="170">
        <f t="shared" si="4"/>
        <v>150</v>
      </c>
      <c r="K34" s="170">
        <f t="shared" si="5"/>
        <v>210</v>
      </c>
      <c r="L34" s="196" t="str">
        <f t="shared" si="9"/>
        <v>\\10.0.80.11\bladed\LSY\W2500-135-140\Rated_10.66_loop2\input\excontroller\LVRT\LVRT.txt</v>
      </c>
    </row>
    <row r="35" spans="1:12" ht="15.75" thickBot="1" x14ac:dyDescent="0.3">
      <c r="A35" s="229">
        <f t="shared" ref="A35:B35" si="32">A34+1</f>
        <v>3457</v>
      </c>
      <c r="B35" s="230">
        <f t="shared" si="32"/>
        <v>25</v>
      </c>
      <c r="C35" s="218" t="str">
        <f t="shared" si="7"/>
        <v>L25X25#352_000_00</v>
      </c>
      <c r="D35" s="169">
        <f t="shared" ref="D35:D46" si="33">v_out</f>
        <v>25</v>
      </c>
      <c r="E35" s="170">
        <f t="shared" si="1"/>
        <v>8</v>
      </c>
      <c r="F35" s="171">
        <f>yaw_min</f>
        <v>-8</v>
      </c>
      <c r="G35" s="166">
        <f t="shared" si="2"/>
        <v>0.2</v>
      </c>
      <c r="H35" s="49">
        <v>0</v>
      </c>
      <c r="I35" s="170">
        <f t="shared" si="3"/>
        <v>160</v>
      </c>
      <c r="J35" s="170">
        <f t="shared" si="4"/>
        <v>150</v>
      </c>
      <c r="K35" s="170">
        <f t="shared" si="5"/>
        <v>210</v>
      </c>
      <c r="L35" s="196" t="str">
        <f t="shared" si="9"/>
        <v>\\10.0.80.11\bladed\LSY\W2500-135-140\Rated_10.66_loop2\input\excontroller\LVRT\LVRT.txt</v>
      </c>
    </row>
    <row r="36" spans="1:12" ht="15.75" thickBot="1" x14ac:dyDescent="0.3">
      <c r="A36" s="229">
        <f t="shared" ref="A36:B36" si="34">A35+1</f>
        <v>3458</v>
      </c>
      <c r="B36" s="230">
        <f t="shared" si="34"/>
        <v>26</v>
      </c>
      <c r="C36" s="218" t="str">
        <f t="shared" si="7"/>
        <v>L25X25#352_030_00</v>
      </c>
      <c r="D36" s="169">
        <f t="shared" si="33"/>
        <v>25</v>
      </c>
      <c r="E36" s="170">
        <f t="shared" si="1"/>
        <v>8</v>
      </c>
      <c r="F36" s="171">
        <f>yaw_min</f>
        <v>-8</v>
      </c>
      <c r="G36" s="166">
        <f t="shared" si="2"/>
        <v>0.2</v>
      </c>
      <c r="H36" s="49">
        <v>30</v>
      </c>
      <c r="I36" s="170">
        <f t="shared" si="3"/>
        <v>160</v>
      </c>
      <c r="J36" s="170">
        <f t="shared" si="4"/>
        <v>150</v>
      </c>
      <c r="K36" s="170">
        <f t="shared" si="5"/>
        <v>210</v>
      </c>
      <c r="L36" s="196" t="str">
        <f t="shared" si="9"/>
        <v>\\10.0.80.11\bladed\LSY\W2500-135-140\Rated_10.66_loop2\input\excontroller\LVRT\LVRT.txt</v>
      </c>
    </row>
    <row r="37" spans="1:12" ht="15.75" thickBot="1" x14ac:dyDescent="0.3">
      <c r="A37" s="229">
        <f t="shared" ref="A37:B37" si="35">A36+1</f>
        <v>3459</v>
      </c>
      <c r="B37" s="230">
        <f t="shared" si="35"/>
        <v>27</v>
      </c>
      <c r="C37" s="218" t="str">
        <f t="shared" si="7"/>
        <v>L25X25#352_060_00</v>
      </c>
      <c r="D37" s="169">
        <f t="shared" si="33"/>
        <v>25</v>
      </c>
      <c r="E37" s="170">
        <f t="shared" si="1"/>
        <v>8</v>
      </c>
      <c r="F37" s="171">
        <f>yaw_min</f>
        <v>-8</v>
      </c>
      <c r="G37" s="166">
        <f t="shared" si="2"/>
        <v>0.2</v>
      </c>
      <c r="H37" s="49">
        <v>60</v>
      </c>
      <c r="I37" s="170">
        <f t="shared" si="3"/>
        <v>160</v>
      </c>
      <c r="J37" s="170">
        <f t="shared" si="4"/>
        <v>150</v>
      </c>
      <c r="K37" s="170">
        <f t="shared" si="5"/>
        <v>210</v>
      </c>
      <c r="L37" s="196" t="str">
        <f t="shared" si="9"/>
        <v>\\10.0.80.11\bladed\LSY\W2500-135-140\Rated_10.66_loop2\input\excontroller\LVRT\LVRT.txt</v>
      </c>
    </row>
    <row r="38" spans="1:12" ht="15.75" thickBot="1" x14ac:dyDescent="0.3">
      <c r="A38" s="229">
        <f t="shared" ref="A38:B38" si="36">A37+1</f>
        <v>3460</v>
      </c>
      <c r="B38" s="230">
        <f t="shared" si="36"/>
        <v>28</v>
      </c>
      <c r="C38" s="218" t="str">
        <f t="shared" si="7"/>
        <v>L25X25#352_090_00</v>
      </c>
      <c r="D38" s="169">
        <f t="shared" si="33"/>
        <v>25</v>
      </c>
      <c r="E38" s="170">
        <f t="shared" si="1"/>
        <v>8</v>
      </c>
      <c r="F38" s="171">
        <f>yaw_min</f>
        <v>-8</v>
      </c>
      <c r="G38" s="166">
        <f t="shared" si="2"/>
        <v>0.2</v>
      </c>
      <c r="H38" s="49">
        <v>90</v>
      </c>
      <c r="I38" s="170">
        <f t="shared" si="3"/>
        <v>160</v>
      </c>
      <c r="J38" s="170">
        <f t="shared" si="4"/>
        <v>150</v>
      </c>
      <c r="K38" s="170">
        <f t="shared" si="5"/>
        <v>210</v>
      </c>
      <c r="L38" s="196" t="str">
        <f t="shared" si="9"/>
        <v>\\10.0.80.11\bladed\LSY\W2500-135-140\Rated_10.66_loop2\input\excontroller\LVRT\LVRT.txt</v>
      </c>
    </row>
    <row r="39" spans="1:12" ht="15.75" thickBot="1" x14ac:dyDescent="0.3">
      <c r="A39" s="229">
        <f t="shared" ref="A39:B39" si="37">A38+1</f>
        <v>3461</v>
      </c>
      <c r="B39" s="230">
        <f t="shared" si="37"/>
        <v>29</v>
      </c>
      <c r="C39" s="218" t="str">
        <f t="shared" si="7"/>
        <v>L25X25#000_000_00</v>
      </c>
      <c r="D39" s="169">
        <f t="shared" si="33"/>
        <v>25</v>
      </c>
      <c r="E39" s="170">
        <f t="shared" si="1"/>
        <v>8</v>
      </c>
      <c r="F39" s="171">
        <f>yaw_null</f>
        <v>0</v>
      </c>
      <c r="G39" s="166">
        <f t="shared" si="2"/>
        <v>0.2</v>
      </c>
      <c r="H39" s="49">
        <v>0</v>
      </c>
      <c r="I39" s="170">
        <f t="shared" si="3"/>
        <v>160</v>
      </c>
      <c r="J39" s="170">
        <f t="shared" si="4"/>
        <v>150</v>
      </c>
      <c r="K39" s="170">
        <f t="shared" si="5"/>
        <v>210</v>
      </c>
      <c r="L39" s="196" t="str">
        <f t="shared" si="9"/>
        <v>\\10.0.80.11\bladed\LSY\W2500-135-140\Rated_10.66_loop2\input\excontroller\LVRT\LVRT.txt</v>
      </c>
    </row>
    <row r="40" spans="1:12" ht="15.75" thickBot="1" x14ac:dyDescent="0.3">
      <c r="A40" s="229">
        <f t="shared" ref="A40:B40" si="38">A39+1</f>
        <v>3462</v>
      </c>
      <c r="B40" s="230">
        <f t="shared" si="38"/>
        <v>30</v>
      </c>
      <c r="C40" s="218" t="str">
        <f t="shared" si="7"/>
        <v>L25X25#000_030_00</v>
      </c>
      <c r="D40" s="169">
        <f t="shared" si="33"/>
        <v>25</v>
      </c>
      <c r="E40" s="170">
        <f t="shared" si="1"/>
        <v>8</v>
      </c>
      <c r="F40" s="171">
        <f>yaw_null</f>
        <v>0</v>
      </c>
      <c r="G40" s="166">
        <f t="shared" si="2"/>
        <v>0.2</v>
      </c>
      <c r="H40" s="49">
        <v>30</v>
      </c>
      <c r="I40" s="170">
        <f t="shared" si="3"/>
        <v>160</v>
      </c>
      <c r="J40" s="170">
        <f t="shared" si="4"/>
        <v>150</v>
      </c>
      <c r="K40" s="170">
        <f t="shared" si="5"/>
        <v>210</v>
      </c>
      <c r="L40" s="196" t="str">
        <f t="shared" si="9"/>
        <v>\\10.0.80.11\bladed\LSY\W2500-135-140\Rated_10.66_loop2\input\excontroller\LVRT\LVRT.txt</v>
      </c>
    </row>
    <row r="41" spans="1:12" ht="15.75" thickBot="1" x14ac:dyDescent="0.3">
      <c r="A41" s="229">
        <f t="shared" ref="A41:B41" si="39">A40+1</f>
        <v>3463</v>
      </c>
      <c r="B41" s="230">
        <f t="shared" si="39"/>
        <v>31</v>
      </c>
      <c r="C41" s="218" t="str">
        <f t="shared" si="7"/>
        <v>L25X25#000_060_00</v>
      </c>
      <c r="D41" s="169">
        <f t="shared" si="33"/>
        <v>25</v>
      </c>
      <c r="E41" s="170">
        <f t="shared" si="1"/>
        <v>8</v>
      </c>
      <c r="F41" s="171">
        <f>yaw_null</f>
        <v>0</v>
      </c>
      <c r="G41" s="166">
        <f t="shared" si="2"/>
        <v>0.2</v>
      </c>
      <c r="H41" s="49">
        <v>60</v>
      </c>
      <c r="I41" s="170">
        <f t="shared" si="3"/>
        <v>160</v>
      </c>
      <c r="J41" s="170">
        <f t="shared" si="4"/>
        <v>150</v>
      </c>
      <c r="K41" s="170">
        <f t="shared" si="5"/>
        <v>210</v>
      </c>
      <c r="L41" s="196" t="str">
        <f t="shared" si="9"/>
        <v>\\10.0.80.11\bladed\LSY\W2500-135-140\Rated_10.66_loop2\input\excontroller\LVRT\LVRT.txt</v>
      </c>
    </row>
    <row r="42" spans="1:12" ht="15.75" thickBot="1" x14ac:dyDescent="0.3">
      <c r="A42" s="229">
        <f t="shared" ref="A42:B42" si="40">A41+1</f>
        <v>3464</v>
      </c>
      <c r="B42" s="230">
        <f t="shared" si="40"/>
        <v>32</v>
      </c>
      <c r="C42" s="218" t="str">
        <f t="shared" si="7"/>
        <v>L25X25#000_090_00</v>
      </c>
      <c r="D42" s="169">
        <f t="shared" si="33"/>
        <v>25</v>
      </c>
      <c r="E42" s="170">
        <f t="shared" si="1"/>
        <v>8</v>
      </c>
      <c r="F42" s="171">
        <f>yaw_null</f>
        <v>0</v>
      </c>
      <c r="G42" s="166">
        <f t="shared" si="2"/>
        <v>0.2</v>
      </c>
      <c r="H42" s="49">
        <v>90</v>
      </c>
      <c r="I42" s="170">
        <f t="shared" si="3"/>
        <v>160</v>
      </c>
      <c r="J42" s="170">
        <f t="shared" si="4"/>
        <v>150</v>
      </c>
      <c r="K42" s="170">
        <f t="shared" si="5"/>
        <v>210</v>
      </c>
      <c r="L42" s="196" t="str">
        <f t="shared" si="9"/>
        <v>\\10.0.80.11\bladed\LSY\W2500-135-140\Rated_10.66_loop2\input\excontroller\LVRT\LVRT.txt</v>
      </c>
    </row>
    <row r="43" spans="1:12" ht="15.75" thickBot="1" x14ac:dyDescent="0.3">
      <c r="A43" s="229">
        <f t="shared" ref="A43:B43" si="41">A42+1</f>
        <v>3465</v>
      </c>
      <c r="B43" s="230">
        <f t="shared" si="41"/>
        <v>33</v>
      </c>
      <c r="C43" s="218" t="str">
        <f t="shared" si="7"/>
        <v>L25X25#008_000_00</v>
      </c>
      <c r="D43" s="169">
        <f t="shared" si="33"/>
        <v>25</v>
      </c>
      <c r="E43" s="170">
        <f t="shared" si="1"/>
        <v>8</v>
      </c>
      <c r="F43" s="171">
        <f>yaw_max</f>
        <v>8</v>
      </c>
      <c r="G43" s="166">
        <f t="shared" si="2"/>
        <v>0.2</v>
      </c>
      <c r="H43" s="49">
        <v>0</v>
      </c>
      <c r="I43" s="170">
        <f t="shared" si="3"/>
        <v>160</v>
      </c>
      <c r="J43" s="170">
        <f t="shared" si="4"/>
        <v>150</v>
      </c>
      <c r="K43" s="170">
        <f t="shared" si="5"/>
        <v>210</v>
      </c>
      <c r="L43" s="196" t="str">
        <f t="shared" si="9"/>
        <v>\\10.0.80.11\bladed\LSY\W2500-135-140\Rated_10.66_loop2\input\excontroller\LVRT\LVRT.txt</v>
      </c>
    </row>
    <row r="44" spans="1:12" ht="15.75" thickBot="1" x14ac:dyDescent="0.3">
      <c r="A44" s="229">
        <f t="shared" ref="A44:B44" si="42">A43+1</f>
        <v>3466</v>
      </c>
      <c r="B44" s="230">
        <f t="shared" si="42"/>
        <v>34</v>
      </c>
      <c r="C44" s="218" t="str">
        <f t="shared" si="7"/>
        <v>L25X25#008_030_00</v>
      </c>
      <c r="D44" s="169">
        <f t="shared" si="33"/>
        <v>25</v>
      </c>
      <c r="E44" s="170">
        <f t="shared" si="1"/>
        <v>8</v>
      </c>
      <c r="F44" s="171">
        <f>yaw_max</f>
        <v>8</v>
      </c>
      <c r="G44" s="166">
        <f t="shared" si="2"/>
        <v>0.2</v>
      </c>
      <c r="H44" s="49">
        <v>30</v>
      </c>
      <c r="I44" s="170">
        <f t="shared" si="3"/>
        <v>160</v>
      </c>
      <c r="J44" s="170">
        <f t="shared" si="4"/>
        <v>150</v>
      </c>
      <c r="K44" s="170">
        <f t="shared" si="5"/>
        <v>210</v>
      </c>
      <c r="L44" s="196" t="str">
        <f t="shared" si="9"/>
        <v>\\10.0.80.11\bladed\LSY\W2500-135-140\Rated_10.66_loop2\input\excontroller\LVRT\LVRT.txt</v>
      </c>
    </row>
    <row r="45" spans="1:12" ht="15.75" thickBot="1" x14ac:dyDescent="0.3">
      <c r="A45" s="229">
        <f t="shared" ref="A45:B45" si="43">A44+1</f>
        <v>3467</v>
      </c>
      <c r="B45" s="230">
        <f t="shared" si="43"/>
        <v>35</v>
      </c>
      <c r="C45" s="218" t="str">
        <f t="shared" si="7"/>
        <v>L25X25#008_060_00</v>
      </c>
      <c r="D45" s="169">
        <f t="shared" si="33"/>
        <v>25</v>
      </c>
      <c r="E45" s="170">
        <f t="shared" si="1"/>
        <v>8</v>
      </c>
      <c r="F45" s="171">
        <f>yaw_max</f>
        <v>8</v>
      </c>
      <c r="G45" s="166">
        <f t="shared" si="2"/>
        <v>0.2</v>
      </c>
      <c r="H45" s="49">
        <v>60</v>
      </c>
      <c r="I45" s="170">
        <f t="shared" si="3"/>
        <v>160</v>
      </c>
      <c r="J45" s="170">
        <f t="shared" si="4"/>
        <v>150</v>
      </c>
      <c r="K45" s="170">
        <f t="shared" si="5"/>
        <v>210</v>
      </c>
      <c r="L45" s="196" t="str">
        <f t="shared" si="9"/>
        <v>\\10.0.80.11\bladed\LSY\W2500-135-140\Rated_10.66_loop2\input\excontroller\LVRT\LVRT.txt</v>
      </c>
    </row>
    <row r="46" spans="1:12" x14ac:dyDescent="0.25">
      <c r="A46" s="229">
        <f t="shared" ref="A46:B46" si="44">A45+1</f>
        <v>3468</v>
      </c>
      <c r="B46" s="230">
        <f t="shared" si="44"/>
        <v>36</v>
      </c>
      <c r="C46" s="218" t="str">
        <f t="shared" si="7"/>
        <v>L25X25#008_090_00</v>
      </c>
      <c r="D46" s="169">
        <f t="shared" si="33"/>
        <v>25</v>
      </c>
      <c r="E46" s="170">
        <f t="shared" si="1"/>
        <v>8</v>
      </c>
      <c r="F46" s="171">
        <f>yaw_max</f>
        <v>8</v>
      </c>
      <c r="G46" s="166">
        <f t="shared" si="2"/>
        <v>0.2</v>
      </c>
      <c r="H46" s="49">
        <v>90</v>
      </c>
      <c r="I46" s="170">
        <f t="shared" si="3"/>
        <v>160</v>
      </c>
      <c r="J46" s="170">
        <f t="shared" si="4"/>
        <v>150</v>
      </c>
      <c r="K46" s="170">
        <f t="shared" si="5"/>
        <v>210</v>
      </c>
      <c r="L46" s="196" t="str">
        <f t="shared" si="9"/>
        <v>\\10.0.80.11\bladed\LSY\W2500-135-140\Rated_10.66_loop2\input\excontroller\LVRT\LVRT.txt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9"/>
  <sheetViews>
    <sheetView zoomScaleNormal="100" workbookViewId="0">
      <selection activeCell="S26" sqref="S26"/>
    </sheetView>
  </sheetViews>
  <sheetFormatPr defaultColWidth="9" defaultRowHeight="15" x14ac:dyDescent="0.15"/>
  <cols>
    <col min="1" max="1" width="7" style="23" customWidth="1"/>
    <col min="2" max="2" width="6.875" style="23" customWidth="1"/>
    <col min="3" max="3" width="19.625" style="23" customWidth="1"/>
    <col min="4" max="6" width="7.375" style="23" customWidth="1"/>
    <col min="7" max="8" width="7.875" style="23" customWidth="1"/>
    <col min="9" max="10" width="6.375" style="23" customWidth="1"/>
    <col min="11" max="16384" width="9" style="23"/>
  </cols>
  <sheetData>
    <row r="1" spans="1:16" x14ac:dyDescent="0.15">
      <c r="H1" s="22" t="s">
        <v>135</v>
      </c>
      <c r="I1" s="216" t="s">
        <v>3960</v>
      </c>
    </row>
    <row r="2" spans="1:16" x14ac:dyDescent="0.15">
      <c r="B2" s="22" t="s">
        <v>238</v>
      </c>
      <c r="C2" s="22"/>
      <c r="D2" s="22"/>
      <c r="E2" s="22"/>
      <c r="H2" s="22"/>
      <c r="I2" s="216" t="s">
        <v>3928</v>
      </c>
      <c r="O2" s="22" t="s">
        <v>977</v>
      </c>
    </row>
    <row r="3" spans="1:16" x14ac:dyDescent="0.15">
      <c r="B3" s="22" t="s">
        <v>88</v>
      </c>
      <c r="C3" s="22"/>
      <c r="D3" s="22"/>
      <c r="E3" s="22" t="s">
        <v>102</v>
      </c>
      <c r="H3" s="22"/>
      <c r="I3" s="240" t="s">
        <v>3939</v>
      </c>
      <c r="O3" s="119" t="s">
        <v>978</v>
      </c>
      <c r="P3" s="119">
        <f>start_rpm</f>
        <v>0</v>
      </c>
    </row>
    <row r="4" spans="1:16" x14ac:dyDescent="0.15">
      <c r="B4" s="22" t="s">
        <v>89</v>
      </c>
      <c r="C4" s="22"/>
      <c r="D4" s="22"/>
      <c r="E4" s="216" t="s">
        <v>239</v>
      </c>
      <c r="H4" s="22"/>
      <c r="I4" s="216" t="s">
        <v>3937</v>
      </c>
      <c r="O4" s="119" t="s">
        <v>979</v>
      </c>
      <c r="P4" s="119">
        <f>start_pitch</f>
        <v>90</v>
      </c>
    </row>
    <row r="5" spans="1:16" x14ac:dyDescent="0.15">
      <c r="B5" s="22" t="s">
        <v>91</v>
      </c>
      <c r="C5" s="22"/>
      <c r="D5" s="22"/>
      <c r="E5" s="22" t="s">
        <v>890</v>
      </c>
      <c r="I5" s="240" t="s">
        <v>3940</v>
      </c>
    </row>
    <row r="6" spans="1:16" x14ac:dyDescent="0.15">
      <c r="B6" s="22" t="s">
        <v>93</v>
      </c>
      <c r="C6" s="22"/>
      <c r="D6" s="22"/>
      <c r="E6" s="22" t="s">
        <v>891</v>
      </c>
      <c r="I6" s="216" t="s">
        <v>3932</v>
      </c>
    </row>
    <row r="7" spans="1:16" x14ac:dyDescent="0.15">
      <c r="A7" s="46"/>
      <c r="B7" s="46"/>
      <c r="C7" s="46"/>
      <c r="D7" s="46"/>
      <c r="E7" s="46"/>
      <c r="F7" s="46"/>
      <c r="G7" s="46"/>
      <c r="H7" s="46"/>
      <c r="I7" s="216" t="s">
        <v>3930</v>
      </c>
      <c r="J7" s="46"/>
    </row>
    <row r="8" spans="1:16" ht="15.75" thickBot="1" x14ac:dyDescent="0.2">
      <c r="A8" s="46">
        <v>1</v>
      </c>
      <c r="B8" s="46">
        <v>2</v>
      </c>
      <c r="C8" s="139">
        <v>3</v>
      </c>
      <c r="D8" s="139">
        <v>4</v>
      </c>
      <c r="E8" s="139">
        <v>5</v>
      </c>
      <c r="F8" s="139">
        <v>6</v>
      </c>
      <c r="G8" s="139">
        <v>7</v>
      </c>
      <c r="H8" s="139">
        <v>8</v>
      </c>
      <c r="I8" s="139">
        <v>9</v>
      </c>
      <c r="J8" s="139">
        <v>10</v>
      </c>
      <c r="K8" s="139">
        <v>11</v>
      </c>
      <c r="L8" s="139">
        <v>12</v>
      </c>
      <c r="M8" s="139">
        <v>13</v>
      </c>
      <c r="N8" s="139">
        <v>14</v>
      </c>
      <c r="O8" s="139">
        <v>15</v>
      </c>
      <c r="P8" s="139">
        <v>16</v>
      </c>
    </row>
    <row r="9" spans="1:16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25" t="s">
        <v>144</v>
      </c>
      <c r="F9" s="25" t="s">
        <v>2</v>
      </c>
      <c r="G9" s="26" t="s">
        <v>150</v>
      </c>
      <c r="H9" s="25" t="s">
        <v>941</v>
      </c>
      <c r="I9" s="27" t="s">
        <v>138</v>
      </c>
      <c r="J9" s="27" t="s">
        <v>139</v>
      </c>
      <c r="L9" s="28" t="s">
        <v>85</v>
      </c>
      <c r="M9" s="28" t="s">
        <v>250</v>
      </c>
    </row>
    <row r="10" spans="1:16" ht="15.75" thickBot="1" x14ac:dyDescent="0.3">
      <c r="A10" s="29" t="s">
        <v>76</v>
      </c>
      <c r="B10" s="30" t="str">
        <f>B2</f>
        <v>DLC31</v>
      </c>
      <c r="C10" s="29"/>
      <c r="D10" s="30" t="s">
        <v>4</v>
      </c>
      <c r="E10" s="30" t="s">
        <v>6</v>
      </c>
      <c r="F10" s="30" t="s">
        <v>6</v>
      </c>
      <c r="G10" s="31"/>
      <c r="H10" s="30" t="s">
        <v>17</v>
      </c>
      <c r="I10" s="32" t="s">
        <v>7</v>
      </c>
      <c r="J10" s="32" t="s">
        <v>7</v>
      </c>
      <c r="L10" s="33" t="s">
        <v>76</v>
      </c>
      <c r="M10" s="28" t="s">
        <v>251</v>
      </c>
    </row>
    <row r="11" spans="1:16" ht="15.75" thickBot="1" x14ac:dyDescent="0.3">
      <c r="A11" s="24">
        <f>'DLC25'!A46+1</f>
        <v>3469</v>
      </c>
      <c r="B11" s="27">
        <v>1</v>
      </c>
      <c r="C11" s="24" t="str">
        <f>TEXT(RIGHT($B$2,LEN($B$2)-3),"L00")&amp;"X"&amp;TEXT(D11,"00")&amp;"-"&amp;IF(F11&lt;0,TEXT(360+F11,"000"),TEXT(F11,"000"))&amp;"_"&amp;"000"&amp;"_00"</f>
        <v>L31X04-352_000_00</v>
      </c>
      <c r="D11" s="34">
        <f>v_in+1</f>
        <v>4</v>
      </c>
      <c r="E11" s="35">
        <f>inflow</f>
        <v>8</v>
      </c>
      <c r="F11" s="36">
        <f>yaw_min</f>
        <v>-8</v>
      </c>
      <c r="G11" s="37">
        <f>alpha_n</f>
        <v>0.2</v>
      </c>
      <c r="H11" s="35">
        <f>trig_t</f>
        <v>160</v>
      </c>
      <c r="I11" s="44">
        <f>t_out</f>
        <v>150</v>
      </c>
      <c r="J11" s="44">
        <f>I11+T_s1</f>
        <v>750</v>
      </c>
      <c r="L11" s="40">
        <f>T_startup1/3</f>
        <v>333.33333333333331</v>
      </c>
      <c r="M11" s="40" t="s">
        <v>21</v>
      </c>
      <c r="N11" s="163">
        <f>L11*20</f>
        <v>6666.6666666666661</v>
      </c>
      <c r="O11" s="163">
        <f>N11*(J11-I11)/3600</f>
        <v>1111.1111111111111</v>
      </c>
    </row>
    <row r="12" spans="1:16" ht="15.75" thickBot="1" x14ac:dyDescent="0.3">
      <c r="A12" s="41">
        <f t="shared" ref="A12:B19" si="0">A11+1</f>
        <v>3470</v>
      </c>
      <c r="B12" s="42">
        <f t="shared" si="0"/>
        <v>2</v>
      </c>
      <c r="C12" s="218" t="str">
        <f t="shared" ref="C12:C19" si="1">TEXT(RIGHT($B$2,LEN($B$2)-3),"L00")&amp;"X"&amp;TEXT(D12,"00")&amp;"-"&amp;IF(F12&lt;0,TEXT(360+F12,"000"),TEXT(F12,"000"))&amp;"_"&amp;"000"&amp;"_00"</f>
        <v>L31X04-000_000_00</v>
      </c>
      <c r="D12" s="43">
        <f>D11</f>
        <v>4</v>
      </c>
      <c r="E12" s="44">
        <f t="shared" ref="E12:J19" si="2">E11</f>
        <v>8</v>
      </c>
      <c r="F12" s="45">
        <f>yaw_null</f>
        <v>0</v>
      </c>
      <c r="G12" s="37">
        <f t="shared" si="2"/>
        <v>0.2</v>
      </c>
      <c r="H12" s="44">
        <f t="shared" si="2"/>
        <v>160</v>
      </c>
      <c r="I12" s="44">
        <f t="shared" si="2"/>
        <v>150</v>
      </c>
      <c r="J12" s="44">
        <f t="shared" si="2"/>
        <v>750</v>
      </c>
      <c r="L12" s="40">
        <f>T_startup1/3</f>
        <v>333.33333333333331</v>
      </c>
      <c r="M12" s="40" t="str">
        <f>M11</f>
        <v>T</v>
      </c>
      <c r="N12" s="163">
        <f t="shared" ref="N12:N19" si="3">L12*20</f>
        <v>6666.6666666666661</v>
      </c>
      <c r="O12" s="163">
        <f t="shared" ref="O12:O19" si="4">N12*(J12-I12)/3600</f>
        <v>1111.1111111111111</v>
      </c>
    </row>
    <row r="13" spans="1:16" ht="15.75" thickBot="1" x14ac:dyDescent="0.3">
      <c r="A13" s="229">
        <f t="shared" ref="A13" si="5">A12+1</f>
        <v>3471</v>
      </c>
      <c r="B13" s="42">
        <f t="shared" si="0"/>
        <v>3</v>
      </c>
      <c r="C13" s="218" t="str">
        <f t="shared" si="1"/>
        <v>L31X04-008_000_00</v>
      </c>
      <c r="D13" s="43">
        <f>D12</f>
        <v>4</v>
      </c>
      <c r="E13" s="44">
        <f t="shared" si="2"/>
        <v>8</v>
      </c>
      <c r="F13" s="45">
        <f>yaw_max</f>
        <v>8</v>
      </c>
      <c r="G13" s="37">
        <f t="shared" si="2"/>
        <v>0.2</v>
      </c>
      <c r="H13" s="44">
        <f t="shared" si="2"/>
        <v>160</v>
      </c>
      <c r="I13" s="44">
        <f t="shared" si="2"/>
        <v>150</v>
      </c>
      <c r="J13" s="44">
        <f t="shared" si="2"/>
        <v>750</v>
      </c>
      <c r="L13" s="40">
        <f>T_startup1/3</f>
        <v>333.33333333333331</v>
      </c>
      <c r="M13" s="40" t="str">
        <f t="shared" ref="M13:M19" si="6">M12</f>
        <v>T</v>
      </c>
      <c r="N13" s="163">
        <f t="shared" si="3"/>
        <v>6666.6666666666661</v>
      </c>
      <c r="O13" s="163">
        <f t="shared" si="4"/>
        <v>1111.1111111111111</v>
      </c>
    </row>
    <row r="14" spans="1:16" ht="15.75" thickBot="1" x14ac:dyDescent="0.3">
      <c r="A14" s="229">
        <f t="shared" ref="A14" si="7">A13+1</f>
        <v>3472</v>
      </c>
      <c r="B14" s="42">
        <f t="shared" si="0"/>
        <v>4</v>
      </c>
      <c r="C14" s="218" t="str">
        <f t="shared" si="1"/>
        <v>L31X10-352_000_00</v>
      </c>
      <c r="D14" s="43">
        <f>v_r</f>
        <v>9.8000000000000007</v>
      </c>
      <c r="E14" s="44">
        <f t="shared" si="2"/>
        <v>8</v>
      </c>
      <c r="F14" s="45">
        <f>yaw_min</f>
        <v>-8</v>
      </c>
      <c r="G14" s="37">
        <f t="shared" si="2"/>
        <v>0.2</v>
      </c>
      <c r="H14" s="44">
        <f t="shared" si="2"/>
        <v>160</v>
      </c>
      <c r="I14" s="44">
        <f t="shared" si="2"/>
        <v>150</v>
      </c>
      <c r="J14" s="44">
        <f>I14+T_s1</f>
        <v>750</v>
      </c>
      <c r="L14" s="40">
        <f>T_startup2/3</f>
        <v>16.666666666666668</v>
      </c>
      <c r="M14" s="40" t="str">
        <f t="shared" si="6"/>
        <v>T</v>
      </c>
      <c r="N14" s="163">
        <f t="shared" si="3"/>
        <v>333.33333333333337</v>
      </c>
      <c r="O14" s="163">
        <f t="shared" si="4"/>
        <v>55.555555555555564</v>
      </c>
    </row>
    <row r="15" spans="1:16" ht="15.75" thickBot="1" x14ac:dyDescent="0.3">
      <c r="A15" s="229">
        <f t="shared" ref="A15" si="8">A14+1</f>
        <v>3473</v>
      </c>
      <c r="B15" s="42">
        <f t="shared" si="0"/>
        <v>5</v>
      </c>
      <c r="C15" s="218" t="str">
        <f t="shared" si="1"/>
        <v>L31X10-000_000_00</v>
      </c>
      <c r="D15" s="43">
        <f>D14</f>
        <v>9.8000000000000007</v>
      </c>
      <c r="E15" s="44">
        <f t="shared" si="2"/>
        <v>8</v>
      </c>
      <c r="F15" s="45">
        <f>yaw_null</f>
        <v>0</v>
      </c>
      <c r="G15" s="37">
        <f t="shared" si="2"/>
        <v>0.2</v>
      </c>
      <c r="H15" s="44">
        <f t="shared" si="2"/>
        <v>160</v>
      </c>
      <c r="I15" s="44">
        <f t="shared" si="2"/>
        <v>150</v>
      </c>
      <c r="J15" s="44">
        <f t="shared" si="2"/>
        <v>750</v>
      </c>
      <c r="L15" s="40">
        <f>T_startup2/3</f>
        <v>16.666666666666668</v>
      </c>
      <c r="M15" s="40" t="str">
        <f t="shared" si="6"/>
        <v>T</v>
      </c>
      <c r="N15" s="163">
        <f t="shared" si="3"/>
        <v>333.33333333333337</v>
      </c>
      <c r="O15" s="163">
        <f t="shared" si="4"/>
        <v>55.555555555555564</v>
      </c>
    </row>
    <row r="16" spans="1:16" ht="15.75" thickBot="1" x14ac:dyDescent="0.3">
      <c r="A16" s="229">
        <f t="shared" ref="A16" si="9">A15+1</f>
        <v>3474</v>
      </c>
      <c r="B16" s="42">
        <f t="shared" si="0"/>
        <v>6</v>
      </c>
      <c r="C16" s="218" t="str">
        <f t="shared" si="1"/>
        <v>L31X10-008_000_00</v>
      </c>
      <c r="D16" s="43">
        <f>D15</f>
        <v>9.8000000000000007</v>
      </c>
      <c r="E16" s="44">
        <f t="shared" si="2"/>
        <v>8</v>
      </c>
      <c r="F16" s="45">
        <f>yaw_max</f>
        <v>8</v>
      </c>
      <c r="G16" s="37">
        <f t="shared" si="2"/>
        <v>0.2</v>
      </c>
      <c r="H16" s="44">
        <f t="shared" si="2"/>
        <v>160</v>
      </c>
      <c r="I16" s="44">
        <f t="shared" si="2"/>
        <v>150</v>
      </c>
      <c r="J16" s="44">
        <f t="shared" si="2"/>
        <v>750</v>
      </c>
      <c r="L16" s="40">
        <f>T_startup2/3</f>
        <v>16.666666666666668</v>
      </c>
      <c r="M16" s="40" t="str">
        <f t="shared" si="6"/>
        <v>T</v>
      </c>
      <c r="N16" s="163">
        <f t="shared" si="3"/>
        <v>333.33333333333337</v>
      </c>
      <c r="O16" s="163">
        <f t="shared" si="4"/>
        <v>55.555555555555564</v>
      </c>
    </row>
    <row r="17" spans="1:15" ht="15.75" thickBot="1" x14ac:dyDescent="0.3">
      <c r="A17" s="229">
        <f t="shared" ref="A17" si="10">A16+1</f>
        <v>3475</v>
      </c>
      <c r="B17" s="42">
        <f t="shared" si="0"/>
        <v>7</v>
      </c>
      <c r="C17" s="218" t="str">
        <f t="shared" si="1"/>
        <v>L31X25-352_000_00</v>
      </c>
      <c r="D17" s="43">
        <f>v_out</f>
        <v>25</v>
      </c>
      <c r="E17" s="44">
        <f t="shared" si="2"/>
        <v>8</v>
      </c>
      <c r="F17" s="45">
        <f>yaw_min</f>
        <v>-8</v>
      </c>
      <c r="G17" s="37">
        <f t="shared" si="2"/>
        <v>0.2</v>
      </c>
      <c r="H17" s="44">
        <f t="shared" si="2"/>
        <v>160</v>
      </c>
      <c r="I17" s="44">
        <f t="shared" si="2"/>
        <v>150</v>
      </c>
      <c r="J17" s="44">
        <f t="shared" si="2"/>
        <v>750</v>
      </c>
      <c r="L17" s="40">
        <f>T_startup3/3</f>
        <v>16.666666666666668</v>
      </c>
      <c r="M17" s="40" t="str">
        <f t="shared" si="6"/>
        <v>T</v>
      </c>
      <c r="N17" s="163">
        <f t="shared" si="3"/>
        <v>333.33333333333337</v>
      </c>
      <c r="O17" s="163">
        <f t="shared" si="4"/>
        <v>55.555555555555564</v>
      </c>
    </row>
    <row r="18" spans="1:15" ht="15.75" thickBot="1" x14ac:dyDescent="0.3">
      <c r="A18" s="229">
        <f t="shared" ref="A18" si="11">A17+1</f>
        <v>3476</v>
      </c>
      <c r="B18" s="42">
        <f t="shared" si="0"/>
        <v>8</v>
      </c>
      <c r="C18" s="218" t="str">
        <f t="shared" si="1"/>
        <v>L31X25-000_000_00</v>
      </c>
      <c r="D18" s="43">
        <f>D17</f>
        <v>25</v>
      </c>
      <c r="E18" s="44">
        <f t="shared" si="2"/>
        <v>8</v>
      </c>
      <c r="F18" s="45">
        <f>yaw_null</f>
        <v>0</v>
      </c>
      <c r="G18" s="37">
        <f t="shared" si="2"/>
        <v>0.2</v>
      </c>
      <c r="H18" s="44">
        <f t="shared" si="2"/>
        <v>160</v>
      </c>
      <c r="I18" s="44">
        <f t="shared" si="2"/>
        <v>150</v>
      </c>
      <c r="J18" s="44">
        <f t="shared" si="2"/>
        <v>750</v>
      </c>
      <c r="L18" s="40">
        <f>T_startup3/3</f>
        <v>16.666666666666668</v>
      </c>
      <c r="M18" s="40" t="str">
        <f t="shared" si="6"/>
        <v>T</v>
      </c>
      <c r="N18" s="163">
        <f t="shared" si="3"/>
        <v>333.33333333333337</v>
      </c>
      <c r="O18" s="163">
        <f t="shared" si="4"/>
        <v>55.555555555555564</v>
      </c>
    </row>
    <row r="19" spans="1:15" x14ac:dyDescent="0.25">
      <c r="A19" s="229">
        <f t="shared" ref="A19" si="12">A18+1</f>
        <v>3477</v>
      </c>
      <c r="B19" s="42">
        <f t="shared" si="0"/>
        <v>9</v>
      </c>
      <c r="C19" s="218" t="str">
        <f t="shared" si="1"/>
        <v>L31X25-008_000_00</v>
      </c>
      <c r="D19" s="43">
        <f>D18</f>
        <v>25</v>
      </c>
      <c r="E19" s="44">
        <f t="shared" si="2"/>
        <v>8</v>
      </c>
      <c r="F19" s="45">
        <f>yaw_max</f>
        <v>8</v>
      </c>
      <c r="G19" s="37">
        <f t="shared" si="2"/>
        <v>0.2</v>
      </c>
      <c r="H19" s="44">
        <f t="shared" si="2"/>
        <v>160</v>
      </c>
      <c r="I19" s="44">
        <f t="shared" si="2"/>
        <v>150</v>
      </c>
      <c r="J19" s="44">
        <f t="shared" si="2"/>
        <v>750</v>
      </c>
      <c r="L19" s="40">
        <f>T_startup3/3</f>
        <v>16.666666666666668</v>
      </c>
      <c r="M19" s="40" t="str">
        <f t="shared" si="6"/>
        <v>T</v>
      </c>
      <c r="N19" s="163">
        <f t="shared" si="3"/>
        <v>333.33333333333337</v>
      </c>
      <c r="O19" s="163">
        <f t="shared" si="4"/>
        <v>55.555555555555564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0"/>
  <sheetViews>
    <sheetView workbookViewId="0">
      <selection activeCell="S26" sqref="S26"/>
    </sheetView>
  </sheetViews>
  <sheetFormatPr defaultColWidth="9" defaultRowHeight="15" x14ac:dyDescent="0.15"/>
  <cols>
    <col min="1" max="1" width="6.75" style="217" customWidth="1"/>
    <col min="2" max="2" width="7.375" style="217" customWidth="1"/>
    <col min="3" max="3" width="17.25" style="217" customWidth="1"/>
    <col min="4" max="4" width="8.875" style="217" customWidth="1"/>
    <col min="5" max="5" width="7" style="217" customWidth="1"/>
    <col min="6" max="8" width="7.125" style="217" customWidth="1"/>
    <col min="9" max="9" width="7.75" style="217" customWidth="1"/>
    <col min="10" max="10" width="9" style="217" bestFit="1" customWidth="1"/>
    <col min="11" max="11" width="9.875" style="217" bestFit="1" customWidth="1"/>
    <col min="12" max="12" width="5.875" style="217" customWidth="1"/>
    <col min="13" max="13" width="7.625" style="217" customWidth="1"/>
    <col min="14" max="14" width="6.875" style="217" customWidth="1"/>
    <col min="15" max="15" width="7.875" style="217" customWidth="1"/>
    <col min="16" max="16384" width="9" style="217"/>
  </cols>
  <sheetData>
    <row r="1" spans="1:19" x14ac:dyDescent="0.15">
      <c r="H1" s="216" t="s">
        <v>135</v>
      </c>
      <c r="I1" s="216" t="s">
        <v>3961</v>
      </c>
    </row>
    <row r="2" spans="1:19" x14ac:dyDescent="0.15">
      <c r="B2" s="216" t="s">
        <v>3837</v>
      </c>
      <c r="C2" s="216"/>
      <c r="D2" s="216"/>
      <c r="E2" s="216"/>
      <c r="H2" s="216"/>
      <c r="I2" s="216" t="s">
        <v>3928</v>
      </c>
      <c r="O2" s="120" t="s">
        <v>977</v>
      </c>
      <c r="R2" s="216"/>
      <c r="S2" s="216"/>
    </row>
    <row r="3" spans="1:19" x14ac:dyDescent="0.15">
      <c r="B3" s="216" t="s">
        <v>88</v>
      </c>
      <c r="C3" s="216"/>
      <c r="D3" s="216"/>
      <c r="E3" s="216" t="s">
        <v>892</v>
      </c>
      <c r="H3" s="216"/>
      <c r="I3" s="240" t="s">
        <v>3939</v>
      </c>
      <c r="O3" s="120" t="s">
        <v>978</v>
      </c>
      <c r="P3" s="119">
        <f>start_rpm</f>
        <v>0</v>
      </c>
      <c r="R3" s="216"/>
      <c r="S3" s="216"/>
    </row>
    <row r="4" spans="1:19" x14ac:dyDescent="0.15">
      <c r="B4" s="216" t="s">
        <v>89</v>
      </c>
      <c r="C4" s="216"/>
      <c r="D4" s="216"/>
      <c r="E4" s="216" t="s">
        <v>3838</v>
      </c>
      <c r="H4" s="216"/>
      <c r="I4" s="216" t="s">
        <v>3963</v>
      </c>
      <c r="O4" s="120" t="s">
        <v>979</v>
      </c>
      <c r="P4" s="119">
        <f>start_pitch</f>
        <v>90</v>
      </c>
    </row>
    <row r="5" spans="1:19" x14ac:dyDescent="0.15">
      <c r="B5" s="216" t="s">
        <v>91</v>
      </c>
      <c r="C5" s="216"/>
      <c r="D5" s="216"/>
      <c r="E5" s="216" t="s">
        <v>99</v>
      </c>
      <c r="H5" s="216"/>
      <c r="I5" s="240" t="s">
        <v>3940</v>
      </c>
    </row>
    <row r="6" spans="1:19" x14ac:dyDescent="0.15">
      <c r="B6" s="216" t="s">
        <v>93</v>
      </c>
      <c r="C6" s="216"/>
      <c r="D6" s="216"/>
      <c r="E6" s="216" t="s">
        <v>100</v>
      </c>
      <c r="H6" s="216"/>
      <c r="I6" s="216" t="s">
        <v>3932</v>
      </c>
    </row>
    <row r="7" spans="1:19" x14ac:dyDescent="0.15">
      <c r="A7" s="139"/>
      <c r="B7" s="139"/>
      <c r="C7" s="139"/>
      <c r="D7" s="139"/>
      <c r="E7" s="139"/>
      <c r="F7" s="139"/>
      <c r="G7" s="139"/>
      <c r="H7" s="216"/>
      <c r="I7" s="216" t="s">
        <v>3930</v>
      </c>
      <c r="J7" s="139"/>
      <c r="K7" s="139"/>
      <c r="L7" s="139"/>
      <c r="M7" s="139"/>
      <c r="N7" s="139"/>
      <c r="O7" s="139"/>
    </row>
    <row r="8" spans="1:19" ht="15.75" thickBot="1" x14ac:dyDescent="0.2">
      <c r="A8" s="139">
        <v>1</v>
      </c>
      <c r="B8" s="139">
        <v>2</v>
      </c>
      <c r="C8" s="139">
        <v>3</v>
      </c>
      <c r="D8" s="139">
        <v>4</v>
      </c>
      <c r="E8" s="139">
        <v>5</v>
      </c>
      <c r="F8" s="139">
        <v>6</v>
      </c>
      <c r="G8" s="139">
        <v>7</v>
      </c>
      <c r="H8" s="139">
        <v>8</v>
      </c>
      <c r="I8" s="139">
        <v>9</v>
      </c>
      <c r="J8" s="139">
        <v>10</v>
      </c>
      <c r="K8" s="139">
        <v>11</v>
      </c>
      <c r="L8" s="139">
        <v>12</v>
      </c>
      <c r="M8" s="139">
        <v>13</v>
      </c>
      <c r="N8" s="139">
        <v>14</v>
      </c>
      <c r="O8" s="139">
        <v>15</v>
      </c>
      <c r="P8" s="139">
        <v>16</v>
      </c>
    </row>
    <row r="9" spans="1:19" x14ac:dyDescent="0.25">
      <c r="A9" s="218" t="s">
        <v>97</v>
      </c>
      <c r="B9" s="219" t="s">
        <v>96</v>
      </c>
      <c r="C9" s="218" t="s">
        <v>0</v>
      </c>
      <c r="D9" s="219" t="s">
        <v>3839</v>
      </c>
      <c r="E9" s="236" t="s">
        <v>142</v>
      </c>
      <c r="F9" s="219" t="s">
        <v>119</v>
      </c>
      <c r="G9" s="219" t="s">
        <v>120</v>
      </c>
      <c r="H9" s="219" t="s">
        <v>121</v>
      </c>
      <c r="I9" s="219" t="s">
        <v>144</v>
      </c>
      <c r="J9" s="219" t="s">
        <v>140</v>
      </c>
      <c r="K9" s="220" t="s">
        <v>3</v>
      </c>
      <c r="L9" s="219" t="s">
        <v>141</v>
      </c>
      <c r="M9" s="219" t="s">
        <v>3840</v>
      </c>
      <c r="N9" s="221" t="s">
        <v>138</v>
      </c>
      <c r="O9" s="221" t="s">
        <v>139</v>
      </c>
    </row>
    <row r="10" spans="1:19" ht="15.75" thickBot="1" x14ac:dyDescent="0.3">
      <c r="A10" s="222" t="s">
        <v>76</v>
      </c>
      <c r="B10" s="223" t="str">
        <f>B2</f>
        <v>DLC32</v>
      </c>
      <c r="C10" s="222"/>
      <c r="D10" s="223" t="s">
        <v>4</v>
      </c>
      <c r="E10" s="237" t="s">
        <v>4</v>
      </c>
      <c r="F10" s="223" t="s">
        <v>5</v>
      </c>
      <c r="G10" s="223" t="s">
        <v>5</v>
      </c>
      <c r="H10" s="223" t="s">
        <v>5</v>
      </c>
      <c r="I10" s="223" t="s">
        <v>6</v>
      </c>
      <c r="J10" s="223" t="s">
        <v>6</v>
      </c>
      <c r="K10" s="225"/>
      <c r="L10" s="223"/>
      <c r="M10" s="225" t="s">
        <v>17</v>
      </c>
      <c r="N10" s="225" t="s">
        <v>7</v>
      </c>
      <c r="O10" s="225" t="s">
        <v>7</v>
      </c>
    </row>
    <row r="11" spans="1:19" ht="15.75" thickBot="1" x14ac:dyDescent="0.3">
      <c r="A11" s="218">
        <f>'DLC31'!A19+1</f>
        <v>3478</v>
      </c>
      <c r="B11" s="221">
        <v>1</v>
      </c>
      <c r="C11" s="218" t="str">
        <f>TEXT(RIGHT($B$2,LEN($B$2)-3),"L00")&amp;"X"&amp;TEXT(D11,"00")&amp;"#"&amp;IF(J11&lt;0,TEXT(360+J11,"000"),TEXT(J11,"000"))&amp;"_"&amp;"000"&amp;"_"&amp;TEXT(RIGHT(K11,LEN(K11)-FIND("-",K11)),"00")</f>
        <v>L32X03#000_000_01</v>
      </c>
      <c r="D11" s="242">
        <f>v_in</f>
        <v>3</v>
      </c>
      <c r="E11" s="238">
        <f t="shared" ref="E11:E70" si="0">t_c*I_ref*(0.072*(v_ave/t_c+3)*(D11/t_c-4)+10)</f>
        <v>2.4598000000000004</v>
      </c>
      <c r="F11" s="227">
        <f>E11/D11*100</f>
        <v>81.993333333333354</v>
      </c>
      <c r="G11" s="227">
        <f t="shared" ref="G11:G70" si="1">m_ty*F11</f>
        <v>65.594666666666683</v>
      </c>
      <c r="H11" s="227">
        <f t="shared" ref="H11:H70" si="2">m_tz*F11</f>
        <v>40.996666666666677</v>
      </c>
      <c r="I11" s="227">
        <f>inflow</f>
        <v>8</v>
      </c>
      <c r="J11" s="227">
        <f>yaw_null</f>
        <v>0</v>
      </c>
      <c r="K11" s="228" t="str">
        <f>D11&amp;-1</f>
        <v>3-1</v>
      </c>
      <c r="L11" s="193">
        <f>alpha_n</f>
        <v>0.2</v>
      </c>
      <c r="M11" s="52">
        <f>t_out+10</f>
        <v>160</v>
      </c>
      <c r="N11" s="227">
        <f>t_out</f>
        <v>150</v>
      </c>
      <c r="O11" s="50">
        <f>N11+3*T_s2</f>
        <v>330</v>
      </c>
    </row>
    <row r="12" spans="1:19" ht="15.75" thickBot="1" x14ac:dyDescent="0.3">
      <c r="A12" s="229">
        <f>A11+1</f>
        <v>3479</v>
      </c>
      <c r="B12" s="230">
        <f>B11+1</f>
        <v>2</v>
      </c>
      <c r="C12" s="218" t="str">
        <f t="shared" ref="C12:C70" si="3">TEXT(RIGHT($B$2,LEN($B$2)-3),"L00")&amp;"X"&amp;TEXT(D12,"00")&amp;"#"&amp;IF(J12&lt;0,TEXT(360+J12,"000"),TEXT(J12,"000"))&amp;"_"&amp;"000"&amp;"_"&amp;TEXT(RIGHT(K12,LEN(K12)-FIND("-",K12)),"00")</f>
        <v>L32X03#000_000_02</v>
      </c>
      <c r="D12" s="231">
        <f>D11</f>
        <v>3</v>
      </c>
      <c r="E12" s="239">
        <f t="shared" si="0"/>
        <v>2.4598000000000004</v>
      </c>
      <c r="F12" s="232">
        <f>E12/D12*100</f>
        <v>81.993333333333354</v>
      </c>
      <c r="G12" s="53">
        <f t="shared" si="1"/>
        <v>65.594666666666683</v>
      </c>
      <c r="H12" s="51">
        <f t="shared" si="2"/>
        <v>40.996666666666677</v>
      </c>
      <c r="I12" s="232">
        <f t="shared" ref="I12:J39" si="4">I11</f>
        <v>8</v>
      </c>
      <c r="J12" s="232">
        <f>J11</f>
        <v>0</v>
      </c>
      <c r="K12" s="228" t="str">
        <f>D12&amp;-2</f>
        <v>3-2</v>
      </c>
      <c r="L12" s="233">
        <f t="shared" ref="L12:O39" si="5">L11</f>
        <v>0.2</v>
      </c>
      <c r="M12" s="52">
        <f>M11</f>
        <v>160</v>
      </c>
      <c r="N12" s="232">
        <f>N11</f>
        <v>150</v>
      </c>
      <c r="O12" s="50">
        <f>O11</f>
        <v>330</v>
      </c>
    </row>
    <row r="13" spans="1:19" ht="15.75" thickBot="1" x14ac:dyDescent="0.3">
      <c r="A13" s="229">
        <f t="shared" ref="A13:A70" si="6">A12+1</f>
        <v>3480</v>
      </c>
      <c r="B13" s="230">
        <f t="shared" ref="B13:B70" si="7">B12+1</f>
        <v>3</v>
      </c>
      <c r="C13" s="218" t="str">
        <f t="shared" si="3"/>
        <v>L32X03#000_000_03</v>
      </c>
      <c r="D13" s="231">
        <f t="shared" ref="D13:D22" si="8">D12</f>
        <v>3</v>
      </c>
      <c r="E13" s="239">
        <f t="shared" si="0"/>
        <v>2.4598000000000004</v>
      </c>
      <c r="F13" s="232">
        <f t="shared" ref="F13:F70" si="9">E13/D13*100</f>
        <v>81.993333333333354</v>
      </c>
      <c r="G13" s="53">
        <f t="shared" si="1"/>
        <v>65.594666666666683</v>
      </c>
      <c r="H13" s="51">
        <f t="shared" si="2"/>
        <v>40.996666666666677</v>
      </c>
      <c r="I13" s="232">
        <f t="shared" si="4"/>
        <v>8</v>
      </c>
      <c r="J13" s="232">
        <f t="shared" si="4"/>
        <v>0</v>
      </c>
      <c r="K13" s="228" t="str">
        <f>D13&amp;-3</f>
        <v>3-3</v>
      </c>
      <c r="L13" s="233">
        <f t="shared" si="5"/>
        <v>0.2</v>
      </c>
      <c r="M13" s="52">
        <f t="shared" si="5"/>
        <v>160</v>
      </c>
      <c r="N13" s="232">
        <f t="shared" si="5"/>
        <v>150</v>
      </c>
      <c r="O13" s="50">
        <f t="shared" si="5"/>
        <v>330</v>
      </c>
    </row>
    <row r="14" spans="1:19" ht="15.75" thickBot="1" x14ac:dyDescent="0.3">
      <c r="A14" s="229">
        <f t="shared" si="6"/>
        <v>3481</v>
      </c>
      <c r="B14" s="230">
        <f t="shared" si="7"/>
        <v>4</v>
      </c>
      <c r="C14" s="218" t="str">
        <f t="shared" si="3"/>
        <v>L32X03#000_000_04</v>
      </c>
      <c r="D14" s="231">
        <f t="shared" si="8"/>
        <v>3</v>
      </c>
      <c r="E14" s="239">
        <f t="shared" si="0"/>
        <v>2.4598000000000004</v>
      </c>
      <c r="F14" s="232">
        <f t="shared" si="9"/>
        <v>81.993333333333354</v>
      </c>
      <c r="G14" s="53">
        <f t="shared" si="1"/>
        <v>65.594666666666683</v>
      </c>
      <c r="H14" s="51">
        <f t="shared" si="2"/>
        <v>40.996666666666677</v>
      </c>
      <c r="I14" s="232">
        <f t="shared" si="4"/>
        <v>8</v>
      </c>
      <c r="J14" s="232">
        <f t="shared" si="4"/>
        <v>0</v>
      </c>
      <c r="K14" s="228" t="str">
        <f>D14&amp;-4</f>
        <v>3-4</v>
      </c>
      <c r="L14" s="233">
        <f t="shared" si="5"/>
        <v>0.2</v>
      </c>
      <c r="M14" s="52">
        <f t="shared" si="5"/>
        <v>160</v>
      </c>
      <c r="N14" s="232">
        <f t="shared" si="5"/>
        <v>150</v>
      </c>
      <c r="O14" s="50">
        <f t="shared" si="5"/>
        <v>330</v>
      </c>
    </row>
    <row r="15" spans="1:19" ht="15.75" thickBot="1" x14ac:dyDescent="0.3">
      <c r="A15" s="229">
        <f t="shared" si="6"/>
        <v>3482</v>
      </c>
      <c r="B15" s="230">
        <f t="shared" si="7"/>
        <v>5</v>
      </c>
      <c r="C15" s="218" t="str">
        <f t="shared" si="3"/>
        <v>L32X03#000_000_05</v>
      </c>
      <c r="D15" s="231">
        <f t="shared" si="8"/>
        <v>3</v>
      </c>
      <c r="E15" s="239">
        <f t="shared" si="0"/>
        <v>2.4598000000000004</v>
      </c>
      <c r="F15" s="232">
        <f t="shared" si="9"/>
        <v>81.993333333333354</v>
      </c>
      <c r="G15" s="53">
        <f t="shared" si="1"/>
        <v>65.594666666666683</v>
      </c>
      <c r="H15" s="51">
        <f t="shared" si="2"/>
        <v>40.996666666666677</v>
      </c>
      <c r="I15" s="232">
        <f t="shared" si="4"/>
        <v>8</v>
      </c>
      <c r="J15" s="232">
        <f t="shared" si="4"/>
        <v>0</v>
      </c>
      <c r="K15" s="228" t="str">
        <f>D15&amp;-5</f>
        <v>3-5</v>
      </c>
      <c r="L15" s="233">
        <f t="shared" si="5"/>
        <v>0.2</v>
      </c>
      <c r="M15" s="52">
        <f t="shared" si="5"/>
        <v>160</v>
      </c>
      <c r="N15" s="232">
        <f t="shared" si="5"/>
        <v>150</v>
      </c>
      <c r="O15" s="50">
        <f t="shared" si="5"/>
        <v>330</v>
      </c>
    </row>
    <row r="16" spans="1:19" ht="15.75" thickBot="1" x14ac:dyDescent="0.3">
      <c r="A16" s="229">
        <f t="shared" si="6"/>
        <v>3483</v>
      </c>
      <c r="B16" s="230">
        <f t="shared" si="7"/>
        <v>6</v>
      </c>
      <c r="C16" s="218" t="str">
        <f t="shared" si="3"/>
        <v>L32X03#000_000_06</v>
      </c>
      <c r="D16" s="231">
        <f t="shared" si="8"/>
        <v>3</v>
      </c>
      <c r="E16" s="239">
        <f t="shared" si="0"/>
        <v>2.4598000000000004</v>
      </c>
      <c r="F16" s="232">
        <f t="shared" si="9"/>
        <v>81.993333333333354</v>
      </c>
      <c r="G16" s="53">
        <f t="shared" si="1"/>
        <v>65.594666666666683</v>
      </c>
      <c r="H16" s="51">
        <f t="shared" si="2"/>
        <v>40.996666666666677</v>
      </c>
      <c r="I16" s="232">
        <f t="shared" si="4"/>
        <v>8</v>
      </c>
      <c r="J16" s="232">
        <f t="shared" si="4"/>
        <v>0</v>
      </c>
      <c r="K16" s="228" t="str">
        <f>D16&amp;-6</f>
        <v>3-6</v>
      </c>
      <c r="L16" s="233">
        <f t="shared" si="5"/>
        <v>0.2</v>
      </c>
      <c r="M16" s="52">
        <f t="shared" si="5"/>
        <v>160</v>
      </c>
      <c r="N16" s="232">
        <f t="shared" si="5"/>
        <v>150</v>
      </c>
      <c r="O16" s="50">
        <f t="shared" si="5"/>
        <v>330</v>
      </c>
    </row>
    <row r="17" spans="1:15" ht="15.75" thickBot="1" x14ac:dyDescent="0.3">
      <c r="A17" s="229">
        <f t="shared" si="6"/>
        <v>3484</v>
      </c>
      <c r="B17" s="230">
        <f t="shared" si="7"/>
        <v>7</v>
      </c>
      <c r="C17" s="218" t="str">
        <f t="shared" si="3"/>
        <v>L32X03#000_000_07</v>
      </c>
      <c r="D17" s="231">
        <f t="shared" si="8"/>
        <v>3</v>
      </c>
      <c r="E17" s="239">
        <f t="shared" si="0"/>
        <v>2.4598000000000004</v>
      </c>
      <c r="F17" s="232">
        <f t="shared" si="9"/>
        <v>81.993333333333354</v>
      </c>
      <c r="G17" s="53">
        <f t="shared" si="1"/>
        <v>65.594666666666683</v>
      </c>
      <c r="H17" s="51">
        <f t="shared" si="2"/>
        <v>40.996666666666677</v>
      </c>
      <c r="I17" s="232">
        <f t="shared" si="4"/>
        <v>8</v>
      </c>
      <c r="J17" s="232">
        <f t="shared" si="4"/>
        <v>0</v>
      </c>
      <c r="K17" s="228" t="str">
        <f>D17&amp;-7</f>
        <v>3-7</v>
      </c>
      <c r="L17" s="233">
        <f t="shared" si="5"/>
        <v>0.2</v>
      </c>
      <c r="M17" s="52">
        <f t="shared" si="5"/>
        <v>160</v>
      </c>
      <c r="N17" s="232">
        <f t="shared" si="5"/>
        <v>150</v>
      </c>
      <c r="O17" s="50">
        <f t="shared" si="5"/>
        <v>330</v>
      </c>
    </row>
    <row r="18" spans="1:15" ht="15.75" thickBot="1" x14ac:dyDescent="0.3">
      <c r="A18" s="229">
        <f t="shared" si="6"/>
        <v>3485</v>
      </c>
      <c r="B18" s="230">
        <f t="shared" si="7"/>
        <v>8</v>
      </c>
      <c r="C18" s="218" t="str">
        <f t="shared" si="3"/>
        <v>L32X03#000_000_08</v>
      </c>
      <c r="D18" s="231">
        <f t="shared" si="8"/>
        <v>3</v>
      </c>
      <c r="E18" s="239">
        <f t="shared" si="0"/>
        <v>2.4598000000000004</v>
      </c>
      <c r="F18" s="232">
        <f t="shared" si="9"/>
        <v>81.993333333333354</v>
      </c>
      <c r="G18" s="53">
        <f t="shared" si="1"/>
        <v>65.594666666666683</v>
      </c>
      <c r="H18" s="51">
        <f t="shared" si="2"/>
        <v>40.996666666666677</v>
      </c>
      <c r="I18" s="232">
        <f t="shared" si="4"/>
        <v>8</v>
      </c>
      <c r="J18" s="232">
        <f t="shared" si="4"/>
        <v>0</v>
      </c>
      <c r="K18" s="228" t="str">
        <f>D18&amp;-8</f>
        <v>3-8</v>
      </c>
      <c r="L18" s="233">
        <f t="shared" si="5"/>
        <v>0.2</v>
      </c>
      <c r="M18" s="52">
        <f t="shared" si="5"/>
        <v>160</v>
      </c>
      <c r="N18" s="232">
        <f t="shared" si="5"/>
        <v>150</v>
      </c>
      <c r="O18" s="50">
        <f t="shared" si="5"/>
        <v>330</v>
      </c>
    </row>
    <row r="19" spans="1:15" ht="15.75" thickBot="1" x14ac:dyDescent="0.3">
      <c r="A19" s="229">
        <f t="shared" si="6"/>
        <v>3486</v>
      </c>
      <c r="B19" s="230">
        <f t="shared" si="7"/>
        <v>9</v>
      </c>
      <c r="C19" s="218" t="str">
        <f t="shared" si="3"/>
        <v>L32X03#000_000_09</v>
      </c>
      <c r="D19" s="231">
        <f t="shared" si="8"/>
        <v>3</v>
      </c>
      <c r="E19" s="239">
        <f t="shared" si="0"/>
        <v>2.4598000000000004</v>
      </c>
      <c r="F19" s="232">
        <f t="shared" si="9"/>
        <v>81.993333333333354</v>
      </c>
      <c r="G19" s="53">
        <f t="shared" si="1"/>
        <v>65.594666666666683</v>
      </c>
      <c r="H19" s="51">
        <f t="shared" si="2"/>
        <v>40.996666666666677</v>
      </c>
      <c r="I19" s="232">
        <f t="shared" si="4"/>
        <v>8</v>
      </c>
      <c r="J19" s="232">
        <f t="shared" si="4"/>
        <v>0</v>
      </c>
      <c r="K19" s="228" t="str">
        <f>D19&amp;-9</f>
        <v>3-9</v>
      </c>
      <c r="L19" s="233">
        <f t="shared" si="5"/>
        <v>0.2</v>
      </c>
      <c r="M19" s="52">
        <f t="shared" si="5"/>
        <v>160</v>
      </c>
      <c r="N19" s="232">
        <f t="shared" si="5"/>
        <v>150</v>
      </c>
      <c r="O19" s="50">
        <f t="shared" si="5"/>
        <v>330</v>
      </c>
    </row>
    <row r="20" spans="1:15" ht="15.75" thickBot="1" x14ac:dyDescent="0.3">
      <c r="A20" s="229">
        <f t="shared" si="6"/>
        <v>3487</v>
      </c>
      <c r="B20" s="230">
        <f t="shared" si="7"/>
        <v>10</v>
      </c>
      <c r="C20" s="218" t="str">
        <f t="shared" si="3"/>
        <v>L32X03#000_000_10</v>
      </c>
      <c r="D20" s="231">
        <f t="shared" si="8"/>
        <v>3</v>
      </c>
      <c r="E20" s="239">
        <f t="shared" si="0"/>
        <v>2.4598000000000004</v>
      </c>
      <c r="F20" s="232">
        <f t="shared" si="9"/>
        <v>81.993333333333354</v>
      </c>
      <c r="G20" s="53">
        <f t="shared" si="1"/>
        <v>65.594666666666683</v>
      </c>
      <c r="H20" s="51">
        <f t="shared" si="2"/>
        <v>40.996666666666677</v>
      </c>
      <c r="I20" s="232">
        <f t="shared" si="4"/>
        <v>8</v>
      </c>
      <c r="J20" s="232">
        <f t="shared" si="4"/>
        <v>0</v>
      </c>
      <c r="K20" s="228" t="str">
        <f>D20&amp;-10</f>
        <v>3-10</v>
      </c>
      <c r="L20" s="233">
        <f t="shared" si="5"/>
        <v>0.2</v>
      </c>
      <c r="M20" s="52">
        <f t="shared" si="5"/>
        <v>160</v>
      </c>
      <c r="N20" s="232">
        <f t="shared" si="5"/>
        <v>150</v>
      </c>
      <c r="O20" s="50">
        <f t="shared" si="5"/>
        <v>330</v>
      </c>
    </row>
    <row r="21" spans="1:15" ht="15.75" thickBot="1" x14ac:dyDescent="0.3">
      <c r="A21" s="229">
        <f t="shared" si="6"/>
        <v>3488</v>
      </c>
      <c r="B21" s="230">
        <f t="shared" si="7"/>
        <v>11</v>
      </c>
      <c r="C21" s="218" t="str">
        <f t="shared" si="3"/>
        <v>L32X03#000_000_11</v>
      </c>
      <c r="D21" s="231">
        <f t="shared" si="8"/>
        <v>3</v>
      </c>
      <c r="E21" s="239">
        <f t="shared" si="0"/>
        <v>2.4598000000000004</v>
      </c>
      <c r="F21" s="232">
        <f t="shared" si="9"/>
        <v>81.993333333333354</v>
      </c>
      <c r="G21" s="53">
        <f t="shared" si="1"/>
        <v>65.594666666666683</v>
      </c>
      <c r="H21" s="51">
        <f t="shared" si="2"/>
        <v>40.996666666666677</v>
      </c>
      <c r="I21" s="232">
        <f t="shared" si="4"/>
        <v>8</v>
      </c>
      <c r="J21" s="232">
        <f t="shared" si="4"/>
        <v>0</v>
      </c>
      <c r="K21" s="228" t="str">
        <f>D21&amp;-11</f>
        <v>3-11</v>
      </c>
      <c r="L21" s="233">
        <f t="shared" si="5"/>
        <v>0.2</v>
      </c>
      <c r="M21" s="52">
        <f t="shared" si="5"/>
        <v>160</v>
      </c>
      <c r="N21" s="232">
        <f t="shared" si="5"/>
        <v>150</v>
      </c>
      <c r="O21" s="50">
        <f t="shared" si="5"/>
        <v>330</v>
      </c>
    </row>
    <row r="22" spans="1:15" ht="15.75" thickBot="1" x14ac:dyDescent="0.3">
      <c r="A22" s="229">
        <f t="shared" si="6"/>
        <v>3489</v>
      </c>
      <c r="B22" s="230">
        <f t="shared" si="7"/>
        <v>12</v>
      </c>
      <c r="C22" s="218" t="str">
        <f t="shared" si="3"/>
        <v>L32X03#000_000_12</v>
      </c>
      <c r="D22" s="231">
        <f t="shared" si="8"/>
        <v>3</v>
      </c>
      <c r="E22" s="239">
        <f t="shared" si="0"/>
        <v>2.4598000000000004</v>
      </c>
      <c r="F22" s="232">
        <f t="shared" si="9"/>
        <v>81.993333333333354</v>
      </c>
      <c r="G22" s="53">
        <f t="shared" si="1"/>
        <v>65.594666666666683</v>
      </c>
      <c r="H22" s="51">
        <f t="shared" si="2"/>
        <v>40.996666666666677</v>
      </c>
      <c r="I22" s="232">
        <f t="shared" si="4"/>
        <v>8</v>
      </c>
      <c r="J22" s="232">
        <f t="shared" si="4"/>
        <v>0</v>
      </c>
      <c r="K22" s="228" t="str">
        <f>D22&amp;-12</f>
        <v>3-12</v>
      </c>
      <c r="L22" s="233">
        <f t="shared" si="5"/>
        <v>0.2</v>
      </c>
      <c r="M22" s="52">
        <f t="shared" si="5"/>
        <v>160</v>
      </c>
      <c r="N22" s="232">
        <f t="shared" si="5"/>
        <v>150</v>
      </c>
      <c r="O22" s="50">
        <f t="shared" si="5"/>
        <v>330</v>
      </c>
    </row>
    <row r="23" spans="1:15" ht="15.75" thickBot="1" x14ac:dyDescent="0.3">
      <c r="A23" s="229">
        <f t="shared" si="6"/>
        <v>3490</v>
      </c>
      <c r="B23" s="230">
        <f t="shared" si="7"/>
        <v>13</v>
      </c>
      <c r="C23" s="218" t="str">
        <f t="shared" si="3"/>
        <v>L32X08#000_000_01</v>
      </c>
      <c r="D23" s="242">
        <f t="shared" ref="D23:D34" si="10">vr_b</f>
        <v>7.8000000000000007</v>
      </c>
      <c r="E23" s="238">
        <f t="shared" ref="E23:E34" si="11">t_c*I_ref*(0.072*(v_ave/t_c+3)*(D23/t_c-4)+10)</f>
        <v>2.7863920000000002</v>
      </c>
      <c r="F23" s="227">
        <f>E23/D23*100</f>
        <v>35.722974358974355</v>
      </c>
      <c r="G23" s="227">
        <f t="shared" ref="G23:G34" si="12">m_ty*F23</f>
        <v>28.578379487179486</v>
      </c>
      <c r="H23" s="227">
        <f t="shared" ref="H23:H34" si="13">m_tz*F23</f>
        <v>17.861487179487177</v>
      </c>
      <c r="I23" s="227">
        <f>inflow</f>
        <v>8</v>
      </c>
      <c r="J23" s="227">
        <f>yaw_null</f>
        <v>0</v>
      </c>
      <c r="K23" s="228" t="str">
        <f>D23&amp;-1</f>
        <v>7.8-1</v>
      </c>
      <c r="L23" s="193">
        <f>alpha_n</f>
        <v>0.2</v>
      </c>
      <c r="M23" s="52">
        <f>t_out+10</f>
        <v>160</v>
      </c>
      <c r="N23" s="227">
        <f>t_out</f>
        <v>150</v>
      </c>
      <c r="O23" s="50">
        <f>N23+3*T_s2</f>
        <v>330</v>
      </c>
    </row>
    <row r="24" spans="1:15" ht="15.75" thickBot="1" x14ac:dyDescent="0.3">
      <c r="A24" s="229">
        <f t="shared" si="6"/>
        <v>3491</v>
      </c>
      <c r="B24" s="230">
        <f t="shared" si="7"/>
        <v>14</v>
      </c>
      <c r="C24" s="218" t="str">
        <f t="shared" si="3"/>
        <v>L32X08#000_000_02</v>
      </c>
      <c r="D24" s="231">
        <f t="shared" si="10"/>
        <v>7.8000000000000007</v>
      </c>
      <c r="E24" s="239">
        <f t="shared" si="11"/>
        <v>2.7863920000000002</v>
      </c>
      <c r="F24" s="232">
        <f>E24/D24*100</f>
        <v>35.722974358974355</v>
      </c>
      <c r="G24" s="53">
        <f t="shared" si="12"/>
        <v>28.578379487179486</v>
      </c>
      <c r="H24" s="51">
        <f t="shared" si="13"/>
        <v>17.861487179487177</v>
      </c>
      <c r="I24" s="232">
        <f t="shared" ref="I24" si="14">I23</f>
        <v>8</v>
      </c>
      <c r="J24" s="232">
        <f>J23</f>
        <v>0</v>
      </c>
      <c r="K24" s="228" t="str">
        <f>D24&amp;-2</f>
        <v>7.8-2</v>
      </c>
      <c r="L24" s="233">
        <f t="shared" ref="L24" si="15">L23</f>
        <v>0.2</v>
      </c>
      <c r="M24" s="52">
        <f>M23</f>
        <v>160</v>
      </c>
      <c r="N24" s="232">
        <f>N23</f>
        <v>150</v>
      </c>
      <c r="O24" s="50">
        <f>O23</f>
        <v>330</v>
      </c>
    </row>
    <row r="25" spans="1:15" ht="15.75" thickBot="1" x14ac:dyDescent="0.3">
      <c r="A25" s="229">
        <f t="shared" si="6"/>
        <v>3492</v>
      </c>
      <c r="B25" s="230">
        <f t="shared" si="7"/>
        <v>15</v>
      </c>
      <c r="C25" s="218" t="str">
        <f t="shared" si="3"/>
        <v>L32X08#000_000_03</v>
      </c>
      <c r="D25" s="231">
        <f t="shared" si="10"/>
        <v>7.8000000000000007</v>
      </c>
      <c r="E25" s="239">
        <f t="shared" si="11"/>
        <v>2.7863920000000002</v>
      </c>
      <c r="F25" s="232">
        <f t="shared" ref="F25:F34" si="16">E25/D25*100</f>
        <v>35.722974358974355</v>
      </c>
      <c r="G25" s="53">
        <f t="shared" si="12"/>
        <v>28.578379487179486</v>
      </c>
      <c r="H25" s="51">
        <f t="shared" si="13"/>
        <v>17.861487179487177</v>
      </c>
      <c r="I25" s="232">
        <f t="shared" ref="I25:J25" si="17">I24</f>
        <v>8</v>
      </c>
      <c r="J25" s="232">
        <f t="shared" si="17"/>
        <v>0</v>
      </c>
      <c r="K25" s="228" t="str">
        <f>D25&amp;-3</f>
        <v>7.8-3</v>
      </c>
      <c r="L25" s="233">
        <f t="shared" ref="L25:O25" si="18">L24</f>
        <v>0.2</v>
      </c>
      <c r="M25" s="52">
        <f t="shared" si="18"/>
        <v>160</v>
      </c>
      <c r="N25" s="232">
        <f t="shared" si="18"/>
        <v>150</v>
      </c>
      <c r="O25" s="50">
        <f t="shared" si="18"/>
        <v>330</v>
      </c>
    </row>
    <row r="26" spans="1:15" ht="15.75" thickBot="1" x14ac:dyDescent="0.3">
      <c r="A26" s="229">
        <f t="shared" si="6"/>
        <v>3493</v>
      </c>
      <c r="B26" s="230">
        <f t="shared" si="7"/>
        <v>16</v>
      </c>
      <c r="C26" s="218" t="str">
        <f t="shared" si="3"/>
        <v>L32X08#000_000_04</v>
      </c>
      <c r="D26" s="231">
        <f t="shared" si="10"/>
        <v>7.8000000000000007</v>
      </c>
      <c r="E26" s="239">
        <f t="shared" si="11"/>
        <v>2.7863920000000002</v>
      </c>
      <c r="F26" s="232">
        <f t="shared" si="16"/>
        <v>35.722974358974355</v>
      </c>
      <c r="G26" s="53">
        <f t="shared" si="12"/>
        <v>28.578379487179486</v>
      </c>
      <c r="H26" s="51">
        <f t="shared" si="13"/>
        <v>17.861487179487177</v>
      </c>
      <c r="I26" s="232">
        <f t="shared" ref="I26:J26" si="19">I25</f>
        <v>8</v>
      </c>
      <c r="J26" s="232">
        <f t="shared" si="19"/>
        <v>0</v>
      </c>
      <c r="K26" s="228" t="str">
        <f>D26&amp;-4</f>
        <v>7.8-4</v>
      </c>
      <c r="L26" s="233">
        <f t="shared" ref="L26:O26" si="20">L25</f>
        <v>0.2</v>
      </c>
      <c r="M26" s="52">
        <f t="shared" si="20"/>
        <v>160</v>
      </c>
      <c r="N26" s="232">
        <f t="shared" si="20"/>
        <v>150</v>
      </c>
      <c r="O26" s="50">
        <f t="shared" si="20"/>
        <v>330</v>
      </c>
    </row>
    <row r="27" spans="1:15" ht="15.75" thickBot="1" x14ac:dyDescent="0.3">
      <c r="A27" s="229">
        <f t="shared" si="6"/>
        <v>3494</v>
      </c>
      <c r="B27" s="230">
        <f t="shared" si="7"/>
        <v>17</v>
      </c>
      <c r="C27" s="218" t="str">
        <f t="shared" si="3"/>
        <v>L32X08#000_000_05</v>
      </c>
      <c r="D27" s="231">
        <f t="shared" si="10"/>
        <v>7.8000000000000007</v>
      </c>
      <c r="E27" s="239">
        <f t="shared" si="11"/>
        <v>2.7863920000000002</v>
      </c>
      <c r="F27" s="232">
        <f t="shared" si="16"/>
        <v>35.722974358974355</v>
      </c>
      <c r="G27" s="53">
        <f t="shared" si="12"/>
        <v>28.578379487179486</v>
      </c>
      <c r="H27" s="51">
        <f t="shared" si="13"/>
        <v>17.861487179487177</v>
      </c>
      <c r="I27" s="232">
        <f t="shared" ref="I27:J27" si="21">I26</f>
        <v>8</v>
      </c>
      <c r="J27" s="232">
        <f t="shared" si="21"/>
        <v>0</v>
      </c>
      <c r="K27" s="228" t="str">
        <f>D27&amp;-5</f>
        <v>7.8-5</v>
      </c>
      <c r="L27" s="233">
        <f t="shared" ref="L27:O27" si="22">L26</f>
        <v>0.2</v>
      </c>
      <c r="M27" s="52">
        <f t="shared" si="22"/>
        <v>160</v>
      </c>
      <c r="N27" s="232">
        <f t="shared" si="22"/>
        <v>150</v>
      </c>
      <c r="O27" s="50">
        <f t="shared" si="22"/>
        <v>330</v>
      </c>
    </row>
    <row r="28" spans="1:15" ht="15.75" thickBot="1" x14ac:dyDescent="0.3">
      <c r="A28" s="229">
        <f t="shared" si="6"/>
        <v>3495</v>
      </c>
      <c r="B28" s="230">
        <f t="shared" si="7"/>
        <v>18</v>
      </c>
      <c r="C28" s="218" t="str">
        <f t="shared" si="3"/>
        <v>L32X08#000_000_06</v>
      </c>
      <c r="D28" s="231">
        <f t="shared" si="10"/>
        <v>7.8000000000000007</v>
      </c>
      <c r="E28" s="239">
        <f t="shared" si="11"/>
        <v>2.7863920000000002</v>
      </c>
      <c r="F28" s="232">
        <f t="shared" si="16"/>
        <v>35.722974358974355</v>
      </c>
      <c r="G28" s="53">
        <f t="shared" si="12"/>
        <v>28.578379487179486</v>
      </c>
      <c r="H28" s="51">
        <f t="shared" si="13"/>
        <v>17.861487179487177</v>
      </c>
      <c r="I28" s="232">
        <f t="shared" ref="I28:J28" si="23">I27</f>
        <v>8</v>
      </c>
      <c r="J28" s="232">
        <f t="shared" si="23"/>
        <v>0</v>
      </c>
      <c r="K28" s="228" t="str">
        <f>D28&amp;-6</f>
        <v>7.8-6</v>
      </c>
      <c r="L28" s="233">
        <f t="shared" ref="L28:O28" si="24">L27</f>
        <v>0.2</v>
      </c>
      <c r="M28" s="52">
        <f t="shared" si="24"/>
        <v>160</v>
      </c>
      <c r="N28" s="232">
        <f t="shared" si="24"/>
        <v>150</v>
      </c>
      <c r="O28" s="50">
        <f t="shared" si="24"/>
        <v>330</v>
      </c>
    </row>
    <row r="29" spans="1:15" ht="15.75" thickBot="1" x14ac:dyDescent="0.3">
      <c r="A29" s="229">
        <f t="shared" si="6"/>
        <v>3496</v>
      </c>
      <c r="B29" s="230">
        <f t="shared" si="7"/>
        <v>19</v>
      </c>
      <c r="C29" s="218" t="str">
        <f t="shared" si="3"/>
        <v>L32X08#000_000_07</v>
      </c>
      <c r="D29" s="231">
        <f t="shared" si="10"/>
        <v>7.8000000000000007</v>
      </c>
      <c r="E29" s="239">
        <f t="shared" si="11"/>
        <v>2.7863920000000002</v>
      </c>
      <c r="F29" s="232">
        <f t="shared" si="16"/>
        <v>35.722974358974355</v>
      </c>
      <c r="G29" s="53">
        <f t="shared" si="12"/>
        <v>28.578379487179486</v>
      </c>
      <c r="H29" s="51">
        <f t="shared" si="13"/>
        <v>17.861487179487177</v>
      </c>
      <c r="I29" s="232">
        <f t="shared" ref="I29:J29" si="25">I28</f>
        <v>8</v>
      </c>
      <c r="J29" s="232">
        <f t="shared" si="25"/>
        <v>0</v>
      </c>
      <c r="K29" s="228" t="str">
        <f>D29&amp;-7</f>
        <v>7.8-7</v>
      </c>
      <c r="L29" s="233">
        <f t="shared" ref="L29:O29" si="26">L28</f>
        <v>0.2</v>
      </c>
      <c r="M29" s="52">
        <f t="shared" si="26"/>
        <v>160</v>
      </c>
      <c r="N29" s="232">
        <f t="shared" si="26"/>
        <v>150</v>
      </c>
      <c r="O29" s="50">
        <f t="shared" si="26"/>
        <v>330</v>
      </c>
    </row>
    <row r="30" spans="1:15" ht="15.75" thickBot="1" x14ac:dyDescent="0.3">
      <c r="A30" s="229">
        <f t="shared" si="6"/>
        <v>3497</v>
      </c>
      <c r="B30" s="230">
        <f t="shared" si="7"/>
        <v>20</v>
      </c>
      <c r="C30" s="218" t="str">
        <f t="shared" si="3"/>
        <v>L32X08#000_000_08</v>
      </c>
      <c r="D30" s="231">
        <f t="shared" si="10"/>
        <v>7.8000000000000007</v>
      </c>
      <c r="E30" s="239">
        <f t="shared" si="11"/>
        <v>2.7863920000000002</v>
      </c>
      <c r="F30" s="232">
        <f t="shared" si="16"/>
        <v>35.722974358974355</v>
      </c>
      <c r="G30" s="53">
        <f t="shared" si="12"/>
        <v>28.578379487179486</v>
      </c>
      <c r="H30" s="51">
        <f t="shared" si="13"/>
        <v>17.861487179487177</v>
      </c>
      <c r="I30" s="232">
        <f t="shared" ref="I30:J30" si="27">I29</f>
        <v>8</v>
      </c>
      <c r="J30" s="232">
        <f t="shared" si="27"/>
        <v>0</v>
      </c>
      <c r="K30" s="228" t="str">
        <f>D30&amp;-8</f>
        <v>7.8-8</v>
      </c>
      <c r="L30" s="233">
        <f t="shared" ref="L30:O30" si="28">L29</f>
        <v>0.2</v>
      </c>
      <c r="M30" s="52">
        <f t="shared" si="28"/>
        <v>160</v>
      </c>
      <c r="N30" s="232">
        <f t="shared" si="28"/>
        <v>150</v>
      </c>
      <c r="O30" s="50">
        <f t="shared" si="28"/>
        <v>330</v>
      </c>
    </row>
    <row r="31" spans="1:15" ht="15.75" thickBot="1" x14ac:dyDescent="0.3">
      <c r="A31" s="229">
        <f t="shared" si="6"/>
        <v>3498</v>
      </c>
      <c r="B31" s="230">
        <f t="shared" si="7"/>
        <v>21</v>
      </c>
      <c r="C31" s="218" t="str">
        <f t="shared" si="3"/>
        <v>L32X08#000_000_09</v>
      </c>
      <c r="D31" s="231">
        <f t="shared" si="10"/>
        <v>7.8000000000000007</v>
      </c>
      <c r="E31" s="239">
        <f t="shared" si="11"/>
        <v>2.7863920000000002</v>
      </c>
      <c r="F31" s="232">
        <f t="shared" si="16"/>
        <v>35.722974358974355</v>
      </c>
      <c r="G31" s="53">
        <f t="shared" si="12"/>
        <v>28.578379487179486</v>
      </c>
      <c r="H31" s="51">
        <f t="shared" si="13"/>
        <v>17.861487179487177</v>
      </c>
      <c r="I31" s="232">
        <f t="shared" ref="I31:J31" si="29">I30</f>
        <v>8</v>
      </c>
      <c r="J31" s="232">
        <f t="shared" si="29"/>
        <v>0</v>
      </c>
      <c r="K31" s="228" t="str">
        <f>D31&amp;-9</f>
        <v>7.8-9</v>
      </c>
      <c r="L31" s="233">
        <f t="shared" ref="L31:O31" si="30">L30</f>
        <v>0.2</v>
      </c>
      <c r="M31" s="52">
        <f t="shared" si="30"/>
        <v>160</v>
      </c>
      <c r="N31" s="232">
        <f t="shared" si="30"/>
        <v>150</v>
      </c>
      <c r="O31" s="50">
        <f t="shared" si="30"/>
        <v>330</v>
      </c>
    </row>
    <row r="32" spans="1:15" ht="15.75" thickBot="1" x14ac:dyDescent="0.3">
      <c r="A32" s="229">
        <f t="shared" si="6"/>
        <v>3499</v>
      </c>
      <c r="B32" s="230">
        <f t="shared" si="7"/>
        <v>22</v>
      </c>
      <c r="C32" s="218" t="str">
        <f t="shared" si="3"/>
        <v>L32X08#000_000_10</v>
      </c>
      <c r="D32" s="231">
        <f t="shared" si="10"/>
        <v>7.8000000000000007</v>
      </c>
      <c r="E32" s="239">
        <f t="shared" si="11"/>
        <v>2.7863920000000002</v>
      </c>
      <c r="F32" s="232">
        <f t="shared" si="16"/>
        <v>35.722974358974355</v>
      </c>
      <c r="G32" s="53">
        <f t="shared" si="12"/>
        <v>28.578379487179486</v>
      </c>
      <c r="H32" s="51">
        <f t="shared" si="13"/>
        <v>17.861487179487177</v>
      </c>
      <c r="I32" s="232">
        <f t="shared" ref="I32:J32" si="31">I31</f>
        <v>8</v>
      </c>
      <c r="J32" s="232">
        <f t="shared" si="31"/>
        <v>0</v>
      </c>
      <c r="K32" s="228" t="str">
        <f>D32&amp;-10</f>
        <v>7.8-10</v>
      </c>
      <c r="L32" s="233">
        <f t="shared" ref="L32:O32" si="32">L31</f>
        <v>0.2</v>
      </c>
      <c r="M32" s="52">
        <f t="shared" si="32"/>
        <v>160</v>
      </c>
      <c r="N32" s="232">
        <f t="shared" si="32"/>
        <v>150</v>
      </c>
      <c r="O32" s="50">
        <f t="shared" si="32"/>
        <v>330</v>
      </c>
    </row>
    <row r="33" spans="1:15" ht="15.75" thickBot="1" x14ac:dyDescent="0.3">
      <c r="A33" s="229">
        <f t="shared" si="6"/>
        <v>3500</v>
      </c>
      <c r="B33" s="230">
        <f t="shared" si="7"/>
        <v>23</v>
      </c>
      <c r="C33" s="218" t="str">
        <f t="shared" si="3"/>
        <v>L32X08#000_000_11</v>
      </c>
      <c r="D33" s="231">
        <f t="shared" si="10"/>
        <v>7.8000000000000007</v>
      </c>
      <c r="E33" s="239">
        <f t="shared" si="11"/>
        <v>2.7863920000000002</v>
      </c>
      <c r="F33" s="232">
        <f t="shared" si="16"/>
        <v>35.722974358974355</v>
      </c>
      <c r="G33" s="53">
        <f t="shared" si="12"/>
        <v>28.578379487179486</v>
      </c>
      <c r="H33" s="51">
        <f t="shared" si="13"/>
        <v>17.861487179487177</v>
      </c>
      <c r="I33" s="232">
        <f t="shared" ref="I33:J33" si="33">I32</f>
        <v>8</v>
      </c>
      <c r="J33" s="232">
        <f t="shared" si="33"/>
        <v>0</v>
      </c>
      <c r="K33" s="228" t="str">
        <f>D33&amp;-11</f>
        <v>7.8-11</v>
      </c>
      <c r="L33" s="233">
        <f t="shared" ref="L33:O33" si="34">L32</f>
        <v>0.2</v>
      </c>
      <c r="M33" s="52">
        <f t="shared" si="34"/>
        <v>160</v>
      </c>
      <c r="N33" s="232">
        <f t="shared" si="34"/>
        <v>150</v>
      </c>
      <c r="O33" s="50">
        <f t="shared" si="34"/>
        <v>330</v>
      </c>
    </row>
    <row r="34" spans="1:15" ht="15.75" thickBot="1" x14ac:dyDescent="0.3">
      <c r="A34" s="229">
        <f t="shared" si="6"/>
        <v>3501</v>
      </c>
      <c r="B34" s="230">
        <f t="shared" si="7"/>
        <v>24</v>
      </c>
      <c r="C34" s="218" t="str">
        <f t="shared" si="3"/>
        <v>L32X08#000_000_12</v>
      </c>
      <c r="D34" s="231">
        <f t="shared" si="10"/>
        <v>7.8000000000000007</v>
      </c>
      <c r="E34" s="239">
        <f t="shared" si="11"/>
        <v>2.7863920000000002</v>
      </c>
      <c r="F34" s="232">
        <f t="shared" si="16"/>
        <v>35.722974358974355</v>
      </c>
      <c r="G34" s="53">
        <f t="shared" si="12"/>
        <v>28.578379487179486</v>
      </c>
      <c r="H34" s="51">
        <f t="shared" si="13"/>
        <v>17.861487179487177</v>
      </c>
      <c r="I34" s="232">
        <f t="shared" ref="I34:J34" si="35">I33</f>
        <v>8</v>
      </c>
      <c r="J34" s="232">
        <f t="shared" si="35"/>
        <v>0</v>
      </c>
      <c r="K34" s="228" t="str">
        <f>D34&amp;-12</f>
        <v>7.8-12</v>
      </c>
      <c r="L34" s="233">
        <f t="shared" ref="L34:O34" si="36">L33</f>
        <v>0.2</v>
      </c>
      <c r="M34" s="52">
        <f t="shared" si="36"/>
        <v>160</v>
      </c>
      <c r="N34" s="232">
        <f t="shared" si="36"/>
        <v>150</v>
      </c>
      <c r="O34" s="50">
        <f t="shared" si="36"/>
        <v>330</v>
      </c>
    </row>
    <row r="35" spans="1:15" ht="15.75" thickBot="1" x14ac:dyDescent="0.3">
      <c r="A35" s="229">
        <f t="shared" si="6"/>
        <v>3502</v>
      </c>
      <c r="B35" s="230">
        <f t="shared" si="7"/>
        <v>25</v>
      </c>
      <c r="C35" s="218" t="str">
        <f t="shared" si="3"/>
        <v>L32X10#000_000_01</v>
      </c>
      <c r="D35" s="231">
        <f t="shared" ref="D35:D46" si="37">v_r</f>
        <v>9.8000000000000007</v>
      </c>
      <c r="E35" s="239">
        <f t="shared" si="0"/>
        <v>2.9224720000000004</v>
      </c>
      <c r="F35" s="232">
        <f t="shared" si="9"/>
        <v>29.821142857142856</v>
      </c>
      <c r="G35" s="53">
        <f t="shared" si="1"/>
        <v>23.856914285714286</v>
      </c>
      <c r="H35" s="51">
        <f t="shared" si="2"/>
        <v>14.910571428571428</v>
      </c>
      <c r="I35" s="232">
        <f>I22</f>
        <v>8</v>
      </c>
      <c r="J35" s="232">
        <f>J22</f>
        <v>0</v>
      </c>
      <c r="K35" s="228" t="str">
        <f>D35&amp;-1</f>
        <v>9.8-1</v>
      </c>
      <c r="L35" s="233">
        <f>L22</f>
        <v>0.2</v>
      </c>
      <c r="M35" s="52">
        <f>M22</f>
        <v>160</v>
      </c>
      <c r="N35" s="232">
        <f>N22</f>
        <v>150</v>
      </c>
      <c r="O35" s="50">
        <f>O22</f>
        <v>330</v>
      </c>
    </row>
    <row r="36" spans="1:15" ht="15.75" thickBot="1" x14ac:dyDescent="0.3">
      <c r="A36" s="229">
        <f t="shared" si="6"/>
        <v>3503</v>
      </c>
      <c r="B36" s="230">
        <f t="shared" si="7"/>
        <v>26</v>
      </c>
      <c r="C36" s="218" t="str">
        <f t="shared" si="3"/>
        <v>L32X10#000_000_02</v>
      </c>
      <c r="D36" s="231">
        <f t="shared" si="37"/>
        <v>9.8000000000000007</v>
      </c>
      <c r="E36" s="239">
        <f t="shared" si="0"/>
        <v>2.9224720000000004</v>
      </c>
      <c r="F36" s="232">
        <f t="shared" si="9"/>
        <v>29.821142857142856</v>
      </c>
      <c r="G36" s="53">
        <f t="shared" si="1"/>
        <v>23.856914285714286</v>
      </c>
      <c r="H36" s="51">
        <f t="shared" si="2"/>
        <v>14.910571428571428</v>
      </c>
      <c r="I36" s="232">
        <f t="shared" si="4"/>
        <v>8</v>
      </c>
      <c r="J36" s="232">
        <f t="shared" si="4"/>
        <v>0</v>
      </c>
      <c r="K36" s="228" t="str">
        <f>D36&amp;-2</f>
        <v>9.8-2</v>
      </c>
      <c r="L36" s="233">
        <f t="shared" si="5"/>
        <v>0.2</v>
      </c>
      <c r="M36" s="52">
        <f t="shared" si="5"/>
        <v>160</v>
      </c>
      <c r="N36" s="232">
        <f t="shared" si="5"/>
        <v>150</v>
      </c>
      <c r="O36" s="50">
        <f t="shared" si="5"/>
        <v>330</v>
      </c>
    </row>
    <row r="37" spans="1:15" ht="15.75" thickBot="1" x14ac:dyDescent="0.3">
      <c r="A37" s="229">
        <f t="shared" si="6"/>
        <v>3504</v>
      </c>
      <c r="B37" s="230">
        <f t="shared" si="7"/>
        <v>27</v>
      </c>
      <c r="C37" s="218" t="str">
        <f t="shared" si="3"/>
        <v>L32X10#000_000_03</v>
      </c>
      <c r="D37" s="231">
        <f t="shared" si="37"/>
        <v>9.8000000000000007</v>
      </c>
      <c r="E37" s="239">
        <f t="shared" si="0"/>
        <v>2.9224720000000004</v>
      </c>
      <c r="F37" s="232">
        <f t="shared" si="9"/>
        <v>29.821142857142856</v>
      </c>
      <c r="G37" s="53">
        <f t="shared" si="1"/>
        <v>23.856914285714286</v>
      </c>
      <c r="H37" s="51">
        <f t="shared" si="2"/>
        <v>14.910571428571428</v>
      </c>
      <c r="I37" s="232">
        <f t="shared" si="4"/>
        <v>8</v>
      </c>
      <c r="J37" s="232">
        <f t="shared" si="4"/>
        <v>0</v>
      </c>
      <c r="K37" s="228" t="str">
        <f>D37&amp;-3</f>
        <v>9.8-3</v>
      </c>
      <c r="L37" s="233">
        <f t="shared" si="5"/>
        <v>0.2</v>
      </c>
      <c r="M37" s="52">
        <f t="shared" si="5"/>
        <v>160</v>
      </c>
      <c r="N37" s="232">
        <f t="shared" si="5"/>
        <v>150</v>
      </c>
      <c r="O37" s="50">
        <f t="shared" si="5"/>
        <v>330</v>
      </c>
    </row>
    <row r="38" spans="1:15" ht="15.75" thickBot="1" x14ac:dyDescent="0.3">
      <c r="A38" s="229">
        <f t="shared" si="6"/>
        <v>3505</v>
      </c>
      <c r="B38" s="230">
        <f t="shared" si="7"/>
        <v>28</v>
      </c>
      <c r="C38" s="218" t="str">
        <f t="shared" si="3"/>
        <v>L32X10#000_000_04</v>
      </c>
      <c r="D38" s="231">
        <f t="shared" si="37"/>
        <v>9.8000000000000007</v>
      </c>
      <c r="E38" s="239">
        <f t="shared" si="0"/>
        <v>2.9224720000000004</v>
      </c>
      <c r="F38" s="232">
        <f t="shared" si="9"/>
        <v>29.821142857142856</v>
      </c>
      <c r="G38" s="53">
        <f t="shared" si="1"/>
        <v>23.856914285714286</v>
      </c>
      <c r="H38" s="51">
        <f t="shared" si="2"/>
        <v>14.910571428571428</v>
      </c>
      <c r="I38" s="232">
        <f t="shared" si="4"/>
        <v>8</v>
      </c>
      <c r="J38" s="232">
        <f t="shared" si="4"/>
        <v>0</v>
      </c>
      <c r="K38" s="228" t="str">
        <f>D38&amp;-4</f>
        <v>9.8-4</v>
      </c>
      <c r="L38" s="233">
        <f t="shared" si="5"/>
        <v>0.2</v>
      </c>
      <c r="M38" s="52">
        <f t="shared" si="5"/>
        <v>160</v>
      </c>
      <c r="N38" s="232">
        <f t="shared" si="5"/>
        <v>150</v>
      </c>
      <c r="O38" s="50">
        <f t="shared" si="5"/>
        <v>330</v>
      </c>
    </row>
    <row r="39" spans="1:15" ht="15.75" thickBot="1" x14ac:dyDescent="0.3">
      <c r="A39" s="229">
        <f t="shared" si="6"/>
        <v>3506</v>
      </c>
      <c r="B39" s="230">
        <f t="shared" si="7"/>
        <v>29</v>
      </c>
      <c r="C39" s="218" t="str">
        <f t="shared" si="3"/>
        <v>L32X10#000_000_05</v>
      </c>
      <c r="D39" s="231">
        <f t="shared" si="37"/>
        <v>9.8000000000000007</v>
      </c>
      <c r="E39" s="239">
        <f t="shared" si="0"/>
        <v>2.9224720000000004</v>
      </c>
      <c r="F39" s="232">
        <f t="shared" si="9"/>
        <v>29.821142857142856</v>
      </c>
      <c r="G39" s="53">
        <f t="shared" si="1"/>
        <v>23.856914285714286</v>
      </c>
      <c r="H39" s="51">
        <f t="shared" si="2"/>
        <v>14.910571428571428</v>
      </c>
      <c r="I39" s="232">
        <f t="shared" si="4"/>
        <v>8</v>
      </c>
      <c r="J39" s="232">
        <f t="shared" si="4"/>
        <v>0</v>
      </c>
      <c r="K39" s="228" t="str">
        <f>D39&amp;-5</f>
        <v>9.8-5</v>
      </c>
      <c r="L39" s="233">
        <f t="shared" si="5"/>
        <v>0.2</v>
      </c>
      <c r="M39" s="52">
        <f t="shared" si="5"/>
        <v>160</v>
      </c>
      <c r="N39" s="232">
        <f t="shared" si="5"/>
        <v>150</v>
      </c>
      <c r="O39" s="50">
        <f t="shared" si="5"/>
        <v>330</v>
      </c>
    </row>
    <row r="40" spans="1:15" ht="15.75" thickBot="1" x14ac:dyDescent="0.3">
      <c r="A40" s="229">
        <f t="shared" si="6"/>
        <v>3507</v>
      </c>
      <c r="B40" s="230">
        <f t="shared" si="7"/>
        <v>30</v>
      </c>
      <c r="C40" s="218" t="str">
        <f t="shared" si="3"/>
        <v>L32X10#000_000_06</v>
      </c>
      <c r="D40" s="231">
        <f t="shared" si="37"/>
        <v>9.8000000000000007</v>
      </c>
      <c r="E40" s="239">
        <f t="shared" si="0"/>
        <v>2.9224720000000004</v>
      </c>
      <c r="F40" s="232">
        <f t="shared" si="9"/>
        <v>29.821142857142856</v>
      </c>
      <c r="G40" s="53">
        <f t="shared" si="1"/>
        <v>23.856914285714286</v>
      </c>
      <c r="H40" s="51">
        <f t="shared" si="2"/>
        <v>14.910571428571428</v>
      </c>
      <c r="I40" s="232">
        <f t="shared" ref="I40:J55" si="38">I39</f>
        <v>8</v>
      </c>
      <c r="J40" s="232">
        <f t="shared" si="38"/>
        <v>0</v>
      </c>
      <c r="K40" s="228" t="str">
        <f>D40&amp;-6</f>
        <v>9.8-6</v>
      </c>
      <c r="L40" s="233">
        <f t="shared" ref="L40:O55" si="39">L39</f>
        <v>0.2</v>
      </c>
      <c r="M40" s="52">
        <f t="shared" si="39"/>
        <v>160</v>
      </c>
      <c r="N40" s="232">
        <f t="shared" si="39"/>
        <v>150</v>
      </c>
      <c r="O40" s="50">
        <f t="shared" si="39"/>
        <v>330</v>
      </c>
    </row>
    <row r="41" spans="1:15" ht="15.75" thickBot="1" x14ac:dyDescent="0.3">
      <c r="A41" s="229">
        <f t="shared" si="6"/>
        <v>3508</v>
      </c>
      <c r="B41" s="230">
        <f t="shared" si="7"/>
        <v>31</v>
      </c>
      <c r="C41" s="218" t="str">
        <f t="shared" si="3"/>
        <v>L32X10#000_000_07</v>
      </c>
      <c r="D41" s="231">
        <f t="shared" si="37"/>
        <v>9.8000000000000007</v>
      </c>
      <c r="E41" s="239">
        <f t="shared" si="0"/>
        <v>2.9224720000000004</v>
      </c>
      <c r="F41" s="232">
        <f t="shared" si="9"/>
        <v>29.821142857142856</v>
      </c>
      <c r="G41" s="53">
        <f t="shared" si="1"/>
        <v>23.856914285714286</v>
      </c>
      <c r="H41" s="51">
        <f t="shared" si="2"/>
        <v>14.910571428571428</v>
      </c>
      <c r="I41" s="232">
        <f t="shared" si="38"/>
        <v>8</v>
      </c>
      <c r="J41" s="232">
        <f t="shared" si="38"/>
        <v>0</v>
      </c>
      <c r="K41" s="228" t="str">
        <f>D41&amp;-7</f>
        <v>9.8-7</v>
      </c>
      <c r="L41" s="233">
        <f t="shared" si="39"/>
        <v>0.2</v>
      </c>
      <c r="M41" s="52">
        <f t="shared" si="39"/>
        <v>160</v>
      </c>
      <c r="N41" s="232">
        <f t="shared" si="39"/>
        <v>150</v>
      </c>
      <c r="O41" s="50">
        <f t="shared" si="39"/>
        <v>330</v>
      </c>
    </row>
    <row r="42" spans="1:15" ht="15.75" thickBot="1" x14ac:dyDescent="0.3">
      <c r="A42" s="229">
        <f t="shared" si="6"/>
        <v>3509</v>
      </c>
      <c r="B42" s="230">
        <f t="shared" si="7"/>
        <v>32</v>
      </c>
      <c r="C42" s="218" t="str">
        <f t="shared" si="3"/>
        <v>L32X10#000_000_08</v>
      </c>
      <c r="D42" s="231">
        <f t="shared" si="37"/>
        <v>9.8000000000000007</v>
      </c>
      <c r="E42" s="239">
        <f t="shared" si="0"/>
        <v>2.9224720000000004</v>
      </c>
      <c r="F42" s="232">
        <f t="shared" si="9"/>
        <v>29.821142857142856</v>
      </c>
      <c r="G42" s="53">
        <f t="shared" si="1"/>
        <v>23.856914285714286</v>
      </c>
      <c r="H42" s="51">
        <f t="shared" si="2"/>
        <v>14.910571428571428</v>
      </c>
      <c r="I42" s="232">
        <f t="shared" si="38"/>
        <v>8</v>
      </c>
      <c r="J42" s="232">
        <f t="shared" si="38"/>
        <v>0</v>
      </c>
      <c r="K42" s="228" t="str">
        <f>D42&amp;-8</f>
        <v>9.8-8</v>
      </c>
      <c r="L42" s="233">
        <f t="shared" si="39"/>
        <v>0.2</v>
      </c>
      <c r="M42" s="52">
        <f t="shared" si="39"/>
        <v>160</v>
      </c>
      <c r="N42" s="232">
        <f t="shared" si="39"/>
        <v>150</v>
      </c>
      <c r="O42" s="50">
        <f t="shared" si="39"/>
        <v>330</v>
      </c>
    </row>
    <row r="43" spans="1:15" ht="15.75" thickBot="1" x14ac:dyDescent="0.3">
      <c r="A43" s="229">
        <f t="shared" si="6"/>
        <v>3510</v>
      </c>
      <c r="B43" s="230">
        <f t="shared" si="7"/>
        <v>33</v>
      </c>
      <c r="C43" s="218" t="str">
        <f t="shared" si="3"/>
        <v>L32X10#000_000_09</v>
      </c>
      <c r="D43" s="231">
        <f t="shared" si="37"/>
        <v>9.8000000000000007</v>
      </c>
      <c r="E43" s="239">
        <f t="shared" si="0"/>
        <v>2.9224720000000004</v>
      </c>
      <c r="F43" s="232">
        <f t="shared" si="9"/>
        <v>29.821142857142856</v>
      </c>
      <c r="G43" s="53">
        <f t="shared" si="1"/>
        <v>23.856914285714286</v>
      </c>
      <c r="H43" s="51">
        <f t="shared" si="2"/>
        <v>14.910571428571428</v>
      </c>
      <c r="I43" s="232">
        <f t="shared" si="38"/>
        <v>8</v>
      </c>
      <c r="J43" s="232">
        <f t="shared" si="38"/>
        <v>0</v>
      </c>
      <c r="K43" s="228" t="str">
        <f>D43&amp;-9</f>
        <v>9.8-9</v>
      </c>
      <c r="L43" s="233">
        <f t="shared" si="39"/>
        <v>0.2</v>
      </c>
      <c r="M43" s="52">
        <f t="shared" si="39"/>
        <v>160</v>
      </c>
      <c r="N43" s="232">
        <f t="shared" si="39"/>
        <v>150</v>
      </c>
      <c r="O43" s="50">
        <f t="shared" si="39"/>
        <v>330</v>
      </c>
    </row>
    <row r="44" spans="1:15" ht="15.75" thickBot="1" x14ac:dyDescent="0.3">
      <c r="A44" s="229">
        <f t="shared" si="6"/>
        <v>3511</v>
      </c>
      <c r="B44" s="230">
        <f t="shared" si="7"/>
        <v>34</v>
      </c>
      <c r="C44" s="218" t="str">
        <f t="shared" si="3"/>
        <v>L32X10#000_000_10</v>
      </c>
      <c r="D44" s="231">
        <f t="shared" si="37"/>
        <v>9.8000000000000007</v>
      </c>
      <c r="E44" s="239">
        <f t="shared" si="0"/>
        <v>2.9224720000000004</v>
      </c>
      <c r="F44" s="232">
        <f t="shared" si="9"/>
        <v>29.821142857142856</v>
      </c>
      <c r="G44" s="53">
        <f t="shared" si="1"/>
        <v>23.856914285714286</v>
      </c>
      <c r="H44" s="51">
        <f t="shared" si="2"/>
        <v>14.910571428571428</v>
      </c>
      <c r="I44" s="232">
        <f t="shared" si="38"/>
        <v>8</v>
      </c>
      <c r="J44" s="232">
        <f t="shared" si="38"/>
        <v>0</v>
      </c>
      <c r="K44" s="228" t="str">
        <f>D44&amp;-10</f>
        <v>9.8-10</v>
      </c>
      <c r="L44" s="233">
        <f t="shared" si="39"/>
        <v>0.2</v>
      </c>
      <c r="M44" s="52">
        <f t="shared" si="39"/>
        <v>160</v>
      </c>
      <c r="N44" s="232">
        <f t="shared" si="39"/>
        <v>150</v>
      </c>
      <c r="O44" s="50">
        <f t="shared" si="39"/>
        <v>330</v>
      </c>
    </row>
    <row r="45" spans="1:15" ht="15.75" thickBot="1" x14ac:dyDescent="0.3">
      <c r="A45" s="229">
        <f t="shared" si="6"/>
        <v>3512</v>
      </c>
      <c r="B45" s="230">
        <f t="shared" si="7"/>
        <v>35</v>
      </c>
      <c r="C45" s="218" t="str">
        <f t="shared" si="3"/>
        <v>L32X10#000_000_11</v>
      </c>
      <c r="D45" s="231">
        <f t="shared" si="37"/>
        <v>9.8000000000000007</v>
      </c>
      <c r="E45" s="239">
        <f t="shared" si="0"/>
        <v>2.9224720000000004</v>
      </c>
      <c r="F45" s="232">
        <f t="shared" si="9"/>
        <v>29.821142857142856</v>
      </c>
      <c r="G45" s="53">
        <f t="shared" si="1"/>
        <v>23.856914285714286</v>
      </c>
      <c r="H45" s="51">
        <f t="shared" si="2"/>
        <v>14.910571428571428</v>
      </c>
      <c r="I45" s="232">
        <f t="shared" si="38"/>
        <v>8</v>
      </c>
      <c r="J45" s="232">
        <f t="shared" si="38"/>
        <v>0</v>
      </c>
      <c r="K45" s="228" t="str">
        <f>D45&amp;-11</f>
        <v>9.8-11</v>
      </c>
      <c r="L45" s="233">
        <f t="shared" si="39"/>
        <v>0.2</v>
      </c>
      <c r="M45" s="52">
        <f t="shared" si="39"/>
        <v>160</v>
      </c>
      <c r="N45" s="232">
        <f t="shared" si="39"/>
        <v>150</v>
      </c>
      <c r="O45" s="50">
        <f t="shared" si="39"/>
        <v>330</v>
      </c>
    </row>
    <row r="46" spans="1:15" ht="15.75" thickBot="1" x14ac:dyDescent="0.3">
      <c r="A46" s="229">
        <f t="shared" si="6"/>
        <v>3513</v>
      </c>
      <c r="B46" s="230">
        <f t="shared" si="7"/>
        <v>36</v>
      </c>
      <c r="C46" s="218" t="str">
        <f t="shared" si="3"/>
        <v>L32X10#000_000_12</v>
      </c>
      <c r="D46" s="231">
        <f t="shared" si="37"/>
        <v>9.8000000000000007</v>
      </c>
      <c r="E46" s="239">
        <f t="shared" si="0"/>
        <v>2.9224720000000004</v>
      </c>
      <c r="F46" s="232">
        <f t="shared" si="9"/>
        <v>29.821142857142856</v>
      </c>
      <c r="G46" s="53">
        <f t="shared" si="1"/>
        <v>23.856914285714286</v>
      </c>
      <c r="H46" s="51">
        <f t="shared" si="2"/>
        <v>14.910571428571428</v>
      </c>
      <c r="I46" s="232">
        <f t="shared" si="38"/>
        <v>8</v>
      </c>
      <c r="J46" s="232">
        <f t="shared" si="38"/>
        <v>0</v>
      </c>
      <c r="K46" s="228" t="str">
        <f>D46&amp;-12</f>
        <v>9.8-12</v>
      </c>
      <c r="L46" s="233">
        <f t="shared" si="39"/>
        <v>0.2</v>
      </c>
      <c r="M46" s="52">
        <f t="shared" si="39"/>
        <v>160</v>
      </c>
      <c r="N46" s="232">
        <f t="shared" si="39"/>
        <v>150</v>
      </c>
      <c r="O46" s="50">
        <f t="shared" si="39"/>
        <v>330</v>
      </c>
    </row>
    <row r="47" spans="1:15" ht="15.75" thickBot="1" x14ac:dyDescent="0.3">
      <c r="A47" s="229">
        <f t="shared" si="6"/>
        <v>3514</v>
      </c>
      <c r="B47" s="230">
        <f t="shared" si="7"/>
        <v>37</v>
      </c>
      <c r="C47" s="218" t="str">
        <f t="shared" si="3"/>
        <v>L32X12#000_000_01</v>
      </c>
      <c r="D47" s="231">
        <f t="shared" ref="D47:D58" si="40">vr_a</f>
        <v>11.8</v>
      </c>
      <c r="E47" s="239">
        <f t="shared" si="0"/>
        <v>3.0585520000000006</v>
      </c>
      <c r="F47" s="232">
        <f t="shared" si="9"/>
        <v>25.919932203389834</v>
      </c>
      <c r="G47" s="53">
        <f t="shared" si="1"/>
        <v>20.735945762711868</v>
      </c>
      <c r="H47" s="51">
        <f t="shared" si="2"/>
        <v>12.959966101694917</v>
      </c>
      <c r="I47" s="232">
        <f t="shared" si="38"/>
        <v>8</v>
      </c>
      <c r="J47" s="232">
        <f t="shared" si="38"/>
        <v>0</v>
      </c>
      <c r="K47" s="228" t="str">
        <f>D47&amp;-1</f>
        <v>11.8-1</v>
      </c>
      <c r="L47" s="233">
        <f t="shared" si="39"/>
        <v>0.2</v>
      </c>
      <c r="M47" s="52">
        <f t="shared" si="39"/>
        <v>160</v>
      </c>
      <c r="N47" s="232">
        <f t="shared" si="39"/>
        <v>150</v>
      </c>
      <c r="O47" s="50">
        <f t="shared" si="39"/>
        <v>330</v>
      </c>
    </row>
    <row r="48" spans="1:15" ht="15.75" thickBot="1" x14ac:dyDescent="0.3">
      <c r="A48" s="229">
        <f t="shared" si="6"/>
        <v>3515</v>
      </c>
      <c r="B48" s="230">
        <f t="shared" si="7"/>
        <v>38</v>
      </c>
      <c r="C48" s="218" t="str">
        <f t="shared" si="3"/>
        <v>L32X12#000_000_02</v>
      </c>
      <c r="D48" s="231">
        <f t="shared" si="40"/>
        <v>11.8</v>
      </c>
      <c r="E48" s="239">
        <f t="shared" si="0"/>
        <v>3.0585520000000006</v>
      </c>
      <c r="F48" s="232">
        <f t="shared" si="9"/>
        <v>25.919932203389834</v>
      </c>
      <c r="G48" s="53">
        <f t="shared" si="1"/>
        <v>20.735945762711868</v>
      </c>
      <c r="H48" s="51">
        <f t="shared" si="2"/>
        <v>12.959966101694917</v>
      </c>
      <c r="I48" s="232">
        <f t="shared" si="38"/>
        <v>8</v>
      </c>
      <c r="J48" s="232">
        <f t="shared" si="38"/>
        <v>0</v>
      </c>
      <c r="K48" s="228" t="str">
        <f>D48&amp;-2</f>
        <v>11.8-2</v>
      </c>
      <c r="L48" s="233">
        <f t="shared" si="39"/>
        <v>0.2</v>
      </c>
      <c r="M48" s="52">
        <f t="shared" si="39"/>
        <v>160</v>
      </c>
      <c r="N48" s="232">
        <f t="shared" si="39"/>
        <v>150</v>
      </c>
      <c r="O48" s="50">
        <f t="shared" si="39"/>
        <v>330</v>
      </c>
    </row>
    <row r="49" spans="1:15" ht="15.75" thickBot="1" x14ac:dyDescent="0.3">
      <c r="A49" s="229">
        <f t="shared" si="6"/>
        <v>3516</v>
      </c>
      <c r="B49" s="230">
        <f t="shared" si="7"/>
        <v>39</v>
      </c>
      <c r="C49" s="218" t="str">
        <f t="shared" si="3"/>
        <v>L32X12#000_000_03</v>
      </c>
      <c r="D49" s="231">
        <f t="shared" si="40"/>
        <v>11.8</v>
      </c>
      <c r="E49" s="239">
        <f t="shared" si="0"/>
        <v>3.0585520000000006</v>
      </c>
      <c r="F49" s="232">
        <f t="shared" si="9"/>
        <v>25.919932203389834</v>
      </c>
      <c r="G49" s="53">
        <f t="shared" si="1"/>
        <v>20.735945762711868</v>
      </c>
      <c r="H49" s="51">
        <f t="shared" si="2"/>
        <v>12.959966101694917</v>
      </c>
      <c r="I49" s="232">
        <f t="shared" si="38"/>
        <v>8</v>
      </c>
      <c r="J49" s="232">
        <f t="shared" si="38"/>
        <v>0</v>
      </c>
      <c r="K49" s="228" t="str">
        <f>D49&amp;-3</f>
        <v>11.8-3</v>
      </c>
      <c r="L49" s="233">
        <f t="shared" si="39"/>
        <v>0.2</v>
      </c>
      <c r="M49" s="52">
        <f t="shared" si="39"/>
        <v>160</v>
      </c>
      <c r="N49" s="232">
        <f t="shared" si="39"/>
        <v>150</v>
      </c>
      <c r="O49" s="50">
        <f t="shared" si="39"/>
        <v>330</v>
      </c>
    </row>
    <row r="50" spans="1:15" ht="15.75" thickBot="1" x14ac:dyDescent="0.3">
      <c r="A50" s="229">
        <f t="shared" si="6"/>
        <v>3517</v>
      </c>
      <c r="B50" s="230">
        <f t="shared" si="7"/>
        <v>40</v>
      </c>
      <c r="C50" s="218" t="str">
        <f t="shared" si="3"/>
        <v>L32X12#000_000_04</v>
      </c>
      <c r="D50" s="231">
        <f t="shared" si="40"/>
        <v>11.8</v>
      </c>
      <c r="E50" s="239">
        <f t="shared" si="0"/>
        <v>3.0585520000000006</v>
      </c>
      <c r="F50" s="232">
        <f t="shared" si="9"/>
        <v>25.919932203389834</v>
      </c>
      <c r="G50" s="53">
        <f t="shared" si="1"/>
        <v>20.735945762711868</v>
      </c>
      <c r="H50" s="51">
        <f t="shared" si="2"/>
        <v>12.959966101694917</v>
      </c>
      <c r="I50" s="232">
        <f t="shared" si="38"/>
        <v>8</v>
      </c>
      <c r="J50" s="232">
        <f t="shared" si="38"/>
        <v>0</v>
      </c>
      <c r="K50" s="228" t="str">
        <f>D50&amp;-4</f>
        <v>11.8-4</v>
      </c>
      <c r="L50" s="233">
        <f t="shared" si="39"/>
        <v>0.2</v>
      </c>
      <c r="M50" s="52">
        <f t="shared" si="39"/>
        <v>160</v>
      </c>
      <c r="N50" s="232">
        <f t="shared" si="39"/>
        <v>150</v>
      </c>
      <c r="O50" s="50">
        <f t="shared" si="39"/>
        <v>330</v>
      </c>
    </row>
    <row r="51" spans="1:15" ht="15.75" thickBot="1" x14ac:dyDescent="0.3">
      <c r="A51" s="229">
        <f t="shared" si="6"/>
        <v>3518</v>
      </c>
      <c r="B51" s="230">
        <f t="shared" si="7"/>
        <v>41</v>
      </c>
      <c r="C51" s="218" t="str">
        <f t="shared" si="3"/>
        <v>L32X12#000_000_05</v>
      </c>
      <c r="D51" s="231">
        <f t="shared" si="40"/>
        <v>11.8</v>
      </c>
      <c r="E51" s="239">
        <f t="shared" si="0"/>
        <v>3.0585520000000006</v>
      </c>
      <c r="F51" s="232">
        <f t="shared" si="9"/>
        <v>25.919932203389834</v>
      </c>
      <c r="G51" s="53">
        <f t="shared" si="1"/>
        <v>20.735945762711868</v>
      </c>
      <c r="H51" s="51">
        <f t="shared" si="2"/>
        <v>12.959966101694917</v>
      </c>
      <c r="I51" s="232">
        <f t="shared" si="38"/>
        <v>8</v>
      </c>
      <c r="J51" s="232">
        <f t="shared" si="38"/>
        <v>0</v>
      </c>
      <c r="K51" s="228" t="str">
        <f>D51&amp;-5</f>
        <v>11.8-5</v>
      </c>
      <c r="L51" s="233">
        <f t="shared" si="39"/>
        <v>0.2</v>
      </c>
      <c r="M51" s="52">
        <f t="shared" si="39"/>
        <v>160</v>
      </c>
      <c r="N51" s="232">
        <f t="shared" si="39"/>
        <v>150</v>
      </c>
      <c r="O51" s="50">
        <f t="shared" si="39"/>
        <v>330</v>
      </c>
    </row>
    <row r="52" spans="1:15" ht="15.75" thickBot="1" x14ac:dyDescent="0.3">
      <c r="A52" s="229">
        <f t="shared" si="6"/>
        <v>3519</v>
      </c>
      <c r="B52" s="230">
        <f t="shared" si="7"/>
        <v>42</v>
      </c>
      <c r="C52" s="218" t="str">
        <f t="shared" si="3"/>
        <v>L32X12#000_000_06</v>
      </c>
      <c r="D52" s="231">
        <f t="shared" si="40"/>
        <v>11.8</v>
      </c>
      <c r="E52" s="239">
        <f t="shared" si="0"/>
        <v>3.0585520000000006</v>
      </c>
      <c r="F52" s="232">
        <f t="shared" si="9"/>
        <v>25.919932203389834</v>
      </c>
      <c r="G52" s="53">
        <f t="shared" si="1"/>
        <v>20.735945762711868</v>
      </c>
      <c r="H52" s="51">
        <f t="shared" si="2"/>
        <v>12.959966101694917</v>
      </c>
      <c r="I52" s="232">
        <f t="shared" si="38"/>
        <v>8</v>
      </c>
      <c r="J52" s="232">
        <f t="shared" si="38"/>
        <v>0</v>
      </c>
      <c r="K52" s="228" t="str">
        <f>D52&amp;-6</f>
        <v>11.8-6</v>
      </c>
      <c r="L52" s="233">
        <f t="shared" si="39"/>
        <v>0.2</v>
      </c>
      <c r="M52" s="52">
        <f t="shared" si="39"/>
        <v>160</v>
      </c>
      <c r="N52" s="232">
        <f t="shared" si="39"/>
        <v>150</v>
      </c>
      <c r="O52" s="50">
        <f t="shared" si="39"/>
        <v>330</v>
      </c>
    </row>
    <row r="53" spans="1:15" ht="15.75" thickBot="1" x14ac:dyDescent="0.3">
      <c r="A53" s="229">
        <f t="shared" si="6"/>
        <v>3520</v>
      </c>
      <c r="B53" s="230">
        <f t="shared" si="7"/>
        <v>43</v>
      </c>
      <c r="C53" s="218" t="str">
        <f t="shared" si="3"/>
        <v>L32X12#000_000_07</v>
      </c>
      <c r="D53" s="231">
        <f t="shared" si="40"/>
        <v>11.8</v>
      </c>
      <c r="E53" s="239">
        <f t="shared" si="0"/>
        <v>3.0585520000000006</v>
      </c>
      <c r="F53" s="232">
        <f t="shared" si="9"/>
        <v>25.919932203389834</v>
      </c>
      <c r="G53" s="53">
        <f t="shared" si="1"/>
        <v>20.735945762711868</v>
      </c>
      <c r="H53" s="51">
        <f t="shared" si="2"/>
        <v>12.959966101694917</v>
      </c>
      <c r="I53" s="232">
        <f t="shared" si="38"/>
        <v>8</v>
      </c>
      <c r="J53" s="232">
        <f t="shared" si="38"/>
        <v>0</v>
      </c>
      <c r="K53" s="228" t="str">
        <f>D53&amp;-7</f>
        <v>11.8-7</v>
      </c>
      <c r="L53" s="233">
        <f t="shared" si="39"/>
        <v>0.2</v>
      </c>
      <c r="M53" s="52">
        <f t="shared" si="39"/>
        <v>160</v>
      </c>
      <c r="N53" s="232">
        <f t="shared" si="39"/>
        <v>150</v>
      </c>
      <c r="O53" s="50">
        <f t="shared" si="39"/>
        <v>330</v>
      </c>
    </row>
    <row r="54" spans="1:15" ht="15.75" thickBot="1" x14ac:dyDescent="0.3">
      <c r="A54" s="229">
        <f t="shared" si="6"/>
        <v>3521</v>
      </c>
      <c r="B54" s="230">
        <f t="shared" si="7"/>
        <v>44</v>
      </c>
      <c r="C54" s="218" t="str">
        <f t="shared" si="3"/>
        <v>L32X12#000_000_08</v>
      </c>
      <c r="D54" s="231">
        <f t="shared" si="40"/>
        <v>11.8</v>
      </c>
      <c r="E54" s="239">
        <f t="shared" si="0"/>
        <v>3.0585520000000006</v>
      </c>
      <c r="F54" s="232">
        <f t="shared" si="9"/>
        <v>25.919932203389834</v>
      </c>
      <c r="G54" s="53">
        <f t="shared" si="1"/>
        <v>20.735945762711868</v>
      </c>
      <c r="H54" s="51">
        <f t="shared" si="2"/>
        <v>12.959966101694917</v>
      </c>
      <c r="I54" s="232">
        <f t="shared" si="38"/>
        <v>8</v>
      </c>
      <c r="J54" s="232">
        <f t="shared" si="38"/>
        <v>0</v>
      </c>
      <c r="K54" s="228" t="str">
        <f>D54&amp;-8</f>
        <v>11.8-8</v>
      </c>
      <c r="L54" s="233">
        <f t="shared" si="39"/>
        <v>0.2</v>
      </c>
      <c r="M54" s="52">
        <f t="shared" si="39"/>
        <v>160</v>
      </c>
      <c r="N54" s="232">
        <f t="shared" si="39"/>
        <v>150</v>
      </c>
      <c r="O54" s="50">
        <f t="shared" si="39"/>
        <v>330</v>
      </c>
    </row>
    <row r="55" spans="1:15" ht="15.75" thickBot="1" x14ac:dyDescent="0.3">
      <c r="A55" s="229">
        <f t="shared" si="6"/>
        <v>3522</v>
      </c>
      <c r="B55" s="230">
        <f t="shared" si="7"/>
        <v>45</v>
      </c>
      <c r="C55" s="218" t="str">
        <f t="shared" si="3"/>
        <v>L32X12#000_000_09</v>
      </c>
      <c r="D55" s="231">
        <f t="shared" si="40"/>
        <v>11.8</v>
      </c>
      <c r="E55" s="239">
        <f t="shared" si="0"/>
        <v>3.0585520000000006</v>
      </c>
      <c r="F55" s="232">
        <f t="shared" si="9"/>
        <v>25.919932203389834</v>
      </c>
      <c r="G55" s="53">
        <f t="shared" si="1"/>
        <v>20.735945762711868</v>
      </c>
      <c r="H55" s="51">
        <f t="shared" si="2"/>
        <v>12.959966101694917</v>
      </c>
      <c r="I55" s="232">
        <f t="shared" si="38"/>
        <v>8</v>
      </c>
      <c r="J55" s="232">
        <f t="shared" si="38"/>
        <v>0</v>
      </c>
      <c r="K55" s="228" t="str">
        <f>D55&amp;-9</f>
        <v>11.8-9</v>
      </c>
      <c r="L55" s="233">
        <f t="shared" si="39"/>
        <v>0.2</v>
      </c>
      <c r="M55" s="52">
        <f t="shared" si="39"/>
        <v>160</v>
      </c>
      <c r="N55" s="232">
        <f t="shared" si="39"/>
        <v>150</v>
      </c>
      <c r="O55" s="50">
        <f t="shared" si="39"/>
        <v>330</v>
      </c>
    </row>
    <row r="56" spans="1:15" ht="15.75" thickBot="1" x14ac:dyDescent="0.3">
      <c r="A56" s="229">
        <f t="shared" si="6"/>
        <v>3523</v>
      </c>
      <c r="B56" s="230">
        <f t="shared" si="7"/>
        <v>46</v>
      </c>
      <c r="C56" s="218" t="str">
        <f t="shared" si="3"/>
        <v>L32X12#000_000_10</v>
      </c>
      <c r="D56" s="231">
        <f t="shared" si="40"/>
        <v>11.8</v>
      </c>
      <c r="E56" s="239">
        <f t="shared" si="0"/>
        <v>3.0585520000000006</v>
      </c>
      <c r="F56" s="232">
        <f t="shared" si="9"/>
        <v>25.919932203389834</v>
      </c>
      <c r="G56" s="53">
        <f t="shared" si="1"/>
        <v>20.735945762711868</v>
      </c>
      <c r="H56" s="51">
        <f t="shared" si="2"/>
        <v>12.959966101694917</v>
      </c>
      <c r="I56" s="232">
        <f t="shared" ref="I56:J70" si="41">I55</f>
        <v>8</v>
      </c>
      <c r="J56" s="232">
        <f t="shared" si="41"/>
        <v>0</v>
      </c>
      <c r="K56" s="228" t="str">
        <f>D56&amp;-10</f>
        <v>11.8-10</v>
      </c>
      <c r="L56" s="233">
        <f t="shared" ref="L56:O70" si="42">L55</f>
        <v>0.2</v>
      </c>
      <c r="M56" s="52">
        <f t="shared" si="42"/>
        <v>160</v>
      </c>
      <c r="N56" s="232">
        <f t="shared" si="42"/>
        <v>150</v>
      </c>
      <c r="O56" s="50">
        <f t="shared" si="42"/>
        <v>330</v>
      </c>
    </row>
    <row r="57" spans="1:15" ht="15.75" thickBot="1" x14ac:dyDescent="0.3">
      <c r="A57" s="229">
        <f t="shared" si="6"/>
        <v>3524</v>
      </c>
      <c r="B57" s="230">
        <f t="shared" si="7"/>
        <v>47</v>
      </c>
      <c r="C57" s="218" t="str">
        <f t="shared" si="3"/>
        <v>L32X12#000_000_11</v>
      </c>
      <c r="D57" s="231">
        <f t="shared" si="40"/>
        <v>11.8</v>
      </c>
      <c r="E57" s="239">
        <f t="shared" si="0"/>
        <v>3.0585520000000006</v>
      </c>
      <c r="F57" s="232">
        <f t="shared" si="9"/>
        <v>25.919932203389834</v>
      </c>
      <c r="G57" s="53">
        <f t="shared" si="1"/>
        <v>20.735945762711868</v>
      </c>
      <c r="H57" s="51">
        <f t="shared" si="2"/>
        <v>12.959966101694917</v>
      </c>
      <c r="I57" s="232">
        <f t="shared" si="41"/>
        <v>8</v>
      </c>
      <c r="J57" s="232">
        <f t="shared" si="41"/>
        <v>0</v>
      </c>
      <c r="K57" s="228" t="str">
        <f>D57&amp;-11</f>
        <v>11.8-11</v>
      </c>
      <c r="L57" s="233">
        <f t="shared" si="42"/>
        <v>0.2</v>
      </c>
      <c r="M57" s="52">
        <f t="shared" si="42"/>
        <v>160</v>
      </c>
      <c r="N57" s="232">
        <f t="shared" si="42"/>
        <v>150</v>
      </c>
      <c r="O57" s="50">
        <f t="shared" si="42"/>
        <v>330</v>
      </c>
    </row>
    <row r="58" spans="1:15" ht="15.75" thickBot="1" x14ac:dyDescent="0.3">
      <c r="A58" s="229">
        <f t="shared" si="6"/>
        <v>3525</v>
      </c>
      <c r="B58" s="230">
        <f t="shared" si="7"/>
        <v>48</v>
      </c>
      <c r="C58" s="218" t="str">
        <f t="shared" si="3"/>
        <v>L32X12#000_000_12</v>
      </c>
      <c r="D58" s="231">
        <f t="shared" si="40"/>
        <v>11.8</v>
      </c>
      <c r="E58" s="239">
        <f t="shared" si="0"/>
        <v>3.0585520000000006</v>
      </c>
      <c r="F58" s="232">
        <f t="shared" si="9"/>
        <v>25.919932203389834</v>
      </c>
      <c r="G58" s="53">
        <f t="shared" si="1"/>
        <v>20.735945762711868</v>
      </c>
      <c r="H58" s="51">
        <f t="shared" si="2"/>
        <v>12.959966101694917</v>
      </c>
      <c r="I58" s="232">
        <f t="shared" si="41"/>
        <v>8</v>
      </c>
      <c r="J58" s="232">
        <f t="shared" si="41"/>
        <v>0</v>
      </c>
      <c r="K58" s="228" t="str">
        <f>D58&amp;-12</f>
        <v>11.8-12</v>
      </c>
      <c r="L58" s="233">
        <f t="shared" si="42"/>
        <v>0.2</v>
      </c>
      <c r="M58" s="52">
        <f t="shared" si="42"/>
        <v>160</v>
      </c>
      <c r="N58" s="232">
        <f t="shared" si="42"/>
        <v>150</v>
      </c>
      <c r="O58" s="50">
        <f t="shared" si="42"/>
        <v>330</v>
      </c>
    </row>
    <row r="59" spans="1:15" ht="15.75" thickBot="1" x14ac:dyDescent="0.3">
      <c r="A59" s="229">
        <f t="shared" si="6"/>
        <v>3526</v>
      </c>
      <c r="B59" s="230">
        <f t="shared" si="7"/>
        <v>49</v>
      </c>
      <c r="C59" s="218" t="str">
        <f t="shared" si="3"/>
        <v>L32X25#000_000_01</v>
      </c>
      <c r="D59" s="231">
        <f t="shared" ref="D59:D70" si="43">v_out</f>
        <v>25</v>
      </c>
      <c r="E59" s="239">
        <f t="shared" si="0"/>
        <v>3.9566800000000004</v>
      </c>
      <c r="F59" s="232">
        <f t="shared" si="9"/>
        <v>15.826720000000002</v>
      </c>
      <c r="G59" s="53">
        <f t="shared" si="1"/>
        <v>12.661376000000002</v>
      </c>
      <c r="H59" s="51">
        <f t="shared" si="2"/>
        <v>7.9133600000000008</v>
      </c>
      <c r="I59" s="232">
        <f t="shared" si="41"/>
        <v>8</v>
      </c>
      <c r="J59" s="232">
        <f t="shared" si="41"/>
        <v>0</v>
      </c>
      <c r="K59" s="228" t="str">
        <f>D59&amp;-1</f>
        <v>25-1</v>
      </c>
      <c r="L59" s="233">
        <f t="shared" si="42"/>
        <v>0.2</v>
      </c>
      <c r="M59" s="52">
        <f t="shared" si="42"/>
        <v>160</v>
      </c>
      <c r="N59" s="232">
        <f t="shared" si="42"/>
        <v>150</v>
      </c>
      <c r="O59" s="50">
        <f t="shared" si="42"/>
        <v>330</v>
      </c>
    </row>
    <row r="60" spans="1:15" ht="15.75" thickBot="1" x14ac:dyDescent="0.3">
      <c r="A60" s="229">
        <f t="shared" si="6"/>
        <v>3527</v>
      </c>
      <c r="B60" s="230">
        <f t="shared" si="7"/>
        <v>50</v>
      </c>
      <c r="C60" s="218" t="str">
        <f t="shared" si="3"/>
        <v>L32X25#000_000_02</v>
      </c>
      <c r="D60" s="231">
        <f t="shared" si="43"/>
        <v>25</v>
      </c>
      <c r="E60" s="239">
        <f t="shared" si="0"/>
        <v>3.9566800000000004</v>
      </c>
      <c r="F60" s="232">
        <f t="shared" si="9"/>
        <v>15.826720000000002</v>
      </c>
      <c r="G60" s="53">
        <f t="shared" si="1"/>
        <v>12.661376000000002</v>
      </c>
      <c r="H60" s="51">
        <f t="shared" si="2"/>
        <v>7.9133600000000008</v>
      </c>
      <c r="I60" s="232">
        <f t="shared" si="41"/>
        <v>8</v>
      </c>
      <c r="J60" s="232">
        <f t="shared" si="41"/>
        <v>0</v>
      </c>
      <c r="K60" s="228" t="str">
        <f>D60&amp;-2</f>
        <v>25-2</v>
      </c>
      <c r="L60" s="233">
        <f t="shared" si="42"/>
        <v>0.2</v>
      </c>
      <c r="M60" s="52">
        <f t="shared" si="42"/>
        <v>160</v>
      </c>
      <c r="N60" s="232">
        <f t="shared" si="42"/>
        <v>150</v>
      </c>
      <c r="O60" s="50">
        <f t="shared" si="42"/>
        <v>330</v>
      </c>
    </row>
    <row r="61" spans="1:15" ht="15.75" thickBot="1" x14ac:dyDescent="0.3">
      <c r="A61" s="229">
        <f t="shared" si="6"/>
        <v>3528</v>
      </c>
      <c r="B61" s="230">
        <f t="shared" si="7"/>
        <v>51</v>
      </c>
      <c r="C61" s="218" t="str">
        <f t="shared" si="3"/>
        <v>L32X25#000_000_03</v>
      </c>
      <c r="D61" s="231">
        <f t="shared" si="43"/>
        <v>25</v>
      </c>
      <c r="E61" s="239">
        <f t="shared" si="0"/>
        <v>3.9566800000000004</v>
      </c>
      <c r="F61" s="232">
        <f t="shared" si="9"/>
        <v>15.826720000000002</v>
      </c>
      <c r="G61" s="53">
        <f t="shared" si="1"/>
        <v>12.661376000000002</v>
      </c>
      <c r="H61" s="51">
        <f t="shared" si="2"/>
        <v>7.9133600000000008</v>
      </c>
      <c r="I61" s="232">
        <f t="shared" si="41"/>
        <v>8</v>
      </c>
      <c r="J61" s="232">
        <f t="shared" si="41"/>
        <v>0</v>
      </c>
      <c r="K61" s="228" t="str">
        <f>D61&amp;-3</f>
        <v>25-3</v>
      </c>
      <c r="L61" s="233">
        <f t="shared" si="42"/>
        <v>0.2</v>
      </c>
      <c r="M61" s="52">
        <f t="shared" si="42"/>
        <v>160</v>
      </c>
      <c r="N61" s="232">
        <f t="shared" si="42"/>
        <v>150</v>
      </c>
      <c r="O61" s="50">
        <f t="shared" si="42"/>
        <v>330</v>
      </c>
    </row>
    <row r="62" spans="1:15" ht="15.75" thickBot="1" x14ac:dyDescent="0.3">
      <c r="A62" s="229">
        <f t="shared" si="6"/>
        <v>3529</v>
      </c>
      <c r="B62" s="230">
        <f t="shared" si="7"/>
        <v>52</v>
      </c>
      <c r="C62" s="218" t="str">
        <f t="shared" si="3"/>
        <v>L32X25#000_000_04</v>
      </c>
      <c r="D62" s="231">
        <f t="shared" si="43"/>
        <v>25</v>
      </c>
      <c r="E62" s="239">
        <f t="shared" si="0"/>
        <v>3.9566800000000004</v>
      </c>
      <c r="F62" s="232">
        <f t="shared" si="9"/>
        <v>15.826720000000002</v>
      </c>
      <c r="G62" s="53">
        <f t="shared" si="1"/>
        <v>12.661376000000002</v>
      </c>
      <c r="H62" s="51">
        <f t="shared" si="2"/>
        <v>7.9133600000000008</v>
      </c>
      <c r="I62" s="232">
        <f t="shared" si="41"/>
        <v>8</v>
      </c>
      <c r="J62" s="232">
        <f t="shared" si="41"/>
        <v>0</v>
      </c>
      <c r="K62" s="228" t="str">
        <f>D62&amp;-4</f>
        <v>25-4</v>
      </c>
      <c r="L62" s="233">
        <f t="shared" si="42"/>
        <v>0.2</v>
      </c>
      <c r="M62" s="52">
        <f t="shared" si="42"/>
        <v>160</v>
      </c>
      <c r="N62" s="232">
        <f t="shared" si="42"/>
        <v>150</v>
      </c>
      <c r="O62" s="50">
        <f t="shared" si="42"/>
        <v>330</v>
      </c>
    </row>
    <row r="63" spans="1:15" ht="15.75" thickBot="1" x14ac:dyDescent="0.3">
      <c r="A63" s="229">
        <f t="shared" si="6"/>
        <v>3530</v>
      </c>
      <c r="B63" s="230">
        <f t="shared" si="7"/>
        <v>53</v>
      </c>
      <c r="C63" s="218" t="str">
        <f t="shared" si="3"/>
        <v>L32X25#000_000_05</v>
      </c>
      <c r="D63" s="231">
        <f t="shared" si="43"/>
        <v>25</v>
      </c>
      <c r="E63" s="239">
        <f t="shared" si="0"/>
        <v>3.9566800000000004</v>
      </c>
      <c r="F63" s="232">
        <f t="shared" si="9"/>
        <v>15.826720000000002</v>
      </c>
      <c r="G63" s="53">
        <f t="shared" si="1"/>
        <v>12.661376000000002</v>
      </c>
      <c r="H63" s="51">
        <f t="shared" si="2"/>
        <v>7.9133600000000008</v>
      </c>
      <c r="I63" s="232">
        <f t="shared" si="41"/>
        <v>8</v>
      </c>
      <c r="J63" s="232">
        <f t="shared" si="41"/>
        <v>0</v>
      </c>
      <c r="K63" s="228" t="str">
        <f>D63&amp;-5</f>
        <v>25-5</v>
      </c>
      <c r="L63" s="233">
        <f t="shared" si="42"/>
        <v>0.2</v>
      </c>
      <c r="M63" s="52">
        <f t="shared" si="42"/>
        <v>160</v>
      </c>
      <c r="N63" s="232">
        <f t="shared" si="42"/>
        <v>150</v>
      </c>
      <c r="O63" s="50">
        <f t="shared" si="42"/>
        <v>330</v>
      </c>
    </row>
    <row r="64" spans="1:15" ht="15.75" thickBot="1" x14ac:dyDescent="0.3">
      <c r="A64" s="229">
        <f t="shared" si="6"/>
        <v>3531</v>
      </c>
      <c r="B64" s="230">
        <f t="shared" si="7"/>
        <v>54</v>
      </c>
      <c r="C64" s="218" t="str">
        <f t="shared" si="3"/>
        <v>L32X25#000_000_06</v>
      </c>
      <c r="D64" s="231">
        <f t="shared" si="43"/>
        <v>25</v>
      </c>
      <c r="E64" s="239">
        <f t="shared" si="0"/>
        <v>3.9566800000000004</v>
      </c>
      <c r="F64" s="232">
        <f t="shared" si="9"/>
        <v>15.826720000000002</v>
      </c>
      <c r="G64" s="53">
        <f t="shared" si="1"/>
        <v>12.661376000000002</v>
      </c>
      <c r="H64" s="51">
        <f t="shared" si="2"/>
        <v>7.9133600000000008</v>
      </c>
      <c r="I64" s="232">
        <f t="shared" si="41"/>
        <v>8</v>
      </c>
      <c r="J64" s="232">
        <f t="shared" si="41"/>
        <v>0</v>
      </c>
      <c r="K64" s="228" t="str">
        <f>D64&amp;-6</f>
        <v>25-6</v>
      </c>
      <c r="L64" s="233">
        <f t="shared" si="42"/>
        <v>0.2</v>
      </c>
      <c r="M64" s="52">
        <f t="shared" si="42"/>
        <v>160</v>
      </c>
      <c r="N64" s="232">
        <f t="shared" si="42"/>
        <v>150</v>
      </c>
      <c r="O64" s="50">
        <f t="shared" si="42"/>
        <v>330</v>
      </c>
    </row>
    <row r="65" spans="1:15" ht="15.75" thickBot="1" x14ac:dyDescent="0.3">
      <c r="A65" s="229">
        <f t="shared" si="6"/>
        <v>3532</v>
      </c>
      <c r="B65" s="230">
        <f t="shared" si="7"/>
        <v>55</v>
      </c>
      <c r="C65" s="218" t="str">
        <f t="shared" si="3"/>
        <v>L32X25#000_000_07</v>
      </c>
      <c r="D65" s="231">
        <f t="shared" si="43"/>
        <v>25</v>
      </c>
      <c r="E65" s="239">
        <f t="shared" si="0"/>
        <v>3.9566800000000004</v>
      </c>
      <c r="F65" s="232">
        <f t="shared" si="9"/>
        <v>15.826720000000002</v>
      </c>
      <c r="G65" s="53">
        <f t="shared" si="1"/>
        <v>12.661376000000002</v>
      </c>
      <c r="H65" s="51">
        <f t="shared" si="2"/>
        <v>7.9133600000000008</v>
      </c>
      <c r="I65" s="232">
        <f t="shared" si="41"/>
        <v>8</v>
      </c>
      <c r="J65" s="232">
        <f t="shared" si="41"/>
        <v>0</v>
      </c>
      <c r="K65" s="228" t="str">
        <f>D65&amp;-7</f>
        <v>25-7</v>
      </c>
      <c r="L65" s="233">
        <f t="shared" si="42"/>
        <v>0.2</v>
      </c>
      <c r="M65" s="52">
        <f t="shared" si="42"/>
        <v>160</v>
      </c>
      <c r="N65" s="232">
        <f t="shared" si="42"/>
        <v>150</v>
      </c>
      <c r="O65" s="50">
        <f t="shared" si="42"/>
        <v>330</v>
      </c>
    </row>
    <row r="66" spans="1:15" ht="15.75" thickBot="1" x14ac:dyDescent="0.3">
      <c r="A66" s="229">
        <f t="shared" si="6"/>
        <v>3533</v>
      </c>
      <c r="B66" s="230">
        <f t="shared" si="7"/>
        <v>56</v>
      </c>
      <c r="C66" s="218" t="str">
        <f t="shared" si="3"/>
        <v>L32X25#000_000_08</v>
      </c>
      <c r="D66" s="231">
        <f t="shared" si="43"/>
        <v>25</v>
      </c>
      <c r="E66" s="239">
        <f t="shared" si="0"/>
        <v>3.9566800000000004</v>
      </c>
      <c r="F66" s="232">
        <f t="shared" si="9"/>
        <v>15.826720000000002</v>
      </c>
      <c r="G66" s="53">
        <f t="shared" si="1"/>
        <v>12.661376000000002</v>
      </c>
      <c r="H66" s="51">
        <f t="shared" si="2"/>
        <v>7.9133600000000008</v>
      </c>
      <c r="I66" s="232">
        <f t="shared" si="41"/>
        <v>8</v>
      </c>
      <c r="J66" s="232">
        <f t="shared" si="41"/>
        <v>0</v>
      </c>
      <c r="K66" s="228" t="str">
        <f>D66&amp;-8</f>
        <v>25-8</v>
      </c>
      <c r="L66" s="233">
        <f t="shared" si="42"/>
        <v>0.2</v>
      </c>
      <c r="M66" s="52">
        <f t="shared" si="42"/>
        <v>160</v>
      </c>
      <c r="N66" s="232">
        <f t="shared" si="42"/>
        <v>150</v>
      </c>
      <c r="O66" s="50">
        <f t="shared" si="42"/>
        <v>330</v>
      </c>
    </row>
    <row r="67" spans="1:15" ht="15.75" thickBot="1" x14ac:dyDescent="0.3">
      <c r="A67" s="229">
        <f t="shared" si="6"/>
        <v>3534</v>
      </c>
      <c r="B67" s="230">
        <f t="shared" si="7"/>
        <v>57</v>
      </c>
      <c r="C67" s="218" t="str">
        <f t="shared" si="3"/>
        <v>L32X25#000_000_09</v>
      </c>
      <c r="D67" s="231">
        <f t="shared" si="43"/>
        <v>25</v>
      </c>
      <c r="E67" s="239">
        <f t="shared" si="0"/>
        <v>3.9566800000000004</v>
      </c>
      <c r="F67" s="232">
        <f t="shared" si="9"/>
        <v>15.826720000000002</v>
      </c>
      <c r="G67" s="53">
        <f t="shared" si="1"/>
        <v>12.661376000000002</v>
      </c>
      <c r="H67" s="51">
        <f t="shared" si="2"/>
        <v>7.9133600000000008</v>
      </c>
      <c r="I67" s="232">
        <f t="shared" si="41"/>
        <v>8</v>
      </c>
      <c r="J67" s="232">
        <f t="shared" si="41"/>
        <v>0</v>
      </c>
      <c r="K67" s="228" t="str">
        <f>D67&amp;-9</f>
        <v>25-9</v>
      </c>
      <c r="L67" s="233">
        <f t="shared" si="42"/>
        <v>0.2</v>
      </c>
      <c r="M67" s="52">
        <f t="shared" si="42"/>
        <v>160</v>
      </c>
      <c r="N67" s="232">
        <f t="shared" si="42"/>
        <v>150</v>
      </c>
      <c r="O67" s="50">
        <f t="shared" si="42"/>
        <v>330</v>
      </c>
    </row>
    <row r="68" spans="1:15" ht="15.75" thickBot="1" x14ac:dyDescent="0.3">
      <c r="A68" s="229">
        <f t="shared" si="6"/>
        <v>3535</v>
      </c>
      <c r="B68" s="230">
        <f t="shared" si="7"/>
        <v>58</v>
      </c>
      <c r="C68" s="218" t="str">
        <f t="shared" si="3"/>
        <v>L32X25#000_000_10</v>
      </c>
      <c r="D68" s="231">
        <f t="shared" si="43"/>
        <v>25</v>
      </c>
      <c r="E68" s="239">
        <f t="shared" si="0"/>
        <v>3.9566800000000004</v>
      </c>
      <c r="F68" s="232">
        <f t="shared" si="9"/>
        <v>15.826720000000002</v>
      </c>
      <c r="G68" s="53">
        <f t="shared" si="1"/>
        <v>12.661376000000002</v>
      </c>
      <c r="H68" s="51">
        <f t="shared" si="2"/>
        <v>7.9133600000000008</v>
      </c>
      <c r="I68" s="232">
        <f t="shared" si="41"/>
        <v>8</v>
      </c>
      <c r="J68" s="232">
        <f t="shared" si="41"/>
        <v>0</v>
      </c>
      <c r="K68" s="228" t="str">
        <f>D68&amp;-10</f>
        <v>25-10</v>
      </c>
      <c r="L68" s="233">
        <f t="shared" si="42"/>
        <v>0.2</v>
      </c>
      <c r="M68" s="52">
        <f t="shared" si="42"/>
        <v>160</v>
      </c>
      <c r="N68" s="232">
        <f t="shared" si="42"/>
        <v>150</v>
      </c>
      <c r="O68" s="50">
        <f t="shared" si="42"/>
        <v>330</v>
      </c>
    </row>
    <row r="69" spans="1:15" ht="15.75" thickBot="1" x14ac:dyDescent="0.3">
      <c r="A69" s="229">
        <f t="shared" si="6"/>
        <v>3536</v>
      </c>
      <c r="B69" s="230">
        <f t="shared" si="7"/>
        <v>59</v>
      </c>
      <c r="C69" s="218" t="str">
        <f t="shared" si="3"/>
        <v>L32X25#000_000_11</v>
      </c>
      <c r="D69" s="231">
        <f t="shared" si="43"/>
        <v>25</v>
      </c>
      <c r="E69" s="239">
        <f t="shared" si="0"/>
        <v>3.9566800000000004</v>
      </c>
      <c r="F69" s="232">
        <f t="shared" si="9"/>
        <v>15.826720000000002</v>
      </c>
      <c r="G69" s="53">
        <f t="shared" si="1"/>
        <v>12.661376000000002</v>
      </c>
      <c r="H69" s="51">
        <f t="shared" si="2"/>
        <v>7.9133600000000008</v>
      </c>
      <c r="I69" s="232">
        <f t="shared" si="41"/>
        <v>8</v>
      </c>
      <c r="J69" s="232">
        <f t="shared" si="41"/>
        <v>0</v>
      </c>
      <c r="K69" s="228" t="str">
        <f>D69&amp;-11</f>
        <v>25-11</v>
      </c>
      <c r="L69" s="233">
        <f t="shared" si="42"/>
        <v>0.2</v>
      </c>
      <c r="M69" s="52">
        <f t="shared" si="42"/>
        <v>160</v>
      </c>
      <c r="N69" s="232">
        <f t="shared" si="42"/>
        <v>150</v>
      </c>
      <c r="O69" s="50">
        <f t="shared" si="42"/>
        <v>330</v>
      </c>
    </row>
    <row r="70" spans="1:15" x14ac:dyDescent="0.25">
      <c r="A70" s="229">
        <f t="shared" si="6"/>
        <v>3537</v>
      </c>
      <c r="B70" s="230">
        <f t="shared" si="7"/>
        <v>60</v>
      </c>
      <c r="C70" s="218" t="str">
        <f t="shared" si="3"/>
        <v>L32X25#000_000_12</v>
      </c>
      <c r="D70" s="231">
        <f t="shared" si="43"/>
        <v>25</v>
      </c>
      <c r="E70" s="239">
        <f t="shared" si="0"/>
        <v>3.9566800000000004</v>
      </c>
      <c r="F70" s="232">
        <f t="shared" si="9"/>
        <v>15.826720000000002</v>
      </c>
      <c r="G70" s="53">
        <f t="shared" si="1"/>
        <v>12.661376000000002</v>
      </c>
      <c r="H70" s="51">
        <f t="shared" si="2"/>
        <v>7.9133600000000008</v>
      </c>
      <c r="I70" s="232">
        <f t="shared" si="41"/>
        <v>8</v>
      </c>
      <c r="J70" s="232">
        <f t="shared" si="41"/>
        <v>0</v>
      </c>
      <c r="K70" s="228" t="str">
        <f>D70&amp;-12</f>
        <v>25-12</v>
      </c>
      <c r="L70" s="233">
        <f t="shared" si="42"/>
        <v>0.2</v>
      </c>
      <c r="M70" s="52">
        <f t="shared" si="42"/>
        <v>160</v>
      </c>
      <c r="N70" s="232">
        <f t="shared" si="42"/>
        <v>150</v>
      </c>
      <c r="O70" s="50">
        <f t="shared" si="42"/>
        <v>330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0"/>
  <sheetViews>
    <sheetView workbookViewId="0">
      <selection activeCell="T26" sqref="T26"/>
    </sheetView>
  </sheetViews>
  <sheetFormatPr defaultColWidth="9" defaultRowHeight="15" x14ac:dyDescent="0.15"/>
  <cols>
    <col min="1" max="1" width="7.875" style="217" customWidth="1"/>
    <col min="2" max="2" width="7.625" style="217" customWidth="1"/>
    <col min="3" max="3" width="31.25" style="217" customWidth="1"/>
    <col min="4" max="4" width="6.375" style="217" customWidth="1"/>
    <col min="5" max="5" width="7.25" style="217" customWidth="1"/>
    <col min="6" max="6" width="6.625" style="217" customWidth="1"/>
    <col min="7" max="7" width="7" style="217" customWidth="1"/>
    <col min="8" max="8" width="8.625" style="217" bestFit="1" customWidth="1"/>
    <col min="9" max="9" width="7.25" style="217" customWidth="1"/>
    <col min="10" max="10" width="9" style="217"/>
    <col min="11" max="11" width="7.625" style="217" customWidth="1"/>
    <col min="12" max="12" width="9.75" style="217" bestFit="1" customWidth="1"/>
    <col min="13" max="13" width="7.125" style="217" customWidth="1"/>
    <col min="14" max="14" width="7.625" style="217" customWidth="1"/>
    <col min="15" max="15" width="7.375" style="217" customWidth="1"/>
    <col min="16" max="16" width="8.125" style="217" customWidth="1"/>
    <col min="17" max="18" width="9" style="217"/>
    <col min="19" max="19" width="16.25" style="217" customWidth="1"/>
    <col min="20" max="20" width="9.625" style="217" customWidth="1"/>
    <col min="21" max="16384" width="9" style="217"/>
  </cols>
  <sheetData>
    <row r="1" spans="1:20" x14ac:dyDescent="0.15">
      <c r="H1" s="216" t="s">
        <v>3841</v>
      </c>
      <c r="I1" s="216" t="s">
        <v>3962</v>
      </c>
    </row>
    <row r="2" spans="1:20" x14ac:dyDescent="0.15">
      <c r="B2" s="216" t="s">
        <v>901</v>
      </c>
      <c r="C2" s="216"/>
      <c r="D2" s="216"/>
      <c r="E2" s="216"/>
      <c r="H2" s="216"/>
      <c r="I2" s="216" t="s">
        <v>3947</v>
      </c>
      <c r="P2" s="120"/>
      <c r="S2" s="216" t="s">
        <v>3842</v>
      </c>
      <c r="T2" s="216"/>
    </row>
    <row r="3" spans="1:20" x14ac:dyDescent="0.15">
      <c r="B3" s="216" t="s">
        <v>3843</v>
      </c>
      <c r="C3" s="216"/>
      <c r="D3" s="216"/>
      <c r="E3" s="216" t="s">
        <v>3844</v>
      </c>
      <c r="H3" s="216"/>
      <c r="I3" s="240" t="s">
        <v>3939</v>
      </c>
      <c r="S3" s="216" t="s">
        <v>3845</v>
      </c>
      <c r="T3" s="216"/>
    </row>
    <row r="4" spans="1:20" x14ac:dyDescent="0.15">
      <c r="B4" s="216" t="s">
        <v>89</v>
      </c>
      <c r="C4" s="216"/>
      <c r="D4" s="216"/>
      <c r="E4" s="216" t="s">
        <v>239</v>
      </c>
      <c r="H4" s="216"/>
      <c r="I4" s="216" t="s">
        <v>3964</v>
      </c>
      <c r="S4" s="120" t="s">
        <v>978</v>
      </c>
      <c r="T4" s="119">
        <f>start_rpm</f>
        <v>0</v>
      </c>
    </row>
    <row r="5" spans="1:20" x14ac:dyDescent="0.15">
      <c r="B5" s="216" t="s">
        <v>91</v>
      </c>
      <c r="C5" s="216"/>
      <c r="D5" s="216"/>
      <c r="E5" s="216" t="s">
        <v>3846</v>
      </c>
      <c r="I5" s="240" t="s">
        <v>3940</v>
      </c>
      <c r="S5" s="120" t="s">
        <v>979</v>
      </c>
      <c r="T5" s="119">
        <f>start_pitch</f>
        <v>90</v>
      </c>
    </row>
    <row r="6" spans="1:20" x14ac:dyDescent="0.15">
      <c r="B6" s="216" t="s">
        <v>3650</v>
      </c>
      <c r="C6" s="216"/>
      <c r="D6" s="216"/>
      <c r="E6" s="216" t="s">
        <v>3847</v>
      </c>
      <c r="I6" s="216" t="s">
        <v>3932</v>
      </c>
      <c r="S6" s="216" t="s">
        <v>3848</v>
      </c>
      <c r="T6" s="119">
        <f>t_startup_50_power</f>
        <v>20</v>
      </c>
    </row>
    <row r="7" spans="1:20" x14ac:dyDescent="0.15">
      <c r="A7" s="139"/>
      <c r="B7" s="139"/>
      <c r="C7" s="139"/>
      <c r="D7" s="139"/>
      <c r="E7" s="139"/>
      <c r="F7" s="139"/>
      <c r="G7" s="139"/>
      <c r="H7" s="139"/>
      <c r="I7" s="216" t="s">
        <v>3930</v>
      </c>
      <c r="J7" s="139"/>
      <c r="K7" s="139"/>
      <c r="L7" s="139"/>
      <c r="M7" s="139"/>
      <c r="N7" s="139"/>
      <c r="O7" s="139"/>
      <c r="P7" s="139"/>
      <c r="S7" s="216" t="s">
        <v>3849</v>
      </c>
      <c r="T7" s="119">
        <f>t_startup_95_power</f>
        <v>26</v>
      </c>
    </row>
    <row r="8" spans="1:20" ht="15.75" thickBot="1" x14ac:dyDescent="0.2">
      <c r="A8" s="139">
        <v>1</v>
      </c>
      <c r="B8" s="139">
        <v>2</v>
      </c>
      <c r="C8" s="139">
        <v>3</v>
      </c>
      <c r="D8" s="139">
        <v>4</v>
      </c>
      <c r="E8" s="139">
        <v>5</v>
      </c>
      <c r="F8" s="139">
        <v>6</v>
      </c>
      <c r="G8" s="139">
        <v>7</v>
      </c>
      <c r="H8" s="139">
        <v>8</v>
      </c>
      <c r="I8" s="139">
        <v>9</v>
      </c>
      <c r="J8" s="139">
        <v>10</v>
      </c>
      <c r="K8" s="139">
        <v>11</v>
      </c>
      <c r="L8" s="139">
        <v>12</v>
      </c>
      <c r="M8" s="139">
        <v>13</v>
      </c>
      <c r="N8" s="139">
        <v>14</v>
      </c>
      <c r="O8" s="139">
        <v>15</v>
      </c>
      <c r="P8" s="139">
        <v>16</v>
      </c>
      <c r="Q8" s="139">
        <v>17</v>
      </c>
      <c r="R8" s="139">
        <v>18</v>
      </c>
      <c r="S8" s="139">
        <v>19</v>
      </c>
      <c r="T8" s="139">
        <v>20</v>
      </c>
    </row>
    <row r="9" spans="1:20" x14ac:dyDescent="0.25">
      <c r="A9" s="218" t="s">
        <v>97</v>
      </c>
      <c r="B9" s="219" t="s">
        <v>96</v>
      </c>
      <c r="C9" s="218" t="s">
        <v>0</v>
      </c>
      <c r="D9" s="219" t="s">
        <v>3850</v>
      </c>
      <c r="E9" s="236" t="s">
        <v>142</v>
      </c>
      <c r="F9" s="62" t="s">
        <v>152</v>
      </c>
      <c r="G9" s="247" t="s">
        <v>3851</v>
      </c>
      <c r="H9" s="221" t="s">
        <v>3852</v>
      </c>
      <c r="I9" s="234" t="s">
        <v>3853</v>
      </c>
      <c r="J9" s="219" t="s">
        <v>3854</v>
      </c>
      <c r="K9" s="219" t="s">
        <v>144</v>
      </c>
      <c r="L9" s="219" t="s">
        <v>3857</v>
      </c>
      <c r="M9" s="219" t="s">
        <v>141</v>
      </c>
      <c r="N9" s="219" t="s">
        <v>941</v>
      </c>
      <c r="O9" s="221" t="s">
        <v>138</v>
      </c>
      <c r="P9" s="221" t="s">
        <v>139</v>
      </c>
    </row>
    <row r="10" spans="1:20" ht="15.75" thickBot="1" x14ac:dyDescent="0.3">
      <c r="A10" s="222" t="s">
        <v>3666</v>
      </c>
      <c r="B10" s="223" t="str">
        <f>B2</f>
        <v>DLC33</v>
      </c>
      <c r="C10" s="222"/>
      <c r="D10" s="223" t="s">
        <v>4</v>
      </c>
      <c r="E10" s="237" t="s">
        <v>4</v>
      </c>
      <c r="F10" s="237" t="s">
        <v>14</v>
      </c>
      <c r="G10" s="223" t="s">
        <v>6</v>
      </c>
      <c r="H10" s="225"/>
      <c r="I10" s="225" t="s">
        <v>3855</v>
      </c>
      <c r="J10" s="225" t="s">
        <v>7</v>
      </c>
      <c r="K10" s="223" t="s">
        <v>6</v>
      </c>
      <c r="L10" s="223" t="s">
        <v>3856</v>
      </c>
      <c r="M10" s="223"/>
      <c r="N10" s="225" t="s">
        <v>3855</v>
      </c>
      <c r="O10" s="225" t="s">
        <v>7</v>
      </c>
      <c r="P10" s="225" t="s">
        <v>7</v>
      </c>
    </row>
    <row r="11" spans="1:20" ht="15.75" thickBot="1" x14ac:dyDescent="0.3">
      <c r="A11" s="218">
        <f>'DLC32'!A70+1</f>
        <v>3538</v>
      </c>
      <c r="B11" s="221">
        <v>1</v>
      </c>
      <c r="C11" s="218" t="str">
        <f>TEXT(RIGHT($B$2,LEN($B$2)-3),"L00")&amp;IF(G11&gt;0,"A","B")&amp;TEXT(D11,"00")&amp;"-"&amp;IF(L11&lt;0,TEXT(360+L11,"000"),TEXT(L11,"000"))&amp;"_"&amp;"000"&amp;"_01"</f>
        <v>L33A03-000_000_01</v>
      </c>
      <c r="D11" s="226">
        <f>v_in</f>
        <v>3</v>
      </c>
      <c r="E11" s="238">
        <f t="shared" ref="E11:E34" si="0">I_ref*(0.75*D11+5.6)</f>
        <v>1.099</v>
      </c>
      <c r="F11" s="238">
        <f t="shared" ref="F11:F34" si="1">tur_scale</f>
        <v>42</v>
      </c>
      <c r="G11" s="51">
        <f>4*ATAN(E11/(D11*(1+0.1*(diameter/F11))))*180/PI()</f>
        <v>60.830619261557693</v>
      </c>
      <c r="H11" s="230" t="s">
        <v>12</v>
      </c>
      <c r="I11" s="50">
        <f>EDCT_t</f>
        <v>6</v>
      </c>
      <c r="J11" s="235">
        <f>trig_t+t_startup_50_power</f>
        <v>180</v>
      </c>
      <c r="K11" s="227">
        <f>inflow</f>
        <v>8</v>
      </c>
      <c r="L11" s="227">
        <f>yaw_null</f>
        <v>0</v>
      </c>
      <c r="M11" s="193">
        <f>alpha_n</f>
        <v>0.2</v>
      </c>
      <c r="N11" s="52">
        <f>trig_t</f>
        <v>160</v>
      </c>
      <c r="O11" s="227">
        <f>t_out</f>
        <v>150</v>
      </c>
      <c r="P11" s="50">
        <f>O11+T_s2</f>
        <v>210</v>
      </c>
    </row>
    <row r="12" spans="1:20" ht="15.75" thickBot="1" x14ac:dyDescent="0.3">
      <c r="A12" s="229">
        <f>A11+1</f>
        <v>3539</v>
      </c>
      <c r="B12" s="230">
        <f>B11+1</f>
        <v>2</v>
      </c>
      <c r="C12" s="218" t="str">
        <f>TEXT(RIGHT($B$2,LEN($B$2)-3),"L00")&amp;IF(G12&gt;0,"A","B")&amp;TEXT(D12,"00")&amp;"-"&amp;IF(L12&lt;0,TEXT(360+L12,"000"),TEXT(L12,"000"))&amp;"_"&amp;"000"&amp;"_02"</f>
        <v>L33A03-000_000_02</v>
      </c>
      <c r="D12" s="231">
        <f>D11</f>
        <v>3</v>
      </c>
      <c r="E12" s="239">
        <f t="shared" si="0"/>
        <v>1.099</v>
      </c>
      <c r="F12" s="239">
        <f t="shared" si="1"/>
        <v>42</v>
      </c>
      <c r="G12" s="53">
        <f>G11</f>
        <v>60.830619261557693</v>
      </c>
      <c r="H12" s="230" t="str">
        <f t="shared" ref="H12:P34" si="2">H11</f>
        <v>Half</v>
      </c>
      <c r="I12" s="50">
        <f t="shared" si="2"/>
        <v>6</v>
      </c>
      <c r="J12" s="235">
        <f>trig_t+t_startup_50_power+(t_startup_95_power-t_startup_50_power)/3</f>
        <v>182</v>
      </c>
      <c r="K12" s="232">
        <f t="shared" si="2"/>
        <v>8</v>
      </c>
      <c r="L12" s="232">
        <f t="shared" si="2"/>
        <v>0</v>
      </c>
      <c r="M12" s="233">
        <f t="shared" si="2"/>
        <v>0.2</v>
      </c>
      <c r="N12" s="52">
        <f>N11</f>
        <v>160</v>
      </c>
      <c r="O12" s="232">
        <f>O11</f>
        <v>150</v>
      </c>
      <c r="P12" s="50">
        <f>P11</f>
        <v>210</v>
      </c>
    </row>
    <row r="13" spans="1:20" ht="15.75" thickBot="1" x14ac:dyDescent="0.3">
      <c r="A13" s="229">
        <f t="shared" ref="A13:A50" si="3">A12+1</f>
        <v>3540</v>
      </c>
      <c r="B13" s="230">
        <f t="shared" ref="B13:B50" si="4">B12+1</f>
        <v>3</v>
      </c>
      <c r="C13" s="218" t="str">
        <f>TEXT(RIGHT($B$2,LEN($B$2)-3),"L00")&amp;IF(G13&gt;0,"A","B")&amp;TEXT(D13,"00")&amp;"-"&amp;IF(L13&lt;0,TEXT(360+L13,"000"),TEXT(L13,"000"))&amp;"_"&amp;"000"&amp;"_03"</f>
        <v>L33A03-000_000_03</v>
      </c>
      <c r="D13" s="231">
        <f t="shared" ref="D13:D18" si="5">D12</f>
        <v>3</v>
      </c>
      <c r="E13" s="239">
        <f t="shared" si="0"/>
        <v>1.099</v>
      </c>
      <c r="F13" s="239">
        <f t="shared" si="1"/>
        <v>42</v>
      </c>
      <c r="G13" s="53">
        <f>G12</f>
        <v>60.830619261557693</v>
      </c>
      <c r="H13" s="230" t="str">
        <f t="shared" si="2"/>
        <v>Half</v>
      </c>
      <c r="I13" s="50">
        <f t="shared" si="2"/>
        <v>6</v>
      </c>
      <c r="J13" s="235">
        <f>trig_t+t_startup_50_power+(t_startup_95_power-t_startup_50_power)*2/3</f>
        <v>184</v>
      </c>
      <c r="K13" s="232">
        <f t="shared" si="2"/>
        <v>8</v>
      </c>
      <c r="L13" s="232">
        <f t="shared" si="2"/>
        <v>0</v>
      </c>
      <c r="M13" s="233">
        <f t="shared" si="2"/>
        <v>0.2</v>
      </c>
      <c r="N13" s="52">
        <f t="shared" si="2"/>
        <v>160</v>
      </c>
      <c r="O13" s="232">
        <f t="shared" si="2"/>
        <v>150</v>
      </c>
      <c r="P13" s="50">
        <f t="shared" si="2"/>
        <v>210</v>
      </c>
    </row>
    <row r="14" spans="1:20" ht="15.75" thickBot="1" x14ac:dyDescent="0.3">
      <c r="A14" s="229">
        <f t="shared" si="3"/>
        <v>3541</v>
      </c>
      <c r="B14" s="230">
        <f t="shared" si="4"/>
        <v>4</v>
      </c>
      <c r="C14" s="218" t="str">
        <f>TEXT(RIGHT($B$2,LEN($B$2)-3),"L00")&amp;IF(G14&gt;0,"A","B")&amp;TEXT(D14,"00")&amp;"-"&amp;IF(L14&lt;0,TEXT(360+L14,"000"),TEXT(L14,"000"))&amp;"_"&amp;"000"&amp;"_04"</f>
        <v>L33A03-000_000_04</v>
      </c>
      <c r="D14" s="231">
        <f t="shared" si="5"/>
        <v>3</v>
      </c>
      <c r="E14" s="239">
        <f t="shared" si="0"/>
        <v>1.099</v>
      </c>
      <c r="F14" s="239">
        <f t="shared" si="1"/>
        <v>42</v>
      </c>
      <c r="G14" s="53">
        <f t="shared" ref="G14:G18" si="6">G13</f>
        <v>60.830619261557693</v>
      </c>
      <c r="H14" s="230" t="str">
        <f t="shared" si="2"/>
        <v>Half</v>
      </c>
      <c r="I14" s="50">
        <f t="shared" si="2"/>
        <v>6</v>
      </c>
      <c r="J14" s="235">
        <f>trig_t+t_startup_95_power</f>
        <v>186</v>
      </c>
      <c r="K14" s="232">
        <f t="shared" si="2"/>
        <v>8</v>
      </c>
      <c r="L14" s="232">
        <f t="shared" si="2"/>
        <v>0</v>
      </c>
      <c r="M14" s="233">
        <f t="shared" si="2"/>
        <v>0.2</v>
      </c>
      <c r="N14" s="52">
        <f t="shared" si="2"/>
        <v>160</v>
      </c>
      <c r="O14" s="232">
        <f t="shared" si="2"/>
        <v>150</v>
      </c>
      <c r="P14" s="50">
        <f t="shared" si="2"/>
        <v>210</v>
      </c>
    </row>
    <row r="15" spans="1:20" ht="15.75" thickBot="1" x14ac:dyDescent="0.3">
      <c r="A15" s="229">
        <f t="shared" si="3"/>
        <v>3542</v>
      </c>
      <c r="B15" s="230">
        <f t="shared" si="4"/>
        <v>5</v>
      </c>
      <c r="C15" s="218" t="str">
        <f>TEXT(RIGHT($B$2,LEN($B$2)-3),"L00")&amp;IF(G15&gt;0,"A","B")&amp;TEXT(D15,"00")&amp;"-"&amp;IF(L15&lt;0,TEXT(360+L15,"000"),TEXT(L15,"000"))&amp;"_"&amp;"000"&amp;"_01"</f>
        <v>L33B03-000_000_01</v>
      </c>
      <c r="D15" s="231">
        <f t="shared" si="5"/>
        <v>3</v>
      </c>
      <c r="E15" s="239">
        <f t="shared" si="0"/>
        <v>1.099</v>
      </c>
      <c r="F15" s="239">
        <f t="shared" si="1"/>
        <v>42</v>
      </c>
      <c r="G15" s="51">
        <f>-4*ATAN(E15/(D15*(1+0.1*(diameter/F15))))*180/PI()</f>
        <v>-60.830619261557693</v>
      </c>
      <c r="H15" s="230" t="str">
        <f t="shared" si="2"/>
        <v>Half</v>
      </c>
      <c r="I15" s="50">
        <f t="shared" si="2"/>
        <v>6</v>
      </c>
      <c r="J15" s="235">
        <f>trig_t+t_startup_50_power</f>
        <v>180</v>
      </c>
      <c r="K15" s="232">
        <f t="shared" si="2"/>
        <v>8</v>
      </c>
      <c r="L15" s="232">
        <f t="shared" si="2"/>
        <v>0</v>
      </c>
      <c r="M15" s="233">
        <f t="shared" si="2"/>
        <v>0.2</v>
      </c>
      <c r="N15" s="52">
        <f t="shared" si="2"/>
        <v>160</v>
      </c>
      <c r="O15" s="232">
        <f t="shared" si="2"/>
        <v>150</v>
      </c>
      <c r="P15" s="50">
        <f t="shared" si="2"/>
        <v>210</v>
      </c>
    </row>
    <row r="16" spans="1:20" ht="15.75" thickBot="1" x14ac:dyDescent="0.3">
      <c r="A16" s="229">
        <f t="shared" si="3"/>
        <v>3543</v>
      </c>
      <c r="B16" s="230">
        <f t="shared" si="4"/>
        <v>6</v>
      </c>
      <c r="C16" s="218" t="str">
        <f>TEXT(RIGHT($B$2,LEN($B$2)-3),"L00")&amp;IF(G16&gt;0,"A","B")&amp;TEXT(D16,"00")&amp;"-"&amp;IF(L16&lt;0,TEXT(360+L16,"000"),TEXT(L16,"000"))&amp;"_"&amp;"000"&amp;"_02"</f>
        <v>L33B03-000_000_02</v>
      </c>
      <c r="D16" s="231">
        <f t="shared" si="5"/>
        <v>3</v>
      </c>
      <c r="E16" s="239">
        <f t="shared" si="0"/>
        <v>1.099</v>
      </c>
      <c r="F16" s="239">
        <f t="shared" si="1"/>
        <v>42</v>
      </c>
      <c r="G16" s="53">
        <f t="shared" si="6"/>
        <v>-60.830619261557693</v>
      </c>
      <c r="H16" s="230" t="str">
        <f t="shared" si="2"/>
        <v>Half</v>
      </c>
      <c r="I16" s="50">
        <f t="shared" si="2"/>
        <v>6</v>
      </c>
      <c r="J16" s="235">
        <f>trig_t+t_startup_50_power+(t_startup_95_power-t_startup_50_power)/3</f>
        <v>182</v>
      </c>
      <c r="K16" s="232">
        <f t="shared" si="2"/>
        <v>8</v>
      </c>
      <c r="L16" s="232">
        <f t="shared" si="2"/>
        <v>0</v>
      </c>
      <c r="M16" s="233">
        <f t="shared" si="2"/>
        <v>0.2</v>
      </c>
      <c r="N16" s="52">
        <f t="shared" si="2"/>
        <v>160</v>
      </c>
      <c r="O16" s="232">
        <f t="shared" si="2"/>
        <v>150</v>
      </c>
      <c r="P16" s="50">
        <f t="shared" si="2"/>
        <v>210</v>
      </c>
    </row>
    <row r="17" spans="1:16" ht="15.75" thickBot="1" x14ac:dyDescent="0.3">
      <c r="A17" s="229">
        <f t="shared" si="3"/>
        <v>3544</v>
      </c>
      <c r="B17" s="230">
        <f t="shared" si="4"/>
        <v>7</v>
      </c>
      <c r="C17" s="218" t="str">
        <f>TEXT(RIGHT($B$2,LEN($B$2)-3),"L00")&amp;IF(G17&gt;0,"A","B")&amp;TEXT(D17,"00")&amp;"-"&amp;IF(L17&lt;0,TEXT(360+L17,"000"),TEXT(L17,"000"))&amp;"_"&amp;"000"&amp;"_03"</f>
        <v>L33B03-000_000_03</v>
      </c>
      <c r="D17" s="231">
        <f t="shared" si="5"/>
        <v>3</v>
      </c>
      <c r="E17" s="239">
        <f t="shared" si="0"/>
        <v>1.099</v>
      </c>
      <c r="F17" s="239">
        <f t="shared" si="1"/>
        <v>42</v>
      </c>
      <c r="G17" s="53">
        <f t="shared" si="6"/>
        <v>-60.830619261557693</v>
      </c>
      <c r="H17" s="230" t="str">
        <f t="shared" si="2"/>
        <v>Half</v>
      </c>
      <c r="I17" s="50">
        <f t="shared" si="2"/>
        <v>6</v>
      </c>
      <c r="J17" s="235">
        <f>trig_t+t_startup_50_power+(t_startup_95_power-t_startup_50_power)*2/3</f>
        <v>184</v>
      </c>
      <c r="K17" s="232">
        <f t="shared" si="2"/>
        <v>8</v>
      </c>
      <c r="L17" s="232">
        <f t="shared" si="2"/>
        <v>0</v>
      </c>
      <c r="M17" s="233">
        <f t="shared" si="2"/>
        <v>0.2</v>
      </c>
      <c r="N17" s="52">
        <f t="shared" si="2"/>
        <v>160</v>
      </c>
      <c r="O17" s="232">
        <f t="shared" si="2"/>
        <v>150</v>
      </c>
      <c r="P17" s="50">
        <f t="shared" si="2"/>
        <v>210</v>
      </c>
    </row>
    <row r="18" spans="1:16" ht="15.75" thickBot="1" x14ac:dyDescent="0.3">
      <c r="A18" s="229">
        <f t="shared" si="3"/>
        <v>3545</v>
      </c>
      <c r="B18" s="230">
        <f t="shared" si="4"/>
        <v>8</v>
      </c>
      <c r="C18" s="218" t="str">
        <f>TEXT(RIGHT($B$2,LEN($B$2)-3),"L00")&amp;IF(G18&gt;0,"A","B")&amp;TEXT(D18,"00")&amp;"-"&amp;IF(L18&lt;0,TEXT(360+L18,"000"),TEXT(L18,"000"))&amp;"_"&amp;"000"&amp;"_04"</f>
        <v>L33B03-000_000_04</v>
      </c>
      <c r="D18" s="231">
        <f t="shared" si="5"/>
        <v>3</v>
      </c>
      <c r="E18" s="239">
        <f t="shared" si="0"/>
        <v>1.099</v>
      </c>
      <c r="F18" s="239">
        <f t="shared" si="1"/>
        <v>42</v>
      </c>
      <c r="G18" s="53">
        <f t="shared" si="6"/>
        <v>-60.830619261557693</v>
      </c>
      <c r="H18" s="230" t="str">
        <f t="shared" si="2"/>
        <v>Half</v>
      </c>
      <c r="I18" s="50">
        <f t="shared" si="2"/>
        <v>6</v>
      </c>
      <c r="J18" s="235">
        <f>trig_t+t_startup_95_power</f>
        <v>186</v>
      </c>
      <c r="K18" s="232">
        <f t="shared" si="2"/>
        <v>8</v>
      </c>
      <c r="L18" s="232">
        <f t="shared" si="2"/>
        <v>0</v>
      </c>
      <c r="M18" s="233">
        <f t="shared" si="2"/>
        <v>0.2</v>
      </c>
      <c r="N18" s="52">
        <f t="shared" si="2"/>
        <v>160</v>
      </c>
      <c r="O18" s="232">
        <f t="shared" si="2"/>
        <v>150</v>
      </c>
      <c r="P18" s="50">
        <f t="shared" si="2"/>
        <v>210</v>
      </c>
    </row>
    <row r="19" spans="1:16" ht="15.75" thickBot="1" x14ac:dyDescent="0.3">
      <c r="A19" s="229">
        <f t="shared" si="3"/>
        <v>3546</v>
      </c>
      <c r="B19" s="230">
        <f t="shared" si="4"/>
        <v>9</v>
      </c>
      <c r="C19" s="218" t="str">
        <f>TEXT(RIGHT($B$2,LEN($B$2)-3),"L00")&amp;IF(G19&gt;0,"A","B")&amp;TEXT(D19,"00")&amp;"-"&amp;IF(L19&lt;0,TEXT(360+L19,"000"),TEXT(L19,"000"))&amp;"_"&amp;"000"&amp;"_01"</f>
        <v>L33A08-000_000_01</v>
      </c>
      <c r="D19" s="226">
        <f>vr_b</f>
        <v>7.8000000000000007</v>
      </c>
      <c r="E19" s="238">
        <f t="shared" ref="E19:E26" si="7">I_ref*(0.75*D19+5.6)</f>
        <v>1.603</v>
      </c>
      <c r="F19" s="238">
        <f t="shared" si="1"/>
        <v>42</v>
      </c>
      <c r="G19" s="51">
        <f>4*ATAN(E19/(D19*(1+0.1*(diameter/F19))))*180/PI()</f>
        <v>34.683358012170793</v>
      </c>
      <c r="H19" s="230" t="s">
        <v>12</v>
      </c>
      <c r="I19" s="50">
        <f>EDCT_t</f>
        <v>6</v>
      </c>
      <c r="J19" s="235">
        <f>trig_t+t_startup_50_power</f>
        <v>180</v>
      </c>
      <c r="K19" s="227">
        <f>inflow</f>
        <v>8</v>
      </c>
      <c r="L19" s="227">
        <f>yaw_null</f>
        <v>0</v>
      </c>
      <c r="M19" s="193">
        <f>alpha_n</f>
        <v>0.2</v>
      </c>
      <c r="N19" s="52">
        <f>trig_t</f>
        <v>160</v>
      </c>
      <c r="O19" s="227">
        <f>t_out</f>
        <v>150</v>
      </c>
      <c r="P19" s="50">
        <f>O19+T_s2</f>
        <v>210</v>
      </c>
    </row>
    <row r="20" spans="1:16" ht="15.75" thickBot="1" x14ac:dyDescent="0.3">
      <c r="A20" s="229">
        <f t="shared" si="3"/>
        <v>3547</v>
      </c>
      <c r="B20" s="230">
        <f t="shared" si="4"/>
        <v>10</v>
      </c>
      <c r="C20" s="218" t="str">
        <f>TEXT(RIGHT($B$2,LEN($B$2)-3),"L00")&amp;IF(G20&gt;0,"A","B")&amp;TEXT(D20,"00")&amp;"-"&amp;IF(L20&lt;0,TEXT(360+L20,"000"),TEXT(L20,"000"))&amp;"_"&amp;"000"&amp;"_02"</f>
        <v>L33A08-000_000_02</v>
      </c>
      <c r="D20" s="231">
        <f>D19</f>
        <v>7.8000000000000007</v>
      </c>
      <c r="E20" s="239">
        <f t="shared" si="7"/>
        <v>1.603</v>
      </c>
      <c r="F20" s="239">
        <f t="shared" si="1"/>
        <v>42</v>
      </c>
      <c r="G20" s="53">
        <f>G19</f>
        <v>34.683358012170793</v>
      </c>
      <c r="H20" s="230" t="str">
        <f t="shared" ref="H20:I20" si="8">H19</f>
        <v>Half</v>
      </c>
      <c r="I20" s="50">
        <f t="shared" si="8"/>
        <v>6</v>
      </c>
      <c r="J20" s="235">
        <f>trig_t+t_startup_50_power+(t_startup_95_power-t_startup_50_power)/3</f>
        <v>182</v>
      </c>
      <c r="K20" s="232">
        <f t="shared" ref="K20:M20" si="9">K19</f>
        <v>8</v>
      </c>
      <c r="L20" s="232">
        <f t="shared" si="9"/>
        <v>0</v>
      </c>
      <c r="M20" s="233">
        <f t="shared" si="9"/>
        <v>0.2</v>
      </c>
      <c r="N20" s="52">
        <f>N19</f>
        <v>160</v>
      </c>
      <c r="O20" s="232">
        <f>O19</f>
        <v>150</v>
      </c>
      <c r="P20" s="50">
        <f>P19</f>
        <v>210</v>
      </c>
    </row>
    <row r="21" spans="1:16" ht="15.75" thickBot="1" x14ac:dyDescent="0.3">
      <c r="A21" s="229">
        <f t="shared" si="3"/>
        <v>3548</v>
      </c>
      <c r="B21" s="230">
        <f t="shared" si="4"/>
        <v>11</v>
      </c>
      <c r="C21" s="218" t="str">
        <f>TEXT(RIGHT($B$2,LEN($B$2)-3),"L00")&amp;IF(G21&gt;0,"A","B")&amp;TEXT(D21,"00")&amp;"-"&amp;IF(L21&lt;0,TEXT(360+L21,"000"),TEXT(L21,"000"))&amp;"_"&amp;"000"&amp;"_03"</f>
        <v>L33A08-000_000_03</v>
      </c>
      <c r="D21" s="231">
        <f t="shared" ref="D21:D26" si="10">D20</f>
        <v>7.8000000000000007</v>
      </c>
      <c r="E21" s="239">
        <f t="shared" si="7"/>
        <v>1.603</v>
      </c>
      <c r="F21" s="239">
        <f t="shared" si="1"/>
        <v>42</v>
      </c>
      <c r="G21" s="53">
        <f>G20</f>
        <v>34.683358012170793</v>
      </c>
      <c r="H21" s="230" t="str">
        <f t="shared" ref="H21:I21" si="11">H20</f>
        <v>Half</v>
      </c>
      <c r="I21" s="50">
        <f t="shared" si="11"/>
        <v>6</v>
      </c>
      <c r="J21" s="235">
        <f>trig_t+t_startup_50_power+(t_startup_95_power-t_startup_50_power)*2/3</f>
        <v>184</v>
      </c>
      <c r="K21" s="232">
        <f t="shared" ref="K21:P21" si="12">K20</f>
        <v>8</v>
      </c>
      <c r="L21" s="232">
        <f t="shared" si="12"/>
        <v>0</v>
      </c>
      <c r="M21" s="233">
        <f t="shared" si="12"/>
        <v>0.2</v>
      </c>
      <c r="N21" s="52">
        <f t="shared" si="12"/>
        <v>160</v>
      </c>
      <c r="O21" s="232">
        <f t="shared" si="12"/>
        <v>150</v>
      </c>
      <c r="P21" s="50">
        <f t="shared" si="12"/>
        <v>210</v>
      </c>
    </row>
    <row r="22" spans="1:16" ht="15.75" thickBot="1" x14ac:dyDescent="0.3">
      <c r="A22" s="229">
        <f t="shared" si="3"/>
        <v>3549</v>
      </c>
      <c r="B22" s="230">
        <f t="shared" si="4"/>
        <v>12</v>
      </c>
      <c r="C22" s="218" t="str">
        <f>TEXT(RIGHT($B$2,LEN($B$2)-3),"L00")&amp;IF(G22&gt;0,"A","B")&amp;TEXT(D22,"00")&amp;"-"&amp;IF(L22&lt;0,TEXT(360+L22,"000"),TEXT(L22,"000"))&amp;"_"&amp;"000"&amp;"_04"</f>
        <v>L33A08-000_000_04</v>
      </c>
      <c r="D22" s="231">
        <f t="shared" si="10"/>
        <v>7.8000000000000007</v>
      </c>
      <c r="E22" s="239">
        <f t="shared" si="7"/>
        <v>1.603</v>
      </c>
      <c r="F22" s="239">
        <f t="shared" si="1"/>
        <v>42</v>
      </c>
      <c r="G22" s="53">
        <f t="shared" ref="G22:I26" si="13">G21</f>
        <v>34.683358012170793</v>
      </c>
      <c r="H22" s="230" t="str">
        <f t="shared" si="13"/>
        <v>Half</v>
      </c>
      <c r="I22" s="50">
        <f t="shared" si="13"/>
        <v>6</v>
      </c>
      <c r="J22" s="235">
        <f>trig_t+t_startup_95_power</f>
        <v>186</v>
      </c>
      <c r="K22" s="232">
        <f t="shared" ref="K22:P22" si="14">K21</f>
        <v>8</v>
      </c>
      <c r="L22" s="232">
        <f t="shared" si="14"/>
        <v>0</v>
      </c>
      <c r="M22" s="233">
        <f t="shared" si="14"/>
        <v>0.2</v>
      </c>
      <c r="N22" s="52">
        <f t="shared" si="14"/>
        <v>160</v>
      </c>
      <c r="O22" s="232">
        <f t="shared" si="14"/>
        <v>150</v>
      </c>
      <c r="P22" s="50">
        <f t="shared" si="14"/>
        <v>210</v>
      </c>
    </row>
    <row r="23" spans="1:16" ht="15.75" thickBot="1" x14ac:dyDescent="0.3">
      <c r="A23" s="229">
        <f t="shared" si="3"/>
        <v>3550</v>
      </c>
      <c r="B23" s="230">
        <f t="shared" si="4"/>
        <v>13</v>
      </c>
      <c r="C23" s="218" t="str">
        <f>TEXT(RIGHT($B$2,LEN($B$2)-3),"L00")&amp;IF(G23&gt;0,"A","B")&amp;TEXT(D23,"00")&amp;"-"&amp;IF(L23&lt;0,TEXT(360+L23,"000"),TEXT(L23,"000"))&amp;"_"&amp;"000"&amp;"_01"</f>
        <v>L33B08-000_000_01</v>
      </c>
      <c r="D23" s="231">
        <f t="shared" si="10"/>
        <v>7.8000000000000007</v>
      </c>
      <c r="E23" s="239">
        <f t="shared" si="7"/>
        <v>1.603</v>
      </c>
      <c r="F23" s="239">
        <f t="shared" si="1"/>
        <v>42</v>
      </c>
      <c r="G23" s="51">
        <f>-4*ATAN(E23/(D23*(1+0.1*(diameter/F23))))*180/PI()</f>
        <v>-34.683358012170793</v>
      </c>
      <c r="H23" s="230" t="str">
        <f t="shared" ref="H23:I23" si="15">H22</f>
        <v>Half</v>
      </c>
      <c r="I23" s="50">
        <f t="shared" si="15"/>
        <v>6</v>
      </c>
      <c r="J23" s="235">
        <f>trig_t+t_startup_50_power</f>
        <v>180</v>
      </c>
      <c r="K23" s="232">
        <f t="shared" ref="K23:P23" si="16">K22</f>
        <v>8</v>
      </c>
      <c r="L23" s="232">
        <f t="shared" si="16"/>
        <v>0</v>
      </c>
      <c r="M23" s="233">
        <f t="shared" si="16"/>
        <v>0.2</v>
      </c>
      <c r="N23" s="52">
        <f t="shared" si="16"/>
        <v>160</v>
      </c>
      <c r="O23" s="232">
        <f t="shared" si="16"/>
        <v>150</v>
      </c>
      <c r="P23" s="50">
        <f t="shared" si="16"/>
        <v>210</v>
      </c>
    </row>
    <row r="24" spans="1:16" ht="15.75" thickBot="1" x14ac:dyDescent="0.3">
      <c r="A24" s="229">
        <f t="shared" si="3"/>
        <v>3551</v>
      </c>
      <c r="B24" s="230">
        <f t="shared" si="4"/>
        <v>14</v>
      </c>
      <c r="C24" s="218" t="str">
        <f>TEXT(RIGHT($B$2,LEN($B$2)-3),"L00")&amp;IF(G24&gt;0,"A","B")&amp;TEXT(D24,"00")&amp;"-"&amp;IF(L24&lt;0,TEXT(360+L24,"000"),TEXT(L24,"000"))&amp;"_"&amp;"000"&amp;"_02"</f>
        <v>L33B08-000_000_02</v>
      </c>
      <c r="D24" s="231">
        <f t="shared" si="10"/>
        <v>7.8000000000000007</v>
      </c>
      <c r="E24" s="239">
        <f t="shared" si="7"/>
        <v>1.603</v>
      </c>
      <c r="F24" s="239">
        <f t="shared" si="1"/>
        <v>42</v>
      </c>
      <c r="G24" s="53">
        <f t="shared" si="13"/>
        <v>-34.683358012170793</v>
      </c>
      <c r="H24" s="230" t="str">
        <f t="shared" si="13"/>
        <v>Half</v>
      </c>
      <c r="I24" s="50">
        <f t="shared" si="13"/>
        <v>6</v>
      </c>
      <c r="J24" s="235">
        <f>trig_t+t_startup_50_power+(t_startup_95_power-t_startup_50_power)/3</f>
        <v>182</v>
      </c>
      <c r="K24" s="232">
        <f t="shared" ref="K24:P24" si="17">K23</f>
        <v>8</v>
      </c>
      <c r="L24" s="232">
        <f t="shared" si="17"/>
        <v>0</v>
      </c>
      <c r="M24" s="233">
        <f t="shared" si="17"/>
        <v>0.2</v>
      </c>
      <c r="N24" s="52">
        <f t="shared" si="17"/>
        <v>160</v>
      </c>
      <c r="O24" s="232">
        <f t="shared" si="17"/>
        <v>150</v>
      </c>
      <c r="P24" s="50">
        <f t="shared" si="17"/>
        <v>210</v>
      </c>
    </row>
    <row r="25" spans="1:16" ht="15.75" thickBot="1" x14ac:dyDescent="0.3">
      <c r="A25" s="229">
        <f t="shared" si="3"/>
        <v>3552</v>
      </c>
      <c r="B25" s="230">
        <f t="shared" si="4"/>
        <v>15</v>
      </c>
      <c r="C25" s="218" t="str">
        <f>TEXT(RIGHT($B$2,LEN($B$2)-3),"L00")&amp;IF(G25&gt;0,"A","B")&amp;TEXT(D25,"00")&amp;"-"&amp;IF(L25&lt;0,TEXT(360+L25,"000"),TEXT(L25,"000"))&amp;"_"&amp;"000"&amp;"_03"</f>
        <v>L33B08-000_000_03</v>
      </c>
      <c r="D25" s="231">
        <f t="shared" si="10"/>
        <v>7.8000000000000007</v>
      </c>
      <c r="E25" s="239">
        <f t="shared" si="7"/>
        <v>1.603</v>
      </c>
      <c r="F25" s="239">
        <f t="shared" si="1"/>
        <v>42</v>
      </c>
      <c r="G25" s="53">
        <f t="shared" si="13"/>
        <v>-34.683358012170793</v>
      </c>
      <c r="H25" s="230" t="str">
        <f t="shared" si="13"/>
        <v>Half</v>
      </c>
      <c r="I25" s="50">
        <f t="shared" si="13"/>
        <v>6</v>
      </c>
      <c r="J25" s="235">
        <f>trig_t+t_startup_50_power+(t_startup_95_power-t_startup_50_power)*2/3</f>
        <v>184</v>
      </c>
      <c r="K25" s="232">
        <f t="shared" ref="K25:P25" si="18">K24</f>
        <v>8</v>
      </c>
      <c r="L25" s="232">
        <f t="shared" si="18"/>
        <v>0</v>
      </c>
      <c r="M25" s="233">
        <f t="shared" si="18"/>
        <v>0.2</v>
      </c>
      <c r="N25" s="52">
        <f t="shared" si="18"/>
        <v>160</v>
      </c>
      <c r="O25" s="232">
        <f t="shared" si="18"/>
        <v>150</v>
      </c>
      <c r="P25" s="50">
        <f t="shared" si="18"/>
        <v>210</v>
      </c>
    </row>
    <row r="26" spans="1:16" ht="15.75" thickBot="1" x14ac:dyDescent="0.3">
      <c r="A26" s="229">
        <f t="shared" si="3"/>
        <v>3553</v>
      </c>
      <c r="B26" s="230">
        <f t="shared" si="4"/>
        <v>16</v>
      </c>
      <c r="C26" s="218" t="str">
        <f>TEXT(RIGHT($B$2,LEN($B$2)-3),"L00")&amp;IF(G26&gt;0,"A","B")&amp;TEXT(D26,"00")&amp;"-"&amp;IF(L26&lt;0,TEXT(360+L26,"000"),TEXT(L26,"000"))&amp;"_"&amp;"000"&amp;"_04"</f>
        <v>L33B08-000_000_04</v>
      </c>
      <c r="D26" s="231">
        <f t="shared" si="10"/>
        <v>7.8000000000000007</v>
      </c>
      <c r="E26" s="239">
        <f t="shared" si="7"/>
        <v>1.603</v>
      </c>
      <c r="F26" s="239">
        <f t="shared" si="1"/>
        <v>42</v>
      </c>
      <c r="G26" s="53">
        <f t="shared" si="13"/>
        <v>-34.683358012170793</v>
      </c>
      <c r="H26" s="230" t="str">
        <f t="shared" si="13"/>
        <v>Half</v>
      </c>
      <c r="I26" s="50">
        <f t="shared" si="13"/>
        <v>6</v>
      </c>
      <c r="J26" s="235">
        <f>trig_t+t_startup_95_power</f>
        <v>186</v>
      </c>
      <c r="K26" s="232">
        <f t="shared" ref="K26:P26" si="19">K25</f>
        <v>8</v>
      </c>
      <c r="L26" s="232">
        <f t="shared" si="19"/>
        <v>0</v>
      </c>
      <c r="M26" s="233">
        <f t="shared" si="19"/>
        <v>0.2</v>
      </c>
      <c r="N26" s="52">
        <f t="shared" si="19"/>
        <v>160</v>
      </c>
      <c r="O26" s="232">
        <f t="shared" si="19"/>
        <v>150</v>
      </c>
      <c r="P26" s="50">
        <f t="shared" si="19"/>
        <v>210</v>
      </c>
    </row>
    <row r="27" spans="1:16" ht="15.75" thickBot="1" x14ac:dyDescent="0.3">
      <c r="A27" s="229">
        <f t="shared" si="3"/>
        <v>3554</v>
      </c>
      <c r="B27" s="230">
        <f t="shared" si="4"/>
        <v>17</v>
      </c>
      <c r="C27" s="218" t="str">
        <f>TEXT(RIGHT($B$2,LEN($B$2)-3),"L00")&amp;IF(G27&gt;0,"A","B")&amp;TEXT(D27,"00")&amp;"-"&amp;IF(L27&lt;0,TEXT(360+L27,"000"),TEXT(L27,"000"))&amp;"_"&amp;"000"&amp;"_01"</f>
        <v>L33A10-000_000_01</v>
      </c>
      <c r="D27" s="231">
        <f>v_r</f>
        <v>9.8000000000000007</v>
      </c>
      <c r="E27" s="239">
        <f>I_ref*(0.75*D27+5.6)</f>
        <v>1.8130000000000002</v>
      </c>
      <c r="F27" s="239">
        <f t="shared" si="1"/>
        <v>42</v>
      </c>
      <c r="G27" s="51">
        <f>4*ATAN(E27/(D27*(1+0.1*(diameter/F27))))*180/PI()</f>
        <v>31.266629091117032</v>
      </c>
      <c r="H27" s="230" t="str">
        <f>H18</f>
        <v>Half</v>
      </c>
      <c r="I27" s="50">
        <f>I18</f>
        <v>6</v>
      </c>
      <c r="J27" s="235">
        <f>trig_t+t_startup_50_power</f>
        <v>180</v>
      </c>
      <c r="K27" s="232">
        <f t="shared" ref="K27:P27" si="20">K18</f>
        <v>8</v>
      </c>
      <c r="L27" s="232">
        <f t="shared" si="20"/>
        <v>0</v>
      </c>
      <c r="M27" s="233">
        <f t="shared" si="20"/>
        <v>0.2</v>
      </c>
      <c r="N27" s="52">
        <f t="shared" si="20"/>
        <v>160</v>
      </c>
      <c r="O27" s="232">
        <f t="shared" si="20"/>
        <v>150</v>
      </c>
      <c r="P27" s="50">
        <f t="shared" si="20"/>
        <v>210</v>
      </c>
    </row>
    <row r="28" spans="1:16" ht="15.75" thickBot="1" x14ac:dyDescent="0.3">
      <c r="A28" s="229">
        <f t="shared" si="3"/>
        <v>3555</v>
      </c>
      <c r="B28" s="230">
        <f t="shared" si="4"/>
        <v>18</v>
      </c>
      <c r="C28" s="218" t="str">
        <f>TEXT(RIGHT($B$2,LEN($B$2)-3),"L00")&amp;IF(G28&gt;0,"A","B")&amp;TEXT(D28,"00")&amp;"-"&amp;IF(L28&lt;0,TEXT(360+L28,"000"),TEXT(L28,"000"))&amp;"_"&amp;"000"&amp;"_02"</f>
        <v>L33A10-000_000_02</v>
      </c>
      <c r="D28" s="231">
        <f>D27</f>
        <v>9.8000000000000007</v>
      </c>
      <c r="E28" s="239">
        <f t="shared" si="0"/>
        <v>1.8130000000000002</v>
      </c>
      <c r="F28" s="239">
        <f t="shared" si="1"/>
        <v>42</v>
      </c>
      <c r="G28" s="53">
        <f>G27</f>
        <v>31.266629091117032</v>
      </c>
      <c r="H28" s="230" t="str">
        <f t="shared" si="2"/>
        <v>Half</v>
      </c>
      <c r="I28" s="50">
        <f t="shared" si="2"/>
        <v>6</v>
      </c>
      <c r="J28" s="235">
        <f>trig_t+t_startup_50_power+(t_startup_95_power-t_startup_50_power)/3</f>
        <v>182</v>
      </c>
      <c r="K28" s="232">
        <f t="shared" si="2"/>
        <v>8</v>
      </c>
      <c r="L28" s="232">
        <f t="shared" si="2"/>
        <v>0</v>
      </c>
      <c r="M28" s="233">
        <f t="shared" si="2"/>
        <v>0.2</v>
      </c>
      <c r="N28" s="52">
        <f t="shared" si="2"/>
        <v>160</v>
      </c>
      <c r="O28" s="232">
        <f t="shared" si="2"/>
        <v>150</v>
      </c>
      <c r="P28" s="50">
        <f t="shared" si="2"/>
        <v>210</v>
      </c>
    </row>
    <row r="29" spans="1:16" ht="15.75" thickBot="1" x14ac:dyDescent="0.3">
      <c r="A29" s="229">
        <f t="shared" si="3"/>
        <v>3556</v>
      </c>
      <c r="B29" s="230">
        <f t="shared" si="4"/>
        <v>19</v>
      </c>
      <c r="C29" s="218" t="str">
        <f>TEXT(RIGHT($B$2,LEN($B$2)-3),"L00")&amp;IF(G29&gt;0,"A","B")&amp;TEXT(D29,"00")&amp;"-"&amp;IF(L29&lt;0,TEXT(360+L29,"000"),TEXT(L29,"000"))&amp;"_"&amp;"000"&amp;"_03"</f>
        <v>L33A10-000_000_03</v>
      </c>
      <c r="D29" s="231">
        <f t="shared" ref="D29:D34" si="21">D28</f>
        <v>9.8000000000000007</v>
      </c>
      <c r="E29" s="239">
        <f t="shared" si="0"/>
        <v>1.8130000000000002</v>
      </c>
      <c r="F29" s="239">
        <f t="shared" si="1"/>
        <v>42</v>
      </c>
      <c r="G29" s="53">
        <f t="shared" ref="G29:P44" si="22">G28</f>
        <v>31.266629091117032</v>
      </c>
      <c r="H29" s="230" t="str">
        <f t="shared" si="22"/>
        <v>Half</v>
      </c>
      <c r="I29" s="50">
        <f t="shared" si="22"/>
        <v>6</v>
      </c>
      <c r="J29" s="235">
        <f>trig_t+t_startup_50_power+(t_startup_95_power-t_startup_50_power)*2/3</f>
        <v>184</v>
      </c>
      <c r="K29" s="232">
        <f t="shared" si="22"/>
        <v>8</v>
      </c>
      <c r="L29" s="232">
        <f t="shared" si="2"/>
        <v>0</v>
      </c>
      <c r="M29" s="233">
        <f t="shared" si="2"/>
        <v>0.2</v>
      </c>
      <c r="N29" s="52">
        <f t="shared" si="2"/>
        <v>160</v>
      </c>
      <c r="O29" s="232">
        <f t="shared" si="2"/>
        <v>150</v>
      </c>
      <c r="P29" s="50">
        <f t="shared" si="2"/>
        <v>210</v>
      </c>
    </row>
    <row r="30" spans="1:16" ht="15.75" thickBot="1" x14ac:dyDescent="0.3">
      <c r="A30" s="229">
        <f t="shared" si="3"/>
        <v>3557</v>
      </c>
      <c r="B30" s="230">
        <f t="shared" si="4"/>
        <v>20</v>
      </c>
      <c r="C30" s="218" t="str">
        <f>TEXT(RIGHT($B$2,LEN($B$2)-3),"L00")&amp;IF(G30&gt;0,"A","B")&amp;TEXT(D30,"00")&amp;"-"&amp;IF(L30&lt;0,TEXT(360+L30,"000"),TEXT(L30,"000"))&amp;"_"&amp;"000"&amp;"_04"</f>
        <v>L33A10-000_000_04</v>
      </c>
      <c r="D30" s="231">
        <f t="shared" si="21"/>
        <v>9.8000000000000007</v>
      </c>
      <c r="E30" s="239">
        <f t="shared" si="0"/>
        <v>1.8130000000000002</v>
      </c>
      <c r="F30" s="239">
        <f t="shared" si="1"/>
        <v>42</v>
      </c>
      <c r="G30" s="53">
        <f t="shared" si="22"/>
        <v>31.266629091117032</v>
      </c>
      <c r="H30" s="230" t="str">
        <f t="shared" si="22"/>
        <v>Half</v>
      </c>
      <c r="I30" s="50">
        <f t="shared" si="22"/>
        <v>6</v>
      </c>
      <c r="J30" s="235">
        <f>trig_t+t_startup_95_power</f>
        <v>186</v>
      </c>
      <c r="K30" s="232">
        <f t="shared" si="22"/>
        <v>8</v>
      </c>
      <c r="L30" s="232">
        <f t="shared" si="2"/>
        <v>0</v>
      </c>
      <c r="M30" s="233">
        <f t="shared" si="2"/>
        <v>0.2</v>
      </c>
      <c r="N30" s="52">
        <f t="shared" si="2"/>
        <v>160</v>
      </c>
      <c r="O30" s="232">
        <f t="shared" si="2"/>
        <v>150</v>
      </c>
      <c r="P30" s="50">
        <f t="shared" si="2"/>
        <v>210</v>
      </c>
    </row>
    <row r="31" spans="1:16" ht="15.75" thickBot="1" x14ac:dyDescent="0.3">
      <c r="A31" s="229">
        <f t="shared" si="3"/>
        <v>3558</v>
      </c>
      <c r="B31" s="230">
        <f t="shared" si="4"/>
        <v>21</v>
      </c>
      <c r="C31" s="218" t="str">
        <f>TEXT(RIGHT($B$2,LEN($B$2)-3),"L00")&amp;IF(G31&gt;0,"A","B")&amp;TEXT(D31,"00")&amp;"-"&amp;IF(L31&lt;0,TEXT(360+L31,"000"),TEXT(L31,"000"))&amp;"_"&amp;"000"&amp;"_01"</f>
        <v>L33B10-000_000_01</v>
      </c>
      <c r="D31" s="231">
        <f t="shared" si="21"/>
        <v>9.8000000000000007</v>
      </c>
      <c r="E31" s="239">
        <f t="shared" si="0"/>
        <v>1.8130000000000002</v>
      </c>
      <c r="F31" s="239">
        <f t="shared" si="1"/>
        <v>42</v>
      </c>
      <c r="G31" s="51">
        <f>-4*ATAN(E31/(D31*(1+0.1*(diameter/F31))))*180/PI()</f>
        <v>-31.266629091117032</v>
      </c>
      <c r="H31" s="230" t="str">
        <f t="shared" si="22"/>
        <v>Half</v>
      </c>
      <c r="I31" s="50">
        <f t="shared" si="22"/>
        <v>6</v>
      </c>
      <c r="J31" s="235">
        <f>trig_t+t_startup_50_power</f>
        <v>180</v>
      </c>
      <c r="K31" s="232">
        <f t="shared" si="22"/>
        <v>8</v>
      </c>
      <c r="L31" s="232">
        <f t="shared" si="2"/>
        <v>0</v>
      </c>
      <c r="M31" s="233">
        <f t="shared" si="2"/>
        <v>0.2</v>
      </c>
      <c r="N31" s="52">
        <f t="shared" si="2"/>
        <v>160</v>
      </c>
      <c r="O31" s="232">
        <f t="shared" si="2"/>
        <v>150</v>
      </c>
      <c r="P31" s="50">
        <f t="shared" si="2"/>
        <v>210</v>
      </c>
    </row>
    <row r="32" spans="1:16" ht="15.75" thickBot="1" x14ac:dyDescent="0.3">
      <c r="A32" s="229">
        <f t="shared" si="3"/>
        <v>3559</v>
      </c>
      <c r="B32" s="230">
        <f t="shared" si="4"/>
        <v>22</v>
      </c>
      <c r="C32" s="218" t="str">
        <f>TEXT(RIGHT($B$2,LEN($B$2)-3),"L00")&amp;IF(G32&gt;0,"A","B")&amp;TEXT(D32,"00")&amp;"-"&amp;IF(L32&lt;0,TEXT(360+L32,"000"),TEXT(L32,"000"))&amp;"_"&amp;"000"&amp;"_02"</f>
        <v>L33B10-000_000_02</v>
      </c>
      <c r="D32" s="231">
        <f t="shared" si="21"/>
        <v>9.8000000000000007</v>
      </c>
      <c r="E32" s="239">
        <f t="shared" si="0"/>
        <v>1.8130000000000002</v>
      </c>
      <c r="F32" s="239">
        <f t="shared" si="1"/>
        <v>42</v>
      </c>
      <c r="G32" s="53">
        <f t="shared" si="22"/>
        <v>-31.266629091117032</v>
      </c>
      <c r="H32" s="230" t="str">
        <f t="shared" si="22"/>
        <v>Half</v>
      </c>
      <c r="I32" s="50">
        <f t="shared" si="22"/>
        <v>6</v>
      </c>
      <c r="J32" s="235">
        <f>trig_t+t_startup_50_power+(t_startup_95_power-t_startup_50_power)/3</f>
        <v>182</v>
      </c>
      <c r="K32" s="232">
        <f t="shared" si="22"/>
        <v>8</v>
      </c>
      <c r="L32" s="232">
        <f t="shared" si="2"/>
        <v>0</v>
      </c>
      <c r="M32" s="233">
        <f t="shared" si="2"/>
        <v>0.2</v>
      </c>
      <c r="N32" s="52">
        <f t="shared" si="2"/>
        <v>160</v>
      </c>
      <c r="O32" s="232">
        <f t="shared" si="2"/>
        <v>150</v>
      </c>
      <c r="P32" s="50">
        <f t="shared" si="2"/>
        <v>210</v>
      </c>
    </row>
    <row r="33" spans="1:16" ht="15.75" thickBot="1" x14ac:dyDescent="0.3">
      <c r="A33" s="229">
        <f t="shared" si="3"/>
        <v>3560</v>
      </c>
      <c r="B33" s="230">
        <f t="shared" si="4"/>
        <v>23</v>
      </c>
      <c r="C33" s="218" t="str">
        <f>TEXT(RIGHT($B$2,LEN($B$2)-3),"L00")&amp;IF(G33&gt;0,"A","B")&amp;TEXT(D33,"00")&amp;"-"&amp;IF(L33&lt;0,TEXT(360+L33,"000"),TEXT(L33,"000"))&amp;"_"&amp;"000"&amp;"_03"</f>
        <v>L33B10-000_000_03</v>
      </c>
      <c r="D33" s="231">
        <f t="shared" si="21"/>
        <v>9.8000000000000007</v>
      </c>
      <c r="E33" s="239">
        <f t="shared" si="0"/>
        <v>1.8130000000000002</v>
      </c>
      <c r="F33" s="239">
        <f t="shared" si="1"/>
        <v>42</v>
      </c>
      <c r="G33" s="53">
        <f t="shared" si="22"/>
        <v>-31.266629091117032</v>
      </c>
      <c r="H33" s="230" t="str">
        <f t="shared" si="22"/>
        <v>Half</v>
      </c>
      <c r="I33" s="50">
        <f t="shared" si="22"/>
        <v>6</v>
      </c>
      <c r="J33" s="235">
        <f>trig_t+t_startup_50_power+(t_startup_95_power-t_startup_50_power)*2/3</f>
        <v>184</v>
      </c>
      <c r="K33" s="232">
        <f t="shared" si="22"/>
        <v>8</v>
      </c>
      <c r="L33" s="232">
        <f t="shared" si="2"/>
        <v>0</v>
      </c>
      <c r="M33" s="233">
        <f t="shared" si="2"/>
        <v>0.2</v>
      </c>
      <c r="N33" s="52">
        <f t="shared" si="2"/>
        <v>160</v>
      </c>
      <c r="O33" s="232">
        <f t="shared" si="2"/>
        <v>150</v>
      </c>
      <c r="P33" s="50">
        <f t="shared" si="2"/>
        <v>210</v>
      </c>
    </row>
    <row r="34" spans="1:16" ht="15.75" thickBot="1" x14ac:dyDescent="0.3">
      <c r="A34" s="229">
        <f t="shared" si="3"/>
        <v>3561</v>
      </c>
      <c r="B34" s="230">
        <f t="shared" si="4"/>
        <v>24</v>
      </c>
      <c r="C34" s="218" t="str">
        <f>TEXT(RIGHT($B$2,LEN($B$2)-3),"L00")&amp;IF(G34&gt;0,"A","B")&amp;TEXT(D34,"00")&amp;"-"&amp;IF(L34&lt;0,TEXT(360+L34,"000"),TEXT(L34,"000"))&amp;"_"&amp;"000"&amp;"_04"</f>
        <v>L33B10-000_000_04</v>
      </c>
      <c r="D34" s="231">
        <f t="shared" si="21"/>
        <v>9.8000000000000007</v>
      </c>
      <c r="E34" s="239">
        <f t="shared" si="0"/>
        <v>1.8130000000000002</v>
      </c>
      <c r="F34" s="239">
        <f t="shared" si="1"/>
        <v>42</v>
      </c>
      <c r="G34" s="53">
        <f t="shared" si="22"/>
        <v>-31.266629091117032</v>
      </c>
      <c r="H34" s="230" t="str">
        <f t="shared" si="22"/>
        <v>Half</v>
      </c>
      <c r="I34" s="50">
        <f t="shared" si="22"/>
        <v>6</v>
      </c>
      <c r="J34" s="235">
        <f>trig_t+t_startup_95_power</f>
        <v>186</v>
      </c>
      <c r="K34" s="232">
        <f t="shared" si="22"/>
        <v>8</v>
      </c>
      <c r="L34" s="232">
        <f t="shared" si="2"/>
        <v>0</v>
      </c>
      <c r="M34" s="233">
        <f t="shared" si="2"/>
        <v>0.2</v>
      </c>
      <c r="N34" s="52">
        <f t="shared" si="2"/>
        <v>160</v>
      </c>
      <c r="O34" s="232">
        <f t="shared" si="2"/>
        <v>150</v>
      </c>
      <c r="P34" s="50">
        <f t="shared" si="2"/>
        <v>210</v>
      </c>
    </row>
    <row r="35" spans="1:16" ht="15.75" thickBot="1" x14ac:dyDescent="0.3">
      <c r="A35" s="229">
        <f t="shared" si="3"/>
        <v>3562</v>
      </c>
      <c r="B35" s="230">
        <f t="shared" si="4"/>
        <v>25</v>
      </c>
      <c r="C35" s="218" t="str">
        <f>TEXT(RIGHT($B$2,LEN($B$2)-3),"L00")&amp;IF(G35&gt;0,"A","B")&amp;TEXT(D35,"00")&amp;"-"&amp;IF(L35&lt;0,TEXT(360+L35,"000"),TEXT(L35,"000"))&amp;"_"&amp;"000"&amp;"_01"</f>
        <v>L33A12-000_000_01</v>
      </c>
      <c r="D35" s="231">
        <f>vr_a</f>
        <v>11.8</v>
      </c>
      <c r="E35" s="239">
        <f t="shared" ref="E35:E42" si="23">I_ref*(0.75*D35+5.6)</f>
        <v>2.0230000000000001</v>
      </c>
      <c r="F35" s="239">
        <f t="shared" ref="F35:F42" si="24">tur_scale</f>
        <v>42</v>
      </c>
      <c r="G35" s="51">
        <f>4*ATAN(E35/(D35*(1+0.1*(diameter/F35))))*180/PI()</f>
        <v>29.000314892444116</v>
      </c>
      <c r="H35" s="230" t="str">
        <f t="shared" si="22"/>
        <v>Half</v>
      </c>
      <c r="I35" s="50">
        <f t="shared" si="22"/>
        <v>6</v>
      </c>
      <c r="J35" s="235">
        <f>trig_t+t_startup_50_power</f>
        <v>180</v>
      </c>
      <c r="K35" s="232">
        <f t="shared" si="22"/>
        <v>8</v>
      </c>
      <c r="L35" s="232">
        <f t="shared" si="22"/>
        <v>0</v>
      </c>
      <c r="M35" s="233">
        <f t="shared" si="22"/>
        <v>0.2</v>
      </c>
      <c r="N35" s="52">
        <f t="shared" si="22"/>
        <v>160</v>
      </c>
      <c r="O35" s="232">
        <f t="shared" si="22"/>
        <v>150</v>
      </c>
      <c r="P35" s="50">
        <f t="shared" si="22"/>
        <v>210</v>
      </c>
    </row>
    <row r="36" spans="1:16" ht="15.75" thickBot="1" x14ac:dyDescent="0.3">
      <c r="A36" s="229">
        <f t="shared" si="3"/>
        <v>3563</v>
      </c>
      <c r="B36" s="230">
        <f t="shared" si="4"/>
        <v>26</v>
      </c>
      <c r="C36" s="218" t="str">
        <f>TEXT(RIGHT($B$2,LEN($B$2)-3),"L00")&amp;IF(G36&gt;0,"A","B")&amp;TEXT(D36,"00")&amp;"-"&amp;IF(L36&lt;0,TEXT(360+L36,"000"),TEXT(L36,"000"))&amp;"_"&amp;"000"&amp;"_02"</f>
        <v>L33A12-000_000_02</v>
      </c>
      <c r="D36" s="231">
        <f>D35</f>
        <v>11.8</v>
      </c>
      <c r="E36" s="239">
        <f t="shared" si="23"/>
        <v>2.0230000000000001</v>
      </c>
      <c r="F36" s="239">
        <f t="shared" si="24"/>
        <v>42</v>
      </c>
      <c r="G36" s="53">
        <f>G35</f>
        <v>29.000314892444116</v>
      </c>
      <c r="H36" s="230" t="str">
        <f t="shared" si="22"/>
        <v>Half</v>
      </c>
      <c r="I36" s="50">
        <f t="shared" si="22"/>
        <v>6</v>
      </c>
      <c r="J36" s="235">
        <f>trig_t+t_startup_50_power+(t_startup_95_power-t_startup_50_power)/3</f>
        <v>182</v>
      </c>
      <c r="K36" s="232">
        <f t="shared" si="22"/>
        <v>8</v>
      </c>
      <c r="L36" s="232">
        <f t="shared" si="22"/>
        <v>0</v>
      </c>
      <c r="M36" s="233">
        <f t="shared" si="22"/>
        <v>0.2</v>
      </c>
      <c r="N36" s="52">
        <f t="shared" si="22"/>
        <v>160</v>
      </c>
      <c r="O36" s="232">
        <f t="shared" si="22"/>
        <v>150</v>
      </c>
      <c r="P36" s="50">
        <f t="shared" si="22"/>
        <v>210</v>
      </c>
    </row>
    <row r="37" spans="1:16" ht="15.75" thickBot="1" x14ac:dyDescent="0.3">
      <c r="A37" s="229">
        <f t="shared" si="3"/>
        <v>3564</v>
      </c>
      <c r="B37" s="230">
        <f t="shared" si="4"/>
        <v>27</v>
      </c>
      <c r="C37" s="218" t="str">
        <f>TEXT(RIGHT($B$2,LEN($B$2)-3),"L00")&amp;IF(G37&gt;0,"A","B")&amp;TEXT(D37,"00")&amp;"-"&amp;IF(L37&lt;0,TEXT(360+L37,"000"),TEXT(L37,"000"))&amp;"_"&amp;"000"&amp;"_03"</f>
        <v>L33A12-000_000_03</v>
      </c>
      <c r="D37" s="231">
        <f t="shared" ref="D37:D42" si="25">D36</f>
        <v>11.8</v>
      </c>
      <c r="E37" s="239">
        <f t="shared" si="23"/>
        <v>2.0230000000000001</v>
      </c>
      <c r="F37" s="239">
        <f t="shared" si="24"/>
        <v>42</v>
      </c>
      <c r="G37" s="53">
        <f t="shared" ref="G37:G42" si="26">G36</f>
        <v>29.000314892444116</v>
      </c>
      <c r="H37" s="230" t="str">
        <f t="shared" si="22"/>
        <v>Half</v>
      </c>
      <c r="I37" s="50">
        <f t="shared" si="22"/>
        <v>6</v>
      </c>
      <c r="J37" s="235">
        <f>trig_t+t_startup_50_power+(t_startup_95_power-t_startup_50_power)*2/3</f>
        <v>184</v>
      </c>
      <c r="K37" s="232">
        <f t="shared" si="22"/>
        <v>8</v>
      </c>
      <c r="L37" s="232">
        <f t="shared" si="22"/>
        <v>0</v>
      </c>
      <c r="M37" s="233">
        <f t="shared" si="22"/>
        <v>0.2</v>
      </c>
      <c r="N37" s="52">
        <f t="shared" si="22"/>
        <v>160</v>
      </c>
      <c r="O37" s="232">
        <f t="shared" si="22"/>
        <v>150</v>
      </c>
      <c r="P37" s="50">
        <f t="shared" si="22"/>
        <v>210</v>
      </c>
    </row>
    <row r="38" spans="1:16" ht="15.75" thickBot="1" x14ac:dyDescent="0.3">
      <c r="A38" s="229">
        <f t="shared" si="3"/>
        <v>3565</v>
      </c>
      <c r="B38" s="230">
        <f t="shared" si="4"/>
        <v>28</v>
      </c>
      <c r="C38" s="218" t="str">
        <f>TEXT(RIGHT($B$2,LEN($B$2)-3),"L00")&amp;IF(G38&gt;0,"A","B")&amp;TEXT(D38,"00")&amp;"-"&amp;IF(L38&lt;0,TEXT(360+L38,"000"),TEXT(L38,"000"))&amp;"_"&amp;"000"&amp;"_04"</f>
        <v>L33A12-000_000_04</v>
      </c>
      <c r="D38" s="231">
        <f t="shared" si="25"/>
        <v>11.8</v>
      </c>
      <c r="E38" s="239">
        <f t="shared" si="23"/>
        <v>2.0230000000000001</v>
      </c>
      <c r="F38" s="239">
        <f t="shared" si="24"/>
        <v>42</v>
      </c>
      <c r="G38" s="53">
        <f t="shared" si="26"/>
        <v>29.000314892444116</v>
      </c>
      <c r="H38" s="230" t="str">
        <f t="shared" si="22"/>
        <v>Half</v>
      </c>
      <c r="I38" s="50">
        <f t="shared" si="22"/>
        <v>6</v>
      </c>
      <c r="J38" s="235">
        <f>trig_t+t_startup_95_power</f>
        <v>186</v>
      </c>
      <c r="K38" s="232">
        <f t="shared" si="22"/>
        <v>8</v>
      </c>
      <c r="L38" s="232">
        <f t="shared" si="22"/>
        <v>0</v>
      </c>
      <c r="M38" s="233">
        <f t="shared" si="22"/>
        <v>0.2</v>
      </c>
      <c r="N38" s="52">
        <f t="shared" si="22"/>
        <v>160</v>
      </c>
      <c r="O38" s="232">
        <f t="shared" si="22"/>
        <v>150</v>
      </c>
      <c r="P38" s="50">
        <f t="shared" si="22"/>
        <v>210</v>
      </c>
    </row>
    <row r="39" spans="1:16" ht="15.75" thickBot="1" x14ac:dyDescent="0.3">
      <c r="A39" s="229">
        <f t="shared" si="3"/>
        <v>3566</v>
      </c>
      <c r="B39" s="230">
        <f t="shared" si="4"/>
        <v>29</v>
      </c>
      <c r="C39" s="218" t="str">
        <f>TEXT(RIGHT($B$2,LEN($B$2)-3),"L00")&amp;IF(G39&gt;0,"A","B")&amp;TEXT(D39,"00")&amp;"-"&amp;IF(L39&lt;0,TEXT(360+L39,"000"),TEXT(L39,"000"))&amp;"_"&amp;"000"&amp;"_01"</f>
        <v>L33B12-000_000_01</v>
      </c>
      <c r="D39" s="231">
        <f t="shared" si="25"/>
        <v>11.8</v>
      </c>
      <c r="E39" s="239">
        <f t="shared" si="23"/>
        <v>2.0230000000000001</v>
      </c>
      <c r="F39" s="239">
        <f t="shared" si="24"/>
        <v>42</v>
      </c>
      <c r="G39" s="51">
        <f>-4*ATAN(E39/(D39*(1+0.1*(diameter/F39))))*180/PI()</f>
        <v>-29.000314892444116</v>
      </c>
      <c r="H39" s="230" t="str">
        <f t="shared" si="22"/>
        <v>Half</v>
      </c>
      <c r="I39" s="50">
        <f t="shared" si="22"/>
        <v>6</v>
      </c>
      <c r="J39" s="235">
        <f>trig_t+t_startup_50_power</f>
        <v>180</v>
      </c>
      <c r="K39" s="232">
        <f t="shared" si="22"/>
        <v>8</v>
      </c>
      <c r="L39" s="232">
        <f t="shared" si="22"/>
        <v>0</v>
      </c>
      <c r="M39" s="233">
        <f t="shared" si="22"/>
        <v>0.2</v>
      </c>
      <c r="N39" s="52">
        <f t="shared" si="22"/>
        <v>160</v>
      </c>
      <c r="O39" s="232">
        <f t="shared" si="22"/>
        <v>150</v>
      </c>
      <c r="P39" s="50">
        <f t="shared" si="22"/>
        <v>210</v>
      </c>
    </row>
    <row r="40" spans="1:16" ht="15.75" thickBot="1" x14ac:dyDescent="0.3">
      <c r="A40" s="229">
        <f t="shared" si="3"/>
        <v>3567</v>
      </c>
      <c r="B40" s="230">
        <f t="shared" si="4"/>
        <v>30</v>
      </c>
      <c r="C40" s="218" t="str">
        <f>TEXT(RIGHT($B$2,LEN($B$2)-3),"L00")&amp;IF(G40&gt;0,"A","B")&amp;TEXT(D40,"00")&amp;"-"&amp;IF(L40&lt;0,TEXT(360+L40,"000"),TEXT(L40,"000"))&amp;"_"&amp;"000"&amp;"_02"</f>
        <v>L33B12-000_000_02</v>
      </c>
      <c r="D40" s="231">
        <f t="shared" si="25"/>
        <v>11.8</v>
      </c>
      <c r="E40" s="239">
        <f t="shared" si="23"/>
        <v>2.0230000000000001</v>
      </c>
      <c r="F40" s="239">
        <f t="shared" si="24"/>
        <v>42</v>
      </c>
      <c r="G40" s="53">
        <f t="shared" si="26"/>
        <v>-29.000314892444116</v>
      </c>
      <c r="H40" s="230" t="str">
        <f t="shared" si="22"/>
        <v>Half</v>
      </c>
      <c r="I40" s="50">
        <f t="shared" si="22"/>
        <v>6</v>
      </c>
      <c r="J40" s="235">
        <f>trig_t+t_startup_50_power+(t_startup_95_power-t_startup_50_power)/3</f>
        <v>182</v>
      </c>
      <c r="K40" s="232">
        <f t="shared" si="22"/>
        <v>8</v>
      </c>
      <c r="L40" s="232">
        <f t="shared" si="22"/>
        <v>0</v>
      </c>
      <c r="M40" s="233">
        <f t="shared" si="22"/>
        <v>0.2</v>
      </c>
      <c r="N40" s="52">
        <f t="shared" si="22"/>
        <v>160</v>
      </c>
      <c r="O40" s="232">
        <f t="shared" si="22"/>
        <v>150</v>
      </c>
      <c r="P40" s="50">
        <f t="shared" si="22"/>
        <v>210</v>
      </c>
    </row>
    <row r="41" spans="1:16" ht="15.75" thickBot="1" x14ac:dyDescent="0.3">
      <c r="A41" s="229">
        <f t="shared" si="3"/>
        <v>3568</v>
      </c>
      <c r="B41" s="230">
        <f t="shared" si="4"/>
        <v>31</v>
      </c>
      <c r="C41" s="218" t="str">
        <f>TEXT(RIGHT($B$2,LEN($B$2)-3),"L00")&amp;IF(G41&gt;0,"A","B")&amp;TEXT(D41,"00")&amp;"-"&amp;IF(L41&lt;0,TEXT(360+L41,"000"),TEXT(L41,"000"))&amp;"_"&amp;"000"&amp;"_03"</f>
        <v>L33B12-000_000_03</v>
      </c>
      <c r="D41" s="231">
        <f t="shared" si="25"/>
        <v>11.8</v>
      </c>
      <c r="E41" s="239">
        <f t="shared" si="23"/>
        <v>2.0230000000000001</v>
      </c>
      <c r="F41" s="239">
        <f t="shared" si="24"/>
        <v>42</v>
      </c>
      <c r="G41" s="53">
        <f t="shared" si="26"/>
        <v>-29.000314892444116</v>
      </c>
      <c r="H41" s="230" t="str">
        <f t="shared" si="22"/>
        <v>Half</v>
      </c>
      <c r="I41" s="50">
        <f t="shared" si="22"/>
        <v>6</v>
      </c>
      <c r="J41" s="235">
        <f>trig_t+t_startup_50_power+(t_startup_95_power-t_startup_50_power)*2/3</f>
        <v>184</v>
      </c>
      <c r="K41" s="232">
        <f t="shared" si="22"/>
        <v>8</v>
      </c>
      <c r="L41" s="232">
        <f t="shared" si="22"/>
        <v>0</v>
      </c>
      <c r="M41" s="233">
        <f t="shared" si="22"/>
        <v>0.2</v>
      </c>
      <c r="N41" s="52">
        <f t="shared" si="22"/>
        <v>160</v>
      </c>
      <c r="O41" s="232">
        <f t="shared" si="22"/>
        <v>150</v>
      </c>
      <c r="P41" s="50">
        <f t="shared" si="22"/>
        <v>210</v>
      </c>
    </row>
    <row r="42" spans="1:16" ht="15.75" thickBot="1" x14ac:dyDescent="0.3">
      <c r="A42" s="229">
        <f t="shared" si="3"/>
        <v>3569</v>
      </c>
      <c r="B42" s="230">
        <f t="shared" si="4"/>
        <v>32</v>
      </c>
      <c r="C42" s="218" t="str">
        <f>TEXT(RIGHT($B$2,LEN($B$2)-3),"L00")&amp;IF(G42&gt;0,"A","B")&amp;TEXT(D42,"00")&amp;"-"&amp;IF(L42&lt;0,TEXT(360+L42,"000"),TEXT(L42,"000"))&amp;"_"&amp;"000"&amp;"_04"</f>
        <v>L33B12-000_000_04</v>
      </c>
      <c r="D42" s="231">
        <f t="shared" si="25"/>
        <v>11.8</v>
      </c>
      <c r="E42" s="239">
        <f t="shared" si="23"/>
        <v>2.0230000000000001</v>
      </c>
      <c r="F42" s="239">
        <f t="shared" si="24"/>
        <v>42</v>
      </c>
      <c r="G42" s="53">
        <f t="shared" si="26"/>
        <v>-29.000314892444116</v>
      </c>
      <c r="H42" s="230" t="str">
        <f t="shared" si="22"/>
        <v>Half</v>
      </c>
      <c r="I42" s="50">
        <f t="shared" si="22"/>
        <v>6</v>
      </c>
      <c r="J42" s="235">
        <f>trig_t+t_startup_95_power</f>
        <v>186</v>
      </c>
      <c r="K42" s="232">
        <f t="shared" si="22"/>
        <v>8</v>
      </c>
      <c r="L42" s="232">
        <f t="shared" si="22"/>
        <v>0</v>
      </c>
      <c r="M42" s="233">
        <f t="shared" si="22"/>
        <v>0.2</v>
      </c>
      <c r="N42" s="52">
        <f t="shared" si="22"/>
        <v>160</v>
      </c>
      <c r="O42" s="232">
        <f t="shared" si="22"/>
        <v>150</v>
      </c>
      <c r="P42" s="50">
        <f t="shared" si="22"/>
        <v>210</v>
      </c>
    </row>
    <row r="43" spans="1:16" ht="15.75" thickBot="1" x14ac:dyDescent="0.3">
      <c r="A43" s="229">
        <f t="shared" si="3"/>
        <v>3570</v>
      </c>
      <c r="B43" s="230">
        <f t="shared" si="4"/>
        <v>33</v>
      </c>
      <c r="C43" s="218" t="str">
        <f>TEXT(RIGHT($B$2,LEN($B$2)-3),"L00")&amp;IF(G43&gt;0,"A","B")&amp;TEXT(D43,"00")&amp;"-"&amp;IF(L43&lt;0,TEXT(360+L43,"000"),TEXT(L43,"000"))&amp;"_"&amp;"000"&amp;"_01"</f>
        <v>L33A25-000_000_01</v>
      </c>
      <c r="D43" s="231">
        <f>v_out</f>
        <v>25</v>
      </c>
      <c r="E43" s="239">
        <f t="shared" ref="E43:E50" si="27">I_ref*(0.75*D43+5.6)</f>
        <v>3.4090000000000007</v>
      </c>
      <c r="F43" s="239">
        <f t="shared" ref="F43:F50" si="28">tur_scale</f>
        <v>42</v>
      </c>
      <c r="G43" s="51">
        <f>4*ATAN(E43/(D43*(1+0.1*(diameter/F43))))*180/PI()</f>
        <v>23.111430344853655</v>
      </c>
      <c r="H43" s="230" t="str">
        <f t="shared" si="22"/>
        <v>Half</v>
      </c>
      <c r="I43" s="50">
        <f t="shared" si="22"/>
        <v>6</v>
      </c>
      <c r="J43" s="235">
        <f>trig_t+t_startup_50_power</f>
        <v>180</v>
      </c>
      <c r="K43" s="232">
        <f t="shared" si="22"/>
        <v>8</v>
      </c>
      <c r="L43" s="232">
        <f t="shared" si="22"/>
        <v>0</v>
      </c>
      <c r="M43" s="233">
        <f t="shared" si="22"/>
        <v>0.2</v>
      </c>
      <c r="N43" s="52">
        <f t="shared" si="22"/>
        <v>160</v>
      </c>
      <c r="O43" s="232">
        <f t="shared" si="22"/>
        <v>150</v>
      </c>
      <c r="P43" s="50">
        <f t="shared" si="22"/>
        <v>210</v>
      </c>
    </row>
    <row r="44" spans="1:16" ht="15.75" thickBot="1" x14ac:dyDescent="0.3">
      <c r="A44" s="229">
        <f t="shared" si="3"/>
        <v>3571</v>
      </c>
      <c r="B44" s="230">
        <f t="shared" si="4"/>
        <v>34</v>
      </c>
      <c r="C44" s="218" t="str">
        <f>TEXT(RIGHT($B$2,LEN($B$2)-3),"L00")&amp;IF(G44&gt;0,"A","B")&amp;TEXT(D44,"00")&amp;"-"&amp;IF(L44&lt;0,TEXT(360+L44,"000"),TEXT(L44,"000"))&amp;"_"&amp;"000"&amp;"_02"</f>
        <v>L33A25-000_000_02</v>
      </c>
      <c r="D44" s="231">
        <f t="shared" ref="D44:D50" si="29">v_out</f>
        <v>25</v>
      </c>
      <c r="E44" s="239">
        <f t="shared" si="27"/>
        <v>3.4090000000000007</v>
      </c>
      <c r="F44" s="239">
        <f t="shared" si="28"/>
        <v>42</v>
      </c>
      <c r="G44" s="53">
        <f>G43</f>
        <v>23.111430344853655</v>
      </c>
      <c r="H44" s="230" t="str">
        <f t="shared" si="22"/>
        <v>Half</v>
      </c>
      <c r="I44" s="50">
        <f t="shared" si="22"/>
        <v>6</v>
      </c>
      <c r="J44" s="235">
        <f>trig_t+t_startup_50_power+(t_startup_95_power-t_startup_50_power)/3</f>
        <v>182</v>
      </c>
      <c r="K44" s="232">
        <f t="shared" si="22"/>
        <v>8</v>
      </c>
      <c r="L44" s="232">
        <f t="shared" si="22"/>
        <v>0</v>
      </c>
      <c r="M44" s="233">
        <f t="shared" si="22"/>
        <v>0.2</v>
      </c>
      <c r="N44" s="52">
        <f t="shared" si="22"/>
        <v>160</v>
      </c>
      <c r="O44" s="232">
        <f t="shared" si="22"/>
        <v>150</v>
      </c>
      <c r="P44" s="50">
        <f t="shared" si="22"/>
        <v>210</v>
      </c>
    </row>
    <row r="45" spans="1:16" ht="15.75" thickBot="1" x14ac:dyDescent="0.3">
      <c r="A45" s="229">
        <f t="shared" si="3"/>
        <v>3572</v>
      </c>
      <c r="B45" s="230">
        <f t="shared" si="4"/>
        <v>35</v>
      </c>
      <c r="C45" s="218" t="str">
        <f>TEXT(RIGHT($B$2,LEN($B$2)-3),"L00")&amp;IF(G45&gt;0,"A","B")&amp;TEXT(D45,"00")&amp;"-"&amp;IF(L45&lt;0,TEXT(360+L45,"000"),TEXT(L45,"000"))&amp;"_"&amp;"000"&amp;"_03"</f>
        <v>L33A25-000_000_03</v>
      </c>
      <c r="D45" s="231">
        <f t="shared" si="29"/>
        <v>25</v>
      </c>
      <c r="E45" s="239">
        <f t="shared" si="27"/>
        <v>3.4090000000000007</v>
      </c>
      <c r="F45" s="239">
        <f t="shared" si="28"/>
        <v>42</v>
      </c>
      <c r="G45" s="53">
        <f t="shared" ref="G45:P50" si="30">G44</f>
        <v>23.111430344853655</v>
      </c>
      <c r="H45" s="230" t="str">
        <f t="shared" si="30"/>
        <v>Half</v>
      </c>
      <c r="I45" s="50">
        <f t="shared" si="30"/>
        <v>6</v>
      </c>
      <c r="J45" s="235">
        <f>trig_t+t_startup_50_power+(t_startup_95_power-t_startup_50_power)*2/3</f>
        <v>184</v>
      </c>
      <c r="K45" s="232">
        <f t="shared" si="30"/>
        <v>8</v>
      </c>
      <c r="L45" s="232">
        <f t="shared" si="30"/>
        <v>0</v>
      </c>
      <c r="M45" s="233">
        <f t="shared" si="30"/>
        <v>0.2</v>
      </c>
      <c r="N45" s="52">
        <f t="shared" si="30"/>
        <v>160</v>
      </c>
      <c r="O45" s="232">
        <f t="shared" si="30"/>
        <v>150</v>
      </c>
      <c r="P45" s="50">
        <f t="shared" si="30"/>
        <v>210</v>
      </c>
    </row>
    <row r="46" spans="1:16" ht="15.75" thickBot="1" x14ac:dyDescent="0.3">
      <c r="A46" s="229">
        <f t="shared" si="3"/>
        <v>3573</v>
      </c>
      <c r="B46" s="230">
        <f t="shared" si="4"/>
        <v>36</v>
      </c>
      <c r="C46" s="218" t="str">
        <f>TEXT(RIGHT($B$2,LEN($B$2)-3),"L00")&amp;IF(G46&gt;0,"A","B")&amp;TEXT(D46,"00")&amp;"-"&amp;IF(L46&lt;0,TEXT(360+L46,"000"),TEXT(L46,"000"))&amp;"_"&amp;"000"&amp;"_04"</f>
        <v>L33A25-000_000_04</v>
      </c>
      <c r="D46" s="231">
        <f t="shared" si="29"/>
        <v>25</v>
      </c>
      <c r="E46" s="239">
        <f t="shared" si="27"/>
        <v>3.4090000000000007</v>
      </c>
      <c r="F46" s="239">
        <f t="shared" si="28"/>
        <v>42</v>
      </c>
      <c r="G46" s="53">
        <f t="shared" si="30"/>
        <v>23.111430344853655</v>
      </c>
      <c r="H46" s="230" t="str">
        <f t="shared" si="30"/>
        <v>Half</v>
      </c>
      <c r="I46" s="50">
        <f t="shared" si="30"/>
        <v>6</v>
      </c>
      <c r="J46" s="235">
        <f>trig_t+t_startup_95_power</f>
        <v>186</v>
      </c>
      <c r="K46" s="232">
        <f t="shared" si="30"/>
        <v>8</v>
      </c>
      <c r="L46" s="232">
        <f t="shared" si="30"/>
        <v>0</v>
      </c>
      <c r="M46" s="233">
        <f t="shared" si="30"/>
        <v>0.2</v>
      </c>
      <c r="N46" s="52">
        <f t="shared" si="30"/>
        <v>160</v>
      </c>
      <c r="O46" s="232">
        <f t="shared" si="30"/>
        <v>150</v>
      </c>
      <c r="P46" s="50">
        <f t="shared" si="30"/>
        <v>210</v>
      </c>
    </row>
    <row r="47" spans="1:16" ht="15.75" thickBot="1" x14ac:dyDescent="0.3">
      <c r="A47" s="229">
        <f t="shared" si="3"/>
        <v>3574</v>
      </c>
      <c r="B47" s="230">
        <f t="shared" si="4"/>
        <v>37</v>
      </c>
      <c r="C47" s="218" t="str">
        <f>TEXT(RIGHT($B$2,LEN($B$2)-3),"L00")&amp;IF(G47&gt;0,"A","B")&amp;TEXT(D47,"00")&amp;"-"&amp;IF(L47&lt;0,TEXT(360+L47,"000"),TEXT(L47,"000"))&amp;"_"&amp;"000"&amp;"_01"</f>
        <v>L33B25-000_000_01</v>
      </c>
      <c r="D47" s="231">
        <f t="shared" si="29"/>
        <v>25</v>
      </c>
      <c r="E47" s="239">
        <f t="shared" si="27"/>
        <v>3.4090000000000007</v>
      </c>
      <c r="F47" s="239">
        <f t="shared" si="28"/>
        <v>42</v>
      </c>
      <c r="G47" s="51">
        <f>-4*ATAN(E47/(D47*(1+0.1*(diameter/F47))))*180/PI()</f>
        <v>-23.111430344853655</v>
      </c>
      <c r="H47" s="230" t="str">
        <f t="shared" si="30"/>
        <v>Half</v>
      </c>
      <c r="I47" s="50">
        <f t="shared" si="30"/>
        <v>6</v>
      </c>
      <c r="J47" s="235">
        <f>trig_t+t_startup_50_power</f>
        <v>180</v>
      </c>
      <c r="K47" s="232">
        <f t="shared" si="30"/>
        <v>8</v>
      </c>
      <c r="L47" s="232">
        <f t="shared" si="30"/>
        <v>0</v>
      </c>
      <c r="M47" s="233">
        <f t="shared" si="30"/>
        <v>0.2</v>
      </c>
      <c r="N47" s="52">
        <f t="shared" si="30"/>
        <v>160</v>
      </c>
      <c r="O47" s="232">
        <f t="shared" si="30"/>
        <v>150</v>
      </c>
      <c r="P47" s="50">
        <f t="shared" si="30"/>
        <v>210</v>
      </c>
    </row>
    <row r="48" spans="1:16" ht="15.75" thickBot="1" x14ac:dyDescent="0.3">
      <c r="A48" s="229">
        <f t="shared" si="3"/>
        <v>3575</v>
      </c>
      <c r="B48" s="230">
        <f t="shared" si="4"/>
        <v>38</v>
      </c>
      <c r="C48" s="218" t="str">
        <f>TEXT(RIGHT($B$2,LEN($B$2)-3),"L00")&amp;IF(G48&gt;0,"A","B")&amp;TEXT(D48,"00")&amp;"-"&amp;IF(L48&lt;0,TEXT(360+L48,"000"),TEXT(L48,"000"))&amp;"_"&amp;"000"&amp;"_02"</f>
        <v>L33B25-000_000_02</v>
      </c>
      <c r="D48" s="231">
        <f t="shared" si="29"/>
        <v>25</v>
      </c>
      <c r="E48" s="239">
        <f t="shared" si="27"/>
        <v>3.4090000000000007</v>
      </c>
      <c r="F48" s="239">
        <f t="shared" si="28"/>
        <v>42</v>
      </c>
      <c r="G48" s="53">
        <f t="shared" si="30"/>
        <v>-23.111430344853655</v>
      </c>
      <c r="H48" s="230" t="str">
        <f t="shared" si="30"/>
        <v>Half</v>
      </c>
      <c r="I48" s="50">
        <f t="shared" si="30"/>
        <v>6</v>
      </c>
      <c r="J48" s="235">
        <f>trig_t+t_startup_50_power+(t_startup_95_power-t_startup_50_power)/3</f>
        <v>182</v>
      </c>
      <c r="K48" s="232">
        <f t="shared" si="30"/>
        <v>8</v>
      </c>
      <c r="L48" s="232">
        <f t="shared" si="30"/>
        <v>0</v>
      </c>
      <c r="M48" s="233">
        <f t="shared" si="30"/>
        <v>0.2</v>
      </c>
      <c r="N48" s="52">
        <f t="shared" si="30"/>
        <v>160</v>
      </c>
      <c r="O48" s="232">
        <f t="shared" si="30"/>
        <v>150</v>
      </c>
      <c r="P48" s="50">
        <f t="shared" si="30"/>
        <v>210</v>
      </c>
    </row>
    <row r="49" spans="1:16" ht="15.75" thickBot="1" x14ac:dyDescent="0.3">
      <c r="A49" s="229">
        <f t="shared" si="3"/>
        <v>3576</v>
      </c>
      <c r="B49" s="230">
        <f t="shared" si="4"/>
        <v>39</v>
      </c>
      <c r="C49" s="218" t="str">
        <f>TEXT(RIGHT($B$2,LEN($B$2)-3),"L00")&amp;IF(G49&gt;0,"A","B")&amp;TEXT(D49,"00")&amp;"-"&amp;IF(L49&lt;0,TEXT(360+L49,"000"),TEXT(L49,"000"))&amp;"_"&amp;"000"&amp;"_03"</f>
        <v>L33B25-000_000_03</v>
      </c>
      <c r="D49" s="231">
        <f t="shared" si="29"/>
        <v>25</v>
      </c>
      <c r="E49" s="239">
        <f t="shared" si="27"/>
        <v>3.4090000000000007</v>
      </c>
      <c r="F49" s="239">
        <f t="shared" si="28"/>
        <v>42</v>
      </c>
      <c r="G49" s="53">
        <f t="shared" si="30"/>
        <v>-23.111430344853655</v>
      </c>
      <c r="H49" s="230" t="str">
        <f t="shared" si="30"/>
        <v>Half</v>
      </c>
      <c r="I49" s="50">
        <f t="shared" si="30"/>
        <v>6</v>
      </c>
      <c r="J49" s="235">
        <f>trig_t+t_startup_50_power+(t_startup_95_power-t_startup_50_power)*2/3</f>
        <v>184</v>
      </c>
      <c r="K49" s="232">
        <f t="shared" si="30"/>
        <v>8</v>
      </c>
      <c r="L49" s="232">
        <f t="shared" si="30"/>
        <v>0</v>
      </c>
      <c r="M49" s="233">
        <f t="shared" si="30"/>
        <v>0.2</v>
      </c>
      <c r="N49" s="52">
        <f t="shared" si="30"/>
        <v>160</v>
      </c>
      <c r="O49" s="232">
        <f t="shared" si="30"/>
        <v>150</v>
      </c>
      <c r="P49" s="50">
        <f t="shared" si="30"/>
        <v>210</v>
      </c>
    </row>
    <row r="50" spans="1:16" x14ac:dyDescent="0.25">
      <c r="A50" s="229">
        <f t="shared" si="3"/>
        <v>3577</v>
      </c>
      <c r="B50" s="230">
        <f t="shared" si="4"/>
        <v>40</v>
      </c>
      <c r="C50" s="218" t="str">
        <f>TEXT(RIGHT($B$2,LEN($B$2)-3),"L00")&amp;IF(G50&gt;0,"A","B")&amp;TEXT(D50,"00")&amp;"-"&amp;IF(L50&lt;0,TEXT(360+L50,"000"),TEXT(L50,"000"))&amp;"_"&amp;"000"&amp;"_04"</f>
        <v>L33B25-000_000_04</v>
      </c>
      <c r="D50" s="231">
        <f t="shared" si="29"/>
        <v>25</v>
      </c>
      <c r="E50" s="239">
        <f t="shared" si="27"/>
        <v>3.4090000000000007</v>
      </c>
      <c r="F50" s="239">
        <f t="shared" si="28"/>
        <v>42</v>
      </c>
      <c r="G50" s="53">
        <f t="shared" si="30"/>
        <v>-23.111430344853655</v>
      </c>
      <c r="H50" s="230" t="str">
        <f t="shared" si="30"/>
        <v>Half</v>
      </c>
      <c r="I50" s="50">
        <f t="shared" si="30"/>
        <v>6</v>
      </c>
      <c r="J50" s="235">
        <f>trig_t+t_startup_95_power</f>
        <v>186</v>
      </c>
      <c r="K50" s="232">
        <f t="shared" si="30"/>
        <v>8</v>
      </c>
      <c r="L50" s="232">
        <f t="shared" si="30"/>
        <v>0</v>
      </c>
      <c r="M50" s="233">
        <f t="shared" si="30"/>
        <v>0.2</v>
      </c>
      <c r="N50" s="52">
        <f t="shared" si="30"/>
        <v>160</v>
      </c>
      <c r="O50" s="232">
        <f t="shared" si="30"/>
        <v>150</v>
      </c>
      <c r="P50" s="50">
        <f t="shared" si="30"/>
        <v>210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46"/>
  <sheetViews>
    <sheetView topLeftCell="B1" zoomScaleNormal="100" workbookViewId="0">
      <selection activeCell="T25" sqref="T25"/>
    </sheetView>
  </sheetViews>
  <sheetFormatPr defaultColWidth="9" defaultRowHeight="15" x14ac:dyDescent="0.15"/>
  <cols>
    <col min="1" max="1" width="7" style="23" customWidth="1"/>
    <col min="2" max="2" width="6.875" style="23" customWidth="1"/>
    <col min="3" max="3" width="19" style="23" customWidth="1"/>
    <col min="4" max="6" width="7.375" style="23" customWidth="1"/>
    <col min="7" max="7" width="7.875" style="23" customWidth="1"/>
    <col min="8" max="8" width="7.875" style="182" customWidth="1"/>
    <col min="9" max="9" width="7.875" style="23" customWidth="1"/>
    <col min="10" max="11" width="6.375" style="23" customWidth="1"/>
    <col min="12" max="16384" width="9" style="23"/>
  </cols>
  <sheetData>
    <row r="1" spans="1:16" x14ac:dyDescent="0.15">
      <c r="I1" s="22" t="s">
        <v>135</v>
      </c>
      <c r="J1" s="216" t="s">
        <v>3965</v>
      </c>
    </row>
    <row r="2" spans="1:16" x14ac:dyDescent="0.15">
      <c r="B2" s="22" t="s">
        <v>107</v>
      </c>
      <c r="C2" s="22"/>
      <c r="D2" s="22"/>
      <c r="E2" s="22"/>
      <c r="I2" s="22"/>
      <c r="J2" s="216" t="s">
        <v>3928</v>
      </c>
    </row>
    <row r="3" spans="1:16" x14ac:dyDescent="0.15">
      <c r="B3" s="22" t="s">
        <v>88</v>
      </c>
      <c r="C3" s="22"/>
      <c r="D3" s="22"/>
      <c r="E3" s="22" t="s">
        <v>102</v>
      </c>
      <c r="I3" s="22"/>
      <c r="J3" s="240" t="s">
        <v>3939</v>
      </c>
    </row>
    <row r="4" spans="1:16" x14ac:dyDescent="0.15">
      <c r="B4" s="22" t="s">
        <v>89</v>
      </c>
      <c r="C4" s="22"/>
      <c r="D4" s="22"/>
      <c r="E4" s="22" t="s">
        <v>108</v>
      </c>
      <c r="I4" s="22"/>
      <c r="J4" s="216" t="s">
        <v>3937</v>
      </c>
    </row>
    <row r="5" spans="1:16" x14ac:dyDescent="0.15">
      <c r="B5" s="22" t="s">
        <v>91</v>
      </c>
      <c r="C5" s="22"/>
      <c r="D5" s="22"/>
      <c r="E5" s="22" t="s">
        <v>890</v>
      </c>
      <c r="J5" s="240" t="s">
        <v>3940</v>
      </c>
    </row>
    <row r="6" spans="1:16" x14ac:dyDescent="0.15">
      <c r="B6" s="22" t="s">
        <v>93</v>
      </c>
      <c r="C6" s="22"/>
      <c r="D6" s="22"/>
      <c r="E6" s="22" t="s">
        <v>891</v>
      </c>
      <c r="J6" s="216" t="s">
        <v>3932</v>
      </c>
    </row>
    <row r="7" spans="1:16" x14ac:dyDescent="0.15">
      <c r="A7" s="46"/>
      <c r="B7" s="46"/>
      <c r="C7" s="46"/>
      <c r="D7" s="46"/>
      <c r="E7" s="46"/>
      <c r="F7" s="46"/>
      <c r="G7" s="46"/>
      <c r="H7" s="139"/>
      <c r="I7" s="46"/>
      <c r="J7" s="216" t="s">
        <v>3930</v>
      </c>
      <c r="K7" s="46"/>
      <c r="L7" s="46"/>
      <c r="M7" s="46"/>
      <c r="N7" s="46"/>
    </row>
    <row r="8" spans="1:16" ht="15.75" thickBot="1" x14ac:dyDescent="0.2">
      <c r="A8" s="46">
        <v>1</v>
      </c>
      <c r="B8" s="46">
        <v>2</v>
      </c>
      <c r="C8" s="139">
        <v>3</v>
      </c>
      <c r="D8" s="139">
        <v>4</v>
      </c>
      <c r="E8" s="139">
        <v>5</v>
      </c>
      <c r="F8" s="139">
        <v>6</v>
      </c>
      <c r="G8" s="139">
        <v>7</v>
      </c>
      <c r="H8" s="139">
        <v>8</v>
      </c>
      <c r="I8" s="139">
        <v>9</v>
      </c>
      <c r="J8" s="139">
        <v>10</v>
      </c>
      <c r="K8" s="139">
        <v>11</v>
      </c>
      <c r="L8" s="46"/>
      <c r="M8" s="46"/>
      <c r="N8" s="46"/>
    </row>
    <row r="9" spans="1:16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25" t="s">
        <v>144</v>
      </c>
      <c r="F9" s="25" t="s">
        <v>2</v>
      </c>
      <c r="G9" s="26" t="s">
        <v>150</v>
      </c>
      <c r="H9" s="184" t="s">
        <v>13</v>
      </c>
      <c r="I9" s="25" t="s">
        <v>161</v>
      </c>
      <c r="J9" s="27" t="s">
        <v>138</v>
      </c>
      <c r="K9" s="27" t="s">
        <v>139</v>
      </c>
      <c r="M9" s="28" t="s">
        <v>85</v>
      </c>
      <c r="N9" s="28" t="s">
        <v>250</v>
      </c>
    </row>
    <row r="10" spans="1:16" ht="15.75" thickBot="1" x14ac:dyDescent="0.3">
      <c r="A10" s="29" t="s">
        <v>76</v>
      </c>
      <c r="B10" s="30" t="str">
        <f>B2</f>
        <v>DLC41</v>
      </c>
      <c r="C10" s="222"/>
      <c r="D10" s="30" t="s">
        <v>4</v>
      </c>
      <c r="E10" s="30" t="s">
        <v>6</v>
      </c>
      <c r="F10" s="30" t="s">
        <v>6</v>
      </c>
      <c r="G10" s="31"/>
      <c r="H10" s="190" t="s">
        <v>7</v>
      </c>
      <c r="I10" s="30" t="s">
        <v>17</v>
      </c>
      <c r="J10" s="32" t="s">
        <v>7</v>
      </c>
      <c r="K10" s="32" t="s">
        <v>7</v>
      </c>
      <c r="M10" s="33" t="s">
        <v>76</v>
      </c>
      <c r="N10" s="28" t="s">
        <v>251</v>
      </c>
    </row>
    <row r="11" spans="1:16" x14ac:dyDescent="0.25">
      <c r="A11" s="24">
        <f>'DLC33'!A50+1</f>
        <v>3578</v>
      </c>
      <c r="B11" s="234">
        <v>1</v>
      </c>
      <c r="C11" s="246" t="str">
        <f>TEXT(RIGHT($B$2,LEN($B$2)-3),"L00")&amp;"X"&amp;TEXT(D11,"00")&amp;"-"&amp;IF(F11&lt;0,TEXT(360+F11,"000"),TEXT(F11,"000"))&amp;"_"&amp;TEXT(H11,"000")&amp;"_00"</f>
        <v>L41X04-352_000_00</v>
      </c>
      <c r="D11" s="243">
        <f>v_in+1</f>
        <v>4</v>
      </c>
      <c r="E11" s="35">
        <f>inflow</f>
        <v>8</v>
      </c>
      <c r="F11" s="193">
        <f>yaw_min</f>
        <v>-8</v>
      </c>
      <c r="G11" s="194">
        <f t="shared" ref="G11:G46" si="0">alpha_n</f>
        <v>0.2</v>
      </c>
      <c r="H11" s="49">
        <v>0</v>
      </c>
      <c r="I11" s="35">
        <f>trig_t</f>
        <v>160</v>
      </c>
      <c r="J11" s="44">
        <f>t_out</f>
        <v>150</v>
      </c>
      <c r="K11" s="44">
        <f>J11+T_s1</f>
        <v>750</v>
      </c>
      <c r="M11" s="40">
        <f t="shared" ref="M11:M22" si="1">T_nshut1/12</f>
        <v>83.333333333333329</v>
      </c>
      <c r="N11" s="40" t="s">
        <v>21</v>
      </c>
      <c r="O11" s="163">
        <f>M11*20</f>
        <v>1666.6666666666665</v>
      </c>
      <c r="P11" s="163">
        <f>O11*(K11-J11)/3600</f>
        <v>277.77777777777777</v>
      </c>
    </row>
    <row r="12" spans="1:16" x14ac:dyDescent="0.25">
      <c r="A12" s="41">
        <f t="shared" ref="A12:B12" si="2">A11+1</f>
        <v>3579</v>
      </c>
      <c r="B12" s="245">
        <f t="shared" si="2"/>
        <v>2</v>
      </c>
      <c r="C12" s="246" t="str">
        <f t="shared" ref="C12:C46" si="3">TEXT(RIGHT($B$2,LEN($B$2)-3),"L00")&amp;"X"&amp;TEXT(D12,"00")&amp;"-"&amp;IF(F12&lt;0,TEXT(360+F12,"000"),TEXT(F12,"000"))&amp;"_"&amp;TEXT(H12,"000")&amp;"_00"</f>
        <v>L41X04-352_030_00</v>
      </c>
      <c r="D12" s="244">
        <f>D11</f>
        <v>4</v>
      </c>
      <c r="E12" s="44">
        <f t="shared" ref="E12:K13" si="4">E11</f>
        <v>8</v>
      </c>
      <c r="F12" s="199">
        <f>yaw_min</f>
        <v>-8</v>
      </c>
      <c r="G12" s="194">
        <f t="shared" si="0"/>
        <v>0.2</v>
      </c>
      <c r="H12" s="49">
        <v>30</v>
      </c>
      <c r="I12" s="44">
        <f t="shared" si="4"/>
        <v>160</v>
      </c>
      <c r="J12" s="44">
        <f t="shared" si="4"/>
        <v>150</v>
      </c>
      <c r="K12" s="44">
        <f t="shared" si="4"/>
        <v>750</v>
      </c>
      <c r="M12" s="40">
        <f t="shared" si="1"/>
        <v>83.333333333333329</v>
      </c>
      <c r="N12" s="40" t="str">
        <f>N11</f>
        <v>T</v>
      </c>
      <c r="O12" s="163">
        <f t="shared" ref="O12:O37" si="5">M12*20</f>
        <v>1666.6666666666665</v>
      </c>
      <c r="P12" s="163">
        <f t="shared" ref="P12:P37" si="6">O12*(K12-J12)/3600</f>
        <v>277.77777777777777</v>
      </c>
    </row>
    <row r="13" spans="1:16" x14ac:dyDescent="0.25">
      <c r="A13" s="229">
        <f t="shared" ref="A13:B13" si="7">A12+1</f>
        <v>3580</v>
      </c>
      <c r="B13" s="245">
        <f t="shared" si="7"/>
        <v>3</v>
      </c>
      <c r="C13" s="246" t="str">
        <f t="shared" si="3"/>
        <v>L41X04-352_060_00</v>
      </c>
      <c r="D13" s="244">
        <f>D12</f>
        <v>4</v>
      </c>
      <c r="E13" s="44">
        <f t="shared" si="4"/>
        <v>8</v>
      </c>
      <c r="F13" s="199">
        <f>yaw_min</f>
        <v>-8</v>
      </c>
      <c r="G13" s="194">
        <f t="shared" si="0"/>
        <v>0.2</v>
      </c>
      <c r="H13" s="49">
        <v>60</v>
      </c>
      <c r="I13" s="44">
        <f t="shared" si="4"/>
        <v>160</v>
      </c>
      <c r="J13" s="44">
        <f t="shared" si="4"/>
        <v>150</v>
      </c>
      <c r="K13" s="44">
        <f t="shared" si="4"/>
        <v>750</v>
      </c>
      <c r="M13" s="40">
        <f t="shared" si="1"/>
        <v>83.333333333333329</v>
      </c>
      <c r="N13" s="40" t="str">
        <f t="shared" ref="N13:N46" si="8">N12</f>
        <v>T</v>
      </c>
      <c r="O13" s="163">
        <f t="shared" si="5"/>
        <v>1666.6666666666665</v>
      </c>
      <c r="P13" s="163">
        <f t="shared" si="6"/>
        <v>277.77777777777777</v>
      </c>
    </row>
    <row r="14" spans="1:16" s="182" customFormat="1" x14ac:dyDescent="0.25">
      <c r="A14" s="229">
        <f t="shared" ref="A14:B14" si="9">A13+1</f>
        <v>3581</v>
      </c>
      <c r="B14" s="245">
        <f t="shared" si="9"/>
        <v>4</v>
      </c>
      <c r="C14" s="246" t="str">
        <f t="shared" si="3"/>
        <v>L41X04-352_090_00</v>
      </c>
      <c r="D14" s="244">
        <f t="shared" ref="D14:E22" si="10">D13</f>
        <v>4</v>
      </c>
      <c r="E14" s="198">
        <f t="shared" si="10"/>
        <v>8</v>
      </c>
      <c r="F14" s="199">
        <f>yaw_min</f>
        <v>-8</v>
      </c>
      <c r="G14" s="194">
        <f t="shared" si="0"/>
        <v>0.2</v>
      </c>
      <c r="H14" s="49">
        <v>90</v>
      </c>
      <c r="I14" s="198">
        <f t="shared" ref="I14:K14" si="11">I13</f>
        <v>160</v>
      </c>
      <c r="J14" s="198">
        <f t="shared" si="11"/>
        <v>150</v>
      </c>
      <c r="K14" s="198">
        <f t="shared" si="11"/>
        <v>750</v>
      </c>
      <c r="M14" s="40">
        <f t="shared" si="1"/>
        <v>83.333333333333329</v>
      </c>
      <c r="N14" s="40" t="s">
        <v>21</v>
      </c>
      <c r="O14" s="182">
        <f>M14*20</f>
        <v>1666.6666666666665</v>
      </c>
      <c r="P14" s="182">
        <f>O14*(K14-J14)/3600</f>
        <v>277.77777777777777</v>
      </c>
    </row>
    <row r="15" spans="1:16" s="182" customFormat="1" x14ac:dyDescent="0.25">
      <c r="A15" s="229">
        <f t="shared" ref="A15:B15" si="12">A14+1</f>
        <v>3582</v>
      </c>
      <c r="B15" s="245">
        <f t="shared" si="12"/>
        <v>5</v>
      </c>
      <c r="C15" s="246" t="str">
        <f t="shared" si="3"/>
        <v>L41X04-000_000_00</v>
      </c>
      <c r="D15" s="244">
        <f t="shared" si="10"/>
        <v>4</v>
      </c>
      <c r="E15" s="198">
        <f t="shared" si="10"/>
        <v>8</v>
      </c>
      <c r="F15" s="199">
        <f>yaw_null</f>
        <v>0</v>
      </c>
      <c r="G15" s="194">
        <f t="shared" si="0"/>
        <v>0.2</v>
      </c>
      <c r="H15" s="49">
        <v>0</v>
      </c>
      <c r="I15" s="198">
        <f t="shared" ref="I15:K15" si="13">I14</f>
        <v>160</v>
      </c>
      <c r="J15" s="198">
        <f t="shared" si="13"/>
        <v>150</v>
      </c>
      <c r="K15" s="198">
        <f t="shared" si="13"/>
        <v>750</v>
      </c>
      <c r="M15" s="40">
        <f t="shared" si="1"/>
        <v>83.333333333333329</v>
      </c>
      <c r="N15" s="40" t="str">
        <f>N14</f>
        <v>T</v>
      </c>
      <c r="O15" s="182">
        <f t="shared" ref="O15:O16" si="14">M15*20</f>
        <v>1666.6666666666665</v>
      </c>
      <c r="P15" s="182">
        <f t="shared" ref="P15:P16" si="15">O15*(K15-J15)/3600</f>
        <v>277.77777777777777</v>
      </c>
    </row>
    <row r="16" spans="1:16" s="182" customFormat="1" x14ac:dyDescent="0.25">
      <c r="A16" s="229">
        <f t="shared" ref="A16:B16" si="16">A15+1</f>
        <v>3583</v>
      </c>
      <c r="B16" s="245">
        <f t="shared" si="16"/>
        <v>6</v>
      </c>
      <c r="C16" s="246" t="str">
        <f t="shared" si="3"/>
        <v>L41X04-000_030_00</v>
      </c>
      <c r="D16" s="244">
        <f t="shared" si="10"/>
        <v>4</v>
      </c>
      <c r="E16" s="198">
        <f t="shared" si="10"/>
        <v>8</v>
      </c>
      <c r="F16" s="199">
        <f>yaw_null</f>
        <v>0</v>
      </c>
      <c r="G16" s="194">
        <f t="shared" si="0"/>
        <v>0.2</v>
      </c>
      <c r="H16" s="49">
        <v>30</v>
      </c>
      <c r="I16" s="198">
        <f t="shared" ref="I16:K16" si="17">I15</f>
        <v>160</v>
      </c>
      <c r="J16" s="198">
        <f t="shared" si="17"/>
        <v>150</v>
      </c>
      <c r="K16" s="198">
        <f t="shared" si="17"/>
        <v>750</v>
      </c>
      <c r="M16" s="40">
        <f t="shared" si="1"/>
        <v>83.333333333333329</v>
      </c>
      <c r="N16" s="40" t="str">
        <f t="shared" si="8"/>
        <v>T</v>
      </c>
      <c r="O16" s="182">
        <f t="shared" si="14"/>
        <v>1666.6666666666665</v>
      </c>
      <c r="P16" s="182">
        <f t="shared" si="15"/>
        <v>277.77777777777777</v>
      </c>
    </row>
    <row r="17" spans="1:16" s="182" customFormat="1" x14ac:dyDescent="0.25">
      <c r="A17" s="229">
        <f t="shared" ref="A17:B17" si="18">A16+1</f>
        <v>3584</v>
      </c>
      <c r="B17" s="245">
        <f t="shared" si="18"/>
        <v>7</v>
      </c>
      <c r="C17" s="246" t="str">
        <f t="shared" si="3"/>
        <v>L41X04-000_060_00</v>
      </c>
      <c r="D17" s="244">
        <f t="shared" si="10"/>
        <v>4</v>
      </c>
      <c r="E17" s="198">
        <f t="shared" si="10"/>
        <v>8</v>
      </c>
      <c r="F17" s="199">
        <f>yaw_null</f>
        <v>0</v>
      </c>
      <c r="G17" s="194">
        <f t="shared" si="0"/>
        <v>0.2</v>
      </c>
      <c r="H17" s="49">
        <v>60</v>
      </c>
      <c r="I17" s="198">
        <f t="shared" ref="I17:K17" si="19">I16</f>
        <v>160</v>
      </c>
      <c r="J17" s="198">
        <f t="shared" si="19"/>
        <v>150</v>
      </c>
      <c r="K17" s="198">
        <f t="shared" si="19"/>
        <v>750</v>
      </c>
      <c r="M17" s="40">
        <f t="shared" si="1"/>
        <v>83.333333333333329</v>
      </c>
      <c r="N17" s="40" t="s">
        <v>21</v>
      </c>
      <c r="O17" s="182">
        <f>M17*20</f>
        <v>1666.6666666666665</v>
      </c>
      <c r="P17" s="182">
        <f>O17*(K17-J17)/3600</f>
        <v>277.77777777777777</v>
      </c>
    </row>
    <row r="18" spans="1:16" s="182" customFormat="1" x14ac:dyDescent="0.25">
      <c r="A18" s="229">
        <f t="shared" ref="A18:B18" si="20">A17+1</f>
        <v>3585</v>
      </c>
      <c r="B18" s="245">
        <f t="shared" si="20"/>
        <v>8</v>
      </c>
      <c r="C18" s="246" t="str">
        <f t="shared" si="3"/>
        <v>L41X04-000_090_00</v>
      </c>
      <c r="D18" s="244">
        <f t="shared" si="10"/>
        <v>4</v>
      </c>
      <c r="E18" s="198">
        <f t="shared" si="10"/>
        <v>8</v>
      </c>
      <c r="F18" s="199">
        <f>yaw_null</f>
        <v>0</v>
      </c>
      <c r="G18" s="194">
        <f t="shared" si="0"/>
        <v>0.2</v>
      </c>
      <c r="H18" s="49">
        <v>90</v>
      </c>
      <c r="I18" s="198">
        <f t="shared" ref="I18:K18" si="21">I17</f>
        <v>160</v>
      </c>
      <c r="J18" s="198">
        <f t="shared" si="21"/>
        <v>150</v>
      </c>
      <c r="K18" s="198">
        <f t="shared" si="21"/>
        <v>750</v>
      </c>
      <c r="M18" s="40">
        <f t="shared" si="1"/>
        <v>83.333333333333329</v>
      </c>
      <c r="N18" s="40" t="str">
        <f>N17</f>
        <v>T</v>
      </c>
      <c r="O18" s="182">
        <f t="shared" ref="O18:O19" si="22">M18*20</f>
        <v>1666.6666666666665</v>
      </c>
      <c r="P18" s="182">
        <f t="shared" ref="P18:P19" si="23">O18*(K18-J18)/3600</f>
        <v>277.77777777777777</v>
      </c>
    </row>
    <row r="19" spans="1:16" s="182" customFormat="1" x14ac:dyDescent="0.25">
      <c r="A19" s="229">
        <f t="shared" ref="A19:B19" si="24">A18+1</f>
        <v>3586</v>
      </c>
      <c r="B19" s="245">
        <f t="shared" si="24"/>
        <v>9</v>
      </c>
      <c r="C19" s="246" t="str">
        <f t="shared" si="3"/>
        <v>L41X04-008_000_00</v>
      </c>
      <c r="D19" s="244">
        <f t="shared" si="10"/>
        <v>4</v>
      </c>
      <c r="E19" s="198">
        <f t="shared" si="10"/>
        <v>8</v>
      </c>
      <c r="F19" s="199">
        <f>yaw_max</f>
        <v>8</v>
      </c>
      <c r="G19" s="194">
        <f t="shared" si="0"/>
        <v>0.2</v>
      </c>
      <c r="H19" s="49">
        <v>0</v>
      </c>
      <c r="I19" s="198">
        <f t="shared" ref="I19:K19" si="25">I18</f>
        <v>160</v>
      </c>
      <c r="J19" s="198">
        <f t="shared" si="25"/>
        <v>150</v>
      </c>
      <c r="K19" s="198">
        <f t="shared" si="25"/>
        <v>750</v>
      </c>
      <c r="M19" s="40">
        <f t="shared" si="1"/>
        <v>83.333333333333329</v>
      </c>
      <c r="N19" s="40" t="str">
        <f t="shared" si="8"/>
        <v>T</v>
      </c>
      <c r="O19" s="182">
        <f t="shared" si="22"/>
        <v>1666.6666666666665</v>
      </c>
      <c r="P19" s="182">
        <f t="shared" si="23"/>
        <v>277.77777777777777</v>
      </c>
    </row>
    <row r="20" spans="1:16" s="182" customFormat="1" x14ac:dyDescent="0.25">
      <c r="A20" s="229">
        <f t="shared" ref="A20:B20" si="26">A19+1</f>
        <v>3587</v>
      </c>
      <c r="B20" s="245">
        <f t="shared" si="26"/>
        <v>10</v>
      </c>
      <c r="C20" s="246" t="str">
        <f t="shared" si="3"/>
        <v>L41X04-008_030_00</v>
      </c>
      <c r="D20" s="244">
        <f t="shared" si="10"/>
        <v>4</v>
      </c>
      <c r="E20" s="198">
        <f t="shared" si="10"/>
        <v>8</v>
      </c>
      <c r="F20" s="199">
        <f>yaw_max</f>
        <v>8</v>
      </c>
      <c r="G20" s="194">
        <f t="shared" si="0"/>
        <v>0.2</v>
      </c>
      <c r="H20" s="49">
        <v>30</v>
      </c>
      <c r="I20" s="198">
        <f t="shared" ref="I20:K20" si="27">I19</f>
        <v>160</v>
      </c>
      <c r="J20" s="198">
        <f t="shared" si="27"/>
        <v>150</v>
      </c>
      <c r="K20" s="198">
        <f t="shared" si="27"/>
        <v>750</v>
      </c>
      <c r="M20" s="40">
        <f t="shared" si="1"/>
        <v>83.333333333333329</v>
      </c>
      <c r="N20" s="40" t="s">
        <v>21</v>
      </c>
      <c r="O20" s="182">
        <f>M20*20</f>
        <v>1666.6666666666665</v>
      </c>
      <c r="P20" s="182">
        <f>O20*(K20-J20)/3600</f>
        <v>277.77777777777777</v>
      </c>
    </row>
    <row r="21" spans="1:16" s="182" customFormat="1" x14ac:dyDescent="0.25">
      <c r="A21" s="229">
        <f t="shared" ref="A21:B21" si="28">A20+1</f>
        <v>3588</v>
      </c>
      <c r="B21" s="245">
        <f t="shared" si="28"/>
        <v>11</v>
      </c>
      <c r="C21" s="246" t="str">
        <f t="shared" si="3"/>
        <v>L41X04-008_060_00</v>
      </c>
      <c r="D21" s="244">
        <f t="shared" si="10"/>
        <v>4</v>
      </c>
      <c r="E21" s="198">
        <f t="shared" si="10"/>
        <v>8</v>
      </c>
      <c r="F21" s="199">
        <f>yaw_max</f>
        <v>8</v>
      </c>
      <c r="G21" s="194">
        <f t="shared" si="0"/>
        <v>0.2</v>
      </c>
      <c r="H21" s="49">
        <v>60</v>
      </c>
      <c r="I21" s="198">
        <f t="shared" ref="I21:K21" si="29">I20</f>
        <v>160</v>
      </c>
      <c r="J21" s="198">
        <f t="shared" si="29"/>
        <v>150</v>
      </c>
      <c r="K21" s="198">
        <f t="shared" si="29"/>
        <v>750</v>
      </c>
      <c r="M21" s="40">
        <f t="shared" si="1"/>
        <v>83.333333333333329</v>
      </c>
      <c r="N21" s="40" t="str">
        <f>N20</f>
        <v>T</v>
      </c>
      <c r="O21" s="182">
        <f t="shared" ref="O21:O22" si="30">M21*20</f>
        <v>1666.6666666666665</v>
      </c>
      <c r="P21" s="182">
        <f t="shared" ref="P21:P22" si="31">O21*(K21-J21)/3600</f>
        <v>277.77777777777777</v>
      </c>
    </row>
    <row r="22" spans="1:16" s="182" customFormat="1" x14ac:dyDescent="0.25">
      <c r="A22" s="229">
        <f t="shared" ref="A22:B22" si="32">A21+1</f>
        <v>3589</v>
      </c>
      <c r="B22" s="245">
        <f t="shared" si="32"/>
        <v>12</v>
      </c>
      <c r="C22" s="246" t="str">
        <f t="shared" si="3"/>
        <v>L41X04-008_090_00</v>
      </c>
      <c r="D22" s="244">
        <f t="shared" si="10"/>
        <v>4</v>
      </c>
      <c r="E22" s="198">
        <f t="shared" si="10"/>
        <v>8</v>
      </c>
      <c r="F22" s="199">
        <f>yaw_max</f>
        <v>8</v>
      </c>
      <c r="G22" s="194">
        <f t="shared" si="0"/>
        <v>0.2</v>
      </c>
      <c r="H22" s="49">
        <v>90</v>
      </c>
      <c r="I22" s="198">
        <f t="shared" ref="I22:K22" si="33">I21</f>
        <v>160</v>
      </c>
      <c r="J22" s="198">
        <f t="shared" si="33"/>
        <v>150</v>
      </c>
      <c r="K22" s="198">
        <f t="shared" si="33"/>
        <v>750</v>
      </c>
      <c r="M22" s="40">
        <f t="shared" si="1"/>
        <v>83.333333333333329</v>
      </c>
      <c r="N22" s="40" t="str">
        <f t="shared" si="8"/>
        <v>T</v>
      </c>
      <c r="O22" s="182">
        <f t="shared" si="30"/>
        <v>1666.6666666666665</v>
      </c>
      <c r="P22" s="182">
        <f t="shared" si="31"/>
        <v>277.77777777777777</v>
      </c>
    </row>
    <row r="23" spans="1:16" x14ac:dyDescent="0.25">
      <c r="A23" s="229">
        <f t="shared" ref="A23:B23" si="34">A22+1</f>
        <v>3590</v>
      </c>
      <c r="B23" s="245">
        <f t="shared" si="34"/>
        <v>13</v>
      </c>
      <c r="C23" s="246" t="str">
        <f t="shared" si="3"/>
        <v>L41X10-352_000_00</v>
      </c>
      <c r="D23" s="244">
        <f>v_r</f>
        <v>9.8000000000000007</v>
      </c>
      <c r="E23" s="198">
        <f t="shared" ref="E23" si="35">E22</f>
        <v>8</v>
      </c>
      <c r="F23" s="199">
        <f>yaw_min</f>
        <v>-8</v>
      </c>
      <c r="G23" s="194">
        <f t="shared" si="0"/>
        <v>0.2</v>
      </c>
      <c r="H23" s="49">
        <v>0</v>
      </c>
      <c r="I23" s="198">
        <f t="shared" ref="I23:K23" si="36">I22</f>
        <v>160</v>
      </c>
      <c r="J23" s="198">
        <f t="shared" si="36"/>
        <v>150</v>
      </c>
      <c r="K23" s="198">
        <f t="shared" si="36"/>
        <v>750</v>
      </c>
      <c r="M23" s="40">
        <f t="shared" ref="M23:M34" si="37">T_nshut2/12</f>
        <v>4.166666666666667</v>
      </c>
      <c r="N23" s="40" t="str">
        <f t="shared" si="8"/>
        <v>T</v>
      </c>
      <c r="O23" s="163">
        <f t="shared" si="5"/>
        <v>83.333333333333343</v>
      </c>
      <c r="P23" s="163">
        <f t="shared" si="6"/>
        <v>13.888888888888891</v>
      </c>
    </row>
    <row r="24" spans="1:16" x14ac:dyDescent="0.25">
      <c r="A24" s="229">
        <f t="shared" ref="A24:B24" si="38">A23+1</f>
        <v>3591</v>
      </c>
      <c r="B24" s="245">
        <f t="shared" si="38"/>
        <v>14</v>
      </c>
      <c r="C24" s="246" t="str">
        <f t="shared" si="3"/>
        <v>L41X10-352_030_00</v>
      </c>
      <c r="D24" s="244">
        <f>D23</f>
        <v>9.8000000000000007</v>
      </c>
      <c r="E24" s="198">
        <f t="shared" ref="E24" si="39">E23</f>
        <v>8</v>
      </c>
      <c r="F24" s="199">
        <f>yaw_min</f>
        <v>-8</v>
      </c>
      <c r="G24" s="194">
        <f t="shared" si="0"/>
        <v>0.2</v>
      </c>
      <c r="H24" s="49">
        <v>30</v>
      </c>
      <c r="I24" s="198">
        <f t="shared" ref="I24:K24" si="40">I23</f>
        <v>160</v>
      </c>
      <c r="J24" s="198">
        <f t="shared" si="40"/>
        <v>150</v>
      </c>
      <c r="K24" s="198">
        <f t="shared" si="40"/>
        <v>750</v>
      </c>
      <c r="M24" s="40">
        <f t="shared" si="37"/>
        <v>4.166666666666667</v>
      </c>
      <c r="N24" s="40" t="str">
        <f t="shared" si="8"/>
        <v>T</v>
      </c>
      <c r="O24" s="163">
        <f t="shared" si="5"/>
        <v>83.333333333333343</v>
      </c>
      <c r="P24" s="163">
        <f t="shared" si="6"/>
        <v>13.888888888888891</v>
      </c>
    </row>
    <row r="25" spans="1:16" x14ac:dyDescent="0.25">
      <c r="A25" s="229">
        <f t="shared" ref="A25:B25" si="41">A24+1</f>
        <v>3592</v>
      </c>
      <c r="B25" s="245">
        <f t="shared" si="41"/>
        <v>15</v>
      </c>
      <c r="C25" s="246" t="str">
        <f t="shared" si="3"/>
        <v>L41X10-352_060_00</v>
      </c>
      <c r="D25" s="244">
        <f>D24</f>
        <v>9.8000000000000007</v>
      </c>
      <c r="E25" s="198">
        <f t="shared" ref="E25" si="42">E24</f>
        <v>8</v>
      </c>
      <c r="F25" s="199">
        <f>yaw_min</f>
        <v>-8</v>
      </c>
      <c r="G25" s="194">
        <f t="shared" si="0"/>
        <v>0.2</v>
      </c>
      <c r="H25" s="49">
        <v>60</v>
      </c>
      <c r="I25" s="198">
        <f t="shared" ref="I25:K25" si="43">I24</f>
        <v>160</v>
      </c>
      <c r="J25" s="198">
        <f t="shared" si="43"/>
        <v>150</v>
      </c>
      <c r="K25" s="198">
        <f t="shared" si="43"/>
        <v>750</v>
      </c>
      <c r="M25" s="40">
        <f t="shared" si="37"/>
        <v>4.166666666666667</v>
      </c>
      <c r="N25" s="40" t="str">
        <f t="shared" si="8"/>
        <v>T</v>
      </c>
      <c r="O25" s="163">
        <f t="shared" si="5"/>
        <v>83.333333333333343</v>
      </c>
      <c r="P25" s="163">
        <f t="shared" si="6"/>
        <v>13.888888888888891</v>
      </c>
    </row>
    <row r="26" spans="1:16" s="182" customFormat="1" x14ac:dyDescent="0.25">
      <c r="A26" s="229">
        <f t="shared" ref="A26:B26" si="44">A25+1</f>
        <v>3593</v>
      </c>
      <c r="B26" s="245">
        <f t="shared" si="44"/>
        <v>16</v>
      </c>
      <c r="C26" s="246" t="str">
        <f t="shared" si="3"/>
        <v>L41X10-352_090_00</v>
      </c>
      <c r="D26" s="244">
        <f t="shared" ref="D26:E34" si="45">D25</f>
        <v>9.8000000000000007</v>
      </c>
      <c r="E26" s="198">
        <f t="shared" si="45"/>
        <v>8</v>
      </c>
      <c r="F26" s="199">
        <f>yaw_min</f>
        <v>-8</v>
      </c>
      <c r="G26" s="194">
        <f t="shared" si="0"/>
        <v>0.2</v>
      </c>
      <c r="H26" s="49">
        <v>90</v>
      </c>
      <c r="I26" s="198">
        <f t="shared" ref="I26:K26" si="46">I25</f>
        <v>160</v>
      </c>
      <c r="J26" s="198">
        <f t="shared" si="46"/>
        <v>150</v>
      </c>
      <c r="K26" s="198">
        <f t="shared" si="46"/>
        <v>750</v>
      </c>
      <c r="M26" s="40">
        <f t="shared" si="37"/>
        <v>4.166666666666667</v>
      </c>
      <c r="N26" s="40" t="str">
        <f t="shared" si="8"/>
        <v>T</v>
      </c>
      <c r="O26" s="182">
        <f t="shared" ref="O26:O31" si="47">M26*20</f>
        <v>83.333333333333343</v>
      </c>
      <c r="P26" s="182">
        <f t="shared" ref="P26:P31" si="48">O26*(K26-J26)/3600</f>
        <v>13.888888888888891</v>
      </c>
    </row>
    <row r="27" spans="1:16" s="182" customFormat="1" x14ac:dyDescent="0.25">
      <c r="A27" s="229">
        <f t="shared" ref="A27:B27" si="49">A26+1</f>
        <v>3594</v>
      </c>
      <c r="B27" s="245">
        <f t="shared" si="49"/>
        <v>17</v>
      </c>
      <c r="C27" s="246" t="str">
        <f t="shared" si="3"/>
        <v>L41X10-000_000_00</v>
      </c>
      <c r="D27" s="244">
        <f t="shared" si="45"/>
        <v>9.8000000000000007</v>
      </c>
      <c r="E27" s="198">
        <f t="shared" si="45"/>
        <v>8</v>
      </c>
      <c r="F27" s="199">
        <f>yaw_null</f>
        <v>0</v>
      </c>
      <c r="G27" s="194">
        <f t="shared" si="0"/>
        <v>0.2</v>
      </c>
      <c r="H27" s="49">
        <v>0</v>
      </c>
      <c r="I27" s="198">
        <f t="shared" ref="I27:K27" si="50">I26</f>
        <v>160</v>
      </c>
      <c r="J27" s="198">
        <f t="shared" si="50"/>
        <v>150</v>
      </c>
      <c r="K27" s="198">
        <f t="shared" si="50"/>
        <v>750</v>
      </c>
      <c r="M27" s="40">
        <f t="shared" si="37"/>
        <v>4.166666666666667</v>
      </c>
      <c r="N27" s="40" t="str">
        <f t="shared" si="8"/>
        <v>T</v>
      </c>
      <c r="O27" s="182">
        <f t="shared" si="47"/>
        <v>83.333333333333343</v>
      </c>
      <c r="P27" s="182">
        <f t="shared" si="48"/>
        <v>13.888888888888891</v>
      </c>
    </row>
    <row r="28" spans="1:16" s="182" customFormat="1" x14ac:dyDescent="0.25">
      <c r="A28" s="229">
        <f t="shared" ref="A28:B28" si="51">A27+1</f>
        <v>3595</v>
      </c>
      <c r="B28" s="245">
        <f t="shared" si="51"/>
        <v>18</v>
      </c>
      <c r="C28" s="246" t="str">
        <f t="shared" si="3"/>
        <v>L41X10-000_030_00</v>
      </c>
      <c r="D28" s="244">
        <f t="shared" si="45"/>
        <v>9.8000000000000007</v>
      </c>
      <c r="E28" s="198">
        <f t="shared" si="45"/>
        <v>8</v>
      </c>
      <c r="F28" s="199">
        <f>yaw_null</f>
        <v>0</v>
      </c>
      <c r="G28" s="194">
        <f t="shared" si="0"/>
        <v>0.2</v>
      </c>
      <c r="H28" s="49">
        <v>30</v>
      </c>
      <c r="I28" s="198">
        <f t="shared" ref="I28:K28" si="52">I27</f>
        <v>160</v>
      </c>
      <c r="J28" s="198">
        <f t="shared" si="52"/>
        <v>150</v>
      </c>
      <c r="K28" s="198">
        <f t="shared" si="52"/>
        <v>750</v>
      </c>
      <c r="M28" s="40">
        <f t="shared" si="37"/>
        <v>4.166666666666667</v>
      </c>
      <c r="N28" s="40" t="str">
        <f t="shared" si="8"/>
        <v>T</v>
      </c>
      <c r="O28" s="182">
        <f t="shared" si="47"/>
        <v>83.333333333333343</v>
      </c>
      <c r="P28" s="182">
        <f t="shared" si="48"/>
        <v>13.888888888888891</v>
      </c>
    </row>
    <row r="29" spans="1:16" s="182" customFormat="1" x14ac:dyDescent="0.25">
      <c r="A29" s="229">
        <f t="shared" ref="A29:B29" si="53">A28+1</f>
        <v>3596</v>
      </c>
      <c r="B29" s="245">
        <f t="shared" si="53"/>
        <v>19</v>
      </c>
      <c r="C29" s="246" t="str">
        <f t="shared" si="3"/>
        <v>L41X10-000_060_00</v>
      </c>
      <c r="D29" s="244">
        <f t="shared" si="45"/>
        <v>9.8000000000000007</v>
      </c>
      <c r="E29" s="198">
        <f t="shared" si="45"/>
        <v>8</v>
      </c>
      <c r="F29" s="199">
        <f>yaw_null</f>
        <v>0</v>
      </c>
      <c r="G29" s="194">
        <f t="shared" si="0"/>
        <v>0.2</v>
      </c>
      <c r="H29" s="49">
        <v>60</v>
      </c>
      <c r="I29" s="198">
        <f t="shared" ref="I29:K29" si="54">I28</f>
        <v>160</v>
      </c>
      <c r="J29" s="198">
        <f t="shared" si="54"/>
        <v>150</v>
      </c>
      <c r="K29" s="198">
        <f t="shared" si="54"/>
        <v>750</v>
      </c>
      <c r="M29" s="40">
        <f t="shared" si="37"/>
        <v>4.166666666666667</v>
      </c>
      <c r="N29" s="40" t="str">
        <f t="shared" si="8"/>
        <v>T</v>
      </c>
      <c r="O29" s="182">
        <f t="shared" si="47"/>
        <v>83.333333333333343</v>
      </c>
      <c r="P29" s="182">
        <f t="shared" si="48"/>
        <v>13.888888888888891</v>
      </c>
    </row>
    <row r="30" spans="1:16" s="182" customFormat="1" x14ac:dyDescent="0.25">
      <c r="A30" s="229">
        <f t="shared" ref="A30:B30" si="55">A29+1</f>
        <v>3597</v>
      </c>
      <c r="B30" s="245">
        <f t="shared" si="55"/>
        <v>20</v>
      </c>
      <c r="C30" s="246" t="str">
        <f t="shared" si="3"/>
        <v>L41X10-000_090_00</v>
      </c>
      <c r="D30" s="244">
        <f t="shared" si="45"/>
        <v>9.8000000000000007</v>
      </c>
      <c r="E30" s="198">
        <f t="shared" si="45"/>
        <v>8</v>
      </c>
      <c r="F30" s="199">
        <f>yaw_null</f>
        <v>0</v>
      </c>
      <c r="G30" s="194">
        <f t="shared" si="0"/>
        <v>0.2</v>
      </c>
      <c r="H30" s="49">
        <v>90</v>
      </c>
      <c r="I30" s="198">
        <f t="shared" ref="I30:K30" si="56">I29</f>
        <v>160</v>
      </c>
      <c r="J30" s="198">
        <f t="shared" si="56"/>
        <v>150</v>
      </c>
      <c r="K30" s="198">
        <f t="shared" si="56"/>
        <v>750</v>
      </c>
      <c r="M30" s="40">
        <f t="shared" si="37"/>
        <v>4.166666666666667</v>
      </c>
      <c r="N30" s="40" t="str">
        <f t="shared" si="8"/>
        <v>T</v>
      </c>
      <c r="O30" s="182">
        <f t="shared" si="47"/>
        <v>83.333333333333343</v>
      </c>
      <c r="P30" s="182">
        <f t="shared" si="48"/>
        <v>13.888888888888891</v>
      </c>
    </row>
    <row r="31" spans="1:16" s="182" customFormat="1" x14ac:dyDescent="0.25">
      <c r="A31" s="229">
        <f t="shared" ref="A31:B31" si="57">A30+1</f>
        <v>3598</v>
      </c>
      <c r="B31" s="245">
        <f t="shared" si="57"/>
        <v>21</v>
      </c>
      <c r="C31" s="246" t="str">
        <f t="shared" si="3"/>
        <v>L41X10-008_000_00</v>
      </c>
      <c r="D31" s="244">
        <f t="shared" si="45"/>
        <v>9.8000000000000007</v>
      </c>
      <c r="E31" s="198">
        <f t="shared" si="45"/>
        <v>8</v>
      </c>
      <c r="F31" s="199">
        <f>yaw_max</f>
        <v>8</v>
      </c>
      <c r="G31" s="194">
        <f t="shared" si="0"/>
        <v>0.2</v>
      </c>
      <c r="H31" s="49">
        <v>0</v>
      </c>
      <c r="I31" s="198">
        <f t="shared" ref="I31:K31" si="58">I30</f>
        <v>160</v>
      </c>
      <c r="J31" s="198">
        <f t="shared" si="58"/>
        <v>150</v>
      </c>
      <c r="K31" s="198">
        <f t="shared" si="58"/>
        <v>750</v>
      </c>
      <c r="M31" s="40">
        <f t="shared" si="37"/>
        <v>4.166666666666667</v>
      </c>
      <c r="N31" s="40" t="str">
        <f t="shared" si="8"/>
        <v>T</v>
      </c>
      <c r="O31" s="182">
        <f t="shared" si="47"/>
        <v>83.333333333333343</v>
      </c>
      <c r="P31" s="182">
        <f t="shared" si="48"/>
        <v>13.888888888888891</v>
      </c>
    </row>
    <row r="32" spans="1:16" s="182" customFormat="1" x14ac:dyDescent="0.25">
      <c r="A32" s="229">
        <f t="shared" ref="A32:B32" si="59">A31+1</f>
        <v>3599</v>
      </c>
      <c r="B32" s="245">
        <f t="shared" si="59"/>
        <v>22</v>
      </c>
      <c r="C32" s="246" t="str">
        <f t="shared" si="3"/>
        <v>L41X10-008_030_00</v>
      </c>
      <c r="D32" s="244">
        <f t="shared" si="45"/>
        <v>9.8000000000000007</v>
      </c>
      <c r="E32" s="198">
        <f t="shared" si="45"/>
        <v>8</v>
      </c>
      <c r="F32" s="199">
        <f>yaw_max</f>
        <v>8</v>
      </c>
      <c r="G32" s="194">
        <f t="shared" si="0"/>
        <v>0.2</v>
      </c>
      <c r="H32" s="49">
        <v>30</v>
      </c>
      <c r="I32" s="198">
        <f t="shared" ref="I32:K32" si="60">I31</f>
        <v>160</v>
      </c>
      <c r="J32" s="198">
        <f t="shared" si="60"/>
        <v>150</v>
      </c>
      <c r="K32" s="198">
        <f t="shared" si="60"/>
        <v>750</v>
      </c>
      <c r="M32" s="40">
        <f t="shared" si="37"/>
        <v>4.166666666666667</v>
      </c>
      <c r="N32" s="40" t="str">
        <f t="shared" si="8"/>
        <v>T</v>
      </c>
      <c r="O32" s="182">
        <f t="shared" ref="O32:O34" si="61">M32*20</f>
        <v>83.333333333333343</v>
      </c>
      <c r="P32" s="182">
        <f t="shared" ref="P32:P34" si="62">O32*(K32-J32)/3600</f>
        <v>13.888888888888891</v>
      </c>
    </row>
    <row r="33" spans="1:16" s="182" customFormat="1" x14ac:dyDescent="0.25">
      <c r="A33" s="229">
        <f t="shared" ref="A33:B33" si="63">A32+1</f>
        <v>3600</v>
      </c>
      <c r="B33" s="245">
        <f t="shared" si="63"/>
        <v>23</v>
      </c>
      <c r="C33" s="246" t="str">
        <f t="shared" si="3"/>
        <v>L41X10-008_060_00</v>
      </c>
      <c r="D33" s="244">
        <f t="shared" si="45"/>
        <v>9.8000000000000007</v>
      </c>
      <c r="E33" s="198">
        <f t="shared" si="45"/>
        <v>8</v>
      </c>
      <c r="F33" s="199">
        <f>yaw_max</f>
        <v>8</v>
      </c>
      <c r="G33" s="194">
        <f t="shared" si="0"/>
        <v>0.2</v>
      </c>
      <c r="H33" s="49">
        <v>60</v>
      </c>
      <c r="I33" s="198">
        <f t="shared" ref="I33:K33" si="64">I32</f>
        <v>160</v>
      </c>
      <c r="J33" s="198">
        <f t="shared" si="64"/>
        <v>150</v>
      </c>
      <c r="K33" s="198">
        <f t="shared" si="64"/>
        <v>750</v>
      </c>
      <c r="M33" s="40">
        <f t="shared" si="37"/>
        <v>4.166666666666667</v>
      </c>
      <c r="N33" s="40" t="str">
        <f t="shared" si="8"/>
        <v>T</v>
      </c>
      <c r="O33" s="182">
        <f t="shared" si="61"/>
        <v>83.333333333333343</v>
      </c>
      <c r="P33" s="182">
        <f t="shared" si="62"/>
        <v>13.888888888888891</v>
      </c>
    </row>
    <row r="34" spans="1:16" s="182" customFormat="1" x14ac:dyDescent="0.25">
      <c r="A34" s="229">
        <f t="shared" ref="A34:B34" si="65">A33+1</f>
        <v>3601</v>
      </c>
      <c r="B34" s="245">
        <f t="shared" si="65"/>
        <v>24</v>
      </c>
      <c r="C34" s="246" t="str">
        <f t="shared" si="3"/>
        <v>L41X10-008_090_00</v>
      </c>
      <c r="D34" s="244">
        <f t="shared" si="45"/>
        <v>9.8000000000000007</v>
      </c>
      <c r="E34" s="198">
        <f t="shared" si="45"/>
        <v>8</v>
      </c>
      <c r="F34" s="199">
        <f>yaw_max</f>
        <v>8</v>
      </c>
      <c r="G34" s="194">
        <f t="shared" si="0"/>
        <v>0.2</v>
      </c>
      <c r="H34" s="49">
        <v>90</v>
      </c>
      <c r="I34" s="198">
        <f t="shared" ref="I34:K34" si="66">I33</f>
        <v>160</v>
      </c>
      <c r="J34" s="198">
        <f t="shared" si="66"/>
        <v>150</v>
      </c>
      <c r="K34" s="198">
        <f t="shared" si="66"/>
        <v>750</v>
      </c>
      <c r="M34" s="40">
        <f t="shared" si="37"/>
        <v>4.166666666666667</v>
      </c>
      <c r="N34" s="40" t="str">
        <f t="shared" si="8"/>
        <v>T</v>
      </c>
      <c r="O34" s="182">
        <f t="shared" si="61"/>
        <v>83.333333333333343</v>
      </c>
      <c r="P34" s="182">
        <f t="shared" si="62"/>
        <v>13.888888888888891</v>
      </c>
    </row>
    <row r="35" spans="1:16" x14ac:dyDescent="0.25">
      <c r="A35" s="229">
        <f t="shared" ref="A35:B35" si="67">A34+1</f>
        <v>3602</v>
      </c>
      <c r="B35" s="245">
        <f t="shared" si="67"/>
        <v>25</v>
      </c>
      <c r="C35" s="246" t="str">
        <f t="shared" si="3"/>
        <v>L41X25-352_000_00</v>
      </c>
      <c r="D35" s="244">
        <f>v_out</f>
        <v>25</v>
      </c>
      <c r="E35" s="198">
        <f t="shared" ref="E35" si="68">E34</f>
        <v>8</v>
      </c>
      <c r="F35" s="199">
        <f>yaw_min</f>
        <v>-8</v>
      </c>
      <c r="G35" s="194">
        <f t="shared" si="0"/>
        <v>0.2</v>
      </c>
      <c r="H35" s="49">
        <v>0</v>
      </c>
      <c r="I35" s="198">
        <f t="shared" ref="I35:K35" si="69">I34</f>
        <v>160</v>
      </c>
      <c r="J35" s="198">
        <f t="shared" si="69"/>
        <v>150</v>
      </c>
      <c r="K35" s="198">
        <f t="shared" si="69"/>
        <v>750</v>
      </c>
      <c r="M35" s="40">
        <f t="shared" ref="M35:M46" si="70">T_nshut3/12</f>
        <v>4.166666666666667</v>
      </c>
      <c r="N35" s="40" t="str">
        <f t="shared" si="8"/>
        <v>T</v>
      </c>
      <c r="O35" s="163">
        <f t="shared" si="5"/>
        <v>83.333333333333343</v>
      </c>
      <c r="P35" s="163">
        <f t="shared" si="6"/>
        <v>13.888888888888891</v>
      </c>
    </row>
    <row r="36" spans="1:16" x14ac:dyDescent="0.25">
      <c r="A36" s="229">
        <f t="shared" ref="A36:B36" si="71">A35+1</f>
        <v>3603</v>
      </c>
      <c r="B36" s="245">
        <f t="shared" si="71"/>
        <v>26</v>
      </c>
      <c r="C36" s="246" t="str">
        <f t="shared" si="3"/>
        <v>L41X25-352_030_00</v>
      </c>
      <c r="D36" s="244">
        <f>D35</f>
        <v>25</v>
      </c>
      <c r="E36" s="198">
        <f t="shared" ref="E36" si="72">E35</f>
        <v>8</v>
      </c>
      <c r="F36" s="199">
        <f>yaw_min</f>
        <v>-8</v>
      </c>
      <c r="G36" s="194">
        <f t="shared" si="0"/>
        <v>0.2</v>
      </c>
      <c r="H36" s="49">
        <v>30</v>
      </c>
      <c r="I36" s="198">
        <f t="shared" ref="I36:K36" si="73">I35</f>
        <v>160</v>
      </c>
      <c r="J36" s="198">
        <f t="shared" si="73"/>
        <v>150</v>
      </c>
      <c r="K36" s="198">
        <f t="shared" si="73"/>
        <v>750</v>
      </c>
      <c r="M36" s="40">
        <f t="shared" si="70"/>
        <v>4.166666666666667</v>
      </c>
      <c r="N36" s="40" t="str">
        <f t="shared" si="8"/>
        <v>T</v>
      </c>
      <c r="O36" s="163">
        <f t="shared" si="5"/>
        <v>83.333333333333343</v>
      </c>
      <c r="P36" s="163">
        <f t="shared" si="6"/>
        <v>13.888888888888891</v>
      </c>
    </row>
    <row r="37" spans="1:16" x14ac:dyDescent="0.25">
      <c r="A37" s="229">
        <f t="shared" ref="A37:B37" si="74">A36+1</f>
        <v>3604</v>
      </c>
      <c r="B37" s="245">
        <f t="shared" si="74"/>
        <v>27</v>
      </c>
      <c r="C37" s="246" t="str">
        <f t="shared" si="3"/>
        <v>L41X25-352_060_00</v>
      </c>
      <c r="D37" s="244">
        <f>D36</f>
        <v>25</v>
      </c>
      <c r="E37" s="198">
        <f t="shared" ref="E37" si="75">E36</f>
        <v>8</v>
      </c>
      <c r="F37" s="199">
        <f>yaw_min</f>
        <v>-8</v>
      </c>
      <c r="G37" s="194">
        <f t="shared" si="0"/>
        <v>0.2</v>
      </c>
      <c r="H37" s="49">
        <v>60</v>
      </c>
      <c r="I37" s="198">
        <f t="shared" ref="I37:K37" si="76">I36</f>
        <v>160</v>
      </c>
      <c r="J37" s="198">
        <f t="shared" si="76"/>
        <v>150</v>
      </c>
      <c r="K37" s="198">
        <f t="shared" si="76"/>
        <v>750</v>
      </c>
      <c r="M37" s="40">
        <f t="shared" si="70"/>
        <v>4.166666666666667</v>
      </c>
      <c r="N37" s="40" t="str">
        <f t="shared" si="8"/>
        <v>T</v>
      </c>
      <c r="O37" s="163">
        <f t="shared" si="5"/>
        <v>83.333333333333343</v>
      </c>
      <c r="P37" s="163">
        <f t="shared" si="6"/>
        <v>13.888888888888891</v>
      </c>
    </row>
    <row r="38" spans="1:16" s="182" customFormat="1" x14ac:dyDescent="0.25">
      <c r="A38" s="229">
        <f t="shared" ref="A38:B38" si="77">A37+1</f>
        <v>3605</v>
      </c>
      <c r="B38" s="245">
        <f t="shared" si="77"/>
        <v>28</v>
      </c>
      <c r="C38" s="246" t="str">
        <f t="shared" si="3"/>
        <v>L41X25-352_090_00</v>
      </c>
      <c r="D38" s="244">
        <f t="shared" ref="D38:E46" si="78">D37</f>
        <v>25</v>
      </c>
      <c r="E38" s="198">
        <f t="shared" si="78"/>
        <v>8</v>
      </c>
      <c r="F38" s="199">
        <f>yaw_min</f>
        <v>-8</v>
      </c>
      <c r="G38" s="194">
        <f t="shared" si="0"/>
        <v>0.2</v>
      </c>
      <c r="H38" s="49">
        <v>90</v>
      </c>
      <c r="I38" s="198">
        <f t="shared" ref="I38:K38" si="79">I37</f>
        <v>160</v>
      </c>
      <c r="J38" s="198">
        <f t="shared" si="79"/>
        <v>150</v>
      </c>
      <c r="K38" s="198">
        <f t="shared" si="79"/>
        <v>750</v>
      </c>
      <c r="M38" s="40">
        <f t="shared" si="70"/>
        <v>4.166666666666667</v>
      </c>
      <c r="N38" s="40" t="str">
        <f t="shared" si="8"/>
        <v>T</v>
      </c>
      <c r="O38" s="182">
        <f t="shared" ref="O38:O43" si="80">M38*20</f>
        <v>83.333333333333343</v>
      </c>
      <c r="P38" s="182">
        <f t="shared" ref="P38:P43" si="81">O38*(K38-J38)/3600</f>
        <v>13.888888888888891</v>
      </c>
    </row>
    <row r="39" spans="1:16" s="182" customFormat="1" x14ac:dyDescent="0.25">
      <c r="A39" s="229">
        <f t="shared" ref="A39:B39" si="82">A38+1</f>
        <v>3606</v>
      </c>
      <c r="B39" s="245">
        <f t="shared" si="82"/>
        <v>29</v>
      </c>
      <c r="C39" s="246" t="str">
        <f t="shared" si="3"/>
        <v>L41X25-000_000_00</v>
      </c>
      <c r="D39" s="244">
        <f t="shared" si="78"/>
        <v>25</v>
      </c>
      <c r="E39" s="198">
        <f t="shared" si="78"/>
        <v>8</v>
      </c>
      <c r="F39" s="199">
        <f>yaw_null</f>
        <v>0</v>
      </c>
      <c r="G39" s="194">
        <f t="shared" si="0"/>
        <v>0.2</v>
      </c>
      <c r="H39" s="49">
        <v>0</v>
      </c>
      <c r="I39" s="198">
        <f t="shared" ref="I39:K39" si="83">I38</f>
        <v>160</v>
      </c>
      <c r="J39" s="198">
        <f t="shared" si="83"/>
        <v>150</v>
      </c>
      <c r="K39" s="198">
        <f t="shared" si="83"/>
        <v>750</v>
      </c>
      <c r="M39" s="40">
        <f t="shared" si="70"/>
        <v>4.166666666666667</v>
      </c>
      <c r="N39" s="40" t="str">
        <f t="shared" si="8"/>
        <v>T</v>
      </c>
      <c r="O39" s="182">
        <f t="shared" si="80"/>
        <v>83.333333333333343</v>
      </c>
      <c r="P39" s="182">
        <f t="shared" si="81"/>
        <v>13.888888888888891</v>
      </c>
    </row>
    <row r="40" spans="1:16" s="182" customFormat="1" x14ac:dyDescent="0.25">
      <c r="A40" s="229">
        <f t="shared" ref="A40:B40" si="84">A39+1</f>
        <v>3607</v>
      </c>
      <c r="B40" s="245">
        <f t="shared" si="84"/>
        <v>30</v>
      </c>
      <c r="C40" s="246" t="str">
        <f t="shared" si="3"/>
        <v>L41X25-000_030_00</v>
      </c>
      <c r="D40" s="244">
        <f t="shared" si="78"/>
        <v>25</v>
      </c>
      <c r="E40" s="198">
        <f t="shared" si="78"/>
        <v>8</v>
      </c>
      <c r="F40" s="199">
        <f>yaw_null</f>
        <v>0</v>
      </c>
      <c r="G40" s="194">
        <f t="shared" si="0"/>
        <v>0.2</v>
      </c>
      <c r="H40" s="49">
        <v>30</v>
      </c>
      <c r="I40" s="198">
        <f t="shared" ref="I40:K40" si="85">I39</f>
        <v>160</v>
      </c>
      <c r="J40" s="198">
        <f t="shared" si="85"/>
        <v>150</v>
      </c>
      <c r="K40" s="198">
        <f t="shared" si="85"/>
        <v>750</v>
      </c>
      <c r="M40" s="40">
        <f t="shared" si="70"/>
        <v>4.166666666666667</v>
      </c>
      <c r="N40" s="40" t="str">
        <f t="shared" si="8"/>
        <v>T</v>
      </c>
      <c r="O40" s="182">
        <f t="shared" si="80"/>
        <v>83.333333333333343</v>
      </c>
      <c r="P40" s="182">
        <f t="shared" si="81"/>
        <v>13.888888888888891</v>
      </c>
    </row>
    <row r="41" spans="1:16" s="182" customFormat="1" x14ac:dyDescent="0.25">
      <c r="A41" s="229">
        <f t="shared" ref="A41:B41" si="86">A40+1</f>
        <v>3608</v>
      </c>
      <c r="B41" s="245">
        <f t="shared" si="86"/>
        <v>31</v>
      </c>
      <c r="C41" s="246" t="str">
        <f t="shared" si="3"/>
        <v>L41X25-000_060_00</v>
      </c>
      <c r="D41" s="244">
        <f t="shared" si="78"/>
        <v>25</v>
      </c>
      <c r="E41" s="198">
        <f t="shared" si="78"/>
        <v>8</v>
      </c>
      <c r="F41" s="199">
        <f>yaw_null</f>
        <v>0</v>
      </c>
      <c r="G41" s="194">
        <f t="shared" si="0"/>
        <v>0.2</v>
      </c>
      <c r="H41" s="49">
        <v>60</v>
      </c>
      <c r="I41" s="198">
        <f t="shared" ref="I41:K41" si="87">I40</f>
        <v>160</v>
      </c>
      <c r="J41" s="198">
        <f t="shared" si="87"/>
        <v>150</v>
      </c>
      <c r="K41" s="198">
        <f t="shared" si="87"/>
        <v>750</v>
      </c>
      <c r="M41" s="40">
        <f t="shared" si="70"/>
        <v>4.166666666666667</v>
      </c>
      <c r="N41" s="40" t="str">
        <f t="shared" si="8"/>
        <v>T</v>
      </c>
      <c r="O41" s="182">
        <f t="shared" si="80"/>
        <v>83.333333333333343</v>
      </c>
      <c r="P41" s="182">
        <f t="shared" si="81"/>
        <v>13.888888888888891</v>
      </c>
    </row>
    <row r="42" spans="1:16" s="182" customFormat="1" x14ac:dyDescent="0.25">
      <c r="A42" s="229">
        <f t="shared" ref="A42:B42" si="88">A41+1</f>
        <v>3609</v>
      </c>
      <c r="B42" s="245">
        <f t="shared" si="88"/>
        <v>32</v>
      </c>
      <c r="C42" s="246" t="str">
        <f t="shared" si="3"/>
        <v>L41X25-000_090_00</v>
      </c>
      <c r="D42" s="244">
        <f t="shared" si="78"/>
        <v>25</v>
      </c>
      <c r="E42" s="198">
        <f t="shared" si="78"/>
        <v>8</v>
      </c>
      <c r="F42" s="199">
        <f>yaw_null</f>
        <v>0</v>
      </c>
      <c r="G42" s="194">
        <f t="shared" si="0"/>
        <v>0.2</v>
      </c>
      <c r="H42" s="49">
        <v>90</v>
      </c>
      <c r="I42" s="198">
        <f t="shared" ref="I42:K42" si="89">I41</f>
        <v>160</v>
      </c>
      <c r="J42" s="198">
        <f t="shared" si="89"/>
        <v>150</v>
      </c>
      <c r="K42" s="198">
        <f t="shared" si="89"/>
        <v>750</v>
      </c>
      <c r="M42" s="40">
        <f t="shared" si="70"/>
        <v>4.166666666666667</v>
      </c>
      <c r="N42" s="40" t="str">
        <f t="shared" si="8"/>
        <v>T</v>
      </c>
      <c r="O42" s="182">
        <f t="shared" si="80"/>
        <v>83.333333333333343</v>
      </c>
      <c r="P42" s="182">
        <f t="shared" si="81"/>
        <v>13.888888888888891</v>
      </c>
    </row>
    <row r="43" spans="1:16" s="182" customFormat="1" x14ac:dyDescent="0.25">
      <c r="A43" s="229">
        <f t="shared" ref="A43:B43" si="90">A42+1</f>
        <v>3610</v>
      </c>
      <c r="B43" s="245">
        <f t="shared" si="90"/>
        <v>33</v>
      </c>
      <c r="C43" s="246" t="str">
        <f t="shared" si="3"/>
        <v>L41X25-008_000_00</v>
      </c>
      <c r="D43" s="244">
        <f t="shared" si="78"/>
        <v>25</v>
      </c>
      <c r="E43" s="198">
        <f t="shared" si="78"/>
        <v>8</v>
      </c>
      <c r="F43" s="199">
        <f>yaw_max</f>
        <v>8</v>
      </c>
      <c r="G43" s="194">
        <f t="shared" si="0"/>
        <v>0.2</v>
      </c>
      <c r="H43" s="49">
        <v>0</v>
      </c>
      <c r="I43" s="198">
        <f t="shared" ref="I43:K43" si="91">I42</f>
        <v>160</v>
      </c>
      <c r="J43" s="198">
        <f t="shared" si="91"/>
        <v>150</v>
      </c>
      <c r="K43" s="198">
        <f t="shared" si="91"/>
        <v>750</v>
      </c>
      <c r="M43" s="40">
        <f t="shared" si="70"/>
        <v>4.166666666666667</v>
      </c>
      <c r="N43" s="40" t="str">
        <f t="shared" si="8"/>
        <v>T</v>
      </c>
      <c r="O43" s="182">
        <f t="shared" si="80"/>
        <v>83.333333333333343</v>
      </c>
      <c r="P43" s="182">
        <f t="shared" si="81"/>
        <v>13.888888888888891</v>
      </c>
    </row>
    <row r="44" spans="1:16" s="182" customFormat="1" x14ac:dyDescent="0.25">
      <c r="A44" s="229">
        <f t="shared" ref="A44:B44" si="92">A43+1</f>
        <v>3611</v>
      </c>
      <c r="B44" s="245">
        <f t="shared" si="92"/>
        <v>34</v>
      </c>
      <c r="C44" s="246" t="str">
        <f t="shared" si="3"/>
        <v>L41X25-008_030_00</v>
      </c>
      <c r="D44" s="244">
        <f t="shared" si="78"/>
        <v>25</v>
      </c>
      <c r="E44" s="198">
        <f t="shared" si="78"/>
        <v>8</v>
      </c>
      <c r="F44" s="199">
        <f>yaw_max</f>
        <v>8</v>
      </c>
      <c r="G44" s="194">
        <f t="shared" si="0"/>
        <v>0.2</v>
      </c>
      <c r="H44" s="49">
        <v>30</v>
      </c>
      <c r="I44" s="198">
        <f t="shared" ref="I44:K44" si="93">I43</f>
        <v>160</v>
      </c>
      <c r="J44" s="198">
        <f t="shared" si="93"/>
        <v>150</v>
      </c>
      <c r="K44" s="198">
        <f t="shared" si="93"/>
        <v>750</v>
      </c>
      <c r="M44" s="40">
        <f t="shared" si="70"/>
        <v>4.166666666666667</v>
      </c>
      <c r="N44" s="40" t="str">
        <f t="shared" si="8"/>
        <v>T</v>
      </c>
      <c r="O44" s="182">
        <f t="shared" ref="O44:O46" si="94">M44*20</f>
        <v>83.333333333333343</v>
      </c>
      <c r="P44" s="182">
        <f t="shared" ref="P44:P46" si="95">O44*(K44-J44)/3600</f>
        <v>13.888888888888891</v>
      </c>
    </row>
    <row r="45" spans="1:16" s="182" customFormat="1" x14ac:dyDescent="0.25">
      <c r="A45" s="229">
        <f t="shared" ref="A45:B45" si="96">A44+1</f>
        <v>3612</v>
      </c>
      <c r="B45" s="245">
        <f t="shared" si="96"/>
        <v>35</v>
      </c>
      <c r="C45" s="246" t="str">
        <f t="shared" si="3"/>
        <v>L41X25-008_060_00</v>
      </c>
      <c r="D45" s="244">
        <f t="shared" si="78"/>
        <v>25</v>
      </c>
      <c r="E45" s="198">
        <f t="shared" si="78"/>
        <v>8</v>
      </c>
      <c r="F45" s="199">
        <f>yaw_max</f>
        <v>8</v>
      </c>
      <c r="G45" s="194">
        <f t="shared" si="0"/>
        <v>0.2</v>
      </c>
      <c r="H45" s="49">
        <v>60</v>
      </c>
      <c r="I45" s="198">
        <f t="shared" ref="I45:K45" si="97">I44</f>
        <v>160</v>
      </c>
      <c r="J45" s="198">
        <f t="shared" si="97"/>
        <v>150</v>
      </c>
      <c r="K45" s="198">
        <f t="shared" si="97"/>
        <v>750</v>
      </c>
      <c r="M45" s="40">
        <f t="shared" si="70"/>
        <v>4.166666666666667</v>
      </c>
      <c r="N45" s="40" t="str">
        <f t="shared" si="8"/>
        <v>T</v>
      </c>
      <c r="O45" s="182">
        <f t="shared" si="94"/>
        <v>83.333333333333343</v>
      </c>
      <c r="P45" s="182">
        <f t="shared" si="95"/>
        <v>13.888888888888891</v>
      </c>
    </row>
    <row r="46" spans="1:16" s="182" customFormat="1" x14ac:dyDescent="0.25">
      <c r="A46" s="229">
        <f t="shared" ref="A46:B46" si="98">A45+1</f>
        <v>3613</v>
      </c>
      <c r="B46" s="245">
        <f t="shared" si="98"/>
        <v>36</v>
      </c>
      <c r="C46" s="246" t="str">
        <f t="shared" si="3"/>
        <v>L41X25-008_090_00</v>
      </c>
      <c r="D46" s="244">
        <f t="shared" si="78"/>
        <v>25</v>
      </c>
      <c r="E46" s="198">
        <f t="shared" si="78"/>
        <v>8</v>
      </c>
      <c r="F46" s="199">
        <f>yaw_max</f>
        <v>8</v>
      </c>
      <c r="G46" s="194">
        <f t="shared" si="0"/>
        <v>0.2</v>
      </c>
      <c r="H46" s="49">
        <v>90</v>
      </c>
      <c r="I46" s="198">
        <f t="shared" ref="I46:K46" si="99">I45</f>
        <v>160</v>
      </c>
      <c r="J46" s="198">
        <f t="shared" si="99"/>
        <v>150</v>
      </c>
      <c r="K46" s="198">
        <f t="shared" si="99"/>
        <v>750</v>
      </c>
      <c r="M46" s="40">
        <f t="shared" si="70"/>
        <v>4.166666666666667</v>
      </c>
      <c r="N46" s="40" t="str">
        <f t="shared" si="8"/>
        <v>T</v>
      </c>
      <c r="O46" s="182">
        <f t="shared" si="94"/>
        <v>83.333333333333343</v>
      </c>
      <c r="P46" s="182">
        <f t="shared" si="95"/>
        <v>13.888888888888891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58"/>
  <sheetViews>
    <sheetView zoomScaleNormal="100" workbookViewId="0">
      <selection activeCell="T19" sqref="T19"/>
    </sheetView>
  </sheetViews>
  <sheetFormatPr defaultColWidth="9" defaultRowHeight="15" x14ac:dyDescent="0.15"/>
  <cols>
    <col min="1" max="1" width="6.75" style="23" customWidth="1"/>
    <col min="2" max="2" width="7.375" style="23" customWidth="1"/>
    <col min="3" max="3" width="18.375" style="23" customWidth="1"/>
    <col min="4" max="4" width="6.25" style="23" customWidth="1"/>
    <col min="5" max="5" width="7" style="23" customWidth="1"/>
    <col min="6" max="8" width="7.125" style="23" customWidth="1"/>
    <col min="9" max="9" width="7.75" style="23" customWidth="1"/>
    <col min="10" max="10" width="7.25" style="23" customWidth="1"/>
    <col min="11" max="11" width="9.875" style="23" bestFit="1" customWidth="1"/>
    <col min="12" max="12" width="5.875" style="163" customWidth="1"/>
    <col min="13" max="13" width="7.125" style="182" customWidth="1"/>
    <col min="14" max="14" width="7.625" style="23" customWidth="1"/>
    <col min="15" max="15" width="6.875" style="23" customWidth="1"/>
    <col min="16" max="16" width="7.875" style="23" customWidth="1"/>
    <col min="17" max="16384" width="9" style="23"/>
  </cols>
  <sheetData>
    <row r="1" spans="1:16" x14ac:dyDescent="0.15">
      <c r="H1" s="216" t="s">
        <v>135</v>
      </c>
      <c r="I1" s="216" t="s">
        <v>3966</v>
      </c>
    </row>
    <row r="2" spans="1:16" x14ac:dyDescent="0.15">
      <c r="B2" s="22" t="s">
        <v>109</v>
      </c>
      <c r="C2" s="22"/>
      <c r="D2" s="22"/>
      <c r="E2" s="22"/>
      <c r="H2" s="22"/>
      <c r="I2" s="216" t="s">
        <v>3928</v>
      </c>
    </row>
    <row r="3" spans="1:16" x14ac:dyDescent="0.15">
      <c r="B3" s="22" t="s">
        <v>88</v>
      </c>
      <c r="C3" s="22"/>
      <c r="D3" s="22"/>
      <c r="E3" s="22" t="s">
        <v>892</v>
      </c>
      <c r="H3" s="22"/>
      <c r="I3" s="240" t="s">
        <v>3939</v>
      </c>
    </row>
    <row r="4" spans="1:16" x14ac:dyDescent="0.15">
      <c r="B4" s="22" t="s">
        <v>89</v>
      </c>
      <c r="C4" s="22"/>
      <c r="D4" s="22"/>
      <c r="E4" s="22" t="s">
        <v>108</v>
      </c>
      <c r="H4" s="22"/>
      <c r="I4" s="216" t="s">
        <v>3941</v>
      </c>
    </row>
    <row r="5" spans="1:16" x14ac:dyDescent="0.15">
      <c r="B5" s="22" t="s">
        <v>91</v>
      </c>
      <c r="C5" s="22"/>
      <c r="D5" s="22"/>
      <c r="E5" s="22" t="s">
        <v>99</v>
      </c>
      <c r="H5" s="22"/>
      <c r="I5" s="240" t="s">
        <v>3940</v>
      </c>
    </row>
    <row r="6" spans="1:16" x14ac:dyDescent="0.15">
      <c r="B6" s="22" t="s">
        <v>93</v>
      </c>
      <c r="C6" s="22"/>
      <c r="D6" s="22"/>
      <c r="E6" s="22" t="s">
        <v>100</v>
      </c>
      <c r="H6" s="22"/>
      <c r="I6" s="216" t="s">
        <v>3932</v>
      </c>
    </row>
    <row r="7" spans="1:16" x14ac:dyDescent="0.15">
      <c r="A7" s="46"/>
      <c r="B7" s="46"/>
      <c r="C7" s="46"/>
      <c r="D7" s="46"/>
      <c r="E7" s="46"/>
      <c r="F7" s="46"/>
      <c r="G7" s="46"/>
      <c r="H7" s="22"/>
      <c r="I7" s="216" t="s">
        <v>3930</v>
      </c>
      <c r="J7" s="46"/>
      <c r="K7" s="46"/>
      <c r="L7" s="139"/>
      <c r="N7" s="46"/>
      <c r="O7" s="46"/>
      <c r="P7" s="46"/>
    </row>
    <row r="8" spans="1:16" ht="15.75" thickBot="1" x14ac:dyDescent="0.2">
      <c r="A8" s="46"/>
      <c r="B8" s="46"/>
      <c r="C8" s="46"/>
      <c r="D8" s="46"/>
      <c r="E8" s="46"/>
      <c r="F8" s="46"/>
      <c r="G8" s="46"/>
      <c r="H8" s="22"/>
      <c r="I8" s="46"/>
      <c r="J8" s="46"/>
      <c r="K8" s="46"/>
      <c r="L8" s="139"/>
      <c r="N8" s="46"/>
      <c r="O8" s="46"/>
      <c r="P8" s="46"/>
    </row>
    <row r="9" spans="1:16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2</v>
      </c>
      <c r="K9" s="26" t="s">
        <v>3</v>
      </c>
      <c r="L9" s="25" t="s">
        <v>141</v>
      </c>
      <c r="M9" s="184" t="s">
        <v>13</v>
      </c>
      <c r="N9" s="47" t="s">
        <v>161</v>
      </c>
      <c r="O9" s="27" t="s">
        <v>138</v>
      </c>
      <c r="P9" s="27" t="s">
        <v>139</v>
      </c>
    </row>
    <row r="10" spans="1:16" ht="15.75" thickBot="1" x14ac:dyDescent="0.3">
      <c r="A10" s="29" t="s">
        <v>76</v>
      </c>
      <c r="B10" s="30" t="str">
        <f>B2</f>
        <v>DLC42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2"/>
      <c r="L10" s="30"/>
      <c r="M10" s="190" t="s">
        <v>7</v>
      </c>
      <c r="N10" s="32" t="s">
        <v>17</v>
      </c>
      <c r="O10" s="32" t="s">
        <v>7</v>
      </c>
      <c r="P10" s="32" t="s">
        <v>7</v>
      </c>
    </row>
    <row r="11" spans="1:16" ht="15.75" thickBot="1" x14ac:dyDescent="0.3">
      <c r="A11" s="24">
        <f>'DLC41'!A46+1</f>
        <v>3614</v>
      </c>
      <c r="B11" s="27">
        <v>1</v>
      </c>
      <c r="C11" s="24" t="str">
        <f>TEXT(RIGHT($B$2,LEN($B$2)-3),"L00")&amp;"X"&amp;TEXT(D11,"00")&amp;"#"&amp;IF(J11&lt;0,TEXT(360+J11,"000"),TEXT(J11,"000"))&amp;"_"&amp;TEXT(M11,"000")&amp;"_"&amp;TEXT(RIGHT(K11,LEN(K11)-FIND("-",K11)),"00")</f>
        <v>L42X08#000_000_01</v>
      </c>
      <c r="D11" s="34">
        <f t="shared" ref="D11:D22" si="0">vr_b</f>
        <v>7.8000000000000007</v>
      </c>
      <c r="E11" s="172">
        <f t="shared" ref="E11" si="1">t_c*I_ref*(0.072*(v_ave/t_c+3)*(D11/t_c-4)+10)</f>
        <v>2.7863920000000002</v>
      </c>
      <c r="F11" s="164">
        <f>E11/D11*100</f>
        <v>35.722974358974355</v>
      </c>
      <c r="G11" s="164">
        <f t="shared" ref="G11" si="2">m_ty*F11</f>
        <v>28.578379487179486</v>
      </c>
      <c r="H11" s="164">
        <f t="shared" ref="H11" si="3">m_tz*F11</f>
        <v>17.861487179487177</v>
      </c>
      <c r="I11" s="35">
        <f>inflow</f>
        <v>8</v>
      </c>
      <c r="J11" s="35">
        <f>yaw_null</f>
        <v>0</v>
      </c>
      <c r="K11" s="194" t="str">
        <f>D11&amp;-1</f>
        <v>7.8-1</v>
      </c>
      <c r="L11" s="36">
        <f>alpha_n</f>
        <v>0.2</v>
      </c>
      <c r="M11" s="49">
        <v>0</v>
      </c>
      <c r="N11" s="52">
        <f>t_out+10</f>
        <v>160</v>
      </c>
      <c r="O11" s="35">
        <f>t_out</f>
        <v>150</v>
      </c>
      <c r="P11" s="50">
        <f>O11+2*T_s2</f>
        <v>270</v>
      </c>
    </row>
    <row r="12" spans="1:16" ht="15.75" thickBot="1" x14ac:dyDescent="0.3">
      <c r="A12" s="41">
        <f>A11+1</f>
        <v>3615</v>
      </c>
      <c r="B12" s="42">
        <f>B11+1</f>
        <v>2</v>
      </c>
      <c r="C12" s="218" t="str">
        <f t="shared" ref="C12:C58" si="4">TEXT(RIGHT($B$2,LEN($B$2)-3),"L00")&amp;"X"&amp;TEXT(D12,"00")&amp;"#"&amp;IF(J12&lt;0,TEXT(360+J12,"000"),TEXT(J12,"000"))&amp;"_"&amp;TEXT(M12,"000")&amp;"_"&amp;TEXT(RIGHT(K12,LEN(K12)-FIND("-",K12)),"00")</f>
        <v>L42X08#000_030_02</v>
      </c>
      <c r="D12" s="43">
        <f t="shared" si="0"/>
        <v>7.8000000000000007</v>
      </c>
      <c r="E12" s="173">
        <f t="shared" ref="E12" si="5">t_c*I_ref*(0.072*(v_ave/t_c+3)*(D12/t_c-4)+10)</f>
        <v>2.7863920000000002</v>
      </c>
      <c r="F12" s="170">
        <f>E12/D12*100</f>
        <v>35.722974358974355</v>
      </c>
      <c r="G12" s="53">
        <f t="shared" ref="G12" si="6">m_ty*F12</f>
        <v>28.578379487179486</v>
      </c>
      <c r="H12" s="51">
        <f t="shared" ref="H12" si="7">m_tz*F12</f>
        <v>17.861487179487177</v>
      </c>
      <c r="I12" s="44">
        <f t="shared" ref="I12:J22" si="8">I11</f>
        <v>8</v>
      </c>
      <c r="J12" s="170">
        <f>J11</f>
        <v>0</v>
      </c>
      <c r="K12" s="194" t="str">
        <f>D12&amp;-2</f>
        <v>7.8-2</v>
      </c>
      <c r="L12" s="45">
        <f t="shared" ref="L12:L58" si="9">L11</f>
        <v>0.2</v>
      </c>
      <c r="M12" s="49">
        <v>30</v>
      </c>
      <c r="N12" s="52">
        <f>N11</f>
        <v>160</v>
      </c>
      <c r="O12" s="44">
        <f>O11</f>
        <v>150</v>
      </c>
      <c r="P12" s="50">
        <f>P11</f>
        <v>270</v>
      </c>
    </row>
    <row r="13" spans="1:16" ht="15.75" thickBot="1" x14ac:dyDescent="0.3">
      <c r="A13" s="229">
        <f t="shared" ref="A13:A58" si="10">A12+1</f>
        <v>3616</v>
      </c>
      <c r="B13" s="230">
        <f t="shared" ref="B13:B58" si="11">B12+1</f>
        <v>3</v>
      </c>
      <c r="C13" s="218" t="str">
        <f t="shared" si="4"/>
        <v>L42X08#000_060_03</v>
      </c>
      <c r="D13" s="43">
        <f t="shared" si="0"/>
        <v>7.8000000000000007</v>
      </c>
      <c r="E13" s="173">
        <f t="shared" ref="E13:E34" si="12">t_c*I_ref*(0.072*(v_ave/t_c+3)*(D13/t_c-4)+10)</f>
        <v>2.7863920000000002</v>
      </c>
      <c r="F13" s="170">
        <f t="shared" ref="F13:F34" si="13">E13/D13*100</f>
        <v>35.722974358974355</v>
      </c>
      <c r="G13" s="53">
        <f t="shared" ref="G13:G34" si="14">m_ty*F13</f>
        <v>28.578379487179486</v>
      </c>
      <c r="H13" s="51">
        <f t="shared" ref="H13:H34" si="15">m_tz*F13</f>
        <v>17.861487179487177</v>
      </c>
      <c r="I13" s="44">
        <f t="shared" si="8"/>
        <v>8</v>
      </c>
      <c r="J13" s="198">
        <f t="shared" si="8"/>
        <v>0</v>
      </c>
      <c r="K13" s="194" t="str">
        <f>D13&amp;-3</f>
        <v>7.8-3</v>
      </c>
      <c r="L13" s="45">
        <f t="shared" si="9"/>
        <v>0.2</v>
      </c>
      <c r="M13" s="49">
        <v>60</v>
      </c>
      <c r="N13" s="52">
        <f t="shared" ref="N13:P34" si="16">N12</f>
        <v>160</v>
      </c>
      <c r="O13" s="44">
        <f t="shared" ref="O13:P22" si="17">O12</f>
        <v>150</v>
      </c>
      <c r="P13" s="50">
        <f t="shared" si="17"/>
        <v>270</v>
      </c>
    </row>
    <row r="14" spans="1:16" ht="15.75" thickBot="1" x14ac:dyDescent="0.3">
      <c r="A14" s="229">
        <f t="shared" si="10"/>
        <v>3617</v>
      </c>
      <c r="B14" s="230">
        <f t="shared" si="11"/>
        <v>4</v>
      </c>
      <c r="C14" s="218" t="str">
        <f t="shared" si="4"/>
        <v>L42X08#000_090_04</v>
      </c>
      <c r="D14" s="43">
        <f t="shared" si="0"/>
        <v>7.8000000000000007</v>
      </c>
      <c r="E14" s="173">
        <f t="shared" si="12"/>
        <v>2.7863920000000002</v>
      </c>
      <c r="F14" s="170">
        <f t="shared" si="13"/>
        <v>35.722974358974355</v>
      </c>
      <c r="G14" s="53">
        <f t="shared" si="14"/>
        <v>28.578379487179486</v>
      </c>
      <c r="H14" s="51">
        <f t="shared" si="15"/>
        <v>17.861487179487177</v>
      </c>
      <c r="I14" s="44">
        <f t="shared" si="8"/>
        <v>8</v>
      </c>
      <c r="J14" s="198">
        <f t="shared" si="8"/>
        <v>0</v>
      </c>
      <c r="K14" s="194" t="str">
        <f>D14&amp;-4</f>
        <v>7.8-4</v>
      </c>
      <c r="L14" s="45">
        <f t="shared" si="9"/>
        <v>0.2</v>
      </c>
      <c r="M14" s="49">
        <v>90</v>
      </c>
      <c r="N14" s="52">
        <f t="shared" si="16"/>
        <v>160</v>
      </c>
      <c r="O14" s="44">
        <f t="shared" si="17"/>
        <v>150</v>
      </c>
      <c r="P14" s="50">
        <f t="shared" si="17"/>
        <v>270</v>
      </c>
    </row>
    <row r="15" spans="1:16" ht="15.75" thickBot="1" x14ac:dyDescent="0.3">
      <c r="A15" s="229">
        <f t="shared" si="10"/>
        <v>3618</v>
      </c>
      <c r="B15" s="230">
        <f t="shared" si="11"/>
        <v>5</v>
      </c>
      <c r="C15" s="218" t="str">
        <f t="shared" si="4"/>
        <v>L42X08#000_000_05</v>
      </c>
      <c r="D15" s="43">
        <f t="shared" si="0"/>
        <v>7.8000000000000007</v>
      </c>
      <c r="E15" s="173">
        <f t="shared" si="12"/>
        <v>2.7863920000000002</v>
      </c>
      <c r="F15" s="170">
        <f t="shared" si="13"/>
        <v>35.722974358974355</v>
      </c>
      <c r="G15" s="53">
        <f t="shared" si="14"/>
        <v>28.578379487179486</v>
      </c>
      <c r="H15" s="51">
        <f t="shared" si="15"/>
        <v>17.861487179487177</v>
      </c>
      <c r="I15" s="44">
        <f t="shared" si="8"/>
        <v>8</v>
      </c>
      <c r="J15" s="198">
        <f t="shared" si="8"/>
        <v>0</v>
      </c>
      <c r="K15" s="194" t="str">
        <f>D15&amp;-5</f>
        <v>7.8-5</v>
      </c>
      <c r="L15" s="45">
        <f t="shared" si="9"/>
        <v>0.2</v>
      </c>
      <c r="M15" s="49">
        <v>0</v>
      </c>
      <c r="N15" s="52">
        <f t="shared" si="16"/>
        <v>160</v>
      </c>
      <c r="O15" s="44">
        <f t="shared" si="17"/>
        <v>150</v>
      </c>
      <c r="P15" s="50">
        <f t="shared" si="17"/>
        <v>270</v>
      </c>
    </row>
    <row r="16" spans="1:16" ht="15.75" thickBot="1" x14ac:dyDescent="0.3">
      <c r="A16" s="229">
        <f t="shared" si="10"/>
        <v>3619</v>
      </c>
      <c r="B16" s="230">
        <f t="shared" si="11"/>
        <v>6</v>
      </c>
      <c r="C16" s="218" t="str">
        <f t="shared" si="4"/>
        <v>L42X08#000_030_06</v>
      </c>
      <c r="D16" s="43">
        <f t="shared" si="0"/>
        <v>7.8000000000000007</v>
      </c>
      <c r="E16" s="173">
        <f t="shared" si="12"/>
        <v>2.7863920000000002</v>
      </c>
      <c r="F16" s="170">
        <f t="shared" si="13"/>
        <v>35.722974358974355</v>
      </c>
      <c r="G16" s="53">
        <f t="shared" si="14"/>
        <v>28.578379487179486</v>
      </c>
      <c r="H16" s="51">
        <f t="shared" si="15"/>
        <v>17.861487179487177</v>
      </c>
      <c r="I16" s="44">
        <f t="shared" si="8"/>
        <v>8</v>
      </c>
      <c r="J16" s="198">
        <f t="shared" si="8"/>
        <v>0</v>
      </c>
      <c r="K16" s="194" t="str">
        <f>D16&amp;-6</f>
        <v>7.8-6</v>
      </c>
      <c r="L16" s="45">
        <f t="shared" si="9"/>
        <v>0.2</v>
      </c>
      <c r="M16" s="49">
        <v>30</v>
      </c>
      <c r="N16" s="52">
        <f t="shared" si="16"/>
        <v>160</v>
      </c>
      <c r="O16" s="44">
        <f t="shared" si="17"/>
        <v>150</v>
      </c>
      <c r="P16" s="50">
        <f t="shared" si="17"/>
        <v>270</v>
      </c>
    </row>
    <row r="17" spans="1:16" ht="15.75" thickBot="1" x14ac:dyDescent="0.3">
      <c r="A17" s="229">
        <f t="shared" si="10"/>
        <v>3620</v>
      </c>
      <c r="B17" s="230">
        <f t="shared" si="11"/>
        <v>7</v>
      </c>
      <c r="C17" s="218" t="str">
        <f t="shared" si="4"/>
        <v>L42X08#000_060_07</v>
      </c>
      <c r="D17" s="43">
        <f t="shared" si="0"/>
        <v>7.8000000000000007</v>
      </c>
      <c r="E17" s="173">
        <f t="shared" si="12"/>
        <v>2.7863920000000002</v>
      </c>
      <c r="F17" s="170">
        <f t="shared" si="13"/>
        <v>35.722974358974355</v>
      </c>
      <c r="G17" s="53">
        <f t="shared" si="14"/>
        <v>28.578379487179486</v>
      </c>
      <c r="H17" s="51">
        <f t="shared" si="15"/>
        <v>17.861487179487177</v>
      </c>
      <c r="I17" s="44">
        <f t="shared" si="8"/>
        <v>8</v>
      </c>
      <c r="J17" s="198">
        <f t="shared" si="8"/>
        <v>0</v>
      </c>
      <c r="K17" s="194" t="str">
        <f>D17&amp;-7</f>
        <v>7.8-7</v>
      </c>
      <c r="L17" s="45">
        <f t="shared" si="9"/>
        <v>0.2</v>
      </c>
      <c r="M17" s="49">
        <v>60</v>
      </c>
      <c r="N17" s="52">
        <f t="shared" si="16"/>
        <v>160</v>
      </c>
      <c r="O17" s="44">
        <f t="shared" si="17"/>
        <v>150</v>
      </c>
      <c r="P17" s="50">
        <f t="shared" si="17"/>
        <v>270</v>
      </c>
    </row>
    <row r="18" spans="1:16" ht="15.75" thickBot="1" x14ac:dyDescent="0.3">
      <c r="A18" s="229">
        <f t="shared" si="10"/>
        <v>3621</v>
      </c>
      <c r="B18" s="230">
        <f t="shared" si="11"/>
        <v>8</v>
      </c>
      <c r="C18" s="218" t="str">
        <f t="shared" si="4"/>
        <v>L42X08#000_090_08</v>
      </c>
      <c r="D18" s="43">
        <f t="shared" si="0"/>
        <v>7.8000000000000007</v>
      </c>
      <c r="E18" s="173">
        <f t="shared" si="12"/>
        <v>2.7863920000000002</v>
      </c>
      <c r="F18" s="170">
        <f t="shared" si="13"/>
        <v>35.722974358974355</v>
      </c>
      <c r="G18" s="53">
        <f t="shared" si="14"/>
        <v>28.578379487179486</v>
      </c>
      <c r="H18" s="51">
        <f t="shared" si="15"/>
        <v>17.861487179487177</v>
      </c>
      <c r="I18" s="44">
        <f t="shared" si="8"/>
        <v>8</v>
      </c>
      <c r="J18" s="198">
        <f t="shared" si="8"/>
        <v>0</v>
      </c>
      <c r="K18" s="194" t="str">
        <f>D18&amp;-8</f>
        <v>7.8-8</v>
      </c>
      <c r="L18" s="45">
        <f t="shared" si="9"/>
        <v>0.2</v>
      </c>
      <c r="M18" s="49">
        <v>90</v>
      </c>
      <c r="N18" s="52">
        <f t="shared" si="16"/>
        <v>160</v>
      </c>
      <c r="O18" s="44">
        <f t="shared" si="17"/>
        <v>150</v>
      </c>
      <c r="P18" s="50">
        <f t="shared" si="17"/>
        <v>270</v>
      </c>
    </row>
    <row r="19" spans="1:16" ht="15.75" thickBot="1" x14ac:dyDescent="0.3">
      <c r="A19" s="229">
        <f t="shared" si="10"/>
        <v>3622</v>
      </c>
      <c r="B19" s="230">
        <f t="shared" si="11"/>
        <v>9</v>
      </c>
      <c r="C19" s="218" t="str">
        <f t="shared" si="4"/>
        <v>L42X08#000_000_09</v>
      </c>
      <c r="D19" s="43">
        <f t="shared" si="0"/>
        <v>7.8000000000000007</v>
      </c>
      <c r="E19" s="173">
        <f t="shared" si="12"/>
        <v>2.7863920000000002</v>
      </c>
      <c r="F19" s="170">
        <f t="shared" si="13"/>
        <v>35.722974358974355</v>
      </c>
      <c r="G19" s="53">
        <f t="shared" si="14"/>
        <v>28.578379487179486</v>
      </c>
      <c r="H19" s="51">
        <f t="shared" si="15"/>
        <v>17.861487179487177</v>
      </c>
      <c r="I19" s="44">
        <f t="shared" si="8"/>
        <v>8</v>
      </c>
      <c r="J19" s="198">
        <f t="shared" si="8"/>
        <v>0</v>
      </c>
      <c r="K19" s="194" t="str">
        <f>D19&amp;-9</f>
        <v>7.8-9</v>
      </c>
      <c r="L19" s="45">
        <f t="shared" si="9"/>
        <v>0.2</v>
      </c>
      <c r="M19" s="49">
        <v>0</v>
      </c>
      <c r="N19" s="52">
        <f t="shared" si="16"/>
        <v>160</v>
      </c>
      <c r="O19" s="44">
        <f t="shared" si="17"/>
        <v>150</v>
      </c>
      <c r="P19" s="50">
        <f t="shared" si="17"/>
        <v>270</v>
      </c>
    </row>
    <row r="20" spans="1:16" ht="15.75" thickBot="1" x14ac:dyDescent="0.3">
      <c r="A20" s="229">
        <f t="shared" si="10"/>
        <v>3623</v>
      </c>
      <c r="B20" s="230">
        <f t="shared" si="11"/>
        <v>10</v>
      </c>
      <c r="C20" s="218" t="str">
        <f t="shared" si="4"/>
        <v>L42X08#000_030_10</v>
      </c>
      <c r="D20" s="43">
        <f t="shared" si="0"/>
        <v>7.8000000000000007</v>
      </c>
      <c r="E20" s="173">
        <f t="shared" si="12"/>
        <v>2.7863920000000002</v>
      </c>
      <c r="F20" s="170">
        <f t="shared" si="13"/>
        <v>35.722974358974355</v>
      </c>
      <c r="G20" s="53">
        <f t="shared" si="14"/>
        <v>28.578379487179486</v>
      </c>
      <c r="H20" s="51">
        <f t="shared" si="15"/>
        <v>17.861487179487177</v>
      </c>
      <c r="I20" s="44">
        <f t="shared" si="8"/>
        <v>8</v>
      </c>
      <c r="J20" s="198">
        <f t="shared" si="8"/>
        <v>0</v>
      </c>
      <c r="K20" s="194" t="str">
        <f>D20&amp;-10</f>
        <v>7.8-10</v>
      </c>
      <c r="L20" s="45">
        <f t="shared" si="9"/>
        <v>0.2</v>
      </c>
      <c r="M20" s="49">
        <v>30</v>
      </c>
      <c r="N20" s="52">
        <f t="shared" si="16"/>
        <v>160</v>
      </c>
      <c r="O20" s="44">
        <f t="shared" si="17"/>
        <v>150</v>
      </c>
      <c r="P20" s="50">
        <f t="shared" si="17"/>
        <v>270</v>
      </c>
    </row>
    <row r="21" spans="1:16" ht="15.75" thickBot="1" x14ac:dyDescent="0.3">
      <c r="A21" s="229">
        <f t="shared" si="10"/>
        <v>3624</v>
      </c>
      <c r="B21" s="230">
        <f t="shared" si="11"/>
        <v>11</v>
      </c>
      <c r="C21" s="218" t="str">
        <f t="shared" si="4"/>
        <v>L42X08#000_060_11</v>
      </c>
      <c r="D21" s="43">
        <f t="shared" si="0"/>
        <v>7.8000000000000007</v>
      </c>
      <c r="E21" s="173">
        <f t="shared" si="12"/>
        <v>2.7863920000000002</v>
      </c>
      <c r="F21" s="170">
        <f t="shared" si="13"/>
        <v>35.722974358974355</v>
      </c>
      <c r="G21" s="53">
        <f t="shared" si="14"/>
        <v>28.578379487179486</v>
      </c>
      <c r="H21" s="51">
        <f t="shared" si="15"/>
        <v>17.861487179487177</v>
      </c>
      <c r="I21" s="44">
        <f t="shared" si="8"/>
        <v>8</v>
      </c>
      <c r="J21" s="198">
        <f t="shared" si="8"/>
        <v>0</v>
      </c>
      <c r="K21" s="194" t="str">
        <f>D21&amp;-11</f>
        <v>7.8-11</v>
      </c>
      <c r="L21" s="45">
        <f t="shared" si="9"/>
        <v>0.2</v>
      </c>
      <c r="M21" s="49">
        <v>60</v>
      </c>
      <c r="N21" s="52">
        <f t="shared" si="16"/>
        <v>160</v>
      </c>
      <c r="O21" s="44">
        <f t="shared" si="17"/>
        <v>150</v>
      </c>
      <c r="P21" s="50">
        <f t="shared" si="17"/>
        <v>270</v>
      </c>
    </row>
    <row r="22" spans="1:16" ht="15.75" thickBot="1" x14ac:dyDescent="0.3">
      <c r="A22" s="229">
        <f t="shared" si="10"/>
        <v>3625</v>
      </c>
      <c r="B22" s="230">
        <f t="shared" si="11"/>
        <v>12</v>
      </c>
      <c r="C22" s="218" t="str">
        <f t="shared" si="4"/>
        <v>L42X08#000_090_12</v>
      </c>
      <c r="D22" s="43">
        <f t="shared" si="0"/>
        <v>7.8000000000000007</v>
      </c>
      <c r="E22" s="173">
        <f t="shared" si="12"/>
        <v>2.7863920000000002</v>
      </c>
      <c r="F22" s="170">
        <f t="shared" si="13"/>
        <v>35.722974358974355</v>
      </c>
      <c r="G22" s="53">
        <f t="shared" si="14"/>
        <v>28.578379487179486</v>
      </c>
      <c r="H22" s="51">
        <f t="shared" si="15"/>
        <v>17.861487179487177</v>
      </c>
      <c r="I22" s="44">
        <f t="shared" si="8"/>
        <v>8</v>
      </c>
      <c r="J22" s="198">
        <f t="shared" si="8"/>
        <v>0</v>
      </c>
      <c r="K22" s="194" t="str">
        <f>D22&amp;-12</f>
        <v>7.8-12</v>
      </c>
      <c r="L22" s="45">
        <f t="shared" si="9"/>
        <v>0.2</v>
      </c>
      <c r="M22" s="49">
        <v>90</v>
      </c>
      <c r="N22" s="52">
        <f t="shared" si="16"/>
        <v>160</v>
      </c>
      <c r="O22" s="44">
        <f t="shared" si="17"/>
        <v>150</v>
      </c>
      <c r="P22" s="50">
        <f t="shared" si="17"/>
        <v>270</v>
      </c>
    </row>
    <row r="23" spans="1:16" ht="15.75" thickBot="1" x14ac:dyDescent="0.3">
      <c r="A23" s="229">
        <f t="shared" si="10"/>
        <v>3626</v>
      </c>
      <c r="B23" s="230">
        <f t="shared" si="11"/>
        <v>13</v>
      </c>
      <c r="C23" s="218" t="str">
        <f t="shared" si="4"/>
        <v>L42X10#000_000_01</v>
      </c>
      <c r="D23" s="43">
        <f>v_r</f>
        <v>9.8000000000000007</v>
      </c>
      <c r="E23" s="173">
        <f t="shared" si="12"/>
        <v>2.9224720000000004</v>
      </c>
      <c r="F23" s="170">
        <f t="shared" si="13"/>
        <v>29.821142857142856</v>
      </c>
      <c r="G23" s="53">
        <f t="shared" si="14"/>
        <v>23.856914285714286</v>
      </c>
      <c r="H23" s="51">
        <f t="shared" si="15"/>
        <v>14.910571428571428</v>
      </c>
      <c r="I23" s="198">
        <f t="shared" ref="I23:J23" si="18">I22</f>
        <v>8</v>
      </c>
      <c r="J23" s="198">
        <f t="shared" si="18"/>
        <v>0</v>
      </c>
      <c r="K23" s="194" t="str">
        <f>D23&amp;-1</f>
        <v>9.8-1</v>
      </c>
      <c r="L23" s="199">
        <f t="shared" si="9"/>
        <v>0.2</v>
      </c>
      <c r="M23" s="49">
        <v>0</v>
      </c>
      <c r="N23" s="52">
        <f t="shared" si="16"/>
        <v>160</v>
      </c>
      <c r="O23" s="198">
        <f t="shared" si="16"/>
        <v>150</v>
      </c>
      <c r="P23" s="50">
        <f t="shared" si="16"/>
        <v>270</v>
      </c>
    </row>
    <row r="24" spans="1:16" ht="15.75" thickBot="1" x14ac:dyDescent="0.3">
      <c r="A24" s="229">
        <f t="shared" si="10"/>
        <v>3627</v>
      </c>
      <c r="B24" s="230">
        <f t="shared" si="11"/>
        <v>14</v>
      </c>
      <c r="C24" s="218" t="str">
        <f t="shared" si="4"/>
        <v>L42X10#000_030_02</v>
      </c>
      <c r="D24" s="43">
        <f t="shared" ref="D24:D34" si="19">v_r</f>
        <v>9.8000000000000007</v>
      </c>
      <c r="E24" s="173">
        <f t="shared" si="12"/>
        <v>2.9224720000000004</v>
      </c>
      <c r="F24" s="170">
        <f t="shared" si="13"/>
        <v>29.821142857142856</v>
      </c>
      <c r="G24" s="53">
        <f t="shared" si="14"/>
        <v>23.856914285714286</v>
      </c>
      <c r="H24" s="51">
        <f t="shared" si="15"/>
        <v>14.910571428571428</v>
      </c>
      <c r="I24" s="198">
        <f t="shared" ref="I24:J24" si="20">I23</f>
        <v>8</v>
      </c>
      <c r="J24" s="198">
        <f t="shared" si="20"/>
        <v>0</v>
      </c>
      <c r="K24" s="194" t="str">
        <f>D24&amp;-2</f>
        <v>9.8-2</v>
      </c>
      <c r="L24" s="199">
        <f t="shared" si="9"/>
        <v>0.2</v>
      </c>
      <c r="M24" s="49">
        <v>30</v>
      </c>
      <c r="N24" s="52">
        <f t="shared" si="16"/>
        <v>160</v>
      </c>
      <c r="O24" s="198">
        <f t="shared" si="16"/>
        <v>150</v>
      </c>
      <c r="P24" s="50">
        <f t="shared" si="16"/>
        <v>270</v>
      </c>
    </row>
    <row r="25" spans="1:16" ht="15.75" thickBot="1" x14ac:dyDescent="0.3">
      <c r="A25" s="229">
        <f t="shared" si="10"/>
        <v>3628</v>
      </c>
      <c r="B25" s="230">
        <f t="shared" si="11"/>
        <v>15</v>
      </c>
      <c r="C25" s="218" t="str">
        <f t="shared" si="4"/>
        <v>L42X10#000_060_03</v>
      </c>
      <c r="D25" s="43">
        <f t="shared" si="19"/>
        <v>9.8000000000000007</v>
      </c>
      <c r="E25" s="173">
        <f t="shared" si="12"/>
        <v>2.9224720000000004</v>
      </c>
      <c r="F25" s="170">
        <f t="shared" si="13"/>
        <v>29.821142857142856</v>
      </c>
      <c r="G25" s="53">
        <f t="shared" si="14"/>
        <v>23.856914285714286</v>
      </c>
      <c r="H25" s="51">
        <f t="shared" si="15"/>
        <v>14.910571428571428</v>
      </c>
      <c r="I25" s="198">
        <f t="shared" ref="I25:J25" si="21">I24</f>
        <v>8</v>
      </c>
      <c r="J25" s="198">
        <f t="shared" si="21"/>
        <v>0</v>
      </c>
      <c r="K25" s="194" t="str">
        <f>D25&amp;-3</f>
        <v>9.8-3</v>
      </c>
      <c r="L25" s="199">
        <f t="shared" si="9"/>
        <v>0.2</v>
      </c>
      <c r="M25" s="49">
        <v>60</v>
      </c>
      <c r="N25" s="52">
        <f t="shared" si="16"/>
        <v>160</v>
      </c>
      <c r="O25" s="198">
        <f t="shared" si="16"/>
        <v>150</v>
      </c>
      <c r="P25" s="50">
        <f t="shared" si="16"/>
        <v>270</v>
      </c>
    </row>
    <row r="26" spans="1:16" ht="15.75" thickBot="1" x14ac:dyDescent="0.3">
      <c r="A26" s="229">
        <f t="shared" si="10"/>
        <v>3629</v>
      </c>
      <c r="B26" s="230">
        <f t="shared" si="11"/>
        <v>16</v>
      </c>
      <c r="C26" s="218" t="str">
        <f t="shared" si="4"/>
        <v>L42X10#000_090_04</v>
      </c>
      <c r="D26" s="43">
        <f t="shared" si="19"/>
        <v>9.8000000000000007</v>
      </c>
      <c r="E26" s="173">
        <f t="shared" si="12"/>
        <v>2.9224720000000004</v>
      </c>
      <c r="F26" s="170">
        <f t="shared" si="13"/>
        <v>29.821142857142856</v>
      </c>
      <c r="G26" s="53">
        <f t="shared" si="14"/>
        <v>23.856914285714286</v>
      </c>
      <c r="H26" s="51">
        <f t="shared" si="15"/>
        <v>14.910571428571428</v>
      </c>
      <c r="I26" s="198">
        <f t="shared" ref="I26:J26" si="22">I25</f>
        <v>8</v>
      </c>
      <c r="J26" s="198">
        <f t="shared" si="22"/>
        <v>0</v>
      </c>
      <c r="K26" s="194" t="str">
        <f>D26&amp;-4</f>
        <v>9.8-4</v>
      </c>
      <c r="L26" s="199">
        <f t="shared" si="9"/>
        <v>0.2</v>
      </c>
      <c r="M26" s="49">
        <v>90</v>
      </c>
      <c r="N26" s="52">
        <f t="shared" si="16"/>
        <v>160</v>
      </c>
      <c r="O26" s="198">
        <f t="shared" si="16"/>
        <v>150</v>
      </c>
      <c r="P26" s="50">
        <f t="shared" si="16"/>
        <v>270</v>
      </c>
    </row>
    <row r="27" spans="1:16" ht="15.75" thickBot="1" x14ac:dyDescent="0.3">
      <c r="A27" s="229">
        <f t="shared" si="10"/>
        <v>3630</v>
      </c>
      <c r="B27" s="230">
        <f t="shared" si="11"/>
        <v>17</v>
      </c>
      <c r="C27" s="218" t="str">
        <f t="shared" si="4"/>
        <v>L42X10#000_000_05</v>
      </c>
      <c r="D27" s="43">
        <f t="shared" si="19"/>
        <v>9.8000000000000007</v>
      </c>
      <c r="E27" s="173">
        <f t="shared" si="12"/>
        <v>2.9224720000000004</v>
      </c>
      <c r="F27" s="170">
        <f t="shared" si="13"/>
        <v>29.821142857142856</v>
      </c>
      <c r="G27" s="53">
        <f t="shared" si="14"/>
        <v>23.856914285714286</v>
      </c>
      <c r="H27" s="51">
        <f t="shared" si="15"/>
        <v>14.910571428571428</v>
      </c>
      <c r="I27" s="198">
        <f t="shared" ref="I27:J27" si="23">I26</f>
        <v>8</v>
      </c>
      <c r="J27" s="198">
        <f t="shared" si="23"/>
        <v>0</v>
      </c>
      <c r="K27" s="194" t="str">
        <f>D27&amp;-5</f>
        <v>9.8-5</v>
      </c>
      <c r="L27" s="199">
        <f t="shared" si="9"/>
        <v>0.2</v>
      </c>
      <c r="M27" s="49">
        <v>0</v>
      </c>
      <c r="N27" s="52">
        <f t="shared" si="16"/>
        <v>160</v>
      </c>
      <c r="O27" s="198">
        <f t="shared" si="16"/>
        <v>150</v>
      </c>
      <c r="P27" s="50">
        <f t="shared" si="16"/>
        <v>270</v>
      </c>
    </row>
    <row r="28" spans="1:16" ht="15.75" thickBot="1" x14ac:dyDescent="0.3">
      <c r="A28" s="229">
        <f t="shared" si="10"/>
        <v>3631</v>
      </c>
      <c r="B28" s="230">
        <f t="shared" si="11"/>
        <v>18</v>
      </c>
      <c r="C28" s="218" t="str">
        <f t="shared" si="4"/>
        <v>L42X10#000_030_06</v>
      </c>
      <c r="D28" s="43">
        <f t="shared" si="19"/>
        <v>9.8000000000000007</v>
      </c>
      <c r="E28" s="173">
        <f t="shared" si="12"/>
        <v>2.9224720000000004</v>
      </c>
      <c r="F28" s="170">
        <f t="shared" si="13"/>
        <v>29.821142857142856</v>
      </c>
      <c r="G28" s="53">
        <f t="shared" si="14"/>
        <v>23.856914285714286</v>
      </c>
      <c r="H28" s="51">
        <f t="shared" si="15"/>
        <v>14.910571428571428</v>
      </c>
      <c r="I28" s="198">
        <f t="shared" ref="I28:J28" si="24">I27</f>
        <v>8</v>
      </c>
      <c r="J28" s="198">
        <f t="shared" si="24"/>
        <v>0</v>
      </c>
      <c r="K28" s="194" t="str">
        <f>D28&amp;-6</f>
        <v>9.8-6</v>
      </c>
      <c r="L28" s="199">
        <f t="shared" si="9"/>
        <v>0.2</v>
      </c>
      <c r="M28" s="49">
        <v>30</v>
      </c>
      <c r="N28" s="52">
        <f t="shared" si="16"/>
        <v>160</v>
      </c>
      <c r="O28" s="198">
        <f t="shared" si="16"/>
        <v>150</v>
      </c>
      <c r="P28" s="50">
        <f t="shared" si="16"/>
        <v>270</v>
      </c>
    </row>
    <row r="29" spans="1:16" ht="15.75" thickBot="1" x14ac:dyDescent="0.3">
      <c r="A29" s="229">
        <f t="shared" si="10"/>
        <v>3632</v>
      </c>
      <c r="B29" s="230">
        <f t="shared" si="11"/>
        <v>19</v>
      </c>
      <c r="C29" s="218" t="str">
        <f t="shared" si="4"/>
        <v>L42X10#000_060_07</v>
      </c>
      <c r="D29" s="43">
        <f t="shared" si="19"/>
        <v>9.8000000000000007</v>
      </c>
      <c r="E29" s="173">
        <f t="shared" si="12"/>
        <v>2.9224720000000004</v>
      </c>
      <c r="F29" s="170">
        <f t="shared" si="13"/>
        <v>29.821142857142856</v>
      </c>
      <c r="G29" s="53">
        <f t="shared" si="14"/>
        <v>23.856914285714286</v>
      </c>
      <c r="H29" s="51">
        <f t="shared" si="15"/>
        <v>14.910571428571428</v>
      </c>
      <c r="I29" s="198">
        <f t="shared" ref="I29:J29" si="25">I28</f>
        <v>8</v>
      </c>
      <c r="J29" s="198">
        <f t="shared" si="25"/>
        <v>0</v>
      </c>
      <c r="K29" s="194" t="str">
        <f>D29&amp;-7</f>
        <v>9.8-7</v>
      </c>
      <c r="L29" s="199">
        <f t="shared" si="9"/>
        <v>0.2</v>
      </c>
      <c r="M29" s="49">
        <v>60</v>
      </c>
      <c r="N29" s="52">
        <f t="shared" si="16"/>
        <v>160</v>
      </c>
      <c r="O29" s="198">
        <f t="shared" si="16"/>
        <v>150</v>
      </c>
      <c r="P29" s="50">
        <f t="shared" si="16"/>
        <v>270</v>
      </c>
    </row>
    <row r="30" spans="1:16" ht="15.75" thickBot="1" x14ac:dyDescent="0.3">
      <c r="A30" s="229">
        <f t="shared" si="10"/>
        <v>3633</v>
      </c>
      <c r="B30" s="230">
        <f t="shared" si="11"/>
        <v>20</v>
      </c>
      <c r="C30" s="218" t="str">
        <f t="shared" si="4"/>
        <v>L42X10#000_090_08</v>
      </c>
      <c r="D30" s="43">
        <f t="shared" si="19"/>
        <v>9.8000000000000007</v>
      </c>
      <c r="E30" s="173">
        <f t="shared" si="12"/>
        <v>2.9224720000000004</v>
      </c>
      <c r="F30" s="170">
        <f t="shared" si="13"/>
        <v>29.821142857142856</v>
      </c>
      <c r="G30" s="53">
        <f t="shared" si="14"/>
        <v>23.856914285714286</v>
      </c>
      <c r="H30" s="51">
        <f t="shared" si="15"/>
        <v>14.910571428571428</v>
      </c>
      <c r="I30" s="198">
        <f t="shared" ref="I30:J30" si="26">I29</f>
        <v>8</v>
      </c>
      <c r="J30" s="198">
        <f t="shared" si="26"/>
        <v>0</v>
      </c>
      <c r="K30" s="194" t="str">
        <f>D30&amp;-8</f>
        <v>9.8-8</v>
      </c>
      <c r="L30" s="199">
        <f t="shared" si="9"/>
        <v>0.2</v>
      </c>
      <c r="M30" s="49">
        <v>90</v>
      </c>
      <c r="N30" s="52">
        <f t="shared" si="16"/>
        <v>160</v>
      </c>
      <c r="O30" s="198">
        <f t="shared" si="16"/>
        <v>150</v>
      </c>
      <c r="P30" s="50">
        <f t="shared" si="16"/>
        <v>270</v>
      </c>
    </row>
    <row r="31" spans="1:16" ht="15.75" thickBot="1" x14ac:dyDescent="0.3">
      <c r="A31" s="229">
        <f t="shared" si="10"/>
        <v>3634</v>
      </c>
      <c r="B31" s="230">
        <f t="shared" si="11"/>
        <v>21</v>
      </c>
      <c r="C31" s="218" t="str">
        <f t="shared" si="4"/>
        <v>L42X10#000_000_09</v>
      </c>
      <c r="D31" s="43">
        <f t="shared" si="19"/>
        <v>9.8000000000000007</v>
      </c>
      <c r="E31" s="173">
        <f t="shared" si="12"/>
        <v>2.9224720000000004</v>
      </c>
      <c r="F31" s="170">
        <f t="shared" si="13"/>
        <v>29.821142857142856</v>
      </c>
      <c r="G31" s="53">
        <f t="shared" si="14"/>
        <v>23.856914285714286</v>
      </c>
      <c r="H31" s="51">
        <f t="shared" si="15"/>
        <v>14.910571428571428</v>
      </c>
      <c r="I31" s="198">
        <f t="shared" ref="I31:J31" si="27">I30</f>
        <v>8</v>
      </c>
      <c r="J31" s="198">
        <f t="shared" si="27"/>
        <v>0</v>
      </c>
      <c r="K31" s="194" t="str">
        <f>D31&amp;-9</f>
        <v>9.8-9</v>
      </c>
      <c r="L31" s="199">
        <f t="shared" si="9"/>
        <v>0.2</v>
      </c>
      <c r="M31" s="49">
        <v>0</v>
      </c>
      <c r="N31" s="52">
        <f t="shared" si="16"/>
        <v>160</v>
      </c>
      <c r="O31" s="198">
        <f t="shared" si="16"/>
        <v>150</v>
      </c>
      <c r="P31" s="50">
        <f t="shared" si="16"/>
        <v>270</v>
      </c>
    </row>
    <row r="32" spans="1:16" ht="15.75" thickBot="1" x14ac:dyDescent="0.3">
      <c r="A32" s="229">
        <f t="shared" si="10"/>
        <v>3635</v>
      </c>
      <c r="B32" s="230">
        <f t="shared" si="11"/>
        <v>22</v>
      </c>
      <c r="C32" s="218" t="str">
        <f t="shared" si="4"/>
        <v>L42X10#000_030_10</v>
      </c>
      <c r="D32" s="43">
        <f t="shared" si="19"/>
        <v>9.8000000000000007</v>
      </c>
      <c r="E32" s="173">
        <f t="shared" si="12"/>
        <v>2.9224720000000004</v>
      </c>
      <c r="F32" s="170">
        <f t="shared" si="13"/>
        <v>29.821142857142856</v>
      </c>
      <c r="G32" s="53">
        <f t="shared" si="14"/>
        <v>23.856914285714286</v>
      </c>
      <c r="H32" s="51">
        <f t="shared" si="15"/>
        <v>14.910571428571428</v>
      </c>
      <c r="I32" s="198">
        <f t="shared" ref="I32:J32" si="28">I31</f>
        <v>8</v>
      </c>
      <c r="J32" s="198">
        <f t="shared" si="28"/>
        <v>0</v>
      </c>
      <c r="K32" s="194" t="str">
        <f>D32&amp;-10</f>
        <v>9.8-10</v>
      </c>
      <c r="L32" s="199">
        <f t="shared" si="9"/>
        <v>0.2</v>
      </c>
      <c r="M32" s="49">
        <v>30</v>
      </c>
      <c r="N32" s="52">
        <f t="shared" si="16"/>
        <v>160</v>
      </c>
      <c r="O32" s="198">
        <f t="shared" si="16"/>
        <v>150</v>
      </c>
      <c r="P32" s="50">
        <f t="shared" si="16"/>
        <v>270</v>
      </c>
    </row>
    <row r="33" spans="1:16" ht="15.75" thickBot="1" x14ac:dyDescent="0.3">
      <c r="A33" s="229">
        <f t="shared" si="10"/>
        <v>3636</v>
      </c>
      <c r="B33" s="230">
        <f t="shared" si="11"/>
        <v>23</v>
      </c>
      <c r="C33" s="218" t="str">
        <f t="shared" si="4"/>
        <v>L42X10#000_060_11</v>
      </c>
      <c r="D33" s="43">
        <f t="shared" si="19"/>
        <v>9.8000000000000007</v>
      </c>
      <c r="E33" s="173">
        <f t="shared" si="12"/>
        <v>2.9224720000000004</v>
      </c>
      <c r="F33" s="170">
        <f t="shared" si="13"/>
        <v>29.821142857142856</v>
      </c>
      <c r="G33" s="53">
        <f t="shared" si="14"/>
        <v>23.856914285714286</v>
      </c>
      <c r="H33" s="51">
        <f t="shared" si="15"/>
        <v>14.910571428571428</v>
      </c>
      <c r="I33" s="198">
        <f t="shared" ref="I33:J33" si="29">I32</f>
        <v>8</v>
      </c>
      <c r="J33" s="198">
        <f t="shared" si="29"/>
        <v>0</v>
      </c>
      <c r="K33" s="194" t="str">
        <f>D33&amp;-11</f>
        <v>9.8-11</v>
      </c>
      <c r="L33" s="199">
        <f t="shared" si="9"/>
        <v>0.2</v>
      </c>
      <c r="M33" s="49">
        <v>60</v>
      </c>
      <c r="N33" s="52">
        <f t="shared" si="16"/>
        <v>160</v>
      </c>
      <c r="O33" s="198">
        <f t="shared" si="16"/>
        <v>150</v>
      </c>
      <c r="P33" s="50">
        <f t="shared" si="16"/>
        <v>270</v>
      </c>
    </row>
    <row r="34" spans="1:16" ht="15.75" thickBot="1" x14ac:dyDescent="0.3">
      <c r="A34" s="229">
        <f t="shared" si="10"/>
        <v>3637</v>
      </c>
      <c r="B34" s="230">
        <f t="shared" si="11"/>
        <v>24</v>
      </c>
      <c r="C34" s="218" t="str">
        <f t="shared" si="4"/>
        <v>L42X10#000_090_12</v>
      </c>
      <c r="D34" s="43">
        <f t="shared" si="19"/>
        <v>9.8000000000000007</v>
      </c>
      <c r="E34" s="173">
        <f t="shared" si="12"/>
        <v>2.9224720000000004</v>
      </c>
      <c r="F34" s="170">
        <f t="shared" si="13"/>
        <v>29.821142857142856</v>
      </c>
      <c r="G34" s="53">
        <f t="shared" si="14"/>
        <v>23.856914285714286</v>
      </c>
      <c r="H34" s="51">
        <f t="shared" si="15"/>
        <v>14.910571428571428</v>
      </c>
      <c r="I34" s="198">
        <f t="shared" ref="I34:J34" si="30">I33</f>
        <v>8</v>
      </c>
      <c r="J34" s="198">
        <f t="shared" si="30"/>
        <v>0</v>
      </c>
      <c r="K34" s="194" t="str">
        <f>D34&amp;-12</f>
        <v>9.8-12</v>
      </c>
      <c r="L34" s="199">
        <f t="shared" si="9"/>
        <v>0.2</v>
      </c>
      <c r="M34" s="49">
        <v>90</v>
      </c>
      <c r="N34" s="52">
        <f t="shared" si="16"/>
        <v>160</v>
      </c>
      <c r="O34" s="198">
        <f t="shared" si="16"/>
        <v>150</v>
      </c>
      <c r="P34" s="50">
        <f t="shared" si="16"/>
        <v>270</v>
      </c>
    </row>
    <row r="35" spans="1:16" ht="15.75" thickBot="1" x14ac:dyDescent="0.3">
      <c r="A35" s="229">
        <f t="shared" si="10"/>
        <v>3638</v>
      </c>
      <c r="B35" s="230">
        <f t="shared" si="11"/>
        <v>25</v>
      </c>
      <c r="C35" s="218" t="str">
        <f t="shared" si="4"/>
        <v>L42X12#000_000_01</v>
      </c>
      <c r="D35" s="43">
        <f t="shared" ref="D35:D46" si="31">vr_a</f>
        <v>11.8</v>
      </c>
      <c r="E35" s="173">
        <f t="shared" ref="E35:E46" si="32">t_c*I_ref*(0.072*(v_ave/t_c+3)*(D35/t_c-4)+10)</f>
        <v>3.0585520000000006</v>
      </c>
      <c r="F35" s="170">
        <f t="shared" ref="F35:F46" si="33">E35/D35*100</f>
        <v>25.919932203389834</v>
      </c>
      <c r="G35" s="53">
        <f t="shared" ref="G35:G46" si="34">m_ty*F35</f>
        <v>20.735945762711868</v>
      </c>
      <c r="H35" s="51">
        <f t="shared" ref="H35:H46" si="35">m_tz*F35</f>
        <v>12.959966101694917</v>
      </c>
      <c r="I35" s="198">
        <f t="shared" ref="I35:J35" si="36">I34</f>
        <v>8</v>
      </c>
      <c r="J35" s="198">
        <f t="shared" si="36"/>
        <v>0</v>
      </c>
      <c r="K35" s="194" t="str">
        <f>D35&amp;-1</f>
        <v>11.8-1</v>
      </c>
      <c r="L35" s="199">
        <f t="shared" si="9"/>
        <v>0.2</v>
      </c>
      <c r="M35" s="49">
        <v>0</v>
      </c>
      <c r="N35" s="52">
        <f t="shared" ref="N35:P50" si="37">N34</f>
        <v>160</v>
      </c>
      <c r="O35" s="198">
        <f t="shared" si="37"/>
        <v>150</v>
      </c>
      <c r="P35" s="50">
        <f t="shared" si="37"/>
        <v>270</v>
      </c>
    </row>
    <row r="36" spans="1:16" ht="15.75" thickBot="1" x14ac:dyDescent="0.3">
      <c r="A36" s="229">
        <f t="shared" si="10"/>
        <v>3639</v>
      </c>
      <c r="B36" s="230">
        <f t="shared" si="11"/>
        <v>26</v>
      </c>
      <c r="C36" s="218" t="str">
        <f t="shared" si="4"/>
        <v>L42X12#000_030_02</v>
      </c>
      <c r="D36" s="43">
        <f t="shared" si="31"/>
        <v>11.8</v>
      </c>
      <c r="E36" s="173">
        <f t="shared" si="32"/>
        <v>3.0585520000000006</v>
      </c>
      <c r="F36" s="170">
        <f t="shared" si="33"/>
        <v>25.919932203389834</v>
      </c>
      <c r="G36" s="53">
        <f t="shared" si="34"/>
        <v>20.735945762711868</v>
      </c>
      <c r="H36" s="51">
        <f t="shared" si="35"/>
        <v>12.959966101694917</v>
      </c>
      <c r="I36" s="198">
        <f t="shared" ref="I36:J36" si="38">I35</f>
        <v>8</v>
      </c>
      <c r="J36" s="198">
        <f t="shared" si="38"/>
        <v>0</v>
      </c>
      <c r="K36" s="194" t="str">
        <f>D36&amp;-2</f>
        <v>11.8-2</v>
      </c>
      <c r="L36" s="199">
        <f t="shared" si="9"/>
        <v>0.2</v>
      </c>
      <c r="M36" s="49">
        <v>30</v>
      </c>
      <c r="N36" s="52">
        <f t="shared" si="37"/>
        <v>160</v>
      </c>
      <c r="O36" s="198">
        <f t="shared" si="37"/>
        <v>150</v>
      </c>
      <c r="P36" s="50">
        <f t="shared" si="37"/>
        <v>270</v>
      </c>
    </row>
    <row r="37" spans="1:16" ht="15.75" thickBot="1" x14ac:dyDescent="0.3">
      <c r="A37" s="229">
        <f t="shared" si="10"/>
        <v>3640</v>
      </c>
      <c r="B37" s="230">
        <f t="shared" si="11"/>
        <v>27</v>
      </c>
      <c r="C37" s="218" t="str">
        <f t="shared" si="4"/>
        <v>L42X12#000_060_03</v>
      </c>
      <c r="D37" s="43">
        <f t="shared" si="31"/>
        <v>11.8</v>
      </c>
      <c r="E37" s="173">
        <f t="shared" si="32"/>
        <v>3.0585520000000006</v>
      </c>
      <c r="F37" s="170">
        <f t="shared" si="33"/>
        <v>25.919932203389834</v>
      </c>
      <c r="G37" s="53">
        <f t="shared" si="34"/>
        <v>20.735945762711868</v>
      </c>
      <c r="H37" s="51">
        <f t="shared" si="35"/>
        <v>12.959966101694917</v>
      </c>
      <c r="I37" s="198">
        <f t="shared" ref="I37:J37" si="39">I36</f>
        <v>8</v>
      </c>
      <c r="J37" s="198">
        <f t="shared" si="39"/>
        <v>0</v>
      </c>
      <c r="K37" s="194" t="str">
        <f>D37&amp;-3</f>
        <v>11.8-3</v>
      </c>
      <c r="L37" s="199">
        <f t="shared" si="9"/>
        <v>0.2</v>
      </c>
      <c r="M37" s="49">
        <v>60</v>
      </c>
      <c r="N37" s="52">
        <f t="shared" si="37"/>
        <v>160</v>
      </c>
      <c r="O37" s="198">
        <f t="shared" si="37"/>
        <v>150</v>
      </c>
      <c r="P37" s="50">
        <f t="shared" si="37"/>
        <v>270</v>
      </c>
    </row>
    <row r="38" spans="1:16" ht="15.75" thickBot="1" x14ac:dyDescent="0.3">
      <c r="A38" s="229">
        <f t="shared" si="10"/>
        <v>3641</v>
      </c>
      <c r="B38" s="230">
        <f t="shared" si="11"/>
        <v>28</v>
      </c>
      <c r="C38" s="218" t="str">
        <f t="shared" si="4"/>
        <v>L42X12#000_090_04</v>
      </c>
      <c r="D38" s="43">
        <f t="shared" si="31"/>
        <v>11.8</v>
      </c>
      <c r="E38" s="173">
        <f t="shared" si="32"/>
        <v>3.0585520000000006</v>
      </c>
      <c r="F38" s="170">
        <f t="shared" si="33"/>
        <v>25.919932203389834</v>
      </c>
      <c r="G38" s="53">
        <f t="shared" si="34"/>
        <v>20.735945762711868</v>
      </c>
      <c r="H38" s="51">
        <f t="shared" si="35"/>
        <v>12.959966101694917</v>
      </c>
      <c r="I38" s="198">
        <f t="shared" ref="I38:J38" si="40">I37</f>
        <v>8</v>
      </c>
      <c r="J38" s="198">
        <f t="shared" si="40"/>
        <v>0</v>
      </c>
      <c r="K38" s="194" t="str">
        <f>D38&amp;-4</f>
        <v>11.8-4</v>
      </c>
      <c r="L38" s="199">
        <f t="shared" si="9"/>
        <v>0.2</v>
      </c>
      <c r="M38" s="49">
        <v>90</v>
      </c>
      <c r="N38" s="52">
        <f t="shared" si="37"/>
        <v>160</v>
      </c>
      <c r="O38" s="198">
        <f t="shared" si="37"/>
        <v>150</v>
      </c>
      <c r="P38" s="50">
        <f t="shared" si="37"/>
        <v>270</v>
      </c>
    </row>
    <row r="39" spans="1:16" ht="15.75" thickBot="1" x14ac:dyDescent="0.3">
      <c r="A39" s="229">
        <f t="shared" si="10"/>
        <v>3642</v>
      </c>
      <c r="B39" s="230">
        <f t="shared" si="11"/>
        <v>29</v>
      </c>
      <c r="C39" s="218" t="str">
        <f t="shared" si="4"/>
        <v>L42X12#000_000_05</v>
      </c>
      <c r="D39" s="43">
        <f t="shared" si="31"/>
        <v>11.8</v>
      </c>
      <c r="E39" s="173">
        <f t="shared" si="32"/>
        <v>3.0585520000000006</v>
      </c>
      <c r="F39" s="170">
        <f t="shared" si="33"/>
        <v>25.919932203389834</v>
      </c>
      <c r="G39" s="53">
        <f t="shared" si="34"/>
        <v>20.735945762711868</v>
      </c>
      <c r="H39" s="51">
        <f t="shared" si="35"/>
        <v>12.959966101694917</v>
      </c>
      <c r="I39" s="198">
        <f t="shared" ref="I39:J39" si="41">I38</f>
        <v>8</v>
      </c>
      <c r="J39" s="198">
        <f t="shared" si="41"/>
        <v>0</v>
      </c>
      <c r="K39" s="194" t="str">
        <f>D39&amp;-5</f>
        <v>11.8-5</v>
      </c>
      <c r="L39" s="199">
        <f t="shared" si="9"/>
        <v>0.2</v>
      </c>
      <c r="M39" s="49">
        <v>0</v>
      </c>
      <c r="N39" s="52">
        <f t="shared" si="37"/>
        <v>160</v>
      </c>
      <c r="O39" s="198">
        <f t="shared" si="37"/>
        <v>150</v>
      </c>
      <c r="P39" s="50">
        <f t="shared" si="37"/>
        <v>270</v>
      </c>
    </row>
    <row r="40" spans="1:16" ht="15.75" thickBot="1" x14ac:dyDescent="0.3">
      <c r="A40" s="229">
        <f t="shared" si="10"/>
        <v>3643</v>
      </c>
      <c r="B40" s="230">
        <f t="shared" si="11"/>
        <v>30</v>
      </c>
      <c r="C40" s="218" t="str">
        <f t="shared" si="4"/>
        <v>L42X12#000_030_06</v>
      </c>
      <c r="D40" s="43">
        <f t="shared" si="31"/>
        <v>11.8</v>
      </c>
      <c r="E40" s="173">
        <f t="shared" si="32"/>
        <v>3.0585520000000006</v>
      </c>
      <c r="F40" s="170">
        <f t="shared" si="33"/>
        <v>25.919932203389834</v>
      </c>
      <c r="G40" s="53">
        <f t="shared" si="34"/>
        <v>20.735945762711868</v>
      </c>
      <c r="H40" s="51">
        <f t="shared" si="35"/>
        <v>12.959966101694917</v>
      </c>
      <c r="I40" s="198">
        <f t="shared" ref="I40:J40" si="42">I39</f>
        <v>8</v>
      </c>
      <c r="J40" s="198">
        <f t="shared" si="42"/>
        <v>0</v>
      </c>
      <c r="K40" s="194" t="str">
        <f>D40&amp;-6</f>
        <v>11.8-6</v>
      </c>
      <c r="L40" s="199">
        <f t="shared" si="9"/>
        <v>0.2</v>
      </c>
      <c r="M40" s="49">
        <v>30</v>
      </c>
      <c r="N40" s="52">
        <f t="shared" si="37"/>
        <v>160</v>
      </c>
      <c r="O40" s="198">
        <f t="shared" si="37"/>
        <v>150</v>
      </c>
      <c r="P40" s="50">
        <f t="shared" si="37"/>
        <v>270</v>
      </c>
    </row>
    <row r="41" spans="1:16" ht="15.75" thickBot="1" x14ac:dyDescent="0.3">
      <c r="A41" s="229">
        <f t="shared" si="10"/>
        <v>3644</v>
      </c>
      <c r="B41" s="230">
        <f t="shared" si="11"/>
        <v>31</v>
      </c>
      <c r="C41" s="218" t="str">
        <f t="shared" si="4"/>
        <v>L42X12#000_060_07</v>
      </c>
      <c r="D41" s="43">
        <f t="shared" si="31"/>
        <v>11.8</v>
      </c>
      <c r="E41" s="173">
        <f t="shared" si="32"/>
        <v>3.0585520000000006</v>
      </c>
      <c r="F41" s="170">
        <f t="shared" si="33"/>
        <v>25.919932203389834</v>
      </c>
      <c r="G41" s="53">
        <f t="shared" si="34"/>
        <v>20.735945762711868</v>
      </c>
      <c r="H41" s="51">
        <f t="shared" si="35"/>
        <v>12.959966101694917</v>
      </c>
      <c r="I41" s="198">
        <f t="shared" ref="I41:J41" si="43">I40</f>
        <v>8</v>
      </c>
      <c r="J41" s="198">
        <f t="shared" si="43"/>
        <v>0</v>
      </c>
      <c r="K41" s="194" t="str">
        <f>D41&amp;-7</f>
        <v>11.8-7</v>
      </c>
      <c r="L41" s="199">
        <f t="shared" si="9"/>
        <v>0.2</v>
      </c>
      <c r="M41" s="49">
        <v>60</v>
      </c>
      <c r="N41" s="52">
        <f t="shared" si="37"/>
        <v>160</v>
      </c>
      <c r="O41" s="198">
        <f t="shared" si="37"/>
        <v>150</v>
      </c>
      <c r="P41" s="50">
        <f t="shared" si="37"/>
        <v>270</v>
      </c>
    </row>
    <row r="42" spans="1:16" ht="15.75" thickBot="1" x14ac:dyDescent="0.3">
      <c r="A42" s="229">
        <f t="shared" si="10"/>
        <v>3645</v>
      </c>
      <c r="B42" s="230">
        <f t="shared" si="11"/>
        <v>32</v>
      </c>
      <c r="C42" s="218" t="str">
        <f t="shared" si="4"/>
        <v>L42X12#000_090_08</v>
      </c>
      <c r="D42" s="43">
        <f t="shared" si="31"/>
        <v>11.8</v>
      </c>
      <c r="E42" s="173">
        <f t="shared" si="32"/>
        <v>3.0585520000000006</v>
      </c>
      <c r="F42" s="170">
        <f t="shared" si="33"/>
        <v>25.919932203389834</v>
      </c>
      <c r="G42" s="53">
        <f t="shared" si="34"/>
        <v>20.735945762711868</v>
      </c>
      <c r="H42" s="51">
        <f t="shared" si="35"/>
        <v>12.959966101694917</v>
      </c>
      <c r="I42" s="198">
        <f t="shared" ref="I42:J42" si="44">I41</f>
        <v>8</v>
      </c>
      <c r="J42" s="198">
        <f t="shared" si="44"/>
        <v>0</v>
      </c>
      <c r="K42" s="194" t="str">
        <f>D42&amp;-8</f>
        <v>11.8-8</v>
      </c>
      <c r="L42" s="199">
        <f t="shared" si="9"/>
        <v>0.2</v>
      </c>
      <c r="M42" s="49">
        <v>90</v>
      </c>
      <c r="N42" s="52">
        <f t="shared" si="37"/>
        <v>160</v>
      </c>
      <c r="O42" s="198">
        <f t="shared" si="37"/>
        <v>150</v>
      </c>
      <c r="P42" s="50">
        <f t="shared" si="37"/>
        <v>270</v>
      </c>
    </row>
    <row r="43" spans="1:16" ht="15.75" thickBot="1" x14ac:dyDescent="0.3">
      <c r="A43" s="229">
        <f t="shared" si="10"/>
        <v>3646</v>
      </c>
      <c r="B43" s="230">
        <f t="shared" si="11"/>
        <v>33</v>
      </c>
      <c r="C43" s="218" t="str">
        <f t="shared" si="4"/>
        <v>L42X12#000_000_09</v>
      </c>
      <c r="D43" s="43">
        <f t="shared" si="31"/>
        <v>11.8</v>
      </c>
      <c r="E43" s="173">
        <f t="shared" si="32"/>
        <v>3.0585520000000006</v>
      </c>
      <c r="F43" s="170">
        <f t="shared" si="33"/>
        <v>25.919932203389834</v>
      </c>
      <c r="G43" s="53">
        <f t="shared" si="34"/>
        <v>20.735945762711868</v>
      </c>
      <c r="H43" s="51">
        <f t="shared" si="35"/>
        <v>12.959966101694917</v>
      </c>
      <c r="I43" s="198">
        <f t="shared" ref="I43:J43" si="45">I42</f>
        <v>8</v>
      </c>
      <c r="J43" s="198">
        <f t="shared" si="45"/>
        <v>0</v>
      </c>
      <c r="K43" s="194" t="str">
        <f>D43&amp;-9</f>
        <v>11.8-9</v>
      </c>
      <c r="L43" s="199">
        <f t="shared" si="9"/>
        <v>0.2</v>
      </c>
      <c r="M43" s="49">
        <v>0</v>
      </c>
      <c r="N43" s="52">
        <f t="shared" si="37"/>
        <v>160</v>
      </c>
      <c r="O43" s="198">
        <f t="shared" si="37"/>
        <v>150</v>
      </c>
      <c r="P43" s="50">
        <f t="shared" si="37"/>
        <v>270</v>
      </c>
    </row>
    <row r="44" spans="1:16" ht="15.75" thickBot="1" x14ac:dyDescent="0.3">
      <c r="A44" s="229">
        <f t="shared" si="10"/>
        <v>3647</v>
      </c>
      <c r="B44" s="230">
        <f t="shared" si="11"/>
        <v>34</v>
      </c>
      <c r="C44" s="218" t="str">
        <f t="shared" si="4"/>
        <v>L42X12#000_030_10</v>
      </c>
      <c r="D44" s="43">
        <f t="shared" si="31"/>
        <v>11.8</v>
      </c>
      <c r="E44" s="173">
        <f t="shared" si="32"/>
        <v>3.0585520000000006</v>
      </c>
      <c r="F44" s="170">
        <f t="shared" si="33"/>
        <v>25.919932203389834</v>
      </c>
      <c r="G44" s="53">
        <f t="shared" si="34"/>
        <v>20.735945762711868</v>
      </c>
      <c r="H44" s="51">
        <f t="shared" si="35"/>
        <v>12.959966101694917</v>
      </c>
      <c r="I44" s="198">
        <f t="shared" ref="I44:J44" si="46">I43</f>
        <v>8</v>
      </c>
      <c r="J44" s="198">
        <f t="shared" si="46"/>
        <v>0</v>
      </c>
      <c r="K44" s="194" t="str">
        <f>D44&amp;-10</f>
        <v>11.8-10</v>
      </c>
      <c r="L44" s="199">
        <f t="shared" si="9"/>
        <v>0.2</v>
      </c>
      <c r="M44" s="49">
        <v>30</v>
      </c>
      <c r="N44" s="52">
        <f t="shared" si="37"/>
        <v>160</v>
      </c>
      <c r="O44" s="198">
        <f t="shared" si="37"/>
        <v>150</v>
      </c>
      <c r="P44" s="50">
        <f t="shared" si="37"/>
        <v>270</v>
      </c>
    </row>
    <row r="45" spans="1:16" ht="15.75" thickBot="1" x14ac:dyDescent="0.3">
      <c r="A45" s="229">
        <f t="shared" si="10"/>
        <v>3648</v>
      </c>
      <c r="B45" s="230">
        <f t="shared" si="11"/>
        <v>35</v>
      </c>
      <c r="C45" s="218" t="str">
        <f t="shared" si="4"/>
        <v>L42X12#000_060_11</v>
      </c>
      <c r="D45" s="43">
        <f t="shared" si="31"/>
        <v>11.8</v>
      </c>
      <c r="E45" s="173">
        <f t="shared" si="32"/>
        <v>3.0585520000000006</v>
      </c>
      <c r="F45" s="170">
        <f t="shared" si="33"/>
        <v>25.919932203389834</v>
      </c>
      <c r="G45" s="53">
        <f t="shared" si="34"/>
        <v>20.735945762711868</v>
      </c>
      <c r="H45" s="51">
        <f t="shared" si="35"/>
        <v>12.959966101694917</v>
      </c>
      <c r="I45" s="198">
        <f t="shared" ref="I45:J45" si="47">I44</f>
        <v>8</v>
      </c>
      <c r="J45" s="198">
        <f t="shared" si="47"/>
        <v>0</v>
      </c>
      <c r="K45" s="194" t="str">
        <f>D45&amp;-11</f>
        <v>11.8-11</v>
      </c>
      <c r="L45" s="199">
        <f t="shared" si="9"/>
        <v>0.2</v>
      </c>
      <c r="M45" s="49">
        <v>60</v>
      </c>
      <c r="N45" s="52">
        <f t="shared" si="37"/>
        <v>160</v>
      </c>
      <c r="O45" s="198">
        <f t="shared" si="37"/>
        <v>150</v>
      </c>
      <c r="P45" s="50">
        <f t="shared" si="37"/>
        <v>270</v>
      </c>
    </row>
    <row r="46" spans="1:16" ht="15.75" thickBot="1" x14ac:dyDescent="0.3">
      <c r="A46" s="229">
        <f t="shared" si="10"/>
        <v>3649</v>
      </c>
      <c r="B46" s="230">
        <f t="shared" si="11"/>
        <v>36</v>
      </c>
      <c r="C46" s="218" t="str">
        <f t="shared" si="4"/>
        <v>L42X12#000_090_12</v>
      </c>
      <c r="D46" s="43">
        <f t="shared" si="31"/>
        <v>11.8</v>
      </c>
      <c r="E46" s="173">
        <f t="shared" si="32"/>
        <v>3.0585520000000006</v>
      </c>
      <c r="F46" s="170">
        <f t="shared" si="33"/>
        <v>25.919932203389834</v>
      </c>
      <c r="G46" s="53">
        <f t="shared" si="34"/>
        <v>20.735945762711868</v>
      </c>
      <c r="H46" s="51">
        <f t="shared" si="35"/>
        <v>12.959966101694917</v>
      </c>
      <c r="I46" s="198">
        <f t="shared" ref="I46:J46" si="48">I45</f>
        <v>8</v>
      </c>
      <c r="J46" s="198">
        <f t="shared" si="48"/>
        <v>0</v>
      </c>
      <c r="K46" s="194" t="str">
        <f>D46&amp;-12</f>
        <v>11.8-12</v>
      </c>
      <c r="L46" s="199">
        <f t="shared" si="9"/>
        <v>0.2</v>
      </c>
      <c r="M46" s="49">
        <v>90</v>
      </c>
      <c r="N46" s="52">
        <f t="shared" si="37"/>
        <v>160</v>
      </c>
      <c r="O46" s="198">
        <f t="shared" si="37"/>
        <v>150</v>
      </c>
      <c r="P46" s="50">
        <f t="shared" si="37"/>
        <v>270</v>
      </c>
    </row>
    <row r="47" spans="1:16" ht="15.75" thickBot="1" x14ac:dyDescent="0.3">
      <c r="A47" s="229">
        <f t="shared" si="10"/>
        <v>3650</v>
      </c>
      <c r="B47" s="230">
        <f t="shared" si="11"/>
        <v>37</v>
      </c>
      <c r="C47" s="218" t="str">
        <f t="shared" si="4"/>
        <v>L42X25#000_000_01</v>
      </c>
      <c r="D47" s="169">
        <f>v_out</f>
        <v>25</v>
      </c>
      <c r="E47" s="173">
        <f t="shared" ref="E47:E58" si="49">t_c*I_ref*(0.072*(v_ave/t_c+3)*(D47/t_c-4)+10)</f>
        <v>3.9566800000000004</v>
      </c>
      <c r="F47" s="170">
        <f t="shared" ref="F47:F58" si="50">E47/D47*100</f>
        <v>15.826720000000002</v>
      </c>
      <c r="G47" s="53">
        <f t="shared" ref="G47:G58" si="51">m_ty*F47</f>
        <v>12.661376000000002</v>
      </c>
      <c r="H47" s="51">
        <f t="shared" ref="H47:H58" si="52">m_tz*F47</f>
        <v>7.9133600000000008</v>
      </c>
      <c r="I47" s="198">
        <f t="shared" ref="I47:J47" si="53">I46</f>
        <v>8</v>
      </c>
      <c r="J47" s="198">
        <f t="shared" si="53"/>
        <v>0</v>
      </c>
      <c r="K47" s="194" t="str">
        <f>D47&amp;-1</f>
        <v>25-1</v>
      </c>
      <c r="L47" s="199">
        <f t="shared" si="9"/>
        <v>0.2</v>
      </c>
      <c r="M47" s="49">
        <v>0</v>
      </c>
      <c r="N47" s="52">
        <f t="shared" si="37"/>
        <v>160</v>
      </c>
      <c r="O47" s="198">
        <f t="shared" si="37"/>
        <v>150</v>
      </c>
      <c r="P47" s="50">
        <f t="shared" si="37"/>
        <v>270</v>
      </c>
    </row>
    <row r="48" spans="1:16" ht="15.75" thickBot="1" x14ac:dyDescent="0.3">
      <c r="A48" s="229">
        <f t="shared" si="10"/>
        <v>3651</v>
      </c>
      <c r="B48" s="230">
        <f t="shared" si="11"/>
        <v>38</v>
      </c>
      <c r="C48" s="218" t="str">
        <f t="shared" si="4"/>
        <v>L42X25#000_030_02</v>
      </c>
      <c r="D48" s="43">
        <f>D47</f>
        <v>25</v>
      </c>
      <c r="E48" s="173">
        <f t="shared" si="49"/>
        <v>3.9566800000000004</v>
      </c>
      <c r="F48" s="170">
        <f t="shared" si="50"/>
        <v>15.826720000000002</v>
      </c>
      <c r="G48" s="53">
        <f t="shared" si="51"/>
        <v>12.661376000000002</v>
      </c>
      <c r="H48" s="51">
        <f t="shared" si="52"/>
        <v>7.9133600000000008</v>
      </c>
      <c r="I48" s="198">
        <f t="shared" ref="I48:J48" si="54">I47</f>
        <v>8</v>
      </c>
      <c r="J48" s="198">
        <f t="shared" si="54"/>
        <v>0</v>
      </c>
      <c r="K48" s="194" t="str">
        <f>D48&amp;-2</f>
        <v>25-2</v>
      </c>
      <c r="L48" s="199">
        <f t="shared" si="9"/>
        <v>0.2</v>
      </c>
      <c r="M48" s="49">
        <v>30</v>
      </c>
      <c r="N48" s="52">
        <f t="shared" si="37"/>
        <v>160</v>
      </c>
      <c r="O48" s="198">
        <f t="shared" si="37"/>
        <v>150</v>
      </c>
      <c r="P48" s="50">
        <f t="shared" si="37"/>
        <v>270</v>
      </c>
    </row>
    <row r="49" spans="1:16" ht="15.75" thickBot="1" x14ac:dyDescent="0.3">
      <c r="A49" s="229">
        <f t="shared" si="10"/>
        <v>3652</v>
      </c>
      <c r="B49" s="230">
        <f t="shared" si="11"/>
        <v>39</v>
      </c>
      <c r="C49" s="218" t="str">
        <f t="shared" si="4"/>
        <v>L42X25#000_060_03</v>
      </c>
      <c r="D49" s="197">
        <f t="shared" ref="D49:D58" si="55">D48</f>
        <v>25</v>
      </c>
      <c r="E49" s="173">
        <f t="shared" si="49"/>
        <v>3.9566800000000004</v>
      </c>
      <c r="F49" s="170">
        <f t="shared" si="50"/>
        <v>15.826720000000002</v>
      </c>
      <c r="G49" s="53">
        <f t="shared" si="51"/>
        <v>12.661376000000002</v>
      </c>
      <c r="H49" s="51">
        <f t="shared" si="52"/>
        <v>7.9133600000000008</v>
      </c>
      <c r="I49" s="198">
        <f t="shared" ref="I49:J49" si="56">I48</f>
        <v>8</v>
      </c>
      <c r="J49" s="198">
        <f t="shared" si="56"/>
        <v>0</v>
      </c>
      <c r="K49" s="194" t="str">
        <f>D49&amp;-3</f>
        <v>25-3</v>
      </c>
      <c r="L49" s="199">
        <f t="shared" si="9"/>
        <v>0.2</v>
      </c>
      <c r="M49" s="49">
        <v>60</v>
      </c>
      <c r="N49" s="52">
        <f t="shared" si="37"/>
        <v>160</v>
      </c>
      <c r="O49" s="198">
        <f t="shared" si="37"/>
        <v>150</v>
      </c>
      <c r="P49" s="50">
        <f t="shared" si="37"/>
        <v>270</v>
      </c>
    </row>
    <row r="50" spans="1:16" ht="15.75" thickBot="1" x14ac:dyDescent="0.3">
      <c r="A50" s="229">
        <f t="shared" si="10"/>
        <v>3653</v>
      </c>
      <c r="B50" s="230">
        <f t="shared" si="11"/>
        <v>40</v>
      </c>
      <c r="C50" s="218" t="str">
        <f t="shared" si="4"/>
        <v>L42X25#000_090_04</v>
      </c>
      <c r="D50" s="197">
        <f t="shared" si="55"/>
        <v>25</v>
      </c>
      <c r="E50" s="173">
        <f t="shared" si="49"/>
        <v>3.9566800000000004</v>
      </c>
      <c r="F50" s="170">
        <f t="shared" si="50"/>
        <v>15.826720000000002</v>
      </c>
      <c r="G50" s="53">
        <f t="shared" si="51"/>
        <v>12.661376000000002</v>
      </c>
      <c r="H50" s="51">
        <f t="shared" si="52"/>
        <v>7.9133600000000008</v>
      </c>
      <c r="I50" s="198">
        <f t="shared" ref="I50:J50" si="57">I49</f>
        <v>8</v>
      </c>
      <c r="J50" s="198">
        <f t="shared" si="57"/>
        <v>0</v>
      </c>
      <c r="K50" s="194" t="str">
        <f>D50&amp;-4</f>
        <v>25-4</v>
      </c>
      <c r="L50" s="199">
        <f t="shared" si="9"/>
        <v>0.2</v>
      </c>
      <c r="M50" s="49">
        <v>90</v>
      </c>
      <c r="N50" s="52">
        <f t="shared" si="37"/>
        <v>160</v>
      </c>
      <c r="O50" s="198">
        <f t="shared" si="37"/>
        <v>150</v>
      </c>
      <c r="P50" s="50">
        <f t="shared" si="37"/>
        <v>270</v>
      </c>
    </row>
    <row r="51" spans="1:16" ht="15.75" thickBot="1" x14ac:dyDescent="0.3">
      <c r="A51" s="229">
        <f t="shared" si="10"/>
        <v>3654</v>
      </c>
      <c r="B51" s="230">
        <f t="shared" si="11"/>
        <v>41</v>
      </c>
      <c r="C51" s="218" t="str">
        <f t="shared" si="4"/>
        <v>L42X25#000_000_05</v>
      </c>
      <c r="D51" s="197">
        <f t="shared" si="55"/>
        <v>25</v>
      </c>
      <c r="E51" s="173">
        <f t="shared" si="49"/>
        <v>3.9566800000000004</v>
      </c>
      <c r="F51" s="170">
        <f t="shared" si="50"/>
        <v>15.826720000000002</v>
      </c>
      <c r="G51" s="53">
        <f t="shared" si="51"/>
        <v>12.661376000000002</v>
      </c>
      <c r="H51" s="51">
        <f t="shared" si="52"/>
        <v>7.9133600000000008</v>
      </c>
      <c r="I51" s="198">
        <f t="shared" ref="I51:J51" si="58">I50</f>
        <v>8</v>
      </c>
      <c r="J51" s="198">
        <f t="shared" si="58"/>
        <v>0</v>
      </c>
      <c r="K51" s="194" t="str">
        <f>D51&amp;-5</f>
        <v>25-5</v>
      </c>
      <c r="L51" s="199">
        <f t="shared" si="9"/>
        <v>0.2</v>
      </c>
      <c r="M51" s="49">
        <v>0</v>
      </c>
      <c r="N51" s="52">
        <f t="shared" ref="N51:P58" si="59">N50</f>
        <v>160</v>
      </c>
      <c r="O51" s="198">
        <f t="shared" si="59"/>
        <v>150</v>
      </c>
      <c r="P51" s="50">
        <f t="shared" si="59"/>
        <v>270</v>
      </c>
    </row>
    <row r="52" spans="1:16" ht="15.75" thickBot="1" x14ac:dyDescent="0.3">
      <c r="A52" s="229">
        <f t="shared" si="10"/>
        <v>3655</v>
      </c>
      <c r="B52" s="230">
        <f t="shared" si="11"/>
        <v>42</v>
      </c>
      <c r="C52" s="218" t="str">
        <f t="shared" si="4"/>
        <v>L42X25#000_030_06</v>
      </c>
      <c r="D52" s="197">
        <f t="shared" si="55"/>
        <v>25</v>
      </c>
      <c r="E52" s="173">
        <f t="shared" si="49"/>
        <v>3.9566800000000004</v>
      </c>
      <c r="F52" s="170">
        <f t="shared" si="50"/>
        <v>15.826720000000002</v>
      </c>
      <c r="G52" s="53">
        <f t="shared" si="51"/>
        <v>12.661376000000002</v>
      </c>
      <c r="H52" s="51">
        <f t="shared" si="52"/>
        <v>7.9133600000000008</v>
      </c>
      <c r="I52" s="198">
        <f t="shared" ref="I52:J52" si="60">I51</f>
        <v>8</v>
      </c>
      <c r="J52" s="198">
        <f t="shared" si="60"/>
        <v>0</v>
      </c>
      <c r="K52" s="194" t="str">
        <f>D52&amp;-6</f>
        <v>25-6</v>
      </c>
      <c r="L52" s="199">
        <f t="shared" si="9"/>
        <v>0.2</v>
      </c>
      <c r="M52" s="49">
        <v>30</v>
      </c>
      <c r="N52" s="52">
        <f t="shared" si="59"/>
        <v>160</v>
      </c>
      <c r="O52" s="198">
        <f t="shared" si="59"/>
        <v>150</v>
      </c>
      <c r="P52" s="50">
        <f t="shared" si="59"/>
        <v>270</v>
      </c>
    </row>
    <row r="53" spans="1:16" ht="15.75" thickBot="1" x14ac:dyDescent="0.3">
      <c r="A53" s="229">
        <f t="shared" si="10"/>
        <v>3656</v>
      </c>
      <c r="B53" s="230">
        <f t="shared" si="11"/>
        <v>43</v>
      </c>
      <c r="C53" s="218" t="str">
        <f t="shared" si="4"/>
        <v>L42X25#000_060_07</v>
      </c>
      <c r="D53" s="197">
        <f t="shared" si="55"/>
        <v>25</v>
      </c>
      <c r="E53" s="173">
        <f t="shared" si="49"/>
        <v>3.9566800000000004</v>
      </c>
      <c r="F53" s="170">
        <f t="shared" si="50"/>
        <v>15.826720000000002</v>
      </c>
      <c r="G53" s="53">
        <f t="shared" si="51"/>
        <v>12.661376000000002</v>
      </c>
      <c r="H53" s="51">
        <f t="shared" si="52"/>
        <v>7.9133600000000008</v>
      </c>
      <c r="I53" s="198">
        <f t="shared" ref="I53:J53" si="61">I52</f>
        <v>8</v>
      </c>
      <c r="J53" s="198">
        <f t="shared" si="61"/>
        <v>0</v>
      </c>
      <c r="K53" s="194" t="str">
        <f>D53&amp;-7</f>
        <v>25-7</v>
      </c>
      <c r="L53" s="199">
        <f t="shared" si="9"/>
        <v>0.2</v>
      </c>
      <c r="M53" s="49">
        <v>60</v>
      </c>
      <c r="N53" s="52">
        <f t="shared" si="59"/>
        <v>160</v>
      </c>
      <c r="O53" s="198">
        <f t="shared" si="59"/>
        <v>150</v>
      </c>
      <c r="P53" s="50">
        <f t="shared" si="59"/>
        <v>270</v>
      </c>
    </row>
    <row r="54" spans="1:16" ht="15.75" thickBot="1" x14ac:dyDescent="0.3">
      <c r="A54" s="229">
        <f t="shared" si="10"/>
        <v>3657</v>
      </c>
      <c r="B54" s="230">
        <f t="shared" si="11"/>
        <v>44</v>
      </c>
      <c r="C54" s="218" t="str">
        <f t="shared" si="4"/>
        <v>L42X25#000_090_08</v>
      </c>
      <c r="D54" s="197">
        <f t="shared" si="55"/>
        <v>25</v>
      </c>
      <c r="E54" s="173">
        <f t="shared" si="49"/>
        <v>3.9566800000000004</v>
      </c>
      <c r="F54" s="170">
        <f t="shared" si="50"/>
        <v>15.826720000000002</v>
      </c>
      <c r="G54" s="53">
        <f t="shared" si="51"/>
        <v>12.661376000000002</v>
      </c>
      <c r="H54" s="51">
        <f t="shared" si="52"/>
        <v>7.9133600000000008</v>
      </c>
      <c r="I54" s="198">
        <f t="shared" ref="I54:J54" si="62">I53</f>
        <v>8</v>
      </c>
      <c r="J54" s="198">
        <f t="shared" si="62"/>
        <v>0</v>
      </c>
      <c r="K54" s="194" t="str">
        <f>D54&amp;-8</f>
        <v>25-8</v>
      </c>
      <c r="L54" s="199">
        <f t="shared" si="9"/>
        <v>0.2</v>
      </c>
      <c r="M54" s="49">
        <v>90</v>
      </c>
      <c r="N54" s="52">
        <f t="shared" si="59"/>
        <v>160</v>
      </c>
      <c r="O54" s="198">
        <f t="shared" si="59"/>
        <v>150</v>
      </c>
      <c r="P54" s="50">
        <f t="shared" si="59"/>
        <v>270</v>
      </c>
    </row>
    <row r="55" spans="1:16" ht="15.75" thickBot="1" x14ac:dyDescent="0.3">
      <c r="A55" s="229">
        <f t="shared" si="10"/>
        <v>3658</v>
      </c>
      <c r="B55" s="230">
        <f t="shared" si="11"/>
        <v>45</v>
      </c>
      <c r="C55" s="218" t="str">
        <f t="shared" si="4"/>
        <v>L42X25#000_000_09</v>
      </c>
      <c r="D55" s="197">
        <f t="shared" si="55"/>
        <v>25</v>
      </c>
      <c r="E55" s="173">
        <f t="shared" si="49"/>
        <v>3.9566800000000004</v>
      </c>
      <c r="F55" s="170">
        <f t="shared" si="50"/>
        <v>15.826720000000002</v>
      </c>
      <c r="G55" s="53">
        <f t="shared" si="51"/>
        <v>12.661376000000002</v>
      </c>
      <c r="H55" s="51">
        <f t="shared" si="52"/>
        <v>7.9133600000000008</v>
      </c>
      <c r="I55" s="198">
        <f t="shared" ref="I55:J55" si="63">I54</f>
        <v>8</v>
      </c>
      <c r="J55" s="198">
        <f t="shared" si="63"/>
        <v>0</v>
      </c>
      <c r="K55" s="194" t="str">
        <f>D55&amp;-9</f>
        <v>25-9</v>
      </c>
      <c r="L55" s="199">
        <f t="shared" si="9"/>
        <v>0.2</v>
      </c>
      <c r="M55" s="49">
        <v>0</v>
      </c>
      <c r="N55" s="52">
        <f t="shared" si="59"/>
        <v>160</v>
      </c>
      <c r="O55" s="198">
        <f t="shared" si="59"/>
        <v>150</v>
      </c>
      <c r="P55" s="50">
        <f t="shared" si="59"/>
        <v>270</v>
      </c>
    </row>
    <row r="56" spans="1:16" ht="15.75" thickBot="1" x14ac:dyDescent="0.3">
      <c r="A56" s="229">
        <f t="shared" si="10"/>
        <v>3659</v>
      </c>
      <c r="B56" s="230">
        <f t="shared" si="11"/>
        <v>46</v>
      </c>
      <c r="C56" s="218" t="str">
        <f t="shared" si="4"/>
        <v>L42X25#000_030_10</v>
      </c>
      <c r="D56" s="197">
        <f t="shared" si="55"/>
        <v>25</v>
      </c>
      <c r="E56" s="173">
        <f t="shared" si="49"/>
        <v>3.9566800000000004</v>
      </c>
      <c r="F56" s="170">
        <f t="shared" si="50"/>
        <v>15.826720000000002</v>
      </c>
      <c r="G56" s="53">
        <f t="shared" si="51"/>
        <v>12.661376000000002</v>
      </c>
      <c r="H56" s="51">
        <f t="shared" si="52"/>
        <v>7.9133600000000008</v>
      </c>
      <c r="I56" s="198">
        <f t="shared" ref="I56:J56" si="64">I55</f>
        <v>8</v>
      </c>
      <c r="J56" s="198">
        <f t="shared" si="64"/>
        <v>0</v>
      </c>
      <c r="K56" s="194" t="str">
        <f>D56&amp;-10</f>
        <v>25-10</v>
      </c>
      <c r="L56" s="199">
        <f t="shared" si="9"/>
        <v>0.2</v>
      </c>
      <c r="M56" s="49">
        <v>30</v>
      </c>
      <c r="N56" s="52">
        <f t="shared" si="59"/>
        <v>160</v>
      </c>
      <c r="O56" s="198">
        <f t="shared" si="59"/>
        <v>150</v>
      </c>
      <c r="P56" s="50">
        <f t="shared" si="59"/>
        <v>270</v>
      </c>
    </row>
    <row r="57" spans="1:16" ht="15.75" thickBot="1" x14ac:dyDescent="0.3">
      <c r="A57" s="229">
        <f t="shared" si="10"/>
        <v>3660</v>
      </c>
      <c r="B57" s="230">
        <f t="shared" si="11"/>
        <v>47</v>
      </c>
      <c r="C57" s="218" t="str">
        <f t="shared" si="4"/>
        <v>L42X25#000_060_11</v>
      </c>
      <c r="D57" s="197">
        <f t="shared" si="55"/>
        <v>25</v>
      </c>
      <c r="E57" s="173">
        <f t="shared" si="49"/>
        <v>3.9566800000000004</v>
      </c>
      <c r="F57" s="170">
        <f t="shared" si="50"/>
        <v>15.826720000000002</v>
      </c>
      <c r="G57" s="53">
        <f t="shared" si="51"/>
        <v>12.661376000000002</v>
      </c>
      <c r="H57" s="51">
        <f t="shared" si="52"/>
        <v>7.9133600000000008</v>
      </c>
      <c r="I57" s="198">
        <f t="shared" ref="I57:J57" si="65">I56</f>
        <v>8</v>
      </c>
      <c r="J57" s="198">
        <f t="shared" si="65"/>
        <v>0</v>
      </c>
      <c r="K57" s="194" t="str">
        <f>D57&amp;-11</f>
        <v>25-11</v>
      </c>
      <c r="L57" s="199">
        <f t="shared" si="9"/>
        <v>0.2</v>
      </c>
      <c r="M57" s="49">
        <v>60</v>
      </c>
      <c r="N57" s="52">
        <f t="shared" si="59"/>
        <v>160</v>
      </c>
      <c r="O57" s="198">
        <f t="shared" si="59"/>
        <v>150</v>
      </c>
      <c r="P57" s="50">
        <f t="shared" si="59"/>
        <v>270</v>
      </c>
    </row>
    <row r="58" spans="1:16" x14ac:dyDescent="0.25">
      <c r="A58" s="229">
        <f t="shared" si="10"/>
        <v>3661</v>
      </c>
      <c r="B58" s="230">
        <f t="shared" si="11"/>
        <v>48</v>
      </c>
      <c r="C58" s="218" t="str">
        <f t="shared" si="4"/>
        <v>L42X25#000_090_12</v>
      </c>
      <c r="D58" s="197">
        <f t="shared" si="55"/>
        <v>25</v>
      </c>
      <c r="E58" s="173">
        <f t="shared" si="49"/>
        <v>3.9566800000000004</v>
      </c>
      <c r="F58" s="170">
        <f t="shared" si="50"/>
        <v>15.826720000000002</v>
      </c>
      <c r="G58" s="53">
        <f t="shared" si="51"/>
        <v>12.661376000000002</v>
      </c>
      <c r="H58" s="51">
        <f t="shared" si="52"/>
        <v>7.9133600000000008</v>
      </c>
      <c r="I58" s="198">
        <f t="shared" ref="I58:J58" si="66">I57</f>
        <v>8</v>
      </c>
      <c r="J58" s="198">
        <f t="shared" si="66"/>
        <v>0</v>
      </c>
      <c r="K58" s="194" t="str">
        <f>D58&amp;-12</f>
        <v>25-12</v>
      </c>
      <c r="L58" s="199">
        <f t="shared" si="9"/>
        <v>0.2</v>
      </c>
      <c r="M58" s="49">
        <v>90</v>
      </c>
      <c r="N58" s="52">
        <f t="shared" si="59"/>
        <v>160</v>
      </c>
      <c r="O58" s="198">
        <f t="shared" si="59"/>
        <v>150</v>
      </c>
      <c r="P58" s="50">
        <f t="shared" si="59"/>
        <v>270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W58"/>
  <sheetViews>
    <sheetView topLeftCell="B1" zoomScaleNormal="100" workbookViewId="0">
      <selection activeCell="S24" sqref="S24"/>
    </sheetView>
  </sheetViews>
  <sheetFormatPr defaultColWidth="9" defaultRowHeight="15" x14ac:dyDescent="0.15"/>
  <cols>
    <col min="1" max="2" width="7.625" style="23" customWidth="1"/>
    <col min="3" max="3" width="18.125" style="23" customWidth="1"/>
    <col min="4" max="4" width="7.375" style="23" customWidth="1"/>
    <col min="5" max="5" width="6.625" style="23" customWidth="1"/>
    <col min="6" max="6" width="6.125" style="23" customWidth="1"/>
    <col min="7" max="7" width="7.75" style="23" customWidth="1"/>
    <col min="8" max="8" width="7" style="23" customWidth="1"/>
    <col min="9" max="9" width="6.375" style="23" customWidth="1"/>
    <col min="10" max="10" width="5.375" style="23" customWidth="1"/>
    <col min="11" max="12" width="9" style="23"/>
    <col min="13" max="13" width="7.125" style="182" customWidth="1"/>
    <col min="14" max="16384" width="9" style="23"/>
  </cols>
  <sheetData>
    <row r="1" spans="1:21" x14ac:dyDescent="0.15">
      <c r="H1" s="22" t="s">
        <v>135</v>
      </c>
      <c r="I1" s="216" t="s">
        <v>3968</v>
      </c>
    </row>
    <row r="2" spans="1:21" x14ac:dyDescent="0.15">
      <c r="B2" s="22" t="s">
        <v>110</v>
      </c>
      <c r="C2" s="22"/>
      <c r="D2" s="22"/>
      <c r="E2" s="22"/>
      <c r="H2" s="22"/>
      <c r="I2" s="216" t="s">
        <v>3969</v>
      </c>
    </row>
    <row r="3" spans="1:21" x14ac:dyDescent="0.15">
      <c r="B3" s="22" t="s">
        <v>88</v>
      </c>
      <c r="C3" s="22"/>
      <c r="D3" s="22"/>
      <c r="E3" s="93" t="s">
        <v>924</v>
      </c>
      <c r="H3" s="22"/>
      <c r="I3" s="240" t="s">
        <v>3939</v>
      </c>
    </row>
    <row r="4" spans="1:21" x14ac:dyDescent="0.15">
      <c r="B4" s="22" t="s">
        <v>89</v>
      </c>
      <c r="C4" s="22"/>
      <c r="D4" s="22"/>
      <c r="E4" s="22" t="s">
        <v>111</v>
      </c>
      <c r="H4" s="22"/>
      <c r="I4" s="216" t="s">
        <v>3942</v>
      </c>
    </row>
    <row r="5" spans="1:21" x14ac:dyDescent="0.15">
      <c r="B5" s="22" t="s">
        <v>91</v>
      </c>
      <c r="C5" s="22"/>
      <c r="D5" s="22"/>
      <c r="E5" s="22" t="s">
        <v>99</v>
      </c>
      <c r="H5" s="22"/>
      <c r="I5" s="240" t="s">
        <v>3940</v>
      </c>
    </row>
    <row r="6" spans="1:21" x14ac:dyDescent="0.15">
      <c r="B6" s="22" t="s">
        <v>93</v>
      </c>
      <c r="C6" s="22"/>
      <c r="D6" s="22"/>
      <c r="E6" s="22" t="s">
        <v>100</v>
      </c>
      <c r="I6" s="216" t="s">
        <v>3932</v>
      </c>
    </row>
    <row r="7" spans="1:21" x14ac:dyDescent="0.15">
      <c r="I7" s="216" t="s">
        <v>3930</v>
      </c>
      <c r="K7" s="46"/>
      <c r="L7" s="46"/>
      <c r="N7" s="46"/>
      <c r="O7" s="46"/>
      <c r="P7" s="46"/>
      <c r="Q7" s="46"/>
      <c r="R7" s="46"/>
      <c r="S7" s="46"/>
      <c r="T7" s="46"/>
      <c r="U7" s="46"/>
    </row>
    <row r="8" spans="1:21" ht="15.75" thickBot="1" x14ac:dyDescent="0.2">
      <c r="A8" s="23">
        <v>1</v>
      </c>
      <c r="B8" s="23">
        <v>2</v>
      </c>
      <c r="C8" s="182">
        <v>3</v>
      </c>
      <c r="D8" s="182">
        <v>4</v>
      </c>
      <c r="E8" s="182">
        <v>5</v>
      </c>
      <c r="F8" s="182">
        <v>6</v>
      </c>
      <c r="G8" s="182">
        <v>7</v>
      </c>
      <c r="H8" s="182">
        <v>8</v>
      </c>
      <c r="I8" s="182">
        <v>9</v>
      </c>
      <c r="J8" s="182">
        <v>10</v>
      </c>
      <c r="K8" s="182">
        <v>11</v>
      </c>
      <c r="L8" s="182">
        <v>12</v>
      </c>
      <c r="M8" s="182">
        <v>13</v>
      </c>
      <c r="N8" s="182">
        <v>14</v>
      </c>
      <c r="O8" s="182">
        <v>15</v>
      </c>
      <c r="P8" s="182">
        <v>16</v>
      </c>
      <c r="Q8" s="182">
        <v>17</v>
      </c>
      <c r="R8" s="46"/>
      <c r="S8" s="46"/>
      <c r="T8" s="46"/>
      <c r="U8" s="46"/>
    </row>
    <row r="9" spans="1:21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140</v>
      </c>
      <c r="K9" s="26" t="s">
        <v>3</v>
      </c>
      <c r="L9" s="25" t="s">
        <v>141</v>
      </c>
      <c r="M9" s="184" t="s">
        <v>13</v>
      </c>
      <c r="N9" s="27" t="s">
        <v>138</v>
      </c>
      <c r="O9" s="47" t="s">
        <v>161</v>
      </c>
      <c r="P9" s="27" t="s">
        <v>139</v>
      </c>
      <c r="Q9" s="27" t="s">
        <v>199</v>
      </c>
    </row>
    <row r="10" spans="1:21" ht="15.75" thickBot="1" x14ac:dyDescent="0.3">
      <c r="A10" s="29" t="s">
        <v>76</v>
      </c>
      <c r="B10" s="30" t="str">
        <f>B2</f>
        <v>DLC51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190" t="s">
        <v>7</v>
      </c>
      <c r="N10" s="32" t="s">
        <v>7</v>
      </c>
      <c r="O10" s="32" t="s">
        <v>17</v>
      </c>
      <c r="P10" s="32" t="s">
        <v>7</v>
      </c>
      <c r="Q10" s="32"/>
    </row>
    <row r="11" spans="1:21" ht="15.75" thickBot="1" x14ac:dyDescent="0.3">
      <c r="A11" s="24">
        <f>'DLC42'!A58+1</f>
        <v>3662</v>
      </c>
      <c r="B11" s="27">
        <v>1</v>
      </c>
      <c r="C11" s="24" t="str">
        <f>TEXT(RIGHT($B$2,LEN($B$2)-3),"L00")&amp;"X"&amp;TEXT(D11,"00")&amp;"+"&amp;IF(J11&lt;0,TEXT(360+J11,"000"),TEXT(J11,"000"))&amp;"_"&amp;TEXT(M11,"000")&amp;"_"&amp;TEXT(RIGHT(K11,LEN(K11)-FIND("-",K11)),"00")</f>
        <v>L51X08+000_000_01</v>
      </c>
      <c r="D11" s="34">
        <f t="shared" ref="D11:D22" si="0">vr_b</f>
        <v>7.8000000000000007</v>
      </c>
      <c r="E11" s="60">
        <f t="shared" ref="E11:E34" si="1">I_ref*(0.75*D11+5.6)</f>
        <v>1.603</v>
      </c>
      <c r="F11" s="35">
        <f>E11/D11*100</f>
        <v>20.551282051282051</v>
      </c>
      <c r="G11" s="35">
        <f t="shared" ref="G11:G34" si="2">m_ty*F11</f>
        <v>16.441025641025643</v>
      </c>
      <c r="H11" s="35">
        <f t="shared" ref="H11:H34" si="3">m_tz*F11</f>
        <v>10.275641025641026</v>
      </c>
      <c r="I11" s="35">
        <f>inflow</f>
        <v>8</v>
      </c>
      <c r="J11" s="36">
        <f>yaw_null</f>
        <v>0</v>
      </c>
      <c r="K11" s="37" t="str">
        <f>D11&amp;-1</f>
        <v>7.8-1</v>
      </c>
      <c r="L11" s="35">
        <f>alpha_n</f>
        <v>0.2</v>
      </c>
      <c r="M11" s="49">
        <v>0</v>
      </c>
      <c r="N11" s="44">
        <f>t_out</f>
        <v>150</v>
      </c>
      <c r="O11" s="44">
        <f>trig_t</f>
        <v>160</v>
      </c>
      <c r="P11" s="44">
        <f>N11+T_s2</f>
        <v>210</v>
      </c>
      <c r="Q11" s="72">
        <v>1</v>
      </c>
    </row>
    <row r="12" spans="1:21" ht="15.75" thickBot="1" x14ac:dyDescent="0.3">
      <c r="A12" s="41">
        <f>A11+1</f>
        <v>3663</v>
      </c>
      <c r="B12" s="42">
        <f>B11+1</f>
        <v>2</v>
      </c>
      <c r="C12" s="218" t="str">
        <f t="shared" ref="C12:C58" si="4">TEXT(RIGHT($B$2,LEN($B$2)-3),"L00")&amp;"X"&amp;TEXT(D12,"00")&amp;"+"&amp;IF(J12&lt;0,TEXT(360+J12,"000"),TEXT(J12,"000"))&amp;"_"&amp;TEXT(M12,"000")&amp;"_"&amp;TEXT(RIGHT(K12,LEN(K12)-FIND("-",K12)),"00")</f>
        <v>L51X08+000_030_02</v>
      </c>
      <c r="D12" s="43">
        <f t="shared" si="0"/>
        <v>7.8000000000000007</v>
      </c>
      <c r="E12" s="61">
        <f t="shared" si="1"/>
        <v>1.603</v>
      </c>
      <c r="F12" s="44">
        <f>E12/D12*100</f>
        <v>20.551282051282051</v>
      </c>
      <c r="G12" s="44">
        <f t="shared" si="2"/>
        <v>16.441025641025643</v>
      </c>
      <c r="H12" s="44">
        <f t="shared" si="3"/>
        <v>10.275641025641026</v>
      </c>
      <c r="I12" s="44">
        <f>I11</f>
        <v>8</v>
      </c>
      <c r="J12" s="45">
        <f>J11</f>
        <v>0</v>
      </c>
      <c r="K12" s="37" t="str">
        <f>D12&amp;-2</f>
        <v>7.8-2</v>
      </c>
      <c r="L12" s="44">
        <f>L11</f>
        <v>0.2</v>
      </c>
      <c r="M12" s="49">
        <v>30</v>
      </c>
      <c r="N12" s="44">
        <f>N11</f>
        <v>150</v>
      </c>
      <c r="O12" s="44">
        <f>O11</f>
        <v>160</v>
      </c>
      <c r="P12" s="44">
        <f>P11</f>
        <v>210</v>
      </c>
      <c r="Q12" s="72">
        <v>1</v>
      </c>
    </row>
    <row r="13" spans="1:21" ht="15.75" thickBot="1" x14ac:dyDescent="0.3">
      <c r="A13" s="229">
        <f t="shared" ref="A13:A58" si="5">A12+1</f>
        <v>3664</v>
      </c>
      <c r="B13" s="230">
        <f t="shared" ref="B13:B58" si="6">B12+1</f>
        <v>3</v>
      </c>
      <c r="C13" s="218" t="str">
        <f t="shared" si="4"/>
        <v>L51X08+000_060_03</v>
      </c>
      <c r="D13" s="43">
        <f t="shared" si="0"/>
        <v>7.8000000000000007</v>
      </c>
      <c r="E13" s="61">
        <f t="shared" si="1"/>
        <v>1.603</v>
      </c>
      <c r="F13" s="44">
        <f t="shared" ref="F13:F22" si="7">E13/D13*100</f>
        <v>20.551282051282051</v>
      </c>
      <c r="G13" s="44">
        <f t="shared" si="2"/>
        <v>16.441025641025643</v>
      </c>
      <c r="H13" s="44">
        <f t="shared" si="3"/>
        <v>10.275641025641026</v>
      </c>
      <c r="I13" s="44">
        <f t="shared" ref="I13:J58" si="8">I12</f>
        <v>8</v>
      </c>
      <c r="J13" s="199">
        <f t="shared" si="8"/>
        <v>0</v>
      </c>
      <c r="K13" s="37" t="str">
        <f>D13&amp;-3</f>
        <v>7.8-3</v>
      </c>
      <c r="L13" s="44">
        <f t="shared" ref="L13:P22" si="9">L12</f>
        <v>0.2</v>
      </c>
      <c r="M13" s="49">
        <v>60</v>
      </c>
      <c r="N13" s="44">
        <f t="shared" si="9"/>
        <v>150</v>
      </c>
      <c r="O13" s="44">
        <f t="shared" si="9"/>
        <v>160</v>
      </c>
      <c r="P13" s="44">
        <f t="shared" si="9"/>
        <v>210</v>
      </c>
      <c r="Q13" s="72">
        <v>1</v>
      </c>
    </row>
    <row r="14" spans="1:21" ht="15.75" thickBot="1" x14ac:dyDescent="0.3">
      <c r="A14" s="229">
        <f t="shared" si="5"/>
        <v>3665</v>
      </c>
      <c r="B14" s="230">
        <f t="shared" si="6"/>
        <v>4</v>
      </c>
      <c r="C14" s="218" t="str">
        <f t="shared" si="4"/>
        <v>L51X08+000_090_04</v>
      </c>
      <c r="D14" s="43">
        <f t="shared" si="0"/>
        <v>7.8000000000000007</v>
      </c>
      <c r="E14" s="61">
        <f t="shared" si="1"/>
        <v>1.603</v>
      </c>
      <c r="F14" s="44">
        <f t="shared" si="7"/>
        <v>20.551282051282051</v>
      </c>
      <c r="G14" s="44">
        <f t="shared" si="2"/>
        <v>16.441025641025643</v>
      </c>
      <c r="H14" s="44">
        <f t="shared" si="3"/>
        <v>10.275641025641026</v>
      </c>
      <c r="I14" s="44">
        <f t="shared" si="8"/>
        <v>8</v>
      </c>
      <c r="J14" s="199">
        <f t="shared" si="8"/>
        <v>0</v>
      </c>
      <c r="K14" s="37" t="str">
        <f>D14&amp;-4</f>
        <v>7.8-4</v>
      </c>
      <c r="L14" s="44">
        <f t="shared" si="9"/>
        <v>0.2</v>
      </c>
      <c r="M14" s="49">
        <v>90</v>
      </c>
      <c r="N14" s="44">
        <f t="shared" si="9"/>
        <v>150</v>
      </c>
      <c r="O14" s="44">
        <f t="shared" si="9"/>
        <v>160</v>
      </c>
      <c r="P14" s="44">
        <f t="shared" si="9"/>
        <v>210</v>
      </c>
      <c r="Q14" s="72">
        <v>1</v>
      </c>
    </row>
    <row r="15" spans="1:21" ht="15.75" thickBot="1" x14ac:dyDescent="0.3">
      <c r="A15" s="229">
        <f t="shared" si="5"/>
        <v>3666</v>
      </c>
      <c r="B15" s="230">
        <f t="shared" si="6"/>
        <v>5</v>
      </c>
      <c r="C15" s="218" t="str">
        <f t="shared" si="4"/>
        <v>L51X08+000_000_05</v>
      </c>
      <c r="D15" s="43">
        <f t="shared" si="0"/>
        <v>7.8000000000000007</v>
      </c>
      <c r="E15" s="61">
        <f t="shared" si="1"/>
        <v>1.603</v>
      </c>
      <c r="F15" s="44">
        <f t="shared" si="7"/>
        <v>20.551282051282051</v>
      </c>
      <c r="G15" s="44">
        <f t="shared" si="2"/>
        <v>16.441025641025643</v>
      </c>
      <c r="H15" s="44">
        <f t="shared" si="3"/>
        <v>10.275641025641026</v>
      </c>
      <c r="I15" s="44">
        <f t="shared" si="8"/>
        <v>8</v>
      </c>
      <c r="J15" s="199">
        <f t="shared" si="8"/>
        <v>0</v>
      </c>
      <c r="K15" s="37" t="str">
        <f>D15&amp;-5</f>
        <v>7.8-5</v>
      </c>
      <c r="L15" s="44">
        <f t="shared" si="9"/>
        <v>0.2</v>
      </c>
      <c r="M15" s="49">
        <v>0</v>
      </c>
      <c r="N15" s="44">
        <f t="shared" si="9"/>
        <v>150</v>
      </c>
      <c r="O15" s="44">
        <f t="shared" si="9"/>
        <v>160</v>
      </c>
      <c r="P15" s="44">
        <f t="shared" si="9"/>
        <v>210</v>
      </c>
      <c r="Q15" s="72">
        <v>1</v>
      </c>
    </row>
    <row r="16" spans="1:21" ht="15.75" thickBot="1" x14ac:dyDescent="0.3">
      <c r="A16" s="229">
        <f t="shared" si="5"/>
        <v>3667</v>
      </c>
      <c r="B16" s="230">
        <f t="shared" si="6"/>
        <v>6</v>
      </c>
      <c r="C16" s="218" t="str">
        <f t="shared" si="4"/>
        <v>L51X08+000_030_06</v>
      </c>
      <c r="D16" s="43">
        <f t="shared" si="0"/>
        <v>7.8000000000000007</v>
      </c>
      <c r="E16" s="61">
        <f t="shared" si="1"/>
        <v>1.603</v>
      </c>
      <c r="F16" s="44">
        <f t="shared" si="7"/>
        <v>20.551282051282051</v>
      </c>
      <c r="G16" s="44">
        <f t="shared" si="2"/>
        <v>16.441025641025643</v>
      </c>
      <c r="H16" s="44">
        <f t="shared" si="3"/>
        <v>10.275641025641026</v>
      </c>
      <c r="I16" s="44">
        <f t="shared" si="8"/>
        <v>8</v>
      </c>
      <c r="J16" s="199">
        <f t="shared" si="8"/>
        <v>0</v>
      </c>
      <c r="K16" s="37" t="str">
        <f>D16&amp;-6</f>
        <v>7.8-6</v>
      </c>
      <c r="L16" s="44">
        <f t="shared" si="9"/>
        <v>0.2</v>
      </c>
      <c r="M16" s="49">
        <v>30</v>
      </c>
      <c r="N16" s="44">
        <f t="shared" si="9"/>
        <v>150</v>
      </c>
      <c r="O16" s="44">
        <f t="shared" si="9"/>
        <v>160</v>
      </c>
      <c r="P16" s="44">
        <f t="shared" si="9"/>
        <v>210</v>
      </c>
      <c r="Q16" s="72">
        <v>1</v>
      </c>
    </row>
    <row r="17" spans="1:23" ht="15.75" thickBot="1" x14ac:dyDescent="0.3">
      <c r="A17" s="229">
        <f t="shared" si="5"/>
        <v>3668</v>
      </c>
      <c r="B17" s="230">
        <f t="shared" si="6"/>
        <v>7</v>
      </c>
      <c r="C17" s="218" t="str">
        <f t="shared" si="4"/>
        <v>L51X08+000_060_07</v>
      </c>
      <c r="D17" s="43">
        <f t="shared" si="0"/>
        <v>7.8000000000000007</v>
      </c>
      <c r="E17" s="61">
        <f t="shared" si="1"/>
        <v>1.603</v>
      </c>
      <c r="F17" s="44">
        <f t="shared" si="7"/>
        <v>20.551282051282051</v>
      </c>
      <c r="G17" s="44">
        <f t="shared" si="2"/>
        <v>16.441025641025643</v>
      </c>
      <c r="H17" s="44">
        <f t="shared" si="3"/>
        <v>10.275641025641026</v>
      </c>
      <c r="I17" s="44">
        <f t="shared" si="8"/>
        <v>8</v>
      </c>
      <c r="J17" s="199">
        <f t="shared" si="8"/>
        <v>0</v>
      </c>
      <c r="K17" s="37" t="str">
        <f>D17&amp;-7</f>
        <v>7.8-7</v>
      </c>
      <c r="L17" s="44">
        <f t="shared" si="9"/>
        <v>0.2</v>
      </c>
      <c r="M17" s="49">
        <v>60</v>
      </c>
      <c r="N17" s="44">
        <f t="shared" si="9"/>
        <v>150</v>
      </c>
      <c r="O17" s="44">
        <f t="shared" si="9"/>
        <v>160</v>
      </c>
      <c r="P17" s="44">
        <f t="shared" si="9"/>
        <v>210</v>
      </c>
      <c r="Q17" s="72">
        <v>1</v>
      </c>
    </row>
    <row r="18" spans="1:23" ht="15.75" thickBot="1" x14ac:dyDescent="0.3">
      <c r="A18" s="229">
        <f t="shared" si="5"/>
        <v>3669</v>
      </c>
      <c r="B18" s="230">
        <f t="shared" si="6"/>
        <v>8</v>
      </c>
      <c r="C18" s="218" t="str">
        <f t="shared" si="4"/>
        <v>L51X08+000_090_08</v>
      </c>
      <c r="D18" s="43">
        <f t="shared" si="0"/>
        <v>7.8000000000000007</v>
      </c>
      <c r="E18" s="61">
        <f t="shared" si="1"/>
        <v>1.603</v>
      </c>
      <c r="F18" s="44">
        <f t="shared" si="7"/>
        <v>20.551282051282051</v>
      </c>
      <c r="G18" s="44">
        <f t="shared" si="2"/>
        <v>16.441025641025643</v>
      </c>
      <c r="H18" s="44">
        <f t="shared" si="3"/>
        <v>10.275641025641026</v>
      </c>
      <c r="I18" s="44">
        <f t="shared" si="8"/>
        <v>8</v>
      </c>
      <c r="J18" s="199">
        <f t="shared" si="8"/>
        <v>0</v>
      </c>
      <c r="K18" s="37" t="str">
        <f>D18&amp;-8</f>
        <v>7.8-8</v>
      </c>
      <c r="L18" s="44">
        <f t="shared" si="9"/>
        <v>0.2</v>
      </c>
      <c r="M18" s="49">
        <v>90</v>
      </c>
      <c r="N18" s="44">
        <f t="shared" si="9"/>
        <v>150</v>
      </c>
      <c r="O18" s="44">
        <f t="shared" si="9"/>
        <v>160</v>
      </c>
      <c r="P18" s="44">
        <f t="shared" si="9"/>
        <v>210</v>
      </c>
      <c r="Q18" s="72">
        <v>1</v>
      </c>
    </row>
    <row r="19" spans="1:23" ht="15.75" thickBot="1" x14ac:dyDescent="0.3">
      <c r="A19" s="229">
        <f t="shared" si="5"/>
        <v>3670</v>
      </c>
      <c r="B19" s="230">
        <f t="shared" si="6"/>
        <v>9</v>
      </c>
      <c r="C19" s="218" t="str">
        <f t="shared" si="4"/>
        <v>L51X08+000_000_09</v>
      </c>
      <c r="D19" s="43">
        <f t="shared" si="0"/>
        <v>7.8000000000000007</v>
      </c>
      <c r="E19" s="61">
        <f t="shared" si="1"/>
        <v>1.603</v>
      </c>
      <c r="F19" s="44">
        <f t="shared" si="7"/>
        <v>20.551282051282051</v>
      </c>
      <c r="G19" s="44">
        <f t="shared" si="2"/>
        <v>16.441025641025643</v>
      </c>
      <c r="H19" s="44">
        <f t="shared" si="3"/>
        <v>10.275641025641026</v>
      </c>
      <c r="I19" s="44">
        <f t="shared" si="8"/>
        <v>8</v>
      </c>
      <c r="J19" s="199">
        <f t="shared" si="8"/>
        <v>0</v>
      </c>
      <c r="K19" s="37" t="str">
        <f>D19&amp;-9</f>
        <v>7.8-9</v>
      </c>
      <c r="L19" s="44">
        <f t="shared" si="9"/>
        <v>0.2</v>
      </c>
      <c r="M19" s="49">
        <v>0</v>
      </c>
      <c r="N19" s="44">
        <f t="shared" si="9"/>
        <v>150</v>
      </c>
      <c r="O19" s="44">
        <f t="shared" si="9"/>
        <v>160</v>
      </c>
      <c r="P19" s="44">
        <f t="shared" si="9"/>
        <v>210</v>
      </c>
      <c r="Q19" s="72">
        <v>1</v>
      </c>
    </row>
    <row r="20" spans="1:23" ht="15.75" thickBot="1" x14ac:dyDescent="0.3">
      <c r="A20" s="229">
        <f t="shared" si="5"/>
        <v>3671</v>
      </c>
      <c r="B20" s="230">
        <f t="shared" si="6"/>
        <v>10</v>
      </c>
      <c r="C20" s="218" t="str">
        <f t="shared" si="4"/>
        <v>L51X08+000_030_10</v>
      </c>
      <c r="D20" s="43">
        <f t="shared" si="0"/>
        <v>7.8000000000000007</v>
      </c>
      <c r="E20" s="61">
        <f t="shared" si="1"/>
        <v>1.603</v>
      </c>
      <c r="F20" s="44">
        <f t="shared" si="7"/>
        <v>20.551282051282051</v>
      </c>
      <c r="G20" s="44">
        <f t="shared" si="2"/>
        <v>16.441025641025643</v>
      </c>
      <c r="H20" s="44">
        <f t="shared" si="3"/>
        <v>10.275641025641026</v>
      </c>
      <c r="I20" s="44">
        <f t="shared" si="8"/>
        <v>8</v>
      </c>
      <c r="J20" s="199">
        <f t="shared" si="8"/>
        <v>0</v>
      </c>
      <c r="K20" s="37" t="str">
        <f>D20&amp;-10</f>
        <v>7.8-10</v>
      </c>
      <c r="L20" s="44">
        <f t="shared" si="9"/>
        <v>0.2</v>
      </c>
      <c r="M20" s="49">
        <v>30</v>
      </c>
      <c r="N20" s="44">
        <f t="shared" si="9"/>
        <v>150</v>
      </c>
      <c r="O20" s="44">
        <f t="shared" si="9"/>
        <v>160</v>
      </c>
      <c r="P20" s="44">
        <f t="shared" si="9"/>
        <v>210</v>
      </c>
      <c r="Q20" s="72">
        <v>1</v>
      </c>
    </row>
    <row r="21" spans="1:23" ht="15.75" thickBot="1" x14ac:dyDescent="0.3">
      <c r="A21" s="229">
        <f t="shared" si="5"/>
        <v>3672</v>
      </c>
      <c r="B21" s="230">
        <f t="shared" si="6"/>
        <v>11</v>
      </c>
      <c r="C21" s="218" t="str">
        <f t="shared" si="4"/>
        <v>L51X08+000_060_11</v>
      </c>
      <c r="D21" s="43">
        <f t="shared" si="0"/>
        <v>7.8000000000000007</v>
      </c>
      <c r="E21" s="61">
        <f t="shared" si="1"/>
        <v>1.603</v>
      </c>
      <c r="F21" s="44">
        <f t="shared" si="7"/>
        <v>20.551282051282051</v>
      </c>
      <c r="G21" s="44">
        <f t="shared" si="2"/>
        <v>16.441025641025643</v>
      </c>
      <c r="H21" s="44">
        <f t="shared" si="3"/>
        <v>10.275641025641026</v>
      </c>
      <c r="I21" s="44">
        <f t="shared" si="8"/>
        <v>8</v>
      </c>
      <c r="J21" s="199">
        <f t="shared" si="8"/>
        <v>0</v>
      </c>
      <c r="K21" s="37" t="str">
        <f>D21&amp;-11</f>
        <v>7.8-11</v>
      </c>
      <c r="L21" s="44">
        <f t="shared" si="9"/>
        <v>0.2</v>
      </c>
      <c r="M21" s="49">
        <v>60</v>
      </c>
      <c r="N21" s="44">
        <f t="shared" si="9"/>
        <v>150</v>
      </c>
      <c r="O21" s="44">
        <f t="shared" si="9"/>
        <v>160</v>
      </c>
      <c r="P21" s="44">
        <f t="shared" si="9"/>
        <v>210</v>
      </c>
      <c r="Q21" s="72">
        <v>1</v>
      </c>
    </row>
    <row r="22" spans="1:23" ht="15.75" thickBot="1" x14ac:dyDescent="0.3">
      <c r="A22" s="229">
        <f t="shared" si="5"/>
        <v>3673</v>
      </c>
      <c r="B22" s="230">
        <f t="shared" si="6"/>
        <v>12</v>
      </c>
      <c r="C22" s="218" t="str">
        <f t="shared" si="4"/>
        <v>L51X08+000_090_12</v>
      </c>
      <c r="D22" s="43">
        <f t="shared" si="0"/>
        <v>7.8000000000000007</v>
      </c>
      <c r="E22" s="61">
        <f t="shared" si="1"/>
        <v>1.603</v>
      </c>
      <c r="F22" s="44">
        <f t="shared" si="7"/>
        <v>20.551282051282051</v>
      </c>
      <c r="G22" s="44">
        <f t="shared" si="2"/>
        <v>16.441025641025643</v>
      </c>
      <c r="H22" s="44">
        <f t="shared" si="3"/>
        <v>10.275641025641026</v>
      </c>
      <c r="I22" s="44">
        <f t="shared" si="8"/>
        <v>8</v>
      </c>
      <c r="J22" s="199">
        <f t="shared" si="8"/>
        <v>0</v>
      </c>
      <c r="K22" s="37" t="str">
        <f>D22&amp;-12</f>
        <v>7.8-12</v>
      </c>
      <c r="L22" s="44">
        <f t="shared" si="9"/>
        <v>0.2</v>
      </c>
      <c r="M22" s="49">
        <v>90</v>
      </c>
      <c r="N22" s="44">
        <f t="shared" si="9"/>
        <v>150</v>
      </c>
      <c r="O22" s="44">
        <f t="shared" si="9"/>
        <v>160</v>
      </c>
      <c r="P22" s="44">
        <f t="shared" si="9"/>
        <v>210</v>
      </c>
      <c r="Q22" s="72">
        <v>1</v>
      </c>
    </row>
    <row r="23" spans="1:23" ht="15.75" thickBot="1" x14ac:dyDescent="0.3">
      <c r="A23" s="229">
        <f t="shared" si="5"/>
        <v>3674</v>
      </c>
      <c r="B23" s="230">
        <f t="shared" si="6"/>
        <v>13</v>
      </c>
      <c r="C23" s="218" t="str">
        <f t="shared" si="4"/>
        <v>L51X10+000_000_01</v>
      </c>
      <c r="D23" s="43">
        <f t="shared" ref="D23:D34" si="10">v_r</f>
        <v>9.8000000000000007</v>
      </c>
      <c r="E23" s="61">
        <f t="shared" si="1"/>
        <v>1.8130000000000002</v>
      </c>
      <c r="F23" s="44">
        <f t="shared" ref="F23:F34" si="11">E23/D23*100</f>
        <v>18.5</v>
      </c>
      <c r="G23" s="44">
        <f t="shared" si="2"/>
        <v>14.8</v>
      </c>
      <c r="H23" s="44">
        <f t="shared" si="3"/>
        <v>9.25</v>
      </c>
      <c r="I23" s="44">
        <f t="shared" si="8"/>
        <v>8</v>
      </c>
      <c r="J23" s="199">
        <f t="shared" si="8"/>
        <v>0</v>
      </c>
      <c r="K23" s="37" t="str">
        <f>D23&amp;-1</f>
        <v>9.8-1</v>
      </c>
      <c r="L23" s="44">
        <f t="shared" ref="L23:P23" si="12">L22</f>
        <v>0.2</v>
      </c>
      <c r="M23" s="49">
        <v>0</v>
      </c>
      <c r="N23" s="44">
        <f t="shared" si="12"/>
        <v>150</v>
      </c>
      <c r="O23" s="44">
        <f t="shared" si="12"/>
        <v>160</v>
      </c>
      <c r="P23" s="44">
        <f t="shared" si="12"/>
        <v>210</v>
      </c>
      <c r="Q23" s="72">
        <v>1</v>
      </c>
    </row>
    <row r="24" spans="1:23" ht="15.75" thickBot="1" x14ac:dyDescent="0.3">
      <c r="A24" s="229">
        <f t="shared" si="5"/>
        <v>3675</v>
      </c>
      <c r="B24" s="230">
        <f t="shared" si="6"/>
        <v>14</v>
      </c>
      <c r="C24" s="218" t="str">
        <f t="shared" si="4"/>
        <v>L51X10+000_030_02</v>
      </c>
      <c r="D24" s="43">
        <f t="shared" si="10"/>
        <v>9.8000000000000007</v>
      </c>
      <c r="E24" s="61">
        <f t="shared" si="1"/>
        <v>1.8130000000000002</v>
      </c>
      <c r="F24" s="44">
        <f t="shared" si="11"/>
        <v>18.5</v>
      </c>
      <c r="G24" s="44">
        <f t="shared" si="2"/>
        <v>14.8</v>
      </c>
      <c r="H24" s="44">
        <f t="shared" si="3"/>
        <v>9.25</v>
      </c>
      <c r="I24" s="44">
        <f t="shared" si="8"/>
        <v>8</v>
      </c>
      <c r="J24" s="199">
        <f t="shared" si="8"/>
        <v>0</v>
      </c>
      <c r="K24" s="37" t="str">
        <f>D24&amp;-2</f>
        <v>9.8-2</v>
      </c>
      <c r="L24" s="44">
        <f t="shared" ref="L24:P24" si="13">L23</f>
        <v>0.2</v>
      </c>
      <c r="M24" s="49">
        <v>30</v>
      </c>
      <c r="N24" s="44">
        <f t="shared" si="13"/>
        <v>150</v>
      </c>
      <c r="O24" s="44">
        <f t="shared" si="13"/>
        <v>160</v>
      </c>
      <c r="P24" s="44">
        <f t="shared" si="13"/>
        <v>210</v>
      </c>
      <c r="Q24" s="72">
        <v>1</v>
      </c>
    </row>
    <row r="25" spans="1:23" ht="15.75" thickBot="1" x14ac:dyDescent="0.3">
      <c r="A25" s="229">
        <f t="shared" si="5"/>
        <v>3676</v>
      </c>
      <c r="B25" s="230">
        <f t="shared" si="6"/>
        <v>15</v>
      </c>
      <c r="C25" s="218" t="str">
        <f t="shared" si="4"/>
        <v>L51X10+000_060_03</v>
      </c>
      <c r="D25" s="43">
        <f t="shared" si="10"/>
        <v>9.8000000000000007</v>
      </c>
      <c r="E25" s="61">
        <f t="shared" si="1"/>
        <v>1.8130000000000002</v>
      </c>
      <c r="F25" s="44">
        <f t="shared" si="11"/>
        <v>18.5</v>
      </c>
      <c r="G25" s="44">
        <f t="shared" si="2"/>
        <v>14.8</v>
      </c>
      <c r="H25" s="44">
        <f t="shared" si="3"/>
        <v>9.25</v>
      </c>
      <c r="I25" s="44">
        <f t="shared" si="8"/>
        <v>8</v>
      </c>
      <c r="J25" s="199">
        <f t="shared" si="8"/>
        <v>0</v>
      </c>
      <c r="K25" s="37" t="str">
        <f>D25&amp;-3</f>
        <v>9.8-3</v>
      </c>
      <c r="L25" s="44">
        <f t="shared" ref="L25:P25" si="14">L24</f>
        <v>0.2</v>
      </c>
      <c r="M25" s="49">
        <v>60</v>
      </c>
      <c r="N25" s="44">
        <f t="shared" si="14"/>
        <v>150</v>
      </c>
      <c r="O25" s="44">
        <f t="shared" si="14"/>
        <v>160</v>
      </c>
      <c r="P25" s="44">
        <f t="shared" si="14"/>
        <v>210</v>
      </c>
      <c r="Q25" s="72">
        <v>1</v>
      </c>
    </row>
    <row r="26" spans="1:23" ht="15.75" thickBot="1" x14ac:dyDescent="0.3">
      <c r="A26" s="229">
        <f t="shared" si="5"/>
        <v>3677</v>
      </c>
      <c r="B26" s="230">
        <f t="shared" si="6"/>
        <v>16</v>
      </c>
      <c r="C26" s="218" t="str">
        <f t="shared" si="4"/>
        <v>L51X10+000_090_04</v>
      </c>
      <c r="D26" s="43">
        <f t="shared" si="10"/>
        <v>9.8000000000000007</v>
      </c>
      <c r="E26" s="61">
        <f t="shared" si="1"/>
        <v>1.8130000000000002</v>
      </c>
      <c r="F26" s="44">
        <f t="shared" si="11"/>
        <v>18.5</v>
      </c>
      <c r="G26" s="44">
        <f t="shared" si="2"/>
        <v>14.8</v>
      </c>
      <c r="H26" s="44">
        <f t="shared" si="3"/>
        <v>9.25</v>
      </c>
      <c r="I26" s="44">
        <f t="shared" si="8"/>
        <v>8</v>
      </c>
      <c r="J26" s="199">
        <f t="shared" si="8"/>
        <v>0</v>
      </c>
      <c r="K26" s="37" t="str">
        <f>D26&amp;-4</f>
        <v>9.8-4</v>
      </c>
      <c r="L26" s="44">
        <f t="shared" ref="L26:P26" si="15">L25</f>
        <v>0.2</v>
      </c>
      <c r="M26" s="49">
        <v>90</v>
      </c>
      <c r="N26" s="44">
        <f t="shared" si="15"/>
        <v>150</v>
      </c>
      <c r="O26" s="44">
        <f t="shared" si="15"/>
        <v>160</v>
      </c>
      <c r="P26" s="44">
        <f t="shared" si="15"/>
        <v>210</v>
      </c>
      <c r="Q26" s="72">
        <v>1</v>
      </c>
    </row>
    <row r="27" spans="1:23" ht="15.75" thickBot="1" x14ac:dyDescent="0.3">
      <c r="A27" s="229">
        <f t="shared" si="5"/>
        <v>3678</v>
      </c>
      <c r="B27" s="230">
        <f t="shared" si="6"/>
        <v>17</v>
      </c>
      <c r="C27" s="218" t="str">
        <f t="shared" si="4"/>
        <v>L51X10+000_000_05</v>
      </c>
      <c r="D27" s="43">
        <f t="shared" si="10"/>
        <v>9.8000000000000007</v>
      </c>
      <c r="E27" s="61">
        <f t="shared" si="1"/>
        <v>1.8130000000000002</v>
      </c>
      <c r="F27" s="44">
        <f t="shared" si="11"/>
        <v>18.5</v>
      </c>
      <c r="G27" s="44">
        <f t="shared" si="2"/>
        <v>14.8</v>
      </c>
      <c r="H27" s="44">
        <f t="shared" si="3"/>
        <v>9.25</v>
      </c>
      <c r="I27" s="44">
        <f t="shared" si="8"/>
        <v>8</v>
      </c>
      <c r="J27" s="199">
        <f t="shared" si="8"/>
        <v>0</v>
      </c>
      <c r="K27" s="37" t="str">
        <f>D27&amp;-5</f>
        <v>9.8-5</v>
      </c>
      <c r="L27" s="44">
        <f t="shared" ref="L27:P27" si="16">L26</f>
        <v>0.2</v>
      </c>
      <c r="M27" s="49">
        <v>0</v>
      </c>
      <c r="N27" s="44">
        <f t="shared" si="16"/>
        <v>150</v>
      </c>
      <c r="O27" s="44">
        <f t="shared" si="16"/>
        <v>160</v>
      </c>
      <c r="P27" s="44">
        <f t="shared" si="16"/>
        <v>210</v>
      </c>
      <c r="Q27" s="72">
        <v>1</v>
      </c>
      <c r="W27" s="23" t="s">
        <v>3861</v>
      </c>
    </row>
    <row r="28" spans="1:23" ht="15.75" thickBot="1" x14ac:dyDescent="0.3">
      <c r="A28" s="229">
        <f t="shared" si="5"/>
        <v>3679</v>
      </c>
      <c r="B28" s="230">
        <f t="shared" si="6"/>
        <v>18</v>
      </c>
      <c r="C28" s="218" t="str">
        <f t="shared" si="4"/>
        <v>L51X10+000_030_06</v>
      </c>
      <c r="D28" s="43">
        <f t="shared" si="10"/>
        <v>9.8000000000000007</v>
      </c>
      <c r="E28" s="61">
        <f t="shared" si="1"/>
        <v>1.8130000000000002</v>
      </c>
      <c r="F28" s="44">
        <f t="shared" si="11"/>
        <v>18.5</v>
      </c>
      <c r="G28" s="44">
        <f t="shared" si="2"/>
        <v>14.8</v>
      </c>
      <c r="H28" s="44">
        <f t="shared" si="3"/>
        <v>9.25</v>
      </c>
      <c r="I28" s="44">
        <f t="shared" si="8"/>
        <v>8</v>
      </c>
      <c r="J28" s="199">
        <f t="shared" si="8"/>
        <v>0</v>
      </c>
      <c r="K28" s="37" t="str">
        <f>D28&amp;-6</f>
        <v>9.8-6</v>
      </c>
      <c r="L28" s="44">
        <f t="shared" ref="L28:P28" si="17">L27</f>
        <v>0.2</v>
      </c>
      <c r="M28" s="49">
        <v>30</v>
      </c>
      <c r="N28" s="44">
        <f t="shared" si="17"/>
        <v>150</v>
      </c>
      <c r="O28" s="44">
        <f t="shared" si="17"/>
        <v>160</v>
      </c>
      <c r="P28" s="44">
        <f t="shared" si="17"/>
        <v>210</v>
      </c>
      <c r="Q28" s="72">
        <v>1</v>
      </c>
    </row>
    <row r="29" spans="1:23" ht="15.75" thickBot="1" x14ac:dyDescent="0.3">
      <c r="A29" s="229">
        <f t="shared" si="5"/>
        <v>3680</v>
      </c>
      <c r="B29" s="230">
        <f t="shared" si="6"/>
        <v>19</v>
      </c>
      <c r="C29" s="218" t="str">
        <f t="shared" si="4"/>
        <v>L51X10+000_060_07</v>
      </c>
      <c r="D29" s="43">
        <f t="shared" si="10"/>
        <v>9.8000000000000007</v>
      </c>
      <c r="E29" s="61">
        <f t="shared" si="1"/>
        <v>1.8130000000000002</v>
      </c>
      <c r="F29" s="44">
        <f t="shared" si="11"/>
        <v>18.5</v>
      </c>
      <c r="G29" s="44">
        <f t="shared" si="2"/>
        <v>14.8</v>
      </c>
      <c r="H29" s="44">
        <f t="shared" si="3"/>
        <v>9.25</v>
      </c>
      <c r="I29" s="44">
        <f t="shared" si="8"/>
        <v>8</v>
      </c>
      <c r="J29" s="199">
        <f t="shared" si="8"/>
        <v>0</v>
      </c>
      <c r="K29" s="37" t="str">
        <f>D29&amp;-7</f>
        <v>9.8-7</v>
      </c>
      <c r="L29" s="44">
        <f t="shared" ref="L29:P29" si="18">L28</f>
        <v>0.2</v>
      </c>
      <c r="M29" s="49">
        <v>60</v>
      </c>
      <c r="N29" s="44">
        <f t="shared" si="18"/>
        <v>150</v>
      </c>
      <c r="O29" s="44">
        <f t="shared" si="18"/>
        <v>160</v>
      </c>
      <c r="P29" s="44">
        <f t="shared" si="18"/>
        <v>210</v>
      </c>
      <c r="Q29" s="72">
        <v>1</v>
      </c>
    </row>
    <row r="30" spans="1:23" ht="15.75" thickBot="1" x14ac:dyDescent="0.3">
      <c r="A30" s="229">
        <f t="shared" si="5"/>
        <v>3681</v>
      </c>
      <c r="B30" s="230">
        <f t="shared" si="6"/>
        <v>20</v>
      </c>
      <c r="C30" s="218" t="str">
        <f t="shared" si="4"/>
        <v>L51X10+000_090_08</v>
      </c>
      <c r="D30" s="43">
        <f t="shared" si="10"/>
        <v>9.8000000000000007</v>
      </c>
      <c r="E30" s="61">
        <f t="shared" si="1"/>
        <v>1.8130000000000002</v>
      </c>
      <c r="F30" s="44">
        <f t="shared" si="11"/>
        <v>18.5</v>
      </c>
      <c r="G30" s="44">
        <f t="shared" si="2"/>
        <v>14.8</v>
      </c>
      <c r="H30" s="44">
        <f t="shared" si="3"/>
        <v>9.25</v>
      </c>
      <c r="I30" s="44">
        <f t="shared" si="8"/>
        <v>8</v>
      </c>
      <c r="J30" s="199">
        <f t="shared" si="8"/>
        <v>0</v>
      </c>
      <c r="K30" s="37" t="str">
        <f>D30&amp;-8</f>
        <v>9.8-8</v>
      </c>
      <c r="L30" s="44">
        <f t="shared" ref="L30:P30" si="19">L29</f>
        <v>0.2</v>
      </c>
      <c r="M30" s="49">
        <v>90</v>
      </c>
      <c r="N30" s="44">
        <f t="shared" si="19"/>
        <v>150</v>
      </c>
      <c r="O30" s="44">
        <f t="shared" si="19"/>
        <v>160</v>
      </c>
      <c r="P30" s="44">
        <f t="shared" si="19"/>
        <v>210</v>
      </c>
      <c r="Q30" s="72">
        <v>1</v>
      </c>
    </row>
    <row r="31" spans="1:23" ht="15.75" thickBot="1" x14ac:dyDescent="0.3">
      <c r="A31" s="229">
        <f t="shared" si="5"/>
        <v>3682</v>
      </c>
      <c r="B31" s="230">
        <f t="shared" si="6"/>
        <v>21</v>
      </c>
      <c r="C31" s="218" t="str">
        <f t="shared" si="4"/>
        <v>L51X10+000_000_09</v>
      </c>
      <c r="D31" s="43">
        <f t="shared" si="10"/>
        <v>9.8000000000000007</v>
      </c>
      <c r="E31" s="61">
        <f t="shared" si="1"/>
        <v>1.8130000000000002</v>
      </c>
      <c r="F31" s="44">
        <f t="shared" si="11"/>
        <v>18.5</v>
      </c>
      <c r="G31" s="44">
        <f t="shared" si="2"/>
        <v>14.8</v>
      </c>
      <c r="H31" s="44">
        <f t="shared" si="3"/>
        <v>9.25</v>
      </c>
      <c r="I31" s="44">
        <f t="shared" si="8"/>
        <v>8</v>
      </c>
      <c r="J31" s="199">
        <f t="shared" si="8"/>
        <v>0</v>
      </c>
      <c r="K31" s="37" t="str">
        <f>D31&amp;-9</f>
        <v>9.8-9</v>
      </c>
      <c r="L31" s="44">
        <f t="shared" ref="L31:P31" si="20">L30</f>
        <v>0.2</v>
      </c>
      <c r="M31" s="49">
        <v>0</v>
      </c>
      <c r="N31" s="44">
        <f t="shared" si="20"/>
        <v>150</v>
      </c>
      <c r="O31" s="44">
        <f t="shared" si="20"/>
        <v>160</v>
      </c>
      <c r="P31" s="44">
        <f t="shared" si="20"/>
        <v>210</v>
      </c>
      <c r="Q31" s="72">
        <v>1</v>
      </c>
    </row>
    <row r="32" spans="1:23" ht="15.75" thickBot="1" x14ac:dyDescent="0.3">
      <c r="A32" s="229">
        <f t="shared" si="5"/>
        <v>3683</v>
      </c>
      <c r="B32" s="230">
        <f t="shared" si="6"/>
        <v>22</v>
      </c>
      <c r="C32" s="218" t="str">
        <f t="shared" si="4"/>
        <v>L51X10+000_030_10</v>
      </c>
      <c r="D32" s="43">
        <f t="shared" si="10"/>
        <v>9.8000000000000007</v>
      </c>
      <c r="E32" s="61">
        <f t="shared" si="1"/>
        <v>1.8130000000000002</v>
      </c>
      <c r="F32" s="44">
        <f t="shared" si="11"/>
        <v>18.5</v>
      </c>
      <c r="G32" s="44">
        <f t="shared" si="2"/>
        <v>14.8</v>
      </c>
      <c r="H32" s="44">
        <f t="shared" si="3"/>
        <v>9.25</v>
      </c>
      <c r="I32" s="44">
        <f t="shared" si="8"/>
        <v>8</v>
      </c>
      <c r="J32" s="199">
        <f t="shared" si="8"/>
        <v>0</v>
      </c>
      <c r="K32" s="37" t="str">
        <f>D32&amp;-10</f>
        <v>9.8-10</v>
      </c>
      <c r="L32" s="44">
        <f t="shared" ref="L32:P32" si="21">L31</f>
        <v>0.2</v>
      </c>
      <c r="M32" s="49">
        <v>30</v>
      </c>
      <c r="N32" s="44">
        <f t="shared" si="21"/>
        <v>150</v>
      </c>
      <c r="O32" s="44">
        <f t="shared" si="21"/>
        <v>160</v>
      </c>
      <c r="P32" s="44">
        <f t="shared" si="21"/>
        <v>210</v>
      </c>
      <c r="Q32" s="72">
        <v>1</v>
      </c>
    </row>
    <row r="33" spans="1:17" ht="15.75" thickBot="1" x14ac:dyDescent="0.3">
      <c r="A33" s="229">
        <f t="shared" si="5"/>
        <v>3684</v>
      </c>
      <c r="B33" s="230">
        <f t="shared" si="6"/>
        <v>23</v>
      </c>
      <c r="C33" s="218" t="str">
        <f t="shared" si="4"/>
        <v>L51X10+000_060_11</v>
      </c>
      <c r="D33" s="43">
        <f t="shared" si="10"/>
        <v>9.8000000000000007</v>
      </c>
      <c r="E33" s="61">
        <f t="shared" si="1"/>
        <v>1.8130000000000002</v>
      </c>
      <c r="F33" s="44">
        <f t="shared" si="11"/>
        <v>18.5</v>
      </c>
      <c r="G33" s="44">
        <f t="shared" si="2"/>
        <v>14.8</v>
      </c>
      <c r="H33" s="44">
        <f t="shared" si="3"/>
        <v>9.25</v>
      </c>
      <c r="I33" s="44">
        <f t="shared" si="8"/>
        <v>8</v>
      </c>
      <c r="J33" s="199">
        <f t="shared" si="8"/>
        <v>0</v>
      </c>
      <c r="K33" s="37" t="str">
        <f>D33&amp;-11</f>
        <v>9.8-11</v>
      </c>
      <c r="L33" s="44">
        <f t="shared" ref="L33:P33" si="22">L32</f>
        <v>0.2</v>
      </c>
      <c r="M33" s="49">
        <v>60</v>
      </c>
      <c r="N33" s="44">
        <f t="shared" si="22"/>
        <v>150</v>
      </c>
      <c r="O33" s="44">
        <f t="shared" si="22"/>
        <v>160</v>
      </c>
      <c r="P33" s="44">
        <f t="shared" si="22"/>
        <v>210</v>
      </c>
      <c r="Q33" s="72">
        <v>1</v>
      </c>
    </row>
    <row r="34" spans="1:17" ht="15.75" thickBot="1" x14ac:dyDescent="0.3">
      <c r="A34" s="229">
        <f t="shared" si="5"/>
        <v>3685</v>
      </c>
      <c r="B34" s="230">
        <f t="shared" si="6"/>
        <v>24</v>
      </c>
      <c r="C34" s="218" t="str">
        <f t="shared" si="4"/>
        <v>L51X10+000_090_12</v>
      </c>
      <c r="D34" s="43">
        <f t="shared" si="10"/>
        <v>9.8000000000000007</v>
      </c>
      <c r="E34" s="61">
        <f t="shared" si="1"/>
        <v>1.8130000000000002</v>
      </c>
      <c r="F34" s="44">
        <f t="shared" si="11"/>
        <v>18.5</v>
      </c>
      <c r="G34" s="44">
        <f t="shared" si="2"/>
        <v>14.8</v>
      </c>
      <c r="H34" s="44">
        <f t="shared" si="3"/>
        <v>9.25</v>
      </c>
      <c r="I34" s="44">
        <f t="shared" si="8"/>
        <v>8</v>
      </c>
      <c r="J34" s="199">
        <f t="shared" si="8"/>
        <v>0</v>
      </c>
      <c r="K34" s="37" t="str">
        <f>D34&amp;-12</f>
        <v>9.8-12</v>
      </c>
      <c r="L34" s="44">
        <f t="shared" ref="L34:P34" si="23">L33</f>
        <v>0.2</v>
      </c>
      <c r="M34" s="49">
        <v>90</v>
      </c>
      <c r="N34" s="44">
        <f t="shared" si="23"/>
        <v>150</v>
      </c>
      <c r="O34" s="44">
        <f t="shared" si="23"/>
        <v>160</v>
      </c>
      <c r="P34" s="44">
        <f t="shared" si="23"/>
        <v>210</v>
      </c>
      <c r="Q34" s="72">
        <v>1</v>
      </c>
    </row>
    <row r="35" spans="1:17" ht="15.75" thickBot="1" x14ac:dyDescent="0.3">
      <c r="A35" s="229">
        <f t="shared" si="5"/>
        <v>3686</v>
      </c>
      <c r="B35" s="230">
        <f t="shared" si="6"/>
        <v>25</v>
      </c>
      <c r="C35" s="218" t="str">
        <f t="shared" si="4"/>
        <v>L51X12+000_000_01</v>
      </c>
      <c r="D35" s="43">
        <f t="shared" ref="D35:D46" si="24">vr_a</f>
        <v>11.8</v>
      </c>
      <c r="E35" s="61">
        <f t="shared" ref="E35:E54" si="25">I_ref*(0.75*D35+5.6)</f>
        <v>2.0230000000000001</v>
      </c>
      <c r="F35" s="44">
        <f t="shared" ref="F35:F46" si="26">E35/D35*100</f>
        <v>17.14406779661017</v>
      </c>
      <c r="G35" s="44">
        <f t="shared" ref="G35:G54" si="27">m_ty*F35</f>
        <v>13.715254237288136</v>
      </c>
      <c r="H35" s="44">
        <f t="shared" ref="H35:H54" si="28">m_tz*F35</f>
        <v>8.5720338983050848</v>
      </c>
      <c r="I35" s="44">
        <f t="shared" si="8"/>
        <v>8</v>
      </c>
      <c r="J35" s="199">
        <f t="shared" si="8"/>
        <v>0</v>
      </c>
      <c r="K35" s="37" t="str">
        <f>D35&amp;-1</f>
        <v>11.8-1</v>
      </c>
      <c r="L35" s="44">
        <f t="shared" ref="L35:P35" si="29">L34</f>
        <v>0.2</v>
      </c>
      <c r="M35" s="49">
        <v>0</v>
      </c>
      <c r="N35" s="44">
        <f t="shared" si="29"/>
        <v>150</v>
      </c>
      <c r="O35" s="44">
        <f t="shared" si="29"/>
        <v>160</v>
      </c>
      <c r="P35" s="44">
        <f t="shared" si="29"/>
        <v>210</v>
      </c>
      <c r="Q35" s="72">
        <v>1</v>
      </c>
    </row>
    <row r="36" spans="1:17" ht="15.75" thickBot="1" x14ac:dyDescent="0.3">
      <c r="A36" s="229">
        <f t="shared" si="5"/>
        <v>3687</v>
      </c>
      <c r="B36" s="230">
        <f t="shared" si="6"/>
        <v>26</v>
      </c>
      <c r="C36" s="218" t="str">
        <f t="shared" si="4"/>
        <v>L51X12+000_030_02</v>
      </c>
      <c r="D36" s="43">
        <f t="shared" si="24"/>
        <v>11.8</v>
      </c>
      <c r="E36" s="61">
        <f t="shared" si="25"/>
        <v>2.0230000000000001</v>
      </c>
      <c r="F36" s="44">
        <f t="shared" si="26"/>
        <v>17.14406779661017</v>
      </c>
      <c r="G36" s="44">
        <f t="shared" si="27"/>
        <v>13.715254237288136</v>
      </c>
      <c r="H36" s="44">
        <f t="shared" si="28"/>
        <v>8.5720338983050848</v>
      </c>
      <c r="I36" s="44">
        <f t="shared" si="8"/>
        <v>8</v>
      </c>
      <c r="J36" s="199">
        <f t="shared" si="8"/>
        <v>0</v>
      </c>
      <c r="K36" s="37" t="str">
        <f>D36&amp;-2</f>
        <v>11.8-2</v>
      </c>
      <c r="L36" s="44">
        <f t="shared" ref="L36:P36" si="30">L35</f>
        <v>0.2</v>
      </c>
      <c r="M36" s="49">
        <v>30</v>
      </c>
      <c r="N36" s="44">
        <f t="shared" si="30"/>
        <v>150</v>
      </c>
      <c r="O36" s="44">
        <f t="shared" si="30"/>
        <v>160</v>
      </c>
      <c r="P36" s="44">
        <f t="shared" si="30"/>
        <v>210</v>
      </c>
      <c r="Q36" s="72">
        <v>1</v>
      </c>
    </row>
    <row r="37" spans="1:17" ht="15.75" thickBot="1" x14ac:dyDescent="0.3">
      <c r="A37" s="229">
        <f t="shared" si="5"/>
        <v>3688</v>
      </c>
      <c r="B37" s="230">
        <f t="shared" si="6"/>
        <v>27</v>
      </c>
      <c r="C37" s="218" t="str">
        <f t="shared" si="4"/>
        <v>L51X12+000_060_03</v>
      </c>
      <c r="D37" s="43">
        <f t="shared" si="24"/>
        <v>11.8</v>
      </c>
      <c r="E37" s="61">
        <f t="shared" si="25"/>
        <v>2.0230000000000001</v>
      </c>
      <c r="F37" s="44">
        <f t="shared" si="26"/>
        <v>17.14406779661017</v>
      </c>
      <c r="G37" s="44">
        <f t="shared" si="27"/>
        <v>13.715254237288136</v>
      </c>
      <c r="H37" s="44">
        <f t="shared" si="28"/>
        <v>8.5720338983050848</v>
      </c>
      <c r="I37" s="44">
        <f t="shared" si="8"/>
        <v>8</v>
      </c>
      <c r="J37" s="199">
        <f t="shared" si="8"/>
        <v>0</v>
      </c>
      <c r="K37" s="37" t="str">
        <f>D37&amp;-3</f>
        <v>11.8-3</v>
      </c>
      <c r="L37" s="44">
        <f t="shared" ref="L37:P37" si="31">L36</f>
        <v>0.2</v>
      </c>
      <c r="M37" s="49">
        <v>60</v>
      </c>
      <c r="N37" s="44">
        <f t="shared" si="31"/>
        <v>150</v>
      </c>
      <c r="O37" s="44">
        <f t="shared" si="31"/>
        <v>160</v>
      </c>
      <c r="P37" s="44">
        <f t="shared" si="31"/>
        <v>210</v>
      </c>
      <c r="Q37" s="72">
        <v>1</v>
      </c>
    </row>
    <row r="38" spans="1:17" ht="15.75" thickBot="1" x14ac:dyDescent="0.3">
      <c r="A38" s="229">
        <f t="shared" si="5"/>
        <v>3689</v>
      </c>
      <c r="B38" s="230">
        <f t="shared" si="6"/>
        <v>28</v>
      </c>
      <c r="C38" s="218" t="str">
        <f t="shared" si="4"/>
        <v>L51X12+000_090_04</v>
      </c>
      <c r="D38" s="43">
        <f t="shared" si="24"/>
        <v>11.8</v>
      </c>
      <c r="E38" s="61">
        <f t="shared" si="25"/>
        <v>2.0230000000000001</v>
      </c>
      <c r="F38" s="44">
        <f t="shared" si="26"/>
        <v>17.14406779661017</v>
      </c>
      <c r="G38" s="44">
        <f t="shared" si="27"/>
        <v>13.715254237288136</v>
      </c>
      <c r="H38" s="44">
        <f t="shared" si="28"/>
        <v>8.5720338983050848</v>
      </c>
      <c r="I38" s="44">
        <f t="shared" si="8"/>
        <v>8</v>
      </c>
      <c r="J38" s="199">
        <f t="shared" si="8"/>
        <v>0</v>
      </c>
      <c r="K38" s="37" t="str">
        <f>D38&amp;-4</f>
        <v>11.8-4</v>
      </c>
      <c r="L38" s="44">
        <f t="shared" ref="L38:P38" si="32">L37</f>
        <v>0.2</v>
      </c>
      <c r="M38" s="49">
        <v>90</v>
      </c>
      <c r="N38" s="44">
        <f t="shared" si="32"/>
        <v>150</v>
      </c>
      <c r="O38" s="44">
        <f t="shared" si="32"/>
        <v>160</v>
      </c>
      <c r="P38" s="44">
        <f t="shared" si="32"/>
        <v>210</v>
      </c>
      <c r="Q38" s="72">
        <v>1</v>
      </c>
    </row>
    <row r="39" spans="1:17" ht="15.75" thickBot="1" x14ac:dyDescent="0.3">
      <c r="A39" s="229">
        <f t="shared" si="5"/>
        <v>3690</v>
      </c>
      <c r="B39" s="230">
        <f t="shared" si="6"/>
        <v>29</v>
      </c>
      <c r="C39" s="218" t="str">
        <f t="shared" si="4"/>
        <v>L51X12+000_000_05</v>
      </c>
      <c r="D39" s="43">
        <f t="shared" si="24"/>
        <v>11.8</v>
      </c>
      <c r="E39" s="61">
        <f t="shared" si="25"/>
        <v>2.0230000000000001</v>
      </c>
      <c r="F39" s="44">
        <f t="shared" si="26"/>
        <v>17.14406779661017</v>
      </c>
      <c r="G39" s="44">
        <f t="shared" si="27"/>
        <v>13.715254237288136</v>
      </c>
      <c r="H39" s="44">
        <f t="shared" si="28"/>
        <v>8.5720338983050848</v>
      </c>
      <c r="I39" s="44">
        <f t="shared" si="8"/>
        <v>8</v>
      </c>
      <c r="J39" s="199">
        <f t="shared" si="8"/>
        <v>0</v>
      </c>
      <c r="K39" s="37" t="str">
        <f>D39&amp;-5</f>
        <v>11.8-5</v>
      </c>
      <c r="L39" s="44">
        <f t="shared" ref="L39:P39" si="33">L38</f>
        <v>0.2</v>
      </c>
      <c r="M39" s="49">
        <v>0</v>
      </c>
      <c r="N39" s="44">
        <f t="shared" si="33"/>
        <v>150</v>
      </c>
      <c r="O39" s="44">
        <f t="shared" si="33"/>
        <v>160</v>
      </c>
      <c r="P39" s="44">
        <f t="shared" si="33"/>
        <v>210</v>
      </c>
      <c r="Q39" s="72">
        <v>1</v>
      </c>
    </row>
    <row r="40" spans="1:17" ht="15.75" thickBot="1" x14ac:dyDescent="0.3">
      <c r="A40" s="229">
        <f t="shared" si="5"/>
        <v>3691</v>
      </c>
      <c r="B40" s="230">
        <f t="shared" si="6"/>
        <v>30</v>
      </c>
      <c r="C40" s="218" t="str">
        <f t="shared" si="4"/>
        <v>L51X12+000_030_06</v>
      </c>
      <c r="D40" s="43">
        <f t="shared" si="24"/>
        <v>11.8</v>
      </c>
      <c r="E40" s="61">
        <f t="shared" si="25"/>
        <v>2.0230000000000001</v>
      </c>
      <c r="F40" s="44">
        <f t="shared" si="26"/>
        <v>17.14406779661017</v>
      </c>
      <c r="G40" s="44">
        <f t="shared" si="27"/>
        <v>13.715254237288136</v>
      </c>
      <c r="H40" s="44">
        <f t="shared" si="28"/>
        <v>8.5720338983050848</v>
      </c>
      <c r="I40" s="44">
        <f t="shared" si="8"/>
        <v>8</v>
      </c>
      <c r="J40" s="199">
        <f t="shared" si="8"/>
        <v>0</v>
      </c>
      <c r="K40" s="37" t="str">
        <f>D40&amp;-6</f>
        <v>11.8-6</v>
      </c>
      <c r="L40" s="44">
        <f t="shared" ref="L40:P40" si="34">L39</f>
        <v>0.2</v>
      </c>
      <c r="M40" s="49">
        <v>30</v>
      </c>
      <c r="N40" s="44">
        <f t="shared" si="34"/>
        <v>150</v>
      </c>
      <c r="O40" s="44">
        <f t="shared" si="34"/>
        <v>160</v>
      </c>
      <c r="P40" s="44">
        <f t="shared" si="34"/>
        <v>210</v>
      </c>
      <c r="Q40" s="72">
        <v>1</v>
      </c>
    </row>
    <row r="41" spans="1:17" ht="15.75" thickBot="1" x14ac:dyDescent="0.3">
      <c r="A41" s="229">
        <f t="shared" si="5"/>
        <v>3692</v>
      </c>
      <c r="B41" s="230">
        <f t="shared" si="6"/>
        <v>31</v>
      </c>
      <c r="C41" s="218" t="str">
        <f t="shared" si="4"/>
        <v>L51X12+000_060_07</v>
      </c>
      <c r="D41" s="43">
        <f t="shared" si="24"/>
        <v>11.8</v>
      </c>
      <c r="E41" s="61">
        <f t="shared" si="25"/>
        <v>2.0230000000000001</v>
      </c>
      <c r="F41" s="44">
        <f t="shared" si="26"/>
        <v>17.14406779661017</v>
      </c>
      <c r="G41" s="44">
        <f t="shared" si="27"/>
        <v>13.715254237288136</v>
      </c>
      <c r="H41" s="44">
        <f t="shared" si="28"/>
        <v>8.5720338983050848</v>
      </c>
      <c r="I41" s="44">
        <f t="shared" si="8"/>
        <v>8</v>
      </c>
      <c r="J41" s="199">
        <f t="shared" si="8"/>
        <v>0</v>
      </c>
      <c r="K41" s="37" t="str">
        <f>D41&amp;-7</f>
        <v>11.8-7</v>
      </c>
      <c r="L41" s="44">
        <f t="shared" ref="L41:P41" si="35">L40</f>
        <v>0.2</v>
      </c>
      <c r="M41" s="49">
        <v>60</v>
      </c>
      <c r="N41" s="44">
        <f t="shared" si="35"/>
        <v>150</v>
      </c>
      <c r="O41" s="44">
        <f t="shared" si="35"/>
        <v>160</v>
      </c>
      <c r="P41" s="44">
        <f t="shared" si="35"/>
        <v>210</v>
      </c>
      <c r="Q41" s="72">
        <v>1</v>
      </c>
    </row>
    <row r="42" spans="1:17" ht="15.75" thickBot="1" x14ac:dyDescent="0.3">
      <c r="A42" s="229">
        <f t="shared" si="5"/>
        <v>3693</v>
      </c>
      <c r="B42" s="230">
        <f t="shared" si="6"/>
        <v>32</v>
      </c>
      <c r="C42" s="218" t="str">
        <f t="shared" si="4"/>
        <v>L51X12+000_090_08</v>
      </c>
      <c r="D42" s="43">
        <f t="shared" si="24"/>
        <v>11.8</v>
      </c>
      <c r="E42" s="61">
        <f t="shared" si="25"/>
        <v>2.0230000000000001</v>
      </c>
      <c r="F42" s="44">
        <f t="shared" si="26"/>
        <v>17.14406779661017</v>
      </c>
      <c r="G42" s="44">
        <f t="shared" si="27"/>
        <v>13.715254237288136</v>
      </c>
      <c r="H42" s="44">
        <f t="shared" si="28"/>
        <v>8.5720338983050848</v>
      </c>
      <c r="I42" s="44">
        <f t="shared" si="8"/>
        <v>8</v>
      </c>
      <c r="J42" s="199">
        <f t="shared" si="8"/>
        <v>0</v>
      </c>
      <c r="K42" s="37" t="str">
        <f>D42&amp;-8</f>
        <v>11.8-8</v>
      </c>
      <c r="L42" s="44">
        <f t="shared" ref="L42:P42" si="36">L41</f>
        <v>0.2</v>
      </c>
      <c r="M42" s="49">
        <v>90</v>
      </c>
      <c r="N42" s="44">
        <f t="shared" si="36"/>
        <v>150</v>
      </c>
      <c r="O42" s="44">
        <f t="shared" si="36"/>
        <v>160</v>
      </c>
      <c r="P42" s="44">
        <f t="shared" si="36"/>
        <v>210</v>
      </c>
      <c r="Q42" s="72">
        <v>1</v>
      </c>
    </row>
    <row r="43" spans="1:17" ht="15.75" thickBot="1" x14ac:dyDescent="0.3">
      <c r="A43" s="229">
        <f t="shared" si="5"/>
        <v>3694</v>
      </c>
      <c r="B43" s="230">
        <f t="shared" si="6"/>
        <v>33</v>
      </c>
      <c r="C43" s="218" t="str">
        <f t="shared" si="4"/>
        <v>L51X12+000_000_09</v>
      </c>
      <c r="D43" s="43">
        <f t="shared" si="24"/>
        <v>11.8</v>
      </c>
      <c r="E43" s="61">
        <f t="shared" si="25"/>
        <v>2.0230000000000001</v>
      </c>
      <c r="F43" s="44">
        <f t="shared" si="26"/>
        <v>17.14406779661017</v>
      </c>
      <c r="G43" s="44">
        <f t="shared" si="27"/>
        <v>13.715254237288136</v>
      </c>
      <c r="H43" s="44">
        <f t="shared" si="28"/>
        <v>8.5720338983050848</v>
      </c>
      <c r="I43" s="44">
        <f t="shared" si="8"/>
        <v>8</v>
      </c>
      <c r="J43" s="199">
        <f t="shared" si="8"/>
        <v>0</v>
      </c>
      <c r="K43" s="37" t="str">
        <f>D43&amp;-9</f>
        <v>11.8-9</v>
      </c>
      <c r="L43" s="44">
        <f t="shared" ref="L43:P43" si="37">L42</f>
        <v>0.2</v>
      </c>
      <c r="M43" s="49">
        <v>0</v>
      </c>
      <c r="N43" s="44">
        <f t="shared" si="37"/>
        <v>150</v>
      </c>
      <c r="O43" s="44">
        <f t="shared" si="37"/>
        <v>160</v>
      </c>
      <c r="P43" s="44">
        <f t="shared" si="37"/>
        <v>210</v>
      </c>
      <c r="Q43" s="72">
        <v>1</v>
      </c>
    </row>
    <row r="44" spans="1:17" ht="15.75" thickBot="1" x14ac:dyDescent="0.3">
      <c r="A44" s="229">
        <f t="shared" si="5"/>
        <v>3695</v>
      </c>
      <c r="B44" s="230">
        <f t="shared" si="6"/>
        <v>34</v>
      </c>
      <c r="C44" s="218" t="str">
        <f t="shared" si="4"/>
        <v>L51X12+000_030_10</v>
      </c>
      <c r="D44" s="43">
        <f t="shared" si="24"/>
        <v>11.8</v>
      </c>
      <c r="E44" s="61">
        <f t="shared" si="25"/>
        <v>2.0230000000000001</v>
      </c>
      <c r="F44" s="44">
        <f t="shared" si="26"/>
        <v>17.14406779661017</v>
      </c>
      <c r="G44" s="44">
        <f t="shared" si="27"/>
        <v>13.715254237288136</v>
      </c>
      <c r="H44" s="44">
        <f t="shared" si="28"/>
        <v>8.5720338983050848</v>
      </c>
      <c r="I44" s="44">
        <f t="shared" si="8"/>
        <v>8</v>
      </c>
      <c r="J44" s="199">
        <f t="shared" si="8"/>
        <v>0</v>
      </c>
      <c r="K44" s="37" t="str">
        <f>D44&amp;-10</f>
        <v>11.8-10</v>
      </c>
      <c r="L44" s="44">
        <f t="shared" ref="L44:P44" si="38">L43</f>
        <v>0.2</v>
      </c>
      <c r="M44" s="49">
        <v>30</v>
      </c>
      <c r="N44" s="44">
        <f t="shared" si="38"/>
        <v>150</v>
      </c>
      <c r="O44" s="44">
        <f t="shared" si="38"/>
        <v>160</v>
      </c>
      <c r="P44" s="44">
        <f t="shared" si="38"/>
        <v>210</v>
      </c>
      <c r="Q44" s="72">
        <v>1</v>
      </c>
    </row>
    <row r="45" spans="1:17" ht="15.75" thickBot="1" x14ac:dyDescent="0.3">
      <c r="A45" s="229">
        <f t="shared" si="5"/>
        <v>3696</v>
      </c>
      <c r="B45" s="230">
        <f t="shared" si="6"/>
        <v>35</v>
      </c>
      <c r="C45" s="218" t="str">
        <f t="shared" si="4"/>
        <v>L51X12+000_060_11</v>
      </c>
      <c r="D45" s="43">
        <f t="shared" si="24"/>
        <v>11.8</v>
      </c>
      <c r="E45" s="61">
        <f t="shared" si="25"/>
        <v>2.0230000000000001</v>
      </c>
      <c r="F45" s="44">
        <f t="shared" si="26"/>
        <v>17.14406779661017</v>
      </c>
      <c r="G45" s="44">
        <f t="shared" si="27"/>
        <v>13.715254237288136</v>
      </c>
      <c r="H45" s="44">
        <f t="shared" si="28"/>
        <v>8.5720338983050848</v>
      </c>
      <c r="I45" s="44">
        <f t="shared" si="8"/>
        <v>8</v>
      </c>
      <c r="J45" s="199">
        <f t="shared" si="8"/>
        <v>0</v>
      </c>
      <c r="K45" s="37" t="str">
        <f>D45&amp;-11</f>
        <v>11.8-11</v>
      </c>
      <c r="L45" s="44">
        <f t="shared" ref="L45:P45" si="39">L44</f>
        <v>0.2</v>
      </c>
      <c r="M45" s="49">
        <v>60</v>
      </c>
      <c r="N45" s="44">
        <f t="shared" si="39"/>
        <v>150</v>
      </c>
      <c r="O45" s="44">
        <f t="shared" si="39"/>
        <v>160</v>
      </c>
      <c r="P45" s="44">
        <f t="shared" si="39"/>
        <v>210</v>
      </c>
      <c r="Q45" s="72">
        <v>1</v>
      </c>
    </row>
    <row r="46" spans="1:17" ht="15.75" thickBot="1" x14ac:dyDescent="0.3">
      <c r="A46" s="229">
        <f t="shared" si="5"/>
        <v>3697</v>
      </c>
      <c r="B46" s="230">
        <f t="shared" si="6"/>
        <v>36</v>
      </c>
      <c r="C46" s="218" t="str">
        <f t="shared" si="4"/>
        <v>L51X12+000_090_12</v>
      </c>
      <c r="D46" s="43">
        <f t="shared" si="24"/>
        <v>11.8</v>
      </c>
      <c r="E46" s="61">
        <f t="shared" si="25"/>
        <v>2.0230000000000001</v>
      </c>
      <c r="F46" s="44">
        <f t="shared" si="26"/>
        <v>17.14406779661017</v>
      </c>
      <c r="G46" s="44">
        <f t="shared" si="27"/>
        <v>13.715254237288136</v>
      </c>
      <c r="H46" s="44">
        <f t="shared" si="28"/>
        <v>8.5720338983050848</v>
      </c>
      <c r="I46" s="44">
        <f t="shared" si="8"/>
        <v>8</v>
      </c>
      <c r="J46" s="199">
        <f t="shared" si="8"/>
        <v>0</v>
      </c>
      <c r="K46" s="37" t="str">
        <f>D46&amp;-12</f>
        <v>11.8-12</v>
      </c>
      <c r="L46" s="44">
        <f t="shared" ref="L46:P46" si="40">L45</f>
        <v>0.2</v>
      </c>
      <c r="M46" s="49">
        <v>90</v>
      </c>
      <c r="N46" s="44">
        <f t="shared" si="40"/>
        <v>150</v>
      </c>
      <c r="O46" s="44">
        <f t="shared" si="40"/>
        <v>160</v>
      </c>
      <c r="P46" s="44">
        <f t="shared" si="40"/>
        <v>210</v>
      </c>
      <c r="Q46" s="72">
        <v>1</v>
      </c>
    </row>
    <row r="47" spans="1:17" ht="15.75" thickBot="1" x14ac:dyDescent="0.3">
      <c r="A47" s="229">
        <f t="shared" si="5"/>
        <v>3698</v>
      </c>
      <c r="B47" s="230">
        <f t="shared" si="6"/>
        <v>37</v>
      </c>
      <c r="C47" s="218" t="str">
        <f t="shared" si="4"/>
        <v>L51X25+000_000_01</v>
      </c>
      <c r="D47" s="43">
        <f>v_out</f>
        <v>25</v>
      </c>
      <c r="E47" s="61">
        <f t="shared" si="25"/>
        <v>3.4090000000000007</v>
      </c>
      <c r="F47" s="44">
        <f t="shared" ref="F47:F58" si="41">E47/D47*100</f>
        <v>13.636000000000003</v>
      </c>
      <c r="G47" s="44">
        <f t="shared" si="27"/>
        <v>10.908800000000003</v>
      </c>
      <c r="H47" s="44">
        <f t="shared" si="28"/>
        <v>6.8180000000000014</v>
      </c>
      <c r="I47" s="44">
        <f t="shared" si="8"/>
        <v>8</v>
      </c>
      <c r="J47" s="199">
        <f t="shared" si="8"/>
        <v>0</v>
      </c>
      <c r="K47" s="37" t="str">
        <f>D47&amp;-1</f>
        <v>25-1</v>
      </c>
      <c r="L47" s="44">
        <f t="shared" ref="L47:P47" si="42">L46</f>
        <v>0.2</v>
      </c>
      <c r="M47" s="49">
        <v>0</v>
      </c>
      <c r="N47" s="44">
        <f t="shared" si="42"/>
        <v>150</v>
      </c>
      <c r="O47" s="44">
        <f t="shared" si="42"/>
        <v>160</v>
      </c>
      <c r="P47" s="44">
        <f t="shared" si="42"/>
        <v>210</v>
      </c>
      <c r="Q47" s="72">
        <v>1</v>
      </c>
    </row>
    <row r="48" spans="1:17" ht="15.75" thickBot="1" x14ac:dyDescent="0.3">
      <c r="A48" s="229">
        <f t="shared" si="5"/>
        <v>3699</v>
      </c>
      <c r="B48" s="230">
        <f t="shared" si="6"/>
        <v>38</v>
      </c>
      <c r="C48" s="218" t="str">
        <f t="shared" si="4"/>
        <v>L51X25+000_030_02</v>
      </c>
      <c r="D48" s="43">
        <f>D47</f>
        <v>25</v>
      </c>
      <c r="E48" s="61">
        <f t="shared" si="25"/>
        <v>3.4090000000000007</v>
      </c>
      <c r="F48" s="44">
        <f t="shared" si="41"/>
        <v>13.636000000000003</v>
      </c>
      <c r="G48" s="44">
        <f t="shared" si="27"/>
        <v>10.908800000000003</v>
      </c>
      <c r="H48" s="44">
        <f t="shared" si="28"/>
        <v>6.8180000000000014</v>
      </c>
      <c r="I48" s="44">
        <f t="shared" si="8"/>
        <v>8</v>
      </c>
      <c r="J48" s="199">
        <f t="shared" si="8"/>
        <v>0</v>
      </c>
      <c r="K48" s="37" t="str">
        <f>D48&amp;-2</f>
        <v>25-2</v>
      </c>
      <c r="L48" s="44">
        <f t="shared" ref="L48:P48" si="43">L47</f>
        <v>0.2</v>
      </c>
      <c r="M48" s="49">
        <v>30</v>
      </c>
      <c r="N48" s="44">
        <f t="shared" si="43"/>
        <v>150</v>
      </c>
      <c r="O48" s="44">
        <f t="shared" si="43"/>
        <v>160</v>
      </c>
      <c r="P48" s="44">
        <f t="shared" si="43"/>
        <v>210</v>
      </c>
      <c r="Q48" s="72">
        <v>1</v>
      </c>
    </row>
    <row r="49" spans="1:17" ht="15.75" thickBot="1" x14ac:dyDescent="0.3">
      <c r="A49" s="229">
        <f t="shared" si="5"/>
        <v>3700</v>
      </c>
      <c r="B49" s="230">
        <f t="shared" si="6"/>
        <v>39</v>
      </c>
      <c r="C49" s="218" t="str">
        <f t="shared" si="4"/>
        <v>L51X25+000_060_03</v>
      </c>
      <c r="D49" s="197">
        <f t="shared" ref="D49:D58" si="44">D48</f>
        <v>25</v>
      </c>
      <c r="E49" s="61">
        <f t="shared" si="25"/>
        <v>3.4090000000000007</v>
      </c>
      <c r="F49" s="44">
        <f t="shared" si="41"/>
        <v>13.636000000000003</v>
      </c>
      <c r="G49" s="44">
        <f t="shared" si="27"/>
        <v>10.908800000000003</v>
      </c>
      <c r="H49" s="44">
        <f t="shared" si="28"/>
        <v>6.8180000000000014</v>
      </c>
      <c r="I49" s="44">
        <f t="shared" si="8"/>
        <v>8</v>
      </c>
      <c r="J49" s="199">
        <f t="shared" si="8"/>
        <v>0</v>
      </c>
      <c r="K49" s="37" t="str">
        <f>D49&amp;-3</f>
        <v>25-3</v>
      </c>
      <c r="L49" s="44">
        <f t="shared" ref="L49:P49" si="45">L48</f>
        <v>0.2</v>
      </c>
      <c r="M49" s="49">
        <v>60</v>
      </c>
      <c r="N49" s="44">
        <f t="shared" si="45"/>
        <v>150</v>
      </c>
      <c r="O49" s="44">
        <f t="shared" si="45"/>
        <v>160</v>
      </c>
      <c r="P49" s="44">
        <f t="shared" si="45"/>
        <v>210</v>
      </c>
      <c r="Q49" s="72">
        <v>1</v>
      </c>
    </row>
    <row r="50" spans="1:17" ht="15.75" thickBot="1" x14ac:dyDescent="0.3">
      <c r="A50" s="229">
        <f t="shared" si="5"/>
        <v>3701</v>
      </c>
      <c r="B50" s="230">
        <f t="shared" si="6"/>
        <v>40</v>
      </c>
      <c r="C50" s="218" t="str">
        <f t="shared" si="4"/>
        <v>L51X25+000_090_04</v>
      </c>
      <c r="D50" s="197">
        <f t="shared" si="44"/>
        <v>25</v>
      </c>
      <c r="E50" s="61">
        <f t="shared" si="25"/>
        <v>3.4090000000000007</v>
      </c>
      <c r="F50" s="44">
        <f t="shared" si="41"/>
        <v>13.636000000000003</v>
      </c>
      <c r="G50" s="44">
        <f t="shared" si="27"/>
        <v>10.908800000000003</v>
      </c>
      <c r="H50" s="44">
        <f t="shared" si="28"/>
        <v>6.8180000000000014</v>
      </c>
      <c r="I50" s="44">
        <f t="shared" si="8"/>
        <v>8</v>
      </c>
      <c r="J50" s="199">
        <f t="shared" si="8"/>
        <v>0</v>
      </c>
      <c r="K50" s="37" t="str">
        <f>D50&amp;-4</f>
        <v>25-4</v>
      </c>
      <c r="L50" s="44">
        <f t="shared" ref="L50:P50" si="46">L49</f>
        <v>0.2</v>
      </c>
      <c r="M50" s="49">
        <v>90</v>
      </c>
      <c r="N50" s="44">
        <f t="shared" si="46"/>
        <v>150</v>
      </c>
      <c r="O50" s="44">
        <f t="shared" si="46"/>
        <v>160</v>
      </c>
      <c r="P50" s="44">
        <f t="shared" si="46"/>
        <v>210</v>
      </c>
      <c r="Q50" s="72">
        <v>1</v>
      </c>
    </row>
    <row r="51" spans="1:17" ht="15.75" thickBot="1" x14ac:dyDescent="0.3">
      <c r="A51" s="229">
        <f t="shared" si="5"/>
        <v>3702</v>
      </c>
      <c r="B51" s="230">
        <f t="shared" si="6"/>
        <v>41</v>
      </c>
      <c r="C51" s="218" t="str">
        <f t="shared" si="4"/>
        <v>L51X25+000_000_05</v>
      </c>
      <c r="D51" s="197">
        <f t="shared" si="44"/>
        <v>25</v>
      </c>
      <c r="E51" s="61">
        <f t="shared" si="25"/>
        <v>3.4090000000000007</v>
      </c>
      <c r="F51" s="44">
        <f t="shared" si="41"/>
        <v>13.636000000000003</v>
      </c>
      <c r="G51" s="44">
        <f t="shared" si="27"/>
        <v>10.908800000000003</v>
      </c>
      <c r="H51" s="44">
        <f t="shared" si="28"/>
        <v>6.8180000000000014</v>
      </c>
      <c r="I51" s="44">
        <f t="shared" si="8"/>
        <v>8</v>
      </c>
      <c r="J51" s="199">
        <f t="shared" si="8"/>
        <v>0</v>
      </c>
      <c r="K51" s="37" t="str">
        <f>D51&amp;-5</f>
        <v>25-5</v>
      </c>
      <c r="L51" s="44">
        <f t="shared" ref="L51:P51" si="47">L50</f>
        <v>0.2</v>
      </c>
      <c r="M51" s="49">
        <v>0</v>
      </c>
      <c r="N51" s="44">
        <f t="shared" si="47"/>
        <v>150</v>
      </c>
      <c r="O51" s="44">
        <f t="shared" si="47"/>
        <v>160</v>
      </c>
      <c r="P51" s="44">
        <f t="shared" si="47"/>
        <v>210</v>
      </c>
      <c r="Q51" s="72">
        <v>1</v>
      </c>
    </row>
    <row r="52" spans="1:17" ht="15.75" thickBot="1" x14ac:dyDescent="0.3">
      <c r="A52" s="229">
        <f t="shared" si="5"/>
        <v>3703</v>
      </c>
      <c r="B52" s="230">
        <f t="shared" si="6"/>
        <v>42</v>
      </c>
      <c r="C52" s="218" t="str">
        <f t="shared" si="4"/>
        <v>L51X25+000_030_06</v>
      </c>
      <c r="D52" s="197">
        <f t="shared" si="44"/>
        <v>25</v>
      </c>
      <c r="E52" s="61">
        <f t="shared" si="25"/>
        <v>3.4090000000000007</v>
      </c>
      <c r="F52" s="44">
        <f t="shared" si="41"/>
        <v>13.636000000000003</v>
      </c>
      <c r="G52" s="44">
        <f t="shared" si="27"/>
        <v>10.908800000000003</v>
      </c>
      <c r="H52" s="44">
        <f t="shared" si="28"/>
        <v>6.8180000000000014</v>
      </c>
      <c r="I52" s="44">
        <f t="shared" si="8"/>
        <v>8</v>
      </c>
      <c r="J52" s="199">
        <f t="shared" si="8"/>
        <v>0</v>
      </c>
      <c r="K52" s="37" t="str">
        <f>D52&amp;-6</f>
        <v>25-6</v>
      </c>
      <c r="L52" s="44">
        <f t="shared" ref="L52:P52" si="48">L51</f>
        <v>0.2</v>
      </c>
      <c r="M52" s="49">
        <v>30</v>
      </c>
      <c r="N52" s="44">
        <f t="shared" si="48"/>
        <v>150</v>
      </c>
      <c r="O52" s="44">
        <f t="shared" si="48"/>
        <v>160</v>
      </c>
      <c r="P52" s="44">
        <f t="shared" si="48"/>
        <v>210</v>
      </c>
      <c r="Q52" s="72">
        <v>1</v>
      </c>
    </row>
    <row r="53" spans="1:17" ht="15.75" thickBot="1" x14ac:dyDescent="0.3">
      <c r="A53" s="229">
        <f t="shared" si="5"/>
        <v>3704</v>
      </c>
      <c r="B53" s="230">
        <f t="shared" si="6"/>
        <v>43</v>
      </c>
      <c r="C53" s="218" t="str">
        <f t="shared" si="4"/>
        <v>L51X25+000_060_07</v>
      </c>
      <c r="D53" s="197">
        <f t="shared" si="44"/>
        <v>25</v>
      </c>
      <c r="E53" s="61">
        <f t="shared" si="25"/>
        <v>3.4090000000000007</v>
      </c>
      <c r="F53" s="44">
        <f t="shared" si="41"/>
        <v>13.636000000000003</v>
      </c>
      <c r="G53" s="44">
        <f t="shared" si="27"/>
        <v>10.908800000000003</v>
      </c>
      <c r="H53" s="44">
        <f t="shared" si="28"/>
        <v>6.8180000000000014</v>
      </c>
      <c r="I53" s="44">
        <f t="shared" si="8"/>
        <v>8</v>
      </c>
      <c r="J53" s="199">
        <f t="shared" si="8"/>
        <v>0</v>
      </c>
      <c r="K53" s="37" t="str">
        <f>D53&amp;-7</f>
        <v>25-7</v>
      </c>
      <c r="L53" s="44">
        <f t="shared" ref="L53:P53" si="49">L52</f>
        <v>0.2</v>
      </c>
      <c r="M53" s="49">
        <v>60</v>
      </c>
      <c r="N53" s="44">
        <f t="shared" si="49"/>
        <v>150</v>
      </c>
      <c r="O53" s="44">
        <f t="shared" si="49"/>
        <v>160</v>
      </c>
      <c r="P53" s="44">
        <f t="shared" si="49"/>
        <v>210</v>
      </c>
      <c r="Q53" s="72">
        <v>1</v>
      </c>
    </row>
    <row r="54" spans="1:17" ht="15.75" thickBot="1" x14ac:dyDescent="0.3">
      <c r="A54" s="229">
        <f t="shared" si="5"/>
        <v>3705</v>
      </c>
      <c r="B54" s="230">
        <f t="shared" si="6"/>
        <v>44</v>
      </c>
      <c r="C54" s="218" t="str">
        <f t="shared" si="4"/>
        <v>L51X25+000_090_08</v>
      </c>
      <c r="D54" s="197">
        <f t="shared" si="44"/>
        <v>25</v>
      </c>
      <c r="E54" s="61">
        <f t="shared" si="25"/>
        <v>3.4090000000000007</v>
      </c>
      <c r="F54" s="44">
        <f t="shared" si="41"/>
        <v>13.636000000000003</v>
      </c>
      <c r="G54" s="44">
        <f t="shared" si="27"/>
        <v>10.908800000000003</v>
      </c>
      <c r="H54" s="44">
        <f t="shared" si="28"/>
        <v>6.8180000000000014</v>
      </c>
      <c r="I54" s="44">
        <f t="shared" si="8"/>
        <v>8</v>
      </c>
      <c r="J54" s="199">
        <f t="shared" si="8"/>
        <v>0</v>
      </c>
      <c r="K54" s="37" t="str">
        <f>D54&amp;-8</f>
        <v>25-8</v>
      </c>
      <c r="L54" s="44">
        <f t="shared" ref="L54:P54" si="50">L53</f>
        <v>0.2</v>
      </c>
      <c r="M54" s="49">
        <v>90</v>
      </c>
      <c r="N54" s="44">
        <f t="shared" si="50"/>
        <v>150</v>
      </c>
      <c r="O54" s="44">
        <f t="shared" si="50"/>
        <v>160</v>
      </c>
      <c r="P54" s="44">
        <f t="shared" si="50"/>
        <v>210</v>
      </c>
      <c r="Q54" s="72">
        <v>1</v>
      </c>
    </row>
    <row r="55" spans="1:17" ht="15.75" thickBot="1" x14ac:dyDescent="0.3">
      <c r="A55" s="229">
        <f t="shared" si="5"/>
        <v>3706</v>
      </c>
      <c r="B55" s="230">
        <f t="shared" si="6"/>
        <v>45</v>
      </c>
      <c r="C55" s="218" t="str">
        <f t="shared" si="4"/>
        <v>L51X25+000_000_09</v>
      </c>
      <c r="D55" s="197">
        <f t="shared" si="44"/>
        <v>25</v>
      </c>
      <c r="E55" s="61">
        <f t="shared" ref="E55:E58" si="51">I_ref*(0.75*D55+5.6)</f>
        <v>3.4090000000000007</v>
      </c>
      <c r="F55" s="44">
        <f t="shared" si="41"/>
        <v>13.636000000000003</v>
      </c>
      <c r="G55" s="44">
        <f t="shared" ref="G55:G58" si="52">m_ty*F55</f>
        <v>10.908800000000003</v>
      </c>
      <c r="H55" s="44">
        <f t="shared" ref="H55:H58" si="53">m_tz*F55</f>
        <v>6.8180000000000014</v>
      </c>
      <c r="I55" s="44">
        <f t="shared" si="8"/>
        <v>8</v>
      </c>
      <c r="J55" s="199">
        <f t="shared" si="8"/>
        <v>0</v>
      </c>
      <c r="K55" s="37" t="str">
        <f>D55&amp;-9</f>
        <v>25-9</v>
      </c>
      <c r="L55" s="44">
        <f t="shared" ref="L55:P55" si="54">L54</f>
        <v>0.2</v>
      </c>
      <c r="M55" s="49">
        <v>0</v>
      </c>
      <c r="N55" s="44">
        <f t="shared" si="54"/>
        <v>150</v>
      </c>
      <c r="O55" s="44">
        <f t="shared" si="54"/>
        <v>160</v>
      </c>
      <c r="P55" s="44">
        <f t="shared" si="54"/>
        <v>210</v>
      </c>
      <c r="Q55" s="72">
        <v>1</v>
      </c>
    </row>
    <row r="56" spans="1:17" ht="15.75" thickBot="1" x14ac:dyDescent="0.3">
      <c r="A56" s="229">
        <f t="shared" si="5"/>
        <v>3707</v>
      </c>
      <c r="B56" s="230">
        <f t="shared" si="6"/>
        <v>46</v>
      </c>
      <c r="C56" s="218" t="str">
        <f t="shared" si="4"/>
        <v>L51X25+000_030_10</v>
      </c>
      <c r="D56" s="197">
        <f t="shared" si="44"/>
        <v>25</v>
      </c>
      <c r="E56" s="61">
        <f t="shared" si="51"/>
        <v>3.4090000000000007</v>
      </c>
      <c r="F56" s="44">
        <f t="shared" si="41"/>
        <v>13.636000000000003</v>
      </c>
      <c r="G56" s="44">
        <f t="shared" si="52"/>
        <v>10.908800000000003</v>
      </c>
      <c r="H56" s="44">
        <f t="shared" si="53"/>
        <v>6.8180000000000014</v>
      </c>
      <c r="I56" s="44">
        <f t="shared" si="8"/>
        <v>8</v>
      </c>
      <c r="J56" s="199">
        <f t="shared" si="8"/>
        <v>0</v>
      </c>
      <c r="K56" s="37" t="str">
        <f>D56&amp;-10</f>
        <v>25-10</v>
      </c>
      <c r="L56" s="44">
        <f t="shared" ref="L56:P56" si="55">L55</f>
        <v>0.2</v>
      </c>
      <c r="M56" s="49">
        <v>30</v>
      </c>
      <c r="N56" s="44">
        <f t="shared" si="55"/>
        <v>150</v>
      </c>
      <c r="O56" s="44">
        <f t="shared" si="55"/>
        <v>160</v>
      </c>
      <c r="P56" s="44">
        <f t="shared" si="55"/>
        <v>210</v>
      </c>
      <c r="Q56" s="72">
        <v>1</v>
      </c>
    </row>
    <row r="57" spans="1:17" ht="15.75" thickBot="1" x14ac:dyDescent="0.3">
      <c r="A57" s="229">
        <f t="shared" si="5"/>
        <v>3708</v>
      </c>
      <c r="B57" s="230">
        <f t="shared" si="6"/>
        <v>47</v>
      </c>
      <c r="C57" s="218" t="str">
        <f t="shared" si="4"/>
        <v>L51X25+000_060_11</v>
      </c>
      <c r="D57" s="197">
        <f t="shared" si="44"/>
        <v>25</v>
      </c>
      <c r="E57" s="61">
        <f t="shared" si="51"/>
        <v>3.4090000000000007</v>
      </c>
      <c r="F57" s="44">
        <f t="shared" si="41"/>
        <v>13.636000000000003</v>
      </c>
      <c r="G57" s="44">
        <f t="shared" si="52"/>
        <v>10.908800000000003</v>
      </c>
      <c r="H57" s="44">
        <f t="shared" si="53"/>
        <v>6.8180000000000014</v>
      </c>
      <c r="I57" s="44">
        <f t="shared" si="8"/>
        <v>8</v>
      </c>
      <c r="J57" s="199">
        <f t="shared" si="8"/>
        <v>0</v>
      </c>
      <c r="K57" s="37" t="str">
        <f>D57&amp;-11</f>
        <v>25-11</v>
      </c>
      <c r="L57" s="44">
        <f t="shared" ref="L57:P57" si="56">L56</f>
        <v>0.2</v>
      </c>
      <c r="M57" s="49">
        <v>60</v>
      </c>
      <c r="N57" s="44">
        <f t="shared" si="56"/>
        <v>150</v>
      </c>
      <c r="O57" s="44">
        <f t="shared" si="56"/>
        <v>160</v>
      </c>
      <c r="P57" s="44">
        <f t="shared" si="56"/>
        <v>210</v>
      </c>
      <c r="Q57" s="72">
        <v>1</v>
      </c>
    </row>
    <row r="58" spans="1:17" x14ac:dyDescent="0.25">
      <c r="A58" s="229">
        <f t="shared" si="5"/>
        <v>3709</v>
      </c>
      <c r="B58" s="230">
        <f t="shared" si="6"/>
        <v>48</v>
      </c>
      <c r="C58" s="218" t="str">
        <f t="shared" si="4"/>
        <v>L51X25+000_090_12</v>
      </c>
      <c r="D58" s="197">
        <f t="shared" si="44"/>
        <v>25</v>
      </c>
      <c r="E58" s="61">
        <f t="shared" si="51"/>
        <v>3.4090000000000007</v>
      </c>
      <c r="F58" s="44">
        <f t="shared" si="41"/>
        <v>13.636000000000003</v>
      </c>
      <c r="G58" s="44">
        <f t="shared" si="52"/>
        <v>10.908800000000003</v>
      </c>
      <c r="H58" s="44">
        <f t="shared" si="53"/>
        <v>6.8180000000000014</v>
      </c>
      <c r="I58" s="44">
        <f t="shared" si="8"/>
        <v>8</v>
      </c>
      <c r="J58" s="199">
        <f t="shared" si="8"/>
        <v>0</v>
      </c>
      <c r="K58" s="37" t="str">
        <f>D58&amp;-12</f>
        <v>25-12</v>
      </c>
      <c r="L58" s="44">
        <f t="shared" ref="L58:P58" si="57">L57</f>
        <v>0.2</v>
      </c>
      <c r="M58" s="49">
        <v>90</v>
      </c>
      <c r="N58" s="44">
        <f t="shared" si="57"/>
        <v>150</v>
      </c>
      <c r="O58" s="44">
        <f t="shared" si="57"/>
        <v>160</v>
      </c>
      <c r="P58" s="44">
        <f t="shared" si="57"/>
        <v>210</v>
      </c>
      <c r="Q58" s="72">
        <v>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190"/>
  <sheetViews>
    <sheetView topLeftCell="A31" zoomScale="85" zoomScaleNormal="85" workbookViewId="0">
      <selection activeCell="S20" sqref="S20"/>
    </sheetView>
  </sheetViews>
  <sheetFormatPr defaultColWidth="9" defaultRowHeight="15" x14ac:dyDescent="0.15"/>
  <cols>
    <col min="1" max="2" width="7.625" style="23" customWidth="1"/>
    <col min="3" max="3" width="8.375" style="23" customWidth="1"/>
    <col min="4" max="4" width="7.375" style="23" customWidth="1"/>
    <col min="5" max="5" width="6.625" style="23" customWidth="1"/>
    <col min="6" max="6" width="6.125" style="23" customWidth="1"/>
    <col min="7" max="7" width="7.75" style="23" customWidth="1"/>
    <col min="8" max="8" width="7" style="23" customWidth="1"/>
    <col min="9" max="9" width="6.375" style="23" customWidth="1"/>
    <col min="10" max="10" width="5.375" style="23" customWidth="1"/>
    <col min="11" max="16384" width="9" style="23"/>
  </cols>
  <sheetData>
    <row r="1" spans="1:20" x14ac:dyDescent="0.15">
      <c r="H1" s="22" t="s">
        <v>135</v>
      </c>
      <c r="I1" s="22" t="s">
        <v>164</v>
      </c>
    </row>
    <row r="2" spans="1:20" x14ac:dyDescent="0.15">
      <c r="B2" s="22" t="s">
        <v>110</v>
      </c>
      <c r="C2" s="22"/>
      <c r="D2" s="22"/>
      <c r="E2" s="22"/>
      <c r="H2" s="22"/>
      <c r="I2" s="22" t="s">
        <v>145</v>
      </c>
    </row>
    <row r="3" spans="1:20" x14ac:dyDescent="0.15">
      <c r="B3" s="22" t="s">
        <v>88</v>
      </c>
      <c r="C3" s="22"/>
      <c r="D3" s="22"/>
      <c r="E3" s="93" t="s">
        <v>924</v>
      </c>
      <c r="H3" s="22"/>
      <c r="I3" s="22" t="s">
        <v>894</v>
      </c>
    </row>
    <row r="4" spans="1:20" x14ac:dyDescent="0.15">
      <c r="B4" s="22" t="s">
        <v>89</v>
      </c>
      <c r="C4" s="22"/>
      <c r="D4" s="22"/>
      <c r="E4" s="22" t="s">
        <v>111</v>
      </c>
      <c r="H4" s="22"/>
      <c r="I4" s="22" t="s">
        <v>925</v>
      </c>
    </row>
    <row r="5" spans="1:20" x14ac:dyDescent="0.15">
      <c r="B5" s="22" t="s">
        <v>91</v>
      </c>
      <c r="C5" s="22"/>
      <c r="D5" s="22"/>
      <c r="E5" s="22" t="s">
        <v>99</v>
      </c>
      <c r="H5" s="22"/>
      <c r="I5" s="22"/>
    </row>
    <row r="6" spans="1:20" x14ac:dyDescent="0.15">
      <c r="B6" s="22" t="s">
        <v>93</v>
      </c>
      <c r="C6" s="22"/>
      <c r="D6" s="22"/>
      <c r="E6" s="22" t="s">
        <v>100</v>
      </c>
    </row>
    <row r="7" spans="1:20" x14ac:dyDescent="0.15">
      <c r="K7" s="46"/>
      <c r="L7" s="46"/>
      <c r="M7" s="46"/>
      <c r="N7" s="46"/>
      <c r="O7" s="46"/>
      <c r="P7" s="46"/>
      <c r="Q7" s="46"/>
      <c r="R7" s="46"/>
      <c r="S7" s="46"/>
      <c r="T7" s="46"/>
    </row>
    <row r="8" spans="1:20" ht="15.75" thickBot="1" x14ac:dyDescent="0.2">
      <c r="K8" s="46"/>
      <c r="L8" s="46"/>
      <c r="M8" s="46"/>
      <c r="N8" s="46"/>
      <c r="O8" s="46"/>
      <c r="P8" s="46"/>
      <c r="Q8" s="46"/>
      <c r="R8" s="46"/>
      <c r="S8" s="46"/>
      <c r="T8" s="46"/>
    </row>
    <row r="9" spans="1:20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140</v>
      </c>
      <c r="K9" s="26" t="s">
        <v>3</v>
      </c>
      <c r="L9" s="25" t="s">
        <v>141</v>
      </c>
      <c r="M9" s="27" t="s">
        <v>138</v>
      </c>
      <c r="N9" s="47" t="s">
        <v>161</v>
      </c>
      <c r="O9" s="27" t="s">
        <v>139</v>
      </c>
      <c r="P9" s="27" t="s">
        <v>199</v>
      </c>
    </row>
    <row r="10" spans="1:20" ht="15.75" thickBot="1" x14ac:dyDescent="0.3">
      <c r="A10" s="29" t="s">
        <v>76</v>
      </c>
      <c r="B10" s="30" t="str">
        <f>B2</f>
        <v>DLC51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32" t="s">
        <v>7</v>
      </c>
      <c r="N10" s="32" t="s">
        <v>17</v>
      </c>
      <c r="O10" s="32" t="s">
        <v>7</v>
      </c>
      <c r="P10" s="32"/>
    </row>
    <row r="11" spans="1:20" x14ac:dyDescent="0.25">
      <c r="A11" s="24" t="e">
        <f>'DLC42'!#REF!+1</f>
        <v>#REF!</v>
      </c>
      <c r="B11" s="27">
        <v>1</v>
      </c>
      <c r="C11" s="24" t="s">
        <v>262</v>
      </c>
      <c r="D11" s="34">
        <f t="shared" ref="D11:D46" si="0">vr_b</f>
        <v>7.8000000000000007</v>
      </c>
      <c r="E11" s="60">
        <f t="shared" ref="E11:E42" si="1">I_ref*(0.75*D11+5.6)</f>
        <v>1.603</v>
      </c>
      <c r="F11" s="35">
        <f>E11/D11*100</f>
        <v>20.551282051282051</v>
      </c>
      <c r="G11" s="35">
        <f t="shared" ref="G11:G24" si="2">m_ty*F11</f>
        <v>16.441025641025643</v>
      </c>
      <c r="H11" s="35">
        <f t="shared" ref="H11:H24" si="3">m_tz*F11</f>
        <v>10.275641025641026</v>
      </c>
      <c r="I11" s="35">
        <f>inflow</f>
        <v>8</v>
      </c>
      <c r="J11" s="36">
        <f>yaw_min</f>
        <v>-8</v>
      </c>
      <c r="K11" s="37" t="str">
        <f>D11&amp;-1</f>
        <v>7.8-1</v>
      </c>
      <c r="L11" s="35">
        <f>alpha_n</f>
        <v>0.2</v>
      </c>
      <c r="M11" s="44">
        <f>t_out</f>
        <v>150</v>
      </c>
      <c r="N11" s="44">
        <f>trig_t</f>
        <v>160</v>
      </c>
      <c r="O11" s="44">
        <f>M11+T_s2</f>
        <v>210</v>
      </c>
      <c r="P11" s="71">
        <f t="shared" ref="P11:P22" si="4">Btorque_1</f>
        <v>0.85</v>
      </c>
    </row>
    <row r="12" spans="1:20" x14ac:dyDescent="0.25">
      <c r="A12" s="41" t="e">
        <f>A11+1</f>
        <v>#REF!</v>
      </c>
      <c r="B12" s="42">
        <f>B11+1</f>
        <v>2</v>
      </c>
      <c r="C12" s="41" t="s">
        <v>263</v>
      </c>
      <c r="D12" s="43">
        <f t="shared" si="0"/>
        <v>7.8000000000000007</v>
      </c>
      <c r="E12" s="61">
        <f t="shared" si="1"/>
        <v>1.603</v>
      </c>
      <c r="F12" s="44">
        <f>E12/D12*100</f>
        <v>20.551282051282051</v>
      </c>
      <c r="G12" s="44">
        <f t="shared" si="2"/>
        <v>16.441025641025643</v>
      </c>
      <c r="H12" s="44">
        <f t="shared" si="3"/>
        <v>10.275641025641026</v>
      </c>
      <c r="I12" s="44">
        <f>I11</f>
        <v>8</v>
      </c>
      <c r="J12" s="45">
        <f>yaw_min</f>
        <v>-8</v>
      </c>
      <c r="K12" s="37" t="str">
        <f>D12&amp;-2</f>
        <v>7.8-2</v>
      </c>
      <c r="L12" s="44">
        <f>L11</f>
        <v>0.2</v>
      </c>
      <c r="M12" s="44">
        <f>M11</f>
        <v>150</v>
      </c>
      <c r="N12" s="44">
        <f>N11</f>
        <v>160</v>
      </c>
      <c r="O12" s="44">
        <f>O11</f>
        <v>210</v>
      </c>
      <c r="P12" s="72">
        <f t="shared" si="4"/>
        <v>0.85</v>
      </c>
    </row>
    <row r="13" spans="1:20" x14ac:dyDescent="0.25">
      <c r="A13" s="41" t="e">
        <f t="shared" ref="A13:B24" si="5">A12+1</f>
        <v>#REF!</v>
      </c>
      <c r="B13" s="42">
        <f t="shared" si="5"/>
        <v>3</v>
      </c>
      <c r="C13" s="41" t="s">
        <v>264</v>
      </c>
      <c r="D13" s="43">
        <f t="shared" si="0"/>
        <v>7.8000000000000007</v>
      </c>
      <c r="E13" s="61">
        <f t="shared" si="1"/>
        <v>1.603</v>
      </c>
      <c r="F13" s="44">
        <f t="shared" ref="F13:F24" si="6">E13/D13*100</f>
        <v>20.551282051282051</v>
      </c>
      <c r="G13" s="44">
        <f t="shared" si="2"/>
        <v>16.441025641025643</v>
      </c>
      <c r="H13" s="44">
        <f t="shared" si="3"/>
        <v>10.275641025641026</v>
      </c>
      <c r="I13" s="44">
        <f t="shared" ref="I13:I24" si="7">I12</f>
        <v>8</v>
      </c>
      <c r="J13" s="45">
        <f>yaw_min</f>
        <v>-8</v>
      </c>
      <c r="K13" s="37" t="str">
        <f>D13&amp;-3</f>
        <v>7.8-3</v>
      </c>
      <c r="L13" s="44">
        <f t="shared" ref="L13:O24" si="8">L12</f>
        <v>0.2</v>
      </c>
      <c r="M13" s="44">
        <f t="shared" si="8"/>
        <v>150</v>
      </c>
      <c r="N13" s="44">
        <f t="shared" si="8"/>
        <v>160</v>
      </c>
      <c r="O13" s="44">
        <f t="shared" si="8"/>
        <v>210</v>
      </c>
      <c r="P13" s="72">
        <f t="shared" si="4"/>
        <v>0.85</v>
      </c>
    </row>
    <row r="14" spans="1:20" x14ac:dyDescent="0.25">
      <c r="A14" s="41" t="e">
        <f t="shared" si="5"/>
        <v>#REF!</v>
      </c>
      <c r="B14" s="42">
        <f t="shared" si="5"/>
        <v>4</v>
      </c>
      <c r="C14" s="41" t="s">
        <v>265</v>
      </c>
      <c r="D14" s="43">
        <f t="shared" si="0"/>
        <v>7.8000000000000007</v>
      </c>
      <c r="E14" s="61">
        <f t="shared" si="1"/>
        <v>1.603</v>
      </c>
      <c r="F14" s="44">
        <f t="shared" si="6"/>
        <v>20.551282051282051</v>
      </c>
      <c r="G14" s="44">
        <f t="shared" si="2"/>
        <v>16.441025641025643</v>
      </c>
      <c r="H14" s="44">
        <f t="shared" si="3"/>
        <v>10.275641025641026</v>
      </c>
      <c r="I14" s="44">
        <f t="shared" si="7"/>
        <v>8</v>
      </c>
      <c r="J14" s="45">
        <f>yaw_min</f>
        <v>-8</v>
      </c>
      <c r="K14" s="37" t="str">
        <f>D14&amp;-4</f>
        <v>7.8-4</v>
      </c>
      <c r="L14" s="44">
        <f t="shared" si="8"/>
        <v>0.2</v>
      </c>
      <c r="M14" s="44">
        <f t="shared" si="8"/>
        <v>150</v>
      </c>
      <c r="N14" s="44">
        <f t="shared" si="8"/>
        <v>160</v>
      </c>
      <c r="O14" s="44">
        <f t="shared" si="8"/>
        <v>210</v>
      </c>
      <c r="P14" s="72">
        <f t="shared" si="4"/>
        <v>0.85</v>
      </c>
    </row>
    <row r="15" spans="1:20" x14ac:dyDescent="0.25">
      <c r="A15" s="41" t="e">
        <f t="shared" si="5"/>
        <v>#REF!</v>
      </c>
      <c r="B15" s="42">
        <f t="shared" si="5"/>
        <v>5</v>
      </c>
      <c r="C15" s="41" t="s">
        <v>266</v>
      </c>
      <c r="D15" s="43">
        <f t="shared" si="0"/>
        <v>7.8000000000000007</v>
      </c>
      <c r="E15" s="61">
        <f t="shared" si="1"/>
        <v>1.603</v>
      </c>
      <c r="F15" s="44">
        <f t="shared" si="6"/>
        <v>20.551282051282051</v>
      </c>
      <c r="G15" s="44">
        <f t="shared" si="2"/>
        <v>16.441025641025643</v>
      </c>
      <c r="H15" s="44">
        <f t="shared" si="3"/>
        <v>10.275641025641026</v>
      </c>
      <c r="I15" s="44">
        <f t="shared" si="7"/>
        <v>8</v>
      </c>
      <c r="J15" s="45">
        <f>yaw_null</f>
        <v>0</v>
      </c>
      <c r="K15" s="37" t="str">
        <f>D15&amp;-5</f>
        <v>7.8-5</v>
      </c>
      <c r="L15" s="44">
        <f t="shared" si="8"/>
        <v>0.2</v>
      </c>
      <c r="M15" s="44">
        <f t="shared" si="8"/>
        <v>150</v>
      </c>
      <c r="N15" s="44">
        <f t="shared" si="8"/>
        <v>160</v>
      </c>
      <c r="O15" s="44">
        <f t="shared" si="8"/>
        <v>210</v>
      </c>
      <c r="P15" s="72">
        <f t="shared" si="4"/>
        <v>0.85</v>
      </c>
    </row>
    <row r="16" spans="1:20" x14ac:dyDescent="0.25">
      <c r="A16" s="41" t="e">
        <f t="shared" si="5"/>
        <v>#REF!</v>
      </c>
      <c r="B16" s="42">
        <f t="shared" si="5"/>
        <v>6</v>
      </c>
      <c r="C16" s="41" t="s">
        <v>267</v>
      </c>
      <c r="D16" s="43">
        <f t="shared" si="0"/>
        <v>7.8000000000000007</v>
      </c>
      <c r="E16" s="61">
        <f t="shared" si="1"/>
        <v>1.603</v>
      </c>
      <c r="F16" s="44">
        <f t="shared" si="6"/>
        <v>20.551282051282051</v>
      </c>
      <c r="G16" s="44">
        <f t="shared" si="2"/>
        <v>16.441025641025643</v>
      </c>
      <c r="H16" s="44">
        <f t="shared" si="3"/>
        <v>10.275641025641026</v>
      </c>
      <c r="I16" s="44">
        <f t="shared" si="7"/>
        <v>8</v>
      </c>
      <c r="J16" s="45">
        <f>yaw_null</f>
        <v>0</v>
      </c>
      <c r="K16" s="37" t="str">
        <f>D16&amp;-6</f>
        <v>7.8-6</v>
      </c>
      <c r="L16" s="44">
        <f t="shared" si="8"/>
        <v>0.2</v>
      </c>
      <c r="M16" s="44">
        <f t="shared" si="8"/>
        <v>150</v>
      </c>
      <c r="N16" s="44">
        <f t="shared" si="8"/>
        <v>160</v>
      </c>
      <c r="O16" s="44">
        <f t="shared" si="8"/>
        <v>210</v>
      </c>
      <c r="P16" s="72">
        <f t="shared" si="4"/>
        <v>0.85</v>
      </c>
    </row>
    <row r="17" spans="1:16" x14ac:dyDescent="0.25">
      <c r="A17" s="41" t="e">
        <f t="shared" si="5"/>
        <v>#REF!</v>
      </c>
      <c r="B17" s="42">
        <f t="shared" si="5"/>
        <v>7</v>
      </c>
      <c r="C17" s="41" t="s">
        <v>268</v>
      </c>
      <c r="D17" s="43">
        <f t="shared" si="0"/>
        <v>7.8000000000000007</v>
      </c>
      <c r="E17" s="61">
        <f t="shared" si="1"/>
        <v>1.603</v>
      </c>
      <c r="F17" s="44">
        <f t="shared" si="6"/>
        <v>20.551282051282051</v>
      </c>
      <c r="G17" s="44">
        <f t="shared" si="2"/>
        <v>16.441025641025643</v>
      </c>
      <c r="H17" s="44">
        <f t="shared" si="3"/>
        <v>10.275641025641026</v>
      </c>
      <c r="I17" s="44">
        <f t="shared" si="7"/>
        <v>8</v>
      </c>
      <c r="J17" s="45">
        <f>yaw_null</f>
        <v>0</v>
      </c>
      <c r="K17" s="37" t="str">
        <f>D17&amp;-7</f>
        <v>7.8-7</v>
      </c>
      <c r="L17" s="44">
        <f t="shared" si="8"/>
        <v>0.2</v>
      </c>
      <c r="M17" s="44">
        <f t="shared" si="8"/>
        <v>150</v>
      </c>
      <c r="N17" s="44">
        <f t="shared" si="8"/>
        <v>160</v>
      </c>
      <c r="O17" s="44">
        <f t="shared" si="8"/>
        <v>210</v>
      </c>
      <c r="P17" s="72">
        <f t="shared" si="4"/>
        <v>0.85</v>
      </c>
    </row>
    <row r="18" spans="1:16" x14ac:dyDescent="0.25">
      <c r="A18" s="41" t="e">
        <f t="shared" si="5"/>
        <v>#REF!</v>
      </c>
      <c r="B18" s="42">
        <f t="shared" si="5"/>
        <v>8</v>
      </c>
      <c r="C18" s="41" t="s">
        <v>269</v>
      </c>
      <c r="D18" s="43">
        <f t="shared" si="0"/>
        <v>7.8000000000000007</v>
      </c>
      <c r="E18" s="61">
        <f t="shared" si="1"/>
        <v>1.603</v>
      </c>
      <c r="F18" s="44">
        <f t="shared" si="6"/>
        <v>20.551282051282051</v>
      </c>
      <c r="G18" s="44">
        <f t="shared" si="2"/>
        <v>16.441025641025643</v>
      </c>
      <c r="H18" s="44">
        <f t="shared" si="3"/>
        <v>10.275641025641026</v>
      </c>
      <c r="I18" s="44">
        <f t="shared" si="7"/>
        <v>8</v>
      </c>
      <c r="J18" s="45">
        <f>yaw_null</f>
        <v>0</v>
      </c>
      <c r="K18" s="37" t="str">
        <f>D18&amp;-8</f>
        <v>7.8-8</v>
      </c>
      <c r="L18" s="44">
        <f t="shared" si="8"/>
        <v>0.2</v>
      </c>
      <c r="M18" s="44">
        <f t="shared" si="8"/>
        <v>150</v>
      </c>
      <c r="N18" s="44">
        <f t="shared" si="8"/>
        <v>160</v>
      </c>
      <c r="O18" s="44">
        <f t="shared" si="8"/>
        <v>210</v>
      </c>
      <c r="P18" s="72">
        <f t="shared" si="4"/>
        <v>0.85</v>
      </c>
    </row>
    <row r="19" spans="1:16" x14ac:dyDescent="0.25">
      <c r="A19" s="41" t="e">
        <f t="shared" si="5"/>
        <v>#REF!</v>
      </c>
      <c r="B19" s="42">
        <f>B18+1</f>
        <v>9</v>
      </c>
      <c r="C19" s="41" t="s">
        <v>270</v>
      </c>
      <c r="D19" s="43">
        <f t="shared" si="0"/>
        <v>7.8000000000000007</v>
      </c>
      <c r="E19" s="61">
        <f t="shared" si="1"/>
        <v>1.603</v>
      </c>
      <c r="F19" s="44">
        <f t="shared" si="6"/>
        <v>20.551282051282051</v>
      </c>
      <c r="G19" s="44">
        <f t="shared" si="2"/>
        <v>16.441025641025643</v>
      </c>
      <c r="H19" s="44">
        <f t="shared" si="3"/>
        <v>10.275641025641026</v>
      </c>
      <c r="I19" s="44">
        <f t="shared" si="7"/>
        <v>8</v>
      </c>
      <c r="J19" s="45">
        <f>yaw_max</f>
        <v>8</v>
      </c>
      <c r="K19" s="37" t="str">
        <f>D19&amp;-9</f>
        <v>7.8-9</v>
      </c>
      <c r="L19" s="44">
        <f t="shared" si="8"/>
        <v>0.2</v>
      </c>
      <c r="M19" s="44">
        <f t="shared" si="8"/>
        <v>150</v>
      </c>
      <c r="N19" s="44">
        <f t="shared" si="8"/>
        <v>160</v>
      </c>
      <c r="O19" s="44">
        <f t="shared" si="8"/>
        <v>210</v>
      </c>
      <c r="P19" s="72">
        <f t="shared" si="4"/>
        <v>0.85</v>
      </c>
    </row>
    <row r="20" spans="1:16" x14ac:dyDescent="0.25">
      <c r="A20" s="41" t="e">
        <f t="shared" si="5"/>
        <v>#REF!</v>
      </c>
      <c r="B20" s="42">
        <f>B19+1</f>
        <v>10</v>
      </c>
      <c r="C20" s="41" t="s">
        <v>271</v>
      </c>
      <c r="D20" s="43">
        <f t="shared" si="0"/>
        <v>7.8000000000000007</v>
      </c>
      <c r="E20" s="61">
        <f t="shared" si="1"/>
        <v>1.603</v>
      </c>
      <c r="F20" s="44">
        <f t="shared" si="6"/>
        <v>20.551282051282051</v>
      </c>
      <c r="G20" s="44">
        <f t="shared" si="2"/>
        <v>16.441025641025643</v>
      </c>
      <c r="H20" s="44">
        <f t="shared" si="3"/>
        <v>10.275641025641026</v>
      </c>
      <c r="I20" s="44">
        <f t="shared" si="7"/>
        <v>8</v>
      </c>
      <c r="J20" s="45">
        <f>yaw_max</f>
        <v>8</v>
      </c>
      <c r="K20" s="37" t="str">
        <f>D20&amp;-10</f>
        <v>7.8-10</v>
      </c>
      <c r="L20" s="44">
        <f t="shared" si="8"/>
        <v>0.2</v>
      </c>
      <c r="M20" s="44">
        <f t="shared" si="8"/>
        <v>150</v>
      </c>
      <c r="N20" s="44">
        <f t="shared" si="8"/>
        <v>160</v>
      </c>
      <c r="O20" s="44">
        <f t="shared" si="8"/>
        <v>210</v>
      </c>
      <c r="P20" s="72">
        <f t="shared" si="4"/>
        <v>0.85</v>
      </c>
    </row>
    <row r="21" spans="1:16" x14ac:dyDescent="0.25">
      <c r="A21" s="41" t="e">
        <f t="shared" si="5"/>
        <v>#REF!</v>
      </c>
      <c r="B21" s="42">
        <f>B20+1</f>
        <v>11</v>
      </c>
      <c r="C21" s="41" t="s">
        <v>272</v>
      </c>
      <c r="D21" s="43">
        <f t="shared" si="0"/>
        <v>7.8000000000000007</v>
      </c>
      <c r="E21" s="61">
        <f t="shared" si="1"/>
        <v>1.603</v>
      </c>
      <c r="F21" s="44">
        <f t="shared" si="6"/>
        <v>20.551282051282051</v>
      </c>
      <c r="G21" s="44">
        <f t="shared" si="2"/>
        <v>16.441025641025643</v>
      </c>
      <c r="H21" s="44">
        <f t="shared" si="3"/>
        <v>10.275641025641026</v>
      </c>
      <c r="I21" s="44">
        <f t="shared" si="7"/>
        <v>8</v>
      </c>
      <c r="J21" s="45">
        <f>yaw_max</f>
        <v>8</v>
      </c>
      <c r="K21" s="37" t="str">
        <f>D21&amp;-11</f>
        <v>7.8-11</v>
      </c>
      <c r="L21" s="44">
        <f t="shared" si="8"/>
        <v>0.2</v>
      </c>
      <c r="M21" s="44">
        <f t="shared" si="8"/>
        <v>150</v>
      </c>
      <c r="N21" s="44">
        <f t="shared" si="8"/>
        <v>160</v>
      </c>
      <c r="O21" s="44">
        <f t="shared" si="8"/>
        <v>210</v>
      </c>
      <c r="P21" s="72">
        <f t="shared" si="4"/>
        <v>0.85</v>
      </c>
    </row>
    <row r="22" spans="1:16" x14ac:dyDescent="0.25">
      <c r="A22" s="41" t="e">
        <f t="shared" si="5"/>
        <v>#REF!</v>
      </c>
      <c r="B22" s="42">
        <f t="shared" si="5"/>
        <v>12</v>
      </c>
      <c r="C22" s="41" t="s">
        <v>273</v>
      </c>
      <c r="D22" s="43">
        <f t="shared" si="0"/>
        <v>7.8000000000000007</v>
      </c>
      <c r="E22" s="61">
        <f t="shared" si="1"/>
        <v>1.603</v>
      </c>
      <c r="F22" s="44">
        <f t="shared" si="6"/>
        <v>20.551282051282051</v>
      </c>
      <c r="G22" s="44">
        <f t="shared" si="2"/>
        <v>16.441025641025643</v>
      </c>
      <c r="H22" s="44">
        <f t="shared" si="3"/>
        <v>10.275641025641026</v>
      </c>
      <c r="I22" s="44">
        <f t="shared" si="7"/>
        <v>8</v>
      </c>
      <c r="J22" s="45">
        <f>yaw_max</f>
        <v>8</v>
      </c>
      <c r="K22" s="37" t="str">
        <f>D22&amp;-12</f>
        <v>7.8-12</v>
      </c>
      <c r="L22" s="44">
        <f t="shared" si="8"/>
        <v>0.2</v>
      </c>
      <c r="M22" s="44">
        <f t="shared" si="8"/>
        <v>150</v>
      </c>
      <c r="N22" s="44">
        <f t="shared" si="8"/>
        <v>160</v>
      </c>
      <c r="O22" s="44">
        <f t="shared" si="8"/>
        <v>210</v>
      </c>
      <c r="P22" s="72">
        <f t="shared" si="4"/>
        <v>0.85</v>
      </c>
    </row>
    <row r="23" spans="1:16" x14ac:dyDescent="0.25">
      <c r="A23" s="41" t="e">
        <f t="shared" si="5"/>
        <v>#REF!</v>
      </c>
      <c r="B23" s="42">
        <f t="shared" si="5"/>
        <v>13</v>
      </c>
      <c r="C23" s="41" t="s">
        <v>274</v>
      </c>
      <c r="D23" s="43">
        <f t="shared" si="0"/>
        <v>7.8000000000000007</v>
      </c>
      <c r="E23" s="61">
        <f t="shared" si="1"/>
        <v>1.603</v>
      </c>
      <c r="F23" s="44">
        <f t="shared" si="6"/>
        <v>20.551282051282051</v>
      </c>
      <c r="G23" s="44">
        <f t="shared" si="2"/>
        <v>16.441025641025643</v>
      </c>
      <c r="H23" s="44">
        <f t="shared" si="3"/>
        <v>10.275641025641026</v>
      </c>
      <c r="I23" s="44">
        <f t="shared" si="7"/>
        <v>8</v>
      </c>
      <c r="J23" s="45">
        <f>yaw_min</f>
        <v>-8</v>
      </c>
      <c r="K23" s="37" t="str">
        <f>D23&amp;-1</f>
        <v>7.8-1</v>
      </c>
      <c r="L23" s="44">
        <f t="shared" si="8"/>
        <v>0.2</v>
      </c>
      <c r="M23" s="44">
        <f t="shared" si="8"/>
        <v>150</v>
      </c>
      <c r="N23" s="44">
        <f t="shared" si="8"/>
        <v>160</v>
      </c>
      <c r="O23" s="44">
        <f t="shared" si="8"/>
        <v>210</v>
      </c>
      <c r="P23" s="72">
        <v>1</v>
      </c>
    </row>
    <row r="24" spans="1:16" x14ac:dyDescent="0.25">
      <c r="A24" s="41" t="e">
        <f t="shared" si="5"/>
        <v>#REF!</v>
      </c>
      <c r="B24" s="42">
        <f t="shared" si="5"/>
        <v>14</v>
      </c>
      <c r="C24" s="41" t="s">
        <v>275</v>
      </c>
      <c r="D24" s="43">
        <f t="shared" si="0"/>
        <v>7.8000000000000007</v>
      </c>
      <c r="E24" s="61">
        <f t="shared" si="1"/>
        <v>1.603</v>
      </c>
      <c r="F24" s="44">
        <f t="shared" si="6"/>
        <v>20.551282051282051</v>
      </c>
      <c r="G24" s="44">
        <f t="shared" si="2"/>
        <v>16.441025641025643</v>
      </c>
      <c r="H24" s="44">
        <f t="shared" si="3"/>
        <v>10.275641025641026</v>
      </c>
      <c r="I24" s="44">
        <f t="shared" si="7"/>
        <v>8</v>
      </c>
      <c r="J24" s="45">
        <f>yaw_min</f>
        <v>-8</v>
      </c>
      <c r="K24" s="37" t="str">
        <f>D24&amp;-2</f>
        <v>7.8-2</v>
      </c>
      <c r="L24" s="44">
        <f t="shared" si="8"/>
        <v>0.2</v>
      </c>
      <c r="M24" s="44">
        <f t="shared" si="8"/>
        <v>150</v>
      </c>
      <c r="N24" s="44">
        <f t="shared" si="8"/>
        <v>160</v>
      </c>
      <c r="O24" s="44">
        <f t="shared" si="8"/>
        <v>210</v>
      </c>
      <c r="P24" s="72">
        <v>1</v>
      </c>
    </row>
    <row r="25" spans="1:16" x14ac:dyDescent="0.25">
      <c r="A25" s="41" t="e">
        <f t="shared" ref="A25:B25" si="9">A24+1</f>
        <v>#REF!</v>
      </c>
      <c r="B25" s="42">
        <f t="shared" si="9"/>
        <v>15</v>
      </c>
      <c r="C25" s="41" t="s">
        <v>276</v>
      </c>
      <c r="D25" s="43">
        <f t="shared" si="0"/>
        <v>7.8000000000000007</v>
      </c>
      <c r="E25" s="61">
        <f t="shared" si="1"/>
        <v>1.603</v>
      </c>
      <c r="F25" s="44">
        <f t="shared" ref="F25:F36" si="10">E25/D25*100</f>
        <v>20.551282051282051</v>
      </c>
      <c r="G25" s="44">
        <f t="shared" ref="G25:G36" si="11">m_ty*F25</f>
        <v>16.441025641025643</v>
      </c>
      <c r="H25" s="44">
        <f t="shared" ref="H25:H36" si="12">m_tz*F25</f>
        <v>10.275641025641026</v>
      </c>
      <c r="I25" s="44">
        <f t="shared" ref="I25:I36" si="13">I24</f>
        <v>8</v>
      </c>
      <c r="J25" s="45">
        <f>yaw_min</f>
        <v>-8</v>
      </c>
      <c r="K25" s="37" t="str">
        <f>D25&amp;-3</f>
        <v>7.8-3</v>
      </c>
      <c r="L25" s="44">
        <f t="shared" ref="L25:L36" si="14">L24</f>
        <v>0.2</v>
      </c>
      <c r="M25" s="44">
        <f t="shared" ref="M25:M36" si="15">M24</f>
        <v>150</v>
      </c>
      <c r="N25" s="44">
        <f t="shared" ref="N25:N36" si="16">N24</f>
        <v>160</v>
      </c>
      <c r="O25" s="44">
        <f t="shared" ref="O25:O36" si="17">O24</f>
        <v>210</v>
      </c>
      <c r="P25" s="72">
        <v>1</v>
      </c>
    </row>
    <row r="26" spans="1:16" x14ac:dyDescent="0.25">
      <c r="A26" s="41" t="e">
        <f t="shared" ref="A26:B26" si="18">A25+1</f>
        <v>#REF!</v>
      </c>
      <c r="B26" s="42">
        <f t="shared" si="18"/>
        <v>16</v>
      </c>
      <c r="C26" s="41" t="s">
        <v>277</v>
      </c>
      <c r="D26" s="43">
        <f t="shared" si="0"/>
        <v>7.8000000000000007</v>
      </c>
      <c r="E26" s="61">
        <f t="shared" si="1"/>
        <v>1.603</v>
      </c>
      <c r="F26" s="44">
        <f t="shared" si="10"/>
        <v>20.551282051282051</v>
      </c>
      <c r="G26" s="44">
        <f t="shared" si="11"/>
        <v>16.441025641025643</v>
      </c>
      <c r="H26" s="44">
        <f t="shared" si="12"/>
        <v>10.275641025641026</v>
      </c>
      <c r="I26" s="44">
        <f t="shared" si="13"/>
        <v>8</v>
      </c>
      <c r="J26" s="45">
        <f>yaw_min</f>
        <v>-8</v>
      </c>
      <c r="K26" s="37" t="str">
        <f>D26&amp;-4</f>
        <v>7.8-4</v>
      </c>
      <c r="L26" s="44">
        <f t="shared" si="14"/>
        <v>0.2</v>
      </c>
      <c r="M26" s="44">
        <f t="shared" si="15"/>
        <v>150</v>
      </c>
      <c r="N26" s="44">
        <f t="shared" si="16"/>
        <v>160</v>
      </c>
      <c r="O26" s="44">
        <f t="shared" si="17"/>
        <v>210</v>
      </c>
      <c r="P26" s="72">
        <v>1</v>
      </c>
    </row>
    <row r="27" spans="1:16" x14ac:dyDescent="0.25">
      <c r="A27" s="41" t="e">
        <f t="shared" ref="A27:B27" si="19">A26+1</f>
        <v>#REF!</v>
      </c>
      <c r="B27" s="42">
        <f t="shared" si="19"/>
        <v>17</v>
      </c>
      <c r="C27" s="41" t="s">
        <v>278</v>
      </c>
      <c r="D27" s="43">
        <f t="shared" si="0"/>
        <v>7.8000000000000007</v>
      </c>
      <c r="E27" s="61">
        <f t="shared" si="1"/>
        <v>1.603</v>
      </c>
      <c r="F27" s="44">
        <f t="shared" si="10"/>
        <v>20.551282051282051</v>
      </c>
      <c r="G27" s="44">
        <f t="shared" si="11"/>
        <v>16.441025641025643</v>
      </c>
      <c r="H27" s="44">
        <f t="shared" si="12"/>
        <v>10.275641025641026</v>
      </c>
      <c r="I27" s="44">
        <f t="shared" si="13"/>
        <v>8</v>
      </c>
      <c r="J27" s="45">
        <f>yaw_null</f>
        <v>0</v>
      </c>
      <c r="K27" s="37" t="str">
        <f>D27&amp;-5</f>
        <v>7.8-5</v>
      </c>
      <c r="L27" s="44">
        <f t="shared" si="14"/>
        <v>0.2</v>
      </c>
      <c r="M27" s="44">
        <f t="shared" si="15"/>
        <v>150</v>
      </c>
      <c r="N27" s="44">
        <f t="shared" si="16"/>
        <v>160</v>
      </c>
      <c r="O27" s="44">
        <f t="shared" si="17"/>
        <v>210</v>
      </c>
      <c r="P27" s="72">
        <v>1</v>
      </c>
    </row>
    <row r="28" spans="1:16" x14ac:dyDescent="0.25">
      <c r="A28" s="41" t="e">
        <f t="shared" ref="A28:B28" si="20">A27+1</f>
        <v>#REF!</v>
      </c>
      <c r="B28" s="42">
        <f t="shared" si="20"/>
        <v>18</v>
      </c>
      <c r="C28" s="41" t="s">
        <v>279</v>
      </c>
      <c r="D28" s="43">
        <f t="shared" si="0"/>
        <v>7.8000000000000007</v>
      </c>
      <c r="E28" s="61">
        <f t="shared" si="1"/>
        <v>1.603</v>
      </c>
      <c r="F28" s="44">
        <f t="shared" si="10"/>
        <v>20.551282051282051</v>
      </c>
      <c r="G28" s="44">
        <f t="shared" si="11"/>
        <v>16.441025641025643</v>
      </c>
      <c r="H28" s="44">
        <f t="shared" si="12"/>
        <v>10.275641025641026</v>
      </c>
      <c r="I28" s="44">
        <f t="shared" si="13"/>
        <v>8</v>
      </c>
      <c r="J28" s="45">
        <f>yaw_null</f>
        <v>0</v>
      </c>
      <c r="K28" s="37" t="str">
        <f>D28&amp;-6</f>
        <v>7.8-6</v>
      </c>
      <c r="L28" s="44">
        <f t="shared" si="14"/>
        <v>0.2</v>
      </c>
      <c r="M28" s="44">
        <f t="shared" si="15"/>
        <v>150</v>
      </c>
      <c r="N28" s="44">
        <f t="shared" si="16"/>
        <v>160</v>
      </c>
      <c r="O28" s="44">
        <f t="shared" si="17"/>
        <v>210</v>
      </c>
      <c r="P28" s="72">
        <v>1</v>
      </c>
    </row>
    <row r="29" spans="1:16" x14ac:dyDescent="0.25">
      <c r="A29" s="41" t="e">
        <f t="shared" ref="A29:B29" si="21">A28+1</f>
        <v>#REF!</v>
      </c>
      <c r="B29" s="42">
        <f t="shared" si="21"/>
        <v>19</v>
      </c>
      <c r="C29" s="41" t="s">
        <v>280</v>
      </c>
      <c r="D29" s="43">
        <f t="shared" si="0"/>
        <v>7.8000000000000007</v>
      </c>
      <c r="E29" s="61">
        <f t="shared" si="1"/>
        <v>1.603</v>
      </c>
      <c r="F29" s="44">
        <f t="shared" si="10"/>
        <v>20.551282051282051</v>
      </c>
      <c r="G29" s="44">
        <f t="shared" si="11"/>
        <v>16.441025641025643</v>
      </c>
      <c r="H29" s="44">
        <f t="shared" si="12"/>
        <v>10.275641025641026</v>
      </c>
      <c r="I29" s="44">
        <f t="shared" si="13"/>
        <v>8</v>
      </c>
      <c r="J29" s="45">
        <f>yaw_null</f>
        <v>0</v>
      </c>
      <c r="K29" s="37" t="str">
        <f>D29&amp;-7</f>
        <v>7.8-7</v>
      </c>
      <c r="L29" s="44">
        <f t="shared" si="14"/>
        <v>0.2</v>
      </c>
      <c r="M29" s="44">
        <f t="shared" si="15"/>
        <v>150</v>
      </c>
      <c r="N29" s="44">
        <f t="shared" si="16"/>
        <v>160</v>
      </c>
      <c r="O29" s="44">
        <f t="shared" si="17"/>
        <v>210</v>
      </c>
      <c r="P29" s="72">
        <v>1</v>
      </c>
    </row>
    <row r="30" spans="1:16" x14ac:dyDescent="0.25">
      <c r="A30" s="41" t="e">
        <f t="shared" ref="A30:B30" si="22">A29+1</f>
        <v>#REF!</v>
      </c>
      <c r="B30" s="42">
        <f t="shared" si="22"/>
        <v>20</v>
      </c>
      <c r="C30" s="41" t="s">
        <v>281</v>
      </c>
      <c r="D30" s="43">
        <f t="shared" si="0"/>
        <v>7.8000000000000007</v>
      </c>
      <c r="E30" s="61">
        <f t="shared" si="1"/>
        <v>1.603</v>
      </c>
      <c r="F30" s="44">
        <f t="shared" si="10"/>
        <v>20.551282051282051</v>
      </c>
      <c r="G30" s="44">
        <f t="shared" si="11"/>
        <v>16.441025641025643</v>
      </c>
      <c r="H30" s="44">
        <f t="shared" si="12"/>
        <v>10.275641025641026</v>
      </c>
      <c r="I30" s="44">
        <f t="shared" si="13"/>
        <v>8</v>
      </c>
      <c r="J30" s="45">
        <f>yaw_null</f>
        <v>0</v>
      </c>
      <c r="K30" s="37" t="str">
        <f>D30&amp;-8</f>
        <v>7.8-8</v>
      </c>
      <c r="L30" s="44">
        <f t="shared" si="14"/>
        <v>0.2</v>
      </c>
      <c r="M30" s="44">
        <f t="shared" si="15"/>
        <v>150</v>
      </c>
      <c r="N30" s="44">
        <f t="shared" si="16"/>
        <v>160</v>
      </c>
      <c r="O30" s="44">
        <f t="shared" si="17"/>
        <v>210</v>
      </c>
      <c r="P30" s="72">
        <v>1</v>
      </c>
    </row>
    <row r="31" spans="1:16" x14ac:dyDescent="0.25">
      <c r="A31" s="41" t="e">
        <f t="shared" ref="A31" si="23">A30+1</f>
        <v>#REF!</v>
      </c>
      <c r="B31" s="42">
        <f>B30+1</f>
        <v>21</v>
      </c>
      <c r="C31" s="41" t="s">
        <v>282</v>
      </c>
      <c r="D31" s="43">
        <f t="shared" si="0"/>
        <v>7.8000000000000007</v>
      </c>
      <c r="E31" s="61">
        <f t="shared" si="1"/>
        <v>1.603</v>
      </c>
      <c r="F31" s="44">
        <f t="shared" si="10"/>
        <v>20.551282051282051</v>
      </c>
      <c r="G31" s="44">
        <f t="shared" si="11"/>
        <v>16.441025641025643</v>
      </c>
      <c r="H31" s="44">
        <f t="shared" si="12"/>
        <v>10.275641025641026</v>
      </c>
      <c r="I31" s="44">
        <f t="shared" si="13"/>
        <v>8</v>
      </c>
      <c r="J31" s="45">
        <f>yaw_max</f>
        <v>8</v>
      </c>
      <c r="K31" s="37" t="str">
        <f>D31&amp;-9</f>
        <v>7.8-9</v>
      </c>
      <c r="L31" s="44">
        <f t="shared" si="14"/>
        <v>0.2</v>
      </c>
      <c r="M31" s="44">
        <f t="shared" si="15"/>
        <v>150</v>
      </c>
      <c r="N31" s="44">
        <f t="shared" si="16"/>
        <v>160</v>
      </c>
      <c r="O31" s="44">
        <f t="shared" si="17"/>
        <v>210</v>
      </c>
      <c r="P31" s="72">
        <v>1</v>
      </c>
    </row>
    <row r="32" spans="1:16" x14ac:dyDescent="0.25">
      <c r="A32" s="41" t="e">
        <f t="shared" ref="A32" si="24">A31+1</f>
        <v>#REF!</v>
      </c>
      <c r="B32" s="42">
        <f>B31+1</f>
        <v>22</v>
      </c>
      <c r="C32" s="41" t="s">
        <v>283</v>
      </c>
      <c r="D32" s="43">
        <f t="shared" si="0"/>
        <v>7.8000000000000007</v>
      </c>
      <c r="E32" s="61">
        <f t="shared" si="1"/>
        <v>1.603</v>
      </c>
      <c r="F32" s="44">
        <f t="shared" si="10"/>
        <v>20.551282051282051</v>
      </c>
      <c r="G32" s="44">
        <f t="shared" si="11"/>
        <v>16.441025641025643</v>
      </c>
      <c r="H32" s="44">
        <f t="shared" si="12"/>
        <v>10.275641025641026</v>
      </c>
      <c r="I32" s="44">
        <f t="shared" si="13"/>
        <v>8</v>
      </c>
      <c r="J32" s="45">
        <f>yaw_max</f>
        <v>8</v>
      </c>
      <c r="K32" s="37" t="str">
        <f>D32&amp;-10</f>
        <v>7.8-10</v>
      </c>
      <c r="L32" s="44">
        <f t="shared" si="14"/>
        <v>0.2</v>
      </c>
      <c r="M32" s="44">
        <f t="shared" si="15"/>
        <v>150</v>
      </c>
      <c r="N32" s="44">
        <f t="shared" si="16"/>
        <v>160</v>
      </c>
      <c r="O32" s="44">
        <f t="shared" si="17"/>
        <v>210</v>
      </c>
      <c r="P32" s="72">
        <v>1</v>
      </c>
    </row>
    <row r="33" spans="1:16" x14ac:dyDescent="0.25">
      <c r="A33" s="41" t="e">
        <f t="shared" ref="A33" si="25">A32+1</f>
        <v>#REF!</v>
      </c>
      <c r="B33" s="42">
        <f>B32+1</f>
        <v>23</v>
      </c>
      <c r="C33" s="41" t="s">
        <v>284</v>
      </c>
      <c r="D33" s="43">
        <f t="shared" si="0"/>
        <v>7.8000000000000007</v>
      </c>
      <c r="E33" s="61">
        <f t="shared" si="1"/>
        <v>1.603</v>
      </c>
      <c r="F33" s="44">
        <f t="shared" si="10"/>
        <v>20.551282051282051</v>
      </c>
      <c r="G33" s="44">
        <f t="shared" si="11"/>
        <v>16.441025641025643</v>
      </c>
      <c r="H33" s="44">
        <f t="shared" si="12"/>
        <v>10.275641025641026</v>
      </c>
      <c r="I33" s="44">
        <f t="shared" si="13"/>
        <v>8</v>
      </c>
      <c r="J33" s="45">
        <f>yaw_max</f>
        <v>8</v>
      </c>
      <c r="K33" s="37" t="str">
        <f>D33&amp;-11</f>
        <v>7.8-11</v>
      </c>
      <c r="L33" s="44">
        <f t="shared" si="14"/>
        <v>0.2</v>
      </c>
      <c r="M33" s="44">
        <f t="shared" si="15"/>
        <v>150</v>
      </c>
      <c r="N33" s="44">
        <f t="shared" si="16"/>
        <v>160</v>
      </c>
      <c r="O33" s="44">
        <f t="shared" si="17"/>
        <v>210</v>
      </c>
      <c r="P33" s="72">
        <v>1</v>
      </c>
    </row>
    <row r="34" spans="1:16" x14ac:dyDescent="0.25">
      <c r="A34" s="41" t="e">
        <f t="shared" ref="A34:B34" si="26">A33+1</f>
        <v>#REF!</v>
      </c>
      <c r="B34" s="42">
        <f t="shared" si="26"/>
        <v>24</v>
      </c>
      <c r="C34" s="41" t="s">
        <v>285</v>
      </c>
      <c r="D34" s="43">
        <f t="shared" si="0"/>
        <v>7.8000000000000007</v>
      </c>
      <c r="E34" s="61">
        <f t="shared" si="1"/>
        <v>1.603</v>
      </c>
      <c r="F34" s="44">
        <f t="shared" si="10"/>
        <v>20.551282051282051</v>
      </c>
      <c r="G34" s="44">
        <f t="shared" si="11"/>
        <v>16.441025641025643</v>
      </c>
      <c r="H34" s="44">
        <f t="shared" si="12"/>
        <v>10.275641025641026</v>
      </c>
      <c r="I34" s="44">
        <f t="shared" si="13"/>
        <v>8</v>
      </c>
      <c r="J34" s="45">
        <f>yaw_max</f>
        <v>8</v>
      </c>
      <c r="K34" s="37" t="str">
        <f>D34&amp;-12</f>
        <v>7.8-12</v>
      </c>
      <c r="L34" s="44">
        <f t="shared" si="14"/>
        <v>0.2</v>
      </c>
      <c r="M34" s="44">
        <f t="shared" si="15"/>
        <v>150</v>
      </c>
      <c r="N34" s="44">
        <f t="shared" si="16"/>
        <v>160</v>
      </c>
      <c r="O34" s="44">
        <f t="shared" si="17"/>
        <v>210</v>
      </c>
      <c r="P34" s="72">
        <v>1</v>
      </c>
    </row>
    <row r="35" spans="1:16" x14ac:dyDescent="0.25">
      <c r="A35" s="41" t="e">
        <f t="shared" ref="A35:B35" si="27">A34+1</f>
        <v>#REF!</v>
      </c>
      <c r="B35" s="42">
        <f t="shared" si="27"/>
        <v>25</v>
      </c>
      <c r="C35" s="41" t="s">
        <v>286</v>
      </c>
      <c r="D35" s="43">
        <f t="shared" si="0"/>
        <v>7.8000000000000007</v>
      </c>
      <c r="E35" s="61">
        <f t="shared" si="1"/>
        <v>1.603</v>
      </c>
      <c r="F35" s="44">
        <f t="shared" si="10"/>
        <v>20.551282051282051</v>
      </c>
      <c r="G35" s="44">
        <f t="shared" si="11"/>
        <v>16.441025641025643</v>
      </c>
      <c r="H35" s="44">
        <f t="shared" si="12"/>
        <v>10.275641025641026</v>
      </c>
      <c r="I35" s="44">
        <f t="shared" si="13"/>
        <v>8</v>
      </c>
      <c r="J35" s="45">
        <f>yaw_min</f>
        <v>-8</v>
      </c>
      <c r="K35" s="37" t="str">
        <f>D35&amp;-1</f>
        <v>7.8-1</v>
      </c>
      <c r="L35" s="44">
        <f t="shared" si="14"/>
        <v>0.2</v>
      </c>
      <c r="M35" s="44">
        <f t="shared" si="15"/>
        <v>150</v>
      </c>
      <c r="N35" s="44">
        <f t="shared" si="16"/>
        <v>160</v>
      </c>
      <c r="O35" s="44">
        <f t="shared" si="17"/>
        <v>210</v>
      </c>
      <c r="P35" s="72">
        <f t="shared" ref="P35:P46" si="28">Btorque_2</f>
        <v>1.1499999999999999</v>
      </c>
    </row>
    <row r="36" spans="1:16" x14ac:dyDescent="0.25">
      <c r="A36" s="41" t="e">
        <f t="shared" ref="A36:B36" si="29">A35+1</f>
        <v>#REF!</v>
      </c>
      <c r="B36" s="42">
        <f t="shared" si="29"/>
        <v>26</v>
      </c>
      <c r="C36" s="41" t="s">
        <v>287</v>
      </c>
      <c r="D36" s="43">
        <f t="shared" si="0"/>
        <v>7.8000000000000007</v>
      </c>
      <c r="E36" s="61">
        <f t="shared" si="1"/>
        <v>1.603</v>
      </c>
      <c r="F36" s="44">
        <f t="shared" si="10"/>
        <v>20.551282051282051</v>
      </c>
      <c r="G36" s="44">
        <f t="shared" si="11"/>
        <v>16.441025641025643</v>
      </c>
      <c r="H36" s="44">
        <f t="shared" si="12"/>
        <v>10.275641025641026</v>
      </c>
      <c r="I36" s="44">
        <f t="shared" si="13"/>
        <v>8</v>
      </c>
      <c r="J36" s="45">
        <f>yaw_min</f>
        <v>-8</v>
      </c>
      <c r="K36" s="37" t="str">
        <f>D36&amp;-2</f>
        <v>7.8-2</v>
      </c>
      <c r="L36" s="44">
        <f t="shared" si="14"/>
        <v>0.2</v>
      </c>
      <c r="M36" s="44">
        <f t="shared" si="15"/>
        <v>150</v>
      </c>
      <c r="N36" s="44">
        <f t="shared" si="16"/>
        <v>160</v>
      </c>
      <c r="O36" s="44">
        <f t="shared" si="17"/>
        <v>210</v>
      </c>
      <c r="P36" s="72">
        <f t="shared" si="28"/>
        <v>1.1499999999999999</v>
      </c>
    </row>
    <row r="37" spans="1:16" x14ac:dyDescent="0.25">
      <c r="A37" s="41" t="e">
        <f t="shared" ref="A37:B37" si="30">A36+1</f>
        <v>#REF!</v>
      </c>
      <c r="B37" s="42">
        <f t="shared" si="30"/>
        <v>27</v>
      </c>
      <c r="C37" s="41" t="s">
        <v>288</v>
      </c>
      <c r="D37" s="43">
        <f t="shared" si="0"/>
        <v>7.8000000000000007</v>
      </c>
      <c r="E37" s="61">
        <f t="shared" si="1"/>
        <v>1.603</v>
      </c>
      <c r="F37" s="44">
        <f t="shared" ref="F37:F46" si="31">E37/D37*100</f>
        <v>20.551282051282051</v>
      </c>
      <c r="G37" s="44">
        <f t="shared" ref="G37:G46" si="32">m_ty*F37</f>
        <v>16.441025641025643</v>
      </c>
      <c r="H37" s="44">
        <f t="shared" ref="H37:H46" si="33">m_tz*F37</f>
        <v>10.275641025641026</v>
      </c>
      <c r="I37" s="44">
        <f t="shared" ref="I37:I46" si="34">I36</f>
        <v>8</v>
      </c>
      <c r="J37" s="45">
        <f>yaw_min</f>
        <v>-8</v>
      </c>
      <c r="K37" s="37" t="str">
        <f>D37&amp;-3</f>
        <v>7.8-3</v>
      </c>
      <c r="L37" s="44">
        <f t="shared" ref="L37:L46" si="35">L36</f>
        <v>0.2</v>
      </c>
      <c r="M37" s="44">
        <f t="shared" ref="M37:M46" si="36">M36</f>
        <v>150</v>
      </c>
      <c r="N37" s="44">
        <f t="shared" ref="N37:N46" si="37">N36</f>
        <v>160</v>
      </c>
      <c r="O37" s="44">
        <f t="shared" ref="O37:O46" si="38">O36</f>
        <v>210</v>
      </c>
      <c r="P37" s="72">
        <f t="shared" si="28"/>
        <v>1.1499999999999999</v>
      </c>
    </row>
    <row r="38" spans="1:16" x14ac:dyDescent="0.25">
      <c r="A38" s="41" t="e">
        <f t="shared" ref="A38:B38" si="39">A37+1</f>
        <v>#REF!</v>
      </c>
      <c r="B38" s="42">
        <f t="shared" si="39"/>
        <v>28</v>
      </c>
      <c r="C38" s="41" t="s">
        <v>289</v>
      </c>
      <c r="D38" s="43">
        <f t="shared" si="0"/>
        <v>7.8000000000000007</v>
      </c>
      <c r="E38" s="61">
        <f t="shared" si="1"/>
        <v>1.603</v>
      </c>
      <c r="F38" s="44">
        <f t="shared" si="31"/>
        <v>20.551282051282051</v>
      </c>
      <c r="G38" s="44">
        <f t="shared" si="32"/>
        <v>16.441025641025643</v>
      </c>
      <c r="H38" s="44">
        <f t="shared" si="33"/>
        <v>10.275641025641026</v>
      </c>
      <c r="I38" s="44">
        <f t="shared" si="34"/>
        <v>8</v>
      </c>
      <c r="J38" s="45">
        <f>yaw_min</f>
        <v>-8</v>
      </c>
      <c r="K38" s="37" t="str">
        <f>D38&amp;-4</f>
        <v>7.8-4</v>
      </c>
      <c r="L38" s="44">
        <f t="shared" si="35"/>
        <v>0.2</v>
      </c>
      <c r="M38" s="44">
        <f t="shared" si="36"/>
        <v>150</v>
      </c>
      <c r="N38" s="44">
        <f t="shared" si="37"/>
        <v>160</v>
      </c>
      <c r="O38" s="44">
        <f t="shared" si="38"/>
        <v>210</v>
      </c>
      <c r="P38" s="72">
        <f t="shared" si="28"/>
        <v>1.1499999999999999</v>
      </c>
    </row>
    <row r="39" spans="1:16" x14ac:dyDescent="0.25">
      <c r="A39" s="41" t="e">
        <f t="shared" ref="A39:B39" si="40">A38+1</f>
        <v>#REF!</v>
      </c>
      <c r="B39" s="42">
        <f t="shared" si="40"/>
        <v>29</v>
      </c>
      <c r="C39" s="41" t="s">
        <v>290</v>
      </c>
      <c r="D39" s="43">
        <f t="shared" si="0"/>
        <v>7.8000000000000007</v>
      </c>
      <c r="E39" s="61">
        <f t="shared" si="1"/>
        <v>1.603</v>
      </c>
      <c r="F39" s="44">
        <f t="shared" si="31"/>
        <v>20.551282051282051</v>
      </c>
      <c r="G39" s="44">
        <f t="shared" si="32"/>
        <v>16.441025641025643</v>
      </c>
      <c r="H39" s="44">
        <f t="shared" si="33"/>
        <v>10.275641025641026</v>
      </c>
      <c r="I39" s="44">
        <f t="shared" si="34"/>
        <v>8</v>
      </c>
      <c r="J39" s="45">
        <f>yaw_null</f>
        <v>0</v>
      </c>
      <c r="K39" s="37" t="str">
        <f>D39&amp;-5</f>
        <v>7.8-5</v>
      </c>
      <c r="L39" s="44">
        <f t="shared" si="35"/>
        <v>0.2</v>
      </c>
      <c r="M39" s="44">
        <f t="shared" si="36"/>
        <v>150</v>
      </c>
      <c r="N39" s="44">
        <f t="shared" si="37"/>
        <v>160</v>
      </c>
      <c r="O39" s="44">
        <f t="shared" si="38"/>
        <v>210</v>
      </c>
      <c r="P39" s="72">
        <f t="shared" si="28"/>
        <v>1.1499999999999999</v>
      </c>
    </row>
    <row r="40" spans="1:16" x14ac:dyDescent="0.25">
      <c r="A40" s="41" t="e">
        <f t="shared" ref="A40:B40" si="41">A39+1</f>
        <v>#REF!</v>
      </c>
      <c r="B40" s="42">
        <f t="shared" si="41"/>
        <v>30</v>
      </c>
      <c r="C40" s="41" t="s">
        <v>291</v>
      </c>
      <c r="D40" s="43">
        <f t="shared" si="0"/>
        <v>7.8000000000000007</v>
      </c>
      <c r="E40" s="61">
        <f t="shared" si="1"/>
        <v>1.603</v>
      </c>
      <c r="F40" s="44">
        <f t="shared" si="31"/>
        <v>20.551282051282051</v>
      </c>
      <c r="G40" s="44">
        <f t="shared" si="32"/>
        <v>16.441025641025643</v>
      </c>
      <c r="H40" s="44">
        <f t="shared" si="33"/>
        <v>10.275641025641026</v>
      </c>
      <c r="I40" s="44">
        <f t="shared" si="34"/>
        <v>8</v>
      </c>
      <c r="J40" s="45">
        <f>yaw_null</f>
        <v>0</v>
      </c>
      <c r="K40" s="37" t="str">
        <f>D40&amp;-6</f>
        <v>7.8-6</v>
      </c>
      <c r="L40" s="44">
        <f t="shared" si="35"/>
        <v>0.2</v>
      </c>
      <c r="M40" s="44">
        <f t="shared" si="36"/>
        <v>150</v>
      </c>
      <c r="N40" s="44">
        <f t="shared" si="37"/>
        <v>160</v>
      </c>
      <c r="O40" s="44">
        <f t="shared" si="38"/>
        <v>210</v>
      </c>
      <c r="P40" s="72">
        <f t="shared" si="28"/>
        <v>1.1499999999999999</v>
      </c>
    </row>
    <row r="41" spans="1:16" x14ac:dyDescent="0.25">
      <c r="A41" s="41" t="e">
        <f t="shared" ref="A41:B41" si="42">A40+1</f>
        <v>#REF!</v>
      </c>
      <c r="B41" s="42">
        <f t="shared" si="42"/>
        <v>31</v>
      </c>
      <c r="C41" s="41" t="s">
        <v>292</v>
      </c>
      <c r="D41" s="43">
        <f t="shared" si="0"/>
        <v>7.8000000000000007</v>
      </c>
      <c r="E41" s="61">
        <f t="shared" si="1"/>
        <v>1.603</v>
      </c>
      <c r="F41" s="44">
        <f t="shared" si="31"/>
        <v>20.551282051282051</v>
      </c>
      <c r="G41" s="44">
        <f t="shared" si="32"/>
        <v>16.441025641025643</v>
      </c>
      <c r="H41" s="44">
        <f t="shared" si="33"/>
        <v>10.275641025641026</v>
      </c>
      <c r="I41" s="44">
        <f t="shared" si="34"/>
        <v>8</v>
      </c>
      <c r="J41" s="45">
        <f>yaw_null</f>
        <v>0</v>
      </c>
      <c r="K41" s="37" t="str">
        <f>D41&amp;-7</f>
        <v>7.8-7</v>
      </c>
      <c r="L41" s="44">
        <f t="shared" si="35"/>
        <v>0.2</v>
      </c>
      <c r="M41" s="44">
        <f t="shared" si="36"/>
        <v>150</v>
      </c>
      <c r="N41" s="44">
        <f t="shared" si="37"/>
        <v>160</v>
      </c>
      <c r="O41" s="44">
        <f t="shared" si="38"/>
        <v>210</v>
      </c>
      <c r="P41" s="72">
        <f t="shared" si="28"/>
        <v>1.1499999999999999</v>
      </c>
    </row>
    <row r="42" spans="1:16" x14ac:dyDescent="0.25">
      <c r="A42" s="41" t="e">
        <f t="shared" ref="A42:B42" si="43">A41+1</f>
        <v>#REF!</v>
      </c>
      <c r="B42" s="42">
        <f t="shared" si="43"/>
        <v>32</v>
      </c>
      <c r="C42" s="41" t="s">
        <v>293</v>
      </c>
      <c r="D42" s="43">
        <f t="shared" si="0"/>
        <v>7.8000000000000007</v>
      </c>
      <c r="E42" s="61">
        <f t="shared" si="1"/>
        <v>1.603</v>
      </c>
      <c r="F42" s="44">
        <f t="shared" si="31"/>
        <v>20.551282051282051</v>
      </c>
      <c r="G42" s="44">
        <f t="shared" si="32"/>
        <v>16.441025641025643</v>
      </c>
      <c r="H42" s="44">
        <f t="shared" si="33"/>
        <v>10.275641025641026</v>
      </c>
      <c r="I42" s="44">
        <f t="shared" si="34"/>
        <v>8</v>
      </c>
      <c r="J42" s="45">
        <f>yaw_null</f>
        <v>0</v>
      </c>
      <c r="K42" s="37" t="str">
        <f>D42&amp;-8</f>
        <v>7.8-8</v>
      </c>
      <c r="L42" s="44">
        <f t="shared" si="35"/>
        <v>0.2</v>
      </c>
      <c r="M42" s="44">
        <f t="shared" si="36"/>
        <v>150</v>
      </c>
      <c r="N42" s="44">
        <f t="shared" si="37"/>
        <v>160</v>
      </c>
      <c r="O42" s="44">
        <f t="shared" si="38"/>
        <v>210</v>
      </c>
      <c r="P42" s="72">
        <f t="shared" si="28"/>
        <v>1.1499999999999999</v>
      </c>
    </row>
    <row r="43" spans="1:16" x14ac:dyDescent="0.25">
      <c r="A43" s="41" t="e">
        <f t="shared" ref="A43" si="44">A42+1</f>
        <v>#REF!</v>
      </c>
      <c r="B43" s="42">
        <f>B42+1</f>
        <v>33</v>
      </c>
      <c r="C43" s="41" t="s">
        <v>294</v>
      </c>
      <c r="D43" s="43">
        <f t="shared" si="0"/>
        <v>7.8000000000000007</v>
      </c>
      <c r="E43" s="61">
        <f t="shared" ref="E43:E74" si="45">I_ref*(0.75*D43+5.6)</f>
        <v>1.603</v>
      </c>
      <c r="F43" s="44">
        <f t="shared" si="31"/>
        <v>20.551282051282051</v>
      </c>
      <c r="G43" s="44">
        <f t="shared" si="32"/>
        <v>16.441025641025643</v>
      </c>
      <c r="H43" s="44">
        <f t="shared" si="33"/>
        <v>10.275641025641026</v>
      </c>
      <c r="I43" s="44">
        <f t="shared" si="34"/>
        <v>8</v>
      </c>
      <c r="J43" s="45">
        <f>yaw_max</f>
        <v>8</v>
      </c>
      <c r="K43" s="37" t="str">
        <f>D43&amp;-9</f>
        <v>7.8-9</v>
      </c>
      <c r="L43" s="44">
        <f t="shared" si="35"/>
        <v>0.2</v>
      </c>
      <c r="M43" s="44">
        <f t="shared" si="36"/>
        <v>150</v>
      </c>
      <c r="N43" s="44">
        <f t="shared" si="37"/>
        <v>160</v>
      </c>
      <c r="O43" s="44">
        <f t="shared" si="38"/>
        <v>210</v>
      </c>
      <c r="P43" s="72">
        <f t="shared" si="28"/>
        <v>1.1499999999999999</v>
      </c>
    </row>
    <row r="44" spans="1:16" x14ac:dyDescent="0.25">
      <c r="A44" s="41" t="e">
        <f t="shared" ref="A44" si="46">A43+1</f>
        <v>#REF!</v>
      </c>
      <c r="B44" s="42">
        <f>B43+1</f>
        <v>34</v>
      </c>
      <c r="C44" s="41" t="s">
        <v>295</v>
      </c>
      <c r="D44" s="43">
        <f t="shared" si="0"/>
        <v>7.8000000000000007</v>
      </c>
      <c r="E44" s="61">
        <f t="shared" si="45"/>
        <v>1.603</v>
      </c>
      <c r="F44" s="44">
        <f t="shared" si="31"/>
        <v>20.551282051282051</v>
      </c>
      <c r="G44" s="44">
        <f t="shared" si="32"/>
        <v>16.441025641025643</v>
      </c>
      <c r="H44" s="44">
        <f t="shared" si="33"/>
        <v>10.275641025641026</v>
      </c>
      <c r="I44" s="44">
        <f t="shared" si="34"/>
        <v>8</v>
      </c>
      <c r="J44" s="45">
        <f>yaw_max</f>
        <v>8</v>
      </c>
      <c r="K44" s="37" t="str">
        <f>D44&amp;-10</f>
        <v>7.8-10</v>
      </c>
      <c r="L44" s="44">
        <f t="shared" si="35"/>
        <v>0.2</v>
      </c>
      <c r="M44" s="44">
        <f t="shared" si="36"/>
        <v>150</v>
      </c>
      <c r="N44" s="44">
        <f t="shared" si="37"/>
        <v>160</v>
      </c>
      <c r="O44" s="44">
        <f t="shared" si="38"/>
        <v>210</v>
      </c>
      <c r="P44" s="72">
        <f t="shared" si="28"/>
        <v>1.1499999999999999</v>
      </c>
    </row>
    <row r="45" spans="1:16" x14ac:dyDescent="0.25">
      <c r="A45" s="41" t="e">
        <f t="shared" ref="A45" si="47">A44+1</f>
        <v>#REF!</v>
      </c>
      <c r="B45" s="42">
        <f>B44+1</f>
        <v>35</v>
      </c>
      <c r="C45" s="41" t="s">
        <v>296</v>
      </c>
      <c r="D45" s="43">
        <f t="shared" si="0"/>
        <v>7.8000000000000007</v>
      </c>
      <c r="E45" s="61">
        <f t="shared" si="45"/>
        <v>1.603</v>
      </c>
      <c r="F45" s="44">
        <f t="shared" si="31"/>
        <v>20.551282051282051</v>
      </c>
      <c r="G45" s="44">
        <f t="shared" si="32"/>
        <v>16.441025641025643</v>
      </c>
      <c r="H45" s="44">
        <f t="shared" si="33"/>
        <v>10.275641025641026</v>
      </c>
      <c r="I45" s="44">
        <f t="shared" si="34"/>
        <v>8</v>
      </c>
      <c r="J45" s="45">
        <f>yaw_max</f>
        <v>8</v>
      </c>
      <c r="K45" s="37" t="str">
        <f>D45&amp;-11</f>
        <v>7.8-11</v>
      </c>
      <c r="L45" s="44">
        <f t="shared" si="35"/>
        <v>0.2</v>
      </c>
      <c r="M45" s="44">
        <f t="shared" si="36"/>
        <v>150</v>
      </c>
      <c r="N45" s="44">
        <f t="shared" si="37"/>
        <v>160</v>
      </c>
      <c r="O45" s="44">
        <f t="shared" si="38"/>
        <v>210</v>
      </c>
      <c r="P45" s="72">
        <f t="shared" si="28"/>
        <v>1.1499999999999999</v>
      </c>
    </row>
    <row r="46" spans="1:16" x14ac:dyDescent="0.25">
      <c r="A46" s="41" t="e">
        <f t="shared" ref="A46:B47" si="48">A45+1</f>
        <v>#REF!</v>
      </c>
      <c r="B46" s="42">
        <f t="shared" si="48"/>
        <v>36</v>
      </c>
      <c r="C46" s="41" t="s">
        <v>297</v>
      </c>
      <c r="D46" s="43">
        <f t="shared" si="0"/>
        <v>7.8000000000000007</v>
      </c>
      <c r="E46" s="61">
        <f t="shared" si="45"/>
        <v>1.603</v>
      </c>
      <c r="F46" s="44">
        <f t="shared" si="31"/>
        <v>20.551282051282051</v>
      </c>
      <c r="G46" s="44">
        <f t="shared" si="32"/>
        <v>16.441025641025643</v>
      </c>
      <c r="H46" s="44">
        <f t="shared" si="33"/>
        <v>10.275641025641026</v>
      </c>
      <c r="I46" s="44">
        <f t="shared" si="34"/>
        <v>8</v>
      </c>
      <c r="J46" s="45">
        <f>yaw_max</f>
        <v>8</v>
      </c>
      <c r="K46" s="37" t="str">
        <f>D46&amp;-12</f>
        <v>7.8-12</v>
      </c>
      <c r="L46" s="44">
        <f t="shared" si="35"/>
        <v>0.2</v>
      </c>
      <c r="M46" s="44">
        <f t="shared" si="36"/>
        <v>150</v>
      </c>
      <c r="N46" s="44">
        <f t="shared" si="37"/>
        <v>160</v>
      </c>
      <c r="O46" s="44">
        <f t="shared" si="38"/>
        <v>210</v>
      </c>
      <c r="P46" s="72">
        <f t="shared" si="28"/>
        <v>1.1499999999999999</v>
      </c>
    </row>
    <row r="47" spans="1:16" x14ac:dyDescent="0.25">
      <c r="A47" s="41" t="e">
        <f t="shared" si="48"/>
        <v>#REF!</v>
      </c>
      <c r="B47" s="42">
        <f t="shared" si="48"/>
        <v>37</v>
      </c>
      <c r="C47" s="41" t="s">
        <v>298</v>
      </c>
      <c r="D47" s="43">
        <f t="shared" ref="D47:D82" si="49">v_r</f>
        <v>9.8000000000000007</v>
      </c>
      <c r="E47" s="61">
        <f t="shared" si="45"/>
        <v>1.8130000000000002</v>
      </c>
      <c r="F47" s="44">
        <f t="shared" ref="F47" si="50">E47/D47*100</f>
        <v>18.5</v>
      </c>
      <c r="G47" s="44">
        <f t="shared" ref="G47:G82" si="51">m_ty*F47</f>
        <v>14.8</v>
      </c>
      <c r="H47" s="44">
        <f t="shared" ref="H47:H82" si="52">m_tz*F47</f>
        <v>9.25</v>
      </c>
      <c r="I47" s="44">
        <f t="shared" ref="I47" si="53">I46</f>
        <v>8</v>
      </c>
      <c r="J47" s="45">
        <f>yaw_min</f>
        <v>-8</v>
      </c>
      <c r="K47" s="37" t="str">
        <f>D47&amp;-1</f>
        <v>9.8-1</v>
      </c>
      <c r="L47" s="44">
        <f t="shared" ref="L47" si="54">L46</f>
        <v>0.2</v>
      </c>
      <c r="M47" s="44">
        <f t="shared" ref="M47" si="55">M46</f>
        <v>150</v>
      </c>
      <c r="N47" s="44">
        <f t="shared" ref="N47" si="56">N46</f>
        <v>160</v>
      </c>
      <c r="O47" s="44">
        <f t="shared" ref="O47" si="57">O46</f>
        <v>210</v>
      </c>
      <c r="P47" s="72">
        <f t="shared" ref="P47:P58" si="58">Btorque_1</f>
        <v>0.85</v>
      </c>
    </row>
    <row r="48" spans="1:16" x14ac:dyDescent="0.25">
      <c r="A48" s="41" t="e">
        <f>A47+1</f>
        <v>#REF!</v>
      </c>
      <c r="B48" s="42">
        <f>B47+1</f>
        <v>38</v>
      </c>
      <c r="C48" s="41" t="s">
        <v>299</v>
      </c>
      <c r="D48" s="43">
        <f t="shared" si="49"/>
        <v>9.8000000000000007</v>
      </c>
      <c r="E48" s="61">
        <f t="shared" si="45"/>
        <v>1.8130000000000002</v>
      </c>
      <c r="F48" s="44">
        <f>E48/D48*100</f>
        <v>18.5</v>
      </c>
      <c r="G48" s="44">
        <f t="shared" si="51"/>
        <v>14.8</v>
      </c>
      <c r="H48" s="44">
        <f t="shared" si="52"/>
        <v>9.25</v>
      </c>
      <c r="I48" s="44">
        <f>I47</f>
        <v>8</v>
      </c>
      <c r="J48" s="45">
        <f>yaw_min</f>
        <v>-8</v>
      </c>
      <c r="K48" s="37" t="str">
        <f>D48&amp;-2</f>
        <v>9.8-2</v>
      </c>
      <c r="L48" s="44">
        <f>L47</f>
        <v>0.2</v>
      </c>
      <c r="M48" s="44">
        <f>M47</f>
        <v>150</v>
      </c>
      <c r="N48" s="44">
        <f>N47</f>
        <v>160</v>
      </c>
      <c r="O48" s="44">
        <f>O47</f>
        <v>210</v>
      </c>
      <c r="P48" s="72">
        <f t="shared" si="58"/>
        <v>0.85</v>
      </c>
    </row>
    <row r="49" spans="1:16" x14ac:dyDescent="0.25">
      <c r="A49" s="41" t="e">
        <f t="shared" ref="A49:B49" si="59">A48+1</f>
        <v>#REF!</v>
      </c>
      <c r="B49" s="42">
        <f t="shared" si="59"/>
        <v>39</v>
      </c>
      <c r="C49" s="41" t="s">
        <v>300</v>
      </c>
      <c r="D49" s="43">
        <f t="shared" si="49"/>
        <v>9.8000000000000007</v>
      </c>
      <c r="E49" s="61">
        <f t="shared" si="45"/>
        <v>1.8130000000000002</v>
      </c>
      <c r="F49" s="44">
        <f t="shared" ref="F49:F83" si="60">E49/D49*100</f>
        <v>18.5</v>
      </c>
      <c r="G49" s="44">
        <f t="shared" si="51"/>
        <v>14.8</v>
      </c>
      <c r="H49" s="44">
        <f t="shared" si="52"/>
        <v>9.25</v>
      </c>
      <c r="I49" s="44">
        <f t="shared" ref="I49:I83" si="61">I48</f>
        <v>8</v>
      </c>
      <c r="J49" s="45">
        <f>yaw_min</f>
        <v>-8</v>
      </c>
      <c r="K49" s="37" t="str">
        <f>D49&amp;-3</f>
        <v>9.8-3</v>
      </c>
      <c r="L49" s="44">
        <f t="shared" ref="L49:L83" si="62">L48</f>
        <v>0.2</v>
      </c>
      <c r="M49" s="44">
        <f t="shared" ref="M49:M83" si="63">M48</f>
        <v>150</v>
      </c>
      <c r="N49" s="44">
        <f t="shared" ref="N49:N83" si="64">N48</f>
        <v>160</v>
      </c>
      <c r="O49" s="44">
        <f t="shared" ref="O49:O83" si="65">O48</f>
        <v>210</v>
      </c>
      <c r="P49" s="72">
        <f t="shared" si="58"/>
        <v>0.85</v>
      </c>
    </row>
    <row r="50" spans="1:16" x14ac:dyDescent="0.25">
      <c r="A50" s="41" t="e">
        <f t="shared" ref="A50:B50" si="66">A49+1</f>
        <v>#REF!</v>
      </c>
      <c r="B50" s="42">
        <f t="shared" si="66"/>
        <v>40</v>
      </c>
      <c r="C50" s="41" t="s">
        <v>301</v>
      </c>
      <c r="D50" s="43">
        <f t="shared" si="49"/>
        <v>9.8000000000000007</v>
      </c>
      <c r="E50" s="61">
        <f t="shared" si="45"/>
        <v>1.8130000000000002</v>
      </c>
      <c r="F50" s="44">
        <f t="shared" si="60"/>
        <v>18.5</v>
      </c>
      <c r="G50" s="44">
        <f t="shared" si="51"/>
        <v>14.8</v>
      </c>
      <c r="H50" s="44">
        <f t="shared" si="52"/>
        <v>9.25</v>
      </c>
      <c r="I50" s="44">
        <f t="shared" si="61"/>
        <v>8</v>
      </c>
      <c r="J50" s="45">
        <f>yaw_min</f>
        <v>-8</v>
      </c>
      <c r="K50" s="37" t="str">
        <f>D50&amp;-4</f>
        <v>9.8-4</v>
      </c>
      <c r="L50" s="44">
        <f t="shared" si="62"/>
        <v>0.2</v>
      </c>
      <c r="M50" s="44">
        <f t="shared" si="63"/>
        <v>150</v>
      </c>
      <c r="N50" s="44">
        <f t="shared" si="64"/>
        <v>160</v>
      </c>
      <c r="O50" s="44">
        <f t="shared" si="65"/>
        <v>210</v>
      </c>
      <c r="P50" s="72">
        <f t="shared" si="58"/>
        <v>0.85</v>
      </c>
    </row>
    <row r="51" spans="1:16" x14ac:dyDescent="0.25">
      <c r="A51" s="41" t="e">
        <f t="shared" ref="A51:B51" si="67">A50+1</f>
        <v>#REF!</v>
      </c>
      <c r="B51" s="42">
        <f t="shared" si="67"/>
        <v>41</v>
      </c>
      <c r="C51" s="41" t="s">
        <v>302</v>
      </c>
      <c r="D51" s="43">
        <f t="shared" si="49"/>
        <v>9.8000000000000007</v>
      </c>
      <c r="E51" s="61">
        <f t="shared" si="45"/>
        <v>1.8130000000000002</v>
      </c>
      <c r="F51" s="44">
        <f t="shared" si="60"/>
        <v>18.5</v>
      </c>
      <c r="G51" s="44">
        <f t="shared" si="51"/>
        <v>14.8</v>
      </c>
      <c r="H51" s="44">
        <f t="shared" si="52"/>
        <v>9.25</v>
      </c>
      <c r="I51" s="44">
        <f t="shared" si="61"/>
        <v>8</v>
      </c>
      <c r="J51" s="45">
        <f>yaw_null</f>
        <v>0</v>
      </c>
      <c r="K51" s="37" t="str">
        <f>D51&amp;-5</f>
        <v>9.8-5</v>
      </c>
      <c r="L51" s="44">
        <f t="shared" si="62"/>
        <v>0.2</v>
      </c>
      <c r="M51" s="44">
        <f t="shared" si="63"/>
        <v>150</v>
      </c>
      <c r="N51" s="44">
        <f t="shared" si="64"/>
        <v>160</v>
      </c>
      <c r="O51" s="44">
        <f t="shared" si="65"/>
        <v>210</v>
      </c>
      <c r="P51" s="72">
        <f t="shared" si="58"/>
        <v>0.85</v>
      </c>
    </row>
    <row r="52" spans="1:16" x14ac:dyDescent="0.25">
      <c r="A52" s="41" t="e">
        <f t="shared" ref="A52:B52" si="68">A51+1</f>
        <v>#REF!</v>
      </c>
      <c r="B52" s="42">
        <f t="shared" si="68"/>
        <v>42</v>
      </c>
      <c r="C52" s="41" t="s">
        <v>303</v>
      </c>
      <c r="D52" s="43">
        <f t="shared" si="49"/>
        <v>9.8000000000000007</v>
      </c>
      <c r="E52" s="61">
        <f t="shared" si="45"/>
        <v>1.8130000000000002</v>
      </c>
      <c r="F52" s="44">
        <f t="shared" si="60"/>
        <v>18.5</v>
      </c>
      <c r="G52" s="44">
        <f t="shared" si="51"/>
        <v>14.8</v>
      </c>
      <c r="H52" s="44">
        <f t="shared" si="52"/>
        <v>9.25</v>
      </c>
      <c r="I52" s="44">
        <f t="shared" si="61"/>
        <v>8</v>
      </c>
      <c r="J52" s="45">
        <f>yaw_null</f>
        <v>0</v>
      </c>
      <c r="K52" s="37" t="str">
        <f>D52&amp;-6</f>
        <v>9.8-6</v>
      </c>
      <c r="L52" s="44">
        <f t="shared" si="62"/>
        <v>0.2</v>
      </c>
      <c r="M52" s="44">
        <f t="shared" si="63"/>
        <v>150</v>
      </c>
      <c r="N52" s="44">
        <f t="shared" si="64"/>
        <v>160</v>
      </c>
      <c r="O52" s="44">
        <f t="shared" si="65"/>
        <v>210</v>
      </c>
      <c r="P52" s="72">
        <f t="shared" si="58"/>
        <v>0.85</v>
      </c>
    </row>
    <row r="53" spans="1:16" x14ac:dyDescent="0.25">
      <c r="A53" s="41" t="e">
        <f t="shared" ref="A53:B53" si="69">A52+1</f>
        <v>#REF!</v>
      </c>
      <c r="B53" s="42">
        <f t="shared" si="69"/>
        <v>43</v>
      </c>
      <c r="C53" s="41" t="s">
        <v>304</v>
      </c>
      <c r="D53" s="43">
        <f t="shared" si="49"/>
        <v>9.8000000000000007</v>
      </c>
      <c r="E53" s="61">
        <f t="shared" si="45"/>
        <v>1.8130000000000002</v>
      </c>
      <c r="F53" s="44">
        <f t="shared" si="60"/>
        <v>18.5</v>
      </c>
      <c r="G53" s="44">
        <f t="shared" si="51"/>
        <v>14.8</v>
      </c>
      <c r="H53" s="44">
        <f t="shared" si="52"/>
        <v>9.25</v>
      </c>
      <c r="I53" s="44">
        <f t="shared" si="61"/>
        <v>8</v>
      </c>
      <c r="J53" s="45">
        <f>yaw_null</f>
        <v>0</v>
      </c>
      <c r="K53" s="37" t="str">
        <f>D53&amp;-7</f>
        <v>9.8-7</v>
      </c>
      <c r="L53" s="44">
        <f t="shared" si="62"/>
        <v>0.2</v>
      </c>
      <c r="M53" s="44">
        <f t="shared" si="63"/>
        <v>150</v>
      </c>
      <c r="N53" s="44">
        <f t="shared" si="64"/>
        <v>160</v>
      </c>
      <c r="O53" s="44">
        <f t="shared" si="65"/>
        <v>210</v>
      </c>
      <c r="P53" s="72">
        <f t="shared" si="58"/>
        <v>0.85</v>
      </c>
    </row>
    <row r="54" spans="1:16" x14ac:dyDescent="0.25">
      <c r="A54" s="41" t="e">
        <f t="shared" ref="A54:B54" si="70">A53+1</f>
        <v>#REF!</v>
      </c>
      <c r="B54" s="42">
        <f t="shared" si="70"/>
        <v>44</v>
      </c>
      <c r="C54" s="41" t="s">
        <v>305</v>
      </c>
      <c r="D54" s="43">
        <f t="shared" si="49"/>
        <v>9.8000000000000007</v>
      </c>
      <c r="E54" s="61">
        <f t="shared" si="45"/>
        <v>1.8130000000000002</v>
      </c>
      <c r="F54" s="44">
        <f t="shared" si="60"/>
        <v>18.5</v>
      </c>
      <c r="G54" s="44">
        <f t="shared" si="51"/>
        <v>14.8</v>
      </c>
      <c r="H54" s="44">
        <f t="shared" si="52"/>
        <v>9.25</v>
      </c>
      <c r="I54" s="44">
        <f t="shared" si="61"/>
        <v>8</v>
      </c>
      <c r="J54" s="45">
        <f>yaw_null</f>
        <v>0</v>
      </c>
      <c r="K54" s="37" t="str">
        <f>D54&amp;-8</f>
        <v>9.8-8</v>
      </c>
      <c r="L54" s="44">
        <f t="shared" si="62"/>
        <v>0.2</v>
      </c>
      <c r="M54" s="44">
        <f t="shared" si="63"/>
        <v>150</v>
      </c>
      <c r="N54" s="44">
        <f t="shared" si="64"/>
        <v>160</v>
      </c>
      <c r="O54" s="44">
        <f t="shared" si="65"/>
        <v>210</v>
      </c>
      <c r="P54" s="72">
        <f t="shared" si="58"/>
        <v>0.85</v>
      </c>
    </row>
    <row r="55" spans="1:16" x14ac:dyDescent="0.25">
      <c r="A55" s="41" t="e">
        <f t="shared" ref="A55" si="71">A54+1</f>
        <v>#REF!</v>
      </c>
      <c r="B55" s="42">
        <f>B54+1</f>
        <v>45</v>
      </c>
      <c r="C55" s="41" t="s">
        <v>306</v>
      </c>
      <c r="D55" s="43">
        <f t="shared" si="49"/>
        <v>9.8000000000000007</v>
      </c>
      <c r="E55" s="61">
        <f t="shared" si="45"/>
        <v>1.8130000000000002</v>
      </c>
      <c r="F55" s="44">
        <f t="shared" si="60"/>
        <v>18.5</v>
      </c>
      <c r="G55" s="44">
        <f t="shared" si="51"/>
        <v>14.8</v>
      </c>
      <c r="H55" s="44">
        <f t="shared" si="52"/>
        <v>9.25</v>
      </c>
      <c r="I55" s="44">
        <f t="shared" si="61"/>
        <v>8</v>
      </c>
      <c r="J55" s="45">
        <f>yaw_max</f>
        <v>8</v>
      </c>
      <c r="K55" s="37" t="str">
        <f>D55&amp;-9</f>
        <v>9.8-9</v>
      </c>
      <c r="L55" s="44">
        <f t="shared" si="62"/>
        <v>0.2</v>
      </c>
      <c r="M55" s="44">
        <f t="shared" si="63"/>
        <v>150</v>
      </c>
      <c r="N55" s="44">
        <f t="shared" si="64"/>
        <v>160</v>
      </c>
      <c r="O55" s="44">
        <f t="shared" si="65"/>
        <v>210</v>
      </c>
      <c r="P55" s="72">
        <f t="shared" si="58"/>
        <v>0.85</v>
      </c>
    </row>
    <row r="56" spans="1:16" x14ac:dyDescent="0.25">
      <c r="A56" s="41" t="e">
        <f t="shared" ref="A56" si="72">A55+1</f>
        <v>#REF!</v>
      </c>
      <c r="B56" s="42">
        <f>B55+1</f>
        <v>46</v>
      </c>
      <c r="C56" s="41" t="s">
        <v>307</v>
      </c>
      <c r="D56" s="43">
        <f t="shared" si="49"/>
        <v>9.8000000000000007</v>
      </c>
      <c r="E56" s="61">
        <f t="shared" si="45"/>
        <v>1.8130000000000002</v>
      </c>
      <c r="F56" s="44">
        <f t="shared" si="60"/>
        <v>18.5</v>
      </c>
      <c r="G56" s="44">
        <f t="shared" si="51"/>
        <v>14.8</v>
      </c>
      <c r="H56" s="44">
        <f t="shared" si="52"/>
        <v>9.25</v>
      </c>
      <c r="I56" s="44">
        <f t="shared" si="61"/>
        <v>8</v>
      </c>
      <c r="J56" s="45">
        <f>yaw_max</f>
        <v>8</v>
      </c>
      <c r="K56" s="37" t="str">
        <f>D56&amp;-10</f>
        <v>9.8-10</v>
      </c>
      <c r="L56" s="44">
        <f t="shared" si="62"/>
        <v>0.2</v>
      </c>
      <c r="M56" s="44">
        <f t="shared" si="63"/>
        <v>150</v>
      </c>
      <c r="N56" s="44">
        <f t="shared" si="64"/>
        <v>160</v>
      </c>
      <c r="O56" s="44">
        <f t="shared" si="65"/>
        <v>210</v>
      </c>
      <c r="P56" s="72">
        <f t="shared" si="58"/>
        <v>0.85</v>
      </c>
    </row>
    <row r="57" spans="1:16" x14ac:dyDescent="0.25">
      <c r="A57" s="41" t="e">
        <f t="shared" ref="A57" si="73">A56+1</f>
        <v>#REF!</v>
      </c>
      <c r="B57" s="42">
        <f>B56+1</f>
        <v>47</v>
      </c>
      <c r="C57" s="41" t="s">
        <v>308</v>
      </c>
      <c r="D57" s="43">
        <f t="shared" si="49"/>
        <v>9.8000000000000007</v>
      </c>
      <c r="E57" s="61">
        <f t="shared" si="45"/>
        <v>1.8130000000000002</v>
      </c>
      <c r="F57" s="44">
        <f t="shared" si="60"/>
        <v>18.5</v>
      </c>
      <c r="G57" s="44">
        <f t="shared" si="51"/>
        <v>14.8</v>
      </c>
      <c r="H57" s="44">
        <f t="shared" si="52"/>
        <v>9.25</v>
      </c>
      <c r="I57" s="44">
        <f t="shared" si="61"/>
        <v>8</v>
      </c>
      <c r="J57" s="45">
        <f>yaw_max</f>
        <v>8</v>
      </c>
      <c r="K57" s="37" t="str">
        <f>D57&amp;-11</f>
        <v>9.8-11</v>
      </c>
      <c r="L57" s="44">
        <f t="shared" si="62"/>
        <v>0.2</v>
      </c>
      <c r="M57" s="44">
        <f t="shared" si="63"/>
        <v>150</v>
      </c>
      <c r="N57" s="44">
        <f t="shared" si="64"/>
        <v>160</v>
      </c>
      <c r="O57" s="44">
        <f t="shared" si="65"/>
        <v>210</v>
      </c>
      <c r="P57" s="72">
        <f t="shared" si="58"/>
        <v>0.85</v>
      </c>
    </row>
    <row r="58" spans="1:16" x14ac:dyDescent="0.25">
      <c r="A58" s="41" t="e">
        <f t="shared" ref="A58:B58" si="74">A57+1</f>
        <v>#REF!</v>
      </c>
      <c r="B58" s="42">
        <f t="shared" si="74"/>
        <v>48</v>
      </c>
      <c r="C58" s="41" t="s">
        <v>309</v>
      </c>
      <c r="D58" s="43">
        <f t="shared" si="49"/>
        <v>9.8000000000000007</v>
      </c>
      <c r="E58" s="61">
        <f t="shared" si="45"/>
        <v>1.8130000000000002</v>
      </c>
      <c r="F58" s="44">
        <f t="shared" si="60"/>
        <v>18.5</v>
      </c>
      <c r="G58" s="44">
        <f t="shared" si="51"/>
        <v>14.8</v>
      </c>
      <c r="H58" s="44">
        <f t="shared" si="52"/>
        <v>9.25</v>
      </c>
      <c r="I58" s="44">
        <f t="shared" si="61"/>
        <v>8</v>
      </c>
      <c r="J58" s="45">
        <f>yaw_max</f>
        <v>8</v>
      </c>
      <c r="K58" s="37" t="str">
        <f>D58&amp;-12</f>
        <v>9.8-12</v>
      </c>
      <c r="L58" s="44">
        <f t="shared" si="62"/>
        <v>0.2</v>
      </c>
      <c r="M58" s="44">
        <f t="shared" si="63"/>
        <v>150</v>
      </c>
      <c r="N58" s="44">
        <f t="shared" si="64"/>
        <v>160</v>
      </c>
      <c r="O58" s="44">
        <f t="shared" si="65"/>
        <v>210</v>
      </c>
      <c r="P58" s="72">
        <f t="shared" si="58"/>
        <v>0.85</v>
      </c>
    </row>
    <row r="59" spans="1:16" x14ac:dyDescent="0.25">
      <c r="A59" s="41" t="e">
        <f t="shared" ref="A59:B59" si="75">A58+1</f>
        <v>#REF!</v>
      </c>
      <c r="B59" s="42">
        <f t="shared" si="75"/>
        <v>49</v>
      </c>
      <c r="C59" s="41" t="s">
        <v>310</v>
      </c>
      <c r="D59" s="43">
        <f t="shared" si="49"/>
        <v>9.8000000000000007</v>
      </c>
      <c r="E59" s="61">
        <f t="shared" si="45"/>
        <v>1.8130000000000002</v>
      </c>
      <c r="F59" s="44">
        <f t="shared" si="60"/>
        <v>18.5</v>
      </c>
      <c r="G59" s="44">
        <f t="shared" si="51"/>
        <v>14.8</v>
      </c>
      <c r="H59" s="44">
        <f t="shared" si="52"/>
        <v>9.25</v>
      </c>
      <c r="I59" s="44">
        <f t="shared" si="61"/>
        <v>8</v>
      </c>
      <c r="J59" s="45">
        <f>yaw_min</f>
        <v>-8</v>
      </c>
      <c r="K59" s="37" t="str">
        <f>D59&amp;-1</f>
        <v>9.8-1</v>
      </c>
      <c r="L59" s="44">
        <f t="shared" si="62"/>
        <v>0.2</v>
      </c>
      <c r="M59" s="44">
        <f t="shared" si="63"/>
        <v>150</v>
      </c>
      <c r="N59" s="44">
        <f t="shared" si="64"/>
        <v>160</v>
      </c>
      <c r="O59" s="44">
        <f t="shared" si="65"/>
        <v>210</v>
      </c>
      <c r="P59" s="72">
        <v>1</v>
      </c>
    </row>
    <row r="60" spans="1:16" x14ac:dyDescent="0.25">
      <c r="A60" s="41" t="e">
        <f t="shared" ref="A60:B60" si="76">A59+1</f>
        <v>#REF!</v>
      </c>
      <c r="B60" s="42">
        <f t="shared" si="76"/>
        <v>50</v>
      </c>
      <c r="C60" s="41" t="s">
        <v>311</v>
      </c>
      <c r="D60" s="43">
        <f t="shared" si="49"/>
        <v>9.8000000000000007</v>
      </c>
      <c r="E60" s="61">
        <f t="shared" si="45"/>
        <v>1.8130000000000002</v>
      </c>
      <c r="F60" s="44">
        <f t="shared" si="60"/>
        <v>18.5</v>
      </c>
      <c r="G60" s="44">
        <f t="shared" si="51"/>
        <v>14.8</v>
      </c>
      <c r="H60" s="44">
        <f t="shared" si="52"/>
        <v>9.25</v>
      </c>
      <c r="I60" s="44">
        <f t="shared" si="61"/>
        <v>8</v>
      </c>
      <c r="J60" s="45">
        <f>yaw_min</f>
        <v>-8</v>
      </c>
      <c r="K60" s="37" t="str">
        <f>D60&amp;-2</f>
        <v>9.8-2</v>
      </c>
      <c r="L60" s="44">
        <f t="shared" si="62"/>
        <v>0.2</v>
      </c>
      <c r="M60" s="44">
        <f t="shared" si="63"/>
        <v>150</v>
      </c>
      <c r="N60" s="44">
        <f t="shared" si="64"/>
        <v>160</v>
      </c>
      <c r="O60" s="44">
        <f t="shared" si="65"/>
        <v>210</v>
      </c>
      <c r="P60" s="72">
        <v>1</v>
      </c>
    </row>
    <row r="61" spans="1:16" x14ac:dyDescent="0.25">
      <c r="A61" s="41" t="e">
        <f t="shared" ref="A61:B61" si="77">A60+1</f>
        <v>#REF!</v>
      </c>
      <c r="B61" s="42">
        <f t="shared" si="77"/>
        <v>51</v>
      </c>
      <c r="C61" s="41" t="s">
        <v>312</v>
      </c>
      <c r="D61" s="43">
        <f t="shared" si="49"/>
        <v>9.8000000000000007</v>
      </c>
      <c r="E61" s="61">
        <f t="shared" si="45"/>
        <v>1.8130000000000002</v>
      </c>
      <c r="F61" s="44">
        <f t="shared" si="60"/>
        <v>18.5</v>
      </c>
      <c r="G61" s="44">
        <f t="shared" si="51"/>
        <v>14.8</v>
      </c>
      <c r="H61" s="44">
        <f t="shared" si="52"/>
        <v>9.25</v>
      </c>
      <c r="I61" s="44">
        <f t="shared" si="61"/>
        <v>8</v>
      </c>
      <c r="J61" s="45">
        <f>yaw_min</f>
        <v>-8</v>
      </c>
      <c r="K61" s="37" t="str">
        <f>D61&amp;-3</f>
        <v>9.8-3</v>
      </c>
      <c r="L61" s="44">
        <f t="shared" si="62"/>
        <v>0.2</v>
      </c>
      <c r="M61" s="44">
        <f t="shared" si="63"/>
        <v>150</v>
      </c>
      <c r="N61" s="44">
        <f t="shared" si="64"/>
        <v>160</v>
      </c>
      <c r="O61" s="44">
        <f t="shared" si="65"/>
        <v>210</v>
      </c>
      <c r="P61" s="72">
        <v>1</v>
      </c>
    </row>
    <row r="62" spans="1:16" x14ac:dyDescent="0.25">
      <c r="A62" s="41" t="e">
        <f t="shared" ref="A62:B62" si="78">A61+1</f>
        <v>#REF!</v>
      </c>
      <c r="B62" s="42">
        <f t="shared" si="78"/>
        <v>52</v>
      </c>
      <c r="C62" s="41" t="s">
        <v>313</v>
      </c>
      <c r="D62" s="43">
        <f t="shared" si="49"/>
        <v>9.8000000000000007</v>
      </c>
      <c r="E62" s="61">
        <f t="shared" si="45"/>
        <v>1.8130000000000002</v>
      </c>
      <c r="F62" s="44">
        <f t="shared" si="60"/>
        <v>18.5</v>
      </c>
      <c r="G62" s="44">
        <f t="shared" si="51"/>
        <v>14.8</v>
      </c>
      <c r="H62" s="44">
        <f t="shared" si="52"/>
        <v>9.25</v>
      </c>
      <c r="I62" s="44">
        <f t="shared" si="61"/>
        <v>8</v>
      </c>
      <c r="J62" s="45">
        <f>yaw_min</f>
        <v>-8</v>
      </c>
      <c r="K62" s="37" t="str">
        <f>D62&amp;-4</f>
        <v>9.8-4</v>
      </c>
      <c r="L62" s="44">
        <f t="shared" si="62"/>
        <v>0.2</v>
      </c>
      <c r="M62" s="44">
        <f t="shared" si="63"/>
        <v>150</v>
      </c>
      <c r="N62" s="44">
        <f t="shared" si="64"/>
        <v>160</v>
      </c>
      <c r="O62" s="44">
        <f t="shared" si="65"/>
        <v>210</v>
      </c>
      <c r="P62" s="72">
        <v>1</v>
      </c>
    </row>
    <row r="63" spans="1:16" x14ac:dyDescent="0.25">
      <c r="A63" s="41" t="e">
        <f t="shared" ref="A63:B63" si="79">A62+1</f>
        <v>#REF!</v>
      </c>
      <c r="B63" s="42">
        <f t="shared" si="79"/>
        <v>53</v>
      </c>
      <c r="C63" s="41" t="s">
        <v>314</v>
      </c>
      <c r="D63" s="43">
        <f t="shared" si="49"/>
        <v>9.8000000000000007</v>
      </c>
      <c r="E63" s="61">
        <f t="shared" si="45"/>
        <v>1.8130000000000002</v>
      </c>
      <c r="F63" s="44">
        <f t="shared" si="60"/>
        <v>18.5</v>
      </c>
      <c r="G63" s="44">
        <f t="shared" si="51"/>
        <v>14.8</v>
      </c>
      <c r="H63" s="44">
        <f t="shared" si="52"/>
        <v>9.25</v>
      </c>
      <c r="I63" s="44">
        <f t="shared" si="61"/>
        <v>8</v>
      </c>
      <c r="J63" s="45">
        <f>yaw_null</f>
        <v>0</v>
      </c>
      <c r="K63" s="37" t="str">
        <f>D63&amp;-5</f>
        <v>9.8-5</v>
      </c>
      <c r="L63" s="44">
        <f t="shared" si="62"/>
        <v>0.2</v>
      </c>
      <c r="M63" s="44">
        <f t="shared" si="63"/>
        <v>150</v>
      </c>
      <c r="N63" s="44">
        <f t="shared" si="64"/>
        <v>160</v>
      </c>
      <c r="O63" s="44">
        <f t="shared" si="65"/>
        <v>210</v>
      </c>
      <c r="P63" s="72">
        <v>1</v>
      </c>
    </row>
    <row r="64" spans="1:16" x14ac:dyDescent="0.25">
      <c r="A64" s="41" t="e">
        <f t="shared" ref="A64:B64" si="80">A63+1</f>
        <v>#REF!</v>
      </c>
      <c r="B64" s="42">
        <f t="shared" si="80"/>
        <v>54</v>
      </c>
      <c r="C64" s="41" t="s">
        <v>315</v>
      </c>
      <c r="D64" s="43">
        <f t="shared" si="49"/>
        <v>9.8000000000000007</v>
      </c>
      <c r="E64" s="61">
        <f t="shared" si="45"/>
        <v>1.8130000000000002</v>
      </c>
      <c r="F64" s="44">
        <f t="shared" si="60"/>
        <v>18.5</v>
      </c>
      <c r="G64" s="44">
        <f t="shared" si="51"/>
        <v>14.8</v>
      </c>
      <c r="H64" s="44">
        <f t="shared" si="52"/>
        <v>9.25</v>
      </c>
      <c r="I64" s="44">
        <f t="shared" si="61"/>
        <v>8</v>
      </c>
      <c r="J64" s="45">
        <f>yaw_null</f>
        <v>0</v>
      </c>
      <c r="K64" s="37" t="str">
        <f>D64&amp;-6</f>
        <v>9.8-6</v>
      </c>
      <c r="L64" s="44">
        <f t="shared" si="62"/>
        <v>0.2</v>
      </c>
      <c r="M64" s="44">
        <f t="shared" si="63"/>
        <v>150</v>
      </c>
      <c r="N64" s="44">
        <f t="shared" si="64"/>
        <v>160</v>
      </c>
      <c r="O64" s="44">
        <f t="shared" si="65"/>
        <v>210</v>
      </c>
      <c r="P64" s="72">
        <v>1</v>
      </c>
    </row>
    <row r="65" spans="1:16" x14ac:dyDescent="0.25">
      <c r="A65" s="41" t="e">
        <f t="shared" ref="A65:B65" si="81">A64+1</f>
        <v>#REF!</v>
      </c>
      <c r="B65" s="42">
        <f t="shared" si="81"/>
        <v>55</v>
      </c>
      <c r="C65" s="41" t="s">
        <v>316</v>
      </c>
      <c r="D65" s="43">
        <f t="shared" si="49"/>
        <v>9.8000000000000007</v>
      </c>
      <c r="E65" s="61">
        <f t="shared" si="45"/>
        <v>1.8130000000000002</v>
      </c>
      <c r="F65" s="44">
        <f t="shared" si="60"/>
        <v>18.5</v>
      </c>
      <c r="G65" s="44">
        <f t="shared" si="51"/>
        <v>14.8</v>
      </c>
      <c r="H65" s="44">
        <f t="shared" si="52"/>
        <v>9.25</v>
      </c>
      <c r="I65" s="44">
        <f t="shared" si="61"/>
        <v>8</v>
      </c>
      <c r="J65" s="45">
        <f>yaw_null</f>
        <v>0</v>
      </c>
      <c r="K65" s="37" t="str">
        <f>D65&amp;-7</f>
        <v>9.8-7</v>
      </c>
      <c r="L65" s="44">
        <f t="shared" si="62"/>
        <v>0.2</v>
      </c>
      <c r="M65" s="44">
        <f t="shared" si="63"/>
        <v>150</v>
      </c>
      <c r="N65" s="44">
        <f t="shared" si="64"/>
        <v>160</v>
      </c>
      <c r="O65" s="44">
        <f t="shared" si="65"/>
        <v>210</v>
      </c>
      <c r="P65" s="72">
        <v>1</v>
      </c>
    </row>
    <row r="66" spans="1:16" x14ac:dyDescent="0.25">
      <c r="A66" s="41" t="e">
        <f t="shared" ref="A66:B66" si="82">A65+1</f>
        <v>#REF!</v>
      </c>
      <c r="B66" s="42">
        <f t="shared" si="82"/>
        <v>56</v>
      </c>
      <c r="C66" s="41" t="s">
        <v>317</v>
      </c>
      <c r="D66" s="43">
        <f t="shared" si="49"/>
        <v>9.8000000000000007</v>
      </c>
      <c r="E66" s="61">
        <f t="shared" si="45"/>
        <v>1.8130000000000002</v>
      </c>
      <c r="F66" s="44">
        <f t="shared" si="60"/>
        <v>18.5</v>
      </c>
      <c r="G66" s="44">
        <f t="shared" si="51"/>
        <v>14.8</v>
      </c>
      <c r="H66" s="44">
        <f t="shared" si="52"/>
        <v>9.25</v>
      </c>
      <c r="I66" s="44">
        <f t="shared" si="61"/>
        <v>8</v>
      </c>
      <c r="J66" s="45">
        <f>yaw_null</f>
        <v>0</v>
      </c>
      <c r="K66" s="37" t="str">
        <f>D66&amp;-8</f>
        <v>9.8-8</v>
      </c>
      <c r="L66" s="44">
        <f t="shared" si="62"/>
        <v>0.2</v>
      </c>
      <c r="M66" s="44">
        <f t="shared" si="63"/>
        <v>150</v>
      </c>
      <c r="N66" s="44">
        <f t="shared" si="64"/>
        <v>160</v>
      </c>
      <c r="O66" s="44">
        <f t="shared" si="65"/>
        <v>210</v>
      </c>
      <c r="P66" s="72">
        <v>1</v>
      </c>
    </row>
    <row r="67" spans="1:16" x14ac:dyDescent="0.25">
      <c r="A67" s="41" t="e">
        <f t="shared" ref="A67" si="83">A66+1</f>
        <v>#REF!</v>
      </c>
      <c r="B67" s="42">
        <f>B66+1</f>
        <v>57</v>
      </c>
      <c r="C67" s="41" t="s">
        <v>318</v>
      </c>
      <c r="D67" s="43">
        <f t="shared" si="49"/>
        <v>9.8000000000000007</v>
      </c>
      <c r="E67" s="61">
        <f t="shared" si="45"/>
        <v>1.8130000000000002</v>
      </c>
      <c r="F67" s="44">
        <f t="shared" si="60"/>
        <v>18.5</v>
      </c>
      <c r="G67" s="44">
        <f t="shared" si="51"/>
        <v>14.8</v>
      </c>
      <c r="H67" s="44">
        <f t="shared" si="52"/>
        <v>9.25</v>
      </c>
      <c r="I67" s="44">
        <f t="shared" si="61"/>
        <v>8</v>
      </c>
      <c r="J67" s="45">
        <f>yaw_max</f>
        <v>8</v>
      </c>
      <c r="K67" s="37" t="str">
        <f>D67&amp;-9</f>
        <v>9.8-9</v>
      </c>
      <c r="L67" s="44">
        <f t="shared" si="62"/>
        <v>0.2</v>
      </c>
      <c r="M67" s="44">
        <f t="shared" si="63"/>
        <v>150</v>
      </c>
      <c r="N67" s="44">
        <f t="shared" si="64"/>
        <v>160</v>
      </c>
      <c r="O67" s="44">
        <f t="shared" si="65"/>
        <v>210</v>
      </c>
      <c r="P67" s="72">
        <v>1</v>
      </c>
    </row>
    <row r="68" spans="1:16" x14ac:dyDescent="0.25">
      <c r="A68" s="41" t="e">
        <f t="shared" ref="A68" si="84">A67+1</f>
        <v>#REF!</v>
      </c>
      <c r="B68" s="42">
        <f>B67+1</f>
        <v>58</v>
      </c>
      <c r="C68" s="41" t="s">
        <v>319</v>
      </c>
      <c r="D68" s="43">
        <f t="shared" si="49"/>
        <v>9.8000000000000007</v>
      </c>
      <c r="E68" s="61">
        <f t="shared" si="45"/>
        <v>1.8130000000000002</v>
      </c>
      <c r="F68" s="44">
        <f t="shared" si="60"/>
        <v>18.5</v>
      </c>
      <c r="G68" s="44">
        <f t="shared" si="51"/>
        <v>14.8</v>
      </c>
      <c r="H68" s="44">
        <f t="shared" si="52"/>
        <v>9.25</v>
      </c>
      <c r="I68" s="44">
        <f t="shared" si="61"/>
        <v>8</v>
      </c>
      <c r="J68" s="45">
        <f>yaw_max</f>
        <v>8</v>
      </c>
      <c r="K68" s="37" t="str">
        <f>D68&amp;-10</f>
        <v>9.8-10</v>
      </c>
      <c r="L68" s="44">
        <f t="shared" si="62"/>
        <v>0.2</v>
      </c>
      <c r="M68" s="44">
        <f t="shared" si="63"/>
        <v>150</v>
      </c>
      <c r="N68" s="44">
        <f t="shared" si="64"/>
        <v>160</v>
      </c>
      <c r="O68" s="44">
        <f t="shared" si="65"/>
        <v>210</v>
      </c>
      <c r="P68" s="72">
        <v>1</v>
      </c>
    </row>
    <row r="69" spans="1:16" x14ac:dyDescent="0.25">
      <c r="A69" s="41" t="e">
        <f t="shared" ref="A69" si="85">A68+1</f>
        <v>#REF!</v>
      </c>
      <c r="B69" s="42">
        <f>B68+1</f>
        <v>59</v>
      </c>
      <c r="C69" s="41" t="s">
        <v>320</v>
      </c>
      <c r="D69" s="43">
        <f t="shared" si="49"/>
        <v>9.8000000000000007</v>
      </c>
      <c r="E69" s="61">
        <f t="shared" si="45"/>
        <v>1.8130000000000002</v>
      </c>
      <c r="F69" s="44">
        <f t="shared" si="60"/>
        <v>18.5</v>
      </c>
      <c r="G69" s="44">
        <f t="shared" si="51"/>
        <v>14.8</v>
      </c>
      <c r="H69" s="44">
        <f t="shared" si="52"/>
        <v>9.25</v>
      </c>
      <c r="I69" s="44">
        <f t="shared" si="61"/>
        <v>8</v>
      </c>
      <c r="J69" s="45">
        <f>yaw_max</f>
        <v>8</v>
      </c>
      <c r="K69" s="37" t="str">
        <f>D69&amp;-11</f>
        <v>9.8-11</v>
      </c>
      <c r="L69" s="44">
        <f t="shared" si="62"/>
        <v>0.2</v>
      </c>
      <c r="M69" s="44">
        <f t="shared" si="63"/>
        <v>150</v>
      </c>
      <c r="N69" s="44">
        <f t="shared" si="64"/>
        <v>160</v>
      </c>
      <c r="O69" s="44">
        <f t="shared" si="65"/>
        <v>210</v>
      </c>
      <c r="P69" s="72">
        <v>1</v>
      </c>
    </row>
    <row r="70" spans="1:16" x14ac:dyDescent="0.25">
      <c r="A70" s="41" t="e">
        <f t="shared" ref="A70:B70" si="86">A69+1</f>
        <v>#REF!</v>
      </c>
      <c r="B70" s="42">
        <f t="shared" si="86"/>
        <v>60</v>
      </c>
      <c r="C70" s="41" t="s">
        <v>321</v>
      </c>
      <c r="D70" s="43">
        <f t="shared" si="49"/>
        <v>9.8000000000000007</v>
      </c>
      <c r="E70" s="61">
        <f t="shared" si="45"/>
        <v>1.8130000000000002</v>
      </c>
      <c r="F70" s="44">
        <f t="shared" si="60"/>
        <v>18.5</v>
      </c>
      <c r="G70" s="44">
        <f t="shared" si="51"/>
        <v>14.8</v>
      </c>
      <c r="H70" s="44">
        <f t="shared" si="52"/>
        <v>9.25</v>
      </c>
      <c r="I70" s="44">
        <f t="shared" si="61"/>
        <v>8</v>
      </c>
      <c r="J70" s="45">
        <f>yaw_max</f>
        <v>8</v>
      </c>
      <c r="K70" s="37" t="str">
        <f>D70&amp;-12</f>
        <v>9.8-12</v>
      </c>
      <c r="L70" s="44">
        <f t="shared" si="62"/>
        <v>0.2</v>
      </c>
      <c r="M70" s="44">
        <f t="shared" si="63"/>
        <v>150</v>
      </c>
      <c r="N70" s="44">
        <f t="shared" si="64"/>
        <v>160</v>
      </c>
      <c r="O70" s="44">
        <f t="shared" si="65"/>
        <v>210</v>
      </c>
      <c r="P70" s="72">
        <v>1</v>
      </c>
    </row>
    <row r="71" spans="1:16" x14ac:dyDescent="0.25">
      <c r="A71" s="41" t="e">
        <f t="shared" ref="A71:B71" si="87">A70+1</f>
        <v>#REF!</v>
      </c>
      <c r="B71" s="42">
        <f t="shared" si="87"/>
        <v>61</v>
      </c>
      <c r="C71" s="41" t="s">
        <v>322</v>
      </c>
      <c r="D71" s="43">
        <f t="shared" si="49"/>
        <v>9.8000000000000007</v>
      </c>
      <c r="E71" s="61">
        <f t="shared" si="45"/>
        <v>1.8130000000000002</v>
      </c>
      <c r="F71" s="44">
        <f t="shared" si="60"/>
        <v>18.5</v>
      </c>
      <c r="G71" s="44">
        <f t="shared" si="51"/>
        <v>14.8</v>
      </c>
      <c r="H71" s="44">
        <f t="shared" si="52"/>
        <v>9.25</v>
      </c>
      <c r="I71" s="44">
        <f t="shared" si="61"/>
        <v>8</v>
      </c>
      <c r="J71" s="45">
        <f>yaw_min</f>
        <v>-8</v>
      </c>
      <c r="K71" s="37" t="str">
        <f>D71&amp;-1</f>
        <v>9.8-1</v>
      </c>
      <c r="L71" s="44">
        <f t="shared" si="62"/>
        <v>0.2</v>
      </c>
      <c r="M71" s="44">
        <f t="shared" si="63"/>
        <v>150</v>
      </c>
      <c r="N71" s="44">
        <f t="shared" si="64"/>
        <v>160</v>
      </c>
      <c r="O71" s="44">
        <f t="shared" si="65"/>
        <v>210</v>
      </c>
      <c r="P71" s="72">
        <f t="shared" ref="P71:P82" si="88">Btorque_2</f>
        <v>1.1499999999999999</v>
      </c>
    </row>
    <row r="72" spans="1:16" x14ac:dyDescent="0.25">
      <c r="A72" s="41" t="e">
        <f t="shared" ref="A72:B72" si="89">A71+1</f>
        <v>#REF!</v>
      </c>
      <c r="B72" s="42">
        <f t="shared" si="89"/>
        <v>62</v>
      </c>
      <c r="C72" s="41" t="s">
        <v>323</v>
      </c>
      <c r="D72" s="43">
        <f t="shared" si="49"/>
        <v>9.8000000000000007</v>
      </c>
      <c r="E72" s="61">
        <f t="shared" si="45"/>
        <v>1.8130000000000002</v>
      </c>
      <c r="F72" s="44">
        <f t="shared" si="60"/>
        <v>18.5</v>
      </c>
      <c r="G72" s="44">
        <f t="shared" si="51"/>
        <v>14.8</v>
      </c>
      <c r="H72" s="44">
        <f t="shared" si="52"/>
        <v>9.25</v>
      </c>
      <c r="I72" s="44">
        <f t="shared" si="61"/>
        <v>8</v>
      </c>
      <c r="J72" s="45">
        <f>yaw_min</f>
        <v>-8</v>
      </c>
      <c r="K72" s="37" t="str">
        <f>D72&amp;-2</f>
        <v>9.8-2</v>
      </c>
      <c r="L72" s="44">
        <f t="shared" si="62"/>
        <v>0.2</v>
      </c>
      <c r="M72" s="44">
        <f t="shared" si="63"/>
        <v>150</v>
      </c>
      <c r="N72" s="44">
        <f t="shared" si="64"/>
        <v>160</v>
      </c>
      <c r="O72" s="44">
        <f t="shared" si="65"/>
        <v>210</v>
      </c>
      <c r="P72" s="72">
        <f t="shared" si="88"/>
        <v>1.1499999999999999</v>
      </c>
    </row>
    <row r="73" spans="1:16" x14ac:dyDescent="0.25">
      <c r="A73" s="41" t="e">
        <f t="shared" ref="A73:B73" si="90">A72+1</f>
        <v>#REF!</v>
      </c>
      <c r="B73" s="42">
        <f t="shared" si="90"/>
        <v>63</v>
      </c>
      <c r="C73" s="41" t="s">
        <v>324</v>
      </c>
      <c r="D73" s="43">
        <f t="shared" si="49"/>
        <v>9.8000000000000007</v>
      </c>
      <c r="E73" s="61">
        <f t="shared" si="45"/>
        <v>1.8130000000000002</v>
      </c>
      <c r="F73" s="44">
        <f t="shared" si="60"/>
        <v>18.5</v>
      </c>
      <c r="G73" s="44">
        <f t="shared" si="51"/>
        <v>14.8</v>
      </c>
      <c r="H73" s="44">
        <f t="shared" si="52"/>
        <v>9.25</v>
      </c>
      <c r="I73" s="44">
        <f t="shared" si="61"/>
        <v>8</v>
      </c>
      <c r="J73" s="45">
        <f>yaw_min</f>
        <v>-8</v>
      </c>
      <c r="K73" s="37" t="str">
        <f>D73&amp;-3</f>
        <v>9.8-3</v>
      </c>
      <c r="L73" s="44">
        <f t="shared" si="62"/>
        <v>0.2</v>
      </c>
      <c r="M73" s="44">
        <f t="shared" si="63"/>
        <v>150</v>
      </c>
      <c r="N73" s="44">
        <f t="shared" si="64"/>
        <v>160</v>
      </c>
      <c r="O73" s="44">
        <f t="shared" si="65"/>
        <v>210</v>
      </c>
      <c r="P73" s="72">
        <f t="shared" si="88"/>
        <v>1.1499999999999999</v>
      </c>
    </row>
    <row r="74" spans="1:16" x14ac:dyDescent="0.25">
      <c r="A74" s="41" t="e">
        <f t="shared" ref="A74:B74" si="91">A73+1</f>
        <v>#REF!</v>
      </c>
      <c r="B74" s="42">
        <f t="shared" si="91"/>
        <v>64</v>
      </c>
      <c r="C74" s="41" t="s">
        <v>325</v>
      </c>
      <c r="D74" s="43">
        <f t="shared" si="49"/>
        <v>9.8000000000000007</v>
      </c>
      <c r="E74" s="61">
        <f t="shared" si="45"/>
        <v>1.8130000000000002</v>
      </c>
      <c r="F74" s="44">
        <f t="shared" si="60"/>
        <v>18.5</v>
      </c>
      <c r="G74" s="44">
        <f t="shared" si="51"/>
        <v>14.8</v>
      </c>
      <c r="H74" s="44">
        <f t="shared" si="52"/>
        <v>9.25</v>
      </c>
      <c r="I74" s="44">
        <f t="shared" si="61"/>
        <v>8</v>
      </c>
      <c r="J74" s="45">
        <f>yaw_min</f>
        <v>-8</v>
      </c>
      <c r="K74" s="37" t="str">
        <f>D74&amp;-4</f>
        <v>9.8-4</v>
      </c>
      <c r="L74" s="44">
        <f t="shared" si="62"/>
        <v>0.2</v>
      </c>
      <c r="M74" s="44">
        <f t="shared" si="63"/>
        <v>150</v>
      </c>
      <c r="N74" s="44">
        <f t="shared" si="64"/>
        <v>160</v>
      </c>
      <c r="O74" s="44">
        <f t="shared" si="65"/>
        <v>210</v>
      </c>
      <c r="P74" s="72">
        <f t="shared" si="88"/>
        <v>1.1499999999999999</v>
      </c>
    </row>
    <row r="75" spans="1:16" x14ac:dyDescent="0.25">
      <c r="A75" s="41" t="e">
        <f t="shared" ref="A75:B75" si="92">A74+1</f>
        <v>#REF!</v>
      </c>
      <c r="B75" s="42">
        <f t="shared" si="92"/>
        <v>65</v>
      </c>
      <c r="C75" s="41" t="s">
        <v>326</v>
      </c>
      <c r="D75" s="43">
        <f t="shared" si="49"/>
        <v>9.8000000000000007</v>
      </c>
      <c r="E75" s="61">
        <f t="shared" ref="E75:E106" si="93">I_ref*(0.75*D75+5.6)</f>
        <v>1.8130000000000002</v>
      </c>
      <c r="F75" s="44">
        <f t="shared" si="60"/>
        <v>18.5</v>
      </c>
      <c r="G75" s="44">
        <f t="shared" si="51"/>
        <v>14.8</v>
      </c>
      <c r="H75" s="44">
        <f t="shared" si="52"/>
        <v>9.25</v>
      </c>
      <c r="I75" s="44">
        <f t="shared" si="61"/>
        <v>8</v>
      </c>
      <c r="J75" s="45">
        <f>yaw_null</f>
        <v>0</v>
      </c>
      <c r="K75" s="37" t="str">
        <f>D75&amp;-5</f>
        <v>9.8-5</v>
      </c>
      <c r="L75" s="44">
        <f t="shared" si="62"/>
        <v>0.2</v>
      </c>
      <c r="M75" s="44">
        <f t="shared" si="63"/>
        <v>150</v>
      </c>
      <c r="N75" s="44">
        <f t="shared" si="64"/>
        <v>160</v>
      </c>
      <c r="O75" s="44">
        <f t="shared" si="65"/>
        <v>210</v>
      </c>
      <c r="P75" s="72">
        <f t="shared" si="88"/>
        <v>1.1499999999999999</v>
      </c>
    </row>
    <row r="76" spans="1:16" x14ac:dyDescent="0.25">
      <c r="A76" s="41" t="e">
        <f t="shared" ref="A76:B76" si="94">A75+1</f>
        <v>#REF!</v>
      </c>
      <c r="B76" s="42">
        <f t="shared" si="94"/>
        <v>66</v>
      </c>
      <c r="C76" s="41" t="s">
        <v>327</v>
      </c>
      <c r="D76" s="43">
        <f t="shared" si="49"/>
        <v>9.8000000000000007</v>
      </c>
      <c r="E76" s="61">
        <f t="shared" si="93"/>
        <v>1.8130000000000002</v>
      </c>
      <c r="F76" s="44">
        <f t="shared" si="60"/>
        <v>18.5</v>
      </c>
      <c r="G76" s="44">
        <f t="shared" si="51"/>
        <v>14.8</v>
      </c>
      <c r="H76" s="44">
        <f t="shared" si="52"/>
        <v>9.25</v>
      </c>
      <c r="I76" s="44">
        <f t="shared" si="61"/>
        <v>8</v>
      </c>
      <c r="J76" s="45">
        <f>yaw_null</f>
        <v>0</v>
      </c>
      <c r="K76" s="37" t="str">
        <f>D76&amp;-6</f>
        <v>9.8-6</v>
      </c>
      <c r="L76" s="44">
        <f t="shared" si="62"/>
        <v>0.2</v>
      </c>
      <c r="M76" s="44">
        <f t="shared" si="63"/>
        <v>150</v>
      </c>
      <c r="N76" s="44">
        <f t="shared" si="64"/>
        <v>160</v>
      </c>
      <c r="O76" s="44">
        <f t="shared" si="65"/>
        <v>210</v>
      </c>
      <c r="P76" s="72">
        <f t="shared" si="88"/>
        <v>1.1499999999999999</v>
      </c>
    </row>
    <row r="77" spans="1:16" x14ac:dyDescent="0.25">
      <c r="A77" s="41" t="e">
        <f t="shared" ref="A77:B77" si="95">A76+1</f>
        <v>#REF!</v>
      </c>
      <c r="B77" s="42">
        <f t="shared" si="95"/>
        <v>67</v>
      </c>
      <c r="C77" s="41" t="s">
        <v>328</v>
      </c>
      <c r="D77" s="43">
        <f t="shared" si="49"/>
        <v>9.8000000000000007</v>
      </c>
      <c r="E77" s="61">
        <f t="shared" si="93"/>
        <v>1.8130000000000002</v>
      </c>
      <c r="F77" s="44">
        <f t="shared" si="60"/>
        <v>18.5</v>
      </c>
      <c r="G77" s="44">
        <f t="shared" si="51"/>
        <v>14.8</v>
      </c>
      <c r="H77" s="44">
        <f t="shared" si="52"/>
        <v>9.25</v>
      </c>
      <c r="I77" s="44">
        <f t="shared" si="61"/>
        <v>8</v>
      </c>
      <c r="J77" s="45">
        <f>yaw_null</f>
        <v>0</v>
      </c>
      <c r="K77" s="37" t="str">
        <f>D77&amp;-7</f>
        <v>9.8-7</v>
      </c>
      <c r="L77" s="44">
        <f t="shared" si="62"/>
        <v>0.2</v>
      </c>
      <c r="M77" s="44">
        <f t="shared" si="63"/>
        <v>150</v>
      </c>
      <c r="N77" s="44">
        <f t="shared" si="64"/>
        <v>160</v>
      </c>
      <c r="O77" s="44">
        <f t="shared" si="65"/>
        <v>210</v>
      </c>
      <c r="P77" s="72">
        <f t="shared" si="88"/>
        <v>1.1499999999999999</v>
      </c>
    </row>
    <row r="78" spans="1:16" x14ac:dyDescent="0.25">
      <c r="A78" s="41" t="e">
        <f t="shared" ref="A78:B78" si="96">A77+1</f>
        <v>#REF!</v>
      </c>
      <c r="B78" s="42">
        <f t="shared" si="96"/>
        <v>68</v>
      </c>
      <c r="C78" s="41" t="s">
        <v>329</v>
      </c>
      <c r="D78" s="43">
        <f t="shared" si="49"/>
        <v>9.8000000000000007</v>
      </c>
      <c r="E78" s="61">
        <f t="shared" si="93"/>
        <v>1.8130000000000002</v>
      </c>
      <c r="F78" s="44">
        <f t="shared" si="60"/>
        <v>18.5</v>
      </c>
      <c r="G78" s="44">
        <f t="shared" si="51"/>
        <v>14.8</v>
      </c>
      <c r="H78" s="44">
        <f t="shared" si="52"/>
        <v>9.25</v>
      </c>
      <c r="I78" s="44">
        <f t="shared" si="61"/>
        <v>8</v>
      </c>
      <c r="J78" s="45">
        <f>yaw_null</f>
        <v>0</v>
      </c>
      <c r="K78" s="37" t="str">
        <f>D78&amp;-8</f>
        <v>9.8-8</v>
      </c>
      <c r="L78" s="44">
        <f t="shared" si="62"/>
        <v>0.2</v>
      </c>
      <c r="M78" s="44">
        <f t="shared" si="63"/>
        <v>150</v>
      </c>
      <c r="N78" s="44">
        <f t="shared" si="64"/>
        <v>160</v>
      </c>
      <c r="O78" s="44">
        <f t="shared" si="65"/>
        <v>210</v>
      </c>
      <c r="P78" s="72">
        <f t="shared" si="88"/>
        <v>1.1499999999999999</v>
      </c>
    </row>
    <row r="79" spans="1:16" x14ac:dyDescent="0.25">
      <c r="A79" s="41" t="e">
        <f t="shared" ref="A79" si="97">A78+1</f>
        <v>#REF!</v>
      </c>
      <c r="B79" s="42">
        <f>B78+1</f>
        <v>69</v>
      </c>
      <c r="C79" s="41" t="s">
        <v>330</v>
      </c>
      <c r="D79" s="43">
        <f t="shared" si="49"/>
        <v>9.8000000000000007</v>
      </c>
      <c r="E79" s="61">
        <f t="shared" si="93"/>
        <v>1.8130000000000002</v>
      </c>
      <c r="F79" s="44">
        <f t="shared" si="60"/>
        <v>18.5</v>
      </c>
      <c r="G79" s="44">
        <f t="shared" si="51"/>
        <v>14.8</v>
      </c>
      <c r="H79" s="44">
        <f t="shared" si="52"/>
        <v>9.25</v>
      </c>
      <c r="I79" s="44">
        <f t="shared" si="61"/>
        <v>8</v>
      </c>
      <c r="J79" s="45">
        <f>yaw_max</f>
        <v>8</v>
      </c>
      <c r="K79" s="37" t="str">
        <f>D79&amp;-9</f>
        <v>9.8-9</v>
      </c>
      <c r="L79" s="44">
        <f t="shared" si="62"/>
        <v>0.2</v>
      </c>
      <c r="M79" s="44">
        <f t="shared" si="63"/>
        <v>150</v>
      </c>
      <c r="N79" s="44">
        <f t="shared" si="64"/>
        <v>160</v>
      </c>
      <c r="O79" s="44">
        <f t="shared" si="65"/>
        <v>210</v>
      </c>
      <c r="P79" s="72">
        <f t="shared" si="88"/>
        <v>1.1499999999999999</v>
      </c>
    </row>
    <row r="80" spans="1:16" x14ac:dyDescent="0.25">
      <c r="A80" s="41" t="e">
        <f t="shared" ref="A80" si="98">A79+1</f>
        <v>#REF!</v>
      </c>
      <c r="B80" s="42">
        <f>B79+1</f>
        <v>70</v>
      </c>
      <c r="C80" s="41" t="s">
        <v>331</v>
      </c>
      <c r="D80" s="43">
        <f t="shared" si="49"/>
        <v>9.8000000000000007</v>
      </c>
      <c r="E80" s="61">
        <f t="shared" si="93"/>
        <v>1.8130000000000002</v>
      </c>
      <c r="F80" s="44">
        <f t="shared" si="60"/>
        <v>18.5</v>
      </c>
      <c r="G80" s="44">
        <f t="shared" si="51"/>
        <v>14.8</v>
      </c>
      <c r="H80" s="44">
        <f t="shared" si="52"/>
        <v>9.25</v>
      </c>
      <c r="I80" s="44">
        <f t="shared" si="61"/>
        <v>8</v>
      </c>
      <c r="J80" s="45">
        <f>yaw_max</f>
        <v>8</v>
      </c>
      <c r="K80" s="37" t="str">
        <f>D80&amp;-10</f>
        <v>9.8-10</v>
      </c>
      <c r="L80" s="44">
        <f t="shared" si="62"/>
        <v>0.2</v>
      </c>
      <c r="M80" s="44">
        <f t="shared" si="63"/>
        <v>150</v>
      </c>
      <c r="N80" s="44">
        <f t="shared" si="64"/>
        <v>160</v>
      </c>
      <c r="O80" s="44">
        <f t="shared" si="65"/>
        <v>210</v>
      </c>
      <c r="P80" s="72">
        <f t="shared" si="88"/>
        <v>1.1499999999999999</v>
      </c>
    </row>
    <row r="81" spans="1:16" x14ac:dyDescent="0.25">
      <c r="A81" s="41" t="e">
        <f t="shared" ref="A81" si="99">A80+1</f>
        <v>#REF!</v>
      </c>
      <c r="B81" s="42">
        <f>B80+1</f>
        <v>71</v>
      </c>
      <c r="C81" s="41" t="s">
        <v>332</v>
      </c>
      <c r="D81" s="43">
        <f t="shared" si="49"/>
        <v>9.8000000000000007</v>
      </c>
      <c r="E81" s="61">
        <f t="shared" si="93"/>
        <v>1.8130000000000002</v>
      </c>
      <c r="F81" s="44">
        <f t="shared" si="60"/>
        <v>18.5</v>
      </c>
      <c r="G81" s="44">
        <f t="shared" si="51"/>
        <v>14.8</v>
      </c>
      <c r="H81" s="44">
        <f t="shared" si="52"/>
        <v>9.25</v>
      </c>
      <c r="I81" s="44">
        <f t="shared" si="61"/>
        <v>8</v>
      </c>
      <c r="J81" s="45">
        <f>yaw_max</f>
        <v>8</v>
      </c>
      <c r="K81" s="37" t="str">
        <f>D81&amp;-11</f>
        <v>9.8-11</v>
      </c>
      <c r="L81" s="44">
        <f t="shared" si="62"/>
        <v>0.2</v>
      </c>
      <c r="M81" s="44">
        <f t="shared" si="63"/>
        <v>150</v>
      </c>
      <c r="N81" s="44">
        <f t="shared" si="64"/>
        <v>160</v>
      </c>
      <c r="O81" s="44">
        <f t="shared" si="65"/>
        <v>210</v>
      </c>
      <c r="P81" s="72">
        <f t="shared" si="88"/>
        <v>1.1499999999999999</v>
      </c>
    </row>
    <row r="82" spans="1:16" x14ac:dyDescent="0.25">
      <c r="A82" s="41" t="e">
        <f t="shared" ref="A82:B82" si="100">A81+1</f>
        <v>#REF!</v>
      </c>
      <c r="B82" s="42">
        <f t="shared" si="100"/>
        <v>72</v>
      </c>
      <c r="C82" s="41" t="s">
        <v>333</v>
      </c>
      <c r="D82" s="43">
        <f t="shared" si="49"/>
        <v>9.8000000000000007</v>
      </c>
      <c r="E82" s="61">
        <f t="shared" si="93"/>
        <v>1.8130000000000002</v>
      </c>
      <c r="F82" s="44">
        <f t="shared" si="60"/>
        <v>18.5</v>
      </c>
      <c r="G82" s="44">
        <f t="shared" si="51"/>
        <v>14.8</v>
      </c>
      <c r="H82" s="44">
        <f t="shared" si="52"/>
        <v>9.25</v>
      </c>
      <c r="I82" s="44">
        <f t="shared" si="61"/>
        <v>8</v>
      </c>
      <c r="J82" s="45">
        <f>yaw_max</f>
        <v>8</v>
      </c>
      <c r="K82" s="37" t="str">
        <f>D82&amp;-12</f>
        <v>9.8-12</v>
      </c>
      <c r="L82" s="44">
        <f t="shared" si="62"/>
        <v>0.2</v>
      </c>
      <c r="M82" s="44">
        <f t="shared" si="63"/>
        <v>150</v>
      </c>
      <c r="N82" s="44">
        <f t="shared" si="64"/>
        <v>160</v>
      </c>
      <c r="O82" s="44">
        <f t="shared" si="65"/>
        <v>210</v>
      </c>
      <c r="P82" s="72">
        <f t="shared" si="88"/>
        <v>1.1499999999999999</v>
      </c>
    </row>
    <row r="83" spans="1:16" x14ac:dyDescent="0.25">
      <c r="A83" s="41" t="e">
        <f t="shared" ref="A83:B83" si="101">A82+1</f>
        <v>#REF!</v>
      </c>
      <c r="B83" s="42">
        <f t="shared" si="101"/>
        <v>73</v>
      </c>
      <c r="C83" s="41" t="s">
        <v>334</v>
      </c>
      <c r="D83" s="43">
        <f t="shared" ref="D83:D118" si="102">vr_a</f>
        <v>11.8</v>
      </c>
      <c r="E83" s="61">
        <f t="shared" si="93"/>
        <v>2.0230000000000001</v>
      </c>
      <c r="F83" s="44">
        <f t="shared" si="60"/>
        <v>17.14406779661017</v>
      </c>
      <c r="G83" s="44">
        <f t="shared" ref="G83:G118" si="103">m_ty*F83</f>
        <v>13.715254237288136</v>
      </c>
      <c r="H83" s="44">
        <f t="shared" ref="H83:H118" si="104">m_tz*F83</f>
        <v>8.5720338983050848</v>
      </c>
      <c r="I83" s="44">
        <f t="shared" si="61"/>
        <v>8</v>
      </c>
      <c r="J83" s="45">
        <f>yaw_min</f>
        <v>-8</v>
      </c>
      <c r="K83" s="37" t="str">
        <f>D83&amp;-1</f>
        <v>11.8-1</v>
      </c>
      <c r="L83" s="44">
        <f t="shared" si="62"/>
        <v>0.2</v>
      </c>
      <c r="M83" s="44">
        <f t="shared" si="63"/>
        <v>150</v>
      </c>
      <c r="N83" s="44">
        <f t="shared" si="64"/>
        <v>160</v>
      </c>
      <c r="O83" s="44">
        <f t="shared" si="65"/>
        <v>210</v>
      </c>
      <c r="P83" s="72">
        <f t="shared" ref="P83:P94" si="105">Btorque_1</f>
        <v>0.85</v>
      </c>
    </row>
    <row r="84" spans="1:16" x14ac:dyDescent="0.25">
      <c r="A84" s="41" t="e">
        <f>A83+1</f>
        <v>#REF!</v>
      </c>
      <c r="B84" s="42">
        <f>B83+1</f>
        <v>74</v>
      </c>
      <c r="C84" s="41" t="s">
        <v>335</v>
      </c>
      <c r="D84" s="43">
        <f t="shared" si="102"/>
        <v>11.8</v>
      </c>
      <c r="E84" s="61">
        <f t="shared" si="93"/>
        <v>2.0230000000000001</v>
      </c>
      <c r="F84" s="44">
        <f>E84/D84*100</f>
        <v>17.14406779661017</v>
      </c>
      <c r="G84" s="44">
        <f t="shared" si="103"/>
        <v>13.715254237288136</v>
      </c>
      <c r="H84" s="44">
        <f t="shared" si="104"/>
        <v>8.5720338983050848</v>
      </c>
      <c r="I84" s="44">
        <f>I83</f>
        <v>8</v>
      </c>
      <c r="J84" s="45">
        <f>yaw_min</f>
        <v>-8</v>
      </c>
      <c r="K84" s="37" t="str">
        <f>D84&amp;-2</f>
        <v>11.8-2</v>
      </c>
      <c r="L84" s="44">
        <f>L83</f>
        <v>0.2</v>
      </c>
      <c r="M84" s="44">
        <f>M83</f>
        <v>150</v>
      </c>
      <c r="N84" s="44">
        <f>N83</f>
        <v>160</v>
      </c>
      <c r="O84" s="44">
        <f>O83</f>
        <v>210</v>
      </c>
      <c r="P84" s="72">
        <f t="shared" si="105"/>
        <v>0.85</v>
      </c>
    </row>
    <row r="85" spans="1:16" x14ac:dyDescent="0.25">
      <c r="A85" s="41" t="e">
        <f t="shared" ref="A85:B85" si="106">A84+1</f>
        <v>#REF!</v>
      </c>
      <c r="B85" s="42">
        <f t="shared" si="106"/>
        <v>75</v>
      </c>
      <c r="C85" s="41" t="s">
        <v>336</v>
      </c>
      <c r="D85" s="43">
        <f t="shared" si="102"/>
        <v>11.8</v>
      </c>
      <c r="E85" s="61">
        <f t="shared" si="93"/>
        <v>2.0230000000000001</v>
      </c>
      <c r="F85" s="44">
        <f t="shared" ref="F85:F119" si="107">E85/D85*100</f>
        <v>17.14406779661017</v>
      </c>
      <c r="G85" s="44">
        <f t="shared" si="103"/>
        <v>13.715254237288136</v>
      </c>
      <c r="H85" s="44">
        <f t="shared" si="104"/>
        <v>8.5720338983050848</v>
      </c>
      <c r="I85" s="44">
        <f t="shared" ref="I85:I119" si="108">I84</f>
        <v>8</v>
      </c>
      <c r="J85" s="45">
        <f>yaw_min</f>
        <v>-8</v>
      </c>
      <c r="K85" s="37" t="str">
        <f>D85&amp;-3</f>
        <v>11.8-3</v>
      </c>
      <c r="L85" s="44">
        <f t="shared" ref="L85:L119" si="109">L84</f>
        <v>0.2</v>
      </c>
      <c r="M85" s="44">
        <f t="shared" ref="M85:M119" si="110">M84</f>
        <v>150</v>
      </c>
      <c r="N85" s="44">
        <f t="shared" ref="N85:N119" si="111">N84</f>
        <v>160</v>
      </c>
      <c r="O85" s="44">
        <f t="shared" ref="O85:O119" si="112">O84</f>
        <v>210</v>
      </c>
      <c r="P85" s="72">
        <f t="shared" si="105"/>
        <v>0.85</v>
      </c>
    </row>
    <row r="86" spans="1:16" x14ac:dyDescent="0.25">
      <c r="A86" s="41" t="e">
        <f t="shared" ref="A86:B86" si="113">A85+1</f>
        <v>#REF!</v>
      </c>
      <c r="B86" s="42">
        <f t="shared" si="113"/>
        <v>76</v>
      </c>
      <c r="C86" s="41" t="s">
        <v>337</v>
      </c>
      <c r="D86" s="43">
        <f t="shared" si="102"/>
        <v>11.8</v>
      </c>
      <c r="E86" s="61">
        <f t="shared" si="93"/>
        <v>2.0230000000000001</v>
      </c>
      <c r="F86" s="44">
        <f t="shared" si="107"/>
        <v>17.14406779661017</v>
      </c>
      <c r="G86" s="44">
        <f t="shared" si="103"/>
        <v>13.715254237288136</v>
      </c>
      <c r="H86" s="44">
        <f t="shared" si="104"/>
        <v>8.5720338983050848</v>
      </c>
      <c r="I86" s="44">
        <f t="shared" si="108"/>
        <v>8</v>
      </c>
      <c r="J86" s="45">
        <f>yaw_min</f>
        <v>-8</v>
      </c>
      <c r="K86" s="37" t="str">
        <f>D86&amp;-4</f>
        <v>11.8-4</v>
      </c>
      <c r="L86" s="44">
        <f t="shared" si="109"/>
        <v>0.2</v>
      </c>
      <c r="M86" s="44">
        <f t="shared" si="110"/>
        <v>150</v>
      </c>
      <c r="N86" s="44">
        <f t="shared" si="111"/>
        <v>160</v>
      </c>
      <c r="O86" s="44">
        <f t="shared" si="112"/>
        <v>210</v>
      </c>
      <c r="P86" s="72">
        <f t="shared" si="105"/>
        <v>0.85</v>
      </c>
    </row>
    <row r="87" spans="1:16" x14ac:dyDescent="0.25">
      <c r="A87" s="41" t="e">
        <f t="shared" ref="A87:B87" si="114">A86+1</f>
        <v>#REF!</v>
      </c>
      <c r="B87" s="42">
        <f t="shared" si="114"/>
        <v>77</v>
      </c>
      <c r="C87" s="41" t="s">
        <v>338</v>
      </c>
      <c r="D87" s="43">
        <f t="shared" si="102"/>
        <v>11.8</v>
      </c>
      <c r="E87" s="61">
        <f t="shared" si="93"/>
        <v>2.0230000000000001</v>
      </c>
      <c r="F87" s="44">
        <f t="shared" si="107"/>
        <v>17.14406779661017</v>
      </c>
      <c r="G87" s="44">
        <f t="shared" si="103"/>
        <v>13.715254237288136</v>
      </c>
      <c r="H87" s="44">
        <f t="shared" si="104"/>
        <v>8.5720338983050848</v>
      </c>
      <c r="I87" s="44">
        <f t="shared" si="108"/>
        <v>8</v>
      </c>
      <c r="J87" s="45">
        <f>yaw_null</f>
        <v>0</v>
      </c>
      <c r="K87" s="37" t="str">
        <f>D87&amp;-5</f>
        <v>11.8-5</v>
      </c>
      <c r="L87" s="44">
        <f t="shared" si="109"/>
        <v>0.2</v>
      </c>
      <c r="M87" s="44">
        <f t="shared" si="110"/>
        <v>150</v>
      </c>
      <c r="N87" s="44">
        <f t="shared" si="111"/>
        <v>160</v>
      </c>
      <c r="O87" s="44">
        <f t="shared" si="112"/>
        <v>210</v>
      </c>
      <c r="P87" s="72">
        <f t="shared" si="105"/>
        <v>0.85</v>
      </c>
    </row>
    <row r="88" spans="1:16" x14ac:dyDescent="0.25">
      <c r="A88" s="41" t="e">
        <f t="shared" ref="A88:B88" si="115">A87+1</f>
        <v>#REF!</v>
      </c>
      <c r="B88" s="42">
        <f t="shared" si="115"/>
        <v>78</v>
      </c>
      <c r="C88" s="41" t="s">
        <v>339</v>
      </c>
      <c r="D88" s="43">
        <f t="shared" si="102"/>
        <v>11.8</v>
      </c>
      <c r="E88" s="61">
        <f t="shared" si="93"/>
        <v>2.0230000000000001</v>
      </c>
      <c r="F88" s="44">
        <f t="shared" si="107"/>
        <v>17.14406779661017</v>
      </c>
      <c r="G88" s="44">
        <f t="shared" si="103"/>
        <v>13.715254237288136</v>
      </c>
      <c r="H88" s="44">
        <f t="shared" si="104"/>
        <v>8.5720338983050848</v>
      </c>
      <c r="I88" s="44">
        <f t="shared" si="108"/>
        <v>8</v>
      </c>
      <c r="J88" s="45">
        <f>yaw_null</f>
        <v>0</v>
      </c>
      <c r="K88" s="37" t="str">
        <f>D88&amp;-6</f>
        <v>11.8-6</v>
      </c>
      <c r="L88" s="44">
        <f t="shared" si="109"/>
        <v>0.2</v>
      </c>
      <c r="M88" s="44">
        <f t="shared" si="110"/>
        <v>150</v>
      </c>
      <c r="N88" s="44">
        <f t="shared" si="111"/>
        <v>160</v>
      </c>
      <c r="O88" s="44">
        <f t="shared" si="112"/>
        <v>210</v>
      </c>
      <c r="P88" s="72">
        <f t="shared" si="105"/>
        <v>0.85</v>
      </c>
    </row>
    <row r="89" spans="1:16" x14ac:dyDescent="0.25">
      <c r="A89" s="41" t="e">
        <f t="shared" ref="A89:B89" si="116">A88+1</f>
        <v>#REF!</v>
      </c>
      <c r="B89" s="42">
        <f t="shared" si="116"/>
        <v>79</v>
      </c>
      <c r="C89" s="41" t="s">
        <v>340</v>
      </c>
      <c r="D89" s="43">
        <f t="shared" si="102"/>
        <v>11.8</v>
      </c>
      <c r="E89" s="61">
        <f t="shared" si="93"/>
        <v>2.0230000000000001</v>
      </c>
      <c r="F89" s="44">
        <f t="shared" si="107"/>
        <v>17.14406779661017</v>
      </c>
      <c r="G89" s="44">
        <f t="shared" si="103"/>
        <v>13.715254237288136</v>
      </c>
      <c r="H89" s="44">
        <f t="shared" si="104"/>
        <v>8.5720338983050848</v>
      </c>
      <c r="I89" s="44">
        <f t="shared" si="108"/>
        <v>8</v>
      </c>
      <c r="J89" s="45">
        <f>yaw_null</f>
        <v>0</v>
      </c>
      <c r="K89" s="37" t="str">
        <f>D89&amp;-7</f>
        <v>11.8-7</v>
      </c>
      <c r="L89" s="44">
        <f t="shared" si="109"/>
        <v>0.2</v>
      </c>
      <c r="M89" s="44">
        <f t="shared" si="110"/>
        <v>150</v>
      </c>
      <c r="N89" s="44">
        <f t="shared" si="111"/>
        <v>160</v>
      </c>
      <c r="O89" s="44">
        <f t="shared" si="112"/>
        <v>210</v>
      </c>
      <c r="P89" s="72">
        <f t="shared" si="105"/>
        <v>0.85</v>
      </c>
    </row>
    <row r="90" spans="1:16" x14ac:dyDescent="0.25">
      <c r="A90" s="41" t="e">
        <f t="shared" ref="A90:B90" si="117">A89+1</f>
        <v>#REF!</v>
      </c>
      <c r="B90" s="42">
        <f t="shared" si="117"/>
        <v>80</v>
      </c>
      <c r="C90" s="41" t="s">
        <v>341</v>
      </c>
      <c r="D90" s="43">
        <f t="shared" si="102"/>
        <v>11.8</v>
      </c>
      <c r="E90" s="61">
        <f t="shared" si="93"/>
        <v>2.0230000000000001</v>
      </c>
      <c r="F90" s="44">
        <f t="shared" si="107"/>
        <v>17.14406779661017</v>
      </c>
      <c r="G90" s="44">
        <f t="shared" si="103"/>
        <v>13.715254237288136</v>
      </c>
      <c r="H90" s="44">
        <f t="shared" si="104"/>
        <v>8.5720338983050848</v>
      </c>
      <c r="I90" s="44">
        <f t="shared" si="108"/>
        <v>8</v>
      </c>
      <c r="J90" s="45">
        <f>yaw_null</f>
        <v>0</v>
      </c>
      <c r="K90" s="37" t="str">
        <f>D90&amp;-8</f>
        <v>11.8-8</v>
      </c>
      <c r="L90" s="44">
        <f t="shared" si="109"/>
        <v>0.2</v>
      </c>
      <c r="M90" s="44">
        <f t="shared" si="110"/>
        <v>150</v>
      </c>
      <c r="N90" s="44">
        <f t="shared" si="111"/>
        <v>160</v>
      </c>
      <c r="O90" s="44">
        <f t="shared" si="112"/>
        <v>210</v>
      </c>
      <c r="P90" s="72">
        <f t="shared" si="105"/>
        <v>0.85</v>
      </c>
    </row>
    <row r="91" spans="1:16" x14ac:dyDescent="0.25">
      <c r="A91" s="41" t="e">
        <f t="shared" ref="A91" si="118">A90+1</f>
        <v>#REF!</v>
      </c>
      <c r="B91" s="42">
        <f>B90+1</f>
        <v>81</v>
      </c>
      <c r="C91" s="41" t="s">
        <v>342</v>
      </c>
      <c r="D91" s="43">
        <f t="shared" si="102"/>
        <v>11.8</v>
      </c>
      <c r="E91" s="61">
        <f t="shared" si="93"/>
        <v>2.0230000000000001</v>
      </c>
      <c r="F91" s="44">
        <f t="shared" si="107"/>
        <v>17.14406779661017</v>
      </c>
      <c r="G91" s="44">
        <f t="shared" si="103"/>
        <v>13.715254237288136</v>
      </c>
      <c r="H91" s="44">
        <f t="shared" si="104"/>
        <v>8.5720338983050848</v>
      </c>
      <c r="I91" s="44">
        <f t="shared" si="108"/>
        <v>8</v>
      </c>
      <c r="J91" s="45">
        <f>yaw_max</f>
        <v>8</v>
      </c>
      <c r="K91" s="37" t="str">
        <f>D91&amp;-9</f>
        <v>11.8-9</v>
      </c>
      <c r="L91" s="44">
        <f t="shared" si="109"/>
        <v>0.2</v>
      </c>
      <c r="M91" s="44">
        <f t="shared" si="110"/>
        <v>150</v>
      </c>
      <c r="N91" s="44">
        <f t="shared" si="111"/>
        <v>160</v>
      </c>
      <c r="O91" s="44">
        <f t="shared" si="112"/>
        <v>210</v>
      </c>
      <c r="P91" s="72">
        <f t="shared" si="105"/>
        <v>0.85</v>
      </c>
    </row>
    <row r="92" spans="1:16" x14ac:dyDescent="0.25">
      <c r="A92" s="41" t="e">
        <f t="shared" ref="A92" si="119">A91+1</f>
        <v>#REF!</v>
      </c>
      <c r="B92" s="42">
        <f>B91+1</f>
        <v>82</v>
      </c>
      <c r="C92" s="41" t="s">
        <v>343</v>
      </c>
      <c r="D92" s="43">
        <f t="shared" si="102"/>
        <v>11.8</v>
      </c>
      <c r="E92" s="61">
        <f t="shared" si="93"/>
        <v>2.0230000000000001</v>
      </c>
      <c r="F92" s="44">
        <f t="shared" si="107"/>
        <v>17.14406779661017</v>
      </c>
      <c r="G92" s="44">
        <f t="shared" si="103"/>
        <v>13.715254237288136</v>
      </c>
      <c r="H92" s="44">
        <f t="shared" si="104"/>
        <v>8.5720338983050848</v>
      </c>
      <c r="I92" s="44">
        <f t="shared" si="108"/>
        <v>8</v>
      </c>
      <c r="J92" s="45">
        <f>yaw_max</f>
        <v>8</v>
      </c>
      <c r="K92" s="37" t="str">
        <f>D92&amp;-10</f>
        <v>11.8-10</v>
      </c>
      <c r="L92" s="44">
        <f t="shared" si="109"/>
        <v>0.2</v>
      </c>
      <c r="M92" s="44">
        <f t="shared" si="110"/>
        <v>150</v>
      </c>
      <c r="N92" s="44">
        <f t="shared" si="111"/>
        <v>160</v>
      </c>
      <c r="O92" s="44">
        <f t="shared" si="112"/>
        <v>210</v>
      </c>
      <c r="P92" s="72">
        <f t="shared" si="105"/>
        <v>0.85</v>
      </c>
    </row>
    <row r="93" spans="1:16" x14ac:dyDescent="0.25">
      <c r="A93" s="41" t="e">
        <f t="shared" ref="A93" si="120">A92+1</f>
        <v>#REF!</v>
      </c>
      <c r="B93" s="42">
        <f>B92+1</f>
        <v>83</v>
      </c>
      <c r="C93" s="41" t="s">
        <v>344</v>
      </c>
      <c r="D93" s="43">
        <f t="shared" si="102"/>
        <v>11.8</v>
      </c>
      <c r="E93" s="61">
        <f t="shared" si="93"/>
        <v>2.0230000000000001</v>
      </c>
      <c r="F93" s="44">
        <f t="shared" si="107"/>
        <v>17.14406779661017</v>
      </c>
      <c r="G93" s="44">
        <f t="shared" si="103"/>
        <v>13.715254237288136</v>
      </c>
      <c r="H93" s="44">
        <f t="shared" si="104"/>
        <v>8.5720338983050848</v>
      </c>
      <c r="I93" s="44">
        <f t="shared" si="108"/>
        <v>8</v>
      </c>
      <c r="J93" s="45">
        <f>yaw_max</f>
        <v>8</v>
      </c>
      <c r="K93" s="37" t="str">
        <f>D93&amp;-11</f>
        <v>11.8-11</v>
      </c>
      <c r="L93" s="44">
        <f t="shared" si="109"/>
        <v>0.2</v>
      </c>
      <c r="M93" s="44">
        <f t="shared" si="110"/>
        <v>150</v>
      </c>
      <c r="N93" s="44">
        <f t="shared" si="111"/>
        <v>160</v>
      </c>
      <c r="O93" s="44">
        <f t="shared" si="112"/>
        <v>210</v>
      </c>
      <c r="P93" s="72">
        <f t="shared" si="105"/>
        <v>0.85</v>
      </c>
    </row>
    <row r="94" spans="1:16" x14ac:dyDescent="0.25">
      <c r="A94" s="41" t="e">
        <f t="shared" ref="A94:B94" si="121">A93+1</f>
        <v>#REF!</v>
      </c>
      <c r="B94" s="42">
        <f t="shared" si="121"/>
        <v>84</v>
      </c>
      <c r="C94" s="41" t="s">
        <v>345</v>
      </c>
      <c r="D94" s="43">
        <f t="shared" si="102"/>
        <v>11.8</v>
      </c>
      <c r="E94" s="61">
        <f t="shared" si="93"/>
        <v>2.0230000000000001</v>
      </c>
      <c r="F94" s="44">
        <f t="shared" si="107"/>
        <v>17.14406779661017</v>
      </c>
      <c r="G94" s="44">
        <f t="shared" si="103"/>
        <v>13.715254237288136</v>
      </c>
      <c r="H94" s="44">
        <f t="shared" si="104"/>
        <v>8.5720338983050848</v>
      </c>
      <c r="I94" s="44">
        <f t="shared" si="108"/>
        <v>8</v>
      </c>
      <c r="J94" s="45">
        <f>yaw_max</f>
        <v>8</v>
      </c>
      <c r="K94" s="37" t="str">
        <f>D94&amp;-12</f>
        <v>11.8-12</v>
      </c>
      <c r="L94" s="44">
        <f t="shared" si="109"/>
        <v>0.2</v>
      </c>
      <c r="M94" s="44">
        <f t="shared" si="110"/>
        <v>150</v>
      </c>
      <c r="N94" s="44">
        <f t="shared" si="111"/>
        <v>160</v>
      </c>
      <c r="O94" s="44">
        <f t="shared" si="112"/>
        <v>210</v>
      </c>
      <c r="P94" s="72">
        <f t="shared" si="105"/>
        <v>0.85</v>
      </c>
    </row>
    <row r="95" spans="1:16" x14ac:dyDescent="0.25">
      <c r="A95" s="41" t="e">
        <f t="shared" ref="A95:B95" si="122">A94+1</f>
        <v>#REF!</v>
      </c>
      <c r="B95" s="42">
        <f t="shared" si="122"/>
        <v>85</v>
      </c>
      <c r="C95" s="41" t="s">
        <v>346</v>
      </c>
      <c r="D95" s="43">
        <f t="shared" si="102"/>
        <v>11.8</v>
      </c>
      <c r="E95" s="61">
        <f t="shared" si="93"/>
        <v>2.0230000000000001</v>
      </c>
      <c r="F95" s="44">
        <f t="shared" si="107"/>
        <v>17.14406779661017</v>
      </c>
      <c r="G95" s="44">
        <f t="shared" si="103"/>
        <v>13.715254237288136</v>
      </c>
      <c r="H95" s="44">
        <f t="shared" si="104"/>
        <v>8.5720338983050848</v>
      </c>
      <c r="I95" s="44">
        <f t="shared" si="108"/>
        <v>8</v>
      </c>
      <c r="J95" s="45">
        <f>yaw_min</f>
        <v>-8</v>
      </c>
      <c r="K95" s="37" t="str">
        <f>D95&amp;-1</f>
        <v>11.8-1</v>
      </c>
      <c r="L95" s="44">
        <f t="shared" si="109"/>
        <v>0.2</v>
      </c>
      <c r="M95" s="44">
        <f t="shared" si="110"/>
        <v>150</v>
      </c>
      <c r="N95" s="44">
        <f t="shared" si="111"/>
        <v>160</v>
      </c>
      <c r="O95" s="44">
        <f t="shared" si="112"/>
        <v>210</v>
      </c>
      <c r="P95" s="72">
        <v>1</v>
      </c>
    </row>
    <row r="96" spans="1:16" x14ac:dyDescent="0.25">
      <c r="A96" s="41" t="e">
        <f t="shared" ref="A96:B96" si="123">A95+1</f>
        <v>#REF!</v>
      </c>
      <c r="B96" s="42">
        <f t="shared" si="123"/>
        <v>86</v>
      </c>
      <c r="C96" s="41" t="s">
        <v>347</v>
      </c>
      <c r="D96" s="43">
        <f t="shared" si="102"/>
        <v>11.8</v>
      </c>
      <c r="E96" s="61">
        <f t="shared" si="93"/>
        <v>2.0230000000000001</v>
      </c>
      <c r="F96" s="44">
        <f t="shared" si="107"/>
        <v>17.14406779661017</v>
      </c>
      <c r="G96" s="44">
        <f t="shared" si="103"/>
        <v>13.715254237288136</v>
      </c>
      <c r="H96" s="44">
        <f t="shared" si="104"/>
        <v>8.5720338983050848</v>
      </c>
      <c r="I96" s="44">
        <f t="shared" si="108"/>
        <v>8</v>
      </c>
      <c r="J96" s="45">
        <f>yaw_min</f>
        <v>-8</v>
      </c>
      <c r="K96" s="37" t="str">
        <f>D96&amp;-2</f>
        <v>11.8-2</v>
      </c>
      <c r="L96" s="44">
        <f t="shared" si="109"/>
        <v>0.2</v>
      </c>
      <c r="M96" s="44">
        <f t="shared" si="110"/>
        <v>150</v>
      </c>
      <c r="N96" s="44">
        <f t="shared" si="111"/>
        <v>160</v>
      </c>
      <c r="O96" s="44">
        <f t="shared" si="112"/>
        <v>210</v>
      </c>
      <c r="P96" s="72">
        <v>1</v>
      </c>
    </row>
    <row r="97" spans="1:16" x14ac:dyDescent="0.25">
      <c r="A97" s="41" t="e">
        <f t="shared" ref="A97:B97" si="124">A96+1</f>
        <v>#REF!</v>
      </c>
      <c r="B97" s="42">
        <f t="shared" si="124"/>
        <v>87</v>
      </c>
      <c r="C97" s="41" t="s">
        <v>348</v>
      </c>
      <c r="D97" s="43">
        <f t="shared" si="102"/>
        <v>11.8</v>
      </c>
      <c r="E97" s="61">
        <f t="shared" si="93"/>
        <v>2.0230000000000001</v>
      </c>
      <c r="F97" s="44">
        <f t="shared" si="107"/>
        <v>17.14406779661017</v>
      </c>
      <c r="G97" s="44">
        <f t="shared" si="103"/>
        <v>13.715254237288136</v>
      </c>
      <c r="H97" s="44">
        <f t="shared" si="104"/>
        <v>8.5720338983050848</v>
      </c>
      <c r="I97" s="44">
        <f t="shared" si="108"/>
        <v>8</v>
      </c>
      <c r="J97" s="45">
        <f>yaw_min</f>
        <v>-8</v>
      </c>
      <c r="K97" s="37" t="str">
        <f>D97&amp;-3</f>
        <v>11.8-3</v>
      </c>
      <c r="L97" s="44">
        <f t="shared" si="109"/>
        <v>0.2</v>
      </c>
      <c r="M97" s="44">
        <f t="shared" si="110"/>
        <v>150</v>
      </c>
      <c r="N97" s="44">
        <f t="shared" si="111"/>
        <v>160</v>
      </c>
      <c r="O97" s="44">
        <f t="shared" si="112"/>
        <v>210</v>
      </c>
      <c r="P97" s="72">
        <v>1</v>
      </c>
    </row>
    <row r="98" spans="1:16" x14ac:dyDescent="0.25">
      <c r="A98" s="41" t="e">
        <f t="shared" ref="A98:B98" si="125">A97+1</f>
        <v>#REF!</v>
      </c>
      <c r="B98" s="42">
        <f t="shared" si="125"/>
        <v>88</v>
      </c>
      <c r="C98" s="41" t="s">
        <v>349</v>
      </c>
      <c r="D98" s="43">
        <f t="shared" si="102"/>
        <v>11.8</v>
      </c>
      <c r="E98" s="61">
        <f t="shared" si="93"/>
        <v>2.0230000000000001</v>
      </c>
      <c r="F98" s="44">
        <f t="shared" si="107"/>
        <v>17.14406779661017</v>
      </c>
      <c r="G98" s="44">
        <f t="shared" si="103"/>
        <v>13.715254237288136</v>
      </c>
      <c r="H98" s="44">
        <f t="shared" si="104"/>
        <v>8.5720338983050848</v>
      </c>
      <c r="I98" s="44">
        <f t="shared" si="108"/>
        <v>8</v>
      </c>
      <c r="J98" s="45">
        <f>yaw_min</f>
        <v>-8</v>
      </c>
      <c r="K98" s="37" t="str">
        <f>D98&amp;-4</f>
        <v>11.8-4</v>
      </c>
      <c r="L98" s="44">
        <f t="shared" si="109"/>
        <v>0.2</v>
      </c>
      <c r="M98" s="44">
        <f t="shared" si="110"/>
        <v>150</v>
      </c>
      <c r="N98" s="44">
        <f t="shared" si="111"/>
        <v>160</v>
      </c>
      <c r="O98" s="44">
        <f t="shared" si="112"/>
        <v>210</v>
      </c>
      <c r="P98" s="72">
        <v>1</v>
      </c>
    </row>
    <row r="99" spans="1:16" x14ac:dyDescent="0.25">
      <c r="A99" s="41" t="e">
        <f t="shared" ref="A99:B99" si="126">A98+1</f>
        <v>#REF!</v>
      </c>
      <c r="B99" s="42">
        <f t="shared" si="126"/>
        <v>89</v>
      </c>
      <c r="C99" s="41" t="s">
        <v>350</v>
      </c>
      <c r="D99" s="43">
        <f t="shared" si="102"/>
        <v>11.8</v>
      </c>
      <c r="E99" s="61">
        <f t="shared" si="93"/>
        <v>2.0230000000000001</v>
      </c>
      <c r="F99" s="44">
        <f t="shared" si="107"/>
        <v>17.14406779661017</v>
      </c>
      <c r="G99" s="44">
        <f t="shared" si="103"/>
        <v>13.715254237288136</v>
      </c>
      <c r="H99" s="44">
        <f t="shared" si="104"/>
        <v>8.5720338983050848</v>
      </c>
      <c r="I99" s="44">
        <f t="shared" si="108"/>
        <v>8</v>
      </c>
      <c r="J99" s="45">
        <f>yaw_null</f>
        <v>0</v>
      </c>
      <c r="K99" s="37" t="str">
        <f>D99&amp;-5</f>
        <v>11.8-5</v>
      </c>
      <c r="L99" s="44">
        <f t="shared" si="109"/>
        <v>0.2</v>
      </c>
      <c r="M99" s="44">
        <f t="shared" si="110"/>
        <v>150</v>
      </c>
      <c r="N99" s="44">
        <f t="shared" si="111"/>
        <v>160</v>
      </c>
      <c r="O99" s="44">
        <f t="shared" si="112"/>
        <v>210</v>
      </c>
      <c r="P99" s="72">
        <v>1</v>
      </c>
    </row>
    <row r="100" spans="1:16" x14ac:dyDescent="0.25">
      <c r="A100" s="41" t="e">
        <f t="shared" ref="A100:B100" si="127">A99+1</f>
        <v>#REF!</v>
      </c>
      <c r="B100" s="42">
        <f t="shared" si="127"/>
        <v>90</v>
      </c>
      <c r="C100" s="41" t="s">
        <v>351</v>
      </c>
      <c r="D100" s="43">
        <f t="shared" si="102"/>
        <v>11.8</v>
      </c>
      <c r="E100" s="61">
        <f t="shared" si="93"/>
        <v>2.0230000000000001</v>
      </c>
      <c r="F100" s="44">
        <f t="shared" si="107"/>
        <v>17.14406779661017</v>
      </c>
      <c r="G100" s="44">
        <f t="shared" si="103"/>
        <v>13.715254237288136</v>
      </c>
      <c r="H100" s="44">
        <f t="shared" si="104"/>
        <v>8.5720338983050848</v>
      </c>
      <c r="I100" s="44">
        <f t="shared" si="108"/>
        <v>8</v>
      </c>
      <c r="J100" s="45">
        <f>yaw_null</f>
        <v>0</v>
      </c>
      <c r="K100" s="37" t="str">
        <f>D100&amp;-6</f>
        <v>11.8-6</v>
      </c>
      <c r="L100" s="44">
        <f t="shared" si="109"/>
        <v>0.2</v>
      </c>
      <c r="M100" s="44">
        <f t="shared" si="110"/>
        <v>150</v>
      </c>
      <c r="N100" s="44">
        <f t="shared" si="111"/>
        <v>160</v>
      </c>
      <c r="O100" s="44">
        <f t="shared" si="112"/>
        <v>210</v>
      </c>
      <c r="P100" s="72">
        <v>1</v>
      </c>
    </row>
    <row r="101" spans="1:16" x14ac:dyDescent="0.25">
      <c r="A101" s="41" t="e">
        <f t="shared" ref="A101:B101" si="128">A100+1</f>
        <v>#REF!</v>
      </c>
      <c r="B101" s="42">
        <f t="shared" si="128"/>
        <v>91</v>
      </c>
      <c r="C101" s="41" t="s">
        <v>352</v>
      </c>
      <c r="D101" s="43">
        <f t="shared" si="102"/>
        <v>11.8</v>
      </c>
      <c r="E101" s="61">
        <f t="shared" si="93"/>
        <v>2.0230000000000001</v>
      </c>
      <c r="F101" s="44">
        <f t="shared" si="107"/>
        <v>17.14406779661017</v>
      </c>
      <c r="G101" s="44">
        <f t="shared" si="103"/>
        <v>13.715254237288136</v>
      </c>
      <c r="H101" s="44">
        <f t="shared" si="104"/>
        <v>8.5720338983050848</v>
      </c>
      <c r="I101" s="44">
        <f t="shared" si="108"/>
        <v>8</v>
      </c>
      <c r="J101" s="45">
        <f>yaw_null</f>
        <v>0</v>
      </c>
      <c r="K101" s="37" t="str">
        <f>D101&amp;-7</f>
        <v>11.8-7</v>
      </c>
      <c r="L101" s="44">
        <f t="shared" si="109"/>
        <v>0.2</v>
      </c>
      <c r="M101" s="44">
        <f t="shared" si="110"/>
        <v>150</v>
      </c>
      <c r="N101" s="44">
        <f t="shared" si="111"/>
        <v>160</v>
      </c>
      <c r="O101" s="44">
        <f t="shared" si="112"/>
        <v>210</v>
      </c>
      <c r="P101" s="72">
        <v>1</v>
      </c>
    </row>
    <row r="102" spans="1:16" x14ac:dyDescent="0.25">
      <c r="A102" s="41" t="e">
        <f t="shared" ref="A102:B102" si="129">A101+1</f>
        <v>#REF!</v>
      </c>
      <c r="B102" s="42">
        <f t="shared" si="129"/>
        <v>92</v>
      </c>
      <c r="C102" s="41" t="s">
        <v>353</v>
      </c>
      <c r="D102" s="43">
        <f t="shared" si="102"/>
        <v>11.8</v>
      </c>
      <c r="E102" s="61">
        <f t="shared" si="93"/>
        <v>2.0230000000000001</v>
      </c>
      <c r="F102" s="44">
        <f t="shared" si="107"/>
        <v>17.14406779661017</v>
      </c>
      <c r="G102" s="44">
        <f t="shared" si="103"/>
        <v>13.715254237288136</v>
      </c>
      <c r="H102" s="44">
        <f t="shared" si="104"/>
        <v>8.5720338983050848</v>
      </c>
      <c r="I102" s="44">
        <f t="shared" si="108"/>
        <v>8</v>
      </c>
      <c r="J102" s="45">
        <f>yaw_null</f>
        <v>0</v>
      </c>
      <c r="K102" s="37" t="str">
        <f>D102&amp;-8</f>
        <v>11.8-8</v>
      </c>
      <c r="L102" s="44">
        <f t="shared" si="109"/>
        <v>0.2</v>
      </c>
      <c r="M102" s="44">
        <f t="shared" si="110"/>
        <v>150</v>
      </c>
      <c r="N102" s="44">
        <f t="shared" si="111"/>
        <v>160</v>
      </c>
      <c r="O102" s="44">
        <f t="shared" si="112"/>
        <v>210</v>
      </c>
      <c r="P102" s="72">
        <v>1</v>
      </c>
    </row>
    <row r="103" spans="1:16" x14ac:dyDescent="0.25">
      <c r="A103" s="41" t="e">
        <f t="shared" ref="A103" si="130">A102+1</f>
        <v>#REF!</v>
      </c>
      <c r="B103" s="42">
        <f>B102+1</f>
        <v>93</v>
      </c>
      <c r="C103" s="41" t="s">
        <v>354</v>
      </c>
      <c r="D103" s="43">
        <f t="shared" si="102"/>
        <v>11.8</v>
      </c>
      <c r="E103" s="61">
        <f t="shared" si="93"/>
        <v>2.0230000000000001</v>
      </c>
      <c r="F103" s="44">
        <f t="shared" si="107"/>
        <v>17.14406779661017</v>
      </c>
      <c r="G103" s="44">
        <f t="shared" si="103"/>
        <v>13.715254237288136</v>
      </c>
      <c r="H103" s="44">
        <f t="shared" si="104"/>
        <v>8.5720338983050848</v>
      </c>
      <c r="I103" s="44">
        <f t="shared" si="108"/>
        <v>8</v>
      </c>
      <c r="J103" s="45">
        <f>yaw_max</f>
        <v>8</v>
      </c>
      <c r="K103" s="37" t="str">
        <f>D103&amp;-9</f>
        <v>11.8-9</v>
      </c>
      <c r="L103" s="44">
        <f t="shared" si="109"/>
        <v>0.2</v>
      </c>
      <c r="M103" s="44">
        <f t="shared" si="110"/>
        <v>150</v>
      </c>
      <c r="N103" s="44">
        <f t="shared" si="111"/>
        <v>160</v>
      </c>
      <c r="O103" s="44">
        <f t="shared" si="112"/>
        <v>210</v>
      </c>
      <c r="P103" s="72">
        <v>1</v>
      </c>
    </row>
    <row r="104" spans="1:16" x14ac:dyDescent="0.25">
      <c r="A104" s="41" t="e">
        <f t="shared" ref="A104" si="131">A103+1</f>
        <v>#REF!</v>
      </c>
      <c r="B104" s="42">
        <f>B103+1</f>
        <v>94</v>
      </c>
      <c r="C104" s="41" t="s">
        <v>355</v>
      </c>
      <c r="D104" s="43">
        <f t="shared" si="102"/>
        <v>11.8</v>
      </c>
      <c r="E104" s="61">
        <f t="shared" si="93"/>
        <v>2.0230000000000001</v>
      </c>
      <c r="F104" s="44">
        <f t="shared" si="107"/>
        <v>17.14406779661017</v>
      </c>
      <c r="G104" s="44">
        <f t="shared" si="103"/>
        <v>13.715254237288136</v>
      </c>
      <c r="H104" s="44">
        <f t="shared" si="104"/>
        <v>8.5720338983050848</v>
      </c>
      <c r="I104" s="44">
        <f t="shared" si="108"/>
        <v>8</v>
      </c>
      <c r="J104" s="45">
        <f>yaw_max</f>
        <v>8</v>
      </c>
      <c r="K104" s="37" t="str">
        <f>D104&amp;-10</f>
        <v>11.8-10</v>
      </c>
      <c r="L104" s="44">
        <f t="shared" si="109"/>
        <v>0.2</v>
      </c>
      <c r="M104" s="44">
        <f t="shared" si="110"/>
        <v>150</v>
      </c>
      <c r="N104" s="44">
        <f t="shared" si="111"/>
        <v>160</v>
      </c>
      <c r="O104" s="44">
        <f t="shared" si="112"/>
        <v>210</v>
      </c>
      <c r="P104" s="72">
        <v>1</v>
      </c>
    </row>
    <row r="105" spans="1:16" x14ac:dyDescent="0.25">
      <c r="A105" s="41" t="e">
        <f t="shared" ref="A105" si="132">A104+1</f>
        <v>#REF!</v>
      </c>
      <c r="B105" s="42">
        <f>B104+1</f>
        <v>95</v>
      </c>
      <c r="C105" s="41" t="s">
        <v>356</v>
      </c>
      <c r="D105" s="43">
        <f t="shared" si="102"/>
        <v>11.8</v>
      </c>
      <c r="E105" s="61">
        <f t="shared" si="93"/>
        <v>2.0230000000000001</v>
      </c>
      <c r="F105" s="44">
        <f t="shared" si="107"/>
        <v>17.14406779661017</v>
      </c>
      <c r="G105" s="44">
        <f t="shared" si="103"/>
        <v>13.715254237288136</v>
      </c>
      <c r="H105" s="44">
        <f t="shared" si="104"/>
        <v>8.5720338983050848</v>
      </c>
      <c r="I105" s="44">
        <f t="shared" si="108"/>
        <v>8</v>
      </c>
      <c r="J105" s="45">
        <f>yaw_max</f>
        <v>8</v>
      </c>
      <c r="K105" s="37" t="str">
        <f>D105&amp;-11</f>
        <v>11.8-11</v>
      </c>
      <c r="L105" s="44">
        <f t="shared" si="109"/>
        <v>0.2</v>
      </c>
      <c r="M105" s="44">
        <f t="shared" si="110"/>
        <v>150</v>
      </c>
      <c r="N105" s="44">
        <f t="shared" si="111"/>
        <v>160</v>
      </c>
      <c r="O105" s="44">
        <f t="shared" si="112"/>
        <v>210</v>
      </c>
      <c r="P105" s="72">
        <v>1</v>
      </c>
    </row>
    <row r="106" spans="1:16" x14ac:dyDescent="0.25">
      <c r="A106" s="41" t="e">
        <f t="shared" ref="A106:B106" si="133">A105+1</f>
        <v>#REF!</v>
      </c>
      <c r="B106" s="42">
        <f t="shared" si="133"/>
        <v>96</v>
      </c>
      <c r="C106" s="41" t="s">
        <v>357</v>
      </c>
      <c r="D106" s="43">
        <f t="shared" si="102"/>
        <v>11.8</v>
      </c>
      <c r="E106" s="61">
        <f t="shared" si="93"/>
        <v>2.0230000000000001</v>
      </c>
      <c r="F106" s="44">
        <f t="shared" si="107"/>
        <v>17.14406779661017</v>
      </c>
      <c r="G106" s="44">
        <f t="shared" si="103"/>
        <v>13.715254237288136</v>
      </c>
      <c r="H106" s="44">
        <f t="shared" si="104"/>
        <v>8.5720338983050848</v>
      </c>
      <c r="I106" s="44">
        <f t="shared" si="108"/>
        <v>8</v>
      </c>
      <c r="J106" s="45">
        <f>yaw_max</f>
        <v>8</v>
      </c>
      <c r="K106" s="37" t="str">
        <f>D106&amp;-12</f>
        <v>11.8-12</v>
      </c>
      <c r="L106" s="44">
        <f t="shared" si="109"/>
        <v>0.2</v>
      </c>
      <c r="M106" s="44">
        <f t="shared" si="110"/>
        <v>150</v>
      </c>
      <c r="N106" s="44">
        <f t="shared" si="111"/>
        <v>160</v>
      </c>
      <c r="O106" s="44">
        <f t="shared" si="112"/>
        <v>210</v>
      </c>
      <c r="P106" s="72">
        <v>1</v>
      </c>
    </row>
    <row r="107" spans="1:16" x14ac:dyDescent="0.25">
      <c r="A107" s="41" t="e">
        <f t="shared" ref="A107:B107" si="134">A106+1</f>
        <v>#REF!</v>
      </c>
      <c r="B107" s="42">
        <f t="shared" si="134"/>
        <v>97</v>
      </c>
      <c r="C107" s="41" t="s">
        <v>358</v>
      </c>
      <c r="D107" s="43">
        <f t="shared" si="102"/>
        <v>11.8</v>
      </c>
      <c r="E107" s="61">
        <f t="shared" ref="E107:E138" si="135">I_ref*(0.75*D107+5.6)</f>
        <v>2.0230000000000001</v>
      </c>
      <c r="F107" s="44">
        <f t="shared" si="107"/>
        <v>17.14406779661017</v>
      </c>
      <c r="G107" s="44">
        <f t="shared" si="103"/>
        <v>13.715254237288136</v>
      </c>
      <c r="H107" s="44">
        <f t="shared" si="104"/>
        <v>8.5720338983050848</v>
      </c>
      <c r="I107" s="44">
        <f t="shared" si="108"/>
        <v>8</v>
      </c>
      <c r="J107" s="45">
        <f>yaw_min</f>
        <v>-8</v>
      </c>
      <c r="K107" s="37" t="str">
        <f>D107&amp;-1</f>
        <v>11.8-1</v>
      </c>
      <c r="L107" s="44">
        <f t="shared" si="109"/>
        <v>0.2</v>
      </c>
      <c r="M107" s="44">
        <f t="shared" si="110"/>
        <v>150</v>
      </c>
      <c r="N107" s="44">
        <f t="shared" si="111"/>
        <v>160</v>
      </c>
      <c r="O107" s="44">
        <f t="shared" si="112"/>
        <v>210</v>
      </c>
      <c r="P107" s="72">
        <f t="shared" ref="P107:P118" si="136">Btorque_2</f>
        <v>1.1499999999999999</v>
      </c>
    </row>
    <row r="108" spans="1:16" x14ac:dyDescent="0.25">
      <c r="A108" s="41" t="e">
        <f t="shared" ref="A108:B108" si="137">A107+1</f>
        <v>#REF!</v>
      </c>
      <c r="B108" s="42">
        <f t="shared" si="137"/>
        <v>98</v>
      </c>
      <c r="C108" s="41" t="s">
        <v>359</v>
      </c>
      <c r="D108" s="43">
        <f t="shared" si="102"/>
        <v>11.8</v>
      </c>
      <c r="E108" s="61">
        <f t="shared" si="135"/>
        <v>2.0230000000000001</v>
      </c>
      <c r="F108" s="44">
        <f t="shared" si="107"/>
        <v>17.14406779661017</v>
      </c>
      <c r="G108" s="44">
        <f t="shared" si="103"/>
        <v>13.715254237288136</v>
      </c>
      <c r="H108" s="44">
        <f t="shared" si="104"/>
        <v>8.5720338983050848</v>
      </c>
      <c r="I108" s="44">
        <f t="shared" si="108"/>
        <v>8</v>
      </c>
      <c r="J108" s="45">
        <f>yaw_min</f>
        <v>-8</v>
      </c>
      <c r="K108" s="37" t="str">
        <f>D108&amp;-2</f>
        <v>11.8-2</v>
      </c>
      <c r="L108" s="44">
        <f t="shared" si="109"/>
        <v>0.2</v>
      </c>
      <c r="M108" s="44">
        <f t="shared" si="110"/>
        <v>150</v>
      </c>
      <c r="N108" s="44">
        <f t="shared" si="111"/>
        <v>160</v>
      </c>
      <c r="O108" s="44">
        <f t="shared" si="112"/>
        <v>210</v>
      </c>
      <c r="P108" s="72">
        <f t="shared" si="136"/>
        <v>1.1499999999999999</v>
      </c>
    </row>
    <row r="109" spans="1:16" x14ac:dyDescent="0.25">
      <c r="A109" s="41" t="e">
        <f t="shared" ref="A109:B109" si="138">A108+1</f>
        <v>#REF!</v>
      </c>
      <c r="B109" s="42">
        <f t="shared" si="138"/>
        <v>99</v>
      </c>
      <c r="C109" s="41" t="s">
        <v>360</v>
      </c>
      <c r="D109" s="43">
        <f t="shared" si="102"/>
        <v>11.8</v>
      </c>
      <c r="E109" s="61">
        <f t="shared" si="135"/>
        <v>2.0230000000000001</v>
      </c>
      <c r="F109" s="44">
        <f t="shared" si="107"/>
        <v>17.14406779661017</v>
      </c>
      <c r="G109" s="44">
        <f t="shared" si="103"/>
        <v>13.715254237288136</v>
      </c>
      <c r="H109" s="44">
        <f t="shared" si="104"/>
        <v>8.5720338983050848</v>
      </c>
      <c r="I109" s="44">
        <f t="shared" si="108"/>
        <v>8</v>
      </c>
      <c r="J109" s="45">
        <f>yaw_min</f>
        <v>-8</v>
      </c>
      <c r="K109" s="37" t="str">
        <f>D109&amp;-3</f>
        <v>11.8-3</v>
      </c>
      <c r="L109" s="44">
        <f t="shared" si="109"/>
        <v>0.2</v>
      </c>
      <c r="M109" s="44">
        <f t="shared" si="110"/>
        <v>150</v>
      </c>
      <c r="N109" s="44">
        <f t="shared" si="111"/>
        <v>160</v>
      </c>
      <c r="O109" s="44">
        <f t="shared" si="112"/>
        <v>210</v>
      </c>
      <c r="P109" s="72">
        <f t="shared" si="136"/>
        <v>1.1499999999999999</v>
      </c>
    </row>
    <row r="110" spans="1:16" x14ac:dyDescent="0.25">
      <c r="A110" s="41" t="e">
        <f t="shared" ref="A110:B110" si="139">A109+1</f>
        <v>#REF!</v>
      </c>
      <c r="B110" s="42">
        <f t="shared" si="139"/>
        <v>100</v>
      </c>
      <c r="C110" s="41" t="s">
        <v>361</v>
      </c>
      <c r="D110" s="43">
        <f t="shared" si="102"/>
        <v>11.8</v>
      </c>
      <c r="E110" s="61">
        <f t="shared" si="135"/>
        <v>2.0230000000000001</v>
      </c>
      <c r="F110" s="44">
        <f t="shared" si="107"/>
        <v>17.14406779661017</v>
      </c>
      <c r="G110" s="44">
        <f t="shared" si="103"/>
        <v>13.715254237288136</v>
      </c>
      <c r="H110" s="44">
        <f t="shared" si="104"/>
        <v>8.5720338983050848</v>
      </c>
      <c r="I110" s="44">
        <f t="shared" si="108"/>
        <v>8</v>
      </c>
      <c r="J110" s="45">
        <f>yaw_min</f>
        <v>-8</v>
      </c>
      <c r="K110" s="37" t="str">
        <f>D110&amp;-4</f>
        <v>11.8-4</v>
      </c>
      <c r="L110" s="44">
        <f t="shared" si="109"/>
        <v>0.2</v>
      </c>
      <c r="M110" s="44">
        <f t="shared" si="110"/>
        <v>150</v>
      </c>
      <c r="N110" s="44">
        <f t="shared" si="111"/>
        <v>160</v>
      </c>
      <c r="O110" s="44">
        <f t="shared" si="112"/>
        <v>210</v>
      </c>
      <c r="P110" s="72">
        <f t="shared" si="136"/>
        <v>1.1499999999999999</v>
      </c>
    </row>
    <row r="111" spans="1:16" x14ac:dyDescent="0.25">
      <c r="A111" s="41" t="e">
        <f t="shared" ref="A111:B111" si="140">A110+1</f>
        <v>#REF!</v>
      </c>
      <c r="B111" s="42">
        <f t="shared" si="140"/>
        <v>101</v>
      </c>
      <c r="C111" s="41" t="s">
        <v>362</v>
      </c>
      <c r="D111" s="43">
        <f t="shared" si="102"/>
        <v>11.8</v>
      </c>
      <c r="E111" s="61">
        <f t="shared" si="135"/>
        <v>2.0230000000000001</v>
      </c>
      <c r="F111" s="44">
        <f t="shared" si="107"/>
        <v>17.14406779661017</v>
      </c>
      <c r="G111" s="44">
        <f t="shared" si="103"/>
        <v>13.715254237288136</v>
      </c>
      <c r="H111" s="44">
        <f t="shared" si="104"/>
        <v>8.5720338983050848</v>
      </c>
      <c r="I111" s="44">
        <f t="shared" si="108"/>
        <v>8</v>
      </c>
      <c r="J111" s="45">
        <f>yaw_null</f>
        <v>0</v>
      </c>
      <c r="K111" s="37" t="str">
        <f>D111&amp;-5</f>
        <v>11.8-5</v>
      </c>
      <c r="L111" s="44">
        <f t="shared" si="109"/>
        <v>0.2</v>
      </c>
      <c r="M111" s="44">
        <f t="shared" si="110"/>
        <v>150</v>
      </c>
      <c r="N111" s="44">
        <f t="shared" si="111"/>
        <v>160</v>
      </c>
      <c r="O111" s="44">
        <f t="shared" si="112"/>
        <v>210</v>
      </c>
      <c r="P111" s="72">
        <f t="shared" si="136"/>
        <v>1.1499999999999999</v>
      </c>
    </row>
    <row r="112" spans="1:16" x14ac:dyDescent="0.25">
      <c r="A112" s="41" t="e">
        <f t="shared" ref="A112:B112" si="141">A111+1</f>
        <v>#REF!</v>
      </c>
      <c r="B112" s="42">
        <f t="shared" si="141"/>
        <v>102</v>
      </c>
      <c r="C112" s="41" t="s">
        <v>363</v>
      </c>
      <c r="D112" s="43">
        <f t="shared" si="102"/>
        <v>11.8</v>
      </c>
      <c r="E112" s="61">
        <f t="shared" si="135"/>
        <v>2.0230000000000001</v>
      </c>
      <c r="F112" s="44">
        <f t="shared" si="107"/>
        <v>17.14406779661017</v>
      </c>
      <c r="G112" s="44">
        <f t="shared" si="103"/>
        <v>13.715254237288136</v>
      </c>
      <c r="H112" s="44">
        <f t="shared" si="104"/>
        <v>8.5720338983050848</v>
      </c>
      <c r="I112" s="44">
        <f t="shared" si="108"/>
        <v>8</v>
      </c>
      <c r="J112" s="45">
        <f>yaw_null</f>
        <v>0</v>
      </c>
      <c r="K112" s="37" t="str">
        <f>D112&amp;-6</f>
        <v>11.8-6</v>
      </c>
      <c r="L112" s="44">
        <f t="shared" si="109"/>
        <v>0.2</v>
      </c>
      <c r="M112" s="44">
        <f t="shared" si="110"/>
        <v>150</v>
      </c>
      <c r="N112" s="44">
        <f t="shared" si="111"/>
        <v>160</v>
      </c>
      <c r="O112" s="44">
        <f t="shared" si="112"/>
        <v>210</v>
      </c>
      <c r="P112" s="72">
        <f t="shared" si="136"/>
        <v>1.1499999999999999</v>
      </c>
    </row>
    <row r="113" spans="1:16" x14ac:dyDescent="0.25">
      <c r="A113" s="41" t="e">
        <f t="shared" ref="A113:B113" si="142">A112+1</f>
        <v>#REF!</v>
      </c>
      <c r="B113" s="42">
        <f t="shared" si="142"/>
        <v>103</v>
      </c>
      <c r="C113" s="41" t="s">
        <v>364</v>
      </c>
      <c r="D113" s="43">
        <f t="shared" si="102"/>
        <v>11.8</v>
      </c>
      <c r="E113" s="61">
        <f t="shared" si="135"/>
        <v>2.0230000000000001</v>
      </c>
      <c r="F113" s="44">
        <f t="shared" si="107"/>
        <v>17.14406779661017</v>
      </c>
      <c r="G113" s="44">
        <f t="shared" si="103"/>
        <v>13.715254237288136</v>
      </c>
      <c r="H113" s="44">
        <f t="shared" si="104"/>
        <v>8.5720338983050848</v>
      </c>
      <c r="I113" s="44">
        <f t="shared" si="108"/>
        <v>8</v>
      </c>
      <c r="J113" s="45">
        <f>yaw_null</f>
        <v>0</v>
      </c>
      <c r="K113" s="37" t="str">
        <f>D113&amp;-7</f>
        <v>11.8-7</v>
      </c>
      <c r="L113" s="44">
        <f t="shared" si="109"/>
        <v>0.2</v>
      </c>
      <c r="M113" s="44">
        <f t="shared" si="110"/>
        <v>150</v>
      </c>
      <c r="N113" s="44">
        <f t="shared" si="111"/>
        <v>160</v>
      </c>
      <c r="O113" s="44">
        <f t="shared" si="112"/>
        <v>210</v>
      </c>
      <c r="P113" s="72">
        <f t="shared" si="136"/>
        <v>1.1499999999999999</v>
      </c>
    </row>
    <row r="114" spans="1:16" x14ac:dyDescent="0.25">
      <c r="A114" s="41" t="e">
        <f t="shared" ref="A114:B114" si="143">A113+1</f>
        <v>#REF!</v>
      </c>
      <c r="B114" s="42">
        <f t="shared" si="143"/>
        <v>104</v>
      </c>
      <c r="C114" s="41" t="s">
        <v>365</v>
      </c>
      <c r="D114" s="43">
        <f t="shared" si="102"/>
        <v>11.8</v>
      </c>
      <c r="E114" s="61">
        <f t="shared" si="135"/>
        <v>2.0230000000000001</v>
      </c>
      <c r="F114" s="44">
        <f t="shared" si="107"/>
        <v>17.14406779661017</v>
      </c>
      <c r="G114" s="44">
        <f t="shared" si="103"/>
        <v>13.715254237288136</v>
      </c>
      <c r="H114" s="44">
        <f t="shared" si="104"/>
        <v>8.5720338983050848</v>
      </c>
      <c r="I114" s="44">
        <f t="shared" si="108"/>
        <v>8</v>
      </c>
      <c r="J114" s="45">
        <f>yaw_null</f>
        <v>0</v>
      </c>
      <c r="K114" s="37" t="str">
        <f>D114&amp;-8</f>
        <v>11.8-8</v>
      </c>
      <c r="L114" s="44">
        <f t="shared" si="109"/>
        <v>0.2</v>
      </c>
      <c r="M114" s="44">
        <f t="shared" si="110"/>
        <v>150</v>
      </c>
      <c r="N114" s="44">
        <f t="shared" si="111"/>
        <v>160</v>
      </c>
      <c r="O114" s="44">
        <f t="shared" si="112"/>
        <v>210</v>
      </c>
      <c r="P114" s="72">
        <f t="shared" si="136"/>
        <v>1.1499999999999999</v>
      </c>
    </row>
    <row r="115" spans="1:16" x14ac:dyDescent="0.25">
      <c r="A115" s="41" t="e">
        <f t="shared" ref="A115" si="144">A114+1</f>
        <v>#REF!</v>
      </c>
      <c r="B115" s="42">
        <f>B114+1</f>
        <v>105</v>
      </c>
      <c r="C115" s="41" t="s">
        <v>366</v>
      </c>
      <c r="D115" s="43">
        <f t="shared" si="102"/>
        <v>11.8</v>
      </c>
      <c r="E115" s="61">
        <f t="shared" si="135"/>
        <v>2.0230000000000001</v>
      </c>
      <c r="F115" s="44">
        <f t="shared" si="107"/>
        <v>17.14406779661017</v>
      </c>
      <c r="G115" s="44">
        <f t="shared" si="103"/>
        <v>13.715254237288136</v>
      </c>
      <c r="H115" s="44">
        <f t="shared" si="104"/>
        <v>8.5720338983050848</v>
      </c>
      <c r="I115" s="44">
        <f t="shared" si="108"/>
        <v>8</v>
      </c>
      <c r="J115" s="45">
        <f>yaw_max</f>
        <v>8</v>
      </c>
      <c r="K115" s="37" t="str">
        <f>D115&amp;-9</f>
        <v>11.8-9</v>
      </c>
      <c r="L115" s="44">
        <f t="shared" si="109"/>
        <v>0.2</v>
      </c>
      <c r="M115" s="44">
        <f t="shared" si="110"/>
        <v>150</v>
      </c>
      <c r="N115" s="44">
        <f t="shared" si="111"/>
        <v>160</v>
      </c>
      <c r="O115" s="44">
        <f t="shared" si="112"/>
        <v>210</v>
      </c>
      <c r="P115" s="72">
        <f t="shared" si="136"/>
        <v>1.1499999999999999</v>
      </c>
    </row>
    <row r="116" spans="1:16" x14ac:dyDescent="0.25">
      <c r="A116" s="41" t="e">
        <f t="shared" ref="A116" si="145">A115+1</f>
        <v>#REF!</v>
      </c>
      <c r="B116" s="42">
        <f>B115+1</f>
        <v>106</v>
      </c>
      <c r="C116" s="41" t="s">
        <v>367</v>
      </c>
      <c r="D116" s="43">
        <f t="shared" si="102"/>
        <v>11.8</v>
      </c>
      <c r="E116" s="61">
        <f t="shared" si="135"/>
        <v>2.0230000000000001</v>
      </c>
      <c r="F116" s="44">
        <f t="shared" si="107"/>
        <v>17.14406779661017</v>
      </c>
      <c r="G116" s="44">
        <f t="shared" si="103"/>
        <v>13.715254237288136</v>
      </c>
      <c r="H116" s="44">
        <f t="shared" si="104"/>
        <v>8.5720338983050848</v>
      </c>
      <c r="I116" s="44">
        <f t="shared" si="108"/>
        <v>8</v>
      </c>
      <c r="J116" s="45">
        <f>yaw_max</f>
        <v>8</v>
      </c>
      <c r="K116" s="37" t="str">
        <f>D116&amp;-10</f>
        <v>11.8-10</v>
      </c>
      <c r="L116" s="44">
        <f t="shared" si="109"/>
        <v>0.2</v>
      </c>
      <c r="M116" s="44">
        <f t="shared" si="110"/>
        <v>150</v>
      </c>
      <c r="N116" s="44">
        <f t="shared" si="111"/>
        <v>160</v>
      </c>
      <c r="O116" s="44">
        <f t="shared" si="112"/>
        <v>210</v>
      </c>
      <c r="P116" s="72">
        <f t="shared" si="136"/>
        <v>1.1499999999999999</v>
      </c>
    </row>
    <row r="117" spans="1:16" x14ac:dyDescent="0.25">
      <c r="A117" s="41" t="e">
        <f t="shared" ref="A117" si="146">A116+1</f>
        <v>#REF!</v>
      </c>
      <c r="B117" s="42">
        <f>B116+1</f>
        <v>107</v>
      </c>
      <c r="C117" s="41" t="s">
        <v>368</v>
      </c>
      <c r="D117" s="43">
        <f t="shared" si="102"/>
        <v>11.8</v>
      </c>
      <c r="E117" s="61">
        <f t="shared" si="135"/>
        <v>2.0230000000000001</v>
      </c>
      <c r="F117" s="44">
        <f t="shared" si="107"/>
        <v>17.14406779661017</v>
      </c>
      <c r="G117" s="44">
        <f t="shared" si="103"/>
        <v>13.715254237288136</v>
      </c>
      <c r="H117" s="44">
        <f t="shared" si="104"/>
        <v>8.5720338983050848</v>
      </c>
      <c r="I117" s="44">
        <f t="shared" si="108"/>
        <v>8</v>
      </c>
      <c r="J117" s="45">
        <f>yaw_max</f>
        <v>8</v>
      </c>
      <c r="K117" s="37" t="str">
        <f>D117&amp;-11</f>
        <v>11.8-11</v>
      </c>
      <c r="L117" s="44">
        <f t="shared" si="109"/>
        <v>0.2</v>
      </c>
      <c r="M117" s="44">
        <f t="shared" si="110"/>
        <v>150</v>
      </c>
      <c r="N117" s="44">
        <f t="shared" si="111"/>
        <v>160</v>
      </c>
      <c r="O117" s="44">
        <f t="shared" si="112"/>
        <v>210</v>
      </c>
      <c r="P117" s="72">
        <f t="shared" si="136"/>
        <v>1.1499999999999999</v>
      </c>
    </row>
    <row r="118" spans="1:16" x14ac:dyDescent="0.25">
      <c r="A118" s="41" t="e">
        <f t="shared" ref="A118:B118" si="147">A117+1</f>
        <v>#REF!</v>
      </c>
      <c r="B118" s="42">
        <f t="shared" si="147"/>
        <v>108</v>
      </c>
      <c r="C118" s="41" t="s">
        <v>369</v>
      </c>
      <c r="D118" s="43">
        <f t="shared" si="102"/>
        <v>11.8</v>
      </c>
      <c r="E118" s="61">
        <f t="shared" si="135"/>
        <v>2.0230000000000001</v>
      </c>
      <c r="F118" s="44">
        <f t="shared" si="107"/>
        <v>17.14406779661017</v>
      </c>
      <c r="G118" s="44">
        <f t="shared" si="103"/>
        <v>13.715254237288136</v>
      </c>
      <c r="H118" s="44">
        <f t="shared" si="104"/>
        <v>8.5720338983050848</v>
      </c>
      <c r="I118" s="44">
        <f t="shared" si="108"/>
        <v>8</v>
      </c>
      <c r="J118" s="45">
        <f>yaw_max</f>
        <v>8</v>
      </c>
      <c r="K118" s="37" t="str">
        <f>D118&amp;-12</f>
        <v>11.8-12</v>
      </c>
      <c r="L118" s="44">
        <f t="shared" si="109"/>
        <v>0.2</v>
      </c>
      <c r="M118" s="44">
        <f t="shared" si="110"/>
        <v>150</v>
      </c>
      <c r="N118" s="44">
        <f t="shared" si="111"/>
        <v>160</v>
      </c>
      <c r="O118" s="44">
        <f t="shared" si="112"/>
        <v>210</v>
      </c>
      <c r="P118" s="72">
        <f t="shared" si="136"/>
        <v>1.1499999999999999</v>
      </c>
    </row>
    <row r="119" spans="1:16" x14ac:dyDescent="0.25">
      <c r="A119" s="41" t="e">
        <f t="shared" ref="A119:B119" si="148">A118+1</f>
        <v>#REF!</v>
      </c>
      <c r="B119" s="42">
        <f t="shared" si="148"/>
        <v>109</v>
      </c>
      <c r="C119" s="41" t="s">
        <v>370</v>
      </c>
      <c r="D119" s="43">
        <f t="shared" ref="D119:D154" si="149">v_c</f>
        <v>20</v>
      </c>
      <c r="E119" s="61">
        <f t="shared" si="135"/>
        <v>2.8840000000000003</v>
      </c>
      <c r="F119" s="44">
        <f t="shared" si="107"/>
        <v>14.420000000000002</v>
      </c>
      <c r="G119" s="44">
        <f t="shared" ref="G119:G154" si="150">m_ty*F119</f>
        <v>11.536000000000001</v>
      </c>
      <c r="H119" s="44">
        <f t="shared" ref="H119:H154" si="151">m_tz*F119</f>
        <v>7.2100000000000009</v>
      </c>
      <c r="I119" s="44">
        <f t="shared" si="108"/>
        <v>8</v>
      </c>
      <c r="J119" s="45">
        <f>yaw_min</f>
        <v>-8</v>
      </c>
      <c r="K119" s="37" t="str">
        <f>D119&amp;-1</f>
        <v>20-1</v>
      </c>
      <c r="L119" s="44">
        <f t="shared" si="109"/>
        <v>0.2</v>
      </c>
      <c r="M119" s="44">
        <f t="shared" si="110"/>
        <v>150</v>
      </c>
      <c r="N119" s="44">
        <f t="shared" si="111"/>
        <v>160</v>
      </c>
      <c r="O119" s="44">
        <f t="shared" si="112"/>
        <v>210</v>
      </c>
      <c r="P119" s="72">
        <f t="shared" ref="P119:P130" si="152">Btorque_1</f>
        <v>0.85</v>
      </c>
    </row>
    <row r="120" spans="1:16" x14ac:dyDescent="0.25">
      <c r="A120" s="41" t="e">
        <f>A119+1</f>
        <v>#REF!</v>
      </c>
      <c r="B120" s="42">
        <f>B119+1</f>
        <v>110</v>
      </c>
      <c r="C120" s="41" t="s">
        <v>371</v>
      </c>
      <c r="D120" s="43">
        <f t="shared" si="149"/>
        <v>20</v>
      </c>
      <c r="E120" s="61">
        <f t="shared" si="135"/>
        <v>2.8840000000000003</v>
      </c>
      <c r="F120" s="44">
        <f>E120/D120*100</f>
        <v>14.420000000000002</v>
      </c>
      <c r="G120" s="44">
        <f t="shared" si="150"/>
        <v>11.536000000000001</v>
      </c>
      <c r="H120" s="44">
        <f t="shared" si="151"/>
        <v>7.2100000000000009</v>
      </c>
      <c r="I120" s="44">
        <f>I119</f>
        <v>8</v>
      </c>
      <c r="J120" s="45">
        <f>yaw_min</f>
        <v>-8</v>
      </c>
      <c r="K120" s="37" t="str">
        <f>D120&amp;-2</f>
        <v>20-2</v>
      </c>
      <c r="L120" s="44">
        <f>L119</f>
        <v>0.2</v>
      </c>
      <c r="M120" s="44">
        <f>M119</f>
        <v>150</v>
      </c>
      <c r="N120" s="44">
        <f>N119</f>
        <v>160</v>
      </c>
      <c r="O120" s="44">
        <f>O119</f>
        <v>210</v>
      </c>
      <c r="P120" s="72">
        <f t="shared" si="152"/>
        <v>0.85</v>
      </c>
    </row>
    <row r="121" spans="1:16" x14ac:dyDescent="0.25">
      <c r="A121" s="41" t="e">
        <f t="shared" ref="A121:B121" si="153">A120+1</f>
        <v>#REF!</v>
      </c>
      <c r="B121" s="42">
        <f t="shared" si="153"/>
        <v>111</v>
      </c>
      <c r="C121" s="41" t="s">
        <v>372</v>
      </c>
      <c r="D121" s="43">
        <f t="shared" si="149"/>
        <v>20</v>
      </c>
      <c r="E121" s="61">
        <f t="shared" si="135"/>
        <v>2.8840000000000003</v>
      </c>
      <c r="F121" s="44">
        <f t="shared" ref="F121:F155" si="154">E121/D121*100</f>
        <v>14.420000000000002</v>
      </c>
      <c r="G121" s="44">
        <f t="shared" si="150"/>
        <v>11.536000000000001</v>
      </c>
      <c r="H121" s="44">
        <f t="shared" si="151"/>
        <v>7.2100000000000009</v>
      </c>
      <c r="I121" s="44">
        <f t="shared" ref="I121:I155" si="155">I120</f>
        <v>8</v>
      </c>
      <c r="J121" s="45">
        <f>yaw_min</f>
        <v>-8</v>
      </c>
      <c r="K121" s="37" t="str">
        <f>D121&amp;-3</f>
        <v>20-3</v>
      </c>
      <c r="L121" s="44">
        <f t="shared" ref="L121:L155" si="156">L120</f>
        <v>0.2</v>
      </c>
      <c r="M121" s="44">
        <f t="shared" ref="M121:M155" si="157">M120</f>
        <v>150</v>
      </c>
      <c r="N121" s="44">
        <f t="shared" ref="N121:N155" si="158">N120</f>
        <v>160</v>
      </c>
      <c r="O121" s="44">
        <f t="shared" ref="O121:O155" si="159">O120</f>
        <v>210</v>
      </c>
      <c r="P121" s="72">
        <f t="shared" si="152"/>
        <v>0.85</v>
      </c>
    </row>
    <row r="122" spans="1:16" x14ac:dyDescent="0.25">
      <c r="A122" s="41" t="e">
        <f t="shared" ref="A122:B122" si="160">A121+1</f>
        <v>#REF!</v>
      </c>
      <c r="B122" s="42">
        <f t="shared" si="160"/>
        <v>112</v>
      </c>
      <c r="C122" s="41" t="s">
        <v>373</v>
      </c>
      <c r="D122" s="43">
        <f t="shared" si="149"/>
        <v>20</v>
      </c>
      <c r="E122" s="61">
        <f t="shared" si="135"/>
        <v>2.8840000000000003</v>
      </c>
      <c r="F122" s="44">
        <f t="shared" si="154"/>
        <v>14.420000000000002</v>
      </c>
      <c r="G122" s="44">
        <f t="shared" si="150"/>
        <v>11.536000000000001</v>
      </c>
      <c r="H122" s="44">
        <f t="shared" si="151"/>
        <v>7.2100000000000009</v>
      </c>
      <c r="I122" s="44">
        <f t="shared" si="155"/>
        <v>8</v>
      </c>
      <c r="J122" s="45">
        <f>yaw_min</f>
        <v>-8</v>
      </c>
      <c r="K122" s="37" t="str">
        <f>D122&amp;-4</f>
        <v>20-4</v>
      </c>
      <c r="L122" s="44">
        <f t="shared" si="156"/>
        <v>0.2</v>
      </c>
      <c r="M122" s="44">
        <f t="shared" si="157"/>
        <v>150</v>
      </c>
      <c r="N122" s="44">
        <f t="shared" si="158"/>
        <v>160</v>
      </c>
      <c r="O122" s="44">
        <f t="shared" si="159"/>
        <v>210</v>
      </c>
      <c r="P122" s="72">
        <f t="shared" si="152"/>
        <v>0.85</v>
      </c>
    </row>
    <row r="123" spans="1:16" x14ac:dyDescent="0.25">
      <c r="A123" s="41" t="e">
        <f t="shared" ref="A123:B123" si="161">A122+1</f>
        <v>#REF!</v>
      </c>
      <c r="B123" s="42">
        <f t="shared" si="161"/>
        <v>113</v>
      </c>
      <c r="C123" s="41" t="s">
        <v>374</v>
      </c>
      <c r="D123" s="43">
        <f t="shared" si="149"/>
        <v>20</v>
      </c>
      <c r="E123" s="61">
        <f t="shared" si="135"/>
        <v>2.8840000000000003</v>
      </c>
      <c r="F123" s="44">
        <f t="shared" si="154"/>
        <v>14.420000000000002</v>
      </c>
      <c r="G123" s="44">
        <f t="shared" si="150"/>
        <v>11.536000000000001</v>
      </c>
      <c r="H123" s="44">
        <f t="shared" si="151"/>
        <v>7.2100000000000009</v>
      </c>
      <c r="I123" s="44">
        <f t="shared" si="155"/>
        <v>8</v>
      </c>
      <c r="J123" s="45">
        <f>yaw_null</f>
        <v>0</v>
      </c>
      <c r="K123" s="37" t="str">
        <f>D123&amp;-5</f>
        <v>20-5</v>
      </c>
      <c r="L123" s="44">
        <f t="shared" si="156"/>
        <v>0.2</v>
      </c>
      <c r="M123" s="44">
        <f t="shared" si="157"/>
        <v>150</v>
      </c>
      <c r="N123" s="44">
        <f t="shared" si="158"/>
        <v>160</v>
      </c>
      <c r="O123" s="44">
        <f t="shared" si="159"/>
        <v>210</v>
      </c>
      <c r="P123" s="72">
        <f t="shared" si="152"/>
        <v>0.85</v>
      </c>
    </row>
    <row r="124" spans="1:16" x14ac:dyDescent="0.25">
      <c r="A124" s="41" t="e">
        <f t="shared" ref="A124:B124" si="162">A123+1</f>
        <v>#REF!</v>
      </c>
      <c r="B124" s="42">
        <f t="shared" si="162"/>
        <v>114</v>
      </c>
      <c r="C124" s="41" t="s">
        <v>375</v>
      </c>
      <c r="D124" s="43">
        <f t="shared" si="149"/>
        <v>20</v>
      </c>
      <c r="E124" s="61">
        <f t="shared" si="135"/>
        <v>2.8840000000000003</v>
      </c>
      <c r="F124" s="44">
        <f t="shared" si="154"/>
        <v>14.420000000000002</v>
      </c>
      <c r="G124" s="44">
        <f t="shared" si="150"/>
        <v>11.536000000000001</v>
      </c>
      <c r="H124" s="44">
        <f t="shared" si="151"/>
        <v>7.2100000000000009</v>
      </c>
      <c r="I124" s="44">
        <f t="shared" si="155"/>
        <v>8</v>
      </c>
      <c r="J124" s="45">
        <f>yaw_null</f>
        <v>0</v>
      </c>
      <c r="K124" s="37" t="str">
        <f>D124&amp;-6</f>
        <v>20-6</v>
      </c>
      <c r="L124" s="44">
        <f t="shared" si="156"/>
        <v>0.2</v>
      </c>
      <c r="M124" s="44">
        <f t="shared" si="157"/>
        <v>150</v>
      </c>
      <c r="N124" s="44">
        <f t="shared" si="158"/>
        <v>160</v>
      </c>
      <c r="O124" s="44">
        <f t="shared" si="159"/>
        <v>210</v>
      </c>
      <c r="P124" s="72">
        <f t="shared" si="152"/>
        <v>0.85</v>
      </c>
    </row>
    <row r="125" spans="1:16" x14ac:dyDescent="0.25">
      <c r="A125" s="41" t="e">
        <f t="shared" ref="A125:B125" si="163">A124+1</f>
        <v>#REF!</v>
      </c>
      <c r="B125" s="42">
        <f t="shared" si="163"/>
        <v>115</v>
      </c>
      <c r="C125" s="41" t="s">
        <v>376</v>
      </c>
      <c r="D125" s="43">
        <f t="shared" si="149"/>
        <v>20</v>
      </c>
      <c r="E125" s="61">
        <f t="shared" si="135"/>
        <v>2.8840000000000003</v>
      </c>
      <c r="F125" s="44">
        <f t="shared" si="154"/>
        <v>14.420000000000002</v>
      </c>
      <c r="G125" s="44">
        <f t="shared" si="150"/>
        <v>11.536000000000001</v>
      </c>
      <c r="H125" s="44">
        <f t="shared" si="151"/>
        <v>7.2100000000000009</v>
      </c>
      <c r="I125" s="44">
        <f t="shared" si="155"/>
        <v>8</v>
      </c>
      <c r="J125" s="45">
        <f>yaw_null</f>
        <v>0</v>
      </c>
      <c r="K125" s="37" t="str">
        <f>D125&amp;-7</f>
        <v>20-7</v>
      </c>
      <c r="L125" s="44">
        <f t="shared" si="156"/>
        <v>0.2</v>
      </c>
      <c r="M125" s="44">
        <f t="shared" si="157"/>
        <v>150</v>
      </c>
      <c r="N125" s="44">
        <f t="shared" si="158"/>
        <v>160</v>
      </c>
      <c r="O125" s="44">
        <f t="shared" si="159"/>
        <v>210</v>
      </c>
      <c r="P125" s="72">
        <f t="shared" si="152"/>
        <v>0.85</v>
      </c>
    </row>
    <row r="126" spans="1:16" x14ac:dyDescent="0.25">
      <c r="A126" s="41" t="e">
        <f t="shared" ref="A126:B126" si="164">A125+1</f>
        <v>#REF!</v>
      </c>
      <c r="B126" s="42">
        <f t="shared" si="164"/>
        <v>116</v>
      </c>
      <c r="C126" s="41" t="s">
        <v>377</v>
      </c>
      <c r="D126" s="43">
        <f t="shared" si="149"/>
        <v>20</v>
      </c>
      <c r="E126" s="61">
        <f t="shared" si="135"/>
        <v>2.8840000000000003</v>
      </c>
      <c r="F126" s="44">
        <f t="shared" si="154"/>
        <v>14.420000000000002</v>
      </c>
      <c r="G126" s="44">
        <f t="shared" si="150"/>
        <v>11.536000000000001</v>
      </c>
      <c r="H126" s="44">
        <f t="shared" si="151"/>
        <v>7.2100000000000009</v>
      </c>
      <c r="I126" s="44">
        <f t="shared" si="155"/>
        <v>8</v>
      </c>
      <c r="J126" s="45">
        <f>yaw_null</f>
        <v>0</v>
      </c>
      <c r="K126" s="37" t="str">
        <f>D126&amp;-8</f>
        <v>20-8</v>
      </c>
      <c r="L126" s="44">
        <f t="shared" si="156"/>
        <v>0.2</v>
      </c>
      <c r="M126" s="44">
        <f t="shared" si="157"/>
        <v>150</v>
      </c>
      <c r="N126" s="44">
        <f t="shared" si="158"/>
        <v>160</v>
      </c>
      <c r="O126" s="44">
        <f t="shared" si="159"/>
        <v>210</v>
      </c>
      <c r="P126" s="72">
        <f t="shared" si="152"/>
        <v>0.85</v>
      </c>
    </row>
    <row r="127" spans="1:16" x14ac:dyDescent="0.25">
      <c r="A127" s="41" t="e">
        <f t="shared" ref="A127" si="165">A126+1</f>
        <v>#REF!</v>
      </c>
      <c r="B127" s="42">
        <f>B126+1</f>
        <v>117</v>
      </c>
      <c r="C127" s="41" t="s">
        <v>378</v>
      </c>
      <c r="D127" s="43">
        <f t="shared" si="149"/>
        <v>20</v>
      </c>
      <c r="E127" s="61">
        <f t="shared" si="135"/>
        <v>2.8840000000000003</v>
      </c>
      <c r="F127" s="44">
        <f t="shared" si="154"/>
        <v>14.420000000000002</v>
      </c>
      <c r="G127" s="44">
        <f t="shared" si="150"/>
        <v>11.536000000000001</v>
      </c>
      <c r="H127" s="44">
        <f t="shared" si="151"/>
        <v>7.2100000000000009</v>
      </c>
      <c r="I127" s="44">
        <f t="shared" si="155"/>
        <v>8</v>
      </c>
      <c r="J127" s="45">
        <f>yaw_max</f>
        <v>8</v>
      </c>
      <c r="K127" s="37" t="str">
        <f>D127&amp;-9</f>
        <v>20-9</v>
      </c>
      <c r="L127" s="44">
        <f t="shared" si="156"/>
        <v>0.2</v>
      </c>
      <c r="M127" s="44">
        <f t="shared" si="157"/>
        <v>150</v>
      </c>
      <c r="N127" s="44">
        <f t="shared" si="158"/>
        <v>160</v>
      </c>
      <c r="O127" s="44">
        <f t="shared" si="159"/>
        <v>210</v>
      </c>
      <c r="P127" s="72">
        <f t="shared" si="152"/>
        <v>0.85</v>
      </c>
    </row>
    <row r="128" spans="1:16" x14ac:dyDescent="0.25">
      <c r="A128" s="41" t="e">
        <f t="shared" ref="A128" si="166">A127+1</f>
        <v>#REF!</v>
      </c>
      <c r="B128" s="42">
        <f>B127+1</f>
        <v>118</v>
      </c>
      <c r="C128" s="41" t="s">
        <v>379</v>
      </c>
      <c r="D128" s="43">
        <f t="shared" si="149"/>
        <v>20</v>
      </c>
      <c r="E128" s="61">
        <f t="shared" si="135"/>
        <v>2.8840000000000003</v>
      </c>
      <c r="F128" s="44">
        <f t="shared" si="154"/>
        <v>14.420000000000002</v>
      </c>
      <c r="G128" s="44">
        <f t="shared" si="150"/>
        <v>11.536000000000001</v>
      </c>
      <c r="H128" s="44">
        <f t="shared" si="151"/>
        <v>7.2100000000000009</v>
      </c>
      <c r="I128" s="44">
        <f t="shared" si="155"/>
        <v>8</v>
      </c>
      <c r="J128" s="45">
        <f>yaw_max</f>
        <v>8</v>
      </c>
      <c r="K128" s="37" t="str">
        <f>D128&amp;-10</f>
        <v>20-10</v>
      </c>
      <c r="L128" s="44">
        <f t="shared" si="156"/>
        <v>0.2</v>
      </c>
      <c r="M128" s="44">
        <f t="shared" si="157"/>
        <v>150</v>
      </c>
      <c r="N128" s="44">
        <f t="shared" si="158"/>
        <v>160</v>
      </c>
      <c r="O128" s="44">
        <f t="shared" si="159"/>
        <v>210</v>
      </c>
      <c r="P128" s="72">
        <f t="shared" si="152"/>
        <v>0.85</v>
      </c>
    </row>
    <row r="129" spans="1:16" x14ac:dyDescent="0.25">
      <c r="A129" s="41" t="e">
        <f t="shared" ref="A129" si="167">A128+1</f>
        <v>#REF!</v>
      </c>
      <c r="B129" s="42">
        <f>B128+1</f>
        <v>119</v>
      </c>
      <c r="C129" s="41" t="s">
        <v>380</v>
      </c>
      <c r="D129" s="43">
        <f t="shared" si="149"/>
        <v>20</v>
      </c>
      <c r="E129" s="61">
        <f t="shared" si="135"/>
        <v>2.8840000000000003</v>
      </c>
      <c r="F129" s="44">
        <f t="shared" si="154"/>
        <v>14.420000000000002</v>
      </c>
      <c r="G129" s="44">
        <f t="shared" si="150"/>
        <v>11.536000000000001</v>
      </c>
      <c r="H129" s="44">
        <f t="shared" si="151"/>
        <v>7.2100000000000009</v>
      </c>
      <c r="I129" s="44">
        <f t="shared" si="155"/>
        <v>8</v>
      </c>
      <c r="J129" s="45">
        <f>yaw_max</f>
        <v>8</v>
      </c>
      <c r="K129" s="37" t="str">
        <f>D129&amp;-11</f>
        <v>20-11</v>
      </c>
      <c r="L129" s="44">
        <f t="shared" si="156"/>
        <v>0.2</v>
      </c>
      <c r="M129" s="44">
        <f t="shared" si="157"/>
        <v>150</v>
      </c>
      <c r="N129" s="44">
        <f t="shared" si="158"/>
        <v>160</v>
      </c>
      <c r="O129" s="44">
        <f t="shared" si="159"/>
        <v>210</v>
      </c>
      <c r="P129" s="72">
        <f t="shared" si="152"/>
        <v>0.85</v>
      </c>
    </row>
    <row r="130" spans="1:16" x14ac:dyDescent="0.25">
      <c r="A130" s="41" t="e">
        <f t="shared" ref="A130:B130" si="168">A129+1</f>
        <v>#REF!</v>
      </c>
      <c r="B130" s="42">
        <f t="shared" si="168"/>
        <v>120</v>
      </c>
      <c r="C130" s="41" t="s">
        <v>381</v>
      </c>
      <c r="D130" s="43">
        <f t="shared" si="149"/>
        <v>20</v>
      </c>
      <c r="E130" s="61">
        <f t="shared" si="135"/>
        <v>2.8840000000000003</v>
      </c>
      <c r="F130" s="44">
        <f t="shared" si="154"/>
        <v>14.420000000000002</v>
      </c>
      <c r="G130" s="44">
        <f t="shared" si="150"/>
        <v>11.536000000000001</v>
      </c>
      <c r="H130" s="44">
        <f t="shared" si="151"/>
        <v>7.2100000000000009</v>
      </c>
      <c r="I130" s="44">
        <f t="shared" si="155"/>
        <v>8</v>
      </c>
      <c r="J130" s="45">
        <f>yaw_max</f>
        <v>8</v>
      </c>
      <c r="K130" s="37" t="str">
        <f>D130&amp;-12</f>
        <v>20-12</v>
      </c>
      <c r="L130" s="44">
        <f t="shared" si="156"/>
        <v>0.2</v>
      </c>
      <c r="M130" s="44">
        <f t="shared" si="157"/>
        <v>150</v>
      </c>
      <c r="N130" s="44">
        <f t="shared" si="158"/>
        <v>160</v>
      </c>
      <c r="O130" s="44">
        <f t="shared" si="159"/>
        <v>210</v>
      </c>
      <c r="P130" s="72">
        <f t="shared" si="152"/>
        <v>0.85</v>
      </c>
    </row>
    <row r="131" spans="1:16" x14ac:dyDescent="0.25">
      <c r="A131" s="41" t="e">
        <f t="shared" ref="A131:B131" si="169">A130+1</f>
        <v>#REF!</v>
      </c>
      <c r="B131" s="42">
        <f t="shared" si="169"/>
        <v>121</v>
      </c>
      <c r="C131" s="41" t="s">
        <v>382</v>
      </c>
      <c r="D131" s="43">
        <f t="shared" si="149"/>
        <v>20</v>
      </c>
      <c r="E131" s="61">
        <f t="shared" si="135"/>
        <v>2.8840000000000003</v>
      </c>
      <c r="F131" s="44">
        <f t="shared" si="154"/>
        <v>14.420000000000002</v>
      </c>
      <c r="G131" s="44">
        <f t="shared" si="150"/>
        <v>11.536000000000001</v>
      </c>
      <c r="H131" s="44">
        <f t="shared" si="151"/>
        <v>7.2100000000000009</v>
      </c>
      <c r="I131" s="44">
        <f t="shared" si="155"/>
        <v>8</v>
      </c>
      <c r="J131" s="45">
        <f>yaw_min</f>
        <v>-8</v>
      </c>
      <c r="K131" s="37" t="str">
        <f>D131&amp;-1</f>
        <v>20-1</v>
      </c>
      <c r="L131" s="44">
        <f t="shared" si="156"/>
        <v>0.2</v>
      </c>
      <c r="M131" s="44">
        <f t="shared" si="157"/>
        <v>150</v>
      </c>
      <c r="N131" s="44">
        <f t="shared" si="158"/>
        <v>160</v>
      </c>
      <c r="O131" s="44">
        <f t="shared" si="159"/>
        <v>210</v>
      </c>
      <c r="P131" s="72">
        <v>1</v>
      </c>
    </row>
    <row r="132" spans="1:16" x14ac:dyDescent="0.25">
      <c r="A132" s="41" t="e">
        <f t="shared" ref="A132:B132" si="170">A131+1</f>
        <v>#REF!</v>
      </c>
      <c r="B132" s="42">
        <f t="shared" si="170"/>
        <v>122</v>
      </c>
      <c r="C132" s="41" t="s">
        <v>383</v>
      </c>
      <c r="D132" s="43">
        <f t="shared" si="149"/>
        <v>20</v>
      </c>
      <c r="E132" s="61">
        <f t="shared" si="135"/>
        <v>2.8840000000000003</v>
      </c>
      <c r="F132" s="44">
        <f t="shared" si="154"/>
        <v>14.420000000000002</v>
      </c>
      <c r="G132" s="44">
        <f t="shared" si="150"/>
        <v>11.536000000000001</v>
      </c>
      <c r="H132" s="44">
        <f t="shared" si="151"/>
        <v>7.2100000000000009</v>
      </c>
      <c r="I132" s="44">
        <f t="shared" si="155"/>
        <v>8</v>
      </c>
      <c r="J132" s="45">
        <f>yaw_min</f>
        <v>-8</v>
      </c>
      <c r="K132" s="37" t="str">
        <f>D132&amp;-2</f>
        <v>20-2</v>
      </c>
      <c r="L132" s="44">
        <f t="shared" si="156"/>
        <v>0.2</v>
      </c>
      <c r="M132" s="44">
        <f t="shared" si="157"/>
        <v>150</v>
      </c>
      <c r="N132" s="44">
        <f t="shared" si="158"/>
        <v>160</v>
      </c>
      <c r="O132" s="44">
        <f t="shared" si="159"/>
        <v>210</v>
      </c>
      <c r="P132" s="72">
        <v>1</v>
      </c>
    </row>
    <row r="133" spans="1:16" x14ac:dyDescent="0.25">
      <c r="A133" s="41" t="e">
        <f t="shared" ref="A133:B133" si="171">A132+1</f>
        <v>#REF!</v>
      </c>
      <c r="B133" s="42">
        <f t="shared" si="171"/>
        <v>123</v>
      </c>
      <c r="C133" s="41" t="s">
        <v>384</v>
      </c>
      <c r="D133" s="43">
        <f t="shared" si="149"/>
        <v>20</v>
      </c>
      <c r="E133" s="61">
        <f t="shared" si="135"/>
        <v>2.8840000000000003</v>
      </c>
      <c r="F133" s="44">
        <f t="shared" si="154"/>
        <v>14.420000000000002</v>
      </c>
      <c r="G133" s="44">
        <f t="shared" si="150"/>
        <v>11.536000000000001</v>
      </c>
      <c r="H133" s="44">
        <f t="shared" si="151"/>
        <v>7.2100000000000009</v>
      </c>
      <c r="I133" s="44">
        <f t="shared" si="155"/>
        <v>8</v>
      </c>
      <c r="J133" s="45">
        <f>yaw_min</f>
        <v>-8</v>
      </c>
      <c r="K133" s="37" t="str">
        <f>D133&amp;-3</f>
        <v>20-3</v>
      </c>
      <c r="L133" s="44">
        <f t="shared" si="156"/>
        <v>0.2</v>
      </c>
      <c r="M133" s="44">
        <f t="shared" si="157"/>
        <v>150</v>
      </c>
      <c r="N133" s="44">
        <f t="shared" si="158"/>
        <v>160</v>
      </c>
      <c r="O133" s="44">
        <f t="shared" si="159"/>
        <v>210</v>
      </c>
      <c r="P133" s="72">
        <v>1</v>
      </c>
    </row>
    <row r="134" spans="1:16" x14ac:dyDescent="0.25">
      <c r="A134" s="41" t="e">
        <f t="shared" ref="A134:B134" si="172">A133+1</f>
        <v>#REF!</v>
      </c>
      <c r="B134" s="42">
        <f t="shared" si="172"/>
        <v>124</v>
      </c>
      <c r="C134" s="41" t="s">
        <v>385</v>
      </c>
      <c r="D134" s="43">
        <f t="shared" si="149"/>
        <v>20</v>
      </c>
      <c r="E134" s="61">
        <f t="shared" si="135"/>
        <v>2.8840000000000003</v>
      </c>
      <c r="F134" s="44">
        <f t="shared" si="154"/>
        <v>14.420000000000002</v>
      </c>
      <c r="G134" s="44">
        <f t="shared" si="150"/>
        <v>11.536000000000001</v>
      </c>
      <c r="H134" s="44">
        <f t="shared" si="151"/>
        <v>7.2100000000000009</v>
      </c>
      <c r="I134" s="44">
        <f t="shared" si="155"/>
        <v>8</v>
      </c>
      <c r="J134" s="45">
        <f>yaw_min</f>
        <v>-8</v>
      </c>
      <c r="K134" s="37" t="str">
        <f>D134&amp;-4</f>
        <v>20-4</v>
      </c>
      <c r="L134" s="44">
        <f t="shared" si="156"/>
        <v>0.2</v>
      </c>
      <c r="M134" s="44">
        <f t="shared" si="157"/>
        <v>150</v>
      </c>
      <c r="N134" s="44">
        <f t="shared" si="158"/>
        <v>160</v>
      </c>
      <c r="O134" s="44">
        <f t="shared" si="159"/>
        <v>210</v>
      </c>
      <c r="P134" s="72">
        <v>1</v>
      </c>
    </row>
    <row r="135" spans="1:16" x14ac:dyDescent="0.25">
      <c r="A135" s="41" t="e">
        <f t="shared" ref="A135:B135" si="173">A134+1</f>
        <v>#REF!</v>
      </c>
      <c r="B135" s="42">
        <f t="shared" si="173"/>
        <v>125</v>
      </c>
      <c r="C135" s="41" t="s">
        <v>386</v>
      </c>
      <c r="D135" s="43">
        <f t="shared" si="149"/>
        <v>20</v>
      </c>
      <c r="E135" s="61">
        <f t="shared" si="135"/>
        <v>2.8840000000000003</v>
      </c>
      <c r="F135" s="44">
        <f t="shared" si="154"/>
        <v>14.420000000000002</v>
      </c>
      <c r="G135" s="44">
        <f t="shared" si="150"/>
        <v>11.536000000000001</v>
      </c>
      <c r="H135" s="44">
        <f t="shared" si="151"/>
        <v>7.2100000000000009</v>
      </c>
      <c r="I135" s="44">
        <f t="shared" si="155"/>
        <v>8</v>
      </c>
      <c r="J135" s="45">
        <f>yaw_null</f>
        <v>0</v>
      </c>
      <c r="K135" s="37" t="str">
        <f>D135&amp;-5</f>
        <v>20-5</v>
      </c>
      <c r="L135" s="44">
        <f t="shared" si="156"/>
        <v>0.2</v>
      </c>
      <c r="M135" s="44">
        <f t="shared" si="157"/>
        <v>150</v>
      </c>
      <c r="N135" s="44">
        <f t="shared" si="158"/>
        <v>160</v>
      </c>
      <c r="O135" s="44">
        <f t="shared" si="159"/>
        <v>210</v>
      </c>
      <c r="P135" s="72">
        <v>1</v>
      </c>
    </row>
    <row r="136" spans="1:16" x14ac:dyDescent="0.25">
      <c r="A136" s="41" t="e">
        <f t="shared" ref="A136:B136" si="174">A135+1</f>
        <v>#REF!</v>
      </c>
      <c r="B136" s="42">
        <f t="shared" si="174"/>
        <v>126</v>
      </c>
      <c r="C136" s="41" t="s">
        <v>387</v>
      </c>
      <c r="D136" s="43">
        <f t="shared" si="149"/>
        <v>20</v>
      </c>
      <c r="E136" s="61">
        <f t="shared" si="135"/>
        <v>2.8840000000000003</v>
      </c>
      <c r="F136" s="44">
        <f t="shared" si="154"/>
        <v>14.420000000000002</v>
      </c>
      <c r="G136" s="44">
        <f t="shared" si="150"/>
        <v>11.536000000000001</v>
      </c>
      <c r="H136" s="44">
        <f t="shared" si="151"/>
        <v>7.2100000000000009</v>
      </c>
      <c r="I136" s="44">
        <f t="shared" si="155"/>
        <v>8</v>
      </c>
      <c r="J136" s="45">
        <f>yaw_null</f>
        <v>0</v>
      </c>
      <c r="K136" s="37" t="str">
        <f>D136&amp;-6</f>
        <v>20-6</v>
      </c>
      <c r="L136" s="44">
        <f t="shared" si="156"/>
        <v>0.2</v>
      </c>
      <c r="M136" s="44">
        <f t="shared" si="157"/>
        <v>150</v>
      </c>
      <c r="N136" s="44">
        <f t="shared" si="158"/>
        <v>160</v>
      </c>
      <c r="O136" s="44">
        <f t="shared" si="159"/>
        <v>210</v>
      </c>
      <c r="P136" s="72">
        <v>1</v>
      </c>
    </row>
    <row r="137" spans="1:16" x14ac:dyDescent="0.25">
      <c r="A137" s="41" t="e">
        <f t="shared" ref="A137:B137" si="175">A136+1</f>
        <v>#REF!</v>
      </c>
      <c r="B137" s="42">
        <f t="shared" si="175"/>
        <v>127</v>
      </c>
      <c r="C137" s="41" t="s">
        <v>388</v>
      </c>
      <c r="D137" s="43">
        <f t="shared" si="149"/>
        <v>20</v>
      </c>
      <c r="E137" s="61">
        <f t="shared" si="135"/>
        <v>2.8840000000000003</v>
      </c>
      <c r="F137" s="44">
        <f t="shared" si="154"/>
        <v>14.420000000000002</v>
      </c>
      <c r="G137" s="44">
        <f t="shared" si="150"/>
        <v>11.536000000000001</v>
      </c>
      <c r="H137" s="44">
        <f t="shared" si="151"/>
        <v>7.2100000000000009</v>
      </c>
      <c r="I137" s="44">
        <f t="shared" si="155"/>
        <v>8</v>
      </c>
      <c r="J137" s="45">
        <f>yaw_null</f>
        <v>0</v>
      </c>
      <c r="K137" s="37" t="str">
        <f>D137&amp;-7</f>
        <v>20-7</v>
      </c>
      <c r="L137" s="44">
        <f t="shared" si="156"/>
        <v>0.2</v>
      </c>
      <c r="M137" s="44">
        <f t="shared" si="157"/>
        <v>150</v>
      </c>
      <c r="N137" s="44">
        <f t="shared" si="158"/>
        <v>160</v>
      </c>
      <c r="O137" s="44">
        <f t="shared" si="159"/>
        <v>210</v>
      </c>
      <c r="P137" s="72">
        <v>1</v>
      </c>
    </row>
    <row r="138" spans="1:16" x14ac:dyDescent="0.25">
      <c r="A138" s="41" t="e">
        <f t="shared" ref="A138:B138" si="176">A137+1</f>
        <v>#REF!</v>
      </c>
      <c r="B138" s="42">
        <f t="shared" si="176"/>
        <v>128</v>
      </c>
      <c r="C138" s="41" t="s">
        <v>389</v>
      </c>
      <c r="D138" s="43">
        <f t="shared" si="149"/>
        <v>20</v>
      </c>
      <c r="E138" s="61">
        <f t="shared" si="135"/>
        <v>2.8840000000000003</v>
      </c>
      <c r="F138" s="44">
        <f t="shared" si="154"/>
        <v>14.420000000000002</v>
      </c>
      <c r="G138" s="44">
        <f t="shared" si="150"/>
        <v>11.536000000000001</v>
      </c>
      <c r="H138" s="44">
        <f t="shared" si="151"/>
        <v>7.2100000000000009</v>
      </c>
      <c r="I138" s="44">
        <f t="shared" si="155"/>
        <v>8</v>
      </c>
      <c r="J138" s="45">
        <f>yaw_null</f>
        <v>0</v>
      </c>
      <c r="K138" s="37" t="str">
        <f>D138&amp;-8</f>
        <v>20-8</v>
      </c>
      <c r="L138" s="44">
        <f t="shared" si="156"/>
        <v>0.2</v>
      </c>
      <c r="M138" s="44">
        <f t="shared" si="157"/>
        <v>150</v>
      </c>
      <c r="N138" s="44">
        <f t="shared" si="158"/>
        <v>160</v>
      </c>
      <c r="O138" s="44">
        <f t="shared" si="159"/>
        <v>210</v>
      </c>
      <c r="P138" s="72">
        <v>1</v>
      </c>
    </row>
    <row r="139" spans="1:16" x14ac:dyDescent="0.25">
      <c r="A139" s="41" t="e">
        <f t="shared" ref="A139" si="177">A138+1</f>
        <v>#REF!</v>
      </c>
      <c r="B139" s="42">
        <f>B138+1</f>
        <v>129</v>
      </c>
      <c r="C139" s="41" t="s">
        <v>390</v>
      </c>
      <c r="D139" s="43">
        <f t="shared" si="149"/>
        <v>20</v>
      </c>
      <c r="E139" s="61">
        <f t="shared" ref="E139:E170" si="178">I_ref*(0.75*D139+5.6)</f>
        <v>2.8840000000000003</v>
      </c>
      <c r="F139" s="44">
        <f t="shared" si="154"/>
        <v>14.420000000000002</v>
      </c>
      <c r="G139" s="44">
        <f t="shared" si="150"/>
        <v>11.536000000000001</v>
      </c>
      <c r="H139" s="44">
        <f t="shared" si="151"/>
        <v>7.2100000000000009</v>
      </c>
      <c r="I139" s="44">
        <f t="shared" si="155"/>
        <v>8</v>
      </c>
      <c r="J139" s="45">
        <f>yaw_max</f>
        <v>8</v>
      </c>
      <c r="K139" s="37" t="str">
        <f>D139&amp;-9</f>
        <v>20-9</v>
      </c>
      <c r="L139" s="44">
        <f t="shared" si="156"/>
        <v>0.2</v>
      </c>
      <c r="M139" s="44">
        <f t="shared" si="157"/>
        <v>150</v>
      </c>
      <c r="N139" s="44">
        <f t="shared" si="158"/>
        <v>160</v>
      </c>
      <c r="O139" s="44">
        <f t="shared" si="159"/>
        <v>210</v>
      </c>
      <c r="P139" s="72">
        <v>1</v>
      </c>
    </row>
    <row r="140" spans="1:16" x14ac:dyDescent="0.25">
      <c r="A140" s="41" t="e">
        <f t="shared" ref="A140" si="179">A139+1</f>
        <v>#REF!</v>
      </c>
      <c r="B140" s="42">
        <f>B139+1</f>
        <v>130</v>
      </c>
      <c r="C140" s="41" t="s">
        <v>391</v>
      </c>
      <c r="D140" s="43">
        <f t="shared" si="149"/>
        <v>20</v>
      </c>
      <c r="E140" s="61">
        <f t="shared" si="178"/>
        <v>2.8840000000000003</v>
      </c>
      <c r="F140" s="44">
        <f t="shared" si="154"/>
        <v>14.420000000000002</v>
      </c>
      <c r="G140" s="44">
        <f t="shared" si="150"/>
        <v>11.536000000000001</v>
      </c>
      <c r="H140" s="44">
        <f t="shared" si="151"/>
        <v>7.2100000000000009</v>
      </c>
      <c r="I140" s="44">
        <f t="shared" si="155"/>
        <v>8</v>
      </c>
      <c r="J140" s="45">
        <f>yaw_max</f>
        <v>8</v>
      </c>
      <c r="K140" s="37" t="str">
        <f>D140&amp;-10</f>
        <v>20-10</v>
      </c>
      <c r="L140" s="44">
        <f t="shared" si="156"/>
        <v>0.2</v>
      </c>
      <c r="M140" s="44">
        <f t="shared" si="157"/>
        <v>150</v>
      </c>
      <c r="N140" s="44">
        <f t="shared" si="158"/>
        <v>160</v>
      </c>
      <c r="O140" s="44">
        <f t="shared" si="159"/>
        <v>210</v>
      </c>
      <c r="P140" s="72">
        <v>1</v>
      </c>
    </row>
    <row r="141" spans="1:16" x14ac:dyDescent="0.25">
      <c r="A141" s="41" t="e">
        <f t="shared" ref="A141" si="180">A140+1</f>
        <v>#REF!</v>
      </c>
      <c r="B141" s="42">
        <f>B140+1</f>
        <v>131</v>
      </c>
      <c r="C141" s="41" t="s">
        <v>392</v>
      </c>
      <c r="D141" s="43">
        <f t="shared" si="149"/>
        <v>20</v>
      </c>
      <c r="E141" s="61">
        <f t="shared" si="178"/>
        <v>2.8840000000000003</v>
      </c>
      <c r="F141" s="44">
        <f t="shared" si="154"/>
        <v>14.420000000000002</v>
      </c>
      <c r="G141" s="44">
        <f t="shared" si="150"/>
        <v>11.536000000000001</v>
      </c>
      <c r="H141" s="44">
        <f t="shared" si="151"/>
        <v>7.2100000000000009</v>
      </c>
      <c r="I141" s="44">
        <f t="shared" si="155"/>
        <v>8</v>
      </c>
      <c r="J141" s="45">
        <f>yaw_max</f>
        <v>8</v>
      </c>
      <c r="K141" s="37" t="str">
        <f>D141&amp;-11</f>
        <v>20-11</v>
      </c>
      <c r="L141" s="44">
        <f t="shared" si="156"/>
        <v>0.2</v>
      </c>
      <c r="M141" s="44">
        <f t="shared" si="157"/>
        <v>150</v>
      </c>
      <c r="N141" s="44">
        <f t="shared" si="158"/>
        <v>160</v>
      </c>
      <c r="O141" s="44">
        <f t="shared" si="159"/>
        <v>210</v>
      </c>
      <c r="P141" s="72">
        <v>1</v>
      </c>
    </row>
    <row r="142" spans="1:16" x14ac:dyDescent="0.25">
      <c r="A142" s="41" t="e">
        <f t="shared" ref="A142:B142" si="181">A141+1</f>
        <v>#REF!</v>
      </c>
      <c r="B142" s="42">
        <f t="shared" si="181"/>
        <v>132</v>
      </c>
      <c r="C142" s="41" t="s">
        <v>393</v>
      </c>
      <c r="D142" s="43">
        <f t="shared" si="149"/>
        <v>20</v>
      </c>
      <c r="E142" s="61">
        <f t="shared" si="178"/>
        <v>2.8840000000000003</v>
      </c>
      <c r="F142" s="44">
        <f t="shared" si="154"/>
        <v>14.420000000000002</v>
      </c>
      <c r="G142" s="44">
        <f t="shared" si="150"/>
        <v>11.536000000000001</v>
      </c>
      <c r="H142" s="44">
        <f t="shared" si="151"/>
        <v>7.2100000000000009</v>
      </c>
      <c r="I142" s="44">
        <f t="shared" si="155"/>
        <v>8</v>
      </c>
      <c r="J142" s="45">
        <f>yaw_max</f>
        <v>8</v>
      </c>
      <c r="K142" s="37" t="str">
        <f>D142&amp;-12</f>
        <v>20-12</v>
      </c>
      <c r="L142" s="44">
        <f t="shared" si="156"/>
        <v>0.2</v>
      </c>
      <c r="M142" s="44">
        <f t="shared" si="157"/>
        <v>150</v>
      </c>
      <c r="N142" s="44">
        <f t="shared" si="158"/>
        <v>160</v>
      </c>
      <c r="O142" s="44">
        <f t="shared" si="159"/>
        <v>210</v>
      </c>
      <c r="P142" s="72">
        <v>1</v>
      </c>
    </row>
    <row r="143" spans="1:16" x14ac:dyDescent="0.25">
      <c r="A143" s="41" t="e">
        <f t="shared" ref="A143:B143" si="182">A142+1</f>
        <v>#REF!</v>
      </c>
      <c r="B143" s="42">
        <f t="shared" si="182"/>
        <v>133</v>
      </c>
      <c r="C143" s="41" t="s">
        <v>394</v>
      </c>
      <c r="D143" s="43">
        <f t="shared" si="149"/>
        <v>20</v>
      </c>
      <c r="E143" s="61">
        <f t="shared" si="178"/>
        <v>2.8840000000000003</v>
      </c>
      <c r="F143" s="44">
        <f t="shared" si="154"/>
        <v>14.420000000000002</v>
      </c>
      <c r="G143" s="44">
        <f t="shared" si="150"/>
        <v>11.536000000000001</v>
      </c>
      <c r="H143" s="44">
        <f t="shared" si="151"/>
        <v>7.2100000000000009</v>
      </c>
      <c r="I143" s="44">
        <f t="shared" si="155"/>
        <v>8</v>
      </c>
      <c r="J143" s="45">
        <f>yaw_min</f>
        <v>-8</v>
      </c>
      <c r="K143" s="37" t="str">
        <f>D143&amp;-1</f>
        <v>20-1</v>
      </c>
      <c r="L143" s="44">
        <f t="shared" si="156"/>
        <v>0.2</v>
      </c>
      <c r="M143" s="44">
        <f t="shared" si="157"/>
        <v>150</v>
      </c>
      <c r="N143" s="44">
        <f t="shared" si="158"/>
        <v>160</v>
      </c>
      <c r="O143" s="44">
        <f t="shared" si="159"/>
        <v>210</v>
      </c>
      <c r="P143" s="72">
        <f t="shared" ref="P143:P154" si="183">Btorque_2</f>
        <v>1.1499999999999999</v>
      </c>
    </row>
    <row r="144" spans="1:16" x14ac:dyDescent="0.25">
      <c r="A144" s="41" t="e">
        <f t="shared" ref="A144:B144" si="184">A143+1</f>
        <v>#REF!</v>
      </c>
      <c r="B144" s="42">
        <f t="shared" si="184"/>
        <v>134</v>
      </c>
      <c r="C144" s="41" t="s">
        <v>395</v>
      </c>
      <c r="D144" s="43">
        <f t="shared" si="149"/>
        <v>20</v>
      </c>
      <c r="E144" s="61">
        <f t="shared" si="178"/>
        <v>2.8840000000000003</v>
      </c>
      <c r="F144" s="44">
        <f t="shared" si="154"/>
        <v>14.420000000000002</v>
      </c>
      <c r="G144" s="44">
        <f t="shared" si="150"/>
        <v>11.536000000000001</v>
      </c>
      <c r="H144" s="44">
        <f t="shared" si="151"/>
        <v>7.2100000000000009</v>
      </c>
      <c r="I144" s="44">
        <f t="shared" si="155"/>
        <v>8</v>
      </c>
      <c r="J144" s="45">
        <f>yaw_min</f>
        <v>-8</v>
      </c>
      <c r="K144" s="37" t="str">
        <f>D144&amp;-2</f>
        <v>20-2</v>
      </c>
      <c r="L144" s="44">
        <f t="shared" si="156"/>
        <v>0.2</v>
      </c>
      <c r="M144" s="44">
        <f t="shared" si="157"/>
        <v>150</v>
      </c>
      <c r="N144" s="44">
        <f t="shared" si="158"/>
        <v>160</v>
      </c>
      <c r="O144" s="44">
        <f t="shared" si="159"/>
        <v>210</v>
      </c>
      <c r="P144" s="72">
        <f t="shared" si="183"/>
        <v>1.1499999999999999</v>
      </c>
    </row>
    <row r="145" spans="1:16" x14ac:dyDescent="0.25">
      <c r="A145" s="41" t="e">
        <f t="shared" ref="A145:B145" si="185">A144+1</f>
        <v>#REF!</v>
      </c>
      <c r="B145" s="42">
        <f t="shared" si="185"/>
        <v>135</v>
      </c>
      <c r="C145" s="41" t="s">
        <v>396</v>
      </c>
      <c r="D145" s="43">
        <f t="shared" si="149"/>
        <v>20</v>
      </c>
      <c r="E145" s="61">
        <f t="shared" si="178"/>
        <v>2.8840000000000003</v>
      </c>
      <c r="F145" s="44">
        <f t="shared" si="154"/>
        <v>14.420000000000002</v>
      </c>
      <c r="G145" s="44">
        <f t="shared" si="150"/>
        <v>11.536000000000001</v>
      </c>
      <c r="H145" s="44">
        <f t="shared" si="151"/>
        <v>7.2100000000000009</v>
      </c>
      <c r="I145" s="44">
        <f t="shared" si="155"/>
        <v>8</v>
      </c>
      <c r="J145" s="45">
        <f>yaw_min</f>
        <v>-8</v>
      </c>
      <c r="K145" s="37" t="str">
        <f>D145&amp;-3</f>
        <v>20-3</v>
      </c>
      <c r="L145" s="44">
        <f t="shared" si="156"/>
        <v>0.2</v>
      </c>
      <c r="M145" s="44">
        <f t="shared" si="157"/>
        <v>150</v>
      </c>
      <c r="N145" s="44">
        <f t="shared" si="158"/>
        <v>160</v>
      </c>
      <c r="O145" s="44">
        <f t="shared" si="159"/>
        <v>210</v>
      </c>
      <c r="P145" s="72">
        <f t="shared" si="183"/>
        <v>1.1499999999999999</v>
      </c>
    </row>
    <row r="146" spans="1:16" x14ac:dyDescent="0.25">
      <c r="A146" s="41" t="e">
        <f t="shared" ref="A146:B146" si="186">A145+1</f>
        <v>#REF!</v>
      </c>
      <c r="B146" s="42">
        <f t="shared" si="186"/>
        <v>136</v>
      </c>
      <c r="C146" s="41" t="s">
        <v>397</v>
      </c>
      <c r="D146" s="43">
        <f t="shared" si="149"/>
        <v>20</v>
      </c>
      <c r="E146" s="61">
        <f t="shared" si="178"/>
        <v>2.8840000000000003</v>
      </c>
      <c r="F146" s="44">
        <f t="shared" si="154"/>
        <v>14.420000000000002</v>
      </c>
      <c r="G146" s="44">
        <f t="shared" si="150"/>
        <v>11.536000000000001</v>
      </c>
      <c r="H146" s="44">
        <f t="shared" si="151"/>
        <v>7.2100000000000009</v>
      </c>
      <c r="I146" s="44">
        <f t="shared" si="155"/>
        <v>8</v>
      </c>
      <c r="J146" s="45">
        <f>yaw_min</f>
        <v>-8</v>
      </c>
      <c r="K146" s="37" t="str">
        <f>D146&amp;-4</f>
        <v>20-4</v>
      </c>
      <c r="L146" s="44">
        <f t="shared" si="156"/>
        <v>0.2</v>
      </c>
      <c r="M146" s="44">
        <f t="shared" si="157"/>
        <v>150</v>
      </c>
      <c r="N146" s="44">
        <f t="shared" si="158"/>
        <v>160</v>
      </c>
      <c r="O146" s="44">
        <f t="shared" si="159"/>
        <v>210</v>
      </c>
      <c r="P146" s="72">
        <f t="shared" si="183"/>
        <v>1.1499999999999999</v>
      </c>
    </row>
    <row r="147" spans="1:16" x14ac:dyDescent="0.25">
      <c r="A147" s="41" t="e">
        <f t="shared" ref="A147:B147" si="187">A146+1</f>
        <v>#REF!</v>
      </c>
      <c r="B147" s="42">
        <f t="shared" si="187"/>
        <v>137</v>
      </c>
      <c r="C147" s="41" t="s">
        <v>398</v>
      </c>
      <c r="D147" s="43">
        <f t="shared" si="149"/>
        <v>20</v>
      </c>
      <c r="E147" s="61">
        <f t="shared" si="178"/>
        <v>2.8840000000000003</v>
      </c>
      <c r="F147" s="44">
        <f t="shared" si="154"/>
        <v>14.420000000000002</v>
      </c>
      <c r="G147" s="44">
        <f t="shared" si="150"/>
        <v>11.536000000000001</v>
      </c>
      <c r="H147" s="44">
        <f t="shared" si="151"/>
        <v>7.2100000000000009</v>
      </c>
      <c r="I147" s="44">
        <f t="shared" si="155"/>
        <v>8</v>
      </c>
      <c r="J147" s="45">
        <f>yaw_null</f>
        <v>0</v>
      </c>
      <c r="K147" s="37" t="str">
        <f>D147&amp;-5</f>
        <v>20-5</v>
      </c>
      <c r="L147" s="44">
        <f t="shared" si="156"/>
        <v>0.2</v>
      </c>
      <c r="M147" s="44">
        <f t="shared" si="157"/>
        <v>150</v>
      </c>
      <c r="N147" s="44">
        <f t="shared" si="158"/>
        <v>160</v>
      </c>
      <c r="O147" s="44">
        <f t="shared" si="159"/>
        <v>210</v>
      </c>
      <c r="P147" s="72">
        <f t="shared" si="183"/>
        <v>1.1499999999999999</v>
      </c>
    </row>
    <row r="148" spans="1:16" x14ac:dyDescent="0.25">
      <c r="A148" s="41" t="e">
        <f t="shared" ref="A148:B148" si="188">A147+1</f>
        <v>#REF!</v>
      </c>
      <c r="B148" s="42">
        <f t="shared" si="188"/>
        <v>138</v>
      </c>
      <c r="C148" s="41" t="s">
        <v>399</v>
      </c>
      <c r="D148" s="43">
        <f t="shared" si="149"/>
        <v>20</v>
      </c>
      <c r="E148" s="61">
        <f t="shared" si="178"/>
        <v>2.8840000000000003</v>
      </c>
      <c r="F148" s="44">
        <f t="shared" si="154"/>
        <v>14.420000000000002</v>
      </c>
      <c r="G148" s="44">
        <f t="shared" si="150"/>
        <v>11.536000000000001</v>
      </c>
      <c r="H148" s="44">
        <f t="shared" si="151"/>
        <v>7.2100000000000009</v>
      </c>
      <c r="I148" s="44">
        <f t="shared" si="155"/>
        <v>8</v>
      </c>
      <c r="J148" s="45">
        <f>yaw_null</f>
        <v>0</v>
      </c>
      <c r="K148" s="37" t="str">
        <f>D148&amp;-6</f>
        <v>20-6</v>
      </c>
      <c r="L148" s="44">
        <f t="shared" si="156"/>
        <v>0.2</v>
      </c>
      <c r="M148" s="44">
        <f t="shared" si="157"/>
        <v>150</v>
      </c>
      <c r="N148" s="44">
        <f t="shared" si="158"/>
        <v>160</v>
      </c>
      <c r="O148" s="44">
        <f t="shared" si="159"/>
        <v>210</v>
      </c>
      <c r="P148" s="72">
        <f t="shared" si="183"/>
        <v>1.1499999999999999</v>
      </c>
    </row>
    <row r="149" spans="1:16" x14ac:dyDescent="0.25">
      <c r="A149" s="41" t="e">
        <f t="shared" ref="A149:B149" si="189">A148+1</f>
        <v>#REF!</v>
      </c>
      <c r="B149" s="42">
        <f t="shared" si="189"/>
        <v>139</v>
      </c>
      <c r="C149" s="41" t="s">
        <v>400</v>
      </c>
      <c r="D149" s="43">
        <f t="shared" si="149"/>
        <v>20</v>
      </c>
      <c r="E149" s="61">
        <f t="shared" si="178"/>
        <v>2.8840000000000003</v>
      </c>
      <c r="F149" s="44">
        <f t="shared" si="154"/>
        <v>14.420000000000002</v>
      </c>
      <c r="G149" s="44">
        <f t="shared" si="150"/>
        <v>11.536000000000001</v>
      </c>
      <c r="H149" s="44">
        <f t="shared" si="151"/>
        <v>7.2100000000000009</v>
      </c>
      <c r="I149" s="44">
        <f t="shared" si="155"/>
        <v>8</v>
      </c>
      <c r="J149" s="45">
        <f>yaw_null</f>
        <v>0</v>
      </c>
      <c r="K149" s="37" t="str">
        <f>D149&amp;-7</f>
        <v>20-7</v>
      </c>
      <c r="L149" s="44">
        <f t="shared" si="156"/>
        <v>0.2</v>
      </c>
      <c r="M149" s="44">
        <f t="shared" si="157"/>
        <v>150</v>
      </c>
      <c r="N149" s="44">
        <f t="shared" si="158"/>
        <v>160</v>
      </c>
      <c r="O149" s="44">
        <f t="shared" si="159"/>
        <v>210</v>
      </c>
      <c r="P149" s="72">
        <f t="shared" si="183"/>
        <v>1.1499999999999999</v>
      </c>
    </row>
    <row r="150" spans="1:16" x14ac:dyDescent="0.25">
      <c r="A150" s="41" t="e">
        <f t="shared" ref="A150:B150" si="190">A149+1</f>
        <v>#REF!</v>
      </c>
      <c r="B150" s="42">
        <f t="shared" si="190"/>
        <v>140</v>
      </c>
      <c r="C150" s="41" t="s">
        <v>401</v>
      </c>
      <c r="D150" s="43">
        <f t="shared" si="149"/>
        <v>20</v>
      </c>
      <c r="E150" s="61">
        <f t="shared" si="178"/>
        <v>2.8840000000000003</v>
      </c>
      <c r="F150" s="44">
        <f t="shared" si="154"/>
        <v>14.420000000000002</v>
      </c>
      <c r="G150" s="44">
        <f t="shared" si="150"/>
        <v>11.536000000000001</v>
      </c>
      <c r="H150" s="44">
        <f t="shared" si="151"/>
        <v>7.2100000000000009</v>
      </c>
      <c r="I150" s="44">
        <f t="shared" si="155"/>
        <v>8</v>
      </c>
      <c r="J150" s="45">
        <f>yaw_null</f>
        <v>0</v>
      </c>
      <c r="K150" s="37" t="str">
        <f>D150&amp;-8</f>
        <v>20-8</v>
      </c>
      <c r="L150" s="44">
        <f t="shared" si="156"/>
        <v>0.2</v>
      </c>
      <c r="M150" s="44">
        <f t="shared" si="157"/>
        <v>150</v>
      </c>
      <c r="N150" s="44">
        <f t="shared" si="158"/>
        <v>160</v>
      </c>
      <c r="O150" s="44">
        <f t="shared" si="159"/>
        <v>210</v>
      </c>
      <c r="P150" s="72">
        <f t="shared" si="183"/>
        <v>1.1499999999999999</v>
      </c>
    </row>
    <row r="151" spans="1:16" x14ac:dyDescent="0.25">
      <c r="A151" s="41" t="e">
        <f t="shared" ref="A151" si="191">A150+1</f>
        <v>#REF!</v>
      </c>
      <c r="B151" s="42">
        <f>B150+1</f>
        <v>141</v>
      </c>
      <c r="C151" s="41" t="s">
        <v>402</v>
      </c>
      <c r="D151" s="43">
        <f t="shared" si="149"/>
        <v>20</v>
      </c>
      <c r="E151" s="61">
        <f t="shared" si="178"/>
        <v>2.8840000000000003</v>
      </c>
      <c r="F151" s="44">
        <f t="shared" si="154"/>
        <v>14.420000000000002</v>
      </c>
      <c r="G151" s="44">
        <f t="shared" si="150"/>
        <v>11.536000000000001</v>
      </c>
      <c r="H151" s="44">
        <f t="shared" si="151"/>
        <v>7.2100000000000009</v>
      </c>
      <c r="I151" s="44">
        <f t="shared" si="155"/>
        <v>8</v>
      </c>
      <c r="J151" s="45">
        <f>yaw_max</f>
        <v>8</v>
      </c>
      <c r="K151" s="37" t="str">
        <f>D151&amp;-9</f>
        <v>20-9</v>
      </c>
      <c r="L151" s="44">
        <f t="shared" si="156"/>
        <v>0.2</v>
      </c>
      <c r="M151" s="44">
        <f t="shared" si="157"/>
        <v>150</v>
      </c>
      <c r="N151" s="44">
        <f t="shared" si="158"/>
        <v>160</v>
      </c>
      <c r="O151" s="44">
        <f t="shared" si="159"/>
        <v>210</v>
      </c>
      <c r="P151" s="72">
        <f t="shared" si="183"/>
        <v>1.1499999999999999</v>
      </c>
    </row>
    <row r="152" spans="1:16" x14ac:dyDescent="0.25">
      <c r="A152" s="41" t="e">
        <f t="shared" ref="A152" si="192">A151+1</f>
        <v>#REF!</v>
      </c>
      <c r="B152" s="42">
        <f>B151+1</f>
        <v>142</v>
      </c>
      <c r="C152" s="41" t="s">
        <v>403</v>
      </c>
      <c r="D152" s="43">
        <f t="shared" si="149"/>
        <v>20</v>
      </c>
      <c r="E152" s="61">
        <f t="shared" si="178"/>
        <v>2.8840000000000003</v>
      </c>
      <c r="F152" s="44">
        <f t="shared" si="154"/>
        <v>14.420000000000002</v>
      </c>
      <c r="G152" s="44">
        <f t="shared" si="150"/>
        <v>11.536000000000001</v>
      </c>
      <c r="H152" s="44">
        <f t="shared" si="151"/>
        <v>7.2100000000000009</v>
      </c>
      <c r="I152" s="44">
        <f t="shared" si="155"/>
        <v>8</v>
      </c>
      <c r="J152" s="45">
        <f>yaw_max</f>
        <v>8</v>
      </c>
      <c r="K152" s="37" t="str">
        <f>D152&amp;-10</f>
        <v>20-10</v>
      </c>
      <c r="L152" s="44">
        <f t="shared" si="156"/>
        <v>0.2</v>
      </c>
      <c r="M152" s="44">
        <f t="shared" si="157"/>
        <v>150</v>
      </c>
      <c r="N152" s="44">
        <f t="shared" si="158"/>
        <v>160</v>
      </c>
      <c r="O152" s="44">
        <f t="shared" si="159"/>
        <v>210</v>
      </c>
      <c r="P152" s="72">
        <f t="shared" si="183"/>
        <v>1.1499999999999999</v>
      </c>
    </row>
    <row r="153" spans="1:16" x14ac:dyDescent="0.25">
      <c r="A153" s="41" t="e">
        <f t="shared" ref="A153" si="193">A152+1</f>
        <v>#REF!</v>
      </c>
      <c r="B153" s="42">
        <f>B152+1</f>
        <v>143</v>
      </c>
      <c r="C153" s="41" t="s">
        <v>404</v>
      </c>
      <c r="D153" s="43">
        <f t="shared" si="149"/>
        <v>20</v>
      </c>
      <c r="E153" s="61">
        <f t="shared" si="178"/>
        <v>2.8840000000000003</v>
      </c>
      <c r="F153" s="44">
        <f t="shared" si="154"/>
        <v>14.420000000000002</v>
      </c>
      <c r="G153" s="44">
        <f t="shared" si="150"/>
        <v>11.536000000000001</v>
      </c>
      <c r="H153" s="44">
        <f t="shared" si="151"/>
        <v>7.2100000000000009</v>
      </c>
      <c r="I153" s="44">
        <f t="shared" si="155"/>
        <v>8</v>
      </c>
      <c r="J153" s="45">
        <f>yaw_max</f>
        <v>8</v>
      </c>
      <c r="K153" s="37" t="str">
        <f>D153&amp;-11</f>
        <v>20-11</v>
      </c>
      <c r="L153" s="44">
        <f t="shared" si="156"/>
        <v>0.2</v>
      </c>
      <c r="M153" s="44">
        <f t="shared" si="157"/>
        <v>150</v>
      </c>
      <c r="N153" s="44">
        <f t="shared" si="158"/>
        <v>160</v>
      </c>
      <c r="O153" s="44">
        <f t="shared" si="159"/>
        <v>210</v>
      </c>
      <c r="P153" s="72">
        <f t="shared" si="183"/>
        <v>1.1499999999999999</v>
      </c>
    </row>
    <row r="154" spans="1:16" x14ac:dyDescent="0.25">
      <c r="A154" s="41" t="e">
        <f t="shared" ref="A154:B154" si="194">A153+1</f>
        <v>#REF!</v>
      </c>
      <c r="B154" s="42">
        <f t="shared" si="194"/>
        <v>144</v>
      </c>
      <c r="C154" s="41" t="s">
        <v>405</v>
      </c>
      <c r="D154" s="43">
        <f t="shared" si="149"/>
        <v>20</v>
      </c>
      <c r="E154" s="61">
        <f t="shared" si="178"/>
        <v>2.8840000000000003</v>
      </c>
      <c r="F154" s="44">
        <f t="shared" si="154"/>
        <v>14.420000000000002</v>
      </c>
      <c r="G154" s="44">
        <f t="shared" si="150"/>
        <v>11.536000000000001</v>
      </c>
      <c r="H154" s="44">
        <f t="shared" si="151"/>
        <v>7.2100000000000009</v>
      </c>
      <c r="I154" s="44">
        <f t="shared" si="155"/>
        <v>8</v>
      </c>
      <c r="J154" s="45">
        <f>yaw_max</f>
        <v>8</v>
      </c>
      <c r="K154" s="37" t="str">
        <f>D154&amp;-12</f>
        <v>20-12</v>
      </c>
      <c r="L154" s="44">
        <f t="shared" si="156"/>
        <v>0.2</v>
      </c>
      <c r="M154" s="44">
        <f t="shared" si="157"/>
        <v>150</v>
      </c>
      <c r="N154" s="44">
        <f t="shared" si="158"/>
        <v>160</v>
      </c>
      <c r="O154" s="44">
        <f t="shared" si="159"/>
        <v>210</v>
      </c>
      <c r="P154" s="72">
        <f t="shared" si="183"/>
        <v>1.1499999999999999</v>
      </c>
    </row>
    <row r="155" spans="1:16" x14ac:dyDescent="0.25">
      <c r="A155" s="41" t="e">
        <f t="shared" ref="A155:B155" si="195">A154+1</f>
        <v>#REF!</v>
      </c>
      <c r="B155" s="42">
        <f t="shared" si="195"/>
        <v>145</v>
      </c>
      <c r="C155" s="41" t="s">
        <v>406</v>
      </c>
      <c r="D155" s="43">
        <f t="shared" ref="D155:D190" si="196">v_out</f>
        <v>25</v>
      </c>
      <c r="E155" s="61">
        <f t="shared" si="178"/>
        <v>3.4090000000000007</v>
      </c>
      <c r="F155" s="44">
        <f t="shared" si="154"/>
        <v>13.636000000000003</v>
      </c>
      <c r="G155" s="44">
        <f t="shared" ref="G155:G190" si="197">m_ty*F155</f>
        <v>10.908800000000003</v>
      </c>
      <c r="H155" s="44">
        <f t="shared" ref="H155:H190" si="198">m_tz*F155</f>
        <v>6.8180000000000014</v>
      </c>
      <c r="I155" s="44">
        <f t="shared" si="155"/>
        <v>8</v>
      </c>
      <c r="J155" s="45">
        <f>yaw_min</f>
        <v>-8</v>
      </c>
      <c r="K155" s="37" t="str">
        <f>D155&amp;-1</f>
        <v>25-1</v>
      </c>
      <c r="L155" s="44">
        <f t="shared" si="156"/>
        <v>0.2</v>
      </c>
      <c r="M155" s="44">
        <f t="shared" si="157"/>
        <v>150</v>
      </c>
      <c r="N155" s="44">
        <f t="shared" si="158"/>
        <v>160</v>
      </c>
      <c r="O155" s="44">
        <f t="shared" si="159"/>
        <v>210</v>
      </c>
      <c r="P155" s="72">
        <f t="shared" ref="P155:P166" si="199">Btorque_1</f>
        <v>0.85</v>
      </c>
    </row>
    <row r="156" spans="1:16" x14ac:dyDescent="0.25">
      <c r="A156" s="41" t="e">
        <f>A155+1</f>
        <v>#REF!</v>
      </c>
      <c r="B156" s="42">
        <f>B155+1</f>
        <v>146</v>
      </c>
      <c r="C156" s="41" t="s">
        <v>407</v>
      </c>
      <c r="D156" s="43">
        <f t="shared" si="196"/>
        <v>25</v>
      </c>
      <c r="E156" s="61">
        <f t="shared" si="178"/>
        <v>3.4090000000000007</v>
      </c>
      <c r="F156" s="44">
        <f>E156/D156*100</f>
        <v>13.636000000000003</v>
      </c>
      <c r="G156" s="44">
        <f t="shared" si="197"/>
        <v>10.908800000000003</v>
      </c>
      <c r="H156" s="44">
        <f t="shared" si="198"/>
        <v>6.8180000000000014</v>
      </c>
      <c r="I156" s="44">
        <f>I155</f>
        <v>8</v>
      </c>
      <c r="J156" s="45">
        <f>yaw_min</f>
        <v>-8</v>
      </c>
      <c r="K156" s="37" t="str">
        <f>D156&amp;-2</f>
        <v>25-2</v>
      </c>
      <c r="L156" s="44">
        <f>L155</f>
        <v>0.2</v>
      </c>
      <c r="M156" s="44">
        <f>M155</f>
        <v>150</v>
      </c>
      <c r="N156" s="44">
        <f>N155</f>
        <v>160</v>
      </c>
      <c r="O156" s="44">
        <f>O155</f>
        <v>210</v>
      </c>
      <c r="P156" s="72">
        <f t="shared" si="199"/>
        <v>0.85</v>
      </c>
    </row>
    <row r="157" spans="1:16" x14ac:dyDescent="0.25">
      <c r="A157" s="41" t="e">
        <f t="shared" ref="A157:B157" si="200">A156+1</f>
        <v>#REF!</v>
      </c>
      <c r="B157" s="42">
        <f t="shared" si="200"/>
        <v>147</v>
      </c>
      <c r="C157" s="41" t="s">
        <v>408</v>
      </c>
      <c r="D157" s="43">
        <f t="shared" si="196"/>
        <v>25</v>
      </c>
      <c r="E157" s="61">
        <f t="shared" si="178"/>
        <v>3.4090000000000007</v>
      </c>
      <c r="F157" s="44">
        <f t="shared" ref="F157:F190" si="201">E157/D157*100</f>
        <v>13.636000000000003</v>
      </c>
      <c r="G157" s="44">
        <f t="shared" si="197"/>
        <v>10.908800000000003</v>
      </c>
      <c r="H157" s="44">
        <f t="shared" si="198"/>
        <v>6.8180000000000014</v>
      </c>
      <c r="I157" s="44">
        <f t="shared" ref="I157:I190" si="202">I156</f>
        <v>8</v>
      </c>
      <c r="J157" s="45">
        <f>yaw_min</f>
        <v>-8</v>
      </c>
      <c r="K157" s="37" t="str">
        <f>D157&amp;-3</f>
        <v>25-3</v>
      </c>
      <c r="L157" s="44">
        <f t="shared" ref="L157:L190" si="203">L156</f>
        <v>0.2</v>
      </c>
      <c r="M157" s="44">
        <f t="shared" ref="M157:M190" si="204">M156</f>
        <v>150</v>
      </c>
      <c r="N157" s="44">
        <f t="shared" ref="N157:N190" si="205">N156</f>
        <v>160</v>
      </c>
      <c r="O157" s="44">
        <f t="shared" ref="O157:O190" si="206">O156</f>
        <v>210</v>
      </c>
      <c r="P157" s="72">
        <f t="shared" si="199"/>
        <v>0.85</v>
      </c>
    </row>
    <row r="158" spans="1:16" x14ac:dyDescent="0.25">
      <c r="A158" s="41" t="e">
        <f t="shared" ref="A158:B158" si="207">A157+1</f>
        <v>#REF!</v>
      </c>
      <c r="B158" s="42">
        <f t="shared" si="207"/>
        <v>148</v>
      </c>
      <c r="C158" s="41" t="s">
        <v>409</v>
      </c>
      <c r="D158" s="43">
        <f t="shared" si="196"/>
        <v>25</v>
      </c>
      <c r="E158" s="61">
        <f t="shared" si="178"/>
        <v>3.4090000000000007</v>
      </c>
      <c r="F158" s="44">
        <f t="shared" si="201"/>
        <v>13.636000000000003</v>
      </c>
      <c r="G158" s="44">
        <f t="shared" si="197"/>
        <v>10.908800000000003</v>
      </c>
      <c r="H158" s="44">
        <f t="shared" si="198"/>
        <v>6.8180000000000014</v>
      </c>
      <c r="I158" s="44">
        <f t="shared" si="202"/>
        <v>8</v>
      </c>
      <c r="J158" s="45">
        <f>yaw_min</f>
        <v>-8</v>
      </c>
      <c r="K158" s="37" t="str">
        <f>D158&amp;-4</f>
        <v>25-4</v>
      </c>
      <c r="L158" s="44">
        <f t="shared" si="203"/>
        <v>0.2</v>
      </c>
      <c r="M158" s="44">
        <f t="shared" si="204"/>
        <v>150</v>
      </c>
      <c r="N158" s="44">
        <f t="shared" si="205"/>
        <v>160</v>
      </c>
      <c r="O158" s="44">
        <f t="shared" si="206"/>
        <v>210</v>
      </c>
      <c r="P158" s="72">
        <f t="shared" si="199"/>
        <v>0.85</v>
      </c>
    </row>
    <row r="159" spans="1:16" x14ac:dyDescent="0.25">
      <c r="A159" s="41" t="e">
        <f t="shared" ref="A159:B159" si="208">A158+1</f>
        <v>#REF!</v>
      </c>
      <c r="B159" s="42">
        <f t="shared" si="208"/>
        <v>149</v>
      </c>
      <c r="C159" s="41" t="s">
        <v>410</v>
      </c>
      <c r="D159" s="43">
        <f t="shared" si="196"/>
        <v>25</v>
      </c>
      <c r="E159" s="61">
        <f t="shared" si="178"/>
        <v>3.4090000000000007</v>
      </c>
      <c r="F159" s="44">
        <f t="shared" si="201"/>
        <v>13.636000000000003</v>
      </c>
      <c r="G159" s="44">
        <f t="shared" si="197"/>
        <v>10.908800000000003</v>
      </c>
      <c r="H159" s="44">
        <f t="shared" si="198"/>
        <v>6.8180000000000014</v>
      </c>
      <c r="I159" s="44">
        <f t="shared" si="202"/>
        <v>8</v>
      </c>
      <c r="J159" s="45">
        <f>yaw_null</f>
        <v>0</v>
      </c>
      <c r="K159" s="37" t="str">
        <f>D159&amp;-5</f>
        <v>25-5</v>
      </c>
      <c r="L159" s="44">
        <f t="shared" si="203"/>
        <v>0.2</v>
      </c>
      <c r="M159" s="44">
        <f t="shared" si="204"/>
        <v>150</v>
      </c>
      <c r="N159" s="44">
        <f t="shared" si="205"/>
        <v>160</v>
      </c>
      <c r="O159" s="44">
        <f t="shared" si="206"/>
        <v>210</v>
      </c>
      <c r="P159" s="72">
        <f t="shared" si="199"/>
        <v>0.85</v>
      </c>
    </row>
    <row r="160" spans="1:16" x14ac:dyDescent="0.25">
      <c r="A160" s="41" t="e">
        <f t="shared" ref="A160:B160" si="209">A159+1</f>
        <v>#REF!</v>
      </c>
      <c r="B160" s="42">
        <f t="shared" si="209"/>
        <v>150</v>
      </c>
      <c r="C160" s="41" t="s">
        <v>411</v>
      </c>
      <c r="D160" s="43">
        <f t="shared" si="196"/>
        <v>25</v>
      </c>
      <c r="E160" s="61">
        <f t="shared" si="178"/>
        <v>3.4090000000000007</v>
      </c>
      <c r="F160" s="44">
        <f t="shared" si="201"/>
        <v>13.636000000000003</v>
      </c>
      <c r="G160" s="44">
        <f t="shared" si="197"/>
        <v>10.908800000000003</v>
      </c>
      <c r="H160" s="44">
        <f t="shared" si="198"/>
        <v>6.8180000000000014</v>
      </c>
      <c r="I160" s="44">
        <f t="shared" si="202"/>
        <v>8</v>
      </c>
      <c r="J160" s="45">
        <f>yaw_null</f>
        <v>0</v>
      </c>
      <c r="K160" s="37" t="str">
        <f>D160&amp;-6</f>
        <v>25-6</v>
      </c>
      <c r="L160" s="44">
        <f t="shared" si="203"/>
        <v>0.2</v>
      </c>
      <c r="M160" s="44">
        <f t="shared" si="204"/>
        <v>150</v>
      </c>
      <c r="N160" s="44">
        <f t="shared" si="205"/>
        <v>160</v>
      </c>
      <c r="O160" s="44">
        <f t="shared" si="206"/>
        <v>210</v>
      </c>
      <c r="P160" s="72">
        <f t="shared" si="199"/>
        <v>0.85</v>
      </c>
    </row>
    <row r="161" spans="1:16" x14ac:dyDescent="0.25">
      <c r="A161" s="41" t="e">
        <f t="shared" ref="A161:B161" si="210">A160+1</f>
        <v>#REF!</v>
      </c>
      <c r="B161" s="42">
        <f t="shared" si="210"/>
        <v>151</v>
      </c>
      <c r="C161" s="41" t="s">
        <v>412</v>
      </c>
      <c r="D161" s="43">
        <f t="shared" si="196"/>
        <v>25</v>
      </c>
      <c r="E161" s="61">
        <f t="shared" si="178"/>
        <v>3.4090000000000007</v>
      </c>
      <c r="F161" s="44">
        <f t="shared" si="201"/>
        <v>13.636000000000003</v>
      </c>
      <c r="G161" s="44">
        <f t="shared" si="197"/>
        <v>10.908800000000003</v>
      </c>
      <c r="H161" s="44">
        <f t="shared" si="198"/>
        <v>6.8180000000000014</v>
      </c>
      <c r="I161" s="44">
        <f t="shared" si="202"/>
        <v>8</v>
      </c>
      <c r="J161" s="45">
        <f>yaw_null</f>
        <v>0</v>
      </c>
      <c r="K161" s="37" t="str">
        <f>D161&amp;-7</f>
        <v>25-7</v>
      </c>
      <c r="L161" s="44">
        <f t="shared" si="203"/>
        <v>0.2</v>
      </c>
      <c r="M161" s="44">
        <f t="shared" si="204"/>
        <v>150</v>
      </c>
      <c r="N161" s="44">
        <f t="shared" si="205"/>
        <v>160</v>
      </c>
      <c r="O161" s="44">
        <f t="shared" si="206"/>
        <v>210</v>
      </c>
      <c r="P161" s="72">
        <f t="shared" si="199"/>
        <v>0.85</v>
      </c>
    </row>
    <row r="162" spans="1:16" x14ac:dyDescent="0.25">
      <c r="A162" s="41" t="e">
        <f t="shared" ref="A162:B162" si="211">A161+1</f>
        <v>#REF!</v>
      </c>
      <c r="B162" s="42">
        <f t="shared" si="211"/>
        <v>152</v>
      </c>
      <c r="C162" s="41" t="s">
        <v>413</v>
      </c>
      <c r="D162" s="43">
        <f t="shared" si="196"/>
        <v>25</v>
      </c>
      <c r="E162" s="61">
        <f t="shared" si="178"/>
        <v>3.4090000000000007</v>
      </c>
      <c r="F162" s="44">
        <f t="shared" si="201"/>
        <v>13.636000000000003</v>
      </c>
      <c r="G162" s="44">
        <f t="shared" si="197"/>
        <v>10.908800000000003</v>
      </c>
      <c r="H162" s="44">
        <f t="shared" si="198"/>
        <v>6.8180000000000014</v>
      </c>
      <c r="I162" s="44">
        <f t="shared" si="202"/>
        <v>8</v>
      </c>
      <c r="J162" s="45">
        <f>yaw_null</f>
        <v>0</v>
      </c>
      <c r="K162" s="37" t="str">
        <f>D162&amp;-8</f>
        <v>25-8</v>
      </c>
      <c r="L162" s="44">
        <f t="shared" si="203"/>
        <v>0.2</v>
      </c>
      <c r="M162" s="44">
        <f t="shared" si="204"/>
        <v>150</v>
      </c>
      <c r="N162" s="44">
        <f t="shared" si="205"/>
        <v>160</v>
      </c>
      <c r="O162" s="44">
        <f t="shared" si="206"/>
        <v>210</v>
      </c>
      <c r="P162" s="72">
        <f t="shared" si="199"/>
        <v>0.85</v>
      </c>
    </row>
    <row r="163" spans="1:16" x14ac:dyDescent="0.25">
      <c r="A163" s="41" t="e">
        <f t="shared" ref="A163" si="212">A162+1</f>
        <v>#REF!</v>
      </c>
      <c r="B163" s="42">
        <f>B162+1</f>
        <v>153</v>
      </c>
      <c r="C163" s="41" t="s">
        <v>414</v>
      </c>
      <c r="D163" s="43">
        <f t="shared" si="196"/>
        <v>25</v>
      </c>
      <c r="E163" s="61">
        <f t="shared" si="178"/>
        <v>3.4090000000000007</v>
      </c>
      <c r="F163" s="44">
        <f t="shared" si="201"/>
        <v>13.636000000000003</v>
      </c>
      <c r="G163" s="44">
        <f t="shared" si="197"/>
        <v>10.908800000000003</v>
      </c>
      <c r="H163" s="44">
        <f t="shared" si="198"/>
        <v>6.8180000000000014</v>
      </c>
      <c r="I163" s="44">
        <f t="shared" si="202"/>
        <v>8</v>
      </c>
      <c r="J163" s="45">
        <f>yaw_max</f>
        <v>8</v>
      </c>
      <c r="K163" s="37" t="str">
        <f>D163&amp;-9</f>
        <v>25-9</v>
      </c>
      <c r="L163" s="44">
        <f t="shared" si="203"/>
        <v>0.2</v>
      </c>
      <c r="M163" s="44">
        <f t="shared" si="204"/>
        <v>150</v>
      </c>
      <c r="N163" s="44">
        <f t="shared" si="205"/>
        <v>160</v>
      </c>
      <c r="O163" s="44">
        <f t="shared" si="206"/>
        <v>210</v>
      </c>
      <c r="P163" s="72">
        <f t="shared" si="199"/>
        <v>0.85</v>
      </c>
    </row>
    <row r="164" spans="1:16" x14ac:dyDescent="0.25">
      <c r="A164" s="41" t="e">
        <f t="shared" ref="A164" si="213">A163+1</f>
        <v>#REF!</v>
      </c>
      <c r="B164" s="42">
        <f>B163+1</f>
        <v>154</v>
      </c>
      <c r="C164" s="41" t="s">
        <v>415</v>
      </c>
      <c r="D164" s="43">
        <f t="shared" si="196"/>
        <v>25</v>
      </c>
      <c r="E164" s="61">
        <f t="shared" si="178"/>
        <v>3.4090000000000007</v>
      </c>
      <c r="F164" s="44">
        <f t="shared" si="201"/>
        <v>13.636000000000003</v>
      </c>
      <c r="G164" s="44">
        <f t="shared" si="197"/>
        <v>10.908800000000003</v>
      </c>
      <c r="H164" s="44">
        <f t="shared" si="198"/>
        <v>6.8180000000000014</v>
      </c>
      <c r="I164" s="44">
        <f t="shared" si="202"/>
        <v>8</v>
      </c>
      <c r="J164" s="45">
        <f>yaw_max</f>
        <v>8</v>
      </c>
      <c r="K164" s="37" t="str">
        <f>D164&amp;-10</f>
        <v>25-10</v>
      </c>
      <c r="L164" s="44">
        <f t="shared" si="203"/>
        <v>0.2</v>
      </c>
      <c r="M164" s="44">
        <f t="shared" si="204"/>
        <v>150</v>
      </c>
      <c r="N164" s="44">
        <f t="shared" si="205"/>
        <v>160</v>
      </c>
      <c r="O164" s="44">
        <f t="shared" si="206"/>
        <v>210</v>
      </c>
      <c r="P164" s="72">
        <f t="shared" si="199"/>
        <v>0.85</v>
      </c>
    </row>
    <row r="165" spans="1:16" x14ac:dyDescent="0.25">
      <c r="A165" s="41" t="e">
        <f t="shared" ref="A165" si="214">A164+1</f>
        <v>#REF!</v>
      </c>
      <c r="B165" s="42">
        <f>B164+1</f>
        <v>155</v>
      </c>
      <c r="C165" s="41" t="s">
        <v>416</v>
      </c>
      <c r="D165" s="43">
        <f t="shared" si="196"/>
        <v>25</v>
      </c>
      <c r="E165" s="61">
        <f t="shared" si="178"/>
        <v>3.4090000000000007</v>
      </c>
      <c r="F165" s="44">
        <f t="shared" si="201"/>
        <v>13.636000000000003</v>
      </c>
      <c r="G165" s="44">
        <f t="shared" si="197"/>
        <v>10.908800000000003</v>
      </c>
      <c r="H165" s="44">
        <f t="shared" si="198"/>
        <v>6.8180000000000014</v>
      </c>
      <c r="I165" s="44">
        <f t="shared" si="202"/>
        <v>8</v>
      </c>
      <c r="J165" s="45">
        <f>yaw_max</f>
        <v>8</v>
      </c>
      <c r="K165" s="37" t="str">
        <f>D165&amp;-11</f>
        <v>25-11</v>
      </c>
      <c r="L165" s="44">
        <f t="shared" si="203"/>
        <v>0.2</v>
      </c>
      <c r="M165" s="44">
        <f t="shared" si="204"/>
        <v>150</v>
      </c>
      <c r="N165" s="44">
        <f t="shared" si="205"/>
        <v>160</v>
      </c>
      <c r="O165" s="44">
        <f t="shared" si="206"/>
        <v>210</v>
      </c>
      <c r="P165" s="72">
        <f t="shared" si="199"/>
        <v>0.85</v>
      </c>
    </row>
    <row r="166" spans="1:16" x14ac:dyDescent="0.25">
      <c r="A166" s="41" t="e">
        <f t="shared" ref="A166:B166" si="215">A165+1</f>
        <v>#REF!</v>
      </c>
      <c r="B166" s="42">
        <f t="shared" si="215"/>
        <v>156</v>
      </c>
      <c r="C166" s="41" t="s">
        <v>417</v>
      </c>
      <c r="D166" s="43">
        <f t="shared" si="196"/>
        <v>25</v>
      </c>
      <c r="E166" s="61">
        <f t="shared" si="178"/>
        <v>3.4090000000000007</v>
      </c>
      <c r="F166" s="44">
        <f t="shared" si="201"/>
        <v>13.636000000000003</v>
      </c>
      <c r="G166" s="44">
        <f t="shared" si="197"/>
        <v>10.908800000000003</v>
      </c>
      <c r="H166" s="44">
        <f t="shared" si="198"/>
        <v>6.8180000000000014</v>
      </c>
      <c r="I166" s="44">
        <f t="shared" si="202"/>
        <v>8</v>
      </c>
      <c r="J166" s="45">
        <f>yaw_max</f>
        <v>8</v>
      </c>
      <c r="K166" s="37" t="str">
        <f>D166&amp;-12</f>
        <v>25-12</v>
      </c>
      <c r="L166" s="44">
        <f t="shared" si="203"/>
        <v>0.2</v>
      </c>
      <c r="M166" s="44">
        <f t="shared" si="204"/>
        <v>150</v>
      </c>
      <c r="N166" s="44">
        <f t="shared" si="205"/>
        <v>160</v>
      </c>
      <c r="O166" s="44">
        <f t="shared" si="206"/>
        <v>210</v>
      </c>
      <c r="P166" s="72">
        <f t="shared" si="199"/>
        <v>0.85</v>
      </c>
    </row>
    <row r="167" spans="1:16" x14ac:dyDescent="0.25">
      <c r="A167" s="41" t="e">
        <f t="shared" ref="A167:B167" si="216">A166+1</f>
        <v>#REF!</v>
      </c>
      <c r="B167" s="42">
        <f t="shared" si="216"/>
        <v>157</v>
      </c>
      <c r="C167" s="41" t="s">
        <v>418</v>
      </c>
      <c r="D167" s="43">
        <f t="shared" si="196"/>
        <v>25</v>
      </c>
      <c r="E167" s="61">
        <f t="shared" si="178"/>
        <v>3.4090000000000007</v>
      </c>
      <c r="F167" s="44">
        <f t="shared" si="201"/>
        <v>13.636000000000003</v>
      </c>
      <c r="G167" s="44">
        <f t="shared" si="197"/>
        <v>10.908800000000003</v>
      </c>
      <c r="H167" s="44">
        <f t="shared" si="198"/>
        <v>6.8180000000000014</v>
      </c>
      <c r="I167" s="44">
        <f t="shared" si="202"/>
        <v>8</v>
      </c>
      <c r="J167" s="45">
        <f>yaw_min</f>
        <v>-8</v>
      </c>
      <c r="K167" s="37" t="str">
        <f>D167&amp;-1</f>
        <v>25-1</v>
      </c>
      <c r="L167" s="44">
        <f t="shared" si="203"/>
        <v>0.2</v>
      </c>
      <c r="M167" s="44">
        <f t="shared" si="204"/>
        <v>150</v>
      </c>
      <c r="N167" s="44">
        <f t="shared" si="205"/>
        <v>160</v>
      </c>
      <c r="O167" s="44">
        <f t="shared" si="206"/>
        <v>210</v>
      </c>
      <c r="P167" s="72">
        <v>1</v>
      </c>
    </row>
    <row r="168" spans="1:16" x14ac:dyDescent="0.25">
      <c r="A168" s="41" t="e">
        <f t="shared" ref="A168:B168" si="217">A167+1</f>
        <v>#REF!</v>
      </c>
      <c r="B168" s="42">
        <f t="shared" si="217"/>
        <v>158</v>
      </c>
      <c r="C168" s="41" t="s">
        <v>419</v>
      </c>
      <c r="D168" s="43">
        <f t="shared" si="196"/>
        <v>25</v>
      </c>
      <c r="E168" s="61">
        <f t="shared" si="178"/>
        <v>3.4090000000000007</v>
      </c>
      <c r="F168" s="44">
        <f t="shared" si="201"/>
        <v>13.636000000000003</v>
      </c>
      <c r="G168" s="44">
        <f t="shared" si="197"/>
        <v>10.908800000000003</v>
      </c>
      <c r="H168" s="44">
        <f t="shared" si="198"/>
        <v>6.8180000000000014</v>
      </c>
      <c r="I168" s="44">
        <f t="shared" si="202"/>
        <v>8</v>
      </c>
      <c r="J168" s="45">
        <f>yaw_min</f>
        <v>-8</v>
      </c>
      <c r="K168" s="37" t="str">
        <f>D168&amp;-2</f>
        <v>25-2</v>
      </c>
      <c r="L168" s="44">
        <f t="shared" si="203"/>
        <v>0.2</v>
      </c>
      <c r="M168" s="44">
        <f t="shared" si="204"/>
        <v>150</v>
      </c>
      <c r="N168" s="44">
        <f t="shared" si="205"/>
        <v>160</v>
      </c>
      <c r="O168" s="44">
        <f t="shared" si="206"/>
        <v>210</v>
      </c>
      <c r="P168" s="72">
        <v>1</v>
      </c>
    </row>
    <row r="169" spans="1:16" x14ac:dyDescent="0.25">
      <c r="A169" s="41" t="e">
        <f t="shared" ref="A169:B169" si="218">A168+1</f>
        <v>#REF!</v>
      </c>
      <c r="B169" s="42">
        <f t="shared" si="218"/>
        <v>159</v>
      </c>
      <c r="C169" s="41" t="s">
        <v>420</v>
      </c>
      <c r="D169" s="43">
        <f t="shared" si="196"/>
        <v>25</v>
      </c>
      <c r="E169" s="61">
        <f t="shared" si="178"/>
        <v>3.4090000000000007</v>
      </c>
      <c r="F169" s="44">
        <f t="shared" si="201"/>
        <v>13.636000000000003</v>
      </c>
      <c r="G169" s="44">
        <f t="shared" si="197"/>
        <v>10.908800000000003</v>
      </c>
      <c r="H169" s="44">
        <f t="shared" si="198"/>
        <v>6.8180000000000014</v>
      </c>
      <c r="I169" s="44">
        <f t="shared" si="202"/>
        <v>8</v>
      </c>
      <c r="J169" s="45">
        <f>yaw_min</f>
        <v>-8</v>
      </c>
      <c r="K169" s="37" t="str">
        <f>D169&amp;-3</f>
        <v>25-3</v>
      </c>
      <c r="L169" s="44">
        <f t="shared" si="203"/>
        <v>0.2</v>
      </c>
      <c r="M169" s="44">
        <f t="shared" si="204"/>
        <v>150</v>
      </c>
      <c r="N169" s="44">
        <f t="shared" si="205"/>
        <v>160</v>
      </c>
      <c r="O169" s="44">
        <f t="shared" si="206"/>
        <v>210</v>
      </c>
      <c r="P169" s="72">
        <v>1</v>
      </c>
    </row>
    <row r="170" spans="1:16" x14ac:dyDescent="0.25">
      <c r="A170" s="41" t="e">
        <f t="shared" ref="A170:B170" si="219">A169+1</f>
        <v>#REF!</v>
      </c>
      <c r="B170" s="42">
        <f t="shared" si="219"/>
        <v>160</v>
      </c>
      <c r="C170" s="41" t="s">
        <v>421</v>
      </c>
      <c r="D170" s="43">
        <f t="shared" si="196"/>
        <v>25</v>
      </c>
      <c r="E170" s="61">
        <f t="shared" si="178"/>
        <v>3.4090000000000007</v>
      </c>
      <c r="F170" s="44">
        <f t="shared" si="201"/>
        <v>13.636000000000003</v>
      </c>
      <c r="G170" s="44">
        <f t="shared" si="197"/>
        <v>10.908800000000003</v>
      </c>
      <c r="H170" s="44">
        <f t="shared" si="198"/>
        <v>6.8180000000000014</v>
      </c>
      <c r="I170" s="44">
        <f t="shared" si="202"/>
        <v>8</v>
      </c>
      <c r="J170" s="45">
        <f>yaw_min</f>
        <v>-8</v>
      </c>
      <c r="K170" s="37" t="str">
        <f>D170&amp;-4</f>
        <v>25-4</v>
      </c>
      <c r="L170" s="44">
        <f t="shared" si="203"/>
        <v>0.2</v>
      </c>
      <c r="M170" s="44">
        <f t="shared" si="204"/>
        <v>150</v>
      </c>
      <c r="N170" s="44">
        <f t="shared" si="205"/>
        <v>160</v>
      </c>
      <c r="O170" s="44">
        <f t="shared" si="206"/>
        <v>210</v>
      </c>
      <c r="P170" s="72">
        <v>1</v>
      </c>
    </row>
    <row r="171" spans="1:16" x14ac:dyDescent="0.25">
      <c r="A171" s="41" t="e">
        <f t="shared" ref="A171:B171" si="220">A170+1</f>
        <v>#REF!</v>
      </c>
      <c r="B171" s="42">
        <f t="shared" si="220"/>
        <v>161</v>
      </c>
      <c r="C171" s="41" t="s">
        <v>422</v>
      </c>
      <c r="D171" s="43">
        <f t="shared" si="196"/>
        <v>25</v>
      </c>
      <c r="E171" s="61">
        <f t="shared" ref="E171:E190" si="221">I_ref*(0.75*D171+5.6)</f>
        <v>3.4090000000000007</v>
      </c>
      <c r="F171" s="44">
        <f t="shared" si="201"/>
        <v>13.636000000000003</v>
      </c>
      <c r="G171" s="44">
        <f t="shared" si="197"/>
        <v>10.908800000000003</v>
      </c>
      <c r="H171" s="44">
        <f t="shared" si="198"/>
        <v>6.8180000000000014</v>
      </c>
      <c r="I171" s="44">
        <f t="shared" si="202"/>
        <v>8</v>
      </c>
      <c r="J171" s="45">
        <f>yaw_null</f>
        <v>0</v>
      </c>
      <c r="K171" s="37" t="str">
        <f>D171&amp;-5</f>
        <v>25-5</v>
      </c>
      <c r="L171" s="44">
        <f t="shared" si="203"/>
        <v>0.2</v>
      </c>
      <c r="M171" s="44">
        <f t="shared" si="204"/>
        <v>150</v>
      </c>
      <c r="N171" s="44">
        <f t="shared" si="205"/>
        <v>160</v>
      </c>
      <c r="O171" s="44">
        <f t="shared" si="206"/>
        <v>210</v>
      </c>
      <c r="P171" s="72">
        <v>1</v>
      </c>
    </row>
    <row r="172" spans="1:16" x14ac:dyDescent="0.25">
      <c r="A172" s="41" t="e">
        <f t="shared" ref="A172:B172" si="222">A171+1</f>
        <v>#REF!</v>
      </c>
      <c r="B172" s="42">
        <f t="shared" si="222"/>
        <v>162</v>
      </c>
      <c r="C172" s="41" t="s">
        <v>423</v>
      </c>
      <c r="D172" s="43">
        <f t="shared" si="196"/>
        <v>25</v>
      </c>
      <c r="E172" s="61">
        <f t="shared" si="221"/>
        <v>3.4090000000000007</v>
      </c>
      <c r="F172" s="44">
        <f t="shared" si="201"/>
        <v>13.636000000000003</v>
      </c>
      <c r="G172" s="44">
        <f t="shared" si="197"/>
        <v>10.908800000000003</v>
      </c>
      <c r="H172" s="44">
        <f t="shared" si="198"/>
        <v>6.8180000000000014</v>
      </c>
      <c r="I172" s="44">
        <f t="shared" si="202"/>
        <v>8</v>
      </c>
      <c r="J172" s="45">
        <f>yaw_null</f>
        <v>0</v>
      </c>
      <c r="K172" s="37" t="str">
        <f>D172&amp;-6</f>
        <v>25-6</v>
      </c>
      <c r="L172" s="44">
        <f t="shared" si="203"/>
        <v>0.2</v>
      </c>
      <c r="M172" s="44">
        <f t="shared" si="204"/>
        <v>150</v>
      </c>
      <c r="N172" s="44">
        <f t="shared" si="205"/>
        <v>160</v>
      </c>
      <c r="O172" s="44">
        <f t="shared" si="206"/>
        <v>210</v>
      </c>
      <c r="P172" s="72">
        <v>1</v>
      </c>
    </row>
    <row r="173" spans="1:16" x14ac:dyDescent="0.25">
      <c r="A173" s="41" t="e">
        <f t="shared" ref="A173:B173" si="223">A172+1</f>
        <v>#REF!</v>
      </c>
      <c r="B173" s="42">
        <f t="shared" si="223"/>
        <v>163</v>
      </c>
      <c r="C173" s="41" t="s">
        <v>424</v>
      </c>
      <c r="D173" s="43">
        <f t="shared" si="196"/>
        <v>25</v>
      </c>
      <c r="E173" s="61">
        <f t="shared" si="221"/>
        <v>3.4090000000000007</v>
      </c>
      <c r="F173" s="44">
        <f t="shared" si="201"/>
        <v>13.636000000000003</v>
      </c>
      <c r="G173" s="44">
        <f t="shared" si="197"/>
        <v>10.908800000000003</v>
      </c>
      <c r="H173" s="44">
        <f t="shared" si="198"/>
        <v>6.8180000000000014</v>
      </c>
      <c r="I173" s="44">
        <f t="shared" si="202"/>
        <v>8</v>
      </c>
      <c r="J173" s="45">
        <f>yaw_null</f>
        <v>0</v>
      </c>
      <c r="K173" s="37" t="str">
        <f>D173&amp;-7</f>
        <v>25-7</v>
      </c>
      <c r="L173" s="44">
        <f t="shared" si="203"/>
        <v>0.2</v>
      </c>
      <c r="M173" s="44">
        <f t="shared" si="204"/>
        <v>150</v>
      </c>
      <c r="N173" s="44">
        <f t="shared" si="205"/>
        <v>160</v>
      </c>
      <c r="O173" s="44">
        <f t="shared" si="206"/>
        <v>210</v>
      </c>
      <c r="P173" s="72">
        <v>1</v>
      </c>
    </row>
    <row r="174" spans="1:16" x14ac:dyDescent="0.25">
      <c r="A174" s="41" t="e">
        <f t="shared" ref="A174:B174" si="224">A173+1</f>
        <v>#REF!</v>
      </c>
      <c r="B174" s="42">
        <f t="shared" si="224"/>
        <v>164</v>
      </c>
      <c r="C174" s="41" t="s">
        <v>425</v>
      </c>
      <c r="D174" s="43">
        <f t="shared" si="196"/>
        <v>25</v>
      </c>
      <c r="E174" s="61">
        <f t="shared" si="221"/>
        <v>3.4090000000000007</v>
      </c>
      <c r="F174" s="44">
        <f t="shared" si="201"/>
        <v>13.636000000000003</v>
      </c>
      <c r="G174" s="44">
        <f t="shared" si="197"/>
        <v>10.908800000000003</v>
      </c>
      <c r="H174" s="44">
        <f t="shared" si="198"/>
        <v>6.8180000000000014</v>
      </c>
      <c r="I174" s="44">
        <f t="shared" si="202"/>
        <v>8</v>
      </c>
      <c r="J174" s="45">
        <f>yaw_null</f>
        <v>0</v>
      </c>
      <c r="K174" s="37" t="str">
        <f>D174&amp;-8</f>
        <v>25-8</v>
      </c>
      <c r="L174" s="44">
        <f t="shared" si="203"/>
        <v>0.2</v>
      </c>
      <c r="M174" s="44">
        <f t="shared" si="204"/>
        <v>150</v>
      </c>
      <c r="N174" s="44">
        <f t="shared" si="205"/>
        <v>160</v>
      </c>
      <c r="O174" s="44">
        <f t="shared" si="206"/>
        <v>210</v>
      </c>
      <c r="P174" s="72">
        <v>1</v>
      </c>
    </row>
    <row r="175" spans="1:16" x14ac:dyDescent="0.25">
      <c r="A175" s="41" t="e">
        <f t="shared" ref="A175" si="225">A174+1</f>
        <v>#REF!</v>
      </c>
      <c r="B175" s="42">
        <f>B174+1</f>
        <v>165</v>
      </c>
      <c r="C175" s="41" t="s">
        <v>426</v>
      </c>
      <c r="D175" s="43">
        <f t="shared" si="196"/>
        <v>25</v>
      </c>
      <c r="E175" s="61">
        <f t="shared" si="221"/>
        <v>3.4090000000000007</v>
      </c>
      <c r="F175" s="44">
        <f t="shared" si="201"/>
        <v>13.636000000000003</v>
      </c>
      <c r="G175" s="44">
        <f t="shared" si="197"/>
        <v>10.908800000000003</v>
      </c>
      <c r="H175" s="44">
        <f t="shared" si="198"/>
        <v>6.8180000000000014</v>
      </c>
      <c r="I175" s="44">
        <f t="shared" si="202"/>
        <v>8</v>
      </c>
      <c r="J175" s="45">
        <f>yaw_max</f>
        <v>8</v>
      </c>
      <c r="K175" s="37" t="str">
        <f>D175&amp;-9</f>
        <v>25-9</v>
      </c>
      <c r="L175" s="44">
        <f t="shared" si="203"/>
        <v>0.2</v>
      </c>
      <c r="M175" s="44">
        <f t="shared" si="204"/>
        <v>150</v>
      </c>
      <c r="N175" s="44">
        <f t="shared" si="205"/>
        <v>160</v>
      </c>
      <c r="O175" s="44">
        <f t="shared" si="206"/>
        <v>210</v>
      </c>
      <c r="P175" s="72">
        <v>1</v>
      </c>
    </row>
    <row r="176" spans="1:16" x14ac:dyDescent="0.25">
      <c r="A176" s="41" t="e">
        <f t="shared" ref="A176" si="226">A175+1</f>
        <v>#REF!</v>
      </c>
      <c r="B176" s="42">
        <f>B175+1</f>
        <v>166</v>
      </c>
      <c r="C176" s="41" t="s">
        <v>427</v>
      </c>
      <c r="D176" s="43">
        <f t="shared" si="196"/>
        <v>25</v>
      </c>
      <c r="E176" s="61">
        <f t="shared" si="221"/>
        <v>3.4090000000000007</v>
      </c>
      <c r="F176" s="44">
        <f t="shared" si="201"/>
        <v>13.636000000000003</v>
      </c>
      <c r="G176" s="44">
        <f t="shared" si="197"/>
        <v>10.908800000000003</v>
      </c>
      <c r="H176" s="44">
        <f t="shared" si="198"/>
        <v>6.8180000000000014</v>
      </c>
      <c r="I176" s="44">
        <f t="shared" si="202"/>
        <v>8</v>
      </c>
      <c r="J176" s="45">
        <f>yaw_max</f>
        <v>8</v>
      </c>
      <c r="K176" s="37" t="str">
        <f>D176&amp;-10</f>
        <v>25-10</v>
      </c>
      <c r="L176" s="44">
        <f t="shared" si="203"/>
        <v>0.2</v>
      </c>
      <c r="M176" s="44">
        <f t="shared" si="204"/>
        <v>150</v>
      </c>
      <c r="N176" s="44">
        <f t="shared" si="205"/>
        <v>160</v>
      </c>
      <c r="O176" s="44">
        <f t="shared" si="206"/>
        <v>210</v>
      </c>
      <c r="P176" s="72">
        <v>1</v>
      </c>
    </row>
    <row r="177" spans="1:16" x14ac:dyDescent="0.25">
      <c r="A177" s="41" t="e">
        <f t="shared" ref="A177" si="227">A176+1</f>
        <v>#REF!</v>
      </c>
      <c r="B177" s="42">
        <f>B176+1</f>
        <v>167</v>
      </c>
      <c r="C177" s="41" t="s">
        <v>428</v>
      </c>
      <c r="D177" s="43">
        <f t="shared" si="196"/>
        <v>25</v>
      </c>
      <c r="E177" s="61">
        <f t="shared" si="221"/>
        <v>3.4090000000000007</v>
      </c>
      <c r="F177" s="44">
        <f t="shared" si="201"/>
        <v>13.636000000000003</v>
      </c>
      <c r="G177" s="44">
        <f t="shared" si="197"/>
        <v>10.908800000000003</v>
      </c>
      <c r="H177" s="44">
        <f t="shared" si="198"/>
        <v>6.8180000000000014</v>
      </c>
      <c r="I177" s="44">
        <f t="shared" si="202"/>
        <v>8</v>
      </c>
      <c r="J177" s="45">
        <f>yaw_max</f>
        <v>8</v>
      </c>
      <c r="K177" s="37" t="str">
        <f>D177&amp;-11</f>
        <v>25-11</v>
      </c>
      <c r="L177" s="44">
        <f t="shared" si="203"/>
        <v>0.2</v>
      </c>
      <c r="M177" s="44">
        <f t="shared" si="204"/>
        <v>150</v>
      </c>
      <c r="N177" s="44">
        <f t="shared" si="205"/>
        <v>160</v>
      </c>
      <c r="O177" s="44">
        <f t="shared" si="206"/>
        <v>210</v>
      </c>
      <c r="P177" s="72">
        <v>1</v>
      </c>
    </row>
    <row r="178" spans="1:16" x14ac:dyDescent="0.25">
      <c r="A178" s="41" t="e">
        <f t="shared" ref="A178:B178" si="228">A177+1</f>
        <v>#REF!</v>
      </c>
      <c r="B178" s="42">
        <f t="shared" si="228"/>
        <v>168</v>
      </c>
      <c r="C178" s="41" t="s">
        <v>429</v>
      </c>
      <c r="D178" s="43">
        <f t="shared" si="196"/>
        <v>25</v>
      </c>
      <c r="E178" s="61">
        <f t="shared" si="221"/>
        <v>3.4090000000000007</v>
      </c>
      <c r="F178" s="44">
        <f t="shared" si="201"/>
        <v>13.636000000000003</v>
      </c>
      <c r="G178" s="44">
        <f t="shared" si="197"/>
        <v>10.908800000000003</v>
      </c>
      <c r="H178" s="44">
        <f t="shared" si="198"/>
        <v>6.8180000000000014</v>
      </c>
      <c r="I178" s="44">
        <f t="shared" si="202"/>
        <v>8</v>
      </c>
      <c r="J178" s="45">
        <f>yaw_max</f>
        <v>8</v>
      </c>
      <c r="K178" s="37" t="str">
        <f>D178&amp;-12</f>
        <v>25-12</v>
      </c>
      <c r="L178" s="44">
        <f t="shared" si="203"/>
        <v>0.2</v>
      </c>
      <c r="M178" s="44">
        <f t="shared" si="204"/>
        <v>150</v>
      </c>
      <c r="N178" s="44">
        <f t="shared" si="205"/>
        <v>160</v>
      </c>
      <c r="O178" s="44">
        <f t="shared" si="206"/>
        <v>210</v>
      </c>
      <c r="P178" s="72">
        <v>1</v>
      </c>
    </row>
    <row r="179" spans="1:16" x14ac:dyDescent="0.25">
      <c r="A179" s="41" t="e">
        <f t="shared" ref="A179:B179" si="229">A178+1</f>
        <v>#REF!</v>
      </c>
      <c r="B179" s="42">
        <f t="shared" si="229"/>
        <v>169</v>
      </c>
      <c r="C179" s="41" t="s">
        <v>430</v>
      </c>
      <c r="D179" s="43">
        <f t="shared" si="196"/>
        <v>25</v>
      </c>
      <c r="E179" s="61">
        <f t="shared" si="221"/>
        <v>3.4090000000000007</v>
      </c>
      <c r="F179" s="44">
        <f t="shared" si="201"/>
        <v>13.636000000000003</v>
      </c>
      <c r="G179" s="44">
        <f t="shared" si="197"/>
        <v>10.908800000000003</v>
      </c>
      <c r="H179" s="44">
        <f t="shared" si="198"/>
        <v>6.8180000000000014</v>
      </c>
      <c r="I179" s="44">
        <f t="shared" si="202"/>
        <v>8</v>
      </c>
      <c r="J179" s="45">
        <f>yaw_min</f>
        <v>-8</v>
      </c>
      <c r="K179" s="37" t="str">
        <f>D179&amp;-1</f>
        <v>25-1</v>
      </c>
      <c r="L179" s="44">
        <f t="shared" si="203"/>
        <v>0.2</v>
      </c>
      <c r="M179" s="44">
        <f t="shared" si="204"/>
        <v>150</v>
      </c>
      <c r="N179" s="44">
        <f t="shared" si="205"/>
        <v>160</v>
      </c>
      <c r="O179" s="44">
        <f t="shared" si="206"/>
        <v>210</v>
      </c>
      <c r="P179" s="72">
        <f t="shared" ref="P179:P190" si="230">Btorque_2</f>
        <v>1.1499999999999999</v>
      </c>
    </row>
    <row r="180" spans="1:16" x14ac:dyDescent="0.25">
      <c r="A180" s="41" t="e">
        <f t="shared" ref="A180:B180" si="231">A179+1</f>
        <v>#REF!</v>
      </c>
      <c r="B180" s="42">
        <f t="shared" si="231"/>
        <v>170</v>
      </c>
      <c r="C180" s="41" t="s">
        <v>431</v>
      </c>
      <c r="D180" s="43">
        <f t="shared" si="196"/>
        <v>25</v>
      </c>
      <c r="E180" s="61">
        <f t="shared" si="221"/>
        <v>3.4090000000000007</v>
      </c>
      <c r="F180" s="44">
        <f t="shared" si="201"/>
        <v>13.636000000000003</v>
      </c>
      <c r="G180" s="44">
        <f t="shared" si="197"/>
        <v>10.908800000000003</v>
      </c>
      <c r="H180" s="44">
        <f t="shared" si="198"/>
        <v>6.8180000000000014</v>
      </c>
      <c r="I180" s="44">
        <f t="shared" si="202"/>
        <v>8</v>
      </c>
      <c r="J180" s="45">
        <f>yaw_min</f>
        <v>-8</v>
      </c>
      <c r="K180" s="37" t="str">
        <f>D180&amp;-2</f>
        <v>25-2</v>
      </c>
      <c r="L180" s="44">
        <f t="shared" si="203"/>
        <v>0.2</v>
      </c>
      <c r="M180" s="44">
        <f t="shared" si="204"/>
        <v>150</v>
      </c>
      <c r="N180" s="44">
        <f t="shared" si="205"/>
        <v>160</v>
      </c>
      <c r="O180" s="44">
        <f t="shared" si="206"/>
        <v>210</v>
      </c>
      <c r="P180" s="72">
        <f t="shared" si="230"/>
        <v>1.1499999999999999</v>
      </c>
    </row>
    <row r="181" spans="1:16" x14ac:dyDescent="0.25">
      <c r="A181" s="41" t="e">
        <f t="shared" ref="A181:B181" si="232">A180+1</f>
        <v>#REF!</v>
      </c>
      <c r="B181" s="42">
        <f t="shared" si="232"/>
        <v>171</v>
      </c>
      <c r="C181" s="41" t="s">
        <v>432</v>
      </c>
      <c r="D181" s="43">
        <f t="shared" si="196"/>
        <v>25</v>
      </c>
      <c r="E181" s="61">
        <f t="shared" si="221"/>
        <v>3.4090000000000007</v>
      </c>
      <c r="F181" s="44">
        <f t="shared" si="201"/>
        <v>13.636000000000003</v>
      </c>
      <c r="G181" s="44">
        <f t="shared" si="197"/>
        <v>10.908800000000003</v>
      </c>
      <c r="H181" s="44">
        <f t="shared" si="198"/>
        <v>6.8180000000000014</v>
      </c>
      <c r="I181" s="44">
        <f t="shared" si="202"/>
        <v>8</v>
      </c>
      <c r="J181" s="45">
        <f>yaw_min</f>
        <v>-8</v>
      </c>
      <c r="K181" s="37" t="str">
        <f>D181&amp;-3</f>
        <v>25-3</v>
      </c>
      <c r="L181" s="44">
        <f t="shared" si="203"/>
        <v>0.2</v>
      </c>
      <c r="M181" s="44">
        <f t="shared" si="204"/>
        <v>150</v>
      </c>
      <c r="N181" s="44">
        <f t="shared" si="205"/>
        <v>160</v>
      </c>
      <c r="O181" s="44">
        <f t="shared" si="206"/>
        <v>210</v>
      </c>
      <c r="P181" s="72">
        <f t="shared" si="230"/>
        <v>1.1499999999999999</v>
      </c>
    </row>
    <row r="182" spans="1:16" x14ac:dyDescent="0.25">
      <c r="A182" s="41" t="e">
        <f t="shared" ref="A182:B182" si="233">A181+1</f>
        <v>#REF!</v>
      </c>
      <c r="B182" s="42">
        <f t="shared" si="233"/>
        <v>172</v>
      </c>
      <c r="C182" s="41" t="s">
        <v>433</v>
      </c>
      <c r="D182" s="43">
        <f t="shared" si="196"/>
        <v>25</v>
      </c>
      <c r="E182" s="61">
        <f t="shared" si="221"/>
        <v>3.4090000000000007</v>
      </c>
      <c r="F182" s="44">
        <f t="shared" si="201"/>
        <v>13.636000000000003</v>
      </c>
      <c r="G182" s="44">
        <f t="shared" si="197"/>
        <v>10.908800000000003</v>
      </c>
      <c r="H182" s="44">
        <f t="shared" si="198"/>
        <v>6.8180000000000014</v>
      </c>
      <c r="I182" s="44">
        <f t="shared" si="202"/>
        <v>8</v>
      </c>
      <c r="J182" s="45">
        <f>yaw_min</f>
        <v>-8</v>
      </c>
      <c r="K182" s="37" t="str">
        <f>D182&amp;-4</f>
        <v>25-4</v>
      </c>
      <c r="L182" s="44">
        <f t="shared" si="203"/>
        <v>0.2</v>
      </c>
      <c r="M182" s="44">
        <f t="shared" si="204"/>
        <v>150</v>
      </c>
      <c r="N182" s="44">
        <f t="shared" si="205"/>
        <v>160</v>
      </c>
      <c r="O182" s="44">
        <f t="shared" si="206"/>
        <v>210</v>
      </c>
      <c r="P182" s="72">
        <f t="shared" si="230"/>
        <v>1.1499999999999999</v>
      </c>
    </row>
    <row r="183" spans="1:16" x14ac:dyDescent="0.25">
      <c r="A183" s="41" t="e">
        <f t="shared" ref="A183:B183" si="234">A182+1</f>
        <v>#REF!</v>
      </c>
      <c r="B183" s="42">
        <f t="shared" si="234"/>
        <v>173</v>
      </c>
      <c r="C183" s="41" t="s">
        <v>434</v>
      </c>
      <c r="D183" s="43">
        <f t="shared" si="196"/>
        <v>25</v>
      </c>
      <c r="E183" s="61">
        <f t="shared" si="221"/>
        <v>3.4090000000000007</v>
      </c>
      <c r="F183" s="44">
        <f t="shared" si="201"/>
        <v>13.636000000000003</v>
      </c>
      <c r="G183" s="44">
        <f t="shared" si="197"/>
        <v>10.908800000000003</v>
      </c>
      <c r="H183" s="44">
        <f t="shared" si="198"/>
        <v>6.8180000000000014</v>
      </c>
      <c r="I183" s="44">
        <f t="shared" si="202"/>
        <v>8</v>
      </c>
      <c r="J183" s="45">
        <f>yaw_null</f>
        <v>0</v>
      </c>
      <c r="K183" s="37" t="str">
        <f>D183&amp;-5</f>
        <v>25-5</v>
      </c>
      <c r="L183" s="44">
        <f t="shared" si="203"/>
        <v>0.2</v>
      </c>
      <c r="M183" s="44">
        <f t="shared" si="204"/>
        <v>150</v>
      </c>
      <c r="N183" s="44">
        <f t="shared" si="205"/>
        <v>160</v>
      </c>
      <c r="O183" s="44">
        <f t="shared" si="206"/>
        <v>210</v>
      </c>
      <c r="P183" s="72">
        <f t="shared" si="230"/>
        <v>1.1499999999999999</v>
      </c>
    </row>
    <row r="184" spans="1:16" x14ac:dyDescent="0.25">
      <c r="A184" s="41" t="e">
        <f t="shared" ref="A184:B184" si="235">A183+1</f>
        <v>#REF!</v>
      </c>
      <c r="B184" s="42">
        <f t="shared" si="235"/>
        <v>174</v>
      </c>
      <c r="C184" s="41" t="s">
        <v>435</v>
      </c>
      <c r="D184" s="43">
        <f t="shared" si="196"/>
        <v>25</v>
      </c>
      <c r="E184" s="61">
        <f t="shared" si="221"/>
        <v>3.4090000000000007</v>
      </c>
      <c r="F184" s="44">
        <f t="shared" si="201"/>
        <v>13.636000000000003</v>
      </c>
      <c r="G184" s="44">
        <f t="shared" si="197"/>
        <v>10.908800000000003</v>
      </c>
      <c r="H184" s="44">
        <f t="shared" si="198"/>
        <v>6.8180000000000014</v>
      </c>
      <c r="I184" s="44">
        <f t="shared" si="202"/>
        <v>8</v>
      </c>
      <c r="J184" s="45">
        <f>yaw_null</f>
        <v>0</v>
      </c>
      <c r="K184" s="37" t="str">
        <f>D184&amp;-6</f>
        <v>25-6</v>
      </c>
      <c r="L184" s="44">
        <f t="shared" si="203"/>
        <v>0.2</v>
      </c>
      <c r="M184" s="44">
        <f t="shared" si="204"/>
        <v>150</v>
      </c>
      <c r="N184" s="44">
        <f t="shared" si="205"/>
        <v>160</v>
      </c>
      <c r="O184" s="44">
        <f t="shared" si="206"/>
        <v>210</v>
      </c>
      <c r="P184" s="72">
        <f t="shared" si="230"/>
        <v>1.1499999999999999</v>
      </c>
    </row>
    <row r="185" spans="1:16" x14ac:dyDescent="0.25">
      <c r="A185" s="41" t="e">
        <f t="shared" ref="A185:B185" si="236">A184+1</f>
        <v>#REF!</v>
      </c>
      <c r="B185" s="42">
        <f t="shared" si="236"/>
        <v>175</v>
      </c>
      <c r="C185" s="41" t="s">
        <v>436</v>
      </c>
      <c r="D185" s="43">
        <f t="shared" si="196"/>
        <v>25</v>
      </c>
      <c r="E185" s="61">
        <f t="shared" si="221"/>
        <v>3.4090000000000007</v>
      </c>
      <c r="F185" s="44">
        <f t="shared" si="201"/>
        <v>13.636000000000003</v>
      </c>
      <c r="G185" s="44">
        <f t="shared" si="197"/>
        <v>10.908800000000003</v>
      </c>
      <c r="H185" s="44">
        <f t="shared" si="198"/>
        <v>6.8180000000000014</v>
      </c>
      <c r="I185" s="44">
        <f t="shared" si="202"/>
        <v>8</v>
      </c>
      <c r="J185" s="45">
        <f>yaw_null</f>
        <v>0</v>
      </c>
      <c r="K185" s="37" t="str">
        <f>D185&amp;-7</f>
        <v>25-7</v>
      </c>
      <c r="L185" s="44">
        <f t="shared" si="203"/>
        <v>0.2</v>
      </c>
      <c r="M185" s="44">
        <f t="shared" si="204"/>
        <v>150</v>
      </c>
      <c r="N185" s="44">
        <f t="shared" si="205"/>
        <v>160</v>
      </c>
      <c r="O185" s="44">
        <f t="shared" si="206"/>
        <v>210</v>
      </c>
      <c r="P185" s="72">
        <f t="shared" si="230"/>
        <v>1.1499999999999999</v>
      </c>
    </row>
    <row r="186" spans="1:16" x14ac:dyDescent="0.25">
      <c r="A186" s="41" t="e">
        <f t="shared" ref="A186:B186" si="237">A185+1</f>
        <v>#REF!</v>
      </c>
      <c r="B186" s="42">
        <f t="shared" si="237"/>
        <v>176</v>
      </c>
      <c r="C186" s="41" t="s">
        <v>437</v>
      </c>
      <c r="D186" s="43">
        <f t="shared" si="196"/>
        <v>25</v>
      </c>
      <c r="E186" s="61">
        <f t="shared" si="221"/>
        <v>3.4090000000000007</v>
      </c>
      <c r="F186" s="44">
        <f t="shared" si="201"/>
        <v>13.636000000000003</v>
      </c>
      <c r="G186" s="44">
        <f t="shared" si="197"/>
        <v>10.908800000000003</v>
      </c>
      <c r="H186" s="44">
        <f t="shared" si="198"/>
        <v>6.8180000000000014</v>
      </c>
      <c r="I186" s="44">
        <f t="shared" si="202"/>
        <v>8</v>
      </c>
      <c r="J186" s="45">
        <f>yaw_null</f>
        <v>0</v>
      </c>
      <c r="K186" s="37" t="str">
        <f>D186&amp;-8</f>
        <v>25-8</v>
      </c>
      <c r="L186" s="44">
        <f t="shared" si="203"/>
        <v>0.2</v>
      </c>
      <c r="M186" s="44">
        <f t="shared" si="204"/>
        <v>150</v>
      </c>
      <c r="N186" s="44">
        <f t="shared" si="205"/>
        <v>160</v>
      </c>
      <c r="O186" s="44">
        <f t="shared" si="206"/>
        <v>210</v>
      </c>
      <c r="P186" s="72">
        <f t="shared" si="230"/>
        <v>1.1499999999999999</v>
      </c>
    </row>
    <row r="187" spans="1:16" x14ac:dyDescent="0.25">
      <c r="A187" s="41" t="e">
        <f t="shared" ref="A187" si="238">A186+1</f>
        <v>#REF!</v>
      </c>
      <c r="B187" s="42">
        <f>B186+1</f>
        <v>177</v>
      </c>
      <c r="C187" s="41" t="s">
        <v>438</v>
      </c>
      <c r="D187" s="43">
        <f t="shared" si="196"/>
        <v>25</v>
      </c>
      <c r="E187" s="61">
        <f t="shared" si="221"/>
        <v>3.4090000000000007</v>
      </c>
      <c r="F187" s="44">
        <f t="shared" si="201"/>
        <v>13.636000000000003</v>
      </c>
      <c r="G187" s="44">
        <f t="shared" si="197"/>
        <v>10.908800000000003</v>
      </c>
      <c r="H187" s="44">
        <f t="shared" si="198"/>
        <v>6.8180000000000014</v>
      </c>
      <c r="I187" s="44">
        <f t="shared" si="202"/>
        <v>8</v>
      </c>
      <c r="J187" s="45">
        <f>yaw_max</f>
        <v>8</v>
      </c>
      <c r="K187" s="37" t="str">
        <f>D187&amp;-9</f>
        <v>25-9</v>
      </c>
      <c r="L187" s="44">
        <f t="shared" si="203"/>
        <v>0.2</v>
      </c>
      <c r="M187" s="44">
        <f t="shared" si="204"/>
        <v>150</v>
      </c>
      <c r="N187" s="44">
        <f t="shared" si="205"/>
        <v>160</v>
      </c>
      <c r="O187" s="44">
        <f t="shared" si="206"/>
        <v>210</v>
      </c>
      <c r="P187" s="72">
        <f t="shared" si="230"/>
        <v>1.1499999999999999</v>
      </c>
    </row>
    <row r="188" spans="1:16" x14ac:dyDescent="0.25">
      <c r="A188" s="41" t="e">
        <f t="shared" ref="A188" si="239">A187+1</f>
        <v>#REF!</v>
      </c>
      <c r="B188" s="42">
        <f>B187+1</f>
        <v>178</v>
      </c>
      <c r="C188" s="41" t="s">
        <v>439</v>
      </c>
      <c r="D188" s="43">
        <f t="shared" si="196"/>
        <v>25</v>
      </c>
      <c r="E188" s="61">
        <f t="shared" si="221"/>
        <v>3.4090000000000007</v>
      </c>
      <c r="F188" s="44">
        <f t="shared" si="201"/>
        <v>13.636000000000003</v>
      </c>
      <c r="G188" s="44">
        <f t="shared" si="197"/>
        <v>10.908800000000003</v>
      </c>
      <c r="H188" s="44">
        <f t="shared" si="198"/>
        <v>6.8180000000000014</v>
      </c>
      <c r="I188" s="44">
        <f t="shared" si="202"/>
        <v>8</v>
      </c>
      <c r="J188" s="45">
        <f>yaw_max</f>
        <v>8</v>
      </c>
      <c r="K188" s="37" t="str">
        <f>D188&amp;-10</f>
        <v>25-10</v>
      </c>
      <c r="L188" s="44">
        <f t="shared" si="203"/>
        <v>0.2</v>
      </c>
      <c r="M188" s="44">
        <f t="shared" si="204"/>
        <v>150</v>
      </c>
      <c r="N188" s="44">
        <f t="shared" si="205"/>
        <v>160</v>
      </c>
      <c r="O188" s="44">
        <f t="shared" si="206"/>
        <v>210</v>
      </c>
      <c r="P188" s="72">
        <f t="shared" si="230"/>
        <v>1.1499999999999999</v>
      </c>
    </row>
    <row r="189" spans="1:16" x14ac:dyDescent="0.25">
      <c r="A189" s="41" t="e">
        <f t="shared" ref="A189" si="240">A188+1</f>
        <v>#REF!</v>
      </c>
      <c r="B189" s="42">
        <f>B188+1</f>
        <v>179</v>
      </c>
      <c r="C189" s="41" t="s">
        <v>440</v>
      </c>
      <c r="D189" s="43">
        <f t="shared" si="196"/>
        <v>25</v>
      </c>
      <c r="E189" s="61">
        <f t="shared" si="221"/>
        <v>3.4090000000000007</v>
      </c>
      <c r="F189" s="44">
        <f t="shared" si="201"/>
        <v>13.636000000000003</v>
      </c>
      <c r="G189" s="44">
        <f t="shared" si="197"/>
        <v>10.908800000000003</v>
      </c>
      <c r="H189" s="44">
        <f t="shared" si="198"/>
        <v>6.8180000000000014</v>
      </c>
      <c r="I189" s="44">
        <f t="shared" si="202"/>
        <v>8</v>
      </c>
      <c r="J189" s="45">
        <f>yaw_max</f>
        <v>8</v>
      </c>
      <c r="K189" s="37" t="str">
        <f>D189&amp;-11</f>
        <v>25-11</v>
      </c>
      <c r="L189" s="44">
        <f t="shared" si="203"/>
        <v>0.2</v>
      </c>
      <c r="M189" s="44">
        <f t="shared" si="204"/>
        <v>150</v>
      </c>
      <c r="N189" s="44">
        <f t="shared" si="205"/>
        <v>160</v>
      </c>
      <c r="O189" s="44">
        <f t="shared" si="206"/>
        <v>210</v>
      </c>
      <c r="P189" s="72">
        <f t="shared" si="230"/>
        <v>1.1499999999999999</v>
      </c>
    </row>
    <row r="190" spans="1:16" x14ac:dyDescent="0.25">
      <c r="A190" s="41" t="e">
        <f t="shared" ref="A190:B190" si="241">A189+1</f>
        <v>#REF!</v>
      </c>
      <c r="B190" s="42">
        <f t="shared" si="241"/>
        <v>180</v>
      </c>
      <c r="C190" s="41" t="s">
        <v>441</v>
      </c>
      <c r="D190" s="43">
        <f t="shared" si="196"/>
        <v>25</v>
      </c>
      <c r="E190" s="61">
        <f t="shared" si="221"/>
        <v>3.4090000000000007</v>
      </c>
      <c r="F190" s="44">
        <f t="shared" si="201"/>
        <v>13.636000000000003</v>
      </c>
      <c r="G190" s="44">
        <f t="shared" si="197"/>
        <v>10.908800000000003</v>
      </c>
      <c r="H190" s="44">
        <f t="shared" si="198"/>
        <v>6.8180000000000014</v>
      </c>
      <c r="I190" s="44">
        <f t="shared" si="202"/>
        <v>8</v>
      </c>
      <c r="J190" s="45">
        <f>yaw_max</f>
        <v>8</v>
      </c>
      <c r="K190" s="37" t="str">
        <f>D190&amp;-12</f>
        <v>25-12</v>
      </c>
      <c r="L190" s="44">
        <f t="shared" si="203"/>
        <v>0.2</v>
      </c>
      <c r="M190" s="44">
        <f t="shared" si="204"/>
        <v>150</v>
      </c>
      <c r="N190" s="44">
        <f t="shared" si="205"/>
        <v>160</v>
      </c>
      <c r="O190" s="44">
        <f t="shared" si="206"/>
        <v>210</v>
      </c>
      <c r="P190" s="72">
        <f t="shared" si="230"/>
        <v>1.1499999999999999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8"/>
  <sheetViews>
    <sheetView zoomScaleNormal="100" workbookViewId="0">
      <selection activeCell="L34" sqref="L34"/>
    </sheetView>
  </sheetViews>
  <sheetFormatPr defaultColWidth="9" defaultRowHeight="15" x14ac:dyDescent="0.15"/>
  <cols>
    <col min="1" max="1" width="8" style="23" customWidth="1"/>
    <col min="2" max="2" width="6.375" style="23" customWidth="1"/>
    <col min="3" max="3" width="17.25" style="23" customWidth="1"/>
    <col min="4" max="4" width="6.375" style="23" customWidth="1"/>
    <col min="5" max="5" width="6.625" style="23" customWidth="1"/>
    <col min="6" max="6" width="7" style="23" customWidth="1"/>
    <col min="7" max="7" width="6.25" style="23" customWidth="1"/>
    <col min="8" max="8" width="7.375" style="23" customWidth="1"/>
    <col min="9" max="9" width="6.625" style="23" customWidth="1"/>
    <col min="10" max="10" width="6.75" style="23" customWidth="1"/>
    <col min="11" max="11" width="9.625" style="23" customWidth="1"/>
    <col min="12" max="12" width="7.25" style="23" customWidth="1"/>
    <col min="13" max="13" width="6.25" style="23" customWidth="1"/>
    <col min="14" max="14" width="5.75" style="23" customWidth="1"/>
    <col min="15" max="16384" width="9" style="23"/>
  </cols>
  <sheetData>
    <row r="1" spans="1:14" x14ac:dyDescent="0.15">
      <c r="H1" s="22" t="s">
        <v>135</v>
      </c>
      <c r="I1" s="216" t="s">
        <v>3970</v>
      </c>
    </row>
    <row r="2" spans="1:14" x14ac:dyDescent="0.15">
      <c r="B2" s="22" t="s">
        <v>114</v>
      </c>
      <c r="C2" s="22"/>
      <c r="D2" s="22"/>
      <c r="E2" s="22"/>
      <c r="H2" s="22"/>
      <c r="I2" s="216" t="s">
        <v>3971</v>
      </c>
    </row>
    <row r="3" spans="1:14" x14ac:dyDescent="0.15">
      <c r="B3" s="22" t="s">
        <v>88</v>
      </c>
      <c r="C3" s="22"/>
      <c r="D3" s="22"/>
      <c r="E3" s="22" t="s">
        <v>112</v>
      </c>
      <c r="H3" s="22"/>
      <c r="I3" s="240" t="s">
        <v>3939</v>
      </c>
    </row>
    <row r="4" spans="1:14" x14ac:dyDescent="0.15">
      <c r="B4" s="22" t="s">
        <v>89</v>
      </c>
      <c r="C4" s="22"/>
      <c r="D4" s="22"/>
      <c r="E4" s="22" t="s">
        <v>113</v>
      </c>
      <c r="H4" s="22"/>
      <c r="I4" s="216" t="s">
        <v>3938</v>
      </c>
    </row>
    <row r="5" spans="1:14" x14ac:dyDescent="0.15">
      <c r="B5" s="22" t="s">
        <v>91</v>
      </c>
      <c r="C5" s="22"/>
      <c r="D5" s="22"/>
      <c r="E5" s="22" t="s">
        <v>99</v>
      </c>
      <c r="I5" s="240" t="s">
        <v>3940</v>
      </c>
    </row>
    <row r="6" spans="1:14" x14ac:dyDescent="0.15">
      <c r="B6" s="22" t="s">
        <v>93</v>
      </c>
      <c r="C6" s="22"/>
      <c r="D6" s="22"/>
      <c r="E6" s="22" t="s">
        <v>100</v>
      </c>
      <c r="I6" s="216" t="s">
        <v>3932</v>
      </c>
    </row>
    <row r="7" spans="1:14" x14ac:dyDescent="0.15">
      <c r="A7" s="46"/>
      <c r="B7" s="46"/>
      <c r="C7" s="46"/>
      <c r="D7" s="46"/>
      <c r="E7" s="46"/>
      <c r="F7" s="46"/>
      <c r="G7" s="46"/>
      <c r="H7" s="46"/>
      <c r="I7" s="216" t="s">
        <v>3930</v>
      </c>
      <c r="J7" s="46"/>
      <c r="K7" s="46"/>
      <c r="L7" s="46"/>
      <c r="M7" s="46"/>
      <c r="N7" s="46"/>
    </row>
    <row r="8" spans="1:14" ht="15.75" thickBot="1" x14ac:dyDescent="0.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</row>
    <row r="9" spans="1:14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2</v>
      </c>
      <c r="K9" s="26" t="s">
        <v>3</v>
      </c>
      <c r="L9" s="25" t="s">
        <v>141</v>
      </c>
      <c r="M9" s="27" t="s">
        <v>138</v>
      </c>
      <c r="N9" s="27" t="s">
        <v>139</v>
      </c>
    </row>
    <row r="10" spans="1:14" ht="15.75" thickBot="1" x14ac:dyDescent="0.3">
      <c r="A10" s="29" t="s">
        <v>76</v>
      </c>
      <c r="B10" s="30" t="str">
        <f>B2</f>
        <v>DLC61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32" t="s">
        <v>7</v>
      </c>
      <c r="N10" s="32" t="s">
        <v>7</v>
      </c>
    </row>
    <row r="11" spans="1:14" ht="15.75" thickBot="1" x14ac:dyDescent="0.3">
      <c r="A11" s="24">
        <f>'DLC51'!A58+1</f>
        <v>3710</v>
      </c>
      <c r="B11" s="27">
        <v>1</v>
      </c>
      <c r="C11" s="92" t="str">
        <f>TEXT(RIGHT($B$2,LEN($B$2)-3),"L00")&amp;"X"&amp;TEXT(D11,"00")&amp;"#"&amp;IF(J11&lt;0,TEXT(360+J11,"000"),TEXT(J11,"000"))&amp;"_"&amp;"000"&amp;"_"&amp;TEXT(RIGHT(K11,LEN(K11)-FIND("-",K11)),"00")</f>
        <v>L61X38#352_000_01</v>
      </c>
      <c r="D11" s="34">
        <f>v_50</f>
        <v>37.5</v>
      </c>
      <c r="E11" s="60">
        <f>F11*D11/100</f>
        <v>4.125</v>
      </c>
      <c r="F11" s="35">
        <f>0.11*100</f>
        <v>11</v>
      </c>
      <c r="G11" s="35">
        <f t="shared" ref="G11:G19" si="0">m_ty*F11</f>
        <v>8.8000000000000007</v>
      </c>
      <c r="H11" s="35">
        <f t="shared" ref="H11:H19" si="1">m_tz*F11</f>
        <v>5.5</v>
      </c>
      <c r="I11" s="35">
        <f>inflow</f>
        <v>8</v>
      </c>
      <c r="J11" s="36">
        <f t="shared" ref="J11:J16" si="2">yaw_min</f>
        <v>-8</v>
      </c>
      <c r="K11" s="37" t="str">
        <f>D11&amp;-1</f>
        <v>37.5-1</v>
      </c>
      <c r="L11" s="35">
        <f>alpha_e</f>
        <v>0.11</v>
      </c>
      <c r="M11" s="44">
        <f>t_out</f>
        <v>150</v>
      </c>
      <c r="N11" s="44">
        <f>M11+T_s1</f>
        <v>750</v>
      </c>
    </row>
    <row r="12" spans="1:14" ht="15.75" thickBot="1" x14ac:dyDescent="0.3">
      <c r="A12" s="41">
        <f t="shared" ref="A12:B12" si="3">A11+1</f>
        <v>3711</v>
      </c>
      <c r="B12" s="42">
        <f t="shared" si="3"/>
        <v>2</v>
      </c>
      <c r="C12" s="92" t="str">
        <f t="shared" ref="C12:C28" si="4">TEXT(RIGHT($B$2,LEN($B$2)-3),"L00")&amp;"X"&amp;TEXT(D12,"00")&amp;"#"&amp;IF(J12&lt;0,TEXT(360+J12,"000"),TEXT(J12,"000"))&amp;"_"&amp;"000"&amp;"_"&amp;TEXT(RIGHT(K12,LEN(K12)-FIND("-",K12)),"00")</f>
        <v>L61X38#352_000_02</v>
      </c>
      <c r="D12" s="43">
        <f>D11</f>
        <v>37.5</v>
      </c>
      <c r="E12" s="61">
        <f>E11</f>
        <v>4.125</v>
      </c>
      <c r="F12" s="44">
        <f>F11</f>
        <v>11</v>
      </c>
      <c r="G12" s="44">
        <f t="shared" si="0"/>
        <v>8.8000000000000007</v>
      </c>
      <c r="H12" s="44">
        <f t="shared" si="1"/>
        <v>5.5</v>
      </c>
      <c r="I12" s="44">
        <f>I11</f>
        <v>8</v>
      </c>
      <c r="J12" s="45">
        <f t="shared" si="2"/>
        <v>-8</v>
      </c>
      <c r="K12" s="37" t="str">
        <f>D12&amp;-2</f>
        <v>37.5-2</v>
      </c>
      <c r="L12" s="44">
        <f>L11</f>
        <v>0.11</v>
      </c>
      <c r="M12" s="44">
        <f>M11</f>
        <v>150</v>
      </c>
      <c r="N12" s="44">
        <f>N11</f>
        <v>750</v>
      </c>
    </row>
    <row r="13" spans="1:14" ht="15.75" thickBot="1" x14ac:dyDescent="0.3">
      <c r="A13" s="229">
        <f t="shared" ref="A13:B13" si="5">A12+1</f>
        <v>3712</v>
      </c>
      <c r="B13" s="230">
        <f t="shared" si="5"/>
        <v>3</v>
      </c>
      <c r="C13" s="92" t="str">
        <f t="shared" si="4"/>
        <v>L61X38#352_000_03</v>
      </c>
      <c r="D13" s="43">
        <f t="shared" ref="D13:I19" si="6">D12</f>
        <v>37.5</v>
      </c>
      <c r="E13" s="61">
        <f t="shared" si="6"/>
        <v>4.125</v>
      </c>
      <c r="F13" s="44">
        <f t="shared" si="6"/>
        <v>11</v>
      </c>
      <c r="G13" s="44">
        <f t="shared" si="0"/>
        <v>8.8000000000000007</v>
      </c>
      <c r="H13" s="44">
        <f t="shared" si="1"/>
        <v>5.5</v>
      </c>
      <c r="I13" s="44">
        <f t="shared" si="6"/>
        <v>8</v>
      </c>
      <c r="J13" s="45">
        <f t="shared" si="2"/>
        <v>-8</v>
      </c>
      <c r="K13" s="37" t="str">
        <f>D13&amp;-3</f>
        <v>37.5-3</v>
      </c>
      <c r="L13" s="44">
        <f t="shared" ref="L13:N19" si="7">L12</f>
        <v>0.11</v>
      </c>
      <c r="M13" s="44">
        <f t="shared" si="7"/>
        <v>150</v>
      </c>
      <c r="N13" s="44">
        <f t="shared" si="7"/>
        <v>750</v>
      </c>
    </row>
    <row r="14" spans="1:14" ht="15.75" thickBot="1" x14ac:dyDescent="0.3">
      <c r="A14" s="229">
        <f t="shared" ref="A14:B14" si="8">A13+1</f>
        <v>3713</v>
      </c>
      <c r="B14" s="230">
        <f t="shared" si="8"/>
        <v>4</v>
      </c>
      <c r="C14" s="92" t="str">
        <f t="shared" si="4"/>
        <v>L61X38#352_000_04</v>
      </c>
      <c r="D14" s="43">
        <f t="shared" si="6"/>
        <v>37.5</v>
      </c>
      <c r="E14" s="61">
        <f t="shared" si="6"/>
        <v>4.125</v>
      </c>
      <c r="F14" s="44">
        <f t="shared" si="6"/>
        <v>11</v>
      </c>
      <c r="G14" s="44">
        <f t="shared" si="0"/>
        <v>8.8000000000000007</v>
      </c>
      <c r="H14" s="44">
        <f t="shared" si="1"/>
        <v>5.5</v>
      </c>
      <c r="I14" s="44">
        <f t="shared" si="6"/>
        <v>8</v>
      </c>
      <c r="J14" s="45">
        <f t="shared" si="2"/>
        <v>-8</v>
      </c>
      <c r="K14" s="37" t="str">
        <f>D14&amp;-4</f>
        <v>37.5-4</v>
      </c>
      <c r="L14" s="44">
        <f t="shared" si="7"/>
        <v>0.11</v>
      </c>
      <c r="M14" s="44">
        <f t="shared" si="7"/>
        <v>150</v>
      </c>
      <c r="N14" s="44">
        <f t="shared" si="7"/>
        <v>750</v>
      </c>
    </row>
    <row r="15" spans="1:14" ht="15.75" thickBot="1" x14ac:dyDescent="0.3">
      <c r="A15" s="229">
        <f t="shared" ref="A15:B15" si="9">A14+1</f>
        <v>3714</v>
      </c>
      <c r="B15" s="230">
        <f t="shared" si="9"/>
        <v>5</v>
      </c>
      <c r="C15" s="92" t="str">
        <f t="shared" si="4"/>
        <v>L61X38#352_000_05</v>
      </c>
      <c r="D15" s="43">
        <f t="shared" si="6"/>
        <v>37.5</v>
      </c>
      <c r="E15" s="61">
        <f t="shared" si="6"/>
        <v>4.125</v>
      </c>
      <c r="F15" s="44">
        <f t="shared" si="6"/>
        <v>11</v>
      </c>
      <c r="G15" s="44">
        <f t="shared" si="0"/>
        <v>8.8000000000000007</v>
      </c>
      <c r="H15" s="44">
        <f t="shared" si="1"/>
        <v>5.5</v>
      </c>
      <c r="I15" s="44">
        <f t="shared" si="6"/>
        <v>8</v>
      </c>
      <c r="J15" s="45">
        <f t="shared" si="2"/>
        <v>-8</v>
      </c>
      <c r="K15" s="37" t="str">
        <f>D15&amp;-5</f>
        <v>37.5-5</v>
      </c>
      <c r="L15" s="44">
        <f t="shared" si="7"/>
        <v>0.11</v>
      </c>
      <c r="M15" s="44">
        <f t="shared" si="7"/>
        <v>150</v>
      </c>
      <c r="N15" s="44">
        <f t="shared" si="7"/>
        <v>750</v>
      </c>
    </row>
    <row r="16" spans="1:14" ht="15.75" thickBot="1" x14ac:dyDescent="0.3">
      <c r="A16" s="229">
        <f t="shared" ref="A16:B16" si="10">A15+1</f>
        <v>3715</v>
      </c>
      <c r="B16" s="230">
        <f t="shared" si="10"/>
        <v>6</v>
      </c>
      <c r="C16" s="92" t="str">
        <f t="shared" si="4"/>
        <v>L61X38#352_000_06</v>
      </c>
      <c r="D16" s="43">
        <f t="shared" si="6"/>
        <v>37.5</v>
      </c>
      <c r="E16" s="61">
        <f t="shared" si="6"/>
        <v>4.125</v>
      </c>
      <c r="F16" s="44">
        <f t="shared" si="6"/>
        <v>11</v>
      </c>
      <c r="G16" s="44">
        <f t="shared" si="0"/>
        <v>8.8000000000000007</v>
      </c>
      <c r="H16" s="44">
        <f t="shared" si="1"/>
        <v>5.5</v>
      </c>
      <c r="I16" s="44">
        <f t="shared" si="6"/>
        <v>8</v>
      </c>
      <c r="J16" s="45">
        <f t="shared" si="2"/>
        <v>-8</v>
      </c>
      <c r="K16" s="37" t="str">
        <f>D16&amp;-6</f>
        <v>37.5-6</v>
      </c>
      <c r="L16" s="44">
        <f t="shared" si="7"/>
        <v>0.11</v>
      </c>
      <c r="M16" s="44">
        <f t="shared" si="7"/>
        <v>150</v>
      </c>
      <c r="N16" s="44">
        <f t="shared" si="7"/>
        <v>750</v>
      </c>
    </row>
    <row r="17" spans="1:14" ht="15.75" thickBot="1" x14ac:dyDescent="0.3">
      <c r="A17" s="229">
        <f t="shared" ref="A17:B17" si="11">A16+1</f>
        <v>3716</v>
      </c>
      <c r="B17" s="230">
        <f t="shared" si="11"/>
        <v>7</v>
      </c>
      <c r="C17" s="92" t="str">
        <f t="shared" si="4"/>
        <v>L61X38#000_000_01</v>
      </c>
      <c r="D17" s="43">
        <f t="shared" si="6"/>
        <v>37.5</v>
      </c>
      <c r="E17" s="61">
        <f t="shared" si="6"/>
        <v>4.125</v>
      </c>
      <c r="F17" s="44">
        <f t="shared" si="6"/>
        <v>11</v>
      </c>
      <c r="G17" s="44">
        <f t="shared" si="0"/>
        <v>8.8000000000000007</v>
      </c>
      <c r="H17" s="44">
        <f t="shared" si="1"/>
        <v>5.5</v>
      </c>
      <c r="I17" s="44">
        <f t="shared" si="6"/>
        <v>8</v>
      </c>
      <c r="J17" s="45">
        <f t="shared" ref="J17:J22" si="12">yaw_null</f>
        <v>0</v>
      </c>
      <c r="K17" s="37" t="str">
        <f>D17&amp;-1</f>
        <v>37.5-1</v>
      </c>
      <c r="L17" s="44">
        <f t="shared" si="7"/>
        <v>0.11</v>
      </c>
      <c r="M17" s="44">
        <f t="shared" si="7"/>
        <v>150</v>
      </c>
      <c r="N17" s="44">
        <f t="shared" si="7"/>
        <v>750</v>
      </c>
    </row>
    <row r="18" spans="1:14" ht="15.75" thickBot="1" x14ac:dyDescent="0.3">
      <c r="A18" s="229">
        <f t="shared" ref="A18:B18" si="13">A17+1</f>
        <v>3717</v>
      </c>
      <c r="B18" s="230">
        <f t="shared" si="13"/>
        <v>8</v>
      </c>
      <c r="C18" s="92" t="str">
        <f t="shared" si="4"/>
        <v>L61X38#000_000_02</v>
      </c>
      <c r="D18" s="43">
        <f t="shared" si="6"/>
        <v>37.5</v>
      </c>
      <c r="E18" s="61">
        <f t="shared" si="6"/>
        <v>4.125</v>
      </c>
      <c r="F18" s="44">
        <f t="shared" si="6"/>
        <v>11</v>
      </c>
      <c r="G18" s="44">
        <f t="shared" si="0"/>
        <v>8.8000000000000007</v>
      </c>
      <c r="H18" s="44">
        <f t="shared" si="1"/>
        <v>5.5</v>
      </c>
      <c r="I18" s="44">
        <f t="shared" si="6"/>
        <v>8</v>
      </c>
      <c r="J18" s="45">
        <f t="shared" si="12"/>
        <v>0</v>
      </c>
      <c r="K18" s="37" t="str">
        <f>D18&amp;-2</f>
        <v>37.5-2</v>
      </c>
      <c r="L18" s="44">
        <f t="shared" si="7"/>
        <v>0.11</v>
      </c>
      <c r="M18" s="44">
        <f t="shared" si="7"/>
        <v>150</v>
      </c>
      <c r="N18" s="44">
        <f t="shared" si="7"/>
        <v>750</v>
      </c>
    </row>
    <row r="19" spans="1:14" ht="15.75" thickBot="1" x14ac:dyDescent="0.3">
      <c r="A19" s="229">
        <f t="shared" ref="A19:B19" si="14">A18+1</f>
        <v>3718</v>
      </c>
      <c r="B19" s="230">
        <f t="shared" si="14"/>
        <v>9</v>
      </c>
      <c r="C19" s="92" t="str">
        <f t="shared" si="4"/>
        <v>L61X38#000_000_03</v>
      </c>
      <c r="D19" s="43">
        <f t="shared" si="6"/>
        <v>37.5</v>
      </c>
      <c r="E19" s="61">
        <f t="shared" si="6"/>
        <v>4.125</v>
      </c>
      <c r="F19" s="44">
        <f t="shared" si="6"/>
        <v>11</v>
      </c>
      <c r="G19" s="44">
        <f t="shared" si="0"/>
        <v>8.8000000000000007</v>
      </c>
      <c r="H19" s="44">
        <f t="shared" si="1"/>
        <v>5.5</v>
      </c>
      <c r="I19" s="44">
        <f t="shared" si="6"/>
        <v>8</v>
      </c>
      <c r="J19" s="45">
        <f t="shared" si="12"/>
        <v>0</v>
      </c>
      <c r="K19" s="37" t="str">
        <f>D19&amp;-3</f>
        <v>37.5-3</v>
      </c>
      <c r="L19" s="44">
        <f t="shared" si="7"/>
        <v>0.11</v>
      </c>
      <c r="M19" s="44">
        <f t="shared" si="7"/>
        <v>150</v>
      </c>
      <c r="N19" s="44">
        <f t="shared" si="7"/>
        <v>750</v>
      </c>
    </row>
    <row r="20" spans="1:14" ht="15.75" thickBot="1" x14ac:dyDescent="0.3">
      <c r="A20" s="229">
        <f t="shared" ref="A20:B20" si="15">A19+1</f>
        <v>3719</v>
      </c>
      <c r="B20" s="230">
        <f t="shared" si="15"/>
        <v>10</v>
      </c>
      <c r="C20" s="92" t="str">
        <f t="shared" si="4"/>
        <v>L61X38#000_000_04</v>
      </c>
      <c r="D20" s="43">
        <f t="shared" ref="D20:F20" si="16">D19</f>
        <v>37.5</v>
      </c>
      <c r="E20" s="61">
        <f t="shared" si="16"/>
        <v>4.125</v>
      </c>
      <c r="F20" s="44">
        <f t="shared" si="16"/>
        <v>11</v>
      </c>
      <c r="G20" s="44">
        <f t="shared" ref="G20:G25" si="17">m_ty*F20</f>
        <v>8.8000000000000007</v>
      </c>
      <c r="H20" s="44">
        <f t="shared" ref="H20:H25" si="18">m_tz*F20</f>
        <v>5.5</v>
      </c>
      <c r="I20" s="44">
        <f t="shared" ref="I20" si="19">I19</f>
        <v>8</v>
      </c>
      <c r="J20" s="45">
        <f t="shared" si="12"/>
        <v>0</v>
      </c>
      <c r="K20" s="37" t="str">
        <f>D20&amp;-4</f>
        <v>37.5-4</v>
      </c>
      <c r="L20" s="44">
        <f t="shared" ref="L20:N20" si="20">L19</f>
        <v>0.11</v>
      </c>
      <c r="M20" s="44">
        <f t="shared" si="20"/>
        <v>150</v>
      </c>
      <c r="N20" s="44">
        <f t="shared" si="20"/>
        <v>750</v>
      </c>
    </row>
    <row r="21" spans="1:14" ht="15.75" thickBot="1" x14ac:dyDescent="0.3">
      <c r="A21" s="229">
        <f t="shared" ref="A21:B21" si="21">A20+1</f>
        <v>3720</v>
      </c>
      <c r="B21" s="230">
        <f t="shared" si="21"/>
        <v>11</v>
      </c>
      <c r="C21" s="92" t="str">
        <f t="shared" si="4"/>
        <v>L61X38#000_000_05</v>
      </c>
      <c r="D21" s="43">
        <f t="shared" ref="D21:F21" si="22">D20</f>
        <v>37.5</v>
      </c>
      <c r="E21" s="61">
        <f t="shared" si="22"/>
        <v>4.125</v>
      </c>
      <c r="F21" s="44">
        <f t="shared" si="22"/>
        <v>11</v>
      </c>
      <c r="G21" s="44">
        <f t="shared" si="17"/>
        <v>8.8000000000000007</v>
      </c>
      <c r="H21" s="44">
        <f t="shared" si="18"/>
        <v>5.5</v>
      </c>
      <c r="I21" s="44">
        <f t="shared" ref="I21" si="23">I20</f>
        <v>8</v>
      </c>
      <c r="J21" s="45">
        <f t="shared" si="12"/>
        <v>0</v>
      </c>
      <c r="K21" s="37" t="str">
        <f>D21&amp;-5</f>
        <v>37.5-5</v>
      </c>
      <c r="L21" s="44">
        <f t="shared" ref="L21:N21" si="24">L20</f>
        <v>0.11</v>
      </c>
      <c r="M21" s="44">
        <f t="shared" si="24"/>
        <v>150</v>
      </c>
      <c r="N21" s="44">
        <f t="shared" si="24"/>
        <v>750</v>
      </c>
    </row>
    <row r="22" spans="1:14" ht="15.75" thickBot="1" x14ac:dyDescent="0.3">
      <c r="A22" s="229">
        <f t="shared" ref="A22:B22" si="25">A21+1</f>
        <v>3721</v>
      </c>
      <c r="B22" s="230">
        <f t="shared" si="25"/>
        <v>12</v>
      </c>
      <c r="C22" s="92" t="str">
        <f t="shared" si="4"/>
        <v>L61X38#000_000_06</v>
      </c>
      <c r="D22" s="43">
        <f t="shared" ref="D22:F22" si="26">D21</f>
        <v>37.5</v>
      </c>
      <c r="E22" s="61">
        <f t="shared" si="26"/>
        <v>4.125</v>
      </c>
      <c r="F22" s="44">
        <f t="shared" si="26"/>
        <v>11</v>
      </c>
      <c r="G22" s="44">
        <f t="shared" si="17"/>
        <v>8.8000000000000007</v>
      </c>
      <c r="H22" s="44">
        <f t="shared" si="18"/>
        <v>5.5</v>
      </c>
      <c r="I22" s="44">
        <f t="shared" ref="I22" si="27">I21</f>
        <v>8</v>
      </c>
      <c r="J22" s="45">
        <f t="shared" si="12"/>
        <v>0</v>
      </c>
      <c r="K22" s="37" t="str">
        <f>D22&amp;-6</f>
        <v>37.5-6</v>
      </c>
      <c r="L22" s="44">
        <f t="shared" ref="L22:N22" si="28">L21</f>
        <v>0.11</v>
      </c>
      <c r="M22" s="44">
        <f t="shared" si="28"/>
        <v>150</v>
      </c>
      <c r="N22" s="44">
        <f t="shared" si="28"/>
        <v>750</v>
      </c>
    </row>
    <row r="23" spans="1:14" ht="15.75" thickBot="1" x14ac:dyDescent="0.3">
      <c r="A23" s="229">
        <f t="shared" ref="A23:B23" si="29">A22+1</f>
        <v>3722</v>
      </c>
      <c r="B23" s="230">
        <f t="shared" si="29"/>
        <v>13</v>
      </c>
      <c r="C23" s="92" t="str">
        <f t="shared" si="4"/>
        <v>L61X38#008_000_01</v>
      </c>
      <c r="D23" s="43">
        <f t="shared" ref="D23:F23" si="30">D22</f>
        <v>37.5</v>
      </c>
      <c r="E23" s="61">
        <f t="shared" si="30"/>
        <v>4.125</v>
      </c>
      <c r="F23" s="44">
        <f t="shared" si="30"/>
        <v>11</v>
      </c>
      <c r="G23" s="44">
        <f t="shared" si="17"/>
        <v>8.8000000000000007</v>
      </c>
      <c r="H23" s="44">
        <f t="shared" si="18"/>
        <v>5.5</v>
      </c>
      <c r="I23" s="44">
        <f t="shared" ref="I23" si="31">I22</f>
        <v>8</v>
      </c>
      <c r="J23" s="45">
        <f t="shared" ref="J23:J28" si="32">yaw_max</f>
        <v>8</v>
      </c>
      <c r="K23" s="37" t="str">
        <f>D23&amp;-1</f>
        <v>37.5-1</v>
      </c>
      <c r="L23" s="44">
        <f t="shared" ref="L23:N23" si="33">L22</f>
        <v>0.11</v>
      </c>
      <c r="M23" s="44">
        <f t="shared" si="33"/>
        <v>150</v>
      </c>
      <c r="N23" s="44">
        <f t="shared" si="33"/>
        <v>750</v>
      </c>
    </row>
    <row r="24" spans="1:14" ht="15.75" thickBot="1" x14ac:dyDescent="0.3">
      <c r="A24" s="229">
        <f t="shared" ref="A24:B24" si="34">A23+1</f>
        <v>3723</v>
      </c>
      <c r="B24" s="230">
        <f t="shared" si="34"/>
        <v>14</v>
      </c>
      <c r="C24" s="92" t="str">
        <f t="shared" si="4"/>
        <v>L61X38#008_000_02</v>
      </c>
      <c r="D24" s="43">
        <f t="shared" ref="D24:F24" si="35">D23</f>
        <v>37.5</v>
      </c>
      <c r="E24" s="61">
        <f t="shared" si="35"/>
        <v>4.125</v>
      </c>
      <c r="F24" s="44">
        <f t="shared" si="35"/>
        <v>11</v>
      </c>
      <c r="G24" s="44">
        <f t="shared" si="17"/>
        <v>8.8000000000000007</v>
      </c>
      <c r="H24" s="44">
        <f t="shared" si="18"/>
        <v>5.5</v>
      </c>
      <c r="I24" s="44">
        <f t="shared" ref="I24" si="36">I23</f>
        <v>8</v>
      </c>
      <c r="J24" s="45">
        <f t="shared" si="32"/>
        <v>8</v>
      </c>
      <c r="K24" s="37" t="str">
        <f>D24&amp;-2</f>
        <v>37.5-2</v>
      </c>
      <c r="L24" s="44">
        <f t="shared" ref="L24:N24" si="37">L23</f>
        <v>0.11</v>
      </c>
      <c r="M24" s="44">
        <f t="shared" si="37"/>
        <v>150</v>
      </c>
      <c r="N24" s="44">
        <f t="shared" si="37"/>
        <v>750</v>
      </c>
    </row>
    <row r="25" spans="1:14" ht="15.75" thickBot="1" x14ac:dyDescent="0.3">
      <c r="A25" s="229">
        <f t="shared" ref="A25:B25" si="38">A24+1</f>
        <v>3724</v>
      </c>
      <c r="B25" s="230">
        <f t="shared" si="38"/>
        <v>15</v>
      </c>
      <c r="C25" s="92" t="str">
        <f t="shared" si="4"/>
        <v>L61X38#008_000_03</v>
      </c>
      <c r="D25" s="43">
        <f t="shared" ref="D25:F25" si="39">D24</f>
        <v>37.5</v>
      </c>
      <c r="E25" s="61">
        <f t="shared" si="39"/>
        <v>4.125</v>
      </c>
      <c r="F25" s="44">
        <f t="shared" si="39"/>
        <v>11</v>
      </c>
      <c r="G25" s="44">
        <f t="shared" si="17"/>
        <v>8.8000000000000007</v>
      </c>
      <c r="H25" s="44">
        <f t="shared" si="18"/>
        <v>5.5</v>
      </c>
      <c r="I25" s="44">
        <f t="shared" ref="I25:I28" si="40">I24</f>
        <v>8</v>
      </c>
      <c r="J25" s="45">
        <f t="shared" si="32"/>
        <v>8</v>
      </c>
      <c r="K25" s="37" t="str">
        <f>D25&amp;-3</f>
        <v>37.5-3</v>
      </c>
      <c r="L25" s="44">
        <f t="shared" ref="L25:N25" si="41">L24</f>
        <v>0.11</v>
      </c>
      <c r="M25" s="44">
        <f t="shared" si="41"/>
        <v>150</v>
      </c>
      <c r="N25" s="44">
        <f t="shared" si="41"/>
        <v>750</v>
      </c>
    </row>
    <row r="26" spans="1:14" ht="15.75" thickBot="1" x14ac:dyDescent="0.3">
      <c r="A26" s="229">
        <f t="shared" ref="A26:B26" si="42">A25+1</f>
        <v>3725</v>
      </c>
      <c r="B26" s="230">
        <f t="shared" si="42"/>
        <v>16</v>
      </c>
      <c r="C26" s="92" t="str">
        <f t="shared" si="4"/>
        <v>L61X38#008_000_04</v>
      </c>
      <c r="D26" s="43">
        <f t="shared" ref="D26:F26" si="43">D25</f>
        <v>37.5</v>
      </c>
      <c r="E26" s="61">
        <f t="shared" si="43"/>
        <v>4.125</v>
      </c>
      <c r="F26" s="44">
        <f t="shared" si="43"/>
        <v>11</v>
      </c>
      <c r="G26" s="44">
        <f t="shared" ref="G26:G28" si="44">m_ty*F26</f>
        <v>8.8000000000000007</v>
      </c>
      <c r="H26" s="44">
        <f t="shared" ref="H26:H28" si="45">m_tz*F26</f>
        <v>5.5</v>
      </c>
      <c r="I26" s="44">
        <f t="shared" si="40"/>
        <v>8</v>
      </c>
      <c r="J26" s="45">
        <f t="shared" si="32"/>
        <v>8</v>
      </c>
      <c r="K26" s="37" t="str">
        <f>D26&amp;-4</f>
        <v>37.5-4</v>
      </c>
      <c r="L26" s="44">
        <f t="shared" ref="L26:N26" si="46">L25</f>
        <v>0.11</v>
      </c>
      <c r="M26" s="44">
        <f t="shared" si="46"/>
        <v>150</v>
      </c>
      <c r="N26" s="44">
        <f t="shared" si="46"/>
        <v>750</v>
      </c>
    </row>
    <row r="27" spans="1:14" ht="15.75" thickBot="1" x14ac:dyDescent="0.3">
      <c r="A27" s="229">
        <f t="shared" ref="A27:B27" si="47">A26+1</f>
        <v>3726</v>
      </c>
      <c r="B27" s="230">
        <f t="shared" si="47"/>
        <v>17</v>
      </c>
      <c r="C27" s="92" t="str">
        <f t="shared" si="4"/>
        <v>L61X38#008_000_05</v>
      </c>
      <c r="D27" s="43">
        <f t="shared" ref="D27:F27" si="48">D26</f>
        <v>37.5</v>
      </c>
      <c r="E27" s="61">
        <f t="shared" si="48"/>
        <v>4.125</v>
      </c>
      <c r="F27" s="44">
        <f t="shared" si="48"/>
        <v>11</v>
      </c>
      <c r="G27" s="44">
        <f t="shared" si="44"/>
        <v>8.8000000000000007</v>
      </c>
      <c r="H27" s="44">
        <f t="shared" si="45"/>
        <v>5.5</v>
      </c>
      <c r="I27" s="44">
        <f t="shared" si="40"/>
        <v>8</v>
      </c>
      <c r="J27" s="45">
        <f t="shared" si="32"/>
        <v>8</v>
      </c>
      <c r="K27" s="37" t="str">
        <f>D27&amp;-5</f>
        <v>37.5-5</v>
      </c>
      <c r="L27" s="44">
        <f t="shared" ref="L27:N27" si="49">L26</f>
        <v>0.11</v>
      </c>
      <c r="M27" s="44">
        <f t="shared" si="49"/>
        <v>150</v>
      </c>
      <c r="N27" s="44">
        <f t="shared" si="49"/>
        <v>750</v>
      </c>
    </row>
    <row r="28" spans="1:14" x14ac:dyDescent="0.25">
      <c r="A28" s="229">
        <f t="shared" ref="A28:B28" si="50">A27+1</f>
        <v>3727</v>
      </c>
      <c r="B28" s="230">
        <f t="shared" si="50"/>
        <v>18</v>
      </c>
      <c r="C28" s="92" t="str">
        <f t="shared" si="4"/>
        <v>L61X38#008_000_06</v>
      </c>
      <c r="D28" s="43">
        <f t="shared" ref="D28:F28" si="51">D27</f>
        <v>37.5</v>
      </c>
      <c r="E28" s="61">
        <f t="shared" si="51"/>
        <v>4.125</v>
      </c>
      <c r="F28" s="44">
        <f t="shared" si="51"/>
        <v>11</v>
      </c>
      <c r="G28" s="44">
        <f t="shared" si="44"/>
        <v>8.8000000000000007</v>
      </c>
      <c r="H28" s="44">
        <f t="shared" si="45"/>
        <v>5.5</v>
      </c>
      <c r="I28" s="44">
        <f t="shared" si="40"/>
        <v>8</v>
      </c>
      <c r="J28" s="45">
        <f t="shared" si="32"/>
        <v>8</v>
      </c>
      <c r="K28" s="37" t="str">
        <f>D28&amp;-6</f>
        <v>37.5-6</v>
      </c>
      <c r="L28" s="44">
        <f t="shared" ref="L28:N28" si="52">L27</f>
        <v>0.11</v>
      </c>
      <c r="M28" s="44">
        <f t="shared" si="52"/>
        <v>150</v>
      </c>
      <c r="N28" s="44">
        <f t="shared" si="52"/>
        <v>750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226"/>
  <sheetViews>
    <sheetView topLeftCell="B1" zoomScaleNormal="100" workbookViewId="0">
      <selection activeCell="H4" sqref="H4"/>
    </sheetView>
  </sheetViews>
  <sheetFormatPr defaultColWidth="9" defaultRowHeight="15" x14ac:dyDescent="0.15"/>
  <cols>
    <col min="1" max="1" width="8" style="23" customWidth="1"/>
    <col min="2" max="2" width="6.375" style="23" customWidth="1"/>
    <col min="3" max="3" width="20.75" style="23" customWidth="1"/>
    <col min="4" max="4" width="6.375" style="23" customWidth="1"/>
    <col min="5" max="5" width="6.625" style="23" customWidth="1"/>
    <col min="6" max="6" width="7" style="23" customWidth="1"/>
    <col min="7" max="7" width="6.25" style="23" customWidth="1"/>
    <col min="8" max="8" width="7.375" style="23" customWidth="1"/>
    <col min="9" max="9" width="6.625" style="23" customWidth="1"/>
    <col min="10" max="10" width="6.75" style="23" customWidth="1"/>
    <col min="11" max="11" width="9.625" style="23" customWidth="1"/>
    <col min="12" max="12" width="7.25" style="23" customWidth="1"/>
    <col min="13" max="13" width="6.25" style="23" customWidth="1"/>
    <col min="14" max="14" width="5.75" style="23" customWidth="1"/>
    <col min="15" max="16384" width="9" style="23"/>
  </cols>
  <sheetData>
    <row r="1" spans="1:20" x14ac:dyDescent="0.15">
      <c r="H1" s="22" t="s">
        <v>135</v>
      </c>
      <c r="I1" s="216" t="s">
        <v>3972</v>
      </c>
    </row>
    <row r="2" spans="1:20" x14ac:dyDescent="0.15">
      <c r="B2" s="22" t="s">
        <v>134</v>
      </c>
      <c r="C2" s="22"/>
      <c r="D2" s="22"/>
      <c r="E2" s="22"/>
      <c r="H2" s="22"/>
      <c r="I2" s="216" t="s">
        <v>3971</v>
      </c>
      <c r="S2" s="23" t="s">
        <v>3836</v>
      </c>
      <c r="T2" s="23">
        <v>0.02</v>
      </c>
    </row>
    <row r="3" spans="1:20" x14ac:dyDescent="0.15">
      <c r="B3" s="22" t="s">
        <v>88</v>
      </c>
      <c r="C3" s="22"/>
      <c r="D3" s="22"/>
      <c r="E3" s="22" t="s">
        <v>112</v>
      </c>
      <c r="H3" s="22"/>
      <c r="I3" s="240" t="s">
        <v>3939</v>
      </c>
    </row>
    <row r="4" spans="1:20" x14ac:dyDescent="0.15">
      <c r="B4" s="22" t="s">
        <v>89</v>
      </c>
      <c r="C4" s="22"/>
      <c r="D4" s="22"/>
      <c r="E4" s="22" t="s">
        <v>113</v>
      </c>
      <c r="H4" s="22"/>
      <c r="I4" s="216" t="s">
        <v>3938</v>
      </c>
    </row>
    <row r="5" spans="1:20" x14ac:dyDescent="0.15">
      <c r="B5" s="22" t="s">
        <v>91</v>
      </c>
      <c r="C5" s="22"/>
      <c r="D5" s="22"/>
      <c r="E5" s="22" t="s">
        <v>99</v>
      </c>
      <c r="I5" s="240" t="s">
        <v>3940</v>
      </c>
    </row>
    <row r="6" spans="1:20" x14ac:dyDescent="0.15">
      <c r="B6" s="22" t="s">
        <v>93</v>
      </c>
      <c r="C6" s="22"/>
      <c r="D6" s="22"/>
      <c r="E6" s="22" t="s">
        <v>106</v>
      </c>
      <c r="I6" s="216" t="s">
        <v>3932</v>
      </c>
    </row>
    <row r="7" spans="1:20" x14ac:dyDescent="0.15">
      <c r="A7" s="46"/>
      <c r="B7" s="46"/>
      <c r="C7" s="46"/>
      <c r="D7" s="46"/>
      <c r="E7" s="46"/>
      <c r="F7" s="46"/>
      <c r="G7" s="46"/>
      <c r="H7" s="46"/>
      <c r="I7" s="216" t="s">
        <v>3930</v>
      </c>
      <c r="J7" s="46"/>
      <c r="K7" s="46"/>
      <c r="L7" s="46"/>
      <c r="M7" s="46"/>
      <c r="N7" s="46"/>
    </row>
    <row r="8" spans="1:20" ht="15.75" thickBot="1" x14ac:dyDescent="0.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</row>
    <row r="9" spans="1:20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2</v>
      </c>
      <c r="K9" s="26" t="s">
        <v>3</v>
      </c>
      <c r="L9" s="25" t="s">
        <v>141</v>
      </c>
      <c r="M9" s="27" t="s">
        <v>138</v>
      </c>
      <c r="N9" s="27" t="s">
        <v>139</v>
      </c>
    </row>
    <row r="10" spans="1:20" ht="15.75" thickBot="1" x14ac:dyDescent="0.3">
      <c r="A10" s="29" t="s">
        <v>76</v>
      </c>
      <c r="B10" s="30" t="str">
        <f>B2</f>
        <v>DLC62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32" t="s">
        <v>7</v>
      </c>
      <c r="N10" s="32" t="s">
        <v>7</v>
      </c>
    </row>
    <row r="11" spans="1:20" x14ac:dyDescent="0.25">
      <c r="A11" s="24">
        <f>'DLC61'!A28+1</f>
        <v>3728</v>
      </c>
      <c r="B11" s="27">
        <v>1</v>
      </c>
      <c r="C11" s="229" t="str">
        <f>TEXT(RIGHT($B$2,LEN($B$2)-3),"L00")&amp;"X"&amp;TEXT(D11,"00")&amp;"_"&amp;IF(J11&lt;0,TEXT(360+J11,"000"),TEXT(J11,"000"))&amp;"#"&amp;"000"&amp;"_"&amp;TEXT(RIGHT(K11,LEN(K11)-FIND("-",K11)),"00")</f>
        <v>L62X38_005#000_01</v>
      </c>
      <c r="D11" s="34">
        <f>v_50</f>
        <v>37.5</v>
      </c>
      <c r="E11" s="60">
        <f>F11*D11/100</f>
        <v>4.125</v>
      </c>
      <c r="F11" s="35">
        <f>0.11*100</f>
        <v>11</v>
      </c>
      <c r="G11" s="35">
        <f t="shared" ref="G11:G28" si="0">m_ty*F11</f>
        <v>8.8000000000000007</v>
      </c>
      <c r="H11" s="35">
        <f t="shared" ref="H11:H28" si="1">m_tz*F11</f>
        <v>5.5</v>
      </c>
      <c r="I11" s="35">
        <f>inflow</f>
        <v>8</v>
      </c>
      <c r="J11" s="36">
        <v>5</v>
      </c>
      <c r="K11" s="37" t="str">
        <f>D11&amp;-1</f>
        <v>37.5-1</v>
      </c>
      <c r="L11" s="35">
        <f>alpha_e</f>
        <v>0.11</v>
      </c>
      <c r="M11" s="44">
        <f>t_out</f>
        <v>150</v>
      </c>
      <c r="N11" s="44">
        <f>M11+T_s1</f>
        <v>750</v>
      </c>
    </row>
    <row r="12" spans="1:20" x14ac:dyDescent="0.25">
      <c r="A12" s="41">
        <f t="shared" ref="A12:B12" si="2">A11+1</f>
        <v>3729</v>
      </c>
      <c r="B12" s="42">
        <f t="shared" si="2"/>
        <v>2</v>
      </c>
      <c r="C12" s="229" t="str">
        <f t="shared" ref="C12:C75" si="3">TEXT(RIGHT($B$2,LEN($B$2)-3),"L00")&amp;"X"&amp;TEXT(D12,"00")&amp;"_"&amp;IF(J12&lt;0,TEXT(360+J12,"000"),TEXT(J12,"000"))&amp;"#"&amp;"000"&amp;"_"&amp;TEXT(RIGHT(K12,LEN(K12)-FIND("-",K12)),"00")</f>
        <v>L62X38_005#000_02</v>
      </c>
      <c r="D12" s="43">
        <f>D11</f>
        <v>37.5</v>
      </c>
      <c r="E12" s="61">
        <f>E11</f>
        <v>4.125</v>
      </c>
      <c r="F12" s="44">
        <f>F11</f>
        <v>11</v>
      </c>
      <c r="G12" s="44">
        <f t="shared" si="0"/>
        <v>8.8000000000000007</v>
      </c>
      <c r="H12" s="44">
        <f t="shared" si="1"/>
        <v>5.5</v>
      </c>
      <c r="I12" s="44">
        <f>I11</f>
        <v>8</v>
      </c>
      <c r="J12" s="45">
        <f>J11</f>
        <v>5</v>
      </c>
      <c r="K12" s="37" t="str">
        <f>D12&amp;-2</f>
        <v>37.5-2</v>
      </c>
      <c r="L12" s="44">
        <f>L11</f>
        <v>0.11</v>
      </c>
      <c r="M12" s="44">
        <f>M11</f>
        <v>150</v>
      </c>
      <c r="N12" s="44">
        <f>N11</f>
        <v>750</v>
      </c>
    </row>
    <row r="13" spans="1:20" x14ac:dyDescent="0.25">
      <c r="A13" s="229">
        <f t="shared" ref="A13:B13" si="4">A12+1</f>
        <v>3730</v>
      </c>
      <c r="B13" s="230">
        <f t="shared" si="4"/>
        <v>3</v>
      </c>
      <c r="C13" s="229" t="str">
        <f t="shared" si="3"/>
        <v>L62X38_005#000_03</v>
      </c>
      <c r="D13" s="43">
        <f t="shared" ref="D13:J28" si="5">D12</f>
        <v>37.5</v>
      </c>
      <c r="E13" s="61">
        <f t="shared" si="5"/>
        <v>4.125</v>
      </c>
      <c r="F13" s="44">
        <f t="shared" si="5"/>
        <v>11</v>
      </c>
      <c r="G13" s="44">
        <f t="shared" si="0"/>
        <v>8.8000000000000007</v>
      </c>
      <c r="H13" s="44">
        <f t="shared" si="1"/>
        <v>5.5</v>
      </c>
      <c r="I13" s="44">
        <f t="shared" si="5"/>
        <v>8</v>
      </c>
      <c r="J13" s="199">
        <f t="shared" si="5"/>
        <v>5</v>
      </c>
      <c r="K13" s="37" t="str">
        <f>D13&amp;-3</f>
        <v>37.5-3</v>
      </c>
      <c r="L13" s="44">
        <f t="shared" ref="L13:N28" si="6">L12</f>
        <v>0.11</v>
      </c>
      <c r="M13" s="44">
        <f t="shared" si="6"/>
        <v>150</v>
      </c>
      <c r="N13" s="44">
        <f t="shared" si="6"/>
        <v>750</v>
      </c>
    </row>
    <row r="14" spans="1:20" x14ac:dyDescent="0.25">
      <c r="A14" s="229">
        <f t="shared" ref="A14:B14" si="7">A13+1</f>
        <v>3731</v>
      </c>
      <c r="B14" s="230">
        <f t="shared" si="7"/>
        <v>4</v>
      </c>
      <c r="C14" s="229" t="str">
        <f t="shared" si="3"/>
        <v>L62X38_005#000_04</v>
      </c>
      <c r="D14" s="43">
        <f t="shared" si="5"/>
        <v>37.5</v>
      </c>
      <c r="E14" s="61">
        <f t="shared" si="5"/>
        <v>4.125</v>
      </c>
      <c r="F14" s="44">
        <f t="shared" si="5"/>
        <v>11</v>
      </c>
      <c r="G14" s="44">
        <f t="shared" si="0"/>
        <v>8.8000000000000007</v>
      </c>
      <c r="H14" s="44">
        <f t="shared" si="1"/>
        <v>5.5</v>
      </c>
      <c r="I14" s="44">
        <f t="shared" si="5"/>
        <v>8</v>
      </c>
      <c r="J14" s="199">
        <f t="shared" si="5"/>
        <v>5</v>
      </c>
      <c r="K14" s="37" t="str">
        <f>D14&amp;-4</f>
        <v>37.5-4</v>
      </c>
      <c r="L14" s="44">
        <f t="shared" si="6"/>
        <v>0.11</v>
      </c>
      <c r="M14" s="44">
        <f t="shared" si="6"/>
        <v>150</v>
      </c>
      <c r="N14" s="44">
        <f t="shared" si="6"/>
        <v>750</v>
      </c>
    </row>
    <row r="15" spans="1:20" x14ac:dyDescent="0.25">
      <c r="A15" s="229">
        <f t="shared" ref="A15:B15" si="8">A14+1</f>
        <v>3732</v>
      </c>
      <c r="B15" s="230">
        <f t="shared" si="8"/>
        <v>5</v>
      </c>
      <c r="C15" s="229" t="str">
        <f t="shared" si="3"/>
        <v>L62X38_005#000_05</v>
      </c>
      <c r="D15" s="43">
        <f t="shared" si="5"/>
        <v>37.5</v>
      </c>
      <c r="E15" s="61">
        <f t="shared" si="5"/>
        <v>4.125</v>
      </c>
      <c r="F15" s="44">
        <f t="shared" si="5"/>
        <v>11</v>
      </c>
      <c r="G15" s="44">
        <f t="shared" si="0"/>
        <v>8.8000000000000007</v>
      </c>
      <c r="H15" s="44">
        <f t="shared" si="1"/>
        <v>5.5</v>
      </c>
      <c r="I15" s="44">
        <f t="shared" si="5"/>
        <v>8</v>
      </c>
      <c r="J15" s="199">
        <f t="shared" si="5"/>
        <v>5</v>
      </c>
      <c r="K15" s="37" t="str">
        <f>D15&amp;-5</f>
        <v>37.5-5</v>
      </c>
      <c r="L15" s="44">
        <f t="shared" si="6"/>
        <v>0.11</v>
      </c>
      <c r="M15" s="44">
        <f t="shared" si="6"/>
        <v>150</v>
      </c>
      <c r="N15" s="44">
        <f t="shared" si="6"/>
        <v>750</v>
      </c>
    </row>
    <row r="16" spans="1:20" x14ac:dyDescent="0.25">
      <c r="A16" s="229">
        <f t="shared" ref="A16:B16" si="9">A15+1</f>
        <v>3733</v>
      </c>
      <c r="B16" s="230">
        <f t="shared" si="9"/>
        <v>6</v>
      </c>
      <c r="C16" s="229" t="str">
        <f t="shared" si="3"/>
        <v>L62X38_005#000_06</v>
      </c>
      <c r="D16" s="43">
        <f t="shared" si="5"/>
        <v>37.5</v>
      </c>
      <c r="E16" s="61">
        <f t="shared" si="5"/>
        <v>4.125</v>
      </c>
      <c r="F16" s="44">
        <f t="shared" si="5"/>
        <v>11</v>
      </c>
      <c r="G16" s="44">
        <f t="shared" si="0"/>
        <v>8.8000000000000007</v>
      </c>
      <c r="H16" s="44">
        <f t="shared" si="1"/>
        <v>5.5</v>
      </c>
      <c r="I16" s="44">
        <f t="shared" si="5"/>
        <v>8</v>
      </c>
      <c r="J16" s="199">
        <f t="shared" si="5"/>
        <v>5</v>
      </c>
      <c r="K16" s="37" t="str">
        <f>D16&amp;-6</f>
        <v>37.5-6</v>
      </c>
      <c r="L16" s="44">
        <f t="shared" si="6"/>
        <v>0.11</v>
      </c>
      <c r="M16" s="44">
        <f t="shared" si="6"/>
        <v>150</v>
      </c>
      <c r="N16" s="44">
        <f t="shared" si="6"/>
        <v>750</v>
      </c>
    </row>
    <row r="17" spans="1:14" x14ac:dyDescent="0.25">
      <c r="A17" s="229">
        <f t="shared" ref="A17:B17" si="10">A16+1</f>
        <v>3734</v>
      </c>
      <c r="B17" s="230">
        <f t="shared" si="10"/>
        <v>7</v>
      </c>
      <c r="C17" s="229" t="str">
        <f t="shared" si="3"/>
        <v>L62X38_015#000_01</v>
      </c>
      <c r="D17" s="43">
        <f t="shared" si="5"/>
        <v>37.5</v>
      </c>
      <c r="E17" s="61">
        <f t="shared" si="5"/>
        <v>4.125</v>
      </c>
      <c r="F17" s="44">
        <f t="shared" si="5"/>
        <v>11</v>
      </c>
      <c r="G17" s="44">
        <f t="shared" si="0"/>
        <v>8.8000000000000007</v>
      </c>
      <c r="H17" s="44">
        <f t="shared" si="1"/>
        <v>5.5</v>
      </c>
      <c r="I17" s="44">
        <f t="shared" si="5"/>
        <v>8</v>
      </c>
      <c r="J17" s="45">
        <f>J11+10</f>
        <v>15</v>
      </c>
      <c r="K17" s="37" t="str">
        <f>D17&amp;-1</f>
        <v>37.5-1</v>
      </c>
      <c r="L17" s="44">
        <f t="shared" si="6"/>
        <v>0.11</v>
      </c>
      <c r="M17" s="44">
        <f t="shared" si="6"/>
        <v>150</v>
      </c>
      <c r="N17" s="44">
        <f t="shared" si="6"/>
        <v>750</v>
      </c>
    </row>
    <row r="18" spans="1:14" x14ac:dyDescent="0.25">
      <c r="A18" s="229">
        <f t="shared" ref="A18:B18" si="11">A17+1</f>
        <v>3735</v>
      </c>
      <c r="B18" s="230">
        <f t="shared" si="11"/>
        <v>8</v>
      </c>
      <c r="C18" s="229" t="str">
        <f t="shared" si="3"/>
        <v>L62X38_015#000_02</v>
      </c>
      <c r="D18" s="43">
        <f t="shared" si="5"/>
        <v>37.5</v>
      </c>
      <c r="E18" s="61">
        <f t="shared" si="5"/>
        <v>4.125</v>
      </c>
      <c r="F18" s="44">
        <f t="shared" si="5"/>
        <v>11</v>
      </c>
      <c r="G18" s="44">
        <f t="shared" si="0"/>
        <v>8.8000000000000007</v>
      </c>
      <c r="H18" s="44">
        <f t="shared" si="1"/>
        <v>5.5</v>
      </c>
      <c r="I18" s="44">
        <f t="shared" si="5"/>
        <v>8</v>
      </c>
      <c r="J18" s="199">
        <f t="shared" ref="J18:J81" si="12">J12+10</f>
        <v>15</v>
      </c>
      <c r="K18" s="37" t="str">
        <f>D18&amp;-2</f>
        <v>37.5-2</v>
      </c>
      <c r="L18" s="44">
        <f t="shared" si="6"/>
        <v>0.11</v>
      </c>
      <c r="M18" s="44">
        <f t="shared" si="6"/>
        <v>150</v>
      </c>
      <c r="N18" s="44">
        <f t="shared" si="6"/>
        <v>750</v>
      </c>
    </row>
    <row r="19" spans="1:14" x14ac:dyDescent="0.25">
      <c r="A19" s="229">
        <f t="shared" ref="A19:B19" si="13">A18+1</f>
        <v>3736</v>
      </c>
      <c r="B19" s="230">
        <f t="shared" si="13"/>
        <v>9</v>
      </c>
      <c r="C19" s="229" t="str">
        <f t="shared" si="3"/>
        <v>L62X38_015#000_03</v>
      </c>
      <c r="D19" s="43">
        <f t="shared" si="5"/>
        <v>37.5</v>
      </c>
      <c r="E19" s="61">
        <f t="shared" si="5"/>
        <v>4.125</v>
      </c>
      <c r="F19" s="44">
        <f t="shared" si="5"/>
        <v>11</v>
      </c>
      <c r="G19" s="44">
        <f t="shared" si="0"/>
        <v>8.8000000000000007</v>
      </c>
      <c r="H19" s="44">
        <f t="shared" si="1"/>
        <v>5.5</v>
      </c>
      <c r="I19" s="44">
        <f t="shared" si="5"/>
        <v>8</v>
      </c>
      <c r="J19" s="199">
        <f t="shared" si="12"/>
        <v>15</v>
      </c>
      <c r="K19" s="37" t="str">
        <f>D19&amp;-3</f>
        <v>37.5-3</v>
      </c>
      <c r="L19" s="44">
        <f t="shared" si="6"/>
        <v>0.11</v>
      </c>
      <c r="M19" s="44">
        <f t="shared" si="6"/>
        <v>150</v>
      </c>
      <c r="N19" s="44">
        <f t="shared" si="6"/>
        <v>750</v>
      </c>
    </row>
    <row r="20" spans="1:14" x14ac:dyDescent="0.25">
      <c r="A20" s="229">
        <f t="shared" ref="A20:B20" si="14">A19+1</f>
        <v>3737</v>
      </c>
      <c r="B20" s="230">
        <f t="shared" si="14"/>
        <v>10</v>
      </c>
      <c r="C20" s="229" t="str">
        <f t="shared" si="3"/>
        <v>L62X38_015#000_04</v>
      </c>
      <c r="D20" s="43">
        <f t="shared" si="5"/>
        <v>37.5</v>
      </c>
      <c r="E20" s="61">
        <f t="shared" si="5"/>
        <v>4.125</v>
      </c>
      <c r="F20" s="44">
        <f t="shared" si="5"/>
        <v>11</v>
      </c>
      <c r="G20" s="44">
        <f t="shared" si="0"/>
        <v>8.8000000000000007</v>
      </c>
      <c r="H20" s="44">
        <f t="shared" si="1"/>
        <v>5.5</v>
      </c>
      <c r="I20" s="44">
        <f t="shared" si="5"/>
        <v>8</v>
      </c>
      <c r="J20" s="199">
        <f t="shared" si="12"/>
        <v>15</v>
      </c>
      <c r="K20" s="37" t="str">
        <f>D20&amp;-4</f>
        <v>37.5-4</v>
      </c>
      <c r="L20" s="44">
        <f t="shared" si="6"/>
        <v>0.11</v>
      </c>
      <c r="M20" s="44">
        <f t="shared" si="6"/>
        <v>150</v>
      </c>
      <c r="N20" s="44">
        <f t="shared" si="6"/>
        <v>750</v>
      </c>
    </row>
    <row r="21" spans="1:14" x14ac:dyDescent="0.25">
      <c r="A21" s="229">
        <f t="shared" ref="A21:B21" si="15">A20+1</f>
        <v>3738</v>
      </c>
      <c r="B21" s="230">
        <f t="shared" si="15"/>
        <v>11</v>
      </c>
      <c r="C21" s="229" t="str">
        <f t="shared" si="3"/>
        <v>L62X38_015#000_05</v>
      </c>
      <c r="D21" s="43">
        <f t="shared" si="5"/>
        <v>37.5</v>
      </c>
      <c r="E21" s="61">
        <f t="shared" si="5"/>
        <v>4.125</v>
      </c>
      <c r="F21" s="44">
        <f t="shared" si="5"/>
        <v>11</v>
      </c>
      <c r="G21" s="44">
        <f t="shared" si="0"/>
        <v>8.8000000000000007</v>
      </c>
      <c r="H21" s="44">
        <f t="shared" si="1"/>
        <v>5.5</v>
      </c>
      <c r="I21" s="44">
        <f t="shared" si="5"/>
        <v>8</v>
      </c>
      <c r="J21" s="199">
        <f t="shared" si="12"/>
        <v>15</v>
      </c>
      <c r="K21" s="37" t="str">
        <f>D21&amp;-5</f>
        <v>37.5-5</v>
      </c>
      <c r="L21" s="44">
        <f t="shared" si="6"/>
        <v>0.11</v>
      </c>
      <c r="M21" s="44">
        <f t="shared" si="6"/>
        <v>150</v>
      </c>
      <c r="N21" s="44">
        <f t="shared" si="6"/>
        <v>750</v>
      </c>
    </row>
    <row r="22" spans="1:14" x14ac:dyDescent="0.25">
      <c r="A22" s="229">
        <f t="shared" ref="A22:B22" si="16">A21+1</f>
        <v>3739</v>
      </c>
      <c r="B22" s="230">
        <f t="shared" si="16"/>
        <v>12</v>
      </c>
      <c r="C22" s="229" t="str">
        <f t="shared" si="3"/>
        <v>L62X38_015#000_06</v>
      </c>
      <c r="D22" s="43">
        <f t="shared" si="5"/>
        <v>37.5</v>
      </c>
      <c r="E22" s="61">
        <f t="shared" si="5"/>
        <v>4.125</v>
      </c>
      <c r="F22" s="44">
        <f t="shared" si="5"/>
        <v>11</v>
      </c>
      <c r="G22" s="44">
        <f t="shared" si="0"/>
        <v>8.8000000000000007</v>
      </c>
      <c r="H22" s="44">
        <f t="shared" si="1"/>
        <v>5.5</v>
      </c>
      <c r="I22" s="44">
        <f t="shared" si="5"/>
        <v>8</v>
      </c>
      <c r="J22" s="199">
        <f t="shared" si="12"/>
        <v>15</v>
      </c>
      <c r="K22" s="37" t="str">
        <f>D22&amp;-6</f>
        <v>37.5-6</v>
      </c>
      <c r="L22" s="44">
        <f t="shared" si="6"/>
        <v>0.11</v>
      </c>
      <c r="M22" s="44">
        <f t="shared" si="6"/>
        <v>150</v>
      </c>
      <c r="N22" s="44">
        <f t="shared" si="6"/>
        <v>750</v>
      </c>
    </row>
    <row r="23" spans="1:14" x14ac:dyDescent="0.25">
      <c r="A23" s="229">
        <f t="shared" ref="A23:B23" si="17">A22+1</f>
        <v>3740</v>
      </c>
      <c r="B23" s="230">
        <f t="shared" si="17"/>
        <v>13</v>
      </c>
      <c r="C23" s="229" t="str">
        <f t="shared" si="3"/>
        <v>L62X38_025#000_01</v>
      </c>
      <c r="D23" s="43">
        <f t="shared" si="5"/>
        <v>37.5</v>
      </c>
      <c r="E23" s="61">
        <f t="shared" si="5"/>
        <v>4.125</v>
      </c>
      <c r="F23" s="44">
        <f t="shared" si="5"/>
        <v>11</v>
      </c>
      <c r="G23" s="44">
        <f t="shared" si="0"/>
        <v>8.8000000000000007</v>
      </c>
      <c r="H23" s="44">
        <f t="shared" si="1"/>
        <v>5.5</v>
      </c>
      <c r="I23" s="44">
        <f t="shared" si="5"/>
        <v>8</v>
      </c>
      <c r="J23" s="199">
        <f t="shared" si="12"/>
        <v>25</v>
      </c>
      <c r="K23" s="37" t="str">
        <f>D23&amp;-1</f>
        <v>37.5-1</v>
      </c>
      <c r="L23" s="44">
        <f t="shared" si="6"/>
        <v>0.11</v>
      </c>
      <c r="M23" s="44">
        <f t="shared" si="6"/>
        <v>150</v>
      </c>
      <c r="N23" s="44">
        <f t="shared" si="6"/>
        <v>750</v>
      </c>
    </row>
    <row r="24" spans="1:14" x14ac:dyDescent="0.25">
      <c r="A24" s="229">
        <f t="shared" ref="A24:B24" si="18">A23+1</f>
        <v>3741</v>
      </c>
      <c r="B24" s="230">
        <f t="shared" si="18"/>
        <v>14</v>
      </c>
      <c r="C24" s="229" t="str">
        <f t="shared" si="3"/>
        <v>L62X38_025#000_02</v>
      </c>
      <c r="D24" s="43">
        <f t="shared" si="5"/>
        <v>37.5</v>
      </c>
      <c r="E24" s="61">
        <f t="shared" si="5"/>
        <v>4.125</v>
      </c>
      <c r="F24" s="44">
        <f t="shared" si="5"/>
        <v>11</v>
      </c>
      <c r="G24" s="44">
        <f t="shared" si="0"/>
        <v>8.8000000000000007</v>
      </c>
      <c r="H24" s="44">
        <f t="shared" si="1"/>
        <v>5.5</v>
      </c>
      <c r="I24" s="44">
        <f t="shared" si="5"/>
        <v>8</v>
      </c>
      <c r="J24" s="199">
        <f t="shared" si="12"/>
        <v>25</v>
      </c>
      <c r="K24" s="37" t="str">
        <f>D24&amp;-2</f>
        <v>37.5-2</v>
      </c>
      <c r="L24" s="44">
        <f t="shared" si="6"/>
        <v>0.11</v>
      </c>
      <c r="M24" s="44">
        <f t="shared" si="6"/>
        <v>150</v>
      </c>
      <c r="N24" s="44">
        <f t="shared" si="6"/>
        <v>750</v>
      </c>
    </row>
    <row r="25" spans="1:14" x14ac:dyDescent="0.25">
      <c r="A25" s="229">
        <f t="shared" ref="A25:B25" si="19">A24+1</f>
        <v>3742</v>
      </c>
      <c r="B25" s="230">
        <f t="shared" si="19"/>
        <v>15</v>
      </c>
      <c r="C25" s="229" t="str">
        <f t="shared" si="3"/>
        <v>L62X38_025#000_03</v>
      </c>
      <c r="D25" s="43">
        <f t="shared" si="5"/>
        <v>37.5</v>
      </c>
      <c r="E25" s="61">
        <f t="shared" si="5"/>
        <v>4.125</v>
      </c>
      <c r="F25" s="44">
        <f t="shared" si="5"/>
        <v>11</v>
      </c>
      <c r="G25" s="44">
        <f t="shared" si="0"/>
        <v>8.8000000000000007</v>
      </c>
      <c r="H25" s="44">
        <f t="shared" si="1"/>
        <v>5.5</v>
      </c>
      <c r="I25" s="44">
        <f t="shared" si="5"/>
        <v>8</v>
      </c>
      <c r="J25" s="199">
        <f t="shared" si="12"/>
        <v>25</v>
      </c>
      <c r="K25" s="37" t="str">
        <f>D25&amp;-3</f>
        <v>37.5-3</v>
      </c>
      <c r="L25" s="44">
        <f t="shared" si="6"/>
        <v>0.11</v>
      </c>
      <c r="M25" s="44">
        <f t="shared" si="6"/>
        <v>150</v>
      </c>
      <c r="N25" s="44">
        <f t="shared" si="6"/>
        <v>750</v>
      </c>
    </row>
    <row r="26" spans="1:14" x14ac:dyDescent="0.25">
      <c r="A26" s="229">
        <f t="shared" ref="A26:B26" si="20">A25+1</f>
        <v>3743</v>
      </c>
      <c r="B26" s="230">
        <f t="shared" si="20"/>
        <v>16</v>
      </c>
      <c r="C26" s="229" t="str">
        <f t="shared" si="3"/>
        <v>L62X38_025#000_04</v>
      </c>
      <c r="D26" s="43">
        <f t="shared" si="5"/>
        <v>37.5</v>
      </c>
      <c r="E26" s="61">
        <f t="shared" si="5"/>
        <v>4.125</v>
      </c>
      <c r="F26" s="44">
        <f t="shared" si="5"/>
        <v>11</v>
      </c>
      <c r="G26" s="44">
        <f t="shared" si="0"/>
        <v>8.8000000000000007</v>
      </c>
      <c r="H26" s="44">
        <f t="shared" si="1"/>
        <v>5.5</v>
      </c>
      <c r="I26" s="44">
        <f t="shared" si="5"/>
        <v>8</v>
      </c>
      <c r="J26" s="199">
        <f t="shared" si="12"/>
        <v>25</v>
      </c>
      <c r="K26" s="37" t="str">
        <f>D26&amp;-4</f>
        <v>37.5-4</v>
      </c>
      <c r="L26" s="44">
        <f t="shared" si="6"/>
        <v>0.11</v>
      </c>
      <c r="M26" s="44">
        <f t="shared" si="6"/>
        <v>150</v>
      </c>
      <c r="N26" s="44">
        <f t="shared" si="6"/>
        <v>750</v>
      </c>
    </row>
    <row r="27" spans="1:14" x14ac:dyDescent="0.25">
      <c r="A27" s="229">
        <f t="shared" ref="A27:B27" si="21">A26+1</f>
        <v>3744</v>
      </c>
      <c r="B27" s="230">
        <f t="shared" si="21"/>
        <v>17</v>
      </c>
      <c r="C27" s="229" t="str">
        <f t="shared" si="3"/>
        <v>L62X38_025#000_05</v>
      </c>
      <c r="D27" s="43">
        <f t="shared" si="5"/>
        <v>37.5</v>
      </c>
      <c r="E27" s="61">
        <f t="shared" si="5"/>
        <v>4.125</v>
      </c>
      <c r="F27" s="44">
        <f t="shared" si="5"/>
        <v>11</v>
      </c>
      <c r="G27" s="44">
        <f t="shared" si="0"/>
        <v>8.8000000000000007</v>
      </c>
      <c r="H27" s="44">
        <f t="shared" si="1"/>
        <v>5.5</v>
      </c>
      <c r="I27" s="44">
        <f t="shared" si="5"/>
        <v>8</v>
      </c>
      <c r="J27" s="199">
        <f t="shared" si="12"/>
        <v>25</v>
      </c>
      <c r="K27" s="37" t="str">
        <f>D27&amp;-5</f>
        <v>37.5-5</v>
      </c>
      <c r="L27" s="44">
        <f t="shared" si="6"/>
        <v>0.11</v>
      </c>
      <c r="M27" s="44">
        <f t="shared" si="6"/>
        <v>150</v>
      </c>
      <c r="N27" s="44">
        <f t="shared" si="6"/>
        <v>750</v>
      </c>
    </row>
    <row r="28" spans="1:14" x14ac:dyDescent="0.25">
      <c r="A28" s="229">
        <f t="shared" ref="A28:B28" si="22">A27+1</f>
        <v>3745</v>
      </c>
      <c r="B28" s="230">
        <f t="shared" si="22"/>
        <v>18</v>
      </c>
      <c r="C28" s="229" t="str">
        <f t="shared" si="3"/>
        <v>L62X38_025#000_06</v>
      </c>
      <c r="D28" s="43">
        <f t="shared" si="5"/>
        <v>37.5</v>
      </c>
      <c r="E28" s="61">
        <f t="shared" si="5"/>
        <v>4.125</v>
      </c>
      <c r="F28" s="44">
        <f t="shared" si="5"/>
        <v>11</v>
      </c>
      <c r="G28" s="44">
        <f t="shared" si="0"/>
        <v>8.8000000000000007</v>
      </c>
      <c r="H28" s="44">
        <f t="shared" si="1"/>
        <v>5.5</v>
      </c>
      <c r="I28" s="44">
        <f t="shared" si="5"/>
        <v>8</v>
      </c>
      <c r="J28" s="199">
        <f t="shared" si="12"/>
        <v>25</v>
      </c>
      <c r="K28" s="37" t="str">
        <f>D28&amp;-6</f>
        <v>37.5-6</v>
      </c>
      <c r="L28" s="44">
        <f t="shared" si="6"/>
        <v>0.11</v>
      </c>
      <c r="M28" s="44">
        <f t="shared" si="6"/>
        <v>150</v>
      </c>
      <c r="N28" s="44">
        <f t="shared" si="6"/>
        <v>750</v>
      </c>
    </row>
    <row r="29" spans="1:14" x14ac:dyDescent="0.25">
      <c r="A29" s="229">
        <f t="shared" ref="A29:B29" si="23">A28+1</f>
        <v>3746</v>
      </c>
      <c r="B29" s="230">
        <f t="shared" si="23"/>
        <v>19</v>
      </c>
      <c r="C29" s="229" t="str">
        <f t="shared" si="3"/>
        <v>L62X38_035#000_01</v>
      </c>
      <c r="D29" s="43">
        <f t="shared" ref="D29:F29" si="24">D28</f>
        <v>37.5</v>
      </c>
      <c r="E29" s="61">
        <f t="shared" si="24"/>
        <v>4.125</v>
      </c>
      <c r="F29" s="44">
        <f t="shared" si="24"/>
        <v>11</v>
      </c>
      <c r="G29" s="44">
        <f t="shared" ref="G29:G52" si="25">m_ty*F29</f>
        <v>8.8000000000000007</v>
      </c>
      <c r="H29" s="44">
        <f t="shared" ref="H29:H52" si="26">m_tz*F29</f>
        <v>5.5</v>
      </c>
      <c r="I29" s="44">
        <f t="shared" ref="I29" si="27">I28</f>
        <v>8</v>
      </c>
      <c r="J29" s="199">
        <f t="shared" si="12"/>
        <v>35</v>
      </c>
      <c r="K29" s="37" t="str">
        <f>D29&amp;-1</f>
        <v>37.5-1</v>
      </c>
      <c r="L29" s="44">
        <f t="shared" ref="L29:N29" si="28">L28</f>
        <v>0.11</v>
      </c>
      <c r="M29" s="44">
        <f t="shared" si="28"/>
        <v>150</v>
      </c>
      <c r="N29" s="44">
        <f t="shared" si="28"/>
        <v>750</v>
      </c>
    </row>
    <row r="30" spans="1:14" x14ac:dyDescent="0.25">
      <c r="A30" s="229">
        <f t="shared" ref="A30:B30" si="29">A29+1</f>
        <v>3747</v>
      </c>
      <c r="B30" s="230">
        <f t="shared" si="29"/>
        <v>20</v>
      </c>
      <c r="C30" s="229" t="str">
        <f t="shared" si="3"/>
        <v>L62X38_035#000_02</v>
      </c>
      <c r="D30" s="43">
        <f t="shared" ref="D30:F30" si="30">D29</f>
        <v>37.5</v>
      </c>
      <c r="E30" s="61">
        <f t="shared" si="30"/>
        <v>4.125</v>
      </c>
      <c r="F30" s="44">
        <f t="shared" si="30"/>
        <v>11</v>
      </c>
      <c r="G30" s="44">
        <f t="shared" si="25"/>
        <v>8.8000000000000007</v>
      </c>
      <c r="H30" s="44">
        <f t="shared" si="26"/>
        <v>5.5</v>
      </c>
      <c r="I30" s="44">
        <f t="shared" ref="I30" si="31">I29</f>
        <v>8</v>
      </c>
      <c r="J30" s="199">
        <f t="shared" si="12"/>
        <v>35</v>
      </c>
      <c r="K30" s="37" t="str">
        <f>D30&amp;-2</f>
        <v>37.5-2</v>
      </c>
      <c r="L30" s="44">
        <f t="shared" ref="L30:N30" si="32">L29</f>
        <v>0.11</v>
      </c>
      <c r="M30" s="44">
        <f t="shared" si="32"/>
        <v>150</v>
      </c>
      <c r="N30" s="44">
        <f t="shared" si="32"/>
        <v>750</v>
      </c>
    </row>
    <row r="31" spans="1:14" x14ac:dyDescent="0.25">
      <c r="A31" s="229">
        <f t="shared" ref="A31:B31" si="33">A30+1</f>
        <v>3748</v>
      </c>
      <c r="B31" s="230">
        <f t="shared" si="33"/>
        <v>21</v>
      </c>
      <c r="C31" s="229" t="str">
        <f t="shared" si="3"/>
        <v>L62X38_035#000_03</v>
      </c>
      <c r="D31" s="43">
        <f t="shared" ref="D31:F31" si="34">D30</f>
        <v>37.5</v>
      </c>
      <c r="E31" s="61">
        <f t="shared" si="34"/>
        <v>4.125</v>
      </c>
      <c r="F31" s="44">
        <f t="shared" si="34"/>
        <v>11</v>
      </c>
      <c r="G31" s="44">
        <f t="shared" si="25"/>
        <v>8.8000000000000007</v>
      </c>
      <c r="H31" s="44">
        <f t="shared" si="26"/>
        <v>5.5</v>
      </c>
      <c r="I31" s="44">
        <f t="shared" ref="I31" si="35">I30</f>
        <v>8</v>
      </c>
      <c r="J31" s="199">
        <f t="shared" si="12"/>
        <v>35</v>
      </c>
      <c r="K31" s="37" t="str">
        <f>D31&amp;-3</f>
        <v>37.5-3</v>
      </c>
      <c r="L31" s="44">
        <f t="shared" ref="L31:N31" si="36">L30</f>
        <v>0.11</v>
      </c>
      <c r="M31" s="44">
        <f t="shared" si="36"/>
        <v>150</v>
      </c>
      <c r="N31" s="44">
        <f t="shared" si="36"/>
        <v>750</v>
      </c>
    </row>
    <row r="32" spans="1:14" x14ac:dyDescent="0.25">
      <c r="A32" s="229">
        <f t="shared" ref="A32:B32" si="37">A31+1</f>
        <v>3749</v>
      </c>
      <c r="B32" s="230">
        <f t="shared" si="37"/>
        <v>22</v>
      </c>
      <c r="C32" s="229" t="str">
        <f t="shared" si="3"/>
        <v>L62X38_035#000_04</v>
      </c>
      <c r="D32" s="43">
        <f t="shared" ref="D32:F32" si="38">D31</f>
        <v>37.5</v>
      </c>
      <c r="E32" s="61">
        <f t="shared" si="38"/>
        <v>4.125</v>
      </c>
      <c r="F32" s="44">
        <f t="shared" si="38"/>
        <v>11</v>
      </c>
      <c r="G32" s="44">
        <f t="shared" si="25"/>
        <v>8.8000000000000007</v>
      </c>
      <c r="H32" s="44">
        <f t="shared" si="26"/>
        <v>5.5</v>
      </c>
      <c r="I32" s="44">
        <f t="shared" ref="I32" si="39">I31</f>
        <v>8</v>
      </c>
      <c r="J32" s="199">
        <f t="shared" si="12"/>
        <v>35</v>
      </c>
      <c r="K32" s="37" t="str">
        <f>D32&amp;-4</f>
        <v>37.5-4</v>
      </c>
      <c r="L32" s="44">
        <f t="shared" ref="L32:N32" si="40">L31</f>
        <v>0.11</v>
      </c>
      <c r="M32" s="44">
        <f t="shared" si="40"/>
        <v>150</v>
      </c>
      <c r="N32" s="44">
        <f t="shared" si="40"/>
        <v>750</v>
      </c>
    </row>
    <row r="33" spans="1:14" x14ac:dyDescent="0.25">
      <c r="A33" s="229">
        <f t="shared" ref="A33:B33" si="41">A32+1</f>
        <v>3750</v>
      </c>
      <c r="B33" s="230">
        <f t="shared" si="41"/>
        <v>23</v>
      </c>
      <c r="C33" s="229" t="str">
        <f t="shared" si="3"/>
        <v>L62X38_035#000_05</v>
      </c>
      <c r="D33" s="43">
        <f t="shared" ref="D33:F33" si="42">D32</f>
        <v>37.5</v>
      </c>
      <c r="E33" s="61">
        <f t="shared" si="42"/>
        <v>4.125</v>
      </c>
      <c r="F33" s="44">
        <f t="shared" si="42"/>
        <v>11</v>
      </c>
      <c r="G33" s="44">
        <f t="shared" si="25"/>
        <v>8.8000000000000007</v>
      </c>
      <c r="H33" s="44">
        <f t="shared" si="26"/>
        <v>5.5</v>
      </c>
      <c r="I33" s="44">
        <f t="shared" ref="I33" si="43">I32</f>
        <v>8</v>
      </c>
      <c r="J33" s="199">
        <f t="shared" si="12"/>
        <v>35</v>
      </c>
      <c r="K33" s="37" t="str">
        <f>D33&amp;-5</f>
        <v>37.5-5</v>
      </c>
      <c r="L33" s="44">
        <f t="shared" ref="L33:N33" si="44">L32</f>
        <v>0.11</v>
      </c>
      <c r="M33" s="44">
        <f t="shared" si="44"/>
        <v>150</v>
      </c>
      <c r="N33" s="44">
        <f t="shared" si="44"/>
        <v>750</v>
      </c>
    </row>
    <row r="34" spans="1:14" x14ac:dyDescent="0.25">
      <c r="A34" s="229">
        <f t="shared" ref="A34:B34" si="45">A33+1</f>
        <v>3751</v>
      </c>
      <c r="B34" s="230">
        <f t="shared" si="45"/>
        <v>24</v>
      </c>
      <c r="C34" s="229" t="str">
        <f t="shared" si="3"/>
        <v>L62X38_035#000_06</v>
      </c>
      <c r="D34" s="43">
        <f t="shared" ref="D34:F34" si="46">D33</f>
        <v>37.5</v>
      </c>
      <c r="E34" s="61">
        <f t="shared" si="46"/>
        <v>4.125</v>
      </c>
      <c r="F34" s="44">
        <f t="shared" si="46"/>
        <v>11</v>
      </c>
      <c r="G34" s="44">
        <f t="shared" si="25"/>
        <v>8.8000000000000007</v>
      </c>
      <c r="H34" s="44">
        <f t="shared" si="26"/>
        <v>5.5</v>
      </c>
      <c r="I34" s="44">
        <f t="shared" ref="I34" si="47">I33</f>
        <v>8</v>
      </c>
      <c r="J34" s="199">
        <f t="shared" si="12"/>
        <v>35</v>
      </c>
      <c r="K34" s="37" t="str">
        <f>D34&amp;-6</f>
        <v>37.5-6</v>
      </c>
      <c r="L34" s="44">
        <f t="shared" ref="L34:N34" si="48">L33</f>
        <v>0.11</v>
      </c>
      <c r="M34" s="44">
        <f t="shared" si="48"/>
        <v>150</v>
      </c>
      <c r="N34" s="44">
        <f t="shared" si="48"/>
        <v>750</v>
      </c>
    </row>
    <row r="35" spans="1:14" x14ac:dyDescent="0.25">
      <c r="A35" s="229">
        <f t="shared" ref="A35:B35" si="49">A34+1</f>
        <v>3752</v>
      </c>
      <c r="B35" s="230">
        <f t="shared" si="49"/>
        <v>25</v>
      </c>
      <c r="C35" s="229" t="str">
        <f t="shared" si="3"/>
        <v>L62X38_045#000_01</v>
      </c>
      <c r="D35" s="43">
        <f t="shared" ref="D35:F35" si="50">D34</f>
        <v>37.5</v>
      </c>
      <c r="E35" s="61">
        <f t="shared" si="50"/>
        <v>4.125</v>
      </c>
      <c r="F35" s="44">
        <f t="shared" si="50"/>
        <v>11</v>
      </c>
      <c r="G35" s="44">
        <f t="shared" si="25"/>
        <v>8.8000000000000007</v>
      </c>
      <c r="H35" s="44">
        <f t="shared" si="26"/>
        <v>5.5</v>
      </c>
      <c r="I35" s="44">
        <f t="shared" ref="I35" si="51">I34</f>
        <v>8</v>
      </c>
      <c r="J35" s="199">
        <f t="shared" si="12"/>
        <v>45</v>
      </c>
      <c r="K35" s="37" t="str">
        <f>D35&amp;-1</f>
        <v>37.5-1</v>
      </c>
      <c r="L35" s="44">
        <f t="shared" ref="L35:N35" si="52">L34</f>
        <v>0.11</v>
      </c>
      <c r="M35" s="44">
        <f t="shared" si="52"/>
        <v>150</v>
      </c>
      <c r="N35" s="44">
        <f t="shared" si="52"/>
        <v>750</v>
      </c>
    </row>
    <row r="36" spans="1:14" x14ac:dyDescent="0.25">
      <c r="A36" s="229">
        <f t="shared" ref="A36:B36" si="53">A35+1</f>
        <v>3753</v>
      </c>
      <c r="B36" s="230">
        <f t="shared" si="53"/>
        <v>26</v>
      </c>
      <c r="C36" s="229" t="str">
        <f t="shared" si="3"/>
        <v>L62X38_045#000_02</v>
      </c>
      <c r="D36" s="43">
        <f t="shared" ref="D36:F36" si="54">D35</f>
        <v>37.5</v>
      </c>
      <c r="E36" s="61">
        <f t="shared" si="54"/>
        <v>4.125</v>
      </c>
      <c r="F36" s="44">
        <f t="shared" si="54"/>
        <v>11</v>
      </c>
      <c r="G36" s="44">
        <f t="shared" si="25"/>
        <v>8.8000000000000007</v>
      </c>
      <c r="H36" s="44">
        <f t="shared" si="26"/>
        <v>5.5</v>
      </c>
      <c r="I36" s="44">
        <f t="shared" ref="I36" si="55">I35</f>
        <v>8</v>
      </c>
      <c r="J36" s="199">
        <f t="shared" si="12"/>
        <v>45</v>
      </c>
      <c r="K36" s="37" t="str">
        <f>D36&amp;-2</f>
        <v>37.5-2</v>
      </c>
      <c r="L36" s="44">
        <f t="shared" ref="L36:N36" si="56">L35</f>
        <v>0.11</v>
      </c>
      <c r="M36" s="44">
        <f t="shared" si="56"/>
        <v>150</v>
      </c>
      <c r="N36" s="44">
        <f t="shared" si="56"/>
        <v>750</v>
      </c>
    </row>
    <row r="37" spans="1:14" x14ac:dyDescent="0.25">
      <c r="A37" s="229">
        <f t="shared" ref="A37:B37" si="57">A36+1</f>
        <v>3754</v>
      </c>
      <c r="B37" s="230">
        <f t="shared" si="57"/>
        <v>27</v>
      </c>
      <c r="C37" s="229" t="str">
        <f t="shared" si="3"/>
        <v>L62X38_045#000_03</v>
      </c>
      <c r="D37" s="43">
        <f t="shared" ref="D37:F37" si="58">D36</f>
        <v>37.5</v>
      </c>
      <c r="E37" s="61">
        <f t="shared" si="58"/>
        <v>4.125</v>
      </c>
      <c r="F37" s="44">
        <f t="shared" si="58"/>
        <v>11</v>
      </c>
      <c r="G37" s="44">
        <f t="shared" si="25"/>
        <v>8.8000000000000007</v>
      </c>
      <c r="H37" s="44">
        <f t="shared" si="26"/>
        <v>5.5</v>
      </c>
      <c r="I37" s="44">
        <f t="shared" ref="I37" si="59">I36</f>
        <v>8</v>
      </c>
      <c r="J37" s="199">
        <f t="shared" si="12"/>
        <v>45</v>
      </c>
      <c r="K37" s="37" t="str">
        <f>D37&amp;-3</f>
        <v>37.5-3</v>
      </c>
      <c r="L37" s="44">
        <f t="shared" ref="L37:N37" si="60">L36</f>
        <v>0.11</v>
      </c>
      <c r="M37" s="44">
        <f t="shared" si="60"/>
        <v>150</v>
      </c>
      <c r="N37" s="44">
        <f t="shared" si="60"/>
        <v>750</v>
      </c>
    </row>
    <row r="38" spans="1:14" x14ac:dyDescent="0.25">
      <c r="A38" s="229">
        <f t="shared" ref="A38:B38" si="61">A37+1</f>
        <v>3755</v>
      </c>
      <c r="B38" s="230">
        <f t="shared" si="61"/>
        <v>28</v>
      </c>
      <c r="C38" s="229" t="str">
        <f t="shared" si="3"/>
        <v>L62X38_045#000_04</v>
      </c>
      <c r="D38" s="43">
        <f t="shared" ref="D38:F38" si="62">D37</f>
        <v>37.5</v>
      </c>
      <c r="E38" s="61">
        <f t="shared" si="62"/>
        <v>4.125</v>
      </c>
      <c r="F38" s="44">
        <f t="shared" si="62"/>
        <v>11</v>
      </c>
      <c r="G38" s="44">
        <f t="shared" si="25"/>
        <v>8.8000000000000007</v>
      </c>
      <c r="H38" s="44">
        <f t="shared" si="26"/>
        <v>5.5</v>
      </c>
      <c r="I38" s="44">
        <f t="shared" ref="I38" si="63">I37</f>
        <v>8</v>
      </c>
      <c r="J38" s="199">
        <f t="shared" si="12"/>
        <v>45</v>
      </c>
      <c r="K38" s="37" t="str">
        <f>D38&amp;-4</f>
        <v>37.5-4</v>
      </c>
      <c r="L38" s="44">
        <f t="shared" ref="L38:N38" si="64">L37</f>
        <v>0.11</v>
      </c>
      <c r="M38" s="44">
        <f t="shared" si="64"/>
        <v>150</v>
      </c>
      <c r="N38" s="44">
        <f t="shared" si="64"/>
        <v>750</v>
      </c>
    </row>
    <row r="39" spans="1:14" x14ac:dyDescent="0.25">
      <c r="A39" s="229">
        <f t="shared" ref="A39:B39" si="65">A38+1</f>
        <v>3756</v>
      </c>
      <c r="B39" s="230">
        <f t="shared" si="65"/>
        <v>29</v>
      </c>
      <c r="C39" s="229" t="str">
        <f t="shared" si="3"/>
        <v>L62X38_045#000_05</v>
      </c>
      <c r="D39" s="43">
        <f t="shared" ref="D39:F39" si="66">D38</f>
        <v>37.5</v>
      </c>
      <c r="E39" s="61">
        <f t="shared" si="66"/>
        <v>4.125</v>
      </c>
      <c r="F39" s="44">
        <f t="shared" si="66"/>
        <v>11</v>
      </c>
      <c r="G39" s="44">
        <f t="shared" si="25"/>
        <v>8.8000000000000007</v>
      </c>
      <c r="H39" s="44">
        <f t="shared" si="26"/>
        <v>5.5</v>
      </c>
      <c r="I39" s="44">
        <f t="shared" ref="I39" si="67">I38</f>
        <v>8</v>
      </c>
      <c r="J39" s="199">
        <f t="shared" si="12"/>
        <v>45</v>
      </c>
      <c r="K39" s="37" t="str">
        <f>D39&amp;-5</f>
        <v>37.5-5</v>
      </c>
      <c r="L39" s="44">
        <f t="shared" ref="L39:N39" si="68">L38</f>
        <v>0.11</v>
      </c>
      <c r="M39" s="44">
        <f t="shared" si="68"/>
        <v>150</v>
      </c>
      <c r="N39" s="44">
        <f t="shared" si="68"/>
        <v>750</v>
      </c>
    </row>
    <row r="40" spans="1:14" x14ac:dyDescent="0.25">
      <c r="A40" s="229">
        <f t="shared" ref="A40:B40" si="69">A39+1</f>
        <v>3757</v>
      </c>
      <c r="B40" s="230">
        <f t="shared" si="69"/>
        <v>30</v>
      </c>
      <c r="C40" s="229" t="str">
        <f t="shared" si="3"/>
        <v>L62X38_045#000_06</v>
      </c>
      <c r="D40" s="43">
        <f t="shared" ref="D40:F40" si="70">D39</f>
        <v>37.5</v>
      </c>
      <c r="E40" s="61">
        <f t="shared" si="70"/>
        <v>4.125</v>
      </c>
      <c r="F40" s="44">
        <f t="shared" si="70"/>
        <v>11</v>
      </c>
      <c r="G40" s="44">
        <f t="shared" si="25"/>
        <v>8.8000000000000007</v>
      </c>
      <c r="H40" s="44">
        <f t="shared" si="26"/>
        <v>5.5</v>
      </c>
      <c r="I40" s="44">
        <f t="shared" ref="I40" si="71">I39</f>
        <v>8</v>
      </c>
      <c r="J40" s="199">
        <f t="shared" si="12"/>
        <v>45</v>
      </c>
      <c r="K40" s="37" t="str">
        <f>D40&amp;-6</f>
        <v>37.5-6</v>
      </c>
      <c r="L40" s="44">
        <f t="shared" ref="L40:N40" si="72">L39</f>
        <v>0.11</v>
      </c>
      <c r="M40" s="44">
        <f t="shared" si="72"/>
        <v>150</v>
      </c>
      <c r="N40" s="44">
        <f t="shared" si="72"/>
        <v>750</v>
      </c>
    </row>
    <row r="41" spans="1:14" x14ac:dyDescent="0.25">
      <c r="A41" s="229">
        <f t="shared" ref="A41:B41" si="73">A40+1</f>
        <v>3758</v>
      </c>
      <c r="B41" s="230">
        <f t="shared" si="73"/>
        <v>31</v>
      </c>
      <c r="C41" s="229" t="str">
        <f t="shared" si="3"/>
        <v>L62X38_055#000_01</v>
      </c>
      <c r="D41" s="43">
        <f t="shared" ref="D41:F41" si="74">D40</f>
        <v>37.5</v>
      </c>
      <c r="E41" s="61">
        <f t="shared" si="74"/>
        <v>4.125</v>
      </c>
      <c r="F41" s="44">
        <f t="shared" si="74"/>
        <v>11</v>
      </c>
      <c r="G41" s="44">
        <f t="shared" si="25"/>
        <v>8.8000000000000007</v>
      </c>
      <c r="H41" s="44">
        <f t="shared" si="26"/>
        <v>5.5</v>
      </c>
      <c r="I41" s="44">
        <f t="shared" ref="I41" si="75">I40</f>
        <v>8</v>
      </c>
      <c r="J41" s="199">
        <f t="shared" si="12"/>
        <v>55</v>
      </c>
      <c r="K41" s="37" t="str">
        <f>D41&amp;-1</f>
        <v>37.5-1</v>
      </c>
      <c r="L41" s="44">
        <f t="shared" ref="L41:N41" si="76">L40</f>
        <v>0.11</v>
      </c>
      <c r="M41" s="44">
        <f t="shared" si="76"/>
        <v>150</v>
      </c>
      <c r="N41" s="44">
        <f t="shared" si="76"/>
        <v>750</v>
      </c>
    </row>
    <row r="42" spans="1:14" x14ac:dyDescent="0.25">
      <c r="A42" s="229">
        <f t="shared" ref="A42:B42" si="77">A41+1</f>
        <v>3759</v>
      </c>
      <c r="B42" s="230">
        <f t="shared" si="77"/>
        <v>32</v>
      </c>
      <c r="C42" s="229" t="str">
        <f t="shared" si="3"/>
        <v>L62X38_055#000_02</v>
      </c>
      <c r="D42" s="43">
        <f t="shared" ref="D42:F42" si="78">D41</f>
        <v>37.5</v>
      </c>
      <c r="E42" s="61">
        <f t="shared" si="78"/>
        <v>4.125</v>
      </c>
      <c r="F42" s="44">
        <f t="shared" si="78"/>
        <v>11</v>
      </c>
      <c r="G42" s="44">
        <f t="shared" si="25"/>
        <v>8.8000000000000007</v>
      </c>
      <c r="H42" s="44">
        <f t="shared" si="26"/>
        <v>5.5</v>
      </c>
      <c r="I42" s="44">
        <f t="shared" ref="I42" si="79">I41</f>
        <v>8</v>
      </c>
      <c r="J42" s="199">
        <f t="shared" si="12"/>
        <v>55</v>
      </c>
      <c r="K42" s="37" t="str">
        <f>D42&amp;-2</f>
        <v>37.5-2</v>
      </c>
      <c r="L42" s="44">
        <f t="shared" ref="L42:N42" si="80">L41</f>
        <v>0.11</v>
      </c>
      <c r="M42" s="44">
        <f t="shared" si="80"/>
        <v>150</v>
      </c>
      <c r="N42" s="44">
        <f t="shared" si="80"/>
        <v>750</v>
      </c>
    </row>
    <row r="43" spans="1:14" x14ac:dyDescent="0.25">
      <c r="A43" s="229">
        <f t="shared" ref="A43:B43" si="81">A42+1</f>
        <v>3760</v>
      </c>
      <c r="B43" s="230">
        <f t="shared" si="81"/>
        <v>33</v>
      </c>
      <c r="C43" s="229" t="str">
        <f t="shared" si="3"/>
        <v>L62X38_055#000_03</v>
      </c>
      <c r="D43" s="43">
        <f t="shared" ref="D43:F43" si="82">D42</f>
        <v>37.5</v>
      </c>
      <c r="E43" s="61">
        <f t="shared" si="82"/>
        <v>4.125</v>
      </c>
      <c r="F43" s="44">
        <f t="shared" si="82"/>
        <v>11</v>
      </c>
      <c r="G43" s="44">
        <f t="shared" si="25"/>
        <v>8.8000000000000007</v>
      </c>
      <c r="H43" s="44">
        <f t="shared" si="26"/>
        <v>5.5</v>
      </c>
      <c r="I43" s="44">
        <f t="shared" ref="I43" si="83">I42</f>
        <v>8</v>
      </c>
      <c r="J43" s="199">
        <f t="shared" si="12"/>
        <v>55</v>
      </c>
      <c r="K43" s="37" t="str">
        <f>D43&amp;-3</f>
        <v>37.5-3</v>
      </c>
      <c r="L43" s="44">
        <f t="shared" ref="L43:N43" si="84">L42</f>
        <v>0.11</v>
      </c>
      <c r="M43" s="44">
        <f t="shared" si="84"/>
        <v>150</v>
      </c>
      <c r="N43" s="44">
        <f t="shared" si="84"/>
        <v>750</v>
      </c>
    </row>
    <row r="44" spans="1:14" x14ac:dyDescent="0.25">
      <c r="A44" s="229">
        <f t="shared" ref="A44:B44" si="85">A43+1</f>
        <v>3761</v>
      </c>
      <c r="B44" s="230">
        <f t="shared" si="85"/>
        <v>34</v>
      </c>
      <c r="C44" s="229" t="str">
        <f t="shared" si="3"/>
        <v>L62X38_055#000_04</v>
      </c>
      <c r="D44" s="43">
        <f t="shared" ref="D44:F44" si="86">D43</f>
        <v>37.5</v>
      </c>
      <c r="E44" s="61">
        <f t="shared" si="86"/>
        <v>4.125</v>
      </c>
      <c r="F44" s="44">
        <f t="shared" si="86"/>
        <v>11</v>
      </c>
      <c r="G44" s="44">
        <f t="shared" si="25"/>
        <v>8.8000000000000007</v>
      </c>
      <c r="H44" s="44">
        <f t="shared" si="26"/>
        <v>5.5</v>
      </c>
      <c r="I44" s="44">
        <f t="shared" ref="I44" si="87">I43</f>
        <v>8</v>
      </c>
      <c r="J44" s="199">
        <f t="shared" si="12"/>
        <v>55</v>
      </c>
      <c r="K44" s="37" t="str">
        <f>D44&amp;-4</f>
        <v>37.5-4</v>
      </c>
      <c r="L44" s="44">
        <f t="shared" ref="L44:N44" si="88">L43</f>
        <v>0.11</v>
      </c>
      <c r="M44" s="44">
        <f t="shared" si="88"/>
        <v>150</v>
      </c>
      <c r="N44" s="44">
        <f t="shared" si="88"/>
        <v>750</v>
      </c>
    </row>
    <row r="45" spans="1:14" x14ac:dyDescent="0.25">
      <c r="A45" s="229">
        <f t="shared" ref="A45:B45" si="89">A44+1</f>
        <v>3762</v>
      </c>
      <c r="B45" s="230">
        <f t="shared" si="89"/>
        <v>35</v>
      </c>
      <c r="C45" s="229" t="str">
        <f t="shared" si="3"/>
        <v>L62X38_055#000_05</v>
      </c>
      <c r="D45" s="43">
        <f t="shared" ref="D45:F45" si="90">D44</f>
        <v>37.5</v>
      </c>
      <c r="E45" s="61">
        <f t="shared" si="90"/>
        <v>4.125</v>
      </c>
      <c r="F45" s="44">
        <f t="shared" si="90"/>
        <v>11</v>
      </c>
      <c r="G45" s="44">
        <f t="shared" si="25"/>
        <v>8.8000000000000007</v>
      </c>
      <c r="H45" s="44">
        <f t="shared" si="26"/>
        <v>5.5</v>
      </c>
      <c r="I45" s="44">
        <f t="shared" ref="I45" si="91">I44</f>
        <v>8</v>
      </c>
      <c r="J45" s="199">
        <f t="shared" si="12"/>
        <v>55</v>
      </c>
      <c r="K45" s="37" t="str">
        <f>D45&amp;-5</f>
        <v>37.5-5</v>
      </c>
      <c r="L45" s="44">
        <f t="shared" ref="L45:N45" si="92">L44</f>
        <v>0.11</v>
      </c>
      <c r="M45" s="44">
        <f t="shared" si="92"/>
        <v>150</v>
      </c>
      <c r="N45" s="44">
        <f t="shared" si="92"/>
        <v>750</v>
      </c>
    </row>
    <row r="46" spans="1:14" x14ac:dyDescent="0.25">
      <c r="A46" s="229">
        <f t="shared" ref="A46:B46" si="93">A45+1</f>
        <v>3763</v>
      </c>
      <c r="B46" s="230">
        <f t="shared" si="93"/>
        <v>36</v>
      </c>
      <c r="C46" s="229" t="str">
        <f t="shared" si="3"/>
        <v>L62X38_055#000_06</v>
      </c>
      <c r="D46" s="43">
        <f t="shared" ref="D46:F46" si="94">D45</f>
        <v>37.5</v>
      </c>
      <c r="E46" s="61">
        <f t="shared" si="94"/>
        <v>4.125</v>
      </c>
      <c r="F46" s="44">
        <f t="shared" si="94"/>
        <v>11</v>
      </c>
      <c r="G46" s="44">
        <f t="shared" si="25"/>
        <v>8.8000000000000007</v>
      </c>
      <c r="H46" s="44">
        <f t="shared" si="26"/>
        <v>5.5</v>
      </c>
      <c r="I46" s="44">
        <f t="shared" ref="I46" si="95">I45</f>
        <v>8</v>
      </c>
      <c r="J46" s="199">
        <f t="shared" si="12"/>
        <v>55</v>
      </c>
      <c r="K46" s="37" t="str">
        <f>D46&amp;-6</f>
        <v>37.5-6</v>
      </c>
      <c r="L46" s="44">
        <f t="shared" ref="L46:N46" si="96">L45</f>
        <v>0.11</v>
      </c>
      <c r="M46" s="44">
        <f t="shared" si="96"/>
        <v>150</v>
      </c>
      <c r="N46" s="44">
        <f t="shared" si="96"/>
        <v>750</v>
      </c>
    </row>
    <row r="47" spans="1:14" x14ac:dyDescent="0.25">
      <c r="A47" s="229">
        <f t="shared" ref="A47:B47" si="97">A46+1</f>
        <v>3764</v>
      </c>
      <c r="B47" s="230">
        <f t="shared" si="97"/>
        <v>37</v>
      </c>
      <c r="C47" s="229" t="str">
        <f t="shared" si="3"/>
        <v>L62X38_065#000_01</v>
      </c>
      <c r="D47" s="43">
        <f t="shared" ref="D47:F47" si="98">D46</f>
        <v>37.5</v>
      </c>
      <c r="E47" s="61">
        <f t="shared" si="98"/>
        <v>4.125</v>
      </c>
      <c r="F47" s="44">
        <f t="shared" si="98"/>
        <v>11</v>
      </c>
      <c r="G47" s="44">
        <f t="shared" si="25"/>
        <v>8.8000000000000007</v>
      </c>
      <c r="H47" s="44">
        <f t="shared" si="26"/>
        <v>5.5</v>
      </c>
      <c r="I47" s="44">
        <f t="shared" ref="I47" si="99">I46</f>
        <v>8</v>
      </c>
      <c r="J47" s="199">
        <f t="shared" si="12"/>
        <v>65</v>
      </c>
      <c r="K47" s="37" t="str">
        <f>D47&amp;-1</f>
        <v>37.5-1</v>
      </c>
      <c r="L47" s="44">
        <f t="shared" ref="L47:N47" si="100">L46</f>
        <v>0.11</v>
      </c>
      <c r="M47" s="44">
        <f t="shared" si="100"/>
        <v>150</v>
      </c>
      <c r="N47" s="44">
        <f t="shared" si="100"/>
        <v>750</v>
      </c>
    </row>
    <row r="48" spans="1:14" x14ac:dyDescent="0.25">
      <c r="A48" s="229">
        <f t="shared" ref="A48:B48" si="101">A47+1</f>
        <v>3765</v>
      </c>
      <c r="B48" s="230">
        <f t="shared" si="101"/>
        <v>38</v>
      </c>
      <c r="C48" s="229" t="str">
        <f t="shared" si="3"/>
        <v>L62X38_065#000_02</v>
      </c>
      <c r="D48" s="43">
        <f t="shared" ref="D48:F48" si="102">D47</f>
        <v>37.5</v>
      </c>
      <c r="E48" s="61">
        <f t="shared" si="102"/>
        <v>4.125</v>
      </c>
      <c r="F48" s="44">
        <f t="shared" si="102"/>
        <v>11</v>
      </c>
      <c r="G48" s="44">
        <f t="shared" si="25"/>
        <v>8.8000000000000007</v>
      </c>
      <c r="H48" s="44">
        <f t="shared" si="26"/>
        <v>5.5</v>
      </c>
      <c r="I48" s="44">
        <f t="shared" ref="I48" si="103">I47</f>
        <v>8</v>
      </c>
      <c r="J48" s="199">
        <f t="shared" si="12"/>
        <v>65</v>
      </c>
      <c r="K48" s="37" t="str">
        <f>D48&amp;-2</f>
        <v>37.5-2</v>
      </c>
      <c r="L48" s="44">
        <f t="shared" ref="L48:N48" si="104">L47</f>
        <v>0.11</v>
      </c>
      <c r="M48" s="44">
        <f t="shared" si="104"/>
        <v>150</v>
      </c>
      <c r="N48" s="44">
        <f t="shared" si="104"/>
        <v>750</v>
      </c>
    </row>
    <row r="49" spans="1:14" x14ac:dyDescent="0.25">
      <c r="A49" s="229">
        <f t="shared" ref="A49:B49" si="105">A48+1</f>
        <v>3766</v>
      </c>
      <c r="B49" s="230">
        <f t="shared" si="105"/>
        <v>39</v>
      </c>
      <c r="C49" s="229" t="str">
        <f t="shared" si="3"/>
        <v>L62X38_065#000_03</v>
      </c>
      <c r="D49" s="43">
        <f t="shared" ref="D49:F49" si="106">D48</f>
        <v>37.5</v>
      </c>
      <c r="E49" s="61">
        <f t="shared" si="106"/>
        <v>4.125</v>
      </c>
      <c r="F49" s="44">
        <f t="shared" si="106"/>
        <v>11</v>
      </c>
      <c r="G49" s="44">
        <f t="shared" si="25"/>
        <v>8.8000000000000007</v>
      </c>
      <c r="H49" s="44">
        <f t="shared" si="26"/>
        <v>5.5</v>
      </c>
      <c r="I49" s="44">
        <f t="shared" ref="I49" si="107">I48</f>
        <v>8</v>
      </c>
      <c r="J49" s="199">
        <f t="shared" si="12"/>
        <v>65</v>
      </c>
      <c r="K49" s="37" t="str">
        <f>D49&amp;-3</f>
        <v>37.5-3</v>
      </c>
      <c r="L49" s="44">
        <f t="shared" ref="L49:N49" si="108">L48</f>
        <v>0.11</v>
      </c>
      <c r="M49" s="44">
        <f t="shared" si="108"/>
        <v>150</v>
      </c>
      <c r="N49" s="44">
        <f t="shared" si="108"/>
        <v>750</v>
      </c>
    </row>
    <row r="50" spans="1:14" x14ac:dyDescent="0.25">
      <c r="A50" s="229">
        <f t="shared" ref="A50:B50" si="109">A49+1</f>
        <v>3767</v>
      </c>
      <c r="B50" s="230">
        <f t="shared" si="109"/>
        <v>40</v>
      </c>
      <c r="C50" s="229" t="str">
        <f t="shared" si="3"/>
        <v>L62X38_065#000_04</v>
      </c>
      <c r="D50" s="43">
        <f t="shared" ref="D50:F50" si="110">D49</f>
        <v>37.5</v>
      </c>
      <c r="E50" s="61">
        <f t="shared" si="110"/>
        <v>4.125</v>
      </c>
      <c r="F50" s="44">
        <f t="shared" si="110"/>
        <v>11</v>
      </c>
      <c r="G50" s="44">
        <f t="shared" si="25"/>
        <v>8.8000000000000007</v>
      </c>
      <c r="H50" s="44">
        <f t="shared" si="26"/>
        <v>5.5</v>
      </c>
      <c r="I50" s="44">
        <f t="shared" ref="I50" si="111">I49</f>
        <v>8</v>
      </c>
      <c r="J50" s="199">
        <f t="shared" si="12"/>
        <v>65</v>
      </c>
      <c r="K50" s="37" t="str">
        <f>D50&amp;-4</f>
        <v>37.5-4</v>
      </c>
      <c r="L50" s="44">
        <f t="shared" ref="L50:N50" si="112">L49</f>
        <v>0.11</v>
      </c>
      <c r="M50" s="44">
        <f t="shared" si="112"/>
        <v>150</v>
      </c>
      <c r="N50" s="44">
        <f t="shared" si="112"/>
        <v>750</v>
      </c>
    </row>
    <row r="51" spans="1:14" x14ac:dyDescent="0.25">
      <c r="A51" s="229">
        <f t="shared" ref="A51:B51" si="113">A50+1</f>
        <v>3768</v>
      </c>
      <c r="B51" s="230">
        <f t="shared" si="113"/>
        <v>41</v>
      </c>
      <c r="C51" s="229" t="str">
        <f t="shared" si="3"/>
        <v>L62X38_065#000_05</v>
      </c>
      <c r="D51" s="43">
        <f t="shared" ref="D51:F51" si="114">D50</f>
        <v>37.5</v>
      </c>
      <c r="E51" s="61">
        <f t="shared" si="114"/>
        <v>4.125</v>
      </c>
      <c r="F51" s="44">
        <f t="shared" si="114"/>
        <v>11</v>
      </c>
      <c r="G51" s="44">
        <f t="shared" si="25"/>
        <v>8.8000000000000007</v>
      </c>
      <c r="H51" s="44">
        <f t="shared" si="26"/>
        <v>5.5</v>
      </c>
      <c r="I51" s="44">
        <f t="shared" ref="I51" si="115">I50</f>
        <v>8</v>
      </c>
      <c r="J51" s="199">
        <f t="shared" si="12"/>
        <v>65</v>
      </c>
      <c r="K51" s="37" t="str">
        <f>D51&amp;-5</f>
        <v>37.5-5</v>
      </c>
      <c r="L51" s="44">
        <f t="shared" ref="L51:N51" si="116">L50</f>
        <v>0.11</v>
      </c>
      <c r="M51" s="44">
        <f t="shared" si="116"/>
        <v>150</v>
      </c>
      <c r="N51" s="44">
        <f t="shared" si="116"/>
        <v>750</v>
      </c>
    </row>
    <row r="52" spans="1:14" x14ac:dyDescent="0.25">
      <c r="A52" s="229">
        <f t="shared" ref="A52:B52" si="117">A51+1</f>
        <v>3769</v>
      </c>
      <c r="B52" s="230">
        <f t="shared" si="117"/>
        <v>42</v>
      </c>
      <c r="C52" s="229" t="str">
        <f t="shared" si="3"/>
        <v>L62X38_065#000_06</v>
      </c>
      <c r="D52" s="43">
        <f t="shared" ref="D52:F52" si="118">D51</f>
        <v>37.5</v>
      </c>
      <c r="E52" s="61">
        <f t="shared" si="118"/>
        <v>4.125</v>
      </c>
      <c r="F52" s="44">
        <f t="shared" si="118"/>
        <v>11</v>
      </c>
      <c r="G52" s="44">
        <f t="shared" si="25"/>
        <v>8.8000000000000007</v>
      </c>
      <c r="H52" s="44">
        <f t="shared" si="26"/>
        <v>5.5</v>
      </c>
      <c r="I52" s="44">
        <f t="shared" ref="I52" si="119">I51</f>
        <v>8</v>
      </c>
      <c r="J52" s="199">
        <f t="shared" si="12"/>
        <v>65</v>
      </c>
      <c r="K52" s="37" t="str">
        <f>D52&amp;-6</f>
        <v>37.5-6</v>
      </c>
      <c r="L52" s="44">
        <f t="shared" ref="L52:N52" si="120">L51</f>
        <v>0.11</v>
      </c>
      <c r="M52" s="44">
        <f t="shared" si="120"/>
        <v>150</v>
      </c>
      <c r="N52" s="44">
        <f t="shared" si="120"/>
        <v>750</v>
      </c>
    </row>
    <row r="53" spans="1:14" x14ac:dyDescent="0.25">
      <c r="A53" s="229">
        <f t="shared" ref="A53:B53" si="121">A52+1</f>
        <v>3770</v>
      </c>
      <c r="B53" s="230">
        <f t="shared" si="121"/>
        <v>43</v>
      </c>
      <c r="C53" s="229" t="str">
        <f t="shared" si="3"/>
        <v>L62X38_075#000_01</v>
      </c>
      <c r="D53" s="43">
        <f t="shared" ref="D53:F53" si="122">D52</f>
        <v>37.5</v>
      </c>
      <c r="E53" s="61">
        <f t="shared" si="122"/>
        <v>4.125</v>
      </c>
      <c r="F53" s="44">
        <f t="shared" si="122"/>
        <v>11</v>
      </c>
      <c r="G53" s="44">
        <f t="shared" ref="G53:G70" si="123">m_ty*F53</f>
        <v>8.8000000000000007</v>
      </c>
      <c r="H53" s="44">
        <f t="shared" ref="H53:H70" si="124">m_tz*F53</f>
        <v>5.5</v>
      </c>
      <c r="I53" s="44">
        <f t="shared" ref="I53" si="125">I52</f>
        <v>8</v>
      </c>
      <c r="J53" s="199">
        <f t="shared" si="12"/>
        <v>75</v>
      </c>
      <c r="K53" s="37" t="str">
        <f>D53&amp;-1</f>
        <v>37.5-1</v>
      </c>
      <c r="L53" s="44">
        <f t="shared" ref="L53:N53" si="126">L52</f>
        <v>0.11</v>
      </c>
      <c r="M53" s="44">
        <f t="shared" si="126"/>
        <v>150</v>
      </c>
      <c r="N53" s="44">
        <f t="shared" si="126"/>
        <v>750</v>
      </c>
    </row>
    <row r="54" spans="1:14" x14ac:dyDescent="0.25">
      <c r="A54" s="229">
        <f t="shared" ref="A54:B54" si="127">A53+1</f>
        <v>3771</v>
      </c>
      <c r="B54" s="230">
        <f t="shared" si="127"/>
        <v>44</v>
      </c>
      <c r="C54" s="229" t="str">
        <f t="shared" si="3"/>
        <v>L62X38_075#000_02</v>
      </c>
      <c r="D54" s="43">
        <f t="shared" ref="D54:F54" si="128">D53</f>
        <v>37.5</v>
      </c>
      <c r="E54" s="61">
        <f t="shared" si="128"/>
        <v>4.125</v>
      </c>
      <c r="F54" s="44">
        <f t="shared" si="128"/>
        <v>11</v>
      </c>
      <c r="G54" s="44">
        <f t="shared" si="123"/>
        <v>8.8000000000000007</v>
      </c>
      <c r="H54" s="44">
        <f t="shared" si="124"/>
        <v>5.5</v>
      </c>
      <c r="I54" s="44">
        <f t="shared" ref="I54" si="129">I53</f>
        <v>8</v>
      </c>
      <c r="J54" s="199">
        <f t="shared" si="12"/>
        <v>75</v>
      </c>
      <c r="K54" s="37" t="str">
        <f>D54&amp;-2</f>
        <v>37.5-2</v>
      </c>
      <c r="L54" s="44">
        <f t="shared" ref="L54:N54" si="130">L53</f>
        <v>0.11</v>
      </c>
      <c r="M54" s="44">
        <f t="shared" si="130"/>
        <v>150</v>
      </c>
      <c r="N54" s="44">
        <f t="shared" si="130"/>
        <v>750</v>
      </c>
    </row>
    <row r="55" spans="1:14" x14ac:dyDescent="0.25">
      <c r="A55" s="229">
        <f t="shared" ref="A55:B55" si="131">A54+1</f>
        <v>3772</v>
      </c>
      <c r="B55" s="230">
        <f t="shared" si="131"/>
        <v>45</v>
      </c>
      <c r="C55" s="229" t="str">
        <f t="shared" si="3"/>
        <v>L62X38_075#000_03</v>
      </c>
      <c r="D55" s="43">
        <f t="shared" ref="D55:F55" si="132">D54</f>
        <v>37.5</v>
      </c>
      <c r="E55" s="61">
        <f t="shared" si="132"/>
        <v>4.125</v>
      </c>
      <c r="F55" s="44">
        <f t="shared" si="132"/>
        <v>11</v>
      </c>
      <c r="G55" s="44">
        <f t="shared" si="123"/>
        <v>8.8000000000000007</v>
      </c>
      <c r="H55" s="44">
        <f t="shared" si="124"/>
        <v>5.5</v>
      </c>
      <c r="I55" s="44">
        <f t="shared" ref="I55" si="133">I54</f>
        <v>8</v>
      </c>
      <c r="J55" s="199">
        <f t="shared" si="12"/>
        <v>75</v>
      </c>
      <c r="K55" s="37" t="str">
        <f>D55&amp;-3</f>
        <v>37.5-3</v>
      </c>
      <c r="L55" s="44">
        <f t="shared" ref="L55:N55" si="134">L54</f>
        <v>0.11</v>
      </c>
      <c r="M55" s="44">
        <f t="shared" si="134"/>
        <v>150</v>
      </c>
      <c r="N55" s="44">
        <f t="shared" si="134"/>
        <v>750</v>
      </c>
    </row>
    <row r="56" spans="1:14" x14ac:dyDescent="0.25">
      <c r="A56" s="229">
        <f t="shared" ref="A56:B56" si="135">A55+1</f>
        <v>3773</v>
      </c>
      <c r="B56" s="230">
        <f t="shared" si="135"/>
        <v>46</v>
      </c>
      <c r="C56" s="229" t="str">
        <f t="shared" si="3"/>
        <v>L62X38_075#000_04</v>
      </c>
      <c r="D56" s="43">
        <f t="shared" ref="D56:F56" si="136">D55</f>
        <v>37.5</v>
      </c>
      <c r="E56" s="61">
        <f t="shared" si="136"/>
        <v>4.125</v>
      </c>
      <c r="F56" s="44">
        <f t="shared" si="136"/>
        <v>11</v>
      </c>
      <c r="G56" s="44">
        <f t="shared" si="123"/>
        <v>8.8000000000000007</v>
      </c>
      <c r="H56" s="44">
        <f t="shared" si="124"/>
        <v>5.5</v>
      </c>
      <c r="I56" s="44">
        <f t="shared" ref="I56" si="137">I55</f>
        <v>8</v>
      </c>
      <c r="J56" s="199">
        <f t="shared" si="12"/>
        <v>75</v>
      </c>
      <c r="K56" s="37" t="str">
        <f>D56&amp;-4</f>
        <v>37.5-4</v>
      </c>
      <c r="L56" s="44">
        <f t="shared" ref="L56:N56" si="138">L55</f>
        <v>0.11</v>
      </c>
      <c r="M56" s="44">
        <f t="shared" si="138"/>
        <v>150</v>
      </c>
      <c r="N56" s="44">
        <f t="shared" si="138"/>
        <v>750</v>
      </c>
    </row>
    <row r="57" spans="1:14" x14ac:dyDescent="0.25">
      <c r="A57" s="229">
        <f t="shared" ref="A57:B57" si="139">A56+1</f>
        <v>3774</v>
      </c>
      <c r="B57" s="230">
        <f t="shared" si="139"/>
        <v>47</v>
      </c>
      <c r="C57" s="229" t="str">
        <f t="shared" si="3"/>
        <v>L62X38_075#000_05</v>
      </c>
      <c r="D57" s="43">
        <f t="shared" ref="D57:F57" si="140">D56</f>
        <v>37.5</v>
      </c>
      <c r="E57" s="61">
        <f t="shared" si="140"/>
        <v>4.125</v>
      </c>
      <c r="F57" s="44">
        <f t="shared" si="140"/>
        <v>11</v>
      </c>
      <c r="G57" s="44">
        <f t="shared" si="123"/>
        <v>8.8000000000000007</v>
      </c>
      <c r="H57" s="44">
        <f t="shared" si="124"/>
        <v>5.5</v>
      </c>
      <c r="I57" s="44">
        <f t="shared" ref="I57" si="141">I56</f>
        <v>8</v>
      </c>
      <c r="J57" s="199">
        <f t="shared" si="12"/>
        <v>75</v>
      </c>
      <c r="K57" s="37" t="str">
        <f>D57&amp;-5</f>
        <v>37.5-5</v>
      </c>
      <c r="L57" s="44">
        <f t="shared" ref="L57:N57" si="142">L56</f>
        <v>0.11</v>
      </c>
      <c r="M57" s="44">
        <f t="shared" si="142"/>
        <v>150</v>
      </c>
      <c r="N57" s="44">
        <f t="shared" si="142"/>
        <v>750</v>
      </c>
    </row>
    <row r="58" spans="1:14" x14ac:dyDescent="0.25">
      <c r="A58" s="229">
        <f t="shared" ref="A58:B58" si="143">A57+1</f>
        <v>3775</v>
      </c>
      <c r="B58" s="230">
        <f t="shared" si="143"/>
        <v>48</v>
      </c>
      <c r="C58" s="229" t="str">
        <f t="shared" si="3"/>
        <v>L62X38_075#000_06</v>
      </c>
      <c r="D58" s="43">
        <f t="shared" ref="D58:F58" si="144">D57</f>
        <v>37.5</v>
      </c>
      <c r="E58" s="61">
        <f t="shared" si="144"/>
        <v>4.125</v>
      </c>
      <c r="F58" s="44">
        <f t="shared" si="144"/>
        <v>11</v>
      </c>
      <c r="G58" s="44">
        <f t="shared" si="123"/>
        <v>8.8000000000000007</v>
      </c>
      <c r="H58" s="44">
        <f t="shared" si="124"/>
        <v>5.5</v>
      </c>
      <c r="I58" s="44">
        <f t="shared" ref="I58" si="145">I57</f>
        <v>8</v>
      </c>
      <c r="J58" s="199">
        <f t="shared" si="12"/>
        <v>75</v>
      </c>
      <c r="K58" s="37" t="str">
        <f>D58&amp;-6</f>
        <v>37.5-6</v>
      </c>
      <c r="L58" s="44">
        <f t="shared" ref="L58:N58" si="146">L57</f>
        <v>0.11</v>
      </c>
      <c r="M58" s="44">
        <f t="shared" si="146"/>
        <v>150</v>
      </c>
      <c r="N58" s="44">
        <f t="shared" si="146"/>
        <v>750</v>
      </c>
    </row>
    <row r="59" spans="1:14" x14ac:dyDescent="0.25">
      <c r="A59" s="229">
        <f t="shared" ref="A59:B59" si="147">A58+1</f>
        <v>3776</v>
      </c>
      <c r="B59" s="230">
        <f t="shared" si="147"/>
        <v>49</v>
      </c>
      <c r="C59" s="229" t="str">
        <f t="shared" si="3"/>
        <v>L62X38_085#000_01</v>
      </c>
      <c r="D59" s="43">
        <f t="shared" ref="D59:F59" si="148">D58</f>
        <v>37.5</v>
      </c>
      <c r="E59" s="61">
        <f t="shared" si="148"/>
        <v>4.125</v>
      </c>
      <c r="F59" s="44">
        <f t="shared" si="148"/>
        <v>11</v>
      </c>
      <c r="G59" s="44">
        <f t="shared" si="123"/>
        <v>8.8000000000000007</v>
      </c>
      <c r="H59" s="44">
        <f t="shared" si="124"/>
        <v>5.5</v>
      </c>
      <c r="I59" s="44">
        <f t="shared" ref="I59" si="149">I58</f>
        <v>8</v>
      </c>
      <c r="J59" s="199">
        <f t="shared" si="12"/>
        <v>85</v>
      </c>
      <c r="K59" s="37" t="str">
        <f>D59&amp;-1</f>
        <v>37.5-1</v>
      </c>
      <c r="L59" s="44">
        <f t="shared" ref="L59:N59" si="150">L58</f>
        <v>0.11</v>
      </c>
      <c r="M59" s="44">
        <f t="shared" si="150"/>
        <v>150</v>
      </c>
      <c r="N59" s="44">
        <f t="shared" si="150"/>
        <v>750</v>
      </c>
    </row>
    <row r="60" spans="1:14" x14ac:dyDescent="0.25">
      <c r="A60" s="229">
        <f t="shared" ref="A60:B60" si="151">A59+1</f>
        <v>3777</v>
      </c>
      <c r="B60" s="230">
        <f t="shared" si="151"/>
        <v>50</v>
      </c>
      <c r="C60" s="229" t="str">
        <f t="shared" si="3"/>
        <v>L62X38_085#000_02</v>
      </c>
      <c r="D60" s="43">
        <f t="shared" ref="D60:F60" si="152">D59</f>
        <v>37.5</v>
      </c>
      <c r="E60" s="61">
        <f t="shared" si="152"/>
        <v>4.125</v>
      </c>
      <c r="F60" s="44">
        <f t="shared" si="152"/>
        <v>11</v>
      </c>
      <c r="G60" s="44">
        <f t="shared" si="123"/>
        <v>8.8000000000000007</v>
      </c>
      <c r="H60" s="44">
        <f t="shared" si="124"/>
        <v>5.5</v>
      </c>
      <c r="I60" s="44">
        <f t="shared" ref="I60" si="153">I59</f>
        <v>8</v>
      </c>
      <c r="J60" s="199">
        <f t="shared" si="12"/>
        <v>85</v>
      </c>
      <c r="K60" s="37" t="str">
        <f>D60&amp;-2</f>
        <v>37.5-2</v>
      </c>
      <c r="L60" s="44">
        <f t="shared" ref="L60:N60" si="154">L59</f>
        <v>0.11</v>
      </c>
      <c r="M60" s="44">
        <f t="shared" si="154"/>
        <v>150</v>
      </c>
      <c r="N60" s="44">
        <f t="shared" si="154"/>
        <v>750</v>
      </c>
    </row>
    <row r="61" spans="1:14" x14ac:dyDescent="0.25">
      <c r="A61" s="229">
        <f t="shared" ref="A61:B61" si="155">A60+1</f>
        <v>3778</v>
      </c>
      <c r="B61" s="230">
        <f t="shared" si="155"/>
        <v>51</v>
      </c>
      <c r="C61" s="229" t="str">
        <f t="shared" si="3"/>
        <v>L62X38_085#000_03</v>
      </c>
      <c r="D61" s="43">
        <f t="shared" ref="D61:F61" si="156">D60</f>
        <v>37.5</v>
      </c>
      <c r="E61" s="61">
        <f t="shared" si="156"/>
        <v>4.125</v>
      </c>
      <c r="F61" s="44">
        <f t="shared" si="156"/>
        <v>11</v>
      </c>
      <c r="G61" s="44">
        <f t="shared" si="123"/>
        <v>8.8000000000000007</v>
      </c>
      <c r="H61" s="44">
        <f t="shared" si="124"/>
        <v>5.5</v>
      </c>
      <c r="I61" s="44">
        <f t="shared" ref="I61" si="157">I60</f>
        <v>8</v>
      </c>
      <c r="J61" s="199">
        <f t="shared" si="12"/>
        <v>85</v>
      </c>
      <c r="K61" s="37" t="str">
        <f>D61&amp;-3</f>
        <v>37.5-3</v>
      </c>
      <c r="L61" s="44">
        <f t="shared" ref="L61:N61" si="158">L60</f>
        <v>0.11</v>
      </c>
      <c r="M61" s="44">
        <f t="shared" si="158"/>
        <v>150</v>
      </c>
      <c r="N61" s="44">
        <f t="shared" si="158"/>
        <v>750</v>
      </c>
    </row>
    <row r="62" spans="1:14" x14ac:dyDescent="0.25">
      <c r="A62" s="229">
        <f t="shared" ref="A62:B62" si="159">A61+1</f>
        <v>3779</v>
      </c>
      <c r="B62" s="230">
        <f t="shared" si="159"/>
        <v>52</v>
      </c>
      <c r="C62" s="229" t="str">
        <f t="shared" si="3"/>
        <v>L62X38_085#000_04</v>
      </c>
      <c r="D62" s="43">
        <f t="shared" ref="D62:F62" si="160">D61</f>
        <v>37.5</v>
      </c>
      <c r="E62" s="61">
        <f t="shared" si="160"/>
        <v>4.125</v>
      </c>
      <c r="F62" s="44">
        <f t="shared" si="160"/>
        <v>11</v>
      </c>
      <c r="G62" s="44">
        <f t="shared" si="123"/>
        <v>8.8000000000000007</v>
      </c>
      <c r="H62" s="44">
        <f t="shared" si="124"/>
        <v>5.5</v>
      </c>
      <c r="I62" s="44">
        <f t="shared" ref="I62" si="161">I61</f>
        <v>8</v>
      </c>
      <c r="J62" s="199">
        <f t="shared" si="12"/>
        <v>85</v>
      </c>
      <c r="K62" s="37" t="str">
        <f>D62&amp;-4</f>
        <v>37.5-4</v>
      </c>
      <c r="L62" s="44">
        <f t="shared" ref="L62:N62" si="162">L61</f>
        <v>0.11</v>
      </c>
      <c r="M62" s="44">
        <f t="shared" si="162"/>
        <v>150</v>
      </c>
      <c r="N62" s="44">
        <f t="shared" si="162"/>
        <v>750</v>
      </c>
    </row>
    <row r="63" spans="1:14" x14ac:dyDescent="0.25">
      <c r="A63" s="229">
        <f t="shared" ref="A63:B63" si="163">A62+1</f>
        <v>3780</v>
      </c>
      <c r="B63" s="230">
        <f t="shared" si="163"/>
        <v>53</v>
      </c>
      <c r="C63" s="229" t="str">
        <f t="shared" si="3"/>
        <v>L62X38_085#000_05</v>
      </c>
      <c r="D63" s="43">
        <f t="shared" ref="D63:F63" si="164">D62</f>
        <v>37.5</v>
      </c>
      <c r="E63" s="61">
        <f t="shared" si="164"/>
        <v>4.125</v>
      </c>
      <c r="F63" s="44">
        <f t="shared" si="164"/>
        <v>11</v>
      </c>
      <c r="G63" s="44">
        <f t="shared" si="123"/>
        <v>8.8000000000000007</v>
      </c>
      <c r="H63" s="44">
        <f t="shared" si="124"/>
        <v>5.5</v>
      </c>
      <c r="I63" s="44">
        <f t="shared" ref="I63" si="165">I62</f>
        <v>8</v>
      </c>
      <c r="J63" s="199">
        <f t="shared" si="12"/>
        <v>85</v>
      </c>
      <c r="K63" s="37" t="str">
        <f>D63&amp;-5</f>
        <v>37.5-5</v>
      </c>
      <c r="L63" s="44">
        <f t="shared" ref="L63:N63" si="166">L62</f>
        <v>0.11</v>
      </c>
      <c r="M63" s="44">
        <f t="shared" si="166"/>
        <v>150</v>
      </c>
      <c r="N63" s="44">
        <f t="shared" si="166"/>
        <v>750</v>
      </c>
    </row>
    <row r="64" spans="1:14" x14ac:dyDescent="0.25">
      <c r="A64" s="229">
        <f t="shared" ref="A64:B64" si="167">A63+1</f>
        <v>3781</v>
      </c>
      <c r="B64" s="230">
        <f t="shared" si="167"/>
        <v>54</v>
      </c>
      <c r="C64" s="229" t="str">
        <f t="shared" si="3"/>
        <v>L62X38_085#000_06</v>
      </c>
      <c r="D64" s="43">
        <f t="shared" ref="D64:F64" si="168">D63</f>
        <v>37.5</v>
      </c>
      <c r="E64" s="61">
        <f t="shared" si="168"/>
        <v>4.125</v>
      </c>
      <c r="F64" s="44">
        <f t="shared" si="168"/>
        <v>11</v>
      </c>
      <c r="G64" s="44">
        <f t="shared" si="123"/>
        <v>8.8000000000000007</v>
      </c>
      <c r="H64" s="44">
        <f t="shared" si="124"/>
        <v>5.5</v>
      </c>
      <c r="I64" s="44">
        <f t="shared" ref="I64" si="169">I63</f>
        <v>8</v>
      </c>
      <c r="J64" s="199">
        <f t="shared" si="12"/>
        <v>85</v>
      </c>
      <c r="K64" s="37" t="str">
        <f>D64&amp;-6</f>
        <v>37.5-6</v>
      </c>
      <c r="L64" s="44">
        <f t="shared" ref="L64:N64" si="170">L63</f>
        <v>0.11</v>
      </c>
      <c r="M64" s="44">
        <f t="shared" si="170"/>
        <v>150</v>
      </c>
      <c r="N64" s="44">
        <f t="shared" si="170"/>
        <v>750</v>
      </c>
    </row>
    <row r="65" spans="1:14" x14ac:dyDescent="0.25">
      <c r="A65" s="229">
        <f t="shared" ref="A65:B65" si="171">A64+1</f>
        <v>3782</v>
      </c>
      <c r="B65" s="230">
        <f t="shared" si="171"/>
        <v>55</v>
      </c>
      <c r="C65" s="229" t="str">
        <f t="shared" si="3"/>
        <v>L62X38_095#000_01</v>
      </c>
      <c r="D65" s="43">
        <f t="shared" ref="D65:F65" si="172">D64</f>
        <v>37.5</v>
      </c>
      <c r="E65" s="61">
        <f t="shared" si="172"/>
        <v>4.125</v>
      </c>
      <c r="F65" s="44">
        <f t="shared" si="172"/>
        <v>11</v>
      </c>
      <c r="G65" s="44">
        <f t="shared" si="123"/>
        <v>8.8000000000000007</v>
      </c>
      <c r="H65" s="44">
        <f t="shared" si="124"/>
        <v>5.5</v>
      </c>
      <c r="I65" s="44">
        <f t="shared" ref="I65" si="173">I64</f>
        <v>8</v>
      </c>
      <c r="J65" s="199">
        <f t="shared" si="12"/>
        <v>95</v>
      </c>
      <c r="K65" s="37" t="str">
        <f>D65&amp;-1</f>
        <v>37.5-1</v>
      </c>
      <c r="L65" s="44">
        <f t="shared" ref="L65:N65" si="174">L64</f>
        <v>0.11</v>
      </c>
      <c r="M65" s="44">
        <f t="shared" si="174"/>
        <v>150</v>
      </c>
      <c r="N65" s="44">
        <f t="shared" si="174"/>
        <v>750</v>
      </c>
    </row>
    <row r="66" spans="1:14" x14ac:dyDescent="0.25">
      <c r="A66" s="229">
        <f t="shared" ref="A66:B66" si="175">A65+1</f>
        <v>3783</v>
      </c>
      <c r="B66" s="230">
        <f t="shared" si="175"/>
        <v>56</v>
      </c>
      <c r="C66" s="229" t="str">
        <f t="shared" si="3"/>
        <v>L62X38_095#000_02</v>
      </c>
      <c r="D66" s="43">
        <f t="shared" ref="D66:F66" si="176">D65</f>
        <v>37.5</v>
      </c>
      <c r="E66" s="61">
        <f t="shared" si="176"/>
        <v>4.125</v>
      </c>
      <c r="F66" s="44">
        <f t="shared" si="176"/>
        <v>11</v>
      </c>
      <c r="G66" s="44">
        <f t="shared" si="123"/>
        <v>8.8000000000000007</v>
      </c>
      <c r="H66" s="44">
        <f t="shared" si="124"/>
        <v>5.5</v>
      </c>
      <c r="I66" s="44">
        <f t="shared" ref="I66" si="177">I65</f>
        <v>8</v>
      </c>
      <c r="J66" s="199">
        <f t="shared" si="12"/>
        <v>95</v>
      </c>
      <c r="K66" s="37" t="str">
        <f>D66&amp;-2</f>
        <v>37.5-2</v>
      </c>
      <c r="L66" s="44">
        <f t="shared" ref="L66:N66" si="178">L65</f>
        <v>0.11</v>
      </c>
      <c r="M66" s="44">
        <f t="shared" si="178"/>
        <v>150</v>
      </c>
      <c r="N66" s="44">
        <f t="shared" si="178"/>
        <v>750</v>
      </c>
    </row>
    <row r="67" spans="1:14" x14ac:dyDescent="0.25">
      <c r="A67" s="229">
        <f t="shared" ref="A67:B67" si="179">A66+1</f>
        <v>3784</v>
      </c>
      <c r="B67" s="230">
        <f t="shared" si="179"/>
        <v>57</v>
      </c>
      <c r="C67" s="229" t="str">
        <f t="shared" si="3"/>
        <v>L62X38_095#000_03</v>
      </c>
      <c r="D67" s="43">
        <f t="shared" ref="D67:F67" si="180">D66</f>
        <v>37.5</v>
      </c>
      <c r="E67" s="61">
        <f t="shared" si="180"/>
        <v>4.125</v>
      </c>
      <c r="F67" s="44">
        <f t="shared" si="180"/>
        <v>11</v>
      </c>
      <c r="G67" s="44">
        <f t="shared" si="123"/>
        <v>8.8000000000000007</v>
      </c>
      <c r="H67" s="44">
        <f t="shared" si="124"/>
        <v>5.5</v>
      </c>
      <c r="I67" s="44">
        <f t="shared" ref="I67" si="181">I66</f>
        <v>8</v>
      </c>
      <c r="J67" s="199">
        <f t="shared" si="12"/>
        <v>95</v>
      </c>
      <c r="K67" s="37" t="str">
        <f>D67&amp;-3</f>
        <v>37.5-3</v>
      </c>
      <c r="L67" s="44">
        <f t="shared" ref="L67:N67" si="182">L66</f>
        <v>0.11</v>
      </c>
      <c r="M67" s="44">
        <f t="shared" si="182"/>
        <v>150</v>
      </c>
      <c r="N67" s="44">
        <f t="shared" si="182"/>
        <v>750</v>
      </c>
    </row>
    <row r="68" spans="1:14" x14ac:dyDescent="0.25">
      <c r="A68" s="229">
        <f t="shared" ref="A68:B68" si="183">A67+1</f>
        <v>3785</v>
      </c>
      <c r="B68" s="230">
        <f t="shared" si="183"/>
        <v>58</v>
      </c>
      <c r="C68" s="229" t="str">
        <f t="shared" si="3"/>
        <v>L62X38_095#000_04</v>
      </c>
      <c r="D68" s="43">
        <f t="shared" ref="D68:F68" si="184">D67</f>
        <v>37.5</v>
      </c>
      <c r="E68" s="61">
        <f t="shared" si="184"/>
        <v>4.125</v>
      </c>
      <c r="F68" s="44">
        <f t="shared" si="184"/>
        <v>11</v>
      </c>
      <c r="G68" s="44">
        <f t="shared" si="123"/>
        <v>8.8000000000000007</v>
      </c>
      <c r="H68" s="44">
        <f t="shared" si="124"/>
        <v>5.5</v>
      </c>
      <c r="I68" s="44">
        <f t="shared" ref="I68" si="185">I67</f>
        <v>8</v>
      </c>
      <c r="J68" s="199">
        <f t="shared" si="12"/>
        <v>95</v>
      </c>
      <c r="K68" s="37" t="str">
        <f>D68&amp;-4</f>
        <v>37.5-4</v>
      </c>
      <c r="L68" s="44">
        <f t="shared" ref="L68:N68" si="186">L67</f>
        <v>0.11</v>
      </c>
      <c r="M68" s="44">
        <f t="shared" si="186"/>
        <v>150</v>
      </c>
      <c r="N68" s="44">
        <f t="shared" si="186"/>
        <v>750</v>
      </c>
    </row>
    <row r="69" spans="1:14" x14ac:dyDescent="0.25">
      <c r="A69" s="229">
        <f t="shared" ref="A69:B69" si="187">A68+1</f>
        <v>3786</v>
      </c>
      <c r="B69" s="230">
        <f t="shared" si="187"/>
        <v>59</v>
      </c>
      <c r="C69" s="229" t="str">
        <f t="shared" si="3"/>
        <v>L62X38_095#000_05</v>
      </c>
      <c r="D69" s="43">
        <f t="shared" ref="D69:F69" si="188">D68</f>
        <v>37.5</v>
      </c>
      <c r="E69" s="61">
        <f t="shared" si="188"/>
        <v>4.125</v>
      </c>
      <c r="F69" s="44">
        <f t="shared" si="188"/>
        <v>11</v>
      </c>
      <c r="G69" s="44">
        <f t="shared" si="123"/>
        <v>8.8000000000000007</v>
      </c>
      <c r="H69" s="44">
        <f t="shared" si="124"/>
        <v>5.5</v>
      </c>
      <c r="I69" s="44">
        <f t="shared" ref="I69" si="189">I68</f>
        <v>8</v>
      </c>
      <c r="J69" s="199">
        <f t="shared" si="12"/>
        <v>95</v>
      </c>
      <c r="K69" s="37" t="str">
        <f>D69&amp;-5</f>
        <v>37.5-5</v>
      </c>
      <c r="L69" s="44">
        <f t="shared" ref="L69:N69" si="190">L68</f>
        <v>0.11</v>
      </c>
      <c r="M69" s="44">
        <f t="shared" si="190"/>
        <v>150</v>
      </c>
      <c r="N69" s="44">
        <f t="shared" si="190"/>
        <v>750</v>
      </c>
    </row>
    <row r="70" spans="1:14" x14ac:dyDescent="0.25">
      <c r="A70" s="229">
        <f t="shared" ref="A70:B70" si="191">A69+1</f>
        <v>3787</v>
      </c>
      <c r="B70" s="230">
        <f t="shared" si="191"/>
        <v>60</v>
      </c>
      <c r="C70" s="229" t="str">
        <f t="shared" si="3"/>
        <v>L62X38_095#000_06</v>
      </c>
      <c r="D70" s="43">
        <f t="shared" ref="D70:F70" si="192">D69</f>
        <v>37.5</v>
      </c>
      <c r="E70" s="61">
        <f t="shared" si="192"/>
        <v>4.125</v>
      </c>
      <c r="F70" s="44">
        <f t="shared" si="192"/>
        <v>11</v>
      </c>
      <c r="G70" s="44">
        <f t="shared" si="123"/>
        <v>8.8000000000000007</v>
      </c>
      <c r="H70" s="44">
        <f t="shared" si="124"/>
        <v>5.5</v>
      </c>
      <c r="I70" s="44">
        <f t="shared" ref="I70" si="193">I69</f>
        <v>8</v>
      </c>
      <c r="J70" s="199">
        <f t="shared" si="12"/>
        <v>95</v>
      </c>
      <c r="K70" s="37" t="str">
        <f>D70&amp;-6</f>
        <v>37.5-6</v>
      </c>
      <c r="L70" s="44">
        <f t="shared" ref="L70:N70" si="194">L69</f>
        <v>0.11</v>
      </c>
      <c r="M70" s="44">
        <f t="shared" si="194"/>
        <v>150</v>
      </c>
      <c r="N70" s="44">
        <f t="shared" si="194"/>
        <v>750</v>
      </c>
    </row>
    <row r="71" spans="1:14" x14ac:dyDescent="0.25">
      <c r="A71" s="229">
        <f t="shared" ref="A71:B71" si="195">A70+1</f>
        <v>3788</v>
      </c>
      <c r="B71" s="230">
        <f t="shared" si="195"/>
        <v>61</v>
      </c>
      <c r="C71" s="229" t="str">
        <f t="shared" si="3"/>
        <v>L62X38_105#000_01</v>
      </c>
      <c r="D71" s="43">
        <f t="shared" ref="D71:F71" si="196">D70</f>
        <v>37.5</v>
      </c>
      <c r="E71" s="61">
        <f t="shared" si="196"/>
        <v>4.125</v>
      </c>
      <c r="F71" s="44">
        <f t="shared" si="196"/>
        <v>11</v>
      </c>
      <c r="G71" s="44">
        <f t="shared" ref="G71:G134" si="197">m_ty*F71</f>
        <v>8.8000000000000007</v>
      </c>
      <c r="H71" s="44">
        <f t="shared" ref="H71:H134" si="198">m_tz*F71</f>
        <v>5.5</v>
      </c>
      <c r="I71" s="44">
        <f t="shared" ref="I71" si="199">I70</f>
        <v>8</v>
      </c>
      <c r="J71" s="199">
        <f t="shared" si="12"/>
        <v>105</v>
      </c>
      <c r="K71" s="37" t="str">
        <f>D71&amp;-1</f>
        <v>37.5-1</v>
      </c>
      <c r="L71" s="44">
        <f t="shared" ref="L71:N71" si="200">L70</f>
        <v>0.11</v>
      </c>
      <c r="M71" s="44">
        <f t="shared" si="200"/>
        <v>150</v>
      </c>
      <c r="N71" s="44">
        <f t="shared" si="200"/>
        <v>750</v>
      </c>
    </row>
    <row r="72" spans="1:14" x14ac:dyDescent="0.25">
      <c r="A72" s="229">
        <f t="shared" ref="A72:B72" si="201">A71+1</f>
        <v>3789</v>
      </c>
      <c r="B72" s="230">
        <f t="shared" si="201"/>
        <v>62</v>
      </c>
      <c r="C72" s="229" t="str">
        <f t="shared" si="3"/>
        <v>L62X38_105#000_02</v>
      </c>
      <c r="D72" s="43">
        <f t="shared" ref="D72:F72" si="202">D71</f>
        <v>37.5</v>
      </c>
      <c r="E72" s="61">
        <f t="shared" si="202"/>
        <v>4.125</v>
      </c>
      <c r="F72" s="44">
        <f t="shared" si="202"/>
        <v>11</v>
      </c>
      <c r="G72" s="44">
        <f t="shared" si="197"/>
        <v>8.8000000000000007</v>
      </c>
      <c r="H72" s="44">
        <f t="shared" si="198"/>
        <v>5.5</v>
      </c>
      <c r="I72" s="44">
        <f t="shared" ref="I72" si="203">I71</f>
        <v>8</v>
      </c>
      <c r="J72" s="199">
        <f t="shared" si="12"/>
        <v>105</v>
      </c>
      <c r="K72" s="37" t="str">
        <f>D72&amp;-2</f>
        <v>37.5-2</v>
      </c>
      <c r="L72" s="44">
        <f t="shared" ref="L72:N72" si="204">L71</f>
        <v>0.11</v>
      </c>
      <c r="M72" s="44">
        <f t="shared" si="204"/>
        <v>150</v>
      </c>
      <c r="N72" s="44">
        <f t="shared" si="204"/>
        <v>750</v>
      </c>
    </row>
    <row r="73" spans="1:14" x14ac:dyDescent="0.25">
      <c r="A73" s="229">
        <f t="shared" ref="A73:B73" si="205">A72+1</f>
        <v>3790</v>
      </c>
      <c r="B73" s="230">
        <f t="shared" si="205"/>
        <v>63</v>
      </c>
      <c r="C73" s="229" t="str">
        <f t="shared" si="3"/>
        <v>L62X38_105#000_03</v>
      </c>
      <c r="D73" s="43">
        <f t="shared" ref="D73:F73" si="206">D72</f>
        <v>37.5</v>
      </c>
      <c r="E73" s="61">
        <f t="shared" si="206"/>
        <v>4.125</v>
      </c>
      <c r="F73" s="44">
        <f t="shared" si="206"/>
        <v>11</v>
      </c>
      <c r="G73" s="44">
        <f t="shared" si="197"/>
        <v>8.8000000000000007</v>
      </c>
      <c r="H73" s="44">
        <f t="shared" si="198"/>
        <v>5.5</v>
      </c>
      <c r="I73" s="44">
        <f t="shared" ref="I73" si="207">I72</f>
        <v>8</v>
      </c>
      <c r="J73" s="199">
        <f t="shared" si="12"/>
        <v>105</v>
      </c>
      <c r="K73" s="37" t="str">
        <f>D73&amp;-3</f>
        <v>37.5-3</v>
      </c>
      <c r="L73" s="44">
        <f t="shared" ref="L73:N73" si="208">L72</f>
        <v>0.11</v>
      </c>
      <c r="M73" s="44">
        <f t="shared" si="208"/>
        <v>150</v>
      </c>
      <c r="N73" s="44">
        <f t="shared" si="208"/>
        <v>750</v>
      </c>
    </row>
    <row r="74" spans="1:14" x14ac:dyDescent="0.25">
      <c r="A74" s="229">
        <f t="shared" ref="A74:B74" si="209">A73+1</f>
        <v>3791</v>
      </c>
      <c r="B74" s="230">
        <f t="shared" si="209"/>
        <v>64</v>
      </c>
      <c r="C74" s="229" t="str">
        <f t="shared" si="3"/>
        <v>L62X38_105#000_04</v>
      </c>
      <c r="D74" s="43">
        <f t="shared" ref="D74:F74" si="210">D73</f>
        <v>37.5</v>
      </c>
      <c r="E74" s="61">
        <f t="shared" si="210"/>
        <v>4.125</v>
      </c>
      <c r="F74" s="44">
        <f t="shared" si="210"/>
        <v>11</v>
      </c>
      <c r="G74" s="44">
        <f t="shared" si="197"/>
        <v>8.8000000000000007</v>
      </c>
      <c r="H74" s="44">
        <f t="shared" si="198"/>
        <v>5.5</v>
      </c>
      <c r="I74" s="44">
        <f t="shared" ref="I74" si="211">I73</f>
        <v>8</v>
      </c>
      <c r="J74" s="199">
        <f t="shared" si="12"/>
        <v>105</v>
      </c>
      <c r="K74" s="37" t="str">
        <f>D74&amp;-4</f>
        <v>37.5-4</v>
      </c>
      <c r="L74" s="44">
        <f t="shared" ref="L74:N74" si="212">L73</f>
        <v>0.11</v>
      </c>
      <c r="M74" s="44">
        <f t="shared" si="212"/>
        <v>150</v>
      </c>
      <c r="N74" s="44">
        <f t="shared" si="212"/>
        <v>750</v>
      </c>
    </row>
    <row r="75" spans="1:14" x14ac:dyDescent="0.25">
      <c r="A75" s="229">
        <f t="shared" ref="A75:B75" si="213">A74+1</f>
        <v>3792</v>
      </c>
      <c r="B75" s="230">
        <f t="shared" si="213"/>
        <v>65</v>
      </c>
      <c r="C75" s="229" t="str">
        <f t="shared" si="3"/>
        <v>L62X38_105#000_05</v>
      </c>
      <c r="D75" s="43">
        <f t="shared" ref="D75:F75" si="214">D74</f>
        <v>37.5</v>
      </c>
      <c r="E75" s="61">
        <f t="shared" si="214"/>
        <v>4.125</v>
      </c>
      <c r="F75" s="44">
        <f t="shared" si="214"/>
        <v>11</v>
      </c>
      <c r="G75" s="44">
        <f t="shared" si="197"/>
        <v>8.8000000000000007</v>
      </c>
      <c r="H75" s="44">
        <f t="shared" si="198"/>
        <v>5.5</v>
      </c>
      <c r="I75" s="44">
        <f t="shared" ref="I75" si="215">I74</f>
        <v>8</v>
      </c>
      <c r="J75" s="199">
        <f t="shared" si="12"/>
        <v>105</v>
      </c>
      <c r="K75" s="37" t="str">
        <f>D75&amp;-5</f>
        <v>37.5-5</v>
      </c>
      <c r="L75" s="44">
        <f t="shared" ref="L75:N75" si="216">L74</f>
        <v>0.11</v>
      </c>
      <c r="M75" s="44">
        <f t="shared" si="216"/>
        <v>150</v>
      </c>
      <c r="N75" s="44">
        <f t="shared" si="216"/>
        <v>750</v>
      </c>
    </row>
    <row r="76" spans="1:14" x14ac:dyDescent="0.25">
      <c r="A76" s="229">
        <f t="shared" ref="A76:B76" si="217">A75+1</f>
        <v>3793</v>
      </c>
      <c r="B76" s="230">
        <f t="shared" si="217"/>
        <v>66</v>
      </c>
      <c r="C76" s="229" t="str">
        <f t="shared" ref="C76:C139" si="218">TEXT(RIGHT($B$2,LEN($B$2)-3),"L00")&amp;"X"&amp;TEXT(D76,"00")&amp;"_"&amp;IF(J76&lt;0,TEXT(360+J76,"000"),TEXT(J76,"000"))&amp;"#"&amp;"000"&amp;"_"&amp;TEXT(RIGHT(K76,LEN(K76)-FIND("-",K76)),"00")</f>
        <v>L62X38_105#000_06</v>
      </c>
      <c r="D76" s="43">
        <f t="shared" ref="D76:F76" si="219">D75</f>
        <v>37.5</v>
      </c>
      <c r="E76" s="61">
        <f t="shared" si="219"/>
        <v>4.125</v>
      </c>
      <c r="F76" s="44">
        <f t="shared" si="219"/>
        <v>11</v>
      </c>
      <c r="G76" s="44">
        <f t="shared" si="197"/>
        <v>8.8000000000000007</v>
      </c>
      <c r="H76" s="44">
        <f t="shared" si="198"/>
        <v>5.5</v>
      </c>
      <c r="I76" s="44">
        <f t="shared" ref="I76" si="220">I75</f>
        <v>8</v>
      </c>
      <c r="J76" s="199">
        <f t="shared" si="12"/>
        <v>105</v>
      </c>
      <c r="K76" s="37" t="str">
        <f>D76&amp;-6</f>
        <v>37.5-6</v>
      </c>
      <c r="L76" s="44">
        <f t="shared" ref="L76:N76" si="221">L75</f>
        <v>0.11</v>
      </c>
      <c r="M76" s="44">
        <f t="shared" si="221"/>
        <v>150</v>
      </c>
      <c r="N76" s="44">
        <f t="shared" si="221"/>
        <v>750</v>
      </c>
    </row>
    <row r="77" spans="1:14" x14ac:dyDescent="0.25">
      <c r="A77" s="229">
        <f t="shared" ref="A77:B77" si="222">A76+1</f>
        <v>3794</v>
      </c>
      <c r="B77" s="230">
        <f t="shared" si="222"/>
        <v>67</v>
      </c>
      <c r="C77" s="229" t="str">
        <f t="shared" si="218"/>
        <v>L62X38_115#000_01</v>
      </c>
      <c r="D77" s="43">
        <f t="shared" ref="D77:F77" si="223">D76</f>
        <v>37.5</v>
      </c>
      <c r="E77" s="61">
        <f t="shared" si="223"/>
        <v>4.125</v>
      </c>
      <c r="F77" s="44">
        <f t="shared" si="223"/>
        <v>11</v>
      </c>
      <c r="G77" s="44">
        <f t="shared" si="197"/>
        <v>8.8000000000000007</v>
      </c>
      <c r="H77" s="44">
        <f t="shared" si="198"/>
        <v>5.5</v>
      </c>
      <c r="I77" s="44">
        <f t="shared" ref="I77" si="224">I76</f>
        <v>8</v>
      </c>
      <c r="J77" s="199">
        <f t="shared" si="12"/>
        <v>115</v>
      </c>
      <c r="K77" s="37" t="str">
        <f>D77&amp;-1</f>
        <v>37.5-1</v>
      </c>
      <c r="L77" s="44">
        <f t="shared" ref="L77:N77" si="225">L76</f>
        <v>0.11</v>
      </c>
      <c r="M77" s="44">
        <f t="shared" si="225"/>
        <v>150</v>
      </c>
      <c r="N77" s="44">
        <f t="shared" si="225"/>
        <v>750</v>
      </c>
    </row>
    <row r="78" spans="1:14" x14ac:dyDescent="0.25">
      <c r="A78" s="229">
        <f t="shared" ref="A78:B78" si="226">A77+1</f>
        <v>3795</v>
      </c>
      <c r="B78" s="230">
        <f t="shared" si="226"/>
        <v>68</v>
      </c>
      <c r="C78" s="229" t="str">
        <f t="shared" si="218"/>
        <v>L62X38_115#000_02</v>
      </c>
      <c r="D78" s="43">
        <f t="shared" ref="D78:F78" si="227">D77</f>
        <v>37.5</v>
      </c>
      <c r="E78" s="61">
        <f t="shared" si="227"/>
        <v>4.125</v>
      </c>
      <c r="F78" s="44">
        <f t="shared" si="227"/>
        <v>11</v>
      </c>
      <c r="G78" s="44">
        <f t="shared" si="197"/>
        <v>8.8000000000000007</v>
      </c>
      <c r="H78" s="44">
        <f t="shared" si="198"/>
        <v>5.5</v>
      </c>
      <c r="I78" s="44">
        <f t="shared" ref="I78" si="228">I77</f>
        <v>8</v>
      </c>
      <c r="J78" s="199">
        <f t="shared" si="12"/>
        <v>115</v>
      </c>
      <c r="K78" s="37" t="str">
        <f>D78&amp;-2</f>
        <v>37.5-2</v>
      </c>
      <c r="L78" s="44">
        <f t="shared" ref="L78:N78" si="229">L77</f>
        <v>0.11</v>
      </c>
      <c r="M78" s="44">
        <f t="shared" si="229"/>
        <v>150</v>
      </c>
      <c r="N78" s="44">
        <f t="shared" si="229"/>
        <v>750</v>
      </c>
    </row>
    <row r="79" spans="1:14" x14ac:dyDescent="0.25">
      <c r="A79" s="229">
        <f t="shared" ref="A79:B79" si="230">A78+1</f>
        <v>3796</v>
      </c>
      <c r="B79" s="230">
        <f t="shared" si="230"/>
        <v>69</v>
      </c>
      <c r="C79" s="229" t="str">
        <f t="shared" si="218"/>
        <v>L62X38_115#000_03</v>
      </c>
      <c r="D79" s="43">
        <f t="shared" ref="D79:F79" si="231">D78</f>
        <v>37.5</v>
      </c>
      <c r="E79" s="61">
        <f t="shared" si="231"/>
        <v>4.125</v>
      </c>
      <c r="F79" s="44">
        <f t="shared" si="231"/>
        <v>11</v>
      </c>
      <c r="G79" s="44">
        <f t="shared" si="197"/>
        <v>8.8000000000000007</v>
      </c>
      <c r="H79" s="44">
        <f t="shared" si="198"/>
        <v>5.5</v>
      </c>
      <c r="I79" s="44">
        <f t="shared" ref="I79" si="232">I78</f>
        <v>8</v>
      </c>
      <c r="J79" s="199">
        <f t="shared" si="12"/>
        <v>115</v>
      </c>
      <c r="K79" s="37" t="str">
        <f>D79&amp;-3</f>
        <v>37.5-3</v>
      </c>
      <c r="L79" s="44">
        <f t="shared" ref="L79:N79" si="233">L78</f>
        <v>0.11</v>
      </c>
      <c r="M79" s="44">
        <f t="shared" si="233"/>
        <v>150</v>
      </c>
      <c r="N79" s="44">
        <f t="shared" si="233"/>
        <v>750</v>
      </c>
    </row>
    <row r="80" spans="1:14" x14ac:dyDescent="0.25">
      <c r="A80" s="229">
        <f t="shared" ref="A80:B80" si="234">A79+1</f>
        <v>3797</v>
      </c>
      <c r="B80" s="230">
        <f t="shared" si="234"/>
        <v>70</v>
      </c>
      <c r="C80" s="229" t="str">
        <f t="shared" si="218"/>
        <v>L62X38_115#000_04</v>
      </c>
      <c r="D80" s="43">
        <f t="shared" ref="D80:F80" si="235">D79</f>
        <v>37.5</v>
      </c>
      <c r="E80" s="61">
        <f t="shared" si="235"/>
        <v>4.125</v>
      </c>
      <c r="F80" s="44">
        <f t="shared" si="235"/>
        <v>11</v>
      </c>
      <c r="G80" s="44">
        <f t="shared" si="197"/>
        <v>8.8000000000000007</v>
      </c>
      <c r="H80" s="44">
        <f t="shared" si="198"/>
        <v>5.5</v>
      </c>
      <c r="I80" s="44">
        <f t="shared" ref="I80" si="236">I79</f>
        <v>8</v>
      </c>
      <c r="J80" s="199">
        <f t="shared" si="12"/>
        <v>115</v>
      </c>
      <c r="K80" s="37" t="str">
        <f>D80&amp;-4</f>
        <v>37.5-4</v>
      </c>
      <c r="L80" s="44">
        <f t="shared" ref="L80:N80" si="237">L79</f>
        <v>0.11</v>
      </c>
      <c r="M80" s="44">
        <f t="shared" si="237"/>
        <v>150</v>
      </c>
      <c r="N80" s="44">
        <f t="shared" si="237"/>
        <v>750</v>
      </c>
    </row>
    <row r="81" spans="1:14" x14ac:dyDescent="0.25">
      <c r="A81" s="229">
        <f t="shared" ref="A81:B81" si="238">A80+1</f>
        <v>3798</v>
      </c>
      <c r="B81" s="230">
        <f t="shared" si="238"/>
        <v>71</v>
      </c>
      <c r="C81" s="229" t="str">
        <f t="shared" si="218"/>
        <v>L62X38_115#000_05</v>
      </c>
      <c r="D81" s="43">
        <f t="shared" ref="D81:F81" si="239">D80</f>
        <v>37.5</v>
      </c>
      <c r="E81" s="61">
        <f t="shared" si="239"/>
        <v>4.125</v>
      </c>
      <c r="F81" s="44">
        <f t="shared" si="239"/>
        <v>11</v>
      </c>
      <c r="G81" s="44">
        <f t="shared" si="197"/>
        <v>8.8000000000000007</v>
      </c>
      <c r="H81" s="44">
        <f t="shared" si="198"/>
        <v>5.5</v>
      </c>
      <c r="I81" s="44">
        <f t="shared" ref="I81" si="240">I80</f>
        <v>8</v>
      </c>
      <c r="J81" s="199">
        <f t="shared" si="12"/>
        <v>115</v>
      </c>
      <c r="K81" s="37" t="str">
        <f>D81&amp;-5</f>
        <v>37.5-5</v>
      </c>
      <c r="L81" s="44">
        <f t="shared" ref="L81:N81" si="241">L80</f>
        <v>0.11</v>
      </c>
      <c r="M81" s="44">
        <f t="shared" si="241"/>
        <v>150</v>
      </c>
      <c r="N81" s="44">
        <f t="shared" si="241"/>
        <v>750</v>
      </c>
    </row>
    <row r="82" spans="1:14" x14ac:dyDescent="0.25">
      <c r="A82" s="229">
        <f t="shared" ref="A82:B82" si="242">A81+1</f>
        <v>3799</v>
      </c>
      <c r="B82" s="230">
        <f t="shared" si="242"/>
        <v>72</v>
      </c>
      <c r="C82" s="229" t="str">
        <f t="shared" si="218"/>
        <v>L62X38_115#000_06</v>
      </c>
      <c r="D82" s="43">
        <f t="shared" ref="D82:F82" si="243">D81</f>
        <v>37.5</v>
      </c>
      <c r="E82" s="61">
        <f t="shared" si="243"/>
        <v>4.125</v>
      </c>
      <c r="F82" s="44">
        <f t="shared" si="243"/>
        <v>11</v>
      </c>
      <c r="G82" s="44">
        <f t="shared" si="197"/>
        <v>8.8000000000000007</v>
      </c>
      <c r="H82" s="44">
        <f t="shared" si="198"/>
        <v>5.5</v>
      </c>
      <c r="I82" s="44">
        <f t="shared" ref="I82" si="244">I81</f>
        <v>8</v>
      </c>
      <c r="J82" s="199">
        <f t="shared" ref="J82:J145" si="245">J76+10</f>
        <v>115</v>
      </c>
      <c r="K82" s="37" t="str">
        <f>D82&amp;-6</f>
        <v>37.5-6</v>
      </c>
      <c r="L82" s="44">
        <f t="shared" ref="L82:N82" si="246">L81</f>
        <v>0.11</v>
      </c>
      <c r="M82" s="44">
        <f t="shared" si="246"/>
        <v>150</v>
      </c>
      <c r="N82" s="44">
        <f t="shared" si="246"/>
        <v>750</v>
      </c>
    </row>
    <row r="83" spans="1:14" s="182" customFormat="1" x14ac:dyDescent="0.25">
      <c r="A83" s="229">
        <f t="shared" ref="A83:B83" si="247">A82+1</f>
        <v>3800</v>
      </c>
      <c r="B83" s="230">
        <f t="shared" si="247"/>
        <v>73</v>
      </c>
      <c r="C83" s="229" t="str">
        <f t="shared" si="218"/>
        <v>L62X38_125#000_01</v>
      </c>
      <c r="D83" s="197">
        <f>v_50</f>
        <v>37.5</v>
      </c>
      <c r="E83" s="204">
        <f>F83*D83/100</f>
        <v>4.125</v>
      </c>
      <c r="F83" s="198">
        <f>0.11*100</f>
        <v>11</v>
      </c>
      <c r="G83" s="198">
        <f t="shared" si="197"/>
        <v>8.8000000000000007</v>
      </c>
      <c r="H83" s="198">
        <f t="shared" si="198"/>
        <v>5.5</v>
      </c>
      <c r="I83" s="198">
        <f>inflow</f>
        <v>8</v>
      </c>
      <c r="J83" s="199">
        <f t="shared" si="245"/>
        <v>125</v>
      </c>
      <c r="K83" s="194" t="str">
        <f>D83&amp;-1</f>
        <v>37.5-1</v>
      </c>
      <c r="L83" s="198">
        <f>alpha_e</f>
        <v>0.11</v>
      </c>
      <c r="M83" s="198">
        <f>t_out</f>
        <v>150</v>
      </c>
      <c r="N83" s="198">
        <f>M83+T_s1</f>
        <v>750</v>
      </c>
    </row>
    <row r="84" spans="1:14" s="182" customFormat="1" x14ac:dyDescent="0.25">
      <c r="A84" s="229">
        <f t="shared" ref="A84:B84" si="248">A83+1</f>
        <v>3801</v>
      </c>
      <c r="B84" s="230">
        <f t="shared" si="248"/>
        <v>74</v>
      </c>
      <c r="C84" s="229" t="str">
        <f t="shared" si="218"/>
        <v>L62X38_125#000_02</v>
      </c>
      <c r="D84" s="197">
        <f>D83</f>
        <v>37.5</v>
      </c>
      <c r="E84" s="204">
        <f>E83</f>
        <v>4.125</v>
      </c>
      <c r="F84" s="198">
        <f>F83</f>
        <v>11</v>
      </c>
      <c r="G84" s="198">
        <f t="shared" si="197"/>
        <v>8.8000000000000007</v>
      </c>
      <c r="H84" s="198">
        <f t="shared" si="198"/>
        <v>5.5</v>
      </c>
      <c r="I84" s="198">
        <f>I83</f>
        <v>8</v>
      </c>
      <c r="J84" s="199">
        <f t="shared" si="245"/>
        <v>125</v>
      </c>
      <c r="K84" s="194" t="str">
        <f>D84&amp;-2</f>
        <v>37.5-2</v>
      </c>
      <c r="L84" s="198">
        <f>L83</f>
        <v>0.11</v>
      </c>
      <c r="M84" s="198">
        <f>M83</f>
        <v>150</v>
      </c>
      <c r="N84" s="198">
        <f>N83</f>
        <v>750</v>
      </c>
    </row>
    <row r="85" spans="1:14" s="182" customFormat="1" x14ac:dyDescent="0.25">
      <c r="A85" s="229">
        <f t="shared" ref="A85:B85" si="249">A84+1</f>
        <v>3802</v>
      </c>
      <c r="B85" s="230">
        <f t="shared" si="249"/>
        <v>75</v>
      </c>
      <c r="C85" s="229" t="str">
        <f t="shared" si="218"/>
        <v>L62X38_125#000_03</v>
      </c>
      <c r="D85" s="197">
        <f t="shared" ref="D85:F85" si="250">D84</f>
        <v>37.5</v>
      </c>
      <c r="E85" s="204">
        <f t="shared" si="250"/>
        <v>4.125</v>
      </c>
      <c r="F85" s="198">
        <f t="shared" si="250"/>
        <v>11</v>
      </c>
      <c r="G85" s="198">
        <f t="shared" si="197"/>
        <v>8.8000000000000007</v>
      </c>
      <c r="H85" s="198">
        <f t="shared" si="198"/>
        <v>5.5</v>
      </c>
      <c r="I85" s="198">
        <f t="shared" ref="I85" si="251">I84</f>
        <v>8</v>
      </c>
      <c r="J85" s="199">
        <f t="shared" si="245"/>
        <v>125</v>
      </c>
      <c r="K85" s="194" t="str">
        <f>D85&amp;-3</f>
        <v>37.5-3</v>
      </c>
      <c r="L85" s="198">
        <f t="shared" ref="L85:N85" si="252">L84</f>
        <v>0.11</v>
      </c>
      <c r="M85" s="198">
        <f t="shared" si="252"/>
        <v>150</v>
      </c>
      <c r="N85" s="198">
        <f t="shared" si="252"/>
        <v>750</v>
      </c>
    </row>
    <row r="86" spans="1:14" s="182" customFormat="1" x14ac:dyDescent="0.25">
      <c r="A86" s="229">
        <f t="shared" ref="A86:B86" si="253">A85+1</f>
        <v>3803</v>
      </c>
      <c r="B86" s="230">
        <f t="shared" si="253"/>
        <v>76</v>
      </c>
      <c r="C86" s="229" t="str">
        <f t="shared" si="218"/>
        <v>L62X38_125#000_04</v>
      </c>
      <c r="D86" s="197">
        <f t="shared" ref="D86:F86" si="254">D85</f>
        <v>37.5</v>
      </c>
      <c r="E86" s="204">
        <f t="shared" si="254"/>
        <v>4.125</v>
      </c>
      <c r="F86" s="198">
        <f t="shared" si="254"/>
        <v>11</v>
      </c>
      <c r="G86" s="198">
        <f t="shared" si="197"/>
        <v>8.8000000000000007</v>
      </c>
      <c r="H86" s="198">
        <f t="shared" si="198"/>
        <v>5.5</v>
      </c>
      <c r="I86" s="198">
        <f t="shared" ref="I86" si="255">I85</f>
        <v>8</v>
      </c>
      <c r="J86" s="199">
        <f t="shared" si="245"/>
        <v>125</v>
      </c>
      <c r="K86" s="194" t="str">
        <f>D86&amp;-4</f>
        <v>37.5-4</v>
      </c>
      <c r="L86" s="198">
        <f t="shared" ref="L86:N86" si="256">L85</f>
        <v>0.11</v>
      </c>
      <c r="M86" s="198">
        <f t="shared" si="256"/>
        <v>150</v>
      </c>
      <c r="N86" s="198">
        <f t="shared" si="256"/>
        <v>750</v>
      </c>
    </row>
    <row r="87" spans="1:14" s="182" customFormat="1" x14ac:dyDescent="0.25">
      <c r="A87" s="229">
        <f t="shared" ref="A87:B87" si="257">A86+1</f>
        <v>3804</v>
      </c>
      <c r="B87" s="230">
        <f t="shared" si="257"/>
        <v>77</v>
      </c>
      <c r="C87" s="229" t="str">
        <f t="shared" si="218"/>
        <v>L62X38_125#000_05</v>
      </c>
      <c r="D87" s="197">
        <f t="shared" ref="D87:F87" si="258">D86</f>
        <v>37.5</v>
      </c>
      <c r="E87" s="204">
        <f t="shared" si="258"/>
        <v>4.125</v>
      </c>
      <c r="F87" s="198">
        <f t="shared" si="258"/>
        <v>11</v>
      </c>
      <c r="G87" s="198">
        <f t="shared" si="197"/>
        <v>8.8000000000000007</v>
      </c>
      <c r="H87" s="198">
        <f t="shared" si="198"/>
        <v>5.5</v>
      </c>
      <c r="I87" s="198">
        <f t="shared" ref="I87" si="259">I86</f>
        <v>8</v>
      </c>
      <c r="J87" s="199">
        <f t="shared" si="245"/>
        <v>125</v>
      </c>
      <c r="K87" s="194" t="str">
        <f>D87&amp;-5</f>
        <v>37.5-5</v>
      </c>
      <c r="L87" s="198">
        <f t="shared" ref="L87:N87" si="260">L86</f>
        <v>0.11</v>
      </c>
      <c r="M87" s="198">
        <f t="shared" si="260"/>
        <v>150</v>
      </c>
      <c r="N87" s="198">
        <f t="shared" si="260"/>
        <v>750</v>
      </c>
    </row>
    <row r="88" spans="1:14" s="182" customFormat="1" x14ac:dyDescent="0.25">
      <c r="A88" s="229">
        <f t="shared" ref="A88:B88" si="261">A87+1</f>
        <v>3805</v>
      </c>
      <c r="B88" s="230">
        <f t="shared" si="261"/>
        <v>78</v>
      </c>
      <c r="C88" s="229" t="str">
        <f t="shared" si="218"/>
        <v>L62X38_125#000_06</v>
      </c>
      <c r="D88" s="197">
        <f t="shared" ref="D88:F88" si="262">D87</f>
        <v>37.5</v>
      </c>
      <c r="E88" s="204">
        <f t="shared" si="262"/>
        <v>4.125</v>
      </c>
      <c r="F88" s="198">
        <f t="shared" si="262"/>
        <v>11</v>
      </c>
      <c r="G88" s="198">
        <f t="shared" si="197"/>
        <v>8.8000000000000007</v>
      </c>
      <c r="H88" s="198">
        <f t="shared" si="198"/>
        <v>5.5</v>
      </c>
      <c r="I88" s="198">
        <f t="shared" ref="I88" si="263">I87</f>
        <v>8</v>
      </c>
      <c r="J88" s="199">
        <f t="shared" si="245"/>
        <v>125</v>
      </c>
      <c r="K88" s="194" t="str">
        <f>D88&amp;-6</f>
        <v>37.5-6</v>
      </c>
      <c r="L88" s="198">
        <f t="shared" ref="L88:N88" si="264">L87</f>
        <v>0.11</v>
      </c>
      <c r="M88" s="198">
        <f t="shared" si="264"/>
        <v>150</v>
      </c>
      <c r="N88" s="198">
        <f t="shared" si="264"/>
        <v>750</v>
      </c>
    </row>
    <row r="89" spans="1:14" s="182" customFormat="1" x14ac:dyDescent="0.25">
      <c r="A89" s="229">
        <f t="shared" ref="A89:B89" si="265">A88+1</f>
        <v>3806</v>
      </c>
      <c r="B89" s="230">
        <f t="shared" si="265"/>
        <v>79</v>
      </c>
      <c r="C89" s="229" t="str">
        <f t="shared" si="218"/>
        <v>L62X38_135#000_01</v>
      </c>
      <c r="D89" s="197">
        <f t="shared" ref="D89:F89" si="266">D88</f>
        <v>37.5</v>
      </c>
      <c r="E89" s="204">
        <f t="shared" si="266"/>
        <v>4.125</v>
      </c>
      <c r="F89" s="198">
        <f t="shared" si="266"/>
        <v>11</v>
      </c>
      <c r="G89" s="198">
        <f t="shared" si="197"/>
        <v>8.8000000000000007</v>
      </c>
      <c r="H89" s="198">
        <f t="shared" si="198"/>
        <v>5.5</v>
      </c>
      <c r="I89" s="198">
        <f t="shared" ref="I89" si="267">I88</f>
        <v>8</v>
      </c>
      <c r="J89" s="199">
        <f t="shared" si="245"/>
        <v>135</v>
      </c>
      <c r="K89" s="194" t="str">
        <f>D89&amp;-1</f>
        <v>37.5-1</v>
      </c>
      <c r="L89" s="198">
        <f t="shared" ref="L89:N89" si="268">L88</f>
        <v>0.11</v>
      </c>
      <c r="M89" s="198">
        <f t="shared" si="268"/>
        <v>150</v>
      </c>
      <c r="N89" s="198">
        <f t="shared" si="268"/>
        <v>750</v>
      </c>
    </row>
    <row r="90" spans="1:14" s="182" customFormat="1" x14ac:dyDescent="0.25">
      <c r="A90" s="229">
        <f t="shared" ref="A90:B90" si="269">A89+1</f>
        <v>3807</v>
      </c>
      <c r="B90" s="230">
        <f t="shared" si="269"/>
        <v>80</v>
      </c>
      <c r="C90" s="229" t="str">
        <f t="shared" si="218"/>
        <v>L62X38_135#000_02</v>
      </c>
      <c r="D90" s="197">
        <f t="shared" ref="D90:F90" si="270">D89</f>
        <v>37.5</v>
      </c>
      <c r="E90" s="204">
        <f t="shared" si="270"/>
        <v>4.125</v>
      </c>
      <c r="F90" s="198">
        <f t="shared" si="270"/>
        <v>11</v>
      </c>
      <c r="G90" s="198">
        <f t="shared" si="197"/>
        <v>8.8000000000000007</v>
      </c>
      <c r="H90" s="198">
        <f t="shared" si="198"/>
        <v>5.5</v>
      </c>
      <c r="I90" s="198">
        <f t="shared" ref="I90" si="271">I89</f>
        <v>8</v>
      </c>
      <c r="J90" s="199">
        <f t="shared" si="245"/>
        <v>135</v>
      </c>
      <c r="K90" s="194" t="str">
        <f>D90&amp;-2</f>
        <v>37.5-2</v>
      </c>
      <c r="L90" s="198">
        <f t="shared" ref="L90:N90" si="272">L89</f>
        <v>0.11</v>
      </c>
      <c r="M90" s="198">
        <f t="shared" si="272"/>
        <v>150</v>
      </c>
      <c r="N90" s="198">
        <f t="shared" si="272"/>
        <v>750</v>
      </c>
    </row>
    <row r="91" spans="1:14" s="182" customFormat="1" x14ac:dyDescent="0.25">
      <c r="A91" s="229">
        <f t="shared" ref="A91:B91" si="273">A90+1</f>
        <v>3808</v>
      </c>
      <c r="B91" s="230">
        <f t="shared" si="273"/>
        <v>81</v>
      </c>
      <c r="C91" s="229" t="str">
        <f t="shared" si="218"/>
        <v>L62X38_135#000_03</v>
      </c>
      <c r="D91" s="197">
        <f t="shared" ref="D91:F91" si="274">D90</f>
        <v>37.5</v>
      </c>
      <c r="E91" s="204">
        <f t="shared" si="274"/>
        <v>4.125</v>
      </c>
      <c r="F91" s="198">
        <f t="shared" si="274"/>
        <v>11</v>
      </c>
      <c r="G91" s="198">
        <f t="shared" si="197"/>
        <v>8.8000000000000007</v>
      </c>
      <c r="H91" s="198">
        <f t="shared" si="198"/>
        <v>5.5</v>
      </c>
      <c r="I91" s="198">
        <f t="shared" ref="I91" si="275">I90</f>
        <v>8</v>
      </c>
      <c r="J91" s="199">
        <f t="shared" si="245"/>
        <v>135</v>
      </c>
      <c r="K91" s="194" t="str">
        <f>D91&amp;-3</f>
        <v>37.5-3</v>
      </c>
      <c r="L91" s="198">
        <f t="shared" ref="L91:N91" si="276">L90</f>
        <v>0.11</v>
      </c>
      <c r="M91" s="198">
        <f t="shared" si="276"/>
        <v>150</v>
      </c>
      <c r="N91" s="198">
        <f t="shared" si="276"/>
        <v>750</v>
      </c>
    </row>
    <row r="92" spans="1:14" s="182" customFormat="1" x14ac:dyDescent="0.25">
      <c r="A92" s="229">
        <f t="shared" ref="A92:B92" si="277">A91+1</f>
        <v>3809</v>
      </c>
      <c r="B92" s="230">
        <f t="shared" si="277"/>
        <v>82</v>
      </c>
      <c r="C92" s="229" t="str">
        <f t="shared" si="218"/>
        <v>L62X38_135#000_04</v>
      </c>
      <c r="D92" s="197">
        <f t="shared" ref="D92:F92" si="278">D91</f>
        <v>37.5</v>
      </c>
      <c r="E92" s="204">
        <f t="shared" si="278"/>
        <v>4.125</v>
      </c>
      <c r="F92" s="198">
        <f t="shared" si="278"/>
        <v>11</v>
      </c>
      <c r="G92" s="198">
        <f t="shared" si="197"/>
        <v>8.8000000000000007</v>
      </c>
      <c r="H92" s="198">
        <f t="shared" si="198"/>
        <v>5.5</v>
      </c>
      <c r="I92" s="198">
        <f t="shared" ref="I92" si="279">I91</f>
        <v>8</v>
      </c>
      <c r="J92" s="199">
        <f t="shared" si="245"/>
        <v>135</v>
      </c>
      <c r="K92" s="194" t="str">
        <f>D92&amp;-4</f>
        <v>37.5-4</v>
      </c>
      <c r="L92" s="198">
        <f t="shared" ref="L92:N92" si="280">L91</f>
        <v>0.11</v>
      </c>
      <c r="M92" s="198">
        <f t="shared" si="280"/>
        <v>150</v>
      </c>
      <c r="N92" s="198">
        <f t="shared" si="280"/>
        <v>750</v>
      </c>
    </row>
    <row r="93" spans="1:14" s="182" customFormat="1" x14ac:dyDescent="0.25">
      <c r="A93" s="229">
        <f t="shared" ref="A93:B93" si="281">A92+1</f>
        <v>3810</v>
      </c>
      <c r="B93" s="230">
        <f t="shared" si="281"/>
        <v>83</v>
      </c>
      <c r="C93" s="229" t="str">
        <f t="shared" si="218"/>
        <v>L62X38_135#000_05</v>
      </c>
      <c r="D93" s="197">
        <f t="shared" ref="D93:F93" si="282">D92</f>
        <v>37.5</v>
      </c>
      <c r="E93" s="204">
        <f t="shared" si="282"/>
        <v>4.125</v>
      </c>
      <c r="F93" s="198">
        <f t="shared" si="282"/>
        <v>11</v>
      </c>
      <c r="G93" s="198">
        <f t="shared" si="197"/>
        <v>8.8000000000000007</v>
      </c>
      <c r="H93" s="198">
        <f t="shared" si="198"/>
        <v>5.5</v>
      </c>
      <c r="I93" s="198">
        <f t="shared" ref="I93" si="283">I92</f>
        <v>8</v>
      </c>
      <c r="J93" s="199">
        <f t="shared" si="245"/>
        <v>135</v>
      </c>
      <c r="K93" s="194" t="str">
        <f>D93&amp;-5</f>
        <v>37.5-5</v>
      </c>
      <c r="L93" s="198">
        <f t="shared" ref="L93:N93" si="284">L92</f>
        <v>0.11</v>
      </c>
      <c r="M93" s="198">
        <f t="shared" si="284"/>
        <v>150</v>
      </c>
      <c r="N93" s="198">
        <f t="shared" si="284"/>
        <v>750</v>
      </c>
    </row>
    <row r="94" spans="1:14" s="182" customFormat="1" x14ac:dyDescent="0.25">
      <c r="A94" s="229">
        <f t="shared" ref="A94:B94" si="285">A93+1</f>
        <v>3811</v>
      </c>
      <c r="B94" s="230">
        <f t="shared" si="285"/>
        <v>84</v>
      </c>
      <c r="C94" s="229" t="str">
        <f t="shared" si="218"/>
        <v>L62X38_135#000_06</v>
      </c>
      <c r="D94" s="197">
        <f t="shared" ref="D94:F94" si="286">D93</f>
        <v>37.5</v>
      </c>
      <c r="E94" s="204">
        <f t="shared" si="286"/>
        <v>4.125</v>
      </c>
      <c r="F94" s="198">
        <f t="shared" si="286"/>
        <v>11</v>
      </c>
      <c r="G94" s="198">
        <f t="shared" si="197"/>
        <v>8.8000000000000007</v>
      </c>
      <c r="H94" s="198">
        <f t="shared" si="198"/>
        <v>5.5</v>
      </c>
      <c r="I94" s="198">
        <f t="shared" ref="I94" si="287">I93</f>
        <v>8</v>
      </c>
      <c r="J94" s="199">
        <f t="shared" si="245"/>
        <v>135</v>
      </c>
      <c r="K94" s="194" t="str">
        <f>D94&amp;-6</f>
        <v>37.5-6</v>
      </c>
      <c r="L94" s="198">
        <f t="shared" ref="L94:N94" si="288">L93</f>
        <v>0.11</v>
      </c>
      <c r="M94" s="198">
        <f t="shared" si="288"/>
        <v>150</v>
      </c>
      <c r="N94" s="198">
        <f t="shared" si="288"/>
        <v>750</v>
      </c>
    </row>
    <row r="95" spans="1:14" s="182" customFormat="1" x14ac:dyDescent="0.25">
      <c r="A95" s="229">
        <f t="shared" ref="A95:B95" si="289">A94+1</f>
        <v>3812</v>
      </c>
      <c r="B95" s="230">
        <f t="shared" si="289"/>
        <v>85</v>
      </c>
      <c r="C95" s="229" t="str">
        <f t="shared" si="218"/>
        <v>L62X38_145#000_01</v>
      </c>
      <c r="D95" s="197">
        <f t="shared" ref="D95:F95" si="290">D94</f>
        <v>37.5</v>
      </c>
      <c r="E95" s="204">
        <f t="shared" si="290"/>
        <v>4.125</v>
      </c>
      <c r="F95" s="198">
        <f t="shared" si="290"/>
        <v>11</v>
      </c>
      <c r="G95" s="198">
        <f t="shared" si="197"/>
        <v>8.8000000000000007</v>
      </c>
      <c r="H95" s="198">
        <f t="shared" si="198"/>
        <v>5.5</v>
      </c>
      <c r="I95" s="198">
        <f t="shared" ref="I95" si="291">I94</f>
        <v>8</v>
      </c>
      <c r="J95" s="199">
        <f t="shared" si="245"/>
        <v>145</v>
      </c>
      <c r="K95" s="194" t="str">
        <f>D95&amp;-1</f>
        <v>37.5-1</v>
      </c>
      <c r="L95" s="198">
        <f t="shared" ref="L95:N95" si="292">L94</f>
        <v>0.11</v>
      </c>
      <c r="M95" s="198">
        <f t="shared" si="292"/>
        <v>150</v>
      </c>
      <c r="N95" s="198">
        <f t="shared" si="292"/>
        <v>750</v>
      </c>
    </row>
    <row r="96" spans="1:14" s="182" customFormat="1" x14ac:dyDescent="0.25">
      <c r="A96" s="229">
        <f t="shared" ref="A96:B96" si="293">A95+1</f>
        <v>3813</v>
      </c>
      <c r="B96" s="230">
        <f t="shared" si="293"/>
        <v>86</v>
      </c>
      <c r="C96" s="229" t="str">
        <f t="shared" si="218"/>
        <v>L62X38_145#000_02</v>
      </c>
      <c r="D96" s="197">
        <f t="shared" ref="D96:F96" si="294">D95</f>
        <v>37.5</v>
      </c>
      <c r="E96" s="204">
        <f t="shared" si="294"/>
        <v>4.125</v>
      </c>
      <c r="F96" s="198">
        <f t="shared" si="294"/>
        <v>11</v>
      </c>
      <c r="G96" s="198">
        <f t="shared" si="197"/>
        <v>8.8000000000000007</v>
      </c>
      <c r="H96" s="198">
        <f t="shared" si="198"/>
        <v>5.5</v>
      </c>
      <c r="I96" s="198">
        <f t="shared" ref="I96" si="295">I95</f>
        <v>8</v>
      </c>
      <c r="J96" s="199">
        <f t="shared" si="245"/>
        <v>145</v>
      </c>
      <c r="K96" s="194" t="str">
        <f>D96&amp;-2</f>
        <v>37.5-2</v>
      </c>
      <c r="L96" s="198">
        <f t="shared" ref="L96:N96" si="296">L95</f>
        <v>0.11</v>
      </c>
      <c r="M96" s="198">
        <f t="shared" si="296"/>
        <v>150</v>
      </c>
      <c r="N96" s="198">
        <f t="shared" si="296"/>
        <v>750</v>
      </c>
    </row>
    <row r="97" spans="1:14" s="182" customFormat="1" x14ac:dyDescent="0.25">
      <c r="A97" s="229">
        <f t="shared" ref="A97:B97" si="297">A96+1</f>
        <v>3814</v>
      </c>
      <c r="B97" s="230">
        <f t="shared" si="297"/>
        <v>87</v>
      </c>
      <c r="C97" s="229" t="str">
        <f t="shared" si="218"/>
        <v>L62X38_145#000_03</v>
      </c>
      <c r="D97" s="197">
        <f t="shared" ref="D97:F97" si="298">D96</f>
        <v>37.5</v>
      </c>
      <c r="E97" s="204">
        <f t="shared" si="298"/>
        <v>4.125</v>
      </c>
      <c r="F97" s="198">
        <f t="shared" si="298"/>
        <v>11</v>
      </c>
      <c r="G97" s="198">
        <f t="shared" si="197"/>
        <v>8.8000000000000007</v>
      </c>
      <c r="H97" s="198">
        <f t="shared" si="198"/>
        <v>5.5</v>
      </c>
      <c r="I97" s="198">
        <f t="shared" ref="I97" si="299">I96</f>
        <v>8</v>
      </c>
      <c r="J97" s="199">
        <f t="shared" si="245"/>
        <v>145</v>
      </c>
      <c r="K97" s="194" t="str">
        <f>D97&amp;-3</f>
        <v>37.5-3</v>
      </c>
      <c r="L97" s="198">
        <f t="shared" ref="L97:N97" si="300">L96</f>
        <v>0.11</v>
      </c>
      <c r="M97" s="198">
        <f t="shared" si="300"/>
        <v>150</v>
      </c>
      <c r="N97" s="198">
        <f t="shared" si="300"/>
        <v>750</v>
      </c>
    </row>
    <row r="98" spans="1:14" s="182" customFormat="1" x14ac:dyDescent="0.25">
      <c r="A98" s="229">
        <f t="shared" ref="A98:B98" si="301">A97+1</f>
        <v>3815</v>
      </c>
      <c r="B98" s="230">
        <f t="shared" si="301"/>
        <v>88</v>
      </c>
      <c r="C98" s="229" t="str">
        <f t="shared" si="218"/>
        <v>L62X38_145#000_04</v>
      </c>
      <c r="D98" s="197">
        <f t="shared" ref="D98:F98" si="302">D97</f>
        <v>37.5</v>
      </c>
      <c r="E98" s="204">
        <f t="shared" si="302"/>
        <v>4.125</v>
      </c>
      <c r="F98" s="198">
        <f t="shared" si="302"/>
        <v>11</v>
      </c>
      <c r="G98" s="198">
        <f t="shared" si="197"/>
        <v>8.8000000000000007</v>
      </c>
      <c r="H98" s="198">
        <f t="shared" si="198"/>
        <v>5.5</v>
      </c>
      <c r="I98" s="198">
        <f t="shared" ref="I98" si="303">I97</f>
        <v>8</v>
      </c>
      <c r="J98" s="199">
        <f t="shared" si="245"/>
        <v>145</v>
      </c>
      <c r="K98" s="194" t="str">
        <f>D98&amp;-4</f>
        <v>37.5-4</v>
      </c>
      <c r="L98" s="198">
        <f t="shared" ref="L98:N98" si="304">L97</f>
        <v>0.11</v>
      </c>
      <c r="M98" s="198">
        <f t="shared" si="304"/>
        <v>150</v>
      </c>
      <c r="N98" s="198">
        <f t="shared" si="304"/>
        <v>750</v>
      </c>
    </row>
    <row r="99" spans="1:14" s="182" customFormat="1" x14ac:dyDescent="0.25">
      <c r="A99" s="229">
        <f t="shared" ref="A99:B99" si="305">A98+1</f>
        <v>3816</v>
      </c>
      <c r="B99" s="230">
        <f t="shared" si="305"/>
        <v>89</v>
      </c>
      <c r="C99" s="229" t="str">
        <f t="shared" si="218"/>
        <v>L62X38_145#000_05</v>
      </c>
      <c r="D99" s="197">
        <f t="shared" ref="D99:F99" si="306">D98</f>
        <v>37.5</v>
      </c>
      <c r="E99" s="204">
        <f t="shared" si="306"/>
        <v>4.125</v>
      </c>
      <c r="F99" s="198">
        <f t="shared" si="306"/>
        <v>11</v>
      </c>
      <c r="G99" s="198">
        <f t="shared" si="197"/>
        <v>8.8000000000000007</v>
      </c>
      <c r="H99" s="198">
        <f t="shared" si="198"/>
        <v>5.5</v>
      </c>
      <c r="I99" s="198">
        <f t="shared" ref="I99" si="307">I98</f>
        <v>8</v>
      </c>
      <c r="J99" s="199">
        <f t="shared" si="245"/>
        <v>145</v>
      </c>
      <c r="K99" s="194" t="str">
        <f>D99&amp;-5</f>
        <v>37.5-5</v>
      </c>
      <c r="L99" s="198">
        <f t="shared" ref="L99:N99" si="308">L98</f>
        <v>0.11</v>
      </c>
      <c r="M99" s="198">
        <f t="shared" si="308"/>
        <v>150</v>
      </c>
      <c r="N99" s="198">
        <f t="shared" si="308"/>
        <v>750</v>
      </c>
    </row>
    <row r="100" spans="1:14" s="182" customFormat="1" x14ac:dyDescent="0.25">
      <c r="A100" s="229">
        <f t="shared" ref="A100:B100" si="309">A99+1</f>
        <v>3817</v>
      </c>
      <c r="B100" s="230">
        <f t="shared" si="309"/>
        <v>90</v>
      </c>
      <c r="C100" s="229" t="str">
        <f t="shared" si="218"/>
        <v>L62X38_145#000_06</v>
      </c>
      <c r="D100" s="197">
        <f t="shared" ref="D100:F100" si="310">D99</f>
        <v>37.5</v>
      </c>
      <c r="E100" s="204">
        <f t="shared" si="310"/>
        <v>4.125</v>
      </c>
      <c r="F100" s="198">
        <f t="shared" si="310"/>
        <v>11</v>
      </c>
      <c r="G100" s="198">
        <f t="shared" si="197"/>
        <v>8.8000000000000007</v>
      </c>
      <c r="H100" s="198">
        <f t="shared" si="198"/>
        <v>5.5</v>
      </c>
      <c r="I100" s="198">
        <f t="shared" ref="I100:I115" si="311">I99</f>
        <v>8</v>
      </c>
      <c r="J100" s="199">
        <f t="shared" si="245"/>
        <v>145</v>
      </c>
      <c r="K100" s="194" t="str">
        <f>D100&amp;-6</f>
        <v>37.5-6</v>
      </c>
      <c r="L100" s="198">
        <f t="shared" ref="L100:N100" si="312">L99</f>
        <v>0.11</v>
      </c>
      <c r="M100" s="198">
        <f t="shared" si="312"/>
        <v>150</v>
      </c>
      <c r="N100" s="198">
        <f t="shared" si="312"/>
        <v>750</v>
      </c>
    </row>
    <row r="101" spans="1:14" s="182" customFormat="1" x14ac:dyDescent="0.25">
      <c r="A101" s="229">
        <f t="shared" ref="A101:B101" si="313">A100+1</f>
        <v>3818</v>
      </c>
      <c r="B101" s="230">
        <f t="shared" si="313"/>
        <v>91</v>
      </c>
      <c r="C101" s="229" t="str">
        <f t="shared" si="218"/>
        <v>L62X38_155#000_01</v>
      </c>
      <c r="D101" s="197">
        <f t="shared" ref="D101:F101" si="314">D100</f>
        <v>37.5</v>
      </c>
      <c r="E101" s="204">
        <f t="shared" si="314"/>
        <v>4.125</v>
      </c>
      <c r="F101" s="198">
        <f t="shared" si="314"/>
        <v>11</v>
      </c>
      <c r="G101" s="198">
        <f t="shared" si="197"/>
        <v>8.8000000000000007</v>
      </c>
      <c r="H101" s="198">
        <f t="shared" si="198"/>
        <v>5.5</v>
      </c>
      <c r="I101" s="198">
        <f t="shared" si="311"/>
        <v>8</v>
      </c>
      <c r="J101" s="199">
        <f t="shared" si="245"/>
        <v>155</v>
      </c>
      <c r="K101" s="194" t="str">
        <f>D101&amp;-1</f>
        <v>37.5-1</v>
      </c>
      <c r="L101" s="198">
        <f t="shared" ref="L101:N101" si="315">L100</f>
        <v>0.11</v>
      </c>
      <c r="M101" s="198">
        <f t="shared" si="315"/>
        <v>150</v>
      </c>
      <c r="N101" s="198">
        <f t="shared" si="315"/>
        <v>750</v>
      </c>
    </row>
    <row r="102" spans="1:14" s="182" customFormat="1" x14ac:dyDescent="0.25">
      <c r="A102" s="229">
        <f t="shared" ref="A102:B102" si="316">A101+1</f>
        <v>3819</v>
      </c>
      <c r="B102" s="230">
        <f t="shared" si="316"/>
        <v>92</v>
      </c>
      <c r="C102" s="229" t="str">
        <f t="shared" si="218"/>
        <v>L62X38_155#000_02</v>
      </c>
      <c r="D102" s="197">
        <f t="shared" ref="D102:F102" si="317">D101</f>
        <v>37.5</v>
      </c>
      <c r="E102" s="204">
        <f t="shared" si="317"/>
        <v>4.125</v>
      </c>
      <c r="F102" s="198">
        <f t="shared" si="317"/>
        <v>11</v>
      </c>
      <c r="G102" s="198">
        <f t="shared" si="197"/>
        <v>8.8000000000000007</v>
      </c>
      <c r="H102" s="198">
        <f t="shared" si="198"/>
        <v>5.5</v>
      </c>
      <c r="I102" s="198">
        <f t="shared" si="311"/>
        <v>8</v>
      </c>
      <c r="J102" s="199">
        <f t="shared" si="245"/>
        <v>155</v>
      </c>
      <c r="K102" s="194" t="str">
        <f>D102&amp;-2</f>
        <v>37.5-2</v>
      </c>
      <c r="L102" s="198">
        <f t="shared" ref="L102:N102" si="318">L101</f>
        <v>0.11</v>
      </c>
      <c r="M102" s="198">
        <f t="shared" si="318"/>
        <v>150</v>
      </c>
      <c r="N102" s="198">
        <f t="shared" si="318"/>
        <v>750</v>
      </c>
    </row>
    <row r="103" spans="1:14" s="182" customFormat="1" x14ac:dyDescent="0.25">
      <c r="A103" s="229">
        <f t="shared" ref="A103:B103" si="319">A102+1</f>
        <v>3820</v>
      </c>
      <c r="B103" s="230">
        <f t="shared" si="319"/>
        <v>93</v>
      </c>
      <c r="C103" s="229" t="str">
        <f t="shared" si="218"/>
        <v>L62X38_155#000_03</v>
      </c>
      <c r="D103" s="197">
        <f t="shared" ref="D103:F103" si="320">D102</f>
        <v>37.5</v>
      </c>
      <c r="E103" s="204">
        <f t="shared" si="320"/>
        <v>4.125</v>
      </c>
      <c r="F103" s="198">
        <f t="shared" si="320"/>
        <v>11</v>
      </c>
      <c r="G103" s="198">
        <f t="shared" si="197"/>
        <v>8.8000000000000007</v>
      </c>
      <c r="H103" s="198">
        <f t="shared" si="198"/>
        <v>5.5</v>
      </c>
      <c r="I103" s="198">
        <f t="shared" si="311"/>
        <v>8</v>
      </c>
      <c r="J103" s="199">
        <f t="shared" si="245"/>
        <v>155</v>
      </c>
      <c r="K103" s="194" t="str">
        <f>D103&amp;-3</f>
        <v>37.5-3</v>
      </c>
      <c r="L103" s="198">
        <f t="shared" ref="L103:N103" si="321">L102</f>
        <v>0.11</v>
      </c>
      <c r="M103" s="198">
        <f t="shared" si="321"/>
        <v>150</v>
      </c>
      <c r="N103" s="198">
        <f t="shared" si="321"/>
        <v>750</v>
      </c>
    </row>
    <row r="104" spans="1:14" s="182" customFormat="1" x14ac:dyDescent="0.25">
      <c r="A104" s="229">
        <f t="shared" ref="A104:B104" si="322">A103+1</f>
        <v>3821</v>
      </c>
      <c r="B104" s="230">
        <f t="shared" si="322"/>
        <v>94</v>
      </c>
      <c r="C104" s="229" t="str">
        <f t="shared" si="218"/>
        <v>L62X38_155#000_04</v>
      </c>
      <c r="D104" s="197">
        <f t="shared" ref="D104:F104" si="323">D103</f>
        <v>37.5</v>
      </c>
      <c r="E104" s="204">
        <f t="shared" si="323"/>
        <v>4.125</v>
      </c>
      <c r="F104" s="198">
        <f t="shared" si="323"/>
        <v>11</v>
      </c>
      <c r="G104" s="198">
        <f t="shared" si="197"/>
        <v>8.8000000000000007</v>
      </c>
      <c r="H104" s="198">
        <f t="shared" si="198"/>
        <v>5.5</v>
      </c>
      <c r="I104" s="198">
        <f t="shared" si="311"/>
        <v>8</v>
      </c>
      <c r="J104" s="199">
        <f t="shared" si="245"/>
        <v>155</v>
      </c>
      <c r="K104" s="194" t="str">
        <f>D104&amp;-4</f>
        <v>37.5-4</v>
      </c>
      <c r="L104" s="198">
        <f t="shared" ref="L104:N104" si="324">L103</f>
        <v>0.11</v>
      </c>
      <c r="M104" s="198">
        <f t="shared" si="324"/>
        <v>150</v>
      </c>
      <c r="N104" s="198">
        <f t="shared" si="324"/>
        <v>750</v>
      </c>
    </row>
    <row r="105" spans="1:14" s="182" customFormat="1" x14ac:dyDescent="0.25">
      <c r="A105" s="229">
        <f t="shared" ref="A105:B105" si="325">A104+1</f>
        <v>3822</v>
      </c>
      <c r="B105" s="230">
        <f t="shared" si="325"/>
        <v>95</v>
      </c>
      <c r="C105" s="229" t="str">
        <f t="shared" si="218"/>
        <v>L62X38_155#000_05</v>
      </c>
      <c r="D105" s="197">
        <f t="shared" ref="D105:F105" si="326">D104</f>
        <v>37.5</v>
      </c>
      <c r="E105" s="204">
        <f t="shared" si="326"/>
        <v>4.125</v>
      </c>
      <c r="F105" s="198">
        <f t="shared" si="326"/>
        <v>11</v>
      </c>
      <c r="G105" s="198">
        <f t="shared" si="197"/>
        <v>8.8000000000000007</v>
      </c>
      <c r="H105" s="198">
        <f t="shared" si="198"/>
        <v>5.5</v>
      </c>
      <c r="I105" s="198">
        <f t="shared" si="311"/>
        <v>8</v>
      </c>
      <c r="J105" s="199">
        <f t="shared" si="245"/>
        <v>155</v>
      </c>
      <c r="K105" s="194" t="str">
        <f>D105&amp;-5</f>
        <v>37.5-5</v>
      </c>
      <c r="L105" s="198">
        <f t="shared" ref="L105:N105" si="327">L104</f>
        <v>0.11</v>
      </c>
      <c r="M105" s="198">
        <f t="shared" si="327"/>
        <v>150</v>
      </c>
      <c r="N105" s="198">
        <f t="shared" si="327"/>
        <v>750</v>
      </c>
    </row>
    <row r="106" spans="1:14" s="182" customFormat="1" x14ac:dyDescent="0.25">
      <c r="A106" s="229">
        <f t="shared" ref="A106:B106" si="328">A105+1</f>
        <v>3823</v>
      </c>
      <c r="B106" s="230">
        <f t="shared" si="328"/>
        <v>96</v>
      </c>
      <c r="C106" s="229" t="str">
        <f t="shared" si="218"/>
        <v>L62X38_155#000_06</v>
      </c>
      <c r="D106" s="197">
        <f t="shared" ref="D106:F106" si="329">D105</f>
        <v>37.5</v>
      </c>
      <c r="E106" s="204">
        <f t="shared" si="329"/>
        <v>4.125</v>
      </c>
      <c r="F106" s="198">
        <f t="shared" si="329"/>
        <v>11</v>
      </c>
      <c r="G106" s="198">
        <f t="shared" si="197"/>
        <v>8.8000000000000007</v>
      </c>
      <c r="H106" s="198">
        <f t="shared" si="198"/>
        <v>5.5</v>
      </c>
      <c r="I106" s="198">
        <f t="shared" si="311"/>
        <v>8</v>
      </c>
      <c r="J106" s="199">
        <f t="shared" si="245"/>
        <v>155</v>
      </c>
      <c r="K106" s="194" t="str">
        <f>D106&amp;-6</f>
        <v>37.5-6</v>
      </c>
      <c r="L106" s="198">
        <f t="shared" ref="L106:N106" si="330">L105</f>
        <v>0.11</v>
      </c>
      <c r="M106" s="198">
        <f t="shared" si="330"/>
        <v>150</v>
      </c>
      <c r="N106" s="198">
        <f t="shared" si="330"/>
        <v>750</v>
      </c>
    </row>
    <row r="107" spans="1:14" s="182" customFormat="1" x14ac:dyDescent="0.25">
      <c r="A107" s="229">
        <f t="shared" ref="A107:B107" si="331">A106+1</f>
        <v>3824</v>
      </c>
      <c r="B107" s="230">
        <f t="shared" si="331"/>
        <v>97</v>
      </c>
      <c r="C107" s="229" t="str">
        <f t="shared" si="218"/>
        <v>L62X38_165#000_01</v>
      </c>
      <c r="D107" s="197">
        <f t="shared" ref="D107:F107" si="332">D106</f>
        <v>37.5</v>
      </c>
      <c r="E107" s="204">
        <f t="shared" si="332"/>
        <v>4.125</v>
      </c>
      <c r="F107" s="198">
        <f t="shared" si="332"/>
        <v>11</v>
      </c>
      <c r="G107" s="198">
        <f t="shared" si="197"/>
        <v>8.8000000000000007</v>
      </c>
      <c r="H107" s="198">
        <f t="shared" si="198"/>
        <v>5.5</v>
      </c>
      <c r="I107" s="198">
        <f t="shared" si="311"/>
        <v>8</v>
      </c>
      <c r="J107" s="199">
        <f t="shared" si="245"/>
        <v>165</v>
      </c>
      <c r="K107" s="194" t="str">
        <f>D107&amp;-1</f>
        <v>37.5-1</v>
      </c>
      <c r="L107" s="198">
        <f t="shared" ref="L107:N107" si="333">L106</f>
        <v>0.11</v>
      </c>
      <c r="M107" s="198">
        <f t="shared" si="333"/>
        <v>150</v>
      </c>
      <c r="N107" s="198">
        <f t="shared" si="333"/>
        <v>750</v>
      </c>
    </row>
    <row r="108" spans="1:14" s="182" customFormat="1" x14ac:dyDescent="0.25">
      <c r="A108" s="229">
        <f t="shared" ref="A108:B108" si="334">A107+1</f>
        <v>3825</v>
      </c>
      <c r="B108" s="230">
        <f t="shared" si="334"/>
        <v>98</v>
      </c>
      <c r="C108" s="229" t="str">
        <f t="shared" si="218"/>
        <v>L62X38_165#000_02</v>
      </c>
      <c r="D108" s="197">
        <f t="shared" ref="D108:F108" si="335">D107</f>
        <v>37.5</v>
      </c>
      <c r="E108" s="204">
        <f t="shared" si="335"/>
        <v>4.125</v>
      </c>
      <c r="F108" s="198">
        <f t="shared" si="335"/>
        <v>11</v>
      </c>
      <c r="G108" s="198">
        <f t="shared" si="197"/>
        <v>8.8000000000000007</v>
      </c>
      <c r="H108" s="198">
        <f t="shared" si="198"/>
        <v>5.5</v>
      </c>
      <c r="I108" s="198">
        <f t="shared" si="311"/>
        <v>8</v>
      </c>
      <c r="J108" s="199">
        <f t="shared" si="245"/>
        <v>165</v>
      </c>
      <c r="K108" s="194" t="str">
        <f>D108&amp;-2</f>
        <v>37.5-2</v>
      </c>
      <c r="L108" s="198">
        <f t="shared" ref="L108:N108" si="336">L107</f>
        <v>0.11</v>
      </c>
      <c r="M108" s="198">
        <f t="shared" si="336"/>
        <v>150</v>
      </c>
      <c r="N108" s="198">
        <f t="shared" si="336"/>
        <v>750</v>
      </c>
    </row>
    <row r="109" spans="1:14" s="182" customFormat="1" x14ac:dyDescent="0.25">
      <c r="A109" s="229">
        <f t="shared" ref="A109:B109" si="337">A108+1</f>
        <v>3826</v>
      </c>
      <c r="B109" s="230">
        <f t="shared" si="337"/>
        <v>99</v>
      </c>
      <c r="C109" s="229" t="str">
        <f t="shared" si="218"/>
        <v>L62X38_165#000_03</v>
      </c>
      <c r="D109" s="197">
        <f t="shared" ref="D109:F109" si="338">D108</f>
        <v>37.5</v>
      </c>
      <c r="E109" s="204">
        <f t="shared" si="338"/>
        <v>4.125</v>
      </c>
      <c r="F109" s="198">
        <f t="shared" si="338"/>
        <v>11</v>
      </c>
      <c r="G109" s="198">
        <f t="shared" si="197"/>
        <v>8.8000000000000007</v>
      </c>
      <c r="H109" s="198">
        <f t="shared" si="198"/>
        <v>5.5</v>
      </c>
      <c r="I109" s="198">
        <f t="shared" si="311"/>
        <v>8</v>
      </c>
      <c r="J109" s="199">
        <f t="shared" si="245"/>
        <v>165</v>
      </c>
      <c r="K109" s="194" t="str">
        <f>D109&amp;-3</f>
        <v>37.5-3</v>
      </c>
      <c r="L109" s="198">
        <f t="shared" ref="L109:N109" si="339">L108</f>
        <v>0.11</v>
      </c>
      <c r="M109" s="198">
        <f t="shared" si="339"/>
        <v>150</v>
      </c>
      <c r="N109" s="198">
        <f t="shared" si="339"/>
        <v>750</v>
      </c>
    </row>
    <row r="110" spans="1:14" s="182" customFormat="1" x14ac:dyDescent="0.25">
      <c r="A110" s="229">
        <f t="shared" ref="A110:B110" si="340">A109+1</f>
        <v>3827</v>
      </c>
      <c r="B110" s="230">
        <f t="shared" si="340"/>
        <v>100</v>
      </c>
      <c r="C110" s="229" t="str">
        <f t="shared" si="218"/>
        <v>L62X38_165#000_04</v>
      </c>
      <c r="D110" s="197">
        <f t="shared" ref="D110:F110" si="341">D109</f>
        <v>37.5</v>
      </c>
      <c r="E110" s="204">
        <f t="shared" si="341"/>
        <v>4.125</v>
      </c>
      <c r="F110" s="198">
        <f t="shared" si="341"/>
        <v>11</v>
      </c>
      <c r="G110" s="198">
        <f t="shared" si="197"/>
        <v>8.8000000000000007</v>
      </c>
      <c r="H110" s="198">
        <f t="shared" si="198"/>
        <v>5.5</v>
      </c>
      <c r="I110" s="198">
        <f t="shared" si="311"/>
        <v>8</v>
      </c>
      <c r="J110" s="199">
        <f t="shared" si="245"/>
        <v>165</v>
      </c>
      <c r="K110" s="194" t="str">
        <f>D110&amp;-4</f>
        <v>37.5-4</v>
      </c>
      <c r="L110" s="198">
        <f t="shared" ref="L110:N110" si="342">L109</f>
        <v>0.11</v>
      </c>
      <c r="M110" s="198">
        <f t="shared" si="342"/>
        <v>150</v>
      </c>
      <c r="N110" s="198">
        <f t="shared" si="342"/>
        <v>750</v>
      </c>
    </row>
    <row r="111" spans="1:14" s="182" customFormat="1" x14ac:dyDescent="0.25">
      <c r="A111" s="229">
        <f t="shared" ref="A111:B111" si="343">A110+1</f>
        <v>3828</v>
      </c>
      <c r="B111" s="230">
        <f t="shared" si="343"/>
        <v>101</v>
      </c>
      <c r="C111" s="229" t="str">
        <f t="shared" si="218"/>
        <v>L62X38_165#000_05</v>
      </c>
      <c r="D111" s="197">
        <f t="shared" ref="D111:F111" si="344">D110</f>
        <v>37.5</v>
      </c>
      <c r="E111" s="204">
        <f t="shared" si="344"/>
        <v>4.125</v>
      </c>
      <c r="F111" s="198">
        <f t="shared" si="344"/>
        <v>11</v>
      </c>
      <c r="G111" s="198">
        <f t="shared" si="197"/>
        <v>8.8000000000000007</v>
      </c>
      <c r="H111" s="198">
        <f t="shared" si="198"/>
        <v>5.5</v>
      </c>
      <c r="I111" s="198">
        <f t="shared" si="311"/>
        <v>8</v>
      </c>
      <c r="J111" s="199">
        <f t="shared" si="245"/>
        <v>165</v>
      </c>
      <c r="K111" s="194" t="str">
        <f>D111&amp;-5</f>
        <v>37.5-5</v>
      </c>
      <c r="L111" s="198">
        <f t="shared" ref="L111:N111" si="345">L110</f>
        <v>0.11</v>
      </c>
      <c r="M111" s="198">
        <f t="shared" si="345"/>
        <v>150</v>
      </c>
      <c r="N111" s="198">
        <f t="shared" si="345"/>
        <v>750</v>
      </c>
    </row>
    <row r="112" spans="1:14" s="182" customFormat="1" x14ac:dyDescent="0.25">
      <c r="A112" s="229">
        <f t="shared" ref="A112:B112" si="346">A111+1</f>
        <v>3829</v>
      </c>
      <c r="B112" s="230">
        <f t="shared" si="346"/>
        <v>102</v>
      </c>
      <c r="C112" s="229" t="str">
        <f t="shared" si="218"/>
        <v>L62X38_165#000_06</v>
      </c>
      <c r="D112" s="197">
        <f t="shared" ref="D112:F112" si="347">D111</f>
        <v>37.5</v>
      </c>
      <c r="E112" s="204">
        <f t="shared" si="347"/>
        <v>4.125</v>
      </c>
      <c r="F112" s="198">
        <f t="shared" si="347"/>
        <v>11</v>
      </c>
      <c r="G112" s="198">
        <f t="shared" si="197"/>
        <v>8.8000000000000007</v>
      </c>
      <c r="H112" s="198">
        <f t="shared" si="198"/>
        <v>5.5</v>
      </c>
      <c r="I112" s="198">
        <f t="shared" si="311"/>
        <v>8</v>
      </c>
      <c r="J112" s="199">
        <f t="shared" si="245"/>
        <v>165</v>
      </c>
      <c r="K112" s="194" t="str">
        <f>D112&amp;-6</f>
        <v>37.5-6</v>
      </c>
      <c r="L112" s="198">
        <f t="shared" ref="L112:N112" si="348">L111</f>
        <v>0.11</v>
      </c>
      <c r="M112" s="198">
        <f t="shared" si="348"/>
        <v>150</v>
      </c>
      <c r="N112" s="198">
        <f t="shared" si="348"/>
        <v>750</v>
      </c>
    </row>
    <row r="113" spans="1:14" s="182" customFormat="1" x14ac:dyDescent="0.25">
      <c r="A113" s="229">
        <f t="shared" ref="A113:B113" si="349">A112+1</f>
        <v>3830</v>
      </c>
      <c r="B113" s="230">
        <f t="shared" si="349"/>
        <v>103</v>
      </c>
      <c r="C113" s="229" t="str">
        <f t="shared" si="218"/>
        <v>L62X38_175#000_01</v>
      </c>
      <c r="D113" s="197">
        <f t="shared" ref="D113:F113" si="350">D112</f>
        <v>37.5</v>
      </c>
      <c r="E113" s="204">
        <f t="shared" si="350"/>
        <v>4.125</v>
      </c>
      <c r="F113" s="198">
        <f t="shared" si="350"/>
        <v>11</v>
      </c>
      <c r="G113" s="198">
        <f t="shared" si="197"/>
        <v>8.8000000000000007</v>
      </c>
      <c r="H113" s="198">
        <f t="shared" si="198"/>
        <v>5.5</v>
      </c>
      <c r="I113" s="198">
        <f t="shared" si="311"/>
        <v>8</v>
      </c>
      <c r="J113" s="199">
        <f t="shared" si="245"/>
        <v>175</v>
      </c>
      <c r="K113" s="194" t="str">
        <f>D113&amp;-1</f>
        <v>37.5-1</v>
      </c>
      <c r="L113" s="198">
        <f t="shared" ref="L113:N113" si="351">L112</f>
        <v>0.11</v>
      </c>
      <c r="M113" s="198">
        <f t="shared" si="351"/>
        <v>150</v>
      </c>
      <c r="N113" s="198">
        <f t="shared" si="351"/>
        <v>750</v>
      </c>
    </row>
    <row r="114" spans="1:14" s="182" customFormat="1" x14ac:dyDescent="0.25">
      <c r="A114" s="229">
        <f t="shared" ref="A114:B114" si="352">A113+1</f>
        <v>3831</v>
      </c>
      <c r="B114" s="230">
        <f t="shared" si="352"/>
        <v>104</v>
      </c>
      <c r="C114" s="229" t="str">
        <f t="shared" si="218"/>
        <v>L62X38_175#000_02</v>
      </c>
      <c r="D114" s="197">
        <f t="shared" ref="D114:F114" si="353">D113</f>
        <v>37.5</v>
      </c>
      <c r="E114" s="204">
        <f t="shared" si="353"/>
        <v>4.125</v>
      </c>
      <c r="F114" s="198">
        <f t="shared" si="353"/>
        <v>11</v>
      </c>
      <c r="G114" s="198">
        <f t="shared" si="197"/>
        <v>8.8000000000000007</v>
      </c>
      <c r="H114" s="198">
        <f t="shared" si="198"/>
        <v>5.5</v>
      </c>
      <c r="I114" s="198">
        <f t="shared" si="311"/>
        <v>8</v>
      </c>
      <c r="J114" s="199">
        <f t="shared" si="245"/>
        <v>175</v>
      </c>
      <c r="K114" s="194" t="str">
        <f>D114&amp;-2</f>
        <v>37.5-2</v>
      </c>
      <c r="L114" s="198">
        <f t="shared" ref="L114:N114" si="354">L113</f>
        <v>0.11</v>
      </c>
      <c r="M114" s="198">
        <f t="shared" si="354"/>
        <v>150</v>
      </c>
      <c r="N114" s="198">
        <f t="shared" si="354"/>
        <v>750</v>
      </c>
    </row>
    <row r="115" spans="1:14" s="182" customFormat="1" x14ac:dyDescent="0.25">
      <c r="A115" s="229">
        <f t="shared" ref="A115:B115" si="355">A114+1</f>
        <v>3832</v>
      </c>
      <c r="B115" s="230">
        <f t="shared" si="355"/>
        <v>105</v>
      </c>
      <c r="C115" s="229" t="str">
        <f t="shared" si="218"/>
        <v>L62X38_175#000_03</v>
      </c>
      <c r="D115" s="197">
        <f t="shared" ref="D115:F115" si="356">D114</f>
        <v>37.5</v>
      </c>
      <c r="E115" s="204">
        <f t="shared" si="356"/>
        <v>4.125</v>
      </c>
      <c r="F115" s="198">
        <f t="shared" si="356"/>
        <v>11</v>
      </c>
      <c r="G115" s="198">
        <f t="shared" si="197"/>
        <v>8.8000000000000007</v>
      </c>
      <c r="H115" s="198">
        <f t="shared" si="198"/>
        <v>5.5</v>
      </c>
      <c r="I115" s="198">
        <f t="shared" si="311"/>
        <v>8</v>
      </c>
      <c r="J115" s="199">
        <f t="shared" si="245"/>
        <v>175</v>
      </c>
      <c r="K115" s="194" t="str">
        <f>D115&amp;-3</f>
        <v>37.5-3</v>
      </c>
      <c r="L115" s="198">
        <f t="shared" ref="L115:N115" si="357">L114</f>
        <v>0.11</v>
      </c>
      <c r="M115" s="198">
        <f t="shared" si="357"/>
        <v>150</v>
      </c>
      <c r="N115" s="198">
        <f t="shared" si="357"/>
        <v>750</v>
      </c>
    </row>
    <row r="116" spans="1:14" s="182" customFormat="1" x14ac:dyDescent="0.25">
      <c r="A116" s="229">
        <f t="shared" ref="A116:B116" si="358">A115+1</f>
        <v>3833</v>
      </c>
      <c r="B116" s="230">
        <f t="shared" si="358"/>
        <v>106</v>
      </c>
      <c r="C116" s="229" t="str">
        <f t="shared" si="218"/>
        <v>L62X38_175#000_04</v>
      </c>
      <c r="D116" s="197">
        <f t="shared" ref="D116:F116" si="359">D115</f>
        <v>37.5</v>
      </c>
      <c r="E116" s="204">
        <f t="shared" si="359"/>
        <v>4.125</v>
      </c>
      <c r="F116" s="198">
        <f t="shared" si="359"/>
        <v>11</v>
      </c>
      <c r="G116" s="198">
        <f t="shared" si="197"/>
        <v>8.8000000000000007</v>
      </c>
      <c r="H116" s="198">
        <f t="shared" si="198"/>
        <v>5.5</v>
      </c>
      <c r="I116" s="198">
        <f t="shared" ref="I116:I154" si="360">I115</f>
        <v>8</v>
      </c>
      <c r="J116" s="199">
        <f t="shared" si="245"/>
        <v>175</v>
      </c>
      <c r="K116" s="194" t="str">
        <f>D116&amp;-4</f>
        <v>37.5-4</v>
      </c>
      <c r="L116" s="198">
        <f t="shared" ref="L116:N116" si="361">L115</f>
        <v>0.11</v>
      </c>
      <c r="M116" s="198">
        <f t="shared" si="361"/>
        <v>150</v>
      </c>
      <c r="N116" s="198">
        <f t="shared" si="361"/>
        <v>750</v>
      </c>
    </row>
    <row r="117" spans="1:14" s="182" customFormat="1" x14ac:dyDescent="0.25">
      <c r="A117" s="229">
        <f t="shared" ref="A117:B117" si="362">A116+1</f>
        <v>3834</v>
      </c>
      <c r="B117" s="230">
        <f t="shared" si="362"/>
        <v>107</v>
      </c>
      <c r="C117" s="229" t="str">
        <f t="shared" si="218"/>
        <v>L62X38_175#000_05</v>
      </c>
      <c r="D117" s="197">
        <f t="shared" ref="D117:F117" si="363">D116</f>
        <v>37.5</v>
      </c>
      <c r="E117" s="204">
        <f t="shared" si="363"/>
        <v>4.125</v>
      </c>
      <c r="F117" s="198">
        <f t="shared" si="363"/>
        <v>11</v>
      </c>
      <c r="G117" s="198">
        <f t="shared" si="197"/>
        <v>8.8000000000000007</v>
      </c>
      <c r="H117" s="198">
        <f t="shared" si="198"/>
        <v>5.5</v>
      </c>
      <c r="I117" s="198">
        <f t="shared" si="360"/>
        <v>8</v>
      </c>
      <c r="J117" s="199">
        <f t="shared" si="245"/>
        <v>175</v>
      </c>
      <c r="K117" s="194" t="str">
        <f>D117&amp;-5</f>
        <v>37.5-5</v>
      </c>
      <c r="L117" s="198">
        <f t="shared" ref="L117:N117" si="364">L116</f>
        <v>0.11</v>
      </c>
      <c r="M117" s="198">
        <f t="shared" si="364"/>
        <v>150</v>
      </c>
      <c r="N117" s="198">
        <f t="shared" si="364"/>
        <v>750</v>
      </c>
    </row>
    <row r="118" spans="1:14" s="182" customFormat="1" x14ac:dyDescent="0.25">
      <c r="A118" s="229">
        <f t="shared" ref="A118:B118" si="365">A117+1</f>
        <v>3835</v>
      </c>
      <c r="B118" s="230">
        <f t="shared" si="365"/>
        <v>108</v>
      </c>
      <c r="C118" s="229" t="str">
        <f t="shared" si="218"/>
        <v>L62X38_175#000_06</v>
      </c>
      <c r="D118" s="197">
        <f t="shared" ref="D118:F118" si="366">D117</f>
        <v>37.5</v>
      </c>
      <c r="E118" s="204">
        <f t="shared" si="366"/>
        <v>4.125</v>
      </c>
      <c r="F118" s="198">
        <f t="shared" si="366"/>
        <v>11</v>
      </c>
      <c r="G118" s="198">
        <f t="shared" si="197"/>
        <v>8.8000000000000007</v>
      </c>
      <c r="H118" s="198">
        <f t="shared" si="198"/>
        <v>5.5</v>
      </c>
      <c r="I118" s="198">
        <f t="shared" si="360"/>
        <v>8</v>
      </c>
      <c r="J118" s="199">
        <f t="shared" si="245"/>
        <v>175</v>
      </c>
      <c r="K118" s="194" t="str">
        <f>D118&amp;-6</f>
        <v>37.5-6</v>
      </c>
      <c r="L118" s="198">
        <f t="shared" ref="L118:N118" si="367">L117</f>
        <v>0.11</v>
      </c>
      <c r="M118" s="198">
        <f t="shared" si="367"/>
        <v>150</v>
      </c>
      <c r="N118" s="198">
        <f t="shared" si="367"/>
        <v>750</v>
      </c>
    </row>
    <row r="119" spans="1:14" s="182" customFormat="1" x14ac:dyDescent="0.25">
      <c r="A119" s="229">
        <f t="shared" ref="A119:B119" si="368">A118+1</f>
        <v>3836</v>
      </c>
      <c r="B119" s="230">
        <f t="shared" si="368"/>
        <v>109</v>
      </c>
      <c r="C119" s="229" t="str">
        <f t="shared" si="218"/>
        <v>L62X38_185#000_01</v>
      </c>
      <c r="D119" s="197">
        <f t="shared" ref="D119:F119" si="369">D118</f>
        <v>37.5</v>
      </c>
      <c r="E119" s="204">
        <f t="shared" si="369"/>
        <v>4.125</v>
      </c>
      <c r="F119" s="198">
        <f t="shared" si="369"/>
        <v>11</v>
      </c>
      <c r="G119" s="198">
        <f t="shared" si="197"/>
        <v>8.8000000000000007</v>
      </c>
      <c r="H119" s="198">
        <f t="shared" si="198"/>
        <v>5.5</v>
      </c>
      <c r="I119" s="198">
        <f t="shared" si="360"/>
        <v>8</v>
      </c>
      <c r="J119" s="199">
        <f t="shared" si="245"/>
        <v>185</v>
      </c>
      <c r="K119" s="194" t="str">
        <f>D119&amp;-1</f>
        <v>37.5-1</v>
      </c>
      <c r="L119" s="198">
        <f t="shared" ref="L119:N119" si="370">L118</f>
        <v>0.11</v>
      </c>
      <c r="M119" s="198">
        <f t="shared" si="370"/>
        <v>150</v>
      </c>
      <c r="N119" s="198">
        <f t="shared" si="370"/>
        <v>750</v>
      </c>
    </row>
    <row r="120" spans="1:14" s="182" customFormat="1" x14ac:dyDescent="0.25">
      <c r="A120" s="229">
        <f t="shared" ref="A120:B120" si="371">A119+1</f>
        <v>3837</v>
      </c>
      <c r="B120" s="230">
        <f t="shared" si="371"/>
        <v>110</v>
      </c>
      <c r="C120" s="229" t="str">
        <f t="shared" si="218"/>
        <v>L62X38_185#000_02</v>
      </c>
      <c r="D120" s="197">
        <f t="shared" ref="D120:F120" si="372">D119</f>
        <v>37.5</v>
      </c>
      <c r="E120" s="204">
        <f t="shared" si="372"/>
        <v>4.125</v>
      </c>
      <c r="F120" s="198">
        <f t="shared" si="372"/>
        <v>11</v>
      </c>
      <c r="G120" s="198">
        <f t="shared" si="197"/>
        <v>8.8000000000000007</v>
      </c>
      <c r="H120" s="198">
        <f t="shared" si="198"/>
        <v>5.5</v>
      </c>
      <c r="I120" s="198">
        <f t="shared" si="360"/>
        <v>8</v>
      </c>
      <c r="J120" s="199">
        <f t="shared" si="245"/>
        <v>185</v>
      </c>
      <c r="K120" s="194" t="str">
        <f>D120&amp;-2</f>
        <v>37.5-2</v>
      </c>
      <c r="L120" s="198">
        <f t="shared" ref="L120:N120" si="373">L119</f>
        <v>0.11</v>
      </c>
      <c r="M120" s="198">
        <f t="shared" si="373"/>
        <v>150</v>
      </c>
      <c r="N120" s="198">
        <f t="shared" si="373"/>
        <v>750</v>
      </c>
    </row>
    <row r="121" spans="1:14" s="182" customFormat="1" x14ac:dyDescent="0.25">
      <c r="A121" s="229">
        <f t="shared" ref="A121:B121" si="374">A120+1</f>
        <v>3838</v>
      </c>
      <c r="B121" s="230">
        <f t="shared" si="374"/>
        <v>111</v>
      </c>
      <c r="C121" s="229" t="str">
        <f t="shared" si="218"/>
        <v>L62X38_185#000_03</v>
      </c>
      <c r="D121" s="197">
        <f t="shared" ref="D121:F121" si="375">D120</f>
        <v>37.5</v>
      </c>
      <c r="E121" s="204">
        <f t="shared" si="375"/>
        <v>4.125</v>
      </c>
      <c r="F121" s="198">
        <f t="shared" si="375"/>
        <v>11</v>
      </c>
      <c r="G121" s="198">
        <f t="shared" si="197"/>
        <v>8.8000000000000007</v>
      </c>
      <c r="H121" s="198">
        <f t="shared" si="198"/>
        <v>5.5</v>
      </c>
      <c r="I121" s="198">
        <f t="shared" si="360"/>
        <v>8</v>
      </c>
      <c r="J121" s="199">
        <f t="shared" si="245"/>
        <v>185</v>
      </c>
      <c r="K121" s="194" t="str">
        <f>D121&amp;-3</f>
        <v>37.5-3</v>
      </c>
      <c r="L121" s="198">
        <f t="shared" ref="L121:N121" si="376">L120</f>
        <v>0.11</v>
      </c>
      <c r="M121" s="198">
        <f t="shared" si="376"/>
        <v>150</v>
      </c>
      <c r="N121" s="198">
        <f t="shared" si="376"/>
        <v>750</v>
      </c>
    </row>
    <row r="122" spans="1:14" s="182" customFormat="1" x14ac:dyDescent="0.25">
      <c r="A122" s="229">
        <f t="shared" ref="A122:B122" si="377">A121+1</f>
        <v>3839</v>
      </c>
      <c r="B122" s="230">
        <f t="shared" si="377"/>
        <v>112</v>
      </c>
      <c r="C122" s="229" t="str">
        <f t="shared" si="218"/>
        <v>L62X38_185#000_04</v>
      </c>
      <c r="D122" s="197">
        <f t="shared" ref="D122:F122" si="378">D121</f>
        <v>37.5</v>
      </c>
      <c r="E122" s="204">
        <f t="shared" si="378"/>
        <v>4.125</v>
      </c>
      <c r="F122" s="198">
        <f t="shared" si="378"/>
        <v>11</v>
      </c>
      <c r="G122" s="198">
        <f t="shared" si="197"/>
        <v>8.8000000000000007</v>
      </c>
      <c r="H122" s="198">
        <f t="shared" si="198"/>
        <v>5.5</v>
      </c>
      <c r="I122" s="198">
        <f t="shared" si="360"/>
        <v>8</v>
      </c>
      <c r="J122" s="199">
        <f t="shared" si="245"/>
        <v>185</v>
      </c>
      <c r="K122" s="194" t="str">
        <f>D122&amp;-4</f>
        <v>37.5-4</v>
      </c>
      <c r="L122" s="198">
        <f t="shared" ref="L122:N122" si="379">L121</f>
        <v>0.11</v>
      </c>
      <c r="M122" s="198">
        <f t="shared" si="379"/>
        <v>150</v>
      </c>
      <c r="N122" s="198">
        <f t="shared" si="379"/>
        <v>750</v>
      </c>
    </row>
    <row r="123" spans="1:14" s="182" customFormat="1" x14ac:dyDescent="0.25">
      <c r="A123" s="229">
        <f t="shared" ref="A123:B123" si="380">A122+1</f>
        <v>3840</v>
      </c>
      <c r="B123" s="230">
        <f t="shared" si="380"/>
        <v>113</v>
      </c>
      <c r="C123" s="229" t="str">
        <f t="shared" si="218"/>
        <v>L62X38_185#000_05</v>
      </c>
      <c r="D123" s="197">
        <f t="shared" ref="D123:F123" si="381">D122</f>
        <v>37.5</v>
      </c>
      <c r="E123" s="204">
        <f t="shared" si="381"/>
        <v>4.125</v>
      </c>
      <c r="F123" s="198">
        <f t="shared" si="381"/>
        <v>11</v>
      </c>
      <c r="G123" s="198">
        <f t="shared" si="197"/>
        <v>8.8000000000000007</v>
      </c>
      <c r="H123" s="198">
        <f t="shared" si="198"/>
        <v>5.5</v>
      </c>
      <c r="I123" s="198">
        <f t="shared" si="360"/>
        <v>8</v>
      </c>
      <c r="J123" s="199">
        <f t="shared" si="245"/>
        <v>185</v>
      </c>
      <c r="K123" s="194" t="str">
        <f>D123&amp;-5</f>
        <v>37.5-5</v>
      </c>
      <c r="L123" s="198">
        <f t="shared" ref="L123:N123" si="382">L122</f>
        <v>0.11</v>
      </c>
      <c r="M123" s="198">
        <f t="shared" si="382"/>
        <v>150</v>
      </c>
      <c r="N123" s="198">
        <f t="shared" si="382"/>
        <v>750</v>
      </c>
    </row>
    <row r="124" spans="1:14" s="182" customFormat="1" x14ac:dyDescent="0.25">
      <c r="A124" s="229">
        <f t="shared" ref="A124:B124" si="383">A123+1</f>
        <v>3841</v>
      </c>
      <c r="B124" s="230">
        <f t="shared" si="383"/>
        <v>114</v>
      </c>
      <c r="C124" s="229" t="str">
        <f t="shared" si="218"/>
        <v>L62X38_185#000_06</v>
      </c>
      <c r="D124" s="197">
        <f t="shared" ref="D124:F124" si="384">D123</f>
        <v>37.5</v>
      </c>
      <c r="E124" s="204">
        <f t="shared" si="384"/>
        <v>4.125</v>
      </c>
      <c r="F124" s="198">
        <f t="shared" si="384"/>
        <v>11</v>
      </c>
      <c r="G124" s="198">
        <f t="shared" si="197"/>
        <v>8.8000000000000007</v>
      </c>
      <c r="H124" s="198">
        <f t="shared" si="198"/>
        <v>5.5</v>
      </c>
      <c r="I124" s="198">
        <f t="shared" si="360"/>
        <v>8</v>
      </c>
      <c r="J124" s="199">
        <f t="shared" si="245"/>
        <v>185</v>
      </c>
      <c r="K124" s="194" t="str">
        <f>D124&amp;-6</f>
        <v>37.5-6</v>
      </c>
      <c r="L124" s="198">
        <f t="shared" ref="L124:N124" si="385">L123</f>
        <v>0.11</v>
      </c>
      <c r="M124" s="198">
        <f t="shared" si="385"/>
        <v>150</v>
      </c>
      <c r="N124" s="198">
        <f t="shared" si="385"/>
        <v>750</v>
      </c>
    </row>
    <row r="125" spans="1:14" s="182" customFormat="1" x14ac:dyDescent="0.25">
      <c r="A125" s="229">
        <f t="shared" ref="A125:B125" si="386">A124+1</f>
        <v>3842</v>
      </c>
      <c r="B125" s="230">
        <f t="shared" si="386"/>
        <v>115</v>
      </c>
      <c r="C125" s="229" t="str">
        <f t="shared" si="218"/>
        <v>L62X38_195#000_01</v>
      </c>
      <c r="D125" s="197">
        <f t="shared" ref="D125:F125" si="387">D124</f>
        <v>37.5</v>
      </c>
      <c r="E125" s="204">
        <f t="shared" si="387"/>
        <v>4.125</v>
      </c>
      <c r="F125" s="198">
        <f t="shared" si="387"/>
        <v>11</v>
      </c>
      <c r="G125" s="198">
        <f t="shared" si="197"/>
        <v>8.8000000000000007</v>
      </c>
      <c r="H125" s="198">
        <f t="shared" si="198"/>
        <v>5.5</v>
      </c>
      <c r="I125" s="198">
        <f t="shared" si="360"/>
        <v>8</v>
      </c>
      <c r="J125" s="199">
        <f t="shared" si="245"/>
        <v>195</v>
      </c>
      <c r="K125" s="194" t="str">
        <f>D125&amp;-1</f>
        <v>37.5-1</v>
      </c>
      <c r="L125" s="198">
        <f t="shared" ref="L125:N125" si="388">L124</f>
        <v>0.11</v>
      </c>
      <c r="M125" s="198">
        <f t="shared" si="388"/>
        <v>150</v>
      </c>
      <c r="N125" s="198">
        <f t="shared" si="388"/>
        <v>750</v>
      </c>
    </row>
    <row r="126" spans="1:14" s="182" customFormat="1" x14ac:dyDescent="0.25">
      <c r="A126" s="229">
        <f t="shared" ref="A126:B126" si="389">A125+1</f>
        <v>3843</v>
      </c>
      <c r="B126" s="230">
        <f t="shared" si="389"/>
        <v>116</v>
      </c>
      <c r="C126" s="229" t="str">
        <f t="shared" si="218"/>
        <v>L62X38_195#000_02</v>
      </c>
      <c r="D126" s="197">
        <f t="shared" ref="D126:F126" si="390">D125</f>
        <v>37.5</v>
      </c>
      <c r="E126" s="204">
        <f t="shared" si="390"/>
        <v>4.125</v>
      </c>
      <c r="F126" s="198">
        <f t="shared" si="390"/>
        <v>11</v>
      </c>
      <c r="G126" s="198">
        <f t="shared" si="197"/>
        <v>8.8000000000000007</v>
      </c>
      <c r="H126" s="198">
        <f t="shared" si="198"/>
        <v>5.5</v>
      </c>
      <c r="I126" s="198">
        <f t="shared" si="360"/>
        <v>8</v>
      </c>
      <c r="J126" s="199">
        <f t="shared" si="245"/>
        <v>195</v>
      </c>
      <c r="K126" s="194" t="str">
        <f>D126&amp;-2</f>
        <v>37.5-2</v>
      </c>
      <c r="L126" s="198">
        <f t="shared" ref="L126:N126" si="391">L125</f>
        <v>0.11</v>
      </c>
      <c r="M126" s="198">
        <f t="shared" si="391"/>
        <v>150</v>
      </c>
      <c r="N126" s="198">
        <f t="shared" si="391"/>
        <v>750</v>
      </c>
    </row>
    <row r="127" spans="1:14" s="182" customFormat="1" x14ac:dyDescent="0.25">
      <c r="A127" s="229">
        <f t="shared" ref="A127:B127" si="392">A126+1</f>
        <v>3844</v>
      </c>
      <c r="B127" s="230">
        <f t="shared" si="392"/>
        <v>117</v>
      </c>
      <c r="C127" s="229" t="str">
        <f t="shared" si="218"/>
        <v>L62X38_195#000_03</v>
      </c>
      <c r="D127" s="197">
        <f t="shared" ref="D127:F127" si="393">D126</f>
        <v>37.5</v>
      </c>
      <c r="E127" s="204">
        <f t="shared" si="393"/>
        <v>4.125</v>
      </c>
      <c r="F127" s="198">
        <f t="shared" si="393"/>
        <v>11</v>
      </c>
      <c r="G127" s="198">
        <f t="shared" si="197"/>
        <v>8.8000000000000007</v>
      </c>
      <c r="H127" s="198">
        <f t="shared" si="198"/>
        <v>5.5</v>
      </c>
      <c r="I127" s="198">
        <f t="shared" si="360"/>
        <v>8</v>
      </c>
      <c r="J127" s="199">
        <f t="shared" si="245"/>
        <v>195</v>
      </c>
      <c r="K127" s="194" t="str">
        <f>D127&amp;-3</f>
        <v>37.5-3</v>
      </c>
      <c r="L127" s="198">
        <f t="shared" ref="L127:N127" si="394">L126</f>
        <v>0.11</v>
      </c>
      <c r="M127" s="198">
        <f t="shared" si="394"/>
        <v>150</v>
      </c>
      <c r="N127" s="198">
        <f t="shared" si="394"/>
        <v>750</v>
      </c>
    </row>
    <row r="128" spans="1:14" s="182" customFormat="1" x14ac:dyDescent="0.25">
      <c r="A128" s="229">
        <f t="shared" ref="A128:B128" si="395">A127+1</f>
        <v>3845</v>
      </c>
      <c r="B128" s="230">
        <f t="shared" si="395"/>
        <v>118</v>
      </c>
      <c r="C128" s="229" t="str">
        <f t="shared" si="218"/>
        <v>L62X38_195#000_04</v>
      </c>
      <c r="D128" s="197">
        <f t="shared" ref="D128:F128" si="396">D127</f>
        <v>37.5</v>
      </c>
      <c r="E128" s="204">
        <f t="shared" si="396"/>
        <v>4.125</v>
      </c>
      <c r="F128" s="198">
        <f t="shared" si="396"/>
        <v>11</v>
      </c>
      <c r="G128" s="198">
        <f t="shared" si="197"/>
        <v>8.8000000000000007</v>
      </c>
      <c r="H128" s="198">
        <f t="shared" si="198"/>
        <v>5.5</v>
      </c>
      <c r="I128" s="198">
        <f t="shared" si="360"/>
        <v>8</v>
      </c>
      <c r="J128" s="199">
        <f t="shared" si="245"/>
        <v>195</v>
      </c>
      <c r="K128" s="194" t="str">
        <f>D128&amp;-4</f>
        <v>37.5-4</v>
      </c>
      <c r="L128" s="198">
        <f t="shared" ref="L128:N128" si="397">L127</f>
        <v>0.11</v>
      </c>
      <c r="M128" s="198">
        <f t="shared" si="397"/>
        <v>150</v>
      </c>
      <c r="N128" s="198">
        <f t="shared" si="397"/>
        <v>750</v>
      </c>
    </row>
    <row r="129" spans="1:14" s="182" customFormat="1" x14ac:dyDescent="0.25">
      <c r="A129" s="229">
        <f t="shared" ref="A129:B129" si="398">A128+1</f>
        <v>3846</v>
      </c>
      <c r="B129" s="230">
        <f t="shared" si="398"/>
        <v>119</v>
      </c>
      <c r="C129" s="229" t="str">
        <f t="shared" si="218"/>
        <v>L62X38_195#000_05</v>
      </c>
      <c r="D129" s="197">
        <f t="shared" ref="D129:F129" si="399">D128</f>
        <v>37.5</v>
      </c>
      <c r="E129" s="204">
        <f t="shared" si="399"/>
        <v>4.125</v>
      </c>
      <c r="F129" s="198">
        <f t="shared" si="399"/>
        <v>11</v>
      </c>
      <c r="G129" s="198">
        <f t="shared" si="197"/>
        <v>8.8000000000000007</v>
      </c>
      <c r="H129" s="198">
        <f t="shared" si="198"/>
        <v>5.5</v>
      </c>
      <c r="I129" s="198">
        <f t="shared" si="360"/>
        <v>8</v>
      </c>
      <c r="J129" s="199">
        <f t="shared" si="245"/>
        <v>195</v>
      </c>
      <c r="K129" s="194" t="str">
        <f>D129&amp;-5</f>
        <v>37.5-5</v>
      </c>
      <c r="L129" s="198">
        <f t="shared" ref="L129:N129" si="400">L128</f>
        <v>0.11</v>
      </c>
      <c r="M129" s="198">
        <f t="shared" si="400"/>
        <v>150</v>
      </c>
      <c r="N129" s="198">
        <f t="shared" si="400"/>
        <v>750</v>
      </c>
    </row>
    <row r="130" spans="1:14" s="182" customFormat="1" x14ac:dyDescent="0.25">
      <c r="A130" s="229">
        <f t="shared" ref="A130:B130" si="401">A129+1</f>
        <v>3847</v>
      </c>
      <c r="B130" s="230">
        <f t="shared" si="401"/>
        <v>120</v>
      </c>
      <c r="C130" s="229" t="str">
        <f t="shared" si="218"/>
        <v>L62X38_195#000_06</v>
      </c>
      <c r="D130" s="197">
        <f t="shared" ref="D130:F130" si="402">D129</f>
        <v>37.5</v>
      </c>
      <c r="E130" s="204">
        <f t="shared" si="402"/>
        <v>4.125</v>
      </c>
      <c r="F130" s="198">
        <f t="shared" si="402"/>
        <v>11</v>
      </c>
      <c r="G130" s="198">
        <f t="shared" si="197"/>
        <v>8.8000000000000007</v>
      </c>
      <c r="H130" s="198">
        <f t="shared" si="198"/>
        <v>5.5</v>
      </c>
      <c r="I130" s="198">
        <f t="shared" si="360"/>
        <v>8</v>
      </c>
      <c r="J130" s="199">
        <f t="shared" si="245"/>
        <v>195</v>
      </c>
      <c r="K130" s="194" t="str">
        <f>D130&amp;-6</f>
        <v>37.5-6</v>
      </c>
      <c r="L130" s="198">
        <f t="shared" ref="L130:N130" si="403">L129</f>
        <v>0.11</v>
      </c>
      <c r="M130" s="198">
        <f t="shared" si="403"/>
        <v>150</v>
      </c>
      <c r="N130" s="198">
        <f t="shared" si="403"/>
        <v>750</v>
      </c>
    </row>
    <row r="131" spans="1:14" s="182" customFormat="1" x14ac:dyDescent="0.25">
      <c r="A131" s="229">
        <f t="shared" ref="A131:B131" si="404">A130+1</f>
        <v>3848</v>
      </c>
      <c r="B131" s="230">
        <f t="shared" si="404"/>
        <v>121</v>
      </c>
      <c r="C131" s="229" t="str">
        <f t="shared" si="218"/>
        <v>L62X38_205#000_01</v>
      </c>
      <c r="D131" s="197">
        <f t="shared" ref="D131:F131" si="405">D130</f>
        <v>37.5</v>
      </c>
      <c r="E131" s="204">
        <f t="shared" si="405"/>
        <v>4.125</v>
      </c>
      <c r="F131" s="198">
        <f t="shared" si="405"/>
        <v>11</v>
      </c>
      <c r="G131" s="198">
        <f t="shared" si="197"/>
        <v>8.8000000000000007</v>
      </c>
      <c r="H131" s="198">
        <f t="shared" si="198"/>
        <v>5.5</v>
      </c>
      <c r="I131" s="198">
        <f t="shared" si="360"/>
        <v>8</v>
      </c>
      <c r="J131" s="199">
        <f t="shared" si="245"/>
        <v>205</v>
      </c>
      <c r="K131" s="194" t="str">
        <f>D131&amp;-1</f>
        <v>37.5-1</v>
      </c>
      <c r="L131" s="198">
        <f t="shared" ref="L131:N131" si="406">L130</f>
        <v>0.11</v>
      </c>
      <c r="M131" s="198">
        <f t="shared" si="406"/>
        <v>150</v>
      </c>
      <c r="N131" s="198">
        <f t="shared" si="406"/>
        <v>750</v>
      </c>
    </row>
    <row r="132" spans="1:14" s="182" customFormat="1" x14ac:dyDescent="0.25">
      <c r="A132" s="229">
        <f t="shared" ref="A132:B132" si="407">A131+1</f>
        <v>3849</v>
      </c>
      <c r="B132" s="230">
        <f t="shared" si="407"/>
        <v>122</v>
      </c>
      <c r="C132" s="229" t="str">
        <f t="shared" si="218"/>
        <v>L62X38_205#000_02</v>
      </c>
      <c r="D132" s="197">
        <f t="shared" ref="D132:F132" si="408">D131</f>
        <v>37.5</v>
      </c>
      <c r="E132" s="204">
        <f t="shared" si="408"/>
        <v>4.125</v>
      </c>
      <c r="F132" s="198">
        <f t="shared" si="408"/>
        <v>11</v>
      </c>
      <c r="G132" s="198">
        <f t="shared" si="197"/>
        <v>8.8000000000000007</v>
      </c>
      <c r="H132" s="198">
        <f t="shared" si="198"/>
        <v>5.5</v>
      </c>
      <c r="I132" s="198">
        <f t="shared" si="360"/>
        <v>8</v>
      </c>
      <c r="J132" s="199">
        <f t="shared" si="245"/>
        <v>205</v>
      </c>
      <c r="K132" s="194" t="str">
        <f>D132&amp;-2</f>
        <v>37.5-2</v>
      </c>
      <c r="L132" s="198">
        <f t="shared" ref="L132:N132" si="409">L131</f>
        <v>0.11</v>
      </c>
      <c r="M132" s="198">
        <f t="shared" si="409"/>
        <v>150</v>
      </c>
      <c r="N132" s="198">
        <f t="shared" si="409"/>
        <v>750</v>
      </c>
    </row>
    <row r="133" spans="1:14" s="182" customFormat="1" x14ac:dyDescent="0.25">
      <c r="A133" s="229">
        <f t="shared" ref="A133:B133" si="410">A132+1</f>
        <v>3850</v>
      </c>
      <c r="B133" s="230">
        <f t="shared" si="410"/>
        <v>123</v>
      </c>
      <c r="C133" s="229" t="str">
        <f t="shared" si="218"/>
        <v>L62X38_205#000_03</v>
      </c>
      <c r="D133" s="197">
        <f t="shared" ref="D133:F133" si="411">D132</f>
        <v>37.5</v>
      </c>
      <c r="E133" s="204">
        <f t="shared" si="411"/>
        <v>4.125</v>
      </c>
      <c r="F133" s="198">
        <f t="shared" si="411"/>
        <v>11</v>
      </c>
      <c r="G133" s="198">
        <f t="shared" si="197"/>
        <v>8.8000000000000007</v>
      </c>
      <c r="H133" s="198">
        <f t="shared" si="198"/>
        <v>5.5</v>
      </c>
      <c r="I133" s="198">
        <f t="shared" si="360"/>
        <v>8</v>
      </c>
      <c r="J133" s="199">
        <f t="shared" si="245"/>
        <v>205</v>
      </c>
      <c r="K133" s="194" t="str">
        <f>D133&amp;-3</f>
        <v>37.5-3</v>
      </c>
      <c r="L133" s="198">
        <f t="shared" ref="L133:N133" si="412">L132</f>
        <v>0.11</v>
      </c>
      <c r="M133" s="198">
        <f t="shared" si="412"/>
        <v>150</v>
      </c>
      <c r="N133" s="198">
        <f t="shared" si="412"/>
        <v>750</v>
      </c>
    </row>
    <row r="134" spans="1:14" s="182" customFormat="1" x14ac:dyDescent="0.25">
      <c r="A134" s="229">
        <f t="shared" ref="A134:B134" si="413">A133+1</f>
        <v>3851</v>
      </c>
      <c r="B134" s="230">
        <f t="shared" si="413"/>
        <v>124</v>
      </c>
      <c r="C134" s="229" t="str">
        <f t="shared" si="218"/>
        <v>L62X38_205#000_04</v>
      </c>
      <c r="D134" s="197">
        <f t="shared" ref="D134:F134" si="414">D133</f>
        <v>37.5</v>
      </c>
      <c r="E134" s="204">
        <f t="shared" si="414"/>
        <v>4.125</v>
      </c>
      <c r="F134" s="198">
        <f t="shared" si="414"/>
        <v>11</v>
      </c>
      <c r="G134" s="198">
        <f t="shared" si="197"/>
        <v>8.8000000000000007</v>
      </c>
      <c r="H134" s="198">
        <f t="shared" si="198"/>
        <v>5.5</v>
      </c>
      <c r="I134" s="198">
        <f t="shared" si="360"/>
        <v>8</v>
      </c>
      <c r="J134" s="199">
        <f t="shared" si="245"/>
        <v>205</v>
      </c>
      <c r="K134" s="194" t="str">
        <f>D134&amp;-4</f>
        <v>37.5-4</v>
      </c>
      <c r="L134" s="198">
        <f t="shared" ref="L134:N134" si="415">L133</f>
        <v>0.11</v>
      </c>
      <c r="M134" s="198">
        <f t="shared" si="415"/>
        <v>150</v>
      </c>
      <c r="N134" s="198">
        <f t="shared" si="415"/>
        <v>750</v>
      </c>
    </row>
    <row r="135" spans="1:14" s="182" customFormat="1" x14ac:dyDescent="0.25">
      <c r="A135" s="229">
        <f t="shared" ref="A135:B135" si="416">A134+1</f>
        <v>3852</v>
      </c>
      <c r="B135" s="230">
        <f t="shared" si="416"/>
        <v>125</v>
      </c>
      <c r="C135" s="229" t="str">
        <f t="shared" si="218"/>
        <v>L62X38_205#000_05</v>
      </c>
      <c r="D135" s="197">
        <f t="shared" ref="D135:F135" si="417">D134</f>
        <v>37.5</v>
      </c>
      <c r="E135" s="204">
        <f t="shared" si="417"/>
        <v>4.125</v>
      </c>
      <c r="F135" s="198">
        <f t="shared" si="417"/>
        <v>11</v>
      </c>
      <c r="G135" s="198">
        <f t="shared" ref="G135:G198" si="418">m_ty*F135</f>
        <v>8.8000000000000007</v>
      </c>
      <c r="H135" s="198">
        <f t="shared" ref="H135:H198" si="419">m_tz*F135</f>
        <v>5.5</v>
      </c>
      <c r="I135" s="198">
        <f t="shared" si="360"/>
        <v>8</v>
      </c>
      <c r="J135" s="199">
        <f t="shared" si="245"/>
        <v>205</v>
      </c>
      <c r="K135" s="194" t="str">
        <f>D135&amp;-5</f>
        <v>37.5-5</v>
      </c>
      <c r="L135" s="198">
        <f t="shared" ref="L135:N135" si="420">L134</f>
        <v>0.11</v>
      </c>
      <c r="M135" s="198">
        <f t="shared" si="420"/>
        <v>150</v>
      </c>
      <c r="N135" s="198">
        <f t="shared" si="420"/>
        <v>750</v>
      </c>
    </row>
    <row r="136" spans="1:14" s="182" customFormat="1" x14ac:dyDescent="0.25">
      <c r="A136" s="229">
        <f t="shared" ref="A136:B136" si="421">A135+1</f>
        <v>3853</v>
      </c>
      <c r="B136" s="230">
        <f t="shared" si="421"/>
        <v>126</v>
      </c>
      <c r="C136" s="229" t="str">
        <f t="shared" si="218"/>
        <v>L62X38_205#000_06</v>
      </c>
      <c r="D136" s="197">
        <f t="shared" ref="D136:F136" si="422">D135</f>
        <v>37.5</v>
      </c>
      <c r="E136" s="204">
        <f t="shared" si="422"/>
        <v>4.125</v>
      </c>
      <c r="F136" s="198">
        <f t="shared" si="422"/>
        <v>11</v>
      </c>
      <c r="G136" s="198">
        <f t="shared" si="418"/>
        <v>8.8000000000000007</v>
      </c>
      <c r="H136" s="198">
        <f t="shared" si="419"/>
        <v>5.5</v>
      </c>
      <c r="I136" s="198">
        <f t="shared" si="360"/>
        <v>8</v>
      </c>
      <c r="J136" s="199">
        <f t="shared" si="245"/>
        <v>205</v>
      </c>
      <c r="K136" s="194" t="str">
        <f>D136&amp;-6</f>
        <v>37.5-6</v>
      </c>
      <c r="L136" s="198">
        <f t="shared" ref="L136:N136" si="423">L135</f>
        <v>0.11</v>
      </c>
      <c r="M136" s="198">
        <f t="shared" si="423"/>
        <v>150</v>
      </c>
      <c r="N136" s="198">
        <f t="shared" si="423"/>
        <v>750</v>
      </c>
    </row>
    <row r="137" spans="1:14" s="182" customFormat="1" x14ac:dyDescent="0.25">
      <c r="A137" s="229">
        <f t="shared" ref="A137:B137" si="424">A136+1</f>
        <v>3854</v>
      </c>
      <c r="B137" s="230">
        <f t="shared" si="424"/>
        <v>127</v>
      </c>
      <c r="C137" s="229" t="str">
        <f t="shared" si="218"/>
        <v>L62X38_215#000_01</v>
      </c>
      <c r="D137" s="197">
        <f t="shared" ref="D137:F137" si="425">D136</f>
        <v>37.5</v>
      </c>
      <c r="E137" s="204">
        <f t="shared" si="425"/>
        <v>4.125</v>
      </c>
      <c r="F137" s="198">
        <f t="shared" si="425"/>
        <v>11</v>
      </c>
      <c r="G137" s="198">
        <f t="shared" si="418"/>
        <v>8.8000000000000007</v>
      </c>
      <c r="H137" s="198">
        <f t="shared" si="419"/>
        <v>5.5</v>
      </c>
      <c r="I137" s="198">
        <f t="shared" si="360"/>
        <v>8</v>
      </c>
      <c r="J137" s="199">
        <f t="shared" si="245"/>
        <v>215</v>
      </c>
      <c r="K137" s="194" t="str">
        <f>D137&amp;-1</f>
        <v>37.5-1</v>
      </c>
      <c r="L137" s="198">
        <f t="shared" ref="L137:N137" si="426">L136</f>
        <v>0.11</v>
      </c>
      <c r="M137" s="198">
        <f t="shared" si="426"/>
        <v>150</v>
      </c>
      <c r="N137" s="198">
        <f t="shared" si="426"/>
        <v>750</v>
      </c>
    </row>
    <row r="138" spans="1:14" s="182" customFormat="1" x14ac:dyDescent="0.25">
      <c r="A138" s="229">
        <f t="shared" ref="A138:B138" si="427">A137+1</f>
        <v>3855</v>
      </c>
      <c r="B138" s="230">
        <f t="shared" si="427"/>
        <v>128</v>
      </c>
      <c r="C138" s="229" t="str">
        <f t="shared" si="218"/>
        <v>L62X38_215#000_02</v>
      </c>
      <c r="D138" s="197">
        <f t="shared" ref="D138:F138" si="428">D137</f>
        <v>37.5</v>
      </c>
      <c r="E138" s="204">
        <f t="shared" si="428"/>
        <v>4.125</v>
      </c>
      <c r="F138" s="198">
        <f t="shared" si="428"/>
        <v>11</v>
      </c>
      <c r="G138" s="198">
        <f t="shared" si="418"/>
        <v>8.8000000000000007</v>
      </c>
      <c r="H138" s="198">
        <f t="shared" si="419"/>
        <v>5.5</v>
      </c>
      <c r="I138" s="198">
        <f t="shared" si="360"/>
        <v>8</v>
      </c>
      <c r="J138" s="199">
        <f t="shared" si="245"/>
        <v>215</v>
      </c>
      <c r="K138" s="194" t="str">
        <f>D138&amp;-2</f>
        <v>37.5-2</v>
      </c>
      <c r="L138" s="198">
        <f t="shared" ref="L138:N138" si="429">L137</f>
        <v>0.11</v>
      </c>
      <c r="M138" s="198">
        <f t="shared" si="429"/>
        <v>150</v>
      </c>
      <c r="N138" s="198">
        <f t="shared" si="429"/>
        <v>750</v>
      </c>
    </row>
    <row r="139" spans="1:14" s="182" customFormat="1" x14ac:dyDescent="0.25">
      <c r="A139" s="229">
        <f t="shared" ref="A139:B139" si="430">A138+1</f>
        <v>3856</v>
      </c>
      <c r="B139" s="230">
        <f t="shared" si="430"/>
        <v>129</v>
      </c>
      <c r="C139" s="229" t="str">
        <f t="shared" si="218"/>
        <v>L62X38_215#000_03</v>
      </c>
      <c r="D139" s="197">
        <f t="shared" ref="D139:F139" si="431">D138</f>
        <v>37.5</v>
      </c>
      <c r="E139" s="204">
        <f t="shared" si="431"/>
        <v>4.125</v>
      </c>
      <c r="F139" s="198">
        <f t="shared" si="431"/>
        <v>11</v>
      </c>
      <c r="G139" s="198">
        <f t="shared" si="418"/>
        <v>8.8000000000000007</v>
      </c>
      <c r="H139" s="198">
        <f t="shared" si="419"/>
        <v>5.5</v>
      </c>
      <c r="I139" s="198">
        <f t="shared" si="360"/>
        <v>8</v>
      </c>
      <c r="J139" s="199">
        <f t="shared" si="245"/>
        <v>215</v>
      </c>
      <c r="K139" s="194" t="str">
        <f>D139&amp;-3</f>
        <v>37.5-3</v>
      </c>
      <c r="L139" s="198">
        <f t="shared" ref="L139:N139" si="432">L138</f>
        <v>0.11</v>
      </c>
      <c r="M139" s="198">
        <f t="shared" si="432"/>
        <v>150</v>
      </c>
      <c r="N139" s="198">
        <f t="shared" si="432"/>
        <v>750</v>
      </c>
    </row>
    <row r="140" spans="1:14" s="182" customFormat="1" x14ac:dyDescent="0.25">
      <c r="A140" s="229">
        <f t="shared" ref="A140:B140" si="433">A139+1</f>
        <v>3857</v>
      </c>
      <c r="B140" s="230">
        <f t="shared" si="433"/>
        <v>130</v>
      </c>
      <c r="C140" s="229" t="str">
        <f t="shared" ref="C140:C203" si="434">TEXT(RIGHT($B$2,LEN($B$2)-3),"L00")&amp;"X"&amp;TEXT(D140,"00")&amp;"_"&amp;IF(J140&lt;0,TEXT(360+J140,"000"),TEXT(J140,"000"))&amp;"#"&amp;"000"&amp;"_"&amp;TEXT(RIGHT(K140,LEN(K140)-FIND("-",K140)),"00")</f>
        <v>L62X38_215#000_04</v>
      </c>
      <c r="D140" s="197">
        <f t="shared" ref="D140:F140" si="435">D139</f>
        <v>37.5</v>
      </c>
      <c r="E140" s="204">
        <f t="shared" si="435"/>
        <v>4.125</v>
      </c>
      <c r="F140" s="198">
        <f t="shared" si="435"/>
        <v>11</v>
      </c>
      <c r="G140" s="198">
        <f t="shared" si="418"/>
        <v>8.8000000000000007</v>
      </c>
      <c r="H140" s="198">
        <f t="shared" si="419"/>
        <v>5.5</v>
      </c>
      <c r="I140" s="198">
        <f t="shared" si="360"/>
        <v>8</v>
      </c>
      <c r="J140" s="199">
        <f t="shared" si="245"/>
        <v>215</v>
      </c>
      <c r="K140" s="194" t="str">
        <f>D140&amp;-4</f>
        <v>37.5-4</v>
      </c>
      <c r="L140" s="198">
        <f t="shared" ref="L140:N140" si="436">L139</f>
        <v>0.11</v>
      </c>
      <c r="M140" s="198">
        <f t="shared" si="436"/>
        <v>150</v>
      </c>
      <c r="N140" s="198">
        <f t="shared" si="436"/>
        <v>750</v>
      </c>
    </row>
    <row r="141" spans="1:14" s="182" customFormat="1" x14ac:dyDescent="0.25">
      <c r="A141" s="229">
        <f t="shared" ref="A141:B141" si="437">A140+1</f>
        <v>3858</v>
      </c>
      <c r="B141" s="230">
        <f t="shared" si="437"/>
        <v>131</v>
      </c>
      <c r="C141" s="229" t="str">
        <f t="shared" si="434"/>
        <v>L62X38_215#000_05</v>
      </c>
      <c r="D141" s="197">
        <f t="shared" ref="D141:F141" si="438">D140</f>
        <v>37.5</v>
      </c>
      <c r="E141" s="204">
        <f t="shared" si="438"/>
        <v>4.125</v>
      </c>
      <c r="F141" s="198">
        <f t="shared" si="438"/>
        <v>11</v>
      </c>
      <c r="G141" s="198">
        <f t="shared" si="418"/>
        <v>8.8000000000000007</v>
      </c>
      <c r="H141" s="198">
        <f t="shared" si="419"/>
        <v>5.5</v>
      </c>
      <c r="I141" s="198">
        <f t="shared" si="360"/>
        <v>8</v>
      </c>
      <c r="J141" s="199">
        <f t="shared" si="245"/>
        <v>215</v>
      </c>
      <c r="K141" s="194" t="str">
        <f>D141&amp;-5</f>
        <v>37.5-5</v>
      </c>
      <c r="L141" s="198">
        <f t="shared" ref="L141:N141" si="439">L140</f>
        <v>0.11</v>
      </c>
      <c r="M141" s="198">
        <f t="shared" si="439"/>
        <v>150</v>
      </c>
      <c r="N141" s="198">
        <f t="shared" si="439"/>
        <v>750</v>
      </c>
    </row>
    <row r="142" spans="1:14" s="182" customFormat="1" x14ac:dyDescent="0.25">
      <c r="A142" s="229">
        <f t="shared" ref="A142:B142" si="440">A141+1</f>
        <v>3859</v>
      </c>
      <c r="B142" s="230">
        <f t="shared" si="440"/>
        <v>132</v>
      </c>
      <c r="C142" s="229" t="str">
        <f t="shared" si="434"/>
        <v>L62X38_215#000_06</v>
      </c>
      <c r="D142" s="197">
        <f t="shared" ref="D142:F142" si="441">D141</f>
        <v>37.5</v>
      </c>
      <c r="E142" s="204">
        <f t="shared" si="441"/>
        <v>4.125</v>
      </c>
      <c r="F142" s="198">
        <f t="shared" si="441"/>
        <v>11</v>
      </c>
      <c r="G142" s="198">
        <f t="shared" si="418"/>
        <v>8.8000000000000007</v>
      </c>
      <c r="H142" s="198">
        <f t="shared" si="419"/>
        <v>5.5</v>
      </c>
      <c r="I142" s="198">
        <f t="shared" si="360"/>
        <v>8</v>
      </c>
      <c r="J142" s="199">
        <f t="shared" si="245"/>
        <v>215</v>
      </c>
      <c r="K142" s="194" t="str">
        <f>D142&amp;-6</f>
        <v>37.5-6</v>
      </c>
      <c r="L142" s="198">
        <f t="shared" ref="L142:N142" si="442">L141</f>
        <v>0.11</v>
      </c>
      <c r="M142" s="198">
        <f t="shared" si="442"/>
        <v>150</v>
      </c>
      <c r="N142" s="198">
        <f t="shared" si="442"/>
        <v>750</v>
      </c>
    </row>
    <row r="143" spans="1:14" s="182" customFormat="1" x14ac:dyDescent="0.25">
      <c r="A143" s="229">
        <f t="shared" ref="A143:B143" si="443">A142+1</f>
        <v>3860</v>
      </c>
      <c r="B143" s="230">
        <f t="shared" si="443"/>
        <v>133</v>
      </c>
      <c r="C143" s="229" t="str">
        <f t="shared" si="434"/>
        <v>L62X38_225#000_01</v>
      </c>
      <c r="D143" s="197">
        <f t="shared" ref="D143:F143" si="444">D142</f>
        <v>37.5</v>
      </c>
      <c r="E143" s="204">
        <f t="shared" si="444"/>
        <v>4.125</v>
      </c>
      <c r="F143" s="198">
        <f t="shared" si="444"/>
        <v>11</v>
      </c>
      <c r="G143" s="198">
        <f t="shared" si="418"/>
        <v>8.8000000000000007</v>
      </c>
      <c r="H143" s="198">
        <f t="shared" si="419"/>
        <v>5.5</v>
      </c>
      <c r="I143" s="198">
        <f t="shared" si="360"/>
        <v>8</v>
      </c>
      <c r="J143" s="199">
        <f t="shared" si="245"/>
        <v>225</v>
      </c>
      <c r="K143" s="194" t="str">
        <f>D143&amp;-1</f>
        <v>37.5-1</v>
      </c>
      <c r="L143" s="198">
        <f t="shared" ref="L143:N143" si="445">L142</f>
        <v>0.11</v>
      </c>
      <c r="M143" s="198">
        <f t="shared" si="445"/>
        <v>150</v>
      </c>
      <c r="N143" s="198">
        <f t="shared" si="445"/>
        <v>750</v>
      </c>
    </row>
    <row r="144" spans="1:14" s="182" customFormat="1" x14ac:dyDescent="0.25">
      <c r="A144" s="229">
        <f t="shared" ref="A144:B144" si="446">A143+1</f>
        <v>3861</v>
      </c>
      <c r="B144" s="230">
        <f t="shared" si="446"/>
        <v>134</v>
      </c>
      <c r="C144" s="229" t="str">
        <f t="shared" si="434"/>
        <v>L62X38_225#000_02</v>
      </c>
      <c r="D144" s="197">
        <f t="shared" ref="D144:F144" si="447">D143</f>
        <v>37.5</v>
      </c>
      <c r="E144" s="204">
        <f t="shared" si="447"/>
        <v>4.125</v>
      </c>
      <c r="F144" s="198">
        <f t="shared" si="447"/>
        <v>11</v>
      </c>
      <c r="G144" s="198">
        <f t="shared" si="418"/>
        <v>8.8000000000000007</v>
      </c>
      <c r="H144" s="198">
        <f t="shared" si="419"/>
        <v>5.5</v>
      </c>
      <c r="I144" s="198">
        <f t="shared" si="360"/>
        <v>8</v>
      </c>
      <c r="J144" s="199">
        <f t="shared" si="245"/>
        <v>225</v>
      </c>
      <c r="K144" s="194" t="str">
        <f>D144&amp;-2</f>
        <v>37.5-2</v>
      </c>
      <c r="L144" s="198">
        <f t="shared" ref="L144:N144" si="448">L143</f>
        <v>0.11</v>
      </c>
      <c r="M144" s="198">
        <f t="shared" si="448"/>
        <v>150</v>
      </c>
      <c r="N144" s="198">
        <f t="shared" si="448"/>
        <v>750</v>
      </c>
    </row>
    <row r="145" spans="1:14" s="182" customFormat="1" x14ac:dyDescent="0.25">
      <c r="A145" s="229">
        <f t="shared" ref="A145:B145" si="449">A144+1</f>
        <v>3862</v>
      </c>
      <c r="B145" s="230">
        <f t="shared" si="449"/>
        <v>135</v>
      </c>
      <c r="C145" s="229" t="str">
        <f t="shared" si="434"/>
        <v>L62X38_225#000_03</v>
      </c>
      <c r="D145" s="197">
        <f t="shared" ref="D145:F145" si="450">D144</f>
        <v>37.5</v>
      </c>
      <c r="E145" s="204">
        <f t="shared" si="450"/>
        <v>4.125</v>
      </c>
      <c r="F145" s="198">
        <f t="shared" si="450"/>
        <v>11</v>
      </c>
      <c r="G145" s="198">
        <f t="shared" si="418"/>
        <v>8.8000000000000007</v>
      </c>
      <c r="H145" s="198">
        <f t="shared" si="419"/>
        <v>5.5</v>
      </c>
      <c r="I145" s="198">
        <f t="shared" si="360"/>
        <v>8</v>
      </c>
      <c r="J145" s="199">
        <f t="shared" si="245"/>
        <v>225</v>
      </c>
      <c r="K145" s="194" t="str">
        <f>D145&amp;-3</f>
        <v>37.5-3</v>
      </c>
      <c r="L145" s="198">
        <f t="shared" ref="L145:N145" si="451">L144</f>
        <v>0.11</v>
      </c>
      <c r="M145" s="198">
        <f t="shared" si="451"/>
        <v>150</v>
      </c>
      <c r="N145" s="198">
        <f t="shared" si="451"/>
        <v>750</v>
      </c>
    </row>
    <row r="146" spans="1:14" s="182" customFormat="1" x14ac:dyDescent="0.25">
      <c r="A146" s="229">
        <f t="shared" ref="A146:B146" si="452">A145+1</f>
        <v>3863</v>
      </c>
      <c r="B146" s="230">
        <f t="shared" si="452"/>
        <v>136</v>
      </c>
      <c r="C146" s="229" t="str">
        <f t="shared" si="434"/>
        <v>L62X38_225#000_04</v>
      </c>
      <c r="D146" s="197">
        <f t="shared" ref="D146:F146" si="453">D145</f>
        <v>37.5</v>
      </c>
      <c r="E146" s="204">
        <f t="shared" si="453"/>
        <v>4.125</v>
      </c>
      <c r="F146" s="198">
        <f t="shared" si="453"/>
        <v>11</v>
      </c>
      <c r="G146" s="198">
        <f t="shared" si="418"/>
        <v>8.8000000000000007</v>
      </c>
      <c r="H146" s="198">
        <f t="shared" si="419"/>
        <v>5.5</v>
      </c>
      <c r="I146" s="198">
        <f t="shared" si="360"/>
        <v>8</v>
      </c>
      <c r="J146" s="199">
        <f t="shared" ref="J146:J209" si="454">J140+10</f>
        <v>225</v>
      </c>
      <c r="K146" s="194" t="str">
        <f>D146&amp;-4</f>
        <v>37.5-4</v>
      </c>
      <c r="L146" s="198">
        <f t="shared" ref="L146:N146" si="455">L145</f>
        <v>0.11</v>
      </c>
      <c r="M146" s="198">
        <f t="shared" si="455"/>
        <v>150</v>
      </c>
      <c r="N146" s="198">
        <f t="shared" si="455"/>
        <v>750</v>
      </c>
    </row>
    <row r="147" spans="1:14" s="182" customFormat="1" x14ac:dyDescent="0.25">
      <c r="A147" s="229">
        <f t="shared" ref="A147:B147" si="456">A146+1</f>
        <v>3864</v>
      </c>
      <c r="B147" s="230">
        <f t="shared" si="456"/>
        <v>137</v>
      </c>
      <c r="C147" s="229" t="str">
        <f t="shared" si="434"/>
        <v>L62X38_225#000_05</v>
      </c>
      <c r="D147" s="197">
        <f t="shared" ref="D147:F147" si="457">D146</f>
        <v>37.5</v>
      </c>
      <c r="E147" s="204">
        <f t="shared" si="457"/>
        <v>4.125</v>
      </c>
      <c r="F147" s="198">
        <f t="shared" si="457"/>
        <v>11</v>
      </c>
      <c r="G147" s="198">
        <f t="shared" si="418"/>
        <v>8.8000000000000007</v>
      </c>
      <c r="H147" s="198">
        <f t="shared" si="419"/>
        <v>5.5</v>
      </c>
      <c r="I147" s="198">
        <f t="shared" si="360"/>
        <v>8</v>
      </c>
      <c r="J147" s="199">
        <f t="shared" si="454"/>
        <v>225</v>
      </c>
      <c r="K147" s="194" t="str">
        <f>D147&amp;-5</f>
        <v>37.5-5</v>
      </c>
      <c r="L147" s="198">
        <f t="shared" ref="L147:N147" si="458">L146</f>
        <v>0.11</v>
      </c>
      <c r="M147" s="198">
        <f t="shared" si="458"/>
        <v>150</v>
      </c>
      <c r="N147" s="198">
        <f t="shared" si="458"/>
        <v>750</v>
      </c>
    </row>
    <row r="148" spans="1:14" s="182" customFormat="1" x14ac:dyDescent="0.25">
      <c r="A148" s="229">
        <f t="shared" ref="A148:B148" si="459">A147+1</f>
        <v>3865</v>
      </c>
      <c r="B148" s="230">
        <f t="shared" si="459"/>
        <v>138</v>
      </c>
      <c r="C148" s="229" t="str">
        <f t="shared" si="434"/>
        <v>L62X38_225#000_06</v>
      </c>
      <c r="D148" s="197">
        <f t="shared" ref="D148:F148" si="460">D147</f>
        <v>37.5</v>
      </c>
      <c r="E148" s="204">
        <f t="shared" si="460"/>
        <v>4.125</v>
      </c>
      <c r="F148" s="198">
        <f t="shared" si="460"/>
        <v>11</v>
      </c>
      <c r="G148" s="198">
        <f t="shared" si="418"/>
        <v>8.8000000000000007</v>
      </c>
      <c r="H148" s="198">
        <f t="shared" si="419"/>
        <v>5.5</v>
      </c>
      <c r="I148" s="198">
        <f t="shared" si="360"/>
        <v>8</v>
      </c>
      <c r="J148" s="199">
        <f t="shared" si="454"/>
        <v>225</v>
      </c>
      <c r="K148" s="194" t="str">
        <f>D148&amp;-6</f>
        <v>37.5-6</v>
      </c>
      <c r="L148" s="198">
        <f t="shared" ref="L148:N148" si="461">L147</f>
        <v>0.11</v>
      </c>
      <c r="M148" s="198">
        <f t="shared" si="461"/>
        <v>150</v>
      </c>
      <c r="N148" s="198">
        <f t="shared" si="461"/>
        <v>750</v>
      </c>
    </row>
    <row r="149" spans="1:14" s="182" customFormat="1" x14ac:dyDescent="0.25">
      <c r="A149" s="229">
        <f t="shared" ref="A149:B149" si="462">A148+1</f>
        <v>3866</v>
      </c>
      <c r="B149" s="230">
        <f t="shared" si="462"/>
        <v>139</v>
      </c>
      <c r="C149" s="229" t="str">
        <f t="shared" si="434"/>
        <v>L62X38_235#000_01</v>
      </c>
      <c r="D149" s="197">
        <f t="shared" ref="D149:F149" si="463">D148</f>
        <v>37.5</v>
      </c>
      <c r="E149" s="204">
        <f t="shared" si="463"/>
        <v>4.125</v>
      </c>
      <c r="F149" s="198">
        <f t="shared" si="463"/>
        <v>11</v>
      </c>
      <c r="G149" s="198">
        <f t="shared" si="418"/>
        <v>8.8000000000000007</v>
      </c>
      <c r="H149" s="198">
        <f t="shared" si="419"/>
        <v>5.5</v>
      </c>
      <c r="I149" s="198">
        <f t="shared" si="360"/>
        <v>8</v>
      </c>
      <c r="J149" s="199">
        <f t="shared" si="454"/>
        <v>235</v>
      </c>
      <c r="K149" s="194" t="str">
        <f>D149&amp;-1</f>
        <v>37.5-1</v>
      </c>
      <c r="L149" s="198">
        <f t="shared" ref="L149:N149" si="464">L148</f>
        <v>0.11</v>
      </c>
      <c r="M149" s="198">
        <f t="shared" si="464"/>
        <v>150</v>
      </c>
      <c r="N149" s="198">
        <f t="shared" si="464"/>
        <v>750</v>
      </c>
    </row>
    <row r="150" spans="1:14" s="182" customFormat="1" x14ac:dyDescent="0.25">
      <c r="A150" s="229">
        <f t="shared" ref="A150:B150" si="465">A149+1</f>
        <v>3867</v>
      </c>
      <c r="B150" s="230">
        <f t="shared" si="465"/>
        <v>140</v>
      </c>
      <c r="C150" s="229" t="str">
        <f t="shared" si="434"/>
        <v>L62X38_235#000_02</v>
      </c>
      <c r="D150" s="197">
        <f t="shared" ref="D150:F150" si="466">D149</f>
        <v>37.5</v>
      </c>
      <c r="E150" s="204">
        <f t="shared" si="466"/>
        <v>4.125</v>
      </c>
      <c r="F150" s="198">
        <f t="shared" si="466"/>
        <v>11</v>
      </c>
      <c r="G150" s="198">
        <f t="shared" si="418"/>
        <v>8.8000000000000007</v>
      </c>
      <c r="H150" s="198">
        <f t="shared" si="419"/>
        <v>5.5</v>
      </c>
      <c r="I150" s="198">
        <f t="shared" si="360"/>
        <v>8</v>
      </c>
      <c r="J150" s="199">
        <f t="shared" si="454"/>
        <v>235</v>
      </c>
      <c r="K150" s="194" t="str">
        <f>D150&amp;-2</f>
        <v>37.5-2</v>
      </c>
      <c r="L150" s="198">
        <f t="shared" ref="L150:N150" si="467">L149</f>
        <v>0.11</v>
      </c>
      <c r="M150" s="198">
        <f t="shared" si="467"/>
        <v>150</v>
      </c>
      <c r="N150" s="198">
        <f t="shared" si="467"/>
        <v>750</v>
      </c>
    </row>
    <row r="151" spans="1:14" s="182" customFormat="1" x14ac:dyDescent="0.25">
      <c r="A151" s="229">
        <f t="shared" ref="A151:B151" si="468">A150+1</f>
        <v>3868</v>
      </c>
      <c r="B151" s="230">
        <f t="shared" si="468"/>
        <v>141</v>
      </c>
      <c r="C151" s="229" t="str">
        <f t="shared" si="434"/>
        <v>L62X38_235#000_03</v>
      </c>
      <c r="D151" s="197">
        <f t="shared" ref="D151:F151" si="469">D150</f>
        <v>37.5</v>
      </c>
      <c r="E151" s="204">
        <f t="shared" si="469"/>
        <v>4.125</v>
      </c>
      <c r="F151" s="198">
        <f t="shared" si="469"/>
        <v>11</v>
      </c>
      <c r="G151" s="198">
        <f t="shared" si="418"/>
        <v>8.8000000000000007</v>
      </c>
      <c r="H151" s="198">
        <f t="shared" si="419"/>
        <v>5.5</v>
      </c>
      <c r="I151" s="198">
        <f t="shared" si="360"/>
        <v>8</v>
      </c>
      <c r="J151" s="199">
        <f t="shared" si="454"/>
        <v>235</v>
      </c>
      <c r="K151" s="194" t="str">
        <f>D151&amp;-3</f>
        <v>37.5-3</v>
      </c>
      <c r="L151" s="198">
        <f t="shared" ref="L151:N151" si="470">L150</f>
        <v>0.11</v>
      </c>
      <c r="M151" s="198">
        <f t="shared" si="470"/>
        <v>150</v>
      </c>
      <c r="N151" s="198">
        <f t="shared" si="470"/>
        <v>750</v>
      </c>
    </row>
    <row r="152" spans="1:14" s="182" customFormat="1" x14ac:dyDescent="0.25">
      <c r="A152" s="229">
        <f t="shared" ref="A152:B152" si="471">A151+1</f>
        <v>3869</v>
      </c>
      <c r="B152" s="230">
        <f t="shared" si="471"/>
        <v>142</v>
      </c>
      <c r="C152" s="229" t="str">
        <f t="shared" si="434"/>
        <v>L62X38_235#000_04</v>
      </c>
      <c r="D152" s="197">
        <f t="shared" ref="D152:F152" si="472">D151</f>
        <v>37.5</v>
      </c>
      <c r="E152" s="204">
        <f t="shared" si="472"/>
        <v>4.125</v>
      </c>
      <c r="F152" s="198">
        <f t="shared" si="472"/>
        <v>11</v>
      </c>
      <c r="G152" s="198">
        <f t="shared" si="418"/>
        <v>8.8000000000000007</v>
      </c>
      <c r="H152" s="198">
        <f t="shared" si="419"/>
        <v>5.5</v>
      </c>
      <c r="I152" s="198">
        <f t="shared" si="360"/>
        <v>8</v>
      </c>
      <c r="J152" s="199">
        <f t="shared" si="454"/>
        <v>235</v>
      </c>
      <c r="K152" s="194" t="str">
        <f>D152&amp;-4</f>
        <v>37.5-4</v>
      </c>
      <c r="L152" s="198">
        <f t="shared" ref="L152:N152" si="473">L151</f>
        <v>0.11</v>
      </c>
      <c r="M152" s="198">
        <f t="shared" si="473"/>
        <v>150</v>
      </c>
      <c r="N152" s="198">
        <f t="shared" si="473"/>
        <v>750</v>
      </c>
    </row>
    <row r="153" spans="1:14" s="182" customFormat="1" x14ac:dyDescent="0.25">
      <c r="A153" s="229">
        <f t="shared" ref="A153:B153" si="474">A152+1</f>
        <v>3870</v>
      </c>
      <c r="B153" s="230">
        <f t="shared" si="474"/>
        <v>143</v>
      </c>
      <c r="C153" s="229" t="str">
        <f t="shared" si="434"/>
        <v>L62X38_235#000_05</v>
      </c>
      <c r="D153" s="197">
        <f t="shared" ref="D153:F153" si="475">D152</f>
        <v>37.5</v>
      </c>
      <c r="E153" s="204">
        <f t="shared" si="475"/>
        <v>4.125</v>
      </c>
      <c r="F153" s="198">
        <f t="shared" si="475"/>
        <v>11</v>
      </c>
      <c r="G153" s="198">
        <f t="shared" si="418"/>
        <v>8.8000000000000007</v>
      </c>
      <c r="H153" s="198">
        <f t="shared" si="419"/>
        <v>5.5</v>
      </c>
      <c r="I153" s="198">
        <f t="shared" si="360"/>
        <v>8</v>
      </c>
      <c r="J153" s="199">
        <f t="shared" si="454"/>
        <v>235</v>
      </c>
      <c r="K153" s="194" t="str">
        <f>D153&amp;-5</f>
        <v>37.5-5</v>
      </c>
      <c r="L153" s="198">
        <f t="shared" ref="L153:N153" si="476">L152</f>
        <v>0.11</v>
      </c>
      <c r="M153" s="198">
        <f t="shared" si="476"/>
        <v>150</v>
      </c>
      <c r="N153" s="198">
        <f t="shared" si="476"/>
        <v>750</v>
      </c>
    </row>
    <row r="154" spans="1:14" s="182" customFormat="1" x14ac:dyDescent="0.25">
      <c r="A154" s="229">
        <f t="shared" ref="A154:B154" si="477">A153+1</f>
        <v>3871</v>
      </c>
      <c r="B154" s="230">
        <f t="shared" si="477"/>
        <v>144</v>
      </c>
      <c r="C154" s="229" t="str">
        <f t="shared" si="434"/>
        <v>L62X38_235#000_06</v>
      </c>
      <c r="D154" s="197">
        <f t="shared" ref="D154:F154" si="478">D153</f>
        <v>37.5</v>
      </c>
      <c r="E154" s="204">
        <f t="shared" si="478"/>
        <v>4.125</v>
      </c>
      <c r="F154" s="198">
        <f t="shared" si="478"/>
        <v>11</v>
      </c>
      <c r="G154" s="198">
        <f t="shared" si="418"/>
        <v>8.8000000000000007</v>
      </c>
      <c r="H154" s="198">
        <f t="shared" si="419"/>
        <v>5.5</v>
      </c>
      <c r="I154" s="198">
        <f t="shared" si="360"/>
        <v>8</v>
      </c>
      <c r="J154" s="199">
        <f t="shared" si="454"/>
        <v>235</v>
      </c>
      <c r="K154" s="194" t="str">
        <f>D154&amp;-6</f>
        <v>37.5-6</v>
      </c>
      <c r="L154" s="198">
        <f t="shared" ref="L154:N154" si="479">L153</f>
        <v>0.11</v>
      </c>
      <c r="M154" s="198">
        <f t="shared" si="479"/>
        <v>150</v>
      </c>
      <c r="N154" s="198">
        <f t="shared" si="479"/>
        <v>750</v>
      </c>
    </row>
    <row r="155" spans="1:14" s="182" customFormat="1" x14ac:dyDescent="0.25">
      <c r="A155" s="229">
        <f t="shared" ref="A155:B155" si="480">A154+1</f>
        <v>3872</v>
      </c>
      <c r="B155" s="230">
        <f t="shared" si="480"/>
        <v>145</v>
      </c>
      <c r="C155" s="229" t="str">
        <f t="shared" si="434"/>
        <v>L62X38_245#000_01</v>
      </c>
      <c r="D155" s="197">
        <f>v_50</f>
        <v>37.5</v>
      </c>
      <c r="E155" s="204">
        <f>F155*D155/100</f>
        <v>4.125</v>
      </c>
      <c r="F155" s="198">
        <f>0.11*100</f>
        <v>11</v>
      </c>
      <c r="G155" s="198">
        <f t="shared" si="418"/>
        <v>8.8000000000000007</v>
      </c>
      <c r="H155" s="198">
        <f t="shared" si="419"/>
        <v>5.5</v>
      </c>
      <c r="I155" s="198">
        <f>inflow</f>
        <v>8</v>
      </c>
      <c r="J155" s="199">
        <f t="shared" si="454"/>
        <v>245</v>
      </c>
      <c r="K155" s="194" t="str">
        <f>D155&amp;-1</f>
        <v>37.5-1</v>
      </c>
      <c r="L155" s="198">
        <f>alpha_e</f>
        <v>0.11</v>
      </c>
      <c r="M155" s="198">
        <f>t_out</f>
        <v>150</v>
      </c>
      <c r="N155" s="198">
        <f>M155+T_s1</f>
        <v>750</v>
      </c>
    </row>
    <row r="156" spans="1:14" s="182" customFormat="1" x14ac:dyDescent="0.25">
      <c r="A156" s="229">
        <f t="shared" ref="A156:B156" si="481">A155+1</f>
        <v>3873</v>
      </c>
      <c r="B156" s="230">
        <f t="shared" si="481"/>
        <v>146</v>
      </c>
      <c r="C156" s="229" t="str">
        <f t="shared" si="434"/>
        <v>L62X38_245#000_02</v>
      </c>
      <c r="D156" s="197">
        <f>D155</f>
        <v>37.5</v>
      </c>
      <c r="E156" s="204">
        <f>E155</f>
        <v>4.125</v>
      </c>
      <c r="F156" s="198">
        <f>F155</f>
        <v>11</v>
      </c>
      <c r="G156" s="198">
        <f t="shared" si="418"/>
        <v>8.8000000000000007</v>
      </c>
      <c r="H156" s="198">
        <f t="shared" si="419"/>
        <v>5.5</v>
      </c>
      <c r="I156" s="198">
        <f>I155</f>
        <v>8</v>
      </c>
      <c r="J156" s="199">
        <f t="shared" si="454"/>
        <v>245</v>
      </c>
      <c r="K156" s="194" t="str">
        <f>D156&amp;-2</f>
        <v>37.5-2</v>
      </c>
      <c r="L156" s="198">
        <f>L155</f>
        <v>0.11</v>
      </c>
      <c r="M156" s="198">
        <f>M155</f>
        <v>150</v>
      </c>
      <c r="N156" s="198">
        <f>N155</f>
        <v>750</v>
      </c>
    </row>
    <row r="157" spans="1:14" s="182" customFormat="1" x14ac:dyDescent="0.25">
      <c r="A157" s="229">
        <f t="shared" ref="A157:B157" si="482">A156+1</f>
        <v>3874</v>
      </c>
      <c r="B157" s="230">
        <f t="shared" si="482"/>
        <v>147</v>
      </c>
      <c r="C157" s="229" t="str">
        <f t="shared" si="434"/>
        <v>L62X38_245#000_03</v>
      </c>
      <c r="D157" s="197">
        <f t="shared" ref="D157:F157" si="483">D156</f>
        <v>37.5</v>
      </c>
      <c r="E157" s="204">
        <f t="shared" si="483"/>
        <v>4.125</v>
      </c>
      <c r="F157" s="198">
        <f t="shared" si="483"/>
        <v>11</v>
      </c>
      <c r="G157" s="198">
        <f t="shared" si="418"/>
        <v>8.8000000000000007</v>
      </c>
      <c r="H157" s="198">
        <f t="shared" si="419"/>
        <v>5.5</v>
      </c>
      <c r="I157" s="198">
        <f t="shared" ref="I157" si="484">I156</f>
        <v>8</v>
      </c>
      <c r="J157" s="199">
        <f t="shared" si="454"/>
        <v>245</v>
      </c>
      <c r="K157" s="194" t="str">
        <f>D157&amp;-3</f>
        <v>37.5-3</v>
      </c>
      <c r="L157" s="198">
        <f t="shared" ref="L157:N157" si="485">L156</f>
        <v>0.11</v>
      </c>
      <c r="M157" s="198">
        <f t="shared" si="485"/>
        <v>150</v>
      </c>
      <c r="N157" s="198">
        <f t="shared" si="485"/>
        <v>750</v>
      </c>
    </row>
    <row r="158" spans="1:14" s="182" customFormat="1" x14ac:dyDescent="0.25">
      <c r="A158" s="229">
        <f t="shared" ref="A158:B158" si="486">A157+1</f>
        <v>3875</v>
      </c>
      <c r="B158" s="230">
        <f t="shared" si="486"/>
        <v>148</v>
      </c>
      <c r="C158" s="229" t="str">
        <f t="shared" si="434"/>
        <v>L62X38_245#000_04</v>
      </c>
      <c r="D158" s="197">
        <f t="shared" ref="D158:F158" si="487">D157</f>
        <v>37.5</v>
      </c>
      <c r="E158" s="204">
        <f t="shared" si="487"/>
        <v>4.125</v>
      </c>
      <c r="F158" s="198">
        <f t="shared" si="487"/>
        <v>11</v>
      </c>
      <c r="G158" s="198">
        <f t="shared" si="418"/>
        <v>8.8000000000000007</v>
      </c>
      <c r="H158" s="198">
        <f t="shared" si="419"/>
        <v>5.5</v>
      </c>
      <c r="I158" s="198">
        <f t="shared" ref="I158" si="488">I157</f>
        <v>8</v>
      </c>
      <c r="J158" s="199">
        <f t="shared" si="454"/>
        <v>245</v>
      </c>
      <c r="K158" s="194" t="str">
        <f>D158&amp;-4</f>
        <v>37.5-4</v>
      </c>
      <c r="L158" s="198">
        <f t="shared" ref="L158:N158" si="489">L157</f>
        <v>0.11</v>
      </c>
      <c r="M158" s="198">
        <f t="shared" si="489"/>
        <v>150</v>
      </c>
      <c r="N158" s="198">
        <f t="shared" si="489"/>
        <v>750</v>
      </c>
    </row>
    <row r="159" spans="1:14" s="182" customFormat="1" x14ac:dyDescent="0.25">
      <c r="A159" s="229">
        <f t="shared" ref="A159:B159" si="490">A158+1</f>
        <v>3876</v>
      </c>
      <c r="B159" s="230">
        <f t="shared" si="490"/>
        <v>149</v>
      </c>
      <c r="C159" s="229" t="str">
        <f t="shared" si="434"/>
        <v>L62X38_245#000_05</v>
      </c>
      <c r="D159" s="197">
        <f t="shared" ref="D159:F159" si="491">D158</f>
        <v>37.5</v>
      </c>
      <c r="E159" s="204">
        <f t="shared" si="491"/>
        <v>4.125</v>
      </c>
      <c r="F159" s="198">
        <f t="shared" si="491"/>
        <v>11</v>
      </c>
      <c r="G159" s="198">
        <f t="shared" si="418"/>
        <v>8.8000000000000007</v>
      </c>
      <c r="H159" s="198">
        <f t="shared" si="419"/>
        <v>5.5</v>
      </c>
      <c r="I159" s="198">
        <f t="shared" ref="I159" si="492">I158</f>
        <v>8</v>
      </c>
      <c r="J159" s="199">
        <f t="shared" si="454"/>
        <v>245</v>
      </c>
      <c r="K159" s="194" t="str">
        <f>D159&amp;-5</f>
        <v>37.5-5</v>
      </c>
      <c r="L159" s="198">
        <f t="shared" ref="L159:N159" si="493">L158</f>
        <v>0.11</v>
      </c>
      <c r="M159" s="198">
        <f t="shared" si="493"/>
        <v>150</v>
      </c>
      <c r="N159" s="198">
        <f t="shared" si="493"/>
        <v>750</v>
      </c>
    </row>
    <row r="160" spans="1:14" s="182" customFormat="1" x14ac:dyDescent="0.25">
      <c r="A160" s="229">
        <f t="shared" ref="A160:B160" si="494">A159+1</f>
        <v>3877</v>
      </c>
      <c r="B160" s="230">
        <f t="shared" si="494"/>
        <v>150</v>
      </c>
      <c r="C160" s="229" t="str">
        <f t="shared" si="434"/>
        <v>L62X38_245#000_06</v>
      </c>
      <c r="D160" s="197">
        <f t="shared" ref="D160:F160" si="495">D159</f>
        <v>37.5</v>
      </c>
      <c r="E160" s="204">
        <f t="shared" si="495"/>
        <v>4.125</v>
      </c>
      <c r="F160" s="198">
        <f t="shared" si="495"/>
        <v>11</v>
      </c>
      <c r="G160" s="198">
        <f t="shared" si="418"/>
        <v>8.8000000000000007</v>
      </c>
      <c r="H160" s="198">
        <f t="shared" si="419"/>
        <v>5.5</v>
      </c>
      <c r="I160" s="198">
        <f t="shared" ref="I160" si="496">I159</f>
        <v>8</v>
      </c>
      <c r="J160" s="199">
        <f t="shared" si="454"/>
        <v>245</v>
      </c>
      <c r="K160" s="194" t="str">
        <f>D160&amp;-6</f>
        <v>37.5-6</v>
      </c>
      <c r="L160" s="198">
        <f t="shared" ref="L160:N160" si="497">L159</f>
        <v>0.11</v>
      </c>
      <c r="M160" s="198">
        <f t="shared" si="497"/>
        <v>150</v>
      </c>
      <c r="N160" s="198">
        <f t="shared" si="497"/>
        <v>750</v>
      </c>
    </row>
    <row r="161" spans="1:14" s="182" customFormat="1" x14ac:dyDescent="0.25">
      <c r="A161" s="229">
        <f t="shared" ref="A161:B161" si="498">A160+1</f>
        <v>3878</v>
      </c>
      <c r="B161" s="230">
        <f t="shared" si="498"/>
        <v>151</v>
      </c>
      <c r="C161" s="229" t="str">
        <f t="shared" si="434"/>
        <v>L62X38_255#000_01</v>
      </c>
      <c r="D161" s="197">
        <f t="shared" ref="D161:F161" si="499">D160</f>
        <v>37.5</v>
      </c>
      <c r="E161" s="204">
        <f t="shared" si="499"/>
        <v>4.125</v>
      </c>
      <c r="F161" s="198">
        <f t="shared" si="499"/>
        <v>11</v>
      </c>
      <c r="G161" s="198">
        <f t="shared" si="418"/>
        <v>8.8000000000000007</v>
      </c>
      <c r="H161" s="198">
        <f t="shared" si="419"/>
        <v>5.5</v>
      </c>
      <c r="I161" s="198">
        <f t="shared" ref="I161" si="500">I160</f>
        <v>8</v>
      </c>
      <c r="J161" s="199">
        <f t="shared" si="454"/>
        <v>255</v>
      </c>
      <c r="K161" s="194" t="str">
        <f>D161&amp;-1</f>
        <v>37.5-1</v>
      </c>
      <c r="L161" s="198">
        <f t="shared" ref="L161:N161" si="501">L160</f>
        <v>0.11</v>
      </c>
      <c r="M161" s="198">
        <f t="shared" si="501"/>
        <v>150</v>
      </c>
      <c r="N161" s="198">
        <f t="shared" si="501"/>
        <v>750</v>
      </c>
    </row>
    <row r="162" spans="1:14" s="182" customFormat="1" x14ac:dyDescent="0.25">
      <c r="A162" s="229">
        <f t="shared" ref="A162:B162" si="502">A161+1</f>
        <v>3879</v>
      </c>
      <c r="B162" s="230">
        <f t="shared" si="502"/>
        <v>152</v>
      </c>
      <c r="C162" s="229" t="str">
        <f t="shared" si="434"/>
        <v>L62X38_255#000_02</v>
      </c>
      <c r="D162" s="197">
        <f t="shared" ref="D162:F162" si="503">D161</f>
        <v>37.5</v>
      </c>
      <c r="E162" s="204">
        <f t="shared" si="503"/>
        <v>4.125</v>
      </c>
      <c r="F162" s="198">
        <f t="shared" si="503"/>
        <v>11</v>
      </c>
      <c r="G162" s="198">
        <f t="shared" si="418"/>
        <v>8.8000000000000007</v>
      </c>
      <c r="H162" s="198">
        <f t="shared" si="419"/>
        <v>5.5</v>
      </c>
      <c r="I162" s="198">
        <f t="shared" ref="I162" si="504">I161</f>
        <v>8</v>
      </c>
      <c r="J162" s="199">
        <f t="shared" si="454"/>
        <v>255</v>
      </c>
      <c r="K162" s="194" t="str">
        <f>D162&amp;-2</f>
        <v>37.5-2</v>
      </c>
      <c r="L162" s="198">
        <f t="shared" ref="L162:N162" si="505">L161</f>
        <v>0.11</v>
      </c>
      <c r="M162" s="198">
        <f t="shared" si="505"/>
        <v>150</v>
      </c>
      <c r="N162" s="198">
        <f t="shared" si="505"/>
        <v>750</v>
      </c>
    </row>
    <row r="163" spans="1:14" s="182" customFormat="1" x14ac:dyDescent="0.25">
      <c r="A163" s="229">
        <f t="shared" ref="A163:B163" si="506">A162+1</f>
        <v>3880</v>
      </c>
      <c r="B163" s="230">
        <f t="shared" si="506"/>
        <v>153</v>
      </c>
      <c r="C163" s="229" t="str">
        <f t="shared" si="434"/>
        <v>L62X38_255#000_03</v>
      </c>
      <c r="D163" s="197">
        <f t="shared" ref="D163:F163" si="507">D162</f>
        <v>37.5</v>
      </c>
      <c r="E163" s="204">
        <f t="shared" si="507"/>
        <v>4.125</v>
      </c>
      <c r="F163" s="198">
        <f t="shared" si="507"/>
        <v>11</v>
      </c>
      <c r="G163" s="198">
        <f t="shared" si="418"/>
        <v>8.8000000000000007</v>
      </c>
      <c r="H163" s="198">
        <f t="shared" si="419"/>
        <v>5.5</v>
      </c>
      <c r="I163" s="198">
        <f t="shared" ref="I163" si="508">I162</f>
        <v>8</v>
      </c>
      <c r="J163" s="199">
        <f t="shared" si="454"/>
        <v>255</v>
      </c>
      <c r="K163" s="194" t="str">
        <f>D163&amp;-3</f>
        <v>37.5-3</v>
      </c>
      <c r="L163" s="198">
        <f t="shared" ref="L163:N163" si="509">L162</f>
        <v>0.11</v>
      </c>
      <c r="M163" s="198">
        <f t="shared" si="509"/>
        <v>150</v>
      </c>
      <c r="N163" s="198">
        <f t="shared" si="509"/>
        <v>750</v>
      </c>
    </row>
    <row r="164" spans="1:14" s="182" customFormat="1" x14ac:dyDescent="0.25">
      <c r="A164" s="229">
        <f t="shared" ref="A164:B164" si="510">A163+1</f>
        <v>3881</v>
      </c>
      <c r="B164" s="230">
        <f t="shared" si="510"/>
        <v>154</v>
      </c>
      <c r="C164" s="229" t="str">
        <f t="shared" si="434"/>
        <v>L62X38_255#000_04</v>
      </c>
      <c r="D164" s="197">
        <f t="shared" ref="D164:F164" si="511">D163</f>
        <v>37.5</v>
      </c>
      <c r="E164" s="204">
        <f t="shared" si="511"/>
        <v>4.125</v>
      </c>
      <c r="F164" s="198">
        <f t="shared" si="511"/>
        <v>11</v>
      </c>
      <c r="G164" s="198">
        <f t="shared" si="418"/>
        <v>8.8000000000000007</v>
      </c>
      <c r="H164" s="198">
        <f t="shared" si="419"/>
        <v>5.5</v>
      </c>
      <c r="I164" s="198">
        <f t="shared" ref="I164" si="512">I163</f>
        <v>8</v>
      </c>
      <c r="J164" s="199">
        <f t="shared" si="454"/>
        <v>255</v>
      </c>
      <c r="K164" s="194" t="str">
        <f>D164&amp;-4</f>
        <v>37.5-4</v>
      </c>
      <c r="L164" s="198">
        <f t="shared" ref="L164:N164" si="513">L163</f>
        <v>0.11</v>
      </c>
      <c r="M164" s="198">
        <f t="shared" si="513"/>
        <v>150</v>
      </c>
      <c r="N164" s="198">
        <f t="shared" si="513"/>
        <v>750</v>
      </c>
    </row>
    <row r="165" spans="1:14" s="182" customFormat="1" x14ac:dyDescent="0.25">
      <c r="A165" s="229">
        <f t="shared" ref="A165:B165" si="514">A164+1</f>
        <v>3882</v>
      </c>
      <c r="B165" s="230">
        <f t="shared" si="514"/>
        <v>155</v>
      </c>
      <c r="C165" s="229" t="str">
        <f t="shared" si="434"/>
        <v>L62X38_255#000_05</v>
      </c>
      <c r="D165" s="197">
        <f t="shared" ref="D165:F165" si="515">D164</f>
        <v>37.5</v>
      </c>
      <c r="E165" s="204">
        <f t="shared" si="515"/>
        <v>4.125</v>
      </c>
      <c r="F165" s="198">
        <f t="shared" si="515"/>
        <v>11</v>
      </c>
      <c r="G165" s="198">
        <f t="shared" si="418"/>
        <v>8.8000000000000007</v>
      </c>
      <c r="H165" s="198">
        <f t="shared" si="419"/>
        <v>5.5</v>
      </c>
      <c r="I165" s="198">
        <f t="shared" ref="I165" si="516">I164</f>
        <v>8</v>
      </c>
      <c r="J165" s="199">
        <f t="shared" si="454"/>
        <v>255</v>
      </c>
      <c r="K165" s="194" t="str">
        <f>D165&amp;-5</f>
        <v>37.5-5</v>
      </c>
      <c r="L165" s="198">
        <f t="shared" ref="L165:N165" si="517">L164</f>
        <v>0.11</v>
      </c>
      <c r="M165" s="198">
        <f t="shared" si="517"/>
        <v>150</v>
      </c>
      <c r="N165" s="198">
        <f t="shared" si="517"/>
        <v>750</v>
      </c>
    </row>
    <row r="166" spans="1:14" s="182" customFormat="1" x14ac:dyDescent="0.25">
      <c r="A166" s="229">
        <f t="shared" ref="A166:B166" si="518">A165+1</f>
        <v>3883</v>
      </c>
      <c r="B166" s="230">
        <f t="shared" si="518"/>
        <v>156</v>
      </c>
      <c r="C166" s="229" t="str">
        <f t="shared" si="434"/>
        <v>L62X38_255#000_06</v>
      </c>
      <c r="D166" s="197">
        <f t="shared" ref="D166:F166" si="519">D165</f>
        <v>37.5</v>
      </c>
      <c r="E166" s="204">
        <f t="shared" si="519"/>
        <v>4.125</v>
      </c>
      <c r="F166" s="198">
        <f t="shared" si="519"/>
        <v>11</v>
      </c>
      <c r="G166" s="198">
        <f t="shared" si="418"/>
        <v>8.8000000000000007</v>
      </c>
      <c r="H166" s="198">
        <f t="shared" si="419"/>
        <v>5.5</v>
      </c>
      <c r="I166" s="198">
        <f t="shared" ref="I166" si="520">I165</f>
        <v>8</v>
      </c>
      <c r="J166" s="199">
        <f t="shared" si="454"/>
        <v>255</v>
      </c>
      <c r="K166" s="194" t="str">
        <f>D166&amp;-6</f>
        <v>37.5-6</v>
      </c>
      <c r="L166" s="198">
        <f t="shared" ref="L166:N166" si="521">L165</f>
        <v>0.11</v>
      </c>
      <c r="M166" s="198">
        <f t="shared" si="521"/>
        <v>150</v>
      </c>
      <c r="N166" s="198">
        <f t="shared" si="521"/>
        <v>750</v>
      </c>
    </row>
    <row r="167" spans="1:14" s="182" customFormat="1" x14ac:dyDescent="0.25">
      <c r="A167" s="229">
        <f t="shared" ref="A167:B167" si="522">A166+1</f>
        <v>3884</v>
      </c>
      <c r="B167" s="230">
        <f t="shared" si="522"/>
        <v>157</v>
      </c>
      <c r="C167" s="229" t="str">
        <f t="shared" si="434"/>
        <v>L62X38_265#000_01</v>
      </c>
      <c r="D167" s="197">
        <f t="shared" ref="D167:F167" si="523">D166</f>
        <v>37.5</v>
      </c>
      <c r="E167" s="204">
        <f t="shared" si="523"/>
        <v>4.125</v>
      </c>
      <c r="F167" s="198">
        <f t="shared" si="523"/>
        <v>11</v>
      </c>
      <c r="G167" s="198">
        <f t="shared" si="418"/>
        <v>8.8000000000000007</v>
      </c>
      <c r="H167" s="198">
        <f t="shared" si="419"/>
        <v>5.5</v>
      </c>
      <c r="I167" s="198">
        <f t="shared" ref="I167" si="524">I166</f>
        <v>8</v>
      </c>
      <c r="J167" s="199">
        <f t="shared" si="454"/>
        <v>265</v>
      </c>
      <c r="K167" s="194" t="str">
        <f>D167&amp;-1</f>
        <v>37.5-1</v>
      </c>
      <c r="L167" s="198">
        <f t="shared" ref="L167:N167" si="525">L166</f>
        <v>0.11</v>
      </c>
      <c r="M167" s="198">
        <f t="shared" si="525"/>
        <v>150</v>
      </c>
      <c r="N167" s="198">
        <f t="shared" si="525"/>
        <v>750</v>
      </c>
    </row>
    <row r="168" spans="1:14" s="182" customFormat="1" x14ac:dyDescent="0.25">
      <c r="A168" s="229">
        <f t="shared" ref="A168:B168" si="526">A167+1</f>
        <v>3885</v>
      </c>
      <c r="B168" s="230">
        <f t="shared" si="526"/>
        <v>158</v>
      </c>
      <c r="C168" s="229" t="str">
        <f t="shared" si="434"/>
        <v>L62X38_265#000_02</v>
      </c>
      <c r="D168" s="197">
        <f t="shared" ref="D168:F168" si="527">D167</f>
        <v>37.5</v>
      </c>
      <c r="E168" s="204">
        <f t="shared" si="527"/>
        <v>4.125</v>
      </c>
      <c r="F168" s="198">
        <f t="shared" si="527"/>
        <v>11</v>
      </c>
      <c r="G168" s="198">
        <f t="shared" si="418"/>
        <v>8.8000000000000007</v>
      </c>
      <c r="H168" s="198">
        <f t="shared" si="419"/>
        <v>5.5</v>
      </c>
      <c r="I168" s="198">
        <f t="shared" ref="I168" si="528">I167</f>
        <v>8</v>
      </c>
      <c r="J168" s="199">
        <f t="shared" si="454"/>
        <v>265</v>
      </c>
      <c r="K168" s="194" t="str">
        <f>D168&amp;-2</f>
        <v>37.5-2</v>
      </c>
      <c r="L168" s="198">
        <f t="shared" ref="L168:N168" si="529">L167</f>
        <v>0.11</v>
      </c>
      <c r="M168" s="198">
        <f t="shared" si="529"/>
        <v>150</v>
      </c>
      <c r="N168" s="198">
        <f t="shared" si="529"/>
        <v>750</v>
      </c>
    </row>
    <row r="169" spans="1:14" s="182" customFormat="1" x14ac:dyDescent="0.25">
      <c r="A169" s="229">
        <f t="shared" ref="A169:B169" si="530">A168+1</f>
        <v>3886</v>
      </c>
      <c r="B169" s="230">
        <f t="shared" si="530"/>
        <v>159</v>
      </c>
      <c r="C169" s="229" t="str">
        <f t="shared" si="434"/>
        <v>L62X38_265#000_03</v>
      </c>
      <c r="D169" s="197">
        <f t="shared" ref="D169:F169" si="531">D168</f>
        <v>37.5</v>
      </c>
      <c r="E169" s="204">
        <f t="shared" si="531"/>
        <v>4.125</v>
      </c>
      <c r="F169" s="198">
        <f t="shared" si="531"/>
        <v>11</v>
      </c>
      <c r="G169" s="198">
        <f t="shared" si="418"/>
        <v>8.8000000000000007</v>
      </c>
      <c r="H169" s="198">
        <f t="shared" si="419"/>
        <v>5.5</v>
      </c>
      <c r="I169" s="198">
        <f t="shared" ref="I169" si="532">I168</f>
        <v>8</v>
      </c>
      <c r="J169" s="199">
        <f t="shared" si="454"/>
        <v>265</v>
      </c>
      <c r="K169" s="194" t="str">
        <f>D169&amp;-3</f>
        <v>37.5-3</v>
      </c>
      <c r="L169" s="198">
        <f t="shared" ref="L169:N169" si="533">L168</f>
        <v>0.11</v>
      </c>
      <c r="M169" s="198">
        <f t="shared" si="533"/>
        <v>150</v>
      </c>
      <c r="N169" s="198">
        <f t="shared" si="533"/>
        <v>750</v>
      </c>
    </row>
    <row r="170" spans="1:14" s="182" customFormat="1" x14ac:dyDescent="0.25">
      <c r="A170" s="229">
        <f t="shared" ref="A170:B170" si="534">A169+1</f>
        <v>3887</v>
      </c>
      <c r="B170" s="230">
        <f t="shared" si="534"/>
        <v>160</v>
      </c>
      <c r="C170" s="229" t="str">
        <f t="shared" si="434"/>
        <v>L62X38_265#000_04</v>
      </c>
      <c r="D170" s="197">
        <f t="shared" ref="D170:F170" si="535">D169</f>
        <v>37.5</v>
      </c>
      <c r="E170" s="204">
        <f t="shared" si="535"/>
        <v>4.125</v>
      </c>
      <c r="F170" s="198">
        <f t="shared" si="535"/>
        <v>11</v>
      </c>
      <c r="G170" s="198">
        <f t="shared" si="418"/>
        <v>8.8000000000000007</v>
      </c>
      <c r="H170" s="198">
        <f t="shared" si="419"/>
        <v>5.5</v>
      </c>
      <c r="I170" s="198">
        <f t="shared" ref="I170" si="536">I169</f>
        <v>8</v>
      </c>
      <c r="J170" s="199">
        <f t="shared" si="454"/>
        <v>265</v>
      </c>
      <c r="K170" s="194" t="str">
        <f>D170&amp;-4</f>
        <v>37.5-4</v>
      </c>
      <c r="L170" s="198">
        <f t="shared" ref="L170:N170" si="537">L169</f>
        <v>0.11</v>
      </c>
      <c r="M170" s="198">
        <f t="shared" si="537"/>
        <v>150</v>
      </c>
      <c r="N170" s="198">
        <f t="shared" si="537"/>
        <v>750</v>
      </c>
    </row>
    <row r="171" spans="1:14" s="182" customFormat="1" x14ac:dyDescent="0.25">
      <c r="A171" s="229">
        <f t="shared" ref="A171:B171" si="538">A170+1</f>
        <v>3888</v>
      </c>
      <c r="B171" s="230">
        <f t="shared" si="538"/>
        <v>161</v>
      </c>
      <c r="C171" s="229" t="str">
        <f t="shared" si="434"/>
        <v>L62X38_265#000_05</v>
      </c>
      <c r="D171" s="197">
        <f t="shared" ref="D171:F171" si="539">D170</f>
        <v>37.5</v>
      </c>
      <c r="E171" s="204">
        <f t="shared" si="539"/>
        <v>4.125</v>
      </c>
      <c r="F171" s="198">
        <f t="shared" si="539"/>
        <v>11</v>
      </c>
      <c r="G171" s="198">
        <f t="shared" si="418"/>
        <v>8.8000000000000007</v>
      </c>
      <c r="H171" s="198">
        <f t="shared" si="419"/>
        <v>5.5</v>
      </c>
      <c r="I171" s="198">
        <f t="shared" ref="I171" si="540">I170</f>
        <v>8</v>
      </c>
      <c r="J171" s="199">
        <f t="shared" si="454"/>
        <v>265</v>
      </c>
      <c r="K171" s="194" t="str">
        <f>D171&amp;-5</f>
        <v>37.5-5</v>
      </c>
      <c r="L171" s="198">
        <f t="shared" ref="L171:N171" si="541">L170</f>
        <v>0.11</v>
      </c>
      <c r="M171" s="198">
        <f t="shared" si="541"/>
        <v>150</v>
      </c>
      <c r="N171" s="198">
        <f t="shared" si="541"/>
        <v>750</v>
      </c>
    </row>
    <row r="172" spans="1:14" s="182" customFormat="1" x14ac:dyDescent="0.25">
      <c r="A172" s="229">
        <f t="shared" ref="A172:B172" si="542">A171+1</f>
        <v>3889</v>
      </c>
      <c r="B172" s="230">
        <f t="shared" si="542"/>
        <v>162</v>
      </c>
      <c r="C172" s="229" t="str">
        <f t="shared" si="434"/>
        <v>L62X38_265#000_06</v>
      </c>
      <c r="D172" s="197">
        <f t="shared" ref="D172:F172" si="543">D171</f>
        <v>37.5</v>
      </c>
      <c r="E172" s="204">
        <f t="shared" si="543"/>
        <v>4.125</v>
      </c>
      <c r="F172" s="198">
        <f t="shared" si="543"/>
        <v>11</v>
      </c>
      <c r="G172" s="198">
        <f t="shared" si="418"/>
        <v>8.8000000000000007</v>
      </c>
      <c r="H172" s="198">
        <f t="shared" si="419"/>
        <v>5.5</v>
      </c>
      <c r="I172" s="198">
        <f t="shared" ref="I172" si="544">I171</f>
        <v>8</v>
      </c>
      <c r="J172" s="199">
        <f t="shared" si="454"/>
        <v>265</v>
      </c>
      <c r="K172" s="194" t="str">
        <f>D172&amp;-6</f>
        <v>37.5-6</v>
      </c>
      <c r="L172" s="198">
        <f t="shared" ref="L172:N172" si="545">L171</f>
        <v>0.11</v>
      </c>
      <c r="M172" s="198">
        <f t="shared" si="545"/>
        <v>150</v>
      </c>
      <c r="N172" s="198">
        <f t="shared" si="545"/>
        <v>750</v>
      </c>
    </row>
    <row r="173" spans="1:14" s="182" customFormat="1" x14ac:dyDescent="0.25">
      <c r="A173" s="229">
        <f t="shared" ref="A173:B173" si="546">A172+1</f>
        <v>3890</v>
      </c>
      <c r="B173" s="230">
        <f t="shared" si="546"/>
        <v>163</v>
      </c>
      <c r="C173" s="229" t="str">
        <f t="shared" si="434"/>
        <v>L62X38_275#000_01</v>
      </c>
      <c r="D173" s="197">
        <f t="shared" ref="D173:F173" si="547">D172</f>
        <v>37.5</v>
      </c>
      <c r="E173" s="204">
        <f t="shared" si="547"/>
        <v>4.125</v>
      </c>
      <c r="F173" s="198">
        <f t="shared" si="547"/>
        <v>11</v>
      </c>
      <c r="G173" s="198">
        <f t="shared" si="418"/>
        <v>8.8000000000000007</v>
      </c>
      <c r="H173" s="198">
        <f t="shared" si="419"/>
        <v>5.5</v>
      </c>
      <c r="I173" s="198">
        <f t="shared" ref="I173" si="548">I172</f>
        <v>8</v>
      </c>
      <c r="J173" s="199">
        <f t="shared" si="454"/>
        <v>275</v>
      </c>
      <c r="K173" s="194" t="str">
        <f>D173&amp;-1</f>
        <v>37.5-1</v>
      </c>
      <c r="L173" s="198">
        <f t="shared" ref="L173:N173" si="549">L172</f>
        <v>0.11</v>
      </c>
      <c r="M173" s="198">
        <f t="shared" si="549"/>
        <v>150</v>
      </c>
      <c r="N173" s="198">
        <f t="shared" si="549"/>
        <v>750</v>
      </c>
    </row>
    <row r="174" spans="1:14" s="182" customFormat="1" x14ac:dyDescent="0.25">
      <c r="A174" s="229">
        <f t="shared" ref="A174:B174" si="550">A173+1</f>
        <v>3891</v>
      </c>
      <c r="B174" s="230">
        <f t="shared" si="550"/>
        <v>164</v>
      </c>
      <c r="C174" s="229" t="str">
        <f t="shared" si="434"/>
        <v>L62X38_275#000_02</v>
      </c>
      <c r="D174" s="197">
        <f t="shared" ref="D174:F174" si="551">D173</f>
        <v>37.5</v>
      </c>
      <c r="E174" s="204">
        <f t="shared" si="551"/>
        <v>4.125</v>
      </c>
      <c r="F174" s="198">
        <f t="shared" si="551"/>
        <v>11</v>
      </c>
      <c r="G174" s="198">
        <f t="shared" si="418"/>
        <v>8.8000000000000007</v>
      </c>
      <c r="H174" s="198">
        <f t="shared" si="419"/>
        <v>5.5</v>
      </c>
      <c r="I174" s="198">
        <f t="shared" ref="I174" si="552">I173</f>
        <v>8</v>
      </c>
      <c r="J174" s="199">
        <f t="shared" si="454"/>
        <v>275</v>
      </c>
      <c r="K174" s="194" t="str">
        <f>D174&amp;-2</f>
        <v>37.5-2</v>
      </c>
      <c r="L174" s="198">
        <f t="shared" ref="L174:N174" si="553">L173</f>
        <v>0.11</v>
      </c>
      <c r="M174" s="198">
        <f t="shared" si="553"/>
        <v>150</v>
      </c>
      <c r="N174" s="198">
        <f t="shared" si="553"/>
        <v>750</v>
      </c>
    </row>
    <row r="175" spans="1:14" s="182" customFormat="1" x14ac:dyDescent="0.25">
      <c r="A175" s="229">
        <f t="shared" ref="A175:B175" si="554">A174+1</f>
        <v>3892</v>
      </c>
      <c r="B175" s="230">
        <f t="shared" si="554"/>
        <v>165</v>
      </c>
      <c r="C175" s="229" t="str">
        <f t="shared" si="434"/>
        <v>L62X38_275#000_03</v>
      </c>
      <c r="D175" s="197">
        <f t="shared" ref="D175:F175" si="555">D174</f>
        <v>37.5</v>
      </c>
      <c r="E175" s="204">
        <f t="shared" si="555"/>
        <v>4.125</v>
      </c>
      <c r="F175" s="198">
        <f t="shared" si="555"/>
        <v>11</v>
      </c>
      <c r="G175" s="198">
        <f t="shared" si="418"/>
        <v>8.8000000000000007</v>
      </c>
      <c r="H175" s="198">
        <f t="shared" si="419"/>
        <v>5.5</v>
      </c>
      <c r="I175" s="198">
        <f t="shared" ref="I175" si="556">I174</f>
        <v>8</v>
      </c>
      <c r="J175" s="199">
        <f t="shared" si="454"/>
        <v>275</v>
      </c>
      <c r="K175" s="194" t="str">
        <f>D175&amp;-3</f>
        <v>37.5-3</v>
      </c>
      <c r="L175" s="198">
        <f t="shared" ref="L175:N175" si="557">L174</f>
        <v>0.11</v>
      </c>
      <c r="M175" s="198">
        <f t="shared" si="557"/>
        <v>150</v>
      </c>
      <c r="N175" s="198">
        <f t="shared" si="557"/>
        <v>750</v>
      </c>
    </row>
    <row r="176" spans="1:14" s="182" customFormat="1" x14ac:dyDescent="0.25">
      <c r="A176" s="229">
        <f t="shared" ref="A176:B176" si="558">A175+1</f>
        <v>3893</v>
      </c>
      <c r="B176" s="230">
        <f t="shared" si="558"/>
        <v>166</v>
      </c>
      <c r="C176" s="229" t="str">
        <f t="shared" si="434"/>
        <v>L62X38_275#000_04</v>
      </c>
      <c r="D176" s="197">
        <f t="shared" ref="D176:F176" si="559">D175</f>
        <v>37.5</v>
      </c>
      <c r="E176" s="204">
        <f t="shared" si="559"/>
        <v>4.125</v>
      </c>
      <c r="F176" s="198">
        <f t="shared" si="559"/>
        <v>11</v>
      </c>
      <c r="G176" s="198">
        <f t="shared" si="418"/>
        <v>8.8000000000000007</v>
      </c>
      <c r="H176" s="198">
        <f t="shared" si="419"/>
        <v>5.5</v>
      </c>
      <c r="I176" s="198">
        <f t="shared" ref="I176" si="560">I175</f>
        <v>8</v>
      </c>
      <c r="J176" s="199">
        <f t="shared" si="454"/>
        <v>275</v>
      </c>
      <c r="K176" s="194" t="str">
        <f>D176&amp;-4</f>
        <v>37.5-4</v>
      </c>
      <c r="L176" s="198">
        <f t="shared" ref="L176:N176" si="561">L175</f>
        <v>0.11</v>
      </c>
      <c r="M176" s="198">
        <f t="shared" si="561"/>
        <v>150</v>
      </c>
      <c r="N176" s="198">
        <f t="shared" si="561"/>
        <v>750</v>
      </c>
    </row>
    <row r="177" spans="1:14" s="182" customFormat="1" x14ac:dyDescent="0.25">
      <c r="A177" s="229">
        <f t="shared" ref="A177:B177" si="562">A176+1</f>
        <v>3894</v>
      </c>
      <c r="B177" s="230">
        <f t="shared" si="562"/>
        <v>167</v>
      </c>
      <c r="C177" s="229" t="str">
        <f t="shared" si="434"/>
        <v>L62X38_275#000_05</v>
      </c>
      <c r="D177" s="197">
        <f t="shared" ref="D177:F177" si="563">D176</f>
        <v>37.5</v>
      </c>
      <c r="E177" s="204">
        <f t="shared" si="563"/>
        <v>4.125</v>
      </c>
      <c r="F177" s="198">
        <f t="shared" si="563"/>
        <v>11</v>
      </c>
      <c r="G177" s="198">
        <f t="shared" si="418"/>
        <v>8.8000000000000007</v>
      </c>
      <c r="H177" s="198">
        <f t="shared" si="419"/>
        <v>5.5</v>
      </c>
      <c r="I177" s="198">
        <f t="shared" ref="I177" si="564">I176</f>
        <v>8</v>
      </c>
      <c r="J177" s="199">
        <f t="shared" si="454"/>
        <v>275</v>
      </c>
      <c r="K177" s="194" t="str">
        <f>D177&amp;-5</f>
        <v>37.5-5</v>
      </c>
      <c r="L177" s="198">
        <f t="shared" ref="L177:N177" si="565">L176</f>
        <v>0.11</v>
      </c>
      <c r="M177" s="198">
        <f t="shared" si="565"/>
        <v>150</v>
      </c>
      <c r="N177" s="198">
        <f t="shared" si="565"/>
        <v>750</v>
      </c>
    </row>
    <row r="178" spans="1:14" s="182" customFormat="1" x14ac:dyDescent="0.25">
      <c r="A178" s="229">
        <f t="shared" ref="A178:B178" si="566">A177+1</f>
        <v>3895</v>
      </c>
      <c r="B178" s="230">
        <f t="shared" si="566"/>
        <v>168</v>
      </c>
      <c r="C178" s="229" t="str">
        <f t="shared" si="434"/>
        <v>L62X38_275#000_06</v>
      </c>
      <c r="D178" s="197">
        <f t="shared" ref="D178:F178" si="567">D177</f>
        <v>37.5</v>
      </c>
      <c r="E178" s="204">
        <f t="shared" si="567"/>
        <v>4.125</v>
      </c>
      <c r="F178" s="198">
        <f t="shared" si="567"/>
        <v>11</v>
      </c>
      <c r="G178" s="198">
        <f t="shared" si="418"/>
        <v>8.8000000000000007</v>
      </c>
      <c r="H178" s="198">
        <f t="shared" si="419"/>
        <v>5.5</v>
      </c>
      <c r="I178" s="198">
        <f t="shared" ref="I178" si="568">I177</f>
        <v>8</v>
      </c>
      <c r="J178" s="199">
        <f t="shared" si="454"/>
        <v>275</v>
      </c>
      <c r="K178" s="194" t="str">
        <f>D178&amp;-6</f>
        <v>37.5-6</v>
      </c>
      <c r="L178" s="198">
        <f t="shared" ref="L178:N178" si="569">L177</f>
        <v>0.11</v>
      </c>
      <c r="M178" s="198">
        <f t="shared" si="569"/>
        <v>150</v>
      </c>
      <c r="N178" s="198">
        <f t="shared" si="569"/>
        <v>750</v>
      </c>
    </row>
    <row r="179" spans="1:14" s="182" customFormat="1" x14ac:dyDescent="0.25">
      <c r="A179" s="229">
        <f t="shared" ref="A179:B179" si="570">A178+1</f>
        <v>3896</v>
      </c>
      <c r="B179" s="230">
        <f t="shared" si="570"/>
        <v>169</v>
      </c>
      <c r="C179" s="229" t="str">
        <f t="shared" si="434"/>
        <v>L62X38_285#000_01</v>
      </c>
      <c r="D179" s="197">
        <f t="shared" ref="D179:F179" si="571">D178</f>
        <v>37.5</v>
      </c>
      <c r="E179" s="204">
        <f t="shared" si="571"/>
        <v>4.125</v>
      </c>
      <c r="F179" s="198">
        <f t="shared" si="571"/>
        <v>11</v>
      </c>
      <c r="G179" s="198">
        <f t="shared" si="418"/>
        <v>8.8000000000000007</v>
      </c>
      <c r="H179" s="198">
        <f t="shared" si="419"/>
        <v>5.5</v>
      </c>
      <c r="I179" s="198">
        <f t="shared" ref="I179" si="572">I178</f>
        <v>8</v>
      </c>
      <c r="J179" s="199">
        <f t="shared" si="454"/>
        <v>285</v>
      </c>
      <c r="K179" s="194" t="str">
        <f>D179&amp;-1</f>
        <v>37.5-1</v>
      </c>
      <c r="L179" s="198">
        <f t="shared" ref="L179:N179" si="573">L178</f>
        <v>0.11</v>
      </c>
      <c r="M179" s="198">
        <f t="shared" si="573"/>
        <v>150</v>
      </c>
      <c r="N179" s="198">
        <f t="shared" si="573"/>
        <v>750</v>
      </c>
    </row>
    <row r="180" spans="1:14" s="182" customFormat="1" x14ac:dyDescent="0.25">
      <c r="A180" s="229">
        <f t="shared" ref="A180:B180" si="574">A179+1</f>
        <v>3897</v>
      </c>
      <c r="B180" s="230">
        <f t="shared" si="574"/>
        <v>170</v>
      </c>
      <c r="C180" s="229" t="str">
        <f t="shared" si="434"/>
        <v>L62X38_285#000_02</v>
      </c>
      <c r="D180" s="197">
        <f t="shared" ref="D180:F180" si="575">D179</f>
        <v>37.5</v>
      </c>
      <c r="E180" s="204">
        <f t="shared" si="575"/>
        <v>4.125</v>
      </c>
      <c r="F180" s="198">
        <f t="shared" si="575"/>
        <v>11</v>
      </c>
      <c r="G180" s="198">
        <f t="shared" si="418"/>
        <v>8.8000000000000007</v>
      </c>
      <c r="H180" s="198">
        <f t="shared" si="419"/>
        <v>5.5</v>
      </c>
      <c r="I180" s="198">
        <f t="shared" ref="I180" si="576">I179</f>
        <v>8</v>
      </c>
      <c r="J180" s="199">
        <f t="shared" si="454"/>
        <v>285</v>
      </c>
      <c r="K180" s="194" t="str">
        <f>D180&amp;-2</f>
        <v>37.5-2</v>
      </c>
      <c r="L180" s="198">
        <f t="shared" ref="L180:N180" si="577">L179</f>
        <v>0.11</v>
      </c>
      <c r="M180" s="198">
        <f t="shared" si="577"/>
        <v>150</v>
      </c>
      <c r="N180" s="198">
        <f t="shared" si="577"/>
        <v>750</v>
      </c>
    </row>
    <row r="181" spans="1:14" s="182" customFormat="1" x14ac:dyDescent="0.25">
      <c r="A181" s="229">
        <f t="shared" ref="A181:B181" si="578">A180+1</f>
        <v>3898</v>
      </c>
      <c r="B181" s="230">
        <f t="shared" si="578"/>
        <v>171</v>
      </c>
      <c r="C181" s="229" t="str">
        <f t="shared" si="434"/>
        <v>L62X38_285#000_03</v>
      </c>
      <c r="D181" s="197">
        <f t="shared" ref="D181:F181" si="579">D180</f>
        <v>37.5</v>
      </c>
      <c r="E181" s="204">
        <f t="shared" si="579"/>
        <v>4.125</v>
      </c>
      <c r="F181" s="198">
        <f t="shared" si="579"/>
        <v>11</v>
      </c>
      <c r="G181" s="198">
        <f t="shared" si="418"/>
        <v>8.8000000000000007</v>
      </c>
      <c r="H181" s="198">
        <f t="shared" si="419"/>
        <v>5.5</v>
      </c>
      <c r="I181" s="198">
        <f t="shared" ref="I181" si="580">I180</f>
        <v>8</v>
      </c>
      <c r="J181" s="199">
        <f t="shared" si="454"/>
        <v>285</v>
      </c>
      <c r="K181" s="194" t="str">
        <f>D181&amp;-3</f>
        <v>37.5-3</v>
      </c>
      <c r="L181" s="198">
        <f t="shared" ref="L181:N181" si="581">L180</f>
        <v>0.11</v>
      </c>
      <c r="M181" s="198">
        <f t="shared" si="581"/>
        <v>150</v>
      </c>
      <c r="N181" s="198">
        <f t="shared" si="581"/>
        <v>750</v>
      </c>
    </row>
    <row r="182" spans="1:14" s="182" customFormat="1" x14ac:dyDescent="0.25">
      <c r="A182" s="229">
        <f t="shared" ref="A182:B182" si="582">A181+1</f>
        <v>3899</v>
      </c>
      <c r="B182" s="230">
        <f t="shared" si="582"/>
        <v>172</v>
      </c>
      <c r="C182" s="229" t="str">
        <f t="shared" si="434"/>
        <v>L62X38_285#000_04</v>
      </c>
      <c r="D182" s="197">
        <f t="shared" ref="D182:F182" si="583">D181</f>
        <v>37.5</v>
      </c>
      <c r="E182" s="204">
        <f t="shared" si="583"/>
        <v>4.125</v>
      </c>
      <c r="F182" s="198">
        <f t="shared" si="583"/>
        <v>11</v>
      </c>
      <c r="G182" s="198">
        <f t="shared" si="418"/>
        <v>8.8000000000000007</v>
      </c>
      <c r="H182" s="198">
        <f t="shared" si="419"/>
        <v>5.5</v>
      </c>
      <c r="I182" s="198">
        <f t="shared" ref="I182" si="584">I181</f>
        <v>8</v>
      </c>
      <c r="J182" s="199">
        <f t="shared" si="454"/>
        <v>285</v>
      </c>
      <c r="K182" s="194" t="str">
        <f>D182&amp;-4</f>
        <v>37.5-4</v>
      </c>
      <c r="L182" s="198">
        <f t="shared" ref="L182:N182" si="585">L181</f>
        <v>0.11</v>
      </c>
      <c r="M182" s="198">
        <f t="shared" si="585"/>
        <v>150</v>
      </c>
      <c r="N182" s="198">
        <f t="shared" si="585"/>
        <v>750</v>
      </c>
    </row>
    <row r="183" spans="1:14" s="182" customFormat="1" x14ac:dyDescent="0.25">
      <c r="A183" s="229">
        <f t="shared" ref="A183:B183" si="586">A182+1</f>
        <v>3900</v>
      </c>
      <c r="B183" s="230">
        <f t="shared" si="586"/>
        <v>173</v>
      </c>
      <c r="C183" s="229" t="str">
        <f t="shared" si="434"/>
        <v>L62X38_285#000_05</v>
      </c>
      <c r="D183" s="197">
        <f t="shared" ref="D183:F183" si="587">D182</f>
        <v>37.5</v>
      </c>
      <c r="E183" s="204">
        <f t="shared" si="587"/>
        <v>4.125</v>
      </c>
      <c r="F183" s="198">
        <f t="shared" si="587"/>
        <v>11</v>
      </c>
      <c r="G183" s="198">
        <f t="shared" si="418"/>
        <v>8.8000000000000007</v>
      </c>
      <c r="H183" s="198">
        <f t="shared" si="419"/>
        <v>5.5</v>
      </c>
      <c r="I183" s="198">
        <f t="shared" ref="I183" si="588">I182</f>
        <v>8</v>
      </c>
      <c r="J183" s="199">
        <f t="shared" si="454"/>
        <v>285</v>
      </c>
      <c r="K183" s="194" t="str">
        <f>D183&amp;-5</f>
        <v>37.5-5</v>
      </c>
      <c r="L183" s="198">
        <f t="shared" ref="L183:N183" si="589">L182</f>
        <v>0.11</v>
      </c>
      <c r="M183" s="198">
        <f t="shared" si="589"/>
        <v>150</v>
      </c>
      <c r="N183" s="198">
        <f t="shared" si="589"/>
        <v>750</v>
      </c>
    </row>
    <row r="184" spans="1:14" s="182" customFormat="1" x14ac:dyDescent="0.25">
      <c r="A184" s="229">
        <f t="shared" ref="A184:B184" si="590">A183+1</f>
        <v>3901</v>
      </c>
      <c r="B184" s="230">
        <f t="shared" si="590"/>
        <v>174</v>
      </c>
      <c r="C184" s="229" t="str">
        <f t="shared" si="434"/>
        <v>L62X38_285#000_06</v>
      </c>
      <c r="D184" s="197">
        <f t="shared" ref="D184:F184" si="591">D183</f>
        <v>37.5</v>
      </c>
      <c r="E184" s="204">
        <f t="shared" si="591"/>
        <v>4.125</v>
      </c>
      <c r="F184" s="198">
        <f t="shared" si="591"/>
        <v>11</v>
      </c>
      <c r="G184" s="198">
        <f t="shared" si="418"/>
        <v>8.8000000000000007</v>
      </c>
      <c r="H184" s="198">
        <f t="shared" si="419"/>
        <v>5.5</v>
      </c>
      <c r="I184" s="198">
        <f t="shared" ref="I184" si="592">I183</f>
        <v>8</v>
      </c>
      <c r="J184" s="199">
        <f t="shared" si="454"/>
        <v>285</v>
      </c>
      <c r="K184" s="194" t="str">
        <f>D184&amp;-6</f>
        <v>37.5-6</v>
      </c>
      <c r="L184" s="198">
        <f t="shared" ref="L184:N184" si="593">L183</f>
        <v>0.11</v>
      </c>
      <c r="M184" s="198">
        <f t="shared" si="593"/>
        <v>150</v>
      </c>
      <c r="N184" s="198">
        <f t="shared" si="593"/>
        <v>750</v>
      </c>
    </row>
    <row r="185" spans="1:14" s="182" customFormat="1" x14ac:dyDescent="0.25">
      <c r="A185" s="229">
        <f t="shared" ref="A185:B185" si="594">A184+1</f>
        <v>3902</v>
      </c>
      <c r="B185" s="230">
        <f t="shared" si="594"/>
        <v>175</v>
      </c>
      <c r="C185" s="229" t="str">
        <f t="shared" si="434"/>
        <v>L62X38_295#000_01</v>
      </c>
      <c r="D185" s="197">
        <f t="shared" ref="D185:F185" si="595">D184</f>
        <v>37.5</v>
      </c>
      <c r="E185" s="204">
        <f t="shared" si="595"/>
        <v>4.125</v>
      </c>
      <c r="F185" s="198">
        <f t="shared" si="595"/>
        <v>11</v>
      </c>
      <c r="G185" s="198">
        <f t="shared" si="418"/>
        <v>8.8000000000000007</v>
      </c>
      <c r="H185" s="198">
        <f t="shared" si="419"/>
        <v>5.5</v>
      </c>
      <c r="I185" s="198">
        <f t="shared" ref="I185" si="596">I184</f>
        <v>8</v>
      </c>
      <c r="J185" s="199">
        <f t="shared" si="454"/>
        <v>295</v>
      </c>
      <c r="K185" s="194" t="str">
        <f>D185&amp;-1</f>
        <v>37.5-1</v>
      </c>
      <c r="L185" s="198">
        <f t="shared" ref="L185:N185" si="597">L184</f>
        <v>0.11</v>
      </c>
      <c r="M185" s="198">
        <f t="shared" si="597"/>
        <v>150</v>
      </c>
      <c r="N185" s="198">
        <f t="shared" si="597"/>
        <v>750</v>
      </c>
    </row>
    <row r="186" spans="1:14" s="182" customFormat="1" x14ac:dyDescent="0.25">
      <c r="A186" s="229">
        <f t="shared" ref="A186:B186" si="598">A185+1</f>
        <v>3903</v>
      </c>
      <c r="B186" s="230">
        <f t="shared" si="598"/>
        <v>176</v>
      </c>
      <c r="C186" s="229" t="str">
        <f t="shared" si="434"/>
        <v>L62X38_295#000_02</v>
      </c>
      <c r="D186" s="197">
        <f t="shared" ref="D186:F186" si="599">D185</f>
        <v>37.5</v>
      </c>
      <c r="E186" s="204">
        <f t="shared" si="599"/>
        <v>4.125</v>
      </c>
      <c r="F186" s="198">
        <f t="shared" si="599"/>
        <v>11</v>
      </c>
      <c r="G186" s="198">
        <f t="shared" si="418"/>
        <v>8.8000000000000007</v>
      </c>
      <c r="H186" s="198">
        <f t="shared" si="419"/>
        <v>5.5</v>
      </c>
      <c r="I186" s="198">
        <f t="shared" ref="I186" si="600">I185</f>
        <v>8</v>
      </c>
      <c r="J186" s="199">
        <f t="shared" si="454"/>
        <v>295</v>
      </c>
      <c r="K186" s="194" t="str">
        <f>D186&amp;-2</f>
        <v>37.5-2</v>
      </c>
      <c r="L186" s="198">
        <f t="shared" ref="L186:N186" si="601">L185</f>
        <v>0.11</v>
      </c>
      <c r="M186" s="198">
        <f t="shared" si="601"/>
        <v>150</v>
      </c>
      <c r="N186" s="198">
        <f t="shared" si="601"/>
        <v>750</v>
      </c>
    </row>
    <row r="187" spans="1:14" s="182" customFormat="1" x14ac:dyDescent="0.25">
      <c r="A187" s="229">
        <f t="shared" ref="A187:B187" si="602">A186+1</f>
        <v>3904</v>
      </c>
      <c r="B187" s="230">
        <f t="shared" si="602"/>
        <v>177</v>
      </c>
      <c r="C187" s="229" t="str">
        <f t="shared" si="434"/>
        <v>L62X38_295#000_03</v>
      </c>
      <c r="D187" s="197">
        <f t="shared" ref="D187:F187" si="603">D186</f>
        <v>37.5</v>
      </c>
      <c r="E187" s="204">
        <f t="shared" si="603"/>
        <v>4.125</v>
      </c>
      <c r="F187" s="198">
        <f t="shared" si="603"/>
        <v>11</v>
      </c>
      <c r="G187" s="198">
        <f t="shared" si="418"/>
        <v>8.8000000000000007</v>
      </c>
      <c r="H187" s="198">
        <f t="shared" si="419"/>
        <v>5.5</v>
      </c>
      <c r="I187" s="198">
        <f t="shared" ref="I187:I202" si="604">I186</f>
        <v>8</v>
      </c>
      <c r="J187" s="199">
        <f t="shared" si="454"/>
        <v>295</v>
      </c>
      <c r="K187" s="194" t="str">
        <f>D187&amp;-3</f>
        <v>37.5-3</v>
      </c>
      <c r="L187" s="198">
        <f t="shared" ref="L187:N187" si="605">L186</f>
        <v>0.11</v>
      </c>
      <c r="M187" s="198">
        <f t="shared" si="605"/>
        <v>150</v>
      </c>
      <c r="N187" s="198">
        <f t="shared" si="605"/>
        <v>750</v>
      </c>
    </row>
    <row r="188" spans="1:14" s="182" customFormat="1" x14ac:dyDescent="0.25">
      <c r="A188" s="229">
        <f t="shared" ref="A188:B188" si="606">A187+1</f>
        <v>3905</v>
      </c>
      <c r="B188" s="230">
        <f t="shared" si="606"/>
        <v>178</v>
      </c>
      <c r="C188" s="229" t="str">
        <f t="shared" si="434"/>
        <v>L62X38_295#000_04</v>
      </c>
      <c r="D188" s="197">
        <f t="shared" ref="D188:F188" si="607">D187</f>
        <v>37.5</v>
      </c>
      <c r="E188" s="204">
        <f t="shared" si="607"/>
        <v>4.125</v>
      </c>
      <c r="F188" s="198">
        <f t="shared" si="607"/>
        <v>11</v>
      </c>
      <c r="G188" s="198">
        <f t="shared" si="418"/>
        <v>8.8000000000000007</v>
      </c>
      <c r="H188" s="198">
        <f t="shared" si="419"/>
        <v>5.5</v>
      </c>
      <c r="I188" s="198">
        <f t="shared" si="604"/>
        <v>8</v>
      </c>
      <c r="J188" s="199">
        <f t="shared" si="454"/>
        <v>295</v>
      </c>
      <c r="K188" s="194" t="str">
        <f>D188&amp;-4</f>
        <v>37.5-4</v>
      </c>
      <c r="L188" s="198">
        <f t="shared" ref="L188:N188" si="608">L187</f>
        <v>0.11</v>
      </c>
      <c r="M188" s="198">
        <f t="shared" si="608"/>
        <v>150</v>
      </c>
      <c r="N188" s="198">
        <f t="shared" si="608"/>
        <v>750</v>
      </c>
    </row>
    <row r="189" spans="1:14" s="182" customFormat="1" x14ac:dyDescent="0.25">
      <c r="A189" s="229">
        <f t="shared" ref="A189:B189" si="609">A188+1</f>
        <v>3906</v>
      </c>
      <c r="B189" s="230">
        <f t="shared" si="609"/>
        <v>179</v>
      </c>
      <c r="C189" s="229" t="str">
        <f t="shared" si="434"/>
        <v>L62X38_295#000_05</v>
      </c>
      <c r="D189" s="197">
        <f t="shared" ref="D189:F189" si="610">D188</f>
        <v>37.5</v>
      </c>
      <c r="E189" s="204">
        <f t="shared" si="610"/>
        <v>4.125</v>
      </c>
      <c r="F189" s="198">
        <f t="shared" si="610"/>
        <v>11</v>
      </c>
      <c r="G189" s="198">
        <f t="shared" si="418"/>
        <v>8.8000000000000007</v>
      </c>
      <c r="H189" s="198">
        <f t="shared" si="419"/>
        <v>5.5</v>
      </c>
      <c r="I189" s="198">
        <f t="shared" si="604"/>
        <v>8</v>
      </c>
      <c r="J189" s="199">
        <f t="shared" si="454"/>
        <v>295</v>
      </c>
      <c r="K189" s="194" t="str">
        <f>D189&amp;-5</f>
        <v>37.5-5</v>
      </c>
      <c r="L189" s="198">
        <f t="shared" ref="L189:N189" si="611">L188</f>
        <v>0.11</v>
      </c>
      <c r="M189" s="198">
        <f t="shared" si="611"/>
        <v>150</v>
      </c>
      <c r="N189" s="198">
        <f t="shared" si="611"/>
        <v>750</v>
      </c>
    </row>
    <row r="190" spans="1:14" s="182" customFormat="1" x14ac:dyDescent="0.25">
      <c r="A190" s="229">
        <f t="shared" ref="A190:B190" si="612">A189+1</f>
        <v>3907</v>
      </c>
      <c r="B190" s="230">
        <f t="shared" si="612"/>
        <v>180</v>
      </c>
      <c r="C190" s="229" t="str">
        <f t="shared" si="434"/>
        <v>L62X38_295#000_06</v>
      </c>
      <c r="D190" s="197">
        <f t="shared" ref="D190:F190" si="613">D189</f>
        <v>37.5</v>
      </c>
      <c r="E190" s="204">
        <f t="shared" si="613"/>
        <v>4.125</v>
      </c>
      <c r="F190" s="198">
        <f t="shared" si="613"/>
        <v>11</v>
      </c>
      <c r="G190" s="198">
        <f t="shared" si="418"/>
        <v>8.8000000000000007</v>
      </c>
      <c r="H190" s="198">
        <f t="shared" si="419"/>
        <v>5.5</v>
      </c>
      <c r="I190" s="198">
        <f t="shared" si="604"/>
        <v>8</v>
      </c>
      <c r="J190" s="199">
        <f t="shared" si="454"/>
        <v>295</v>
      </c>
      <c r="K190" s="194" t="str">
        <f>D190&amp;-6</f>
        <v>37.5-6</v>
      </c>
      <c r="L190" s="198">
        <f t="shared" ref="L190:N190" si="614">L189</f>
        <v>0.11</v>
      </c>
      <c r="M190" s="198">
        <f t="shared" si="614"/>
        <v>150</v>
      </c>
      <c r="N190" s="198">
        <f t="shared" si="614"/>
        <v>750</v>
      </c>
    </row>
    <row r="191" spans="1:14" s="182" customFormat="1" x14ac:dyDescent="0.25">
      <c r="A191" s="229">
        <f t="shared" ref="A191:B191" si="615">A190+1</f>
        <v>3908</v>
      </c>
      <c r="B191" s="230">
        <f t="shared" si="615"/>
        <v>181</v>
      </c>
      <c r="C191" s="229" t="str">
        <f t="shared" si="434"/>
        <v>L62X38_305#000_01</v>
      </c>
      <c r="D191" s="197">
        <f t="shared" ref="D191:F191" si="616">D190</f>
        <v>37.5</v>
      </c>
      <c r="E191" s="204">
        <f t="shared" si="616"/>
        <v>4.125</v>
      </c>
      <c r="F191" s="198">
        <f t="shared" si="616"/>
        <v>11</v>
      </c>
      <c r="G191" s="198">
        <f t="shared" si="418"/>
        <v>8.8000000000000007</v>
      </c>
      <c r="H191" s="198">
        <f t="shared" si="419"/>
        <v>5.5</v>
      </c>
      <c r="I191" s="198">
        <f t="shared" si="604"/>
        <v>8</v>
      </c>
      <c r="J191" s="199">
        <f t="shared" si="454"/>
        <v>305</v>
      </c>
      <c r="K191" s="194" t="str">
        <f>D191&amp;-1</f>
        <v>37.5-1</v>
      </c>
      <c r="L191" s="198">
        <f t="shared" ref="L191:N191" si="617">L190</f>
        <v>0.11</v>
      </c>
      <c r="M191" s="198">
        <f t="shared" si="617"/>
        <v>150</v>
      </c>
      <c r="N191" s="198">
        <f t="shared" si="617"/>
        <v>750</v>
      </c>
    </row>
    <row r="192" spans="1:14" s="182" customFormat="1" x14ac:dyDescent="0.25">
      <c r="A192" s="229">
        <f t="shared" ref="A192:B192" si="618">A191+1</f>
        <v>3909</v>
      </c>
      <c r="B192" s="230">
        <f t="shared" si="618"/>
        <v>182</v>
      </c>
      <c r="C192" s="229" t="str">
        <f t="shared" si="434"/>
        <v>L62X38_305#000_02</v>
      </c>
      <c r="D192" s="197">
        <f t="shared" ref="D192:F192" si="619">D191</f>
        <v>37.5</v>
      </c>
      <c r="E192" s="204">
        <f t="shared" si="619"/>
        <v>4.125</v>
      </c>
      <c r="F192" s="198">
        <f t="shared" si="619"/>
        <v>11</v>
      </c>
      <c r="G192" s="198">
        <f t="shared" si="418"/>
        <v>8.8000000000000007</v>
      </c>
      <c r="H192" s="198">
        <f t="shared" si="419"/>
        <v>5.5</v>
      </c>
      <c r="I192" s="198">
        <f t="shared" si="604"/>
        <v>8</v>
      </c>
      <c r="J192" s="199">
        <f t="shared" si="454"/>
        <v>305</v>
      </c>
      <c r="K192" s="194" t="str">
        <f>D192&amp;-2</f>
        <v>37.5-2</v>
      </c>
      <c r="L192" s="198">
        <f t="shared" ref="L192:N192" si="620">L191</f>
        <v>0.11</v>
      </c>
      <c r="M192" s="198">
        <f t="shared" si="620"/>
        <v>150</v>
      </c>
      <c r="N192" s="198">
        <f t="shared" si="620"/>
        <v>750</v>
      </c>
    </row>
    <row r="193" spans="1:14" s="182" customFormat="1" x14ac:dyDescent="0.25">
      <c r="A193" s="229">
        <f t="shared" ref="A193:B193" si="621">A192+1</f>
        <v>3910</v>
      </c>
      <c r="B193" s="230">
        <f t="shared" si="621"/>
        <v>183</v>
      </c>
      <c r="C193" s="229" t="str">
        <f t="shared" si="434"/>
        <v>L62X38_305#000_03</v>
      </c>
      <c r="D193" s="197">
        <f t="shared" ref="D193:F193" si="622">D192</f>
        <v>37.5</v>
      </c>
      <c r="E193" s="204">
        <f t="shared" si="622"/>
        <v>4.125</v>
      </c>
      <c r="F193" s="198">
        <f t="shared" si="622"/>
        <v>11</v>
      </c>
      <c r="G193" s="198">
        <f t="shared" si="418"/>
        <v>8.8000000000000007</v>
      </c>
      <c r="H193" s="198">
        <f t="shared" si="419"/>
        <v>5.5</v>
      </c>
      <c r="I193" s="198">
        <f t="shared" si="604"/>
        <v>8</v>
      </c>
      <c r="J193" s="199">
        <f t="shared" si="454"/>
        <v>305</v>
      </c>
      <c r="K193" s="194" t="str">
        <f>D193&amp;-3</f>
        <v>37.5-3</v>
      </c>
      <c r="L193" s="198">
        <f t="shared" ref="L193:N193" si="623">L192</f>
        <v>0.11</v>
      </c>
      <c r="M193" s="198">
        <f t="shared" si="623"/>
        <v>150</v>
      </c>
      <c r="N193" s="198">
        <f t="shared" si="623"/>
        <v>750</v>
      </c>
    </row>
    <row r="194" spans="1:14" s="182" customFormat="1" x14ac:dyDescent="0.25">
      <c r="A194" s="229">
        <f t="shared" ref="A194:B194" si="624">A193+1</f>
        <v>3911</v>
      </c>
      <c r="B194" s="230">
        <f t="shared" si="624"/>
        <v>184</v>
      </c>
      <c r="C194" s="229" t="str">
        <f t="shared" si="434"/>
        <v>L62X38_305#000_04</v>
      </c>
      <c r="D194" s="197">
        <f t="shared" ref="D194:F194" si="625">D193</f>
        <v>37.5</v>
      </c>
      <c r="E194" s="204">
        <f t="shared" si="625"/>
        <v>4.125</v>
      </c>
      <c r="F194" s="198">
        <f t="shared" si="625"/>
        <v>11</v>
      </c>
      <c r="G194" s="198">
        <f t="shared" si="418"/>
        <v>8.8000000000000007</v>
      </c>
      <c r="H194" s="198">
        <f t="shared" si="419"/>
        <v>5.5</v>
      </c>
      <c r="I194" s="198">
        <f t="shared" si="604"/>
        <v>8</v>
      </c>
      <c r="J194" s="199">
        <f t="shared" si="454"/>
        <v>305</v>
      </c>
      <c r="K194" s="194" t="str">
        <f>D194&amp;-4</f>
        <v>37.5-4</v>
      </c>
      <c r="L194" s="198">
        <f t="shared" ref="L194:N194" si="626">L193</f>
        <v>0.11</v>
      </c>
      <c r="M194" s="198">
        <f t="shared" si="626"/>
        <v>150</v>
      </c>
      <c r="N194" s="198">
        <f t="shared" si="626"/>
        <v>750</v>
      </c>
    </row>
    <row r="195" spans="1:14" s="182" customFormat="1" x14ac:dyDescent="0.25">
      <c r="A195" s="229">
        <f t="shared" ref="A195:B195" si="627">A194+1</f>
        <v>3912</v>
      </c>
      <c r="B195" s="230">
        <f t="shared" si="627"/>
        <v>185</v>
      </c>
      <c r="C195" s="229" t="str">
        <f t="shared" si="434"/>
        <v>L62X38_305#000_05</v>
      </c>
      <c r="D195" s="197">
        <f t="shared" ref="D195:F195" si="628">D194</f>
        <v>37.5</v>
      </c>
      <c r="E195" s="204">
        <f t="shared" si="628"/>
        <v>4.125</v>
      </c>
      <c r="F195" s="198">
        <f t="shared" si="628"/>
        <v>11</v>
      </c>
      <c r="G195" s="198">
        <f t="shared" si="418"/>
        <v>8.8000000000000007</v>
      </c>
      <c r="H195" s="198">
        <f t="shared" si="419"/>
        <v>5.5</v>
      </c>
      <c r="I195" s="198">
        <f t="shared" si="604"/>
        <v>8</v>
      </c>
      <c r="J195" s="199">
        <f t="shared" si="454"/>
        <v>305</v>
      </c>
      <c r="K195" s="194" t="str">
        <f>D195&amp;-5</f>
        <v>37.5-5</v>
      </c>
      <c r="L195" s="198">
        <f t="shared" ref="L195:N195" si="629">L194</f>
        <v>0.11</v>
      </c>
      <c r="M195" s="198">
        <f t="shared" si="629"/>
        <v>150</v>
      </c>
      <c r="N195" s="198">
        <f t="shared" si="629"/>
        <v>750</v>
      </c>
    </row>
    <row r="196" spans="1:14" s="182" customFormat="1" x14ac:dyDescent="0.25">
      <c r="A196" s="229">
        <f t="shared" ref="A196:B196" si="630">A195+1</f>
        <v>3913</v>
      </c>
      <c r="B196" s="230">
        <f t="shared" si="630"/>
        <v>186</v>
      </c>
      <c r="C196" s="229" t="str">
        <f t="shared" si="434"/>
        <v>L62X38_305#000_06</v>
      </c>
      <c r="D196" s="197">
        <f t="shared" ref="D196:F196" si="631">D195</f>
        <v>37.5</v>
      </c>
      <c r="E196" s="204">
        <f t="shared" si="631"/>
        <v>4.125</v>
      </c>
      <c r="F196" s="198">
        <f t="shared" si="631"/>
        <v>11</v>
      </c>
      <c r="G196" s="198">
        <f t="shared" si="418"/>
        <v>8.8000000000000007</v>
      </c>
      <c r="H196" s="198">
        <f t="shared" si="419"/>
        <v>5.5</v>
      </c>
      <c r="I196" s="198">
        <f t="shared" si="604"/>
        <v>8</v>
      </c>
      <c r="J196" s="199">
        <f t="shared" si="454"/>
        <v>305</v>
      </c>
      <c r="K196" s="194" t="str">
        <f>D196&amp;-6</f>
        <v>37.5-6</v>
      </c>
      <c r="L196" s="198">
        <f t="shared" ref="L196:N196" si="632">L195</f>
        <v>0.11</v>
      </c>
      <c r="M196" s="198">
        <f t="shared" si="632"/>
        <v>150</v>
      </c>
      <c r="N196" s="198">
        <f t="shared" si="632"/>
        <v>750</v>
      </c>
    </row>
    <row r="197" spans="1:14" s="182" customFormat="1" x14ac:dyDescent="0.25">
      <c r="A197" s="229">
        <f t="shared" ref="A197:B197" si="633">A196+1</f>
        <v>3914</v>
      </c>
      <c r="B197" s="230">
        <f t="shared" si="633"/>
        <v>187</v>
      </c>
      <c r="C197" s="229" t="str">
        <f t="shared" si="434"/>
        <v>L62X38_315#000_01</v>
      </c>
      <c r="D197" s="197">
        <f t="shared" ref="D197:F197" si="634">D196</f>
        <v>37.5</v>
      </c>
      <c r="E197" s="204">
        <f t="shared" si="634"/>
        <v>4.125</v>
      </c>
      <c r="F197" s="198">
        <f t="shared" si="634"/>
        <v>11</v>
      </c>
      <c r="G197" s="198">
        <f t="shared" si="418"/>
        <v>8.8000000000000007</v>
      </c>
      <c r="H197" s="198">
        <f t="shared" si="419"/>
        <v>5.5</v>
      </c>
      <c r="I197" s="198">
        <f t="shared" si="604"/>
        <v>8</v>
      </c>
      <c r="J197" s="199">
        <f t="shared" si="454"/>
        <v>315</v>
      </c>
      <c r="K197" s="194" t="str">
        <f>D197&amp;-1</f>
        <v>37.5-1</v>
      </c>
      <c r="L197" s="198">
        <f t="shared" ref="L197:N197" si="635">L196</f>
        <v>0.11</v>
      </c>
      <c r="M197" s="198">
        <f t="shared" si="635"/>
        <v>150</v>
      </c>
      <c r="N197" s="198">
        <f t="shared" si="635"/>
        <v>750</v>
      </c>
    </row>
    <row r="198" spans="1:14" s="182" customFormat="1" x14ac:dyDescent="0.25">
      <c r="A198" s="229">
        <f t="shared" ref="A198:B198" si="636">A197+1</f>
        <v>3915</v>
      </c>
      <c r="B198" s="230">
        <f t="shared" si="636"/>
        <v>188</v>
      </c>
      <c r="C198" s="229" t="str">
        <f t="shared" si="434"/>
        <v>L62X38_315#000_02</v>
      </c>
      <c r="D198" s="197">
        <f t="shared" ref="D198:F198" si="637">D197</f>
        <v>37.5</v>
      </c>
      <c r="E198" s="204">
        <f t="shared" si="637"/>
        <v>4.125</v>
      </c>
      <c r="F198" s="198">
        <f t="shared" si="637"/>
        <v>11</v>
      </c>
      <c r="G198" s="198">
        <f t="shared" si="418"/>
        <v>8.8000000000000007</v>
      </c>
      <c r="H198" s="198">
        <f t="shared" si="419"/>
        <v>5.5</v>
      </c>
      <c r="I198" s="198">
        <f t="shared" si="604"/>
        <v>8</v>
      </c>
      <c r="J198" s="199">
        <f t="shared" si="454"/>
        <v>315</v>
      </c>
      <c r="K198" s="194" t="str">
        <f>D198&amp;-2</f>
        <v>37.5-2</v>
      </c>
      <c r="L198" s="198">
        <f t="shared" ref="L198:N198" si="638">L197</f>
        <v>0.11</v>
      </c>
      <c r="M198" s="198">
        <f t="shared" si="638"/>
        <v>150</v>
      </c>
      <c r="N198" s="198">
        <f t="shared" si="638"/>
        <v>750</v>
      </c>
    </row>
    <row r="199" spans="1:14" s="182" customFormat="1" x14ac:dyDescent="0.25">
      <c r="A199" s="229">
        <f t="shared" ref="A199:B199" si="639">A198+1</f>
        <v>3916</v>
      </c>
      <c r="B199" s="230">
        <f t="shared" si="639"/>
        <v>189</v>
      </c>
      <c r="C199" s="229" t="str">
        <f t="shared" si="434"/>
        <v>L62X38_315#000_03</v>
      </c>
      <c r="D199" s="197">
        <f t="shared" ref="D199:F199" si="640">D198</f>
        <v>37.5</v>
      </c>
      <c r="E199" s="204">
        <f t="shared" si="640"/>
        <v>4.125</v>
      </c>
      <c r="F199" s="198">
        <f t="shared" si="640"/>
        <v>11</v>
      </c>
      <c r="G199" s="198">
        <f t="shared" ref="G199:G226" si="641">m_ty*F199</f>
        <v>8.8000000000000007</v>
      </c>
      <c r="H199" s="198">
        <f t="shared" ref="H199:H226" si="642">m_tz*F199</f>
        <v>5.5</v>
      </c>
      <c r="I199" s="198">
        <f t="shared" si="604"/>
        <v>8</v>
      </c>
      <c r="J199" s="199">
        <f t="shared" si="454"/>
        <v>315</v>
      </c>
      <c r="K199" s="194" t="str">
        <f>D199&amp;-3</f>
        <v>37.5-3</v>
      </c>
      <c r="L199" s="198">
        <f t="shared" ref="L199:N199" si="643">L198</f>
        <v>0.11</v>
      </c>
      <c r="M199" s="198">
        <f t="shared" si="643"/>
        <v>150</v>
      </c>
      <c r="N199" s="198">
        <f t="shared" si="643"/>
        <v>750</v>
      </c>
    </row>
    <row r="200" spans="1:14" s="182" customFormat="1" x14ac:dyDescent="0.25">
      <c r="A200" s="229">
        <f t="shared" ref="A200:B200" si="644">A199+1</f>
        <v>3917</v>
      </c>
      <c r="B200" s="230">
        <f t="shared" si="644"/>
        <v>190</v>
      </c>
      <c r="C200" s="229" t="str">
        <f t="shared" si="434"/>
        <v>L62X38_315#000_04</v>
      </c>
      <c r="D200" s="197">
        <f t="shared" ref="D200:F200" si="645">D199</f>
        <v>37.5</v>
      </c>
      <c r="E200" s="204">
        <f t="shared" si="645"/>
        <v>4.125</v>
      </c>
      <c r="F200" s="198">
        <f t="shared" si="645"/>
        <v>11</v>
      </c>
      <c r="G200" s="198">
        <f t="shared" si="641"/>
        <v>8.8000000000000007</v>
      </c>
      <c r="H200" s="198">
        <f t="shared" si="642"/>
        <v>5.5</v>
      </c>
      <c r="I200" s="198">
        <f t="shared" si="604"/>
        <v>8</v>
      </c>
      <c r="J200" s="199">
        <f t="shared" si="454"/>
        <v>315</v>
      </c>
      <c r="K200" s="194" t="str">
        <f>D200&amp;-4</f>
        <v>37.5-4</v>
      </c>
      <c r="L200" s="198">
        <f t="shared" ref="L200:N200" si="646">L199</f>
        <v>0.11</v>
      </c>
      <c r="M200" s="198">
        <f t="shared" si="646"/>
        <v>150</v>
      </c>
      <c r="N200" s="198">
        <f t="shared" si="646"/>
        <v>750</v>
      </c>
    </row>
    <row r="201" spans="1:14" s="182" customFormat="1" x14ac:dyDescent="0.25">
      <c r="A201" s="229">
        <f t="shared" ref="A201:B201" si="647">A200+1</f>
        <v>3918</v>
      </c>
      <c r="B201" s="230">
        <f t="shared" si="647"/>
        <v>191</v>
      </c>
      <c r="C201" s="229" t="str">
        <f t="shared" si="434"/>
        <v>L62X38_315#000_05</v>
      </c>
      <c r="D201" s="197">
        <f t="shared" ref="D201:F201" si="648">D200</f>
        <v>37.5</v>
      </c>
      <c r="E201" s="204">
        <f t="shared" si="648"/>
        <v>4.125</v>
      </c>
      <c r="F201" s="198">
        <f t="shared" si="648"/>
        <v>11</v>
      </c>
      <c r="G201" s="198">
        <f t="shared" si="641"/>
        <v>8.8000000000000007</v>
      </c>
      <c r="H201" s="198">
        <f t="shared" si="642"/>
        <v>5.5</v>
      </c>
      <c r="I201" s="198">
        <f t="shared" si="604"/>
        <v>8</v>
      </c>
      <c r="J201" s="199">
        <f t="shared" si="454"/>
        <v>315</v>
      </c>
      <c r="K201" s="194" t="str">
        <f>D201&amp;-5</f>
        <v>37.5-5</v>
      </c>
      <c r="L201" s="198">
        <f t="shared" ref="L201:N201" si="649">L200</f>
        <v>0.11</v>
      </c>
      <c r="M201" s="198">
        <f t="shared" si="649"/>
        <v>150</v>
      </c>
      <c r="N201" s="198">
        <f t="shared" si="649"/>
        <v>750</v>
      </c>
    </row>
    <row r="202" spans="1:14" s="182" customFormat="1" x14ac:dyDescent="0.25">
      <c r="A202" s="229">
        <f t="shared" ref="A202:B202" si="650">A201+1</f>
        <v>3919</v>
      </c>
      <c r="B202" s="230">
        <f t="shared" si="650"/>
        <v>192</v>
      </c>
      <c r="C202" s="229" t="str">
        <f t="shared" si="434"/>
        <v>L62X38_315#000_06</v>
      </c>
      <c r="D202" s="197">
        <f t="shared" ref="D202:F202" si="651">D201</f>
        <v>37.5</v>
      </c>
      <c r="E202" s="204">
        <f t="shared" si="651"/>
        <v>4.125</v>
      </c>
      <c r="F202" s="198">
        <f t="shared" si="651"/>
        <v>11</v>
      </c>
      <c r="G202" s="198">
        <f t="shared" si="641"/>
        <v>8.8000000000000007</v>
      </c>
      <c r="H202" s="198">
        <f t="shared" si="642"/>
        <v>5.5</v>
      </c>
      <c r="I202" s="198">
        <f t="shared" si="604"/>
        <v>8</v>
      </c>
      <c r="J202" s="199">
        <f t="shared" si="454"/>
        <v>315</v>
      </c>
      <c r="K202" s="194" t="str">
        <f>D202&amp;-6</f>
        <v>37.5-6</v>
      </c>
      <c r="L202" s="198">
        <f t="shared" ref="L202:N202" si="652">L201</f>
        <v>0.11</v>
      </c>
      <c r="M202" s="198">
        <f t="shared" si="652"/>
        <v>150</v>
      </c>
      <c r="N202" s="198">
        <f t="shared" si="652"/>
        <v>750</v>
      </c>
    </row>
    <row r="203" spans="1:14" s="182" customFormat="1" x14ac:dyDescent="0.25">
      <c r="A203" s="229">
        <f t="shared" ref="A203:B203" si="653">A202+1</f>
        <v>3920</v>
      </c>
      <c r="B203" s="230">
        <f t="shared" si="653"/>
        <v>193</v>
      </c>
      <c r="C203" s="229" t="str">
        <f t="shared" si="434"/>
        <v>L62X38_325#000_01</v>
      </c>
      <c r="D203" s="197">
        <f t="shared" ref="D203:F203" si="654">D202</f>
        <v>37.5</v>
      </c>
      <c r="E203" s="204">
        <f t="shared" si="654"/>
        <v>4.125</v>
      </c>
      <c r="F203" s="198">
        <f t="shared" si="654"/>
        <v>11</v>
      </c>
      <c r="G203" s="198">
        <f t="shared" si="641"/>
        <v>8.8000000000000007</v>
      </c>
      <c r="H203" s="198">
        <f t="shared" si="642"/>
        <v>5.5</v>
      </c>
      <c r="I203" s="198">
        <f t="shared" ref="I203:I226" si="655">I202</f>
        <v>8</v>
      </c>
      <c r="J203" s="199">
        <f t="shared" si="454"/>
        <v>325</v>
      </c>
      <c r="K203" s="194" t="str">
        <f>D203&amp;-1</f>
        <v>37.5-1</v>
      </c>
      <c r="L203" s="198">
        <f t="shared" ref="L203:N203" si="656">L202</f>
        <v>0.11</v>
      </c>
      <c r="M203" s="198">
        <f t="shared" si="656"/>
        <v>150</v>
      </c>
      <c r="N203" s="198">
        <f t="shared" si="656"/>
        <v>750</v>
      </c>
    </row>
    <row r="204" spans="1:14" s="182" customFormat="1" x14ac:dyDescent="0.25">
      <c r="A204" s="229">
        <f t="shared" ref="A204:B204" si="657">A203+1</f>
        <v>3921</v>
      </c>
      <c r="B204" s="230">
        <f t="shared" si="657"/>
        <v>194</v>
      </c>
      <c r="C204" s="229" t="str">
        <f t="shared" ref="C204:C226" si="658">TEXT(RIGHT($B$2,LEN($B$2)-3),"L00")&amp;"X"&amp;TEXT(D204,"00")&amp;"_"&amp;IF(J204&lt;0,TEXT(360+J204,"000"),TEXT(J204,"000"))&amp;"#"&amp;"000"&amp;"_"&amp;TEXT(RIGHT(K204,LEN(K204)-FIND("-",K204)),"00")</f>
        <v>L62X38_325#000_02</v>
      </c>
      <c r="D204" s="197">
        <f t="shared" ref="D204:F204" si="659">D203</f>
        <v>37.5</v>
      </c>
      <c r="E204" s="204">
        <f t="shared" si="659"/>
        <v>4.125</v>
      </c>
      <c r="F204" s="198">
        <f t="shared" si="659"/>
        <v>11</v>
      </c>
      <c r="G204" s="198">
        <f t="shared" si="641"/>
        <v>8.8000000000000007</v>
      </c>
      <c r="H204" s="198">
        <f t="shared" si="642"/>
        <v>5.5</v>
      </c>
      <c r="I204" s="198">
        <f t="shared" si="655"/>
        <v>8</v>
      </c>
      <c r="J204" s="199">
        <f t="shared" si="454"/>
        <v>325</v>
      </c>
      <c r="K204" s="194" t="str">
        <f>D204&amp;-2</f>
        <v>37.5-2</v>
      </c>
      <c r="L204" s="198">
        <f t="shared" ref="L204:N204" si="660">L203</f>
        <v>0.11</v>
      </c>
      <c r="M204" s="198">
        <f t="shared" si="660"/>
        <v>150</v>
      </c>
      <c r="N204" s="198">
        <f t="shared" si="660"/>
        <v>750</v>
      </c>
    </row>
    <row r="205" spans="1:14" s="182" customFormat="1" x14ac:dyDescent="0.25">
      <c r="A205" s="229">
        <f t="shared" ref="A205:B205" si="661">A204+1</f>
        <v>3922</v>
      </c>
      <c r="B205" s="230">
        <f t="shared" si="661"/>
        <v>195</v>
      </c>
      <c r="C205" s="229" t="str">
        <f t="shared" si="658"/>
        <v>L62X38_325#000_03</v>
      </c>
      <c r="D205" s="197">
        <f t="shared" ref="D205:F205" si="662">D204</f>
        <v>37.5</v>
      </c>
      <c r="E205" s="204">
        <f t="shared" si="662"/>
        <v>4.125</v>
      </c>
      <c r="F205" s="198">
        <f t="shared" si="662"/>
        <v>11</v>
      </c>
      <c r="G205" s="198">
        <f t="shared" si="641"/>
        <v>8.8000000000000007</v>
      </c>
      <c r="H205" s="198">
        <f t="shared" si="642"/>
        <v>5.5</v>
      </c>
      <c r="I205" s="198">
        <f t="shared" si="655"/>
        <v>8</v>
      </c>
      <c r="J205" s="199">
        <f t="shared" si="454"/>
        <v>325</v>
      </c>
      <c r="K205" s="194" t="str">
        <f>D205&amp;-3</f>
        <v>37.5-3</v>
      </c>
      <c r="L205" s="198">
        <f t="shared" ref="L205:N205" si="663">L204</f>
        <v>0.11</v>
      </c>
      <c r="M205" s="198">
        <f t="shared" si="663"/>
        <v>150</v>
      </c>
      <c r="N205" s="198">
        <f t="shared" si="663"/>
        <v>750</v>
      </c>
    </row>
    <row r="206" spans="1:14" s="182" customFormat="1" x14ac:dyDescent="0.25">
      <c r="A206" s="229">
        <f t="shared" ref="A206:B206" si="664">A205+1</f>
        <v>3923</v>
      </c>
      <c r="B206" s="230">
        <f t="shared" si="664"/>
        <v>196</v>
      </c>
      <c r="C206" s="229" t="str">
        <f t="shared" si="658"/>
        <v>L62X38_325#000_04</v>
      </c>
      <c r="D206" s="197">
        <f t="shared" ref="D206:F206" si="665">D205</f>
        <v>37.5</v>
      </c>
      <c r="E206" s="204">
        <f t="shared" si="665"/>
        <v>4.125</v>
      </c>
      <c r="F206" s="198">
        <f t="shared" si="665"/>
        <v>11</v>
      </c>
      <c r="G206" s="198">
        <f t="shared" si="641"/>
        <v>8.8000000000000007</v>
      </c>
      <c r="H206" s="198">
        <f t="shared" si="642"/>
        <v>5.5</v>
      </c>
      <c r="I206" s="198">
        <f t="shared" si="655"/>
        <v>8</v>
      </c>
      <c r="J206" s="199">
        <f t="shared" si="454"/>
        <v>325</v>
      </c>
      <c r="K206" s="194" t="str">
        <f>D206&amp;-4</f>
        <v>37.5-4</v>
      </c>
      <c r="L206" s="198">
        <f t="shared" ref="L206:N206" si="666">L205</f>
        <v>0.11</v>
      </c>
      <c r="M206" s="198">
        <f t="shared" si="666"/>
        <v>150</v>
      </c>
      <c r="N206" s="198">
        <f t="shared" si="666"/>
        <v>750</v>
      </c>
    </row>
    <row r="207" spans="1:14" s="182" customFormat="1" x14ac:dyDescent="0.25">
      <c r="A207" s="229">
        <f t="shared" ref="A207:B207" si="667">A206+1</f>
        <v>3924</v>
      </c>
      <c r="B207" s="230">
        <f t="shared" si="667"/>
        <v>197</v>
      </c>
      <c r="C207" s="229" t="str">
        <f t="shared" si="658"/>
        <v>L62X38_325#000_05</v>
      </c>
      <c r="D207" s="197">
        <f t="shared" ref="D207:F207" si="668">D206</f>
        <v>37.5</v>
      </c>
      <c r="E207" s="204">
        <f t="shared" si="668"/>
        <v>4.125</v>
      </c>
      <c r="F207" s="198">
        <f t="shared" si="668"/>
        <v>11</v>
      </c>
      <c r="G207" s="198">
        <f t="shared" si="641"/>
        <v>8.8000000000000007</v>
      </c>
      <c r="H207" s="198">
        <f t="shared" si="642"/>
        <v>5.5</v>
      </c>
      <c r="I207" s="198">
        <f t="shared" si="655"/>
        <v>8</v>
      </c>
      <c r="J207" s="199">
        <f t="shared" si="454"/>
        <v>325</v>
      </c>
      <c r="K207" s="194" t="str">
        <f>D207&amp;-5</f>
        <v>37.5-5</v>
      </c>
      <c r="L207" s="198">
        <f t="shared" ref="L207:N207" si="669">L206</f>
        <v>0.11</v>
      </c>
      <c r="M207" s="198">
        <f t="shared" si="669"/>
        <v>150</v>
      </c>
      <c r="N207" s="198">
        <f t="shared" si="669"/>
        <v>750</v>
      </c>
    </row>
    <row r="208" spans="1:14" s="182" customFormat="1" x14ac:dyDescent="0.25">
      <c r="A208" s="229">
        <f t="shared" ref="A208:B208" si="670">A207+1</f>
        <v>3925</v>
      </c>
      <c r="B208" s="230">
        <f t="shared" si="670"/>
        <v>198</v>
      </c>
      <c r="C208" s="229" t="str">
        <f t="shared" si="658"/>
        <v>L62X38_325#000_06</v>
      </c>
      <c r="D208" s="197">
        <f t="shared" ref="D208:F208" si="671">D207</f>
        <v>37.5</v>
      </c>
      <c r="E208" s="204">
        <f t="shared" si="671"/>
        <v>4.125</v>
      </c>
      <c r="F208" s="198">
        <f t="shared" si="671"/>
        <v>11</v>
      </c>
      <c r="G208" s="198">
        <f t="shared" si="641"/>
        <v>8.8000000000000007</v>
      </c>
      <c r="H208" s="198">
        <f t="shared" si="642"/>
        <v>5.5</v>
      </c>
      <c r="I208" s="198">
        <f t="shared" si="655"/>
        <v>8</v>
      </c>
      <c r="J208" s="199">
        <f t="shared" si="454"/>
        <v>325</v>
      </c>
      <c r="K208" s="194" t="str">
        <f>D208&amp;-6</f>
        <v>37.5-6</v>
      </c>
      <c r="L208" s="198">
        <f t="shared" ref="L208:N208" si="672">L207</f>
        <v>0.11</v>
      </c>
      <c r="M208" s="198">
        <f t="shared" si="672"/>
        <v>150</v>
      </c>
      <c r="N208" s="198">
        <f t="shared" si="672"/>
        <v>750</v>
      </c>
    </row>
    <row r="209" spans="1:14" s="182" customFormat="1" x14ac:dyDescent="0.25">
      <c r="A209" s="229">
        <f t="shared" ref="A209:B209" si="673">A208+1</f>
        <v>3926</v>
      </c>
      <c r="B209" s="230">
        <f t="shared" si="673"/>
        <v>199</v>
      </c>
      <c r="C209" s="229" t="str">
        <f t="shared" si="658"/>
        <v>L62X38_335#000_01</v>
      </c>
      <c r="D209" s="197">
        <f t="shared" ref="D209:F209" si="674">D208</f>
        <v>37.5</v>
      </c>
      <c r="E209" s="204">
        <f t="shared" si="674"/>
        <v>4.125</v>
      </c>
      <c r="F209" s="198">
        <f t="shared" si="674"/>
        <v>11</v>
      </c>
      <c r="G209" s="198">
        <f t="shared" si="641"/>
        <v>8.8000000000000007</v>
      </c>
      <c r="H209" s="198">
        <f t="shared" si="642"/>
        <v>5.5</v>
      </c>
      <c r="I209" s="198">
        <f t="shared" si="655"/>
        <v>8</v>
      </c>
      <c r="J209" s="199">
        <f t="shared" si="454"/>
        <v>335</v>
      </c>
      <c r="K209" s="194" t="str">
        <f>D209&amp;-1</f>
        <v>37.5-1</v>
      </c>
      <c r="L209" s="198">
        <f t="shared" ref="L209:N209" si="675">L208</f>
        <v>0.11</v>
      </c>
      <c r="M209" s="198">
        <f t="shared" si="675"/>
        <v>150</v>
      </c>
      <c r="N209" s="198">
        <f t="shared" si="675"/>
        <v>750</v>
      </c>
    </row>
    <row r="210" spans="1:14" s="182" customFormat="1" x14ac:dyDescent="0.25">
      <c r="A210" s="229">
        <f t="shared" ref="A210:B210" si="676">A209+1</f>
        <v>3927</v>
      </c>
      <c r="B210" s="230">
        <f t="shared" si="676"/>
        <v>200</v>
      </c>
      <c r="C210" s="229" t="str">
        <f t="shared" si="658"/>
        <v>L62X38_335#000_02</v>
      </c>
      <c r="D210" s="197">
        <f t="shared" ref="D210:F210" si="677">D209</f>
        <v>37.5</v>
      </c>
      <c r="E210" s="204">
        <f t="shared" si="677"/>
        <v>4.125</v>
      </c>
      <c r="F210" s="198">
        <f t="shared" si="677"/>
        <v>11</v>
      </c>
      <c r="G210" s="198">
        <f t="shared" si="641"/>
        <v>8.8000000000000007</v>
      </c>
      <c r="H210" s="198">
        <f t="shared" si="642"/>
        <v>5.5</v>
      </c>
      <c r="I210" s="198">
        <f t="shared" si="655"/>
        <v>8</v>
      </c>
      <c r="J210" s="199">
        <f t="shared" ref="J210:J226" si="678">J204+10</f>
        <v>335</v>
      </c>
      <c r="K210" s="194" t="str">
        <f>D210&amp;-2</f>
        <v>37.5-2</v>
      </c>
      <c r="L210" s="198">
        <f t="shared" ref="L210:N210" si="679">L209</f>
        <v>0.11</v>
      </c>
      <c r="M210" s="198">
        <f t="shared" si="679"/>
        <v>150</v>
      </c>
      <c r="N210" s="198">
        <f t="shared" si="679"/>
        <v>750</v>
      </c>
    </row>
    <row r="211" spans="1:14" s="182" customFormat="1" x14ac:dyDescent="0.25">
      <c r="A211" s="229">
        <f t="shared" ref="A211:B211" si="680">A210+1</f>
        <v>3928</v>
      </c>
      <c r="B211" s="230">
        <f t="shared" si="680"/>
        <v>201</v>
      </c>
      <c r="C211" s="229" t="str">
        <f t="shared" si="658"/>
        <v>L62X38_335#000_03</v>
      </c>
      <c r="D211" s="197">
        <f t="shared" ref="D211:F211" si="681">D210</f>
        <v>37.5</v>
      </c>
      <c r="E211" s="204">
        <f t="shared" si="681"/>
        <v>4.125</v>
      </c>
      <c r="F211" s="198">
        <f t="shared" si="681"/>
        <v>11</v>
      </c>
      <c r="G211" s="198">
        <f t="shared" si="641"/>
        <v>8.8000000000000007</v>
      </c>
      <c r="H211" s="198">
        <f t="shared" si="642"/>
        <v>5.5</v>
      </c>
      <c r="I211" s="198">
        <f t="shared" si="655"/>
        <v>8</v>
      </c>
      <c r="J211" s="199">
        <f t="shared" si="678"/>
        <v>335</v>
      </c>
      <c r="K211" s="194" t="str">
        <f>D211&amp;-3</f>
        <v>37.5-3</v>
      </c>
      <c r="L211" s="198">
        <f t="shared" ref="L211:N211" si="682">L210</f>
        <v>0.11</v>
      </c>
      <c r="M211" s="198">
        <f t="shared" si="682"/>
        <v>150</v>
      </c>
      <c r="N211" s="198">
        <f t="shared" si="682"/>
        <v>750</v>
      </c>
    </row>
    <row r="212" spans="1:14" s="182" customFormat="1" x14ac:dyDescent="0.25">
      <c r="A212" s="229">
        <f t="shared" ref="A212:B212" si="683">A211+1</f>
        <v>3929</v>
      </c>
      <c r="B212" s="230">
        <f t="shared" si="683"/>
        <v>202</v>
      </c>
      <c r="C212" s="229" t="str">
        <f t="shared" si="658"/>
        <v>L62X38_335#000_04</v>
      </c>
      <c r="D212" s="197">
        <f t="shared" ref="D212:F212" si="684">D211</f>
        <v>37.5</v>
      </c>
      <c r="E212" s="204">
        <f t="shared" si="684"/>
        <v>4.125</v>
      </c>
      <c r="F212" s="198">
        <f t="shared" si="684"/>
        <v>11</v>
      </c>
      <c r="G212" s="198">
        <f t="shared" si="641"/>
        <v>8.8000000000000007</v>
      </c>
      <c r="H212" s="198">
        <f t="shared" si="642"/>
        <v>5.5</v>
      </c>
      <c r="I212" s="198">
        <f t="shared" si="655"/>
        <v>8</v>
      </c>
      <c r="J212" s="199">
        <f t="shared" si="678"/>
        <v>335</v>
      </c>
      <c r="K212" s="194" t="str">
        <f>D212&amp;-4</f>
        <v>37.5-4</v>
      </c>
      <c r="L212" s="198">
        <f t="shared" ref="L212:N212" si="685">L211</f>
        <v>0.11</v>
      </c>
      <c r="M212" s="198">
        <f t="shared" si="685"/>
        <v>150</v>
      </c>
      <c r="N212" s="198">
        <f t="shared" si="685"/>
        <v>750</v>
      </c>
    </row>
    <row r="213" spans="1:14" s="182" customFormat="1" x14ac:dyDescent="0.25">
      <c r="A213" s="229">
        <f t="shared" ref="A213:B213" si="686">A212+1</f>
        <v>3930</v>
      </c>
      <c r="B213" s="230">
        <f t="shared" si="686"/>
        <v>203</v>
      </c>
      <c r="C213" s="229" t="str">
        <f t="shared" si="658"/>
        <v>L62X38_335#000_05</v>
      </c>
      <c r="D213" s="197">
        <f t="shared" ref="D213:F213" si="687">D212</f>
        <v>37.5</v>
      </c>
      <c r="E213" s="204">
        <f t="shared" si="687"/>
        <v>4.125</v>
      </c>
      <c r="F213" s="198">
        <f t="shared" si="687"/>
        <v>11</v>
      </c>
      <c r="G213" s="198">
        <f t="shared" si="641"/>
        <v>8.8000000000000007</v>
      </c>
      <c r="H213" s="198">
        <f t="shared" si="642"/>
        <v>5.5</v>
      </c>
      <c r="I213" s="198">
        <f t="shared" si="655"/>
        <v>8</v>
      </c>
      <c r="J213" s="199">
        <f t="shared" si="678"/>
        <v>335</v>
      </c>
      <c r="K213" s="194" t="str">
        <f>D213&amp;-5</f>
        <v>37.5-5</v>
      </c>
      <c r="L213" s="198">
        <f t="shared" ref="L213:N213" si="688">L212</f>
        <v>0.11</v>
      </c>
      <c r="M213" s="198">
        <f t="shared" si="688"/>
        <v>150</v>
      </c>
      <c r="N213" s="198">
        <f t="shared" si="688"/>
        <v>750</v>
      </c>
    </row>
    <row r="214" spans="1:14" s="182" customFormat="1" x14ac:dyDescent="0.25">
      <c r="A214" s="229">
        <f t="shared" ref="A214:B214" si="689">A213+1</f>
        <v>3931</v>
      </c>
      <c r="B214" s="230">
        <f t="shared" si="689"/>
        <v>204</v>
      </c>
      <c r="C214" s="229" t="str">
        <f t="shared" si="658"/>
        <v>L62X38_335#000_06</v>
      </c>
      <c r="D214" s="197">
        <f t="shared" ref="D214:F214" si="690">D213</f>
        <v>37.5</v>
      </c>
      <c r="E214" s="204">
        <f t="shared" si="690"/>
        <v>4.125</v>
      </c>
      <c r="F214" s="198">
        <f t="shared" si="690"/>
        <v>11</v>
      </c>
      <c r="G214" s="198">
        <f t="shared" si="641"/>
        <v>8.8000000000000007</v>
      </c>
      <c r="H214" s="198">
        <f t="shared" si="642"/>
        <v>5.5</v>
      </c>
      <c r="I214" s="198">
        <f t="shared" si="655"/>
        <v>8</v>
      </c>
      <c r="J214" s="199">
        <f t="shared" si="678"/>
        <v>335</v>
      </c>
      <c r="K214" s="194" t="str">
        <f>D214&amp;-6</f>
        <v>37.5-6</v>
      </c>
      <c r="L214" s="198">
        <f t="shared" ref="L214:N214" si="691">L213</f>
        <v>0.11</v>
      </c>
      <c r="M214" s="198">
        <f t="shared" si="691"/>
        <v>150</v>
      </c>
      <c r="N214" s="198">
        <f t="shared" si="691"/>
        <v>750</v>
      </c>
    </row>
    <row r="215" spans="1:14" s="182" customFormat="1" x14ac:dyDescent="0.25">
      <c r="A215" s="229">
        <f t="shared" ref="A215:B215" si="692">A214+1</f>
        <v>3932</v>
      </c>
      <c r="B215" s="230">
        <f t="shared" si="692"/>
        <v>205</v>
      </c>
      <c r="C215" s="229" t="str">
        <f t="shared" si="658"/>
        <v>L62X38_345#000_01</v>
      </c>
      <c r="D215" s="197">
        <f t="shared" ref="D215:F215" si="693">D214</f>
        <v>37.5</v>
      </c>
      <c r="E215" s="204">
        <f t="shared" si="693"/>
        <v>4.125</v>
      </c>
      <c r="F215" s="198">
        <f t="shared" si="693"/>
        <v>11</v>
      </c>
      <c r="G215" s="198">
        <f t="shared" si="641"/>
        <v>8.8000000000000007</v>
      </c>
      <c r="H215" s="198">
        <f t="shared" si="642"/>
        <v>5.5</v>
      </c>
      <c r="I215" s="198">
        <f t="shared" si="655"/>
        <v>8</v>
      </c>
      <c r="J215" s="199">
        <f t="shared" si="678"/>
        <v>345</v>
      </c>
      <c r="K215" s="194" t="str">
        <f>D215&amp;-1</f>
        <v>37.5-1</v>
      </c>
      <c r="L215" s="198">
        <f t="shared" ref="L215:N215" si="694">L214</f>
        <v>0.11</v>
      </c>
      <c r="M215" s="198">
        <f t="shared" si="694"/>
        <v>150</v>
      </c>
      <c r="N215" s="198">
        <f t="shared" si="694"/>
        <v>750</v>
      </c>
    </row>
    <row r="216" spans="1:14" s="182" customFormat="1" x14ac:dyDescent="0.25">
      <c r="A216" s="229">
        <f t="shared" ref="A216:B216" si="695">A215+1</f>
        <v>3933</v>
      </c>
      <c r="B216" s="230">
        <f t="shared" si="695"/>
        <v>206</v>
      </c>
      <c r="C216" s="229" t="str">
        <f t="shared" si="658"/>
        <v>L62X38_345#000_02</v>
      </c>
      <c r="D216" s="197">
        <f t="shared" ref="D216:F216" si="696">D215</f>
        <v>37.5</v>
      </c>
      <c r="E216" s="204">
        <f t="shared" si="696"/>
        <v>4.125</v>
      </c>
      <c r="F216" s="198">
        <f t="shared" si="696"/>
        <v>11</v>
      </c>
      <c r="G216" s="198">
        <f t="shared" si="641"/>
        <v>8.8000000000000007</v>
      </c>
      <c r="H216" s="198">
        <f t="shared" si="642"/>
        <v>5.5</v>
      </c>
      <c r="I216" s="198">
        <f t="shared" si="655"/>
        <v>8</v>
      </c>
      <c r="J216" s="199">
        <f t="shared" si="678"/>
        <v>345</v>
      </c>
      <c r="K216" s="194" t="str">
        <f>D216&amp;-2</f>
        <v>37.5-2</v>
      </c>
      <c r="L216" s="198">
        <f t="shared" ref="L216:N216" si="697">L215</f>
        <v>0.11</v>
      </c>
      <c r="M216" s="198">
        <f t="shared" si="697"/>
        <v>150</v>
      </c>
      <c r="N216" s="198">
        <f t="shared" si="697"/>
        <v>750</v>
      </c>
    </row>
    <row r="217" spans="1:14" s="182" customFormat="1" x14ac:dyDescent="0.25">
      <c r="A217" s="229">
        <f t="shared" ref="A217:B217" si="698">A216+1</f>
        <v>3934</v>
      </c>
      <c r="B217" s="230">
        <f t="shared" si="698"/>
        <v>207</v>
      </c>
      <c r="C217" s="229" t="str">
        <f t="shared" si="658"/>
        <v>L62X38_345#000_03</v>
      </c>
      <c r="D217" s="197">
        <f t="shared" ref="D217:F217" si="699">D216</f>
        <v>37.5</v>
      </c>
      <c r="E217" s="204">
        <f t="shared" si="699"/>
        <v>4.125</v>
      </c>
      <c r="F217" s="198">
        <f t="shared" si="699"/>
        <v>11</v>
      </c>
      <c r="G217" s="198">
        <f t="shared" si="641"/>
        <v>8.8000000000000007</v>
      </c>
      <c r="H217" s="198">
        <f t="shared" si="642"/>
        <v>5.5</v>
      </c>
      <c r="I217" s="198">
        <f t="shared" si="655"/>
        <v>8</v>
      </c>
      <c r="J217" s="199">
        <f t="shared" si="678"/>
        <v>345</v>
      </c>
      <c r="K217" s="194" t="str">
        <f>D217&amp;-3</f>
        <v>37.5-3</v>
      </c>
      <c r="L217" s="198">
        <f t="shared" ref="L217:N217" si="700">L216</f>
        <v>0.11</v>
      </c>
      <c r="M217" s="198">
        <f t="shared" si="700"/>
        <v>150</v>
      </c>
      <c r="N217" s="198">
        <f t="shared" si="700"/>
        <v>750</v>
      </c>
    </row>
    <row r="218" spans="1:14" s="182" customFormat="1" x14ac:dyDescent="0.25">
      <c r="A218" s="229">
        <f t="shared" ref="A218:B218" si="701">A217+1</f>
        <v>3935</v>
      </c>
      <c r="B218" s="230">
        <f t="shared" si="701"/>
        <v>208</v>
      </c>
      <c r="C218" s="229" t="str">
        <f t="shared" si="658"/>
        <v>L62X38_345#000_04</v>
      </c>
      <c r="D218" s="197">
        <f t="shared" ref="D218:F218" si="702">D217</f>
        <v>37.5</v>
      </c>
      <c r="E218" s="204">
        <f t="shared" si="702"/>
        <v>4.125</v>
      </c>
      <c r="F218" s="198">
        <f t="shared" si="702"/>
        <v>11</v>
      </c>
      <c r="G218" s="198">
        <f t="shared" si="641"/>
        <v>8.8000000000000007</v>
      </c>
      <c r="H218" s="198">
        <f t="shared" si="642"/>
        <v>5.5</v>
      </c>
      <c r="I218" s="198">
        <f t="shared" si="655"/>
        <v>8</v>
      </c>
      <c r="J218" s="199">
        <f t="shared" si="678"/>
        <v>345</v>
      </c>
      <c r="K218" s="194" t="str">
        <f>D218&amp;-4</f>
        <v>37.5-4</v>
      </c>
      <c r="L218" s="198">
        <f t="shared" ref="L218:N218" si="703">L217</f>
        <v>0.11</v>
      </c>
      <c r="M218" s="198">
        <f t="shared" si="703"/>
        <v>150</v>
      </c>
      <c r="N218" s="198">
        <f t="shared" si="703"/>
        <v>750</v>
      </c>
    </row>
    <row r="219" spans="1:14" s="182" customFormat="1" x14ac:dyDescent="0.25">
      <c r="A219" s="229">
        <f t="shared" ref="A219:B219" si="704">A218+1</f>
        <v>3936</v>
      </c>
      <c r="B219" s="230">
        <f t="shared" si="704"/>
        <v>209</v>
      </c>
      <c r="C219" s="229" t="str">
        <f t="shared" si="658"/>
        <v>L62X38_345#000_05</v>
      </c>
      <c r="D219" s="197">
        <f t="shared" ref="D219:F219" si="705">D218</f>
        <v>37.5</v>
      </c>
      <c r="E219" s="204">
        <f t="shared" si="705"/>
        <v>4.125</v>
      </c>
      <c r="F219" s="198">
        <f t="shared" si="705"/>
        <v>11</v>
      </c>
      <c r="G219" s="198">
        <f t="shared" si="641"/>
        <v>8.8000000000000007</v>
      </c>
      <c r="H219" s="198">
        <f t="shared" si="642"/>
        <v>5.5</v>
      </c>
      <c r="I219" s="198">
        <f t="shared" si="655"/>
        <v>8</v>
      </c>
      <c r="J219" s="199">
        <f t="shared" si="678"/>
        <v>345</v>
      </c>
      <c r="K219" s="194" t="str">
        <f>D219&amp;-5</f>
        <v>37.5-5</v>
      </c>
      <c r="L219" s="198">
        <f t="shared" ref="L219:N219" si="706">L218</f>
        <v>0.11</v>
      </c>
      <c r="M219" s="198">
        <f t="shared" si="706"/>
        <v>150</v>
      </c>
      <c r="N219" s="198">
        <f t="shared" si="706"/>
        <v>750</v>
      </c>
    </row>
    <row r="220" spans="1:14" s="182" customFormat="1" x14ac:dyDescent="0.25">
      <c r="A220" s="229">
        <f t="shared" ref="A220:B220" si="707">A219+1</f>
        <v>3937</v>
      </c>
      <c r="B220" s="230">
        <f t="shared" si="707"/>
        <v>210</v>
      </c>
      <c r="C220" s="229" t="str">
        <f t="shared" si="658"/>
        <v>L62X38_345#000_06</v>
      </c>
      <c r="D220" s="197">
        <f t="shared" ref="D220:F220" si="708">D219</f>
        <v>37.5</v>
      </c>
      <c r="E220" s="204">
        <f t="shared" si="708"/>
        <v>4.125</v>
      </c>
      <c r="F220" s="198">
        <f t="shared" si="708"/>
        <v>11</v>
      </c>
      <c r="G220" s="198">
        <f t="shared" si="641"/>
        <v>8.8000000000000007</v>
      </c>
      <c r="H220" s="198">
        <f t="shared" si="642"/>
        <v>5.5</v>
      </c>
      <c r="I220" s="198">
        <f t="shared" si="655"/>
        <v>8</v>
      </c>
      <c r="J220" s="199">
        <f t="shared" si="678"/>
        <v>345</v>
      </c>
      <c r="K220" s="194" t="str">
        <f>D220&amp;-6</f>
        <v>37.5-6</v>
      </c>
      <c r="L220" s="198">
        <f t="shared" ref="L220:N220" si="709">L219</f>
        <v>0.11</v>
      </c>
      <c r="M220" s="198">
        <f t="shared" si="709"/>
        <v>150</v>
      </c>
      <c r="N220" s="198">
        <f t="shared" si="709"/>
        <v>750</v>
      </c>
    </row>
    <row r="221" spans="1:14" s="182" customFormat="1" x14ac:dyDescent="0.25">
      <c r="A221" s="229">
        <f t="shared" ref="A221:B221" si="710">A220+1</f>
        <v>3938</v>
      </c>
      <c r="B221" s="230">
        <f t="shared" si="710"/>
        <v>211</v>
      </c>
      <c r="C221" s="229" t="str">
        <f t="shared" si="658"/>
        <v>L62X38_355#000_01</v>
      </c>
      <c r="D221" s="197">
        <f t="shared" ref="D221:F221" si="711">D220</f>
        <v>37.5</v>
      </c>
      <c r="E221" s="204">
        <f t="shared" si="711"/>
        <v>4.125</v>
      </c>
      <c r="F221" s="198">
        <f t="shared" si="711"/>
        <v>11</v>
      </c>
      <c r="G221" s="198">
        <f t="shared" si="641"/>
        <v>8.8000000000000007</v>
      </c>
      <c r="H221" s="198">
        <f t="shared" si="642"/>
        <v>5.5</v>
      </c>
      <c r="I221" s="198">
        <f t="shared" si="655"/>
        <v>8</v>
      </c>
      <c r="J221" s="199">
        <f t="shared" si="678"/>
        <v>355</v>
      </c>
      <c r="K221" s="194" t="str">
        <f>D221&amp;-1</f>
        <v>37.5-1</v>
      </c>
      <c r="L221" s="198">
        <f t="shared" ref="L221:N221" si="712">L220</f>
        <v>0.11</v>
      </c>
      <c r="M221" s="198">
        <f t="shared" si="712"/>
        <v>150</v>
      </c>
      <c r="N221" s="198">
        <f t="shared" si="712"/>
        <v>750</v>
      </c>
    </row>
    <row r="222" spans="1:14" s="182" customFormat="1" x14ac:dyDescent="0.25">
      <c r="A222" s="229">
        <f t="shared" ref="A222:B222" si="713">A221+1</f>
        <v>3939</v>
      </c>
      <c r="B222" s="230">
        <f t="shared" si="713"/>
        <v>212</v>
      </c>
      <c r="C222" s="229" t="str">
        <f t="shared" si="658"/>
        <v>L62X38_355#000_02</v>
      </c>
      <c r="D222" s="197">
        <f t="shared" ref="D222:F222" si="714">D221</f>
        <v>37.5</v>
      </c>
      <c r="E222" s="204">
        <f t="shared" si="714"/>
        <v>4.125</v>
      </c>
      <c r="F222" s="198">
        <f t="shared" si="714"/>
        <v>11</v>
      </c>
      <c r="G222" s="198">
        <f t="shared" si="641"/>
        <v>8.8000000000000007</v>
      </c>
      <c r="H222" s="198">
        <f t="shared" si="642"/>
        <v>5.5</v>
      </c>
      <c r="I222" s="198">
        <f t="shared" si="655"/>
        <v>8</v>
      </c>
      <c r="J222" s="199">
        <f t="shared" si="678"/>
        <v>355</v>
      </c>
      <c r="K222" s="194" t="str">
        <f>D222&amp;-2</f>
        <v>37.5-2</v>
      </c>
      <c r="L222" s="198">
        <f t="shared" ref="L222:N222" si="715">L221</f>
        <v>0.11</v>
      </c>
      <c r="M222" s="198">
        <f t="shared" si="715"/>
        <v>150</v>
      </c>
      <c r="N222" s="198">
        <f t="shared" si="715"/>
        <v>750</v>
      </c>
    </row>
    <row r="223" spans="1:14" s="182" customFormat="1" x14ac:dyDescent="0.25">
      <c r="A223" s="229">
        <f t="shared" ref="A223:B223" si="716">A222+1</f>
        <v>3940</v>
      </c>
      <c r="B223" s="230">
        <f t="shared" si="716"/>
        <v>213</v>
      </c>
      <c r="C223" s="229" t="str">
        <f t="shared" si="658"/>
        <v>L62X38_355#000_03</v>
      </c>
      <c r="D223" s="197">
        <f t="shared" ref="D223:F223" si="717">D222</f>
        <v>37.5</v>
      </c>
      <c r="E223" s="204">
        <f t="shared" si="717"/>
        <v>4.125</v>
      </c>
      <c r="F223" s="198">
        <f t="shared" si="717"/>
        <v>11</v>
      </c>
      <c r="G223" s="198">
        <f t="shared" si="641"/>
        <v>8.8000000000000007</v>
      </c>
      <c r="H223" s="198">
        <f t="shared" si="642"/>
        <v>5.5</v>
      </c>
      <c r="I223" s="198">
        <f t="shared" si="655"/>
        <v>8</v>
      </c>
      <c r="J223" s="199">
        <f t="shared" si="678"/>
        <v>355</v>
      </c>
      <c r="K223" s="194" t="str">
        <f>D223&amp;-3</f>
        <v>37.5-3</v>
      </c>
      <c r="L223" s="198">
        <f t="shared" ref="L223:N223" si="718">L222</f>
        <v>0.11</v>
      </c>
      <c r="M223" s="198">
        <f t="shared" si="718"/>
        <v>150</v>
      </c>
      <c r="N223" s="198">
        <f t="shared" si="718"/>
        <v>750</v>
      </c>
    </row>
    <row r="224" spans="1:14" s="182" customFormat="1" x14ac:dyDescent="0.25">
      <c r="A224" s="229">
        <f t="shared" ref="A224:B224" si="719">A223+1</f>
        <v>3941</v>
      </c>
      <c r="B224" s="230">
        <f t="shared" si="719"/>
        <v>214</v>
      </c>
      <c r="C224" s="229" t="str">
        <f t="shared" si="658"/>
        <v>L62X38_355#000_04</v>
      </c>
      <c r="D224" s="197">
        <f t="shared" ref="D224:F224" si="720">D223</f>
        <v>37.5</v>
      </c>
      <c r="E224" s="204">
        <f t="shared" si="720"/>
        <v>4.125</v>
      </c>
      <c r="F224" s="198">
        <f t="shared" si="720"/>
        <v>11</v>
      </c>
      <c r="G224" s="198">
        <f t="shared" si="641"/>
        <v>8.8000000000000007</v>
      </c>
      <c r="H224" s="198">
        <f t="shared" si="642"/>
        <v>5.5</v>
      </c>
      <c r="I224" s="198">
        <f t="shared" si="655"/>
        <v>8</v>
      </c>
      <c r="J224" s="199">
        <f t="shared" si="678"/>
        <v>355</v>
      </c>
      <c r="K224" s="194" t="str">
        <f>D224&amp;-4</f>
        <v>37.5-4</v>
      </c>
      <c r="L224" s="198">
        <f t="shared" ref="L224:N224" si="721">L223</f>
        <v>0.11</v>
      </c>
      <c r="M224" s="198">
        <f t="shared" si="721"/>
        <v>150</v>
      </c>
      <c r="N224" s="198">
        <f t="shared" si="721"/>
        <v>750</v>
      </c>
    </row>
    <row r="225" spans="1:14" s="182" customFormat="1" x14ac:dyDescent="0.25">
      <c r="A225" s="229">
        <f t="shared" ref="A225:B225" si="722">A224+1</f>
        <v>3942</v>
      </c>
      <c r="B225" s="230">
        <f t="shared" si="722"/>
        <v>215</v>
      </c>
      <c r="C225" s="229" t="str">
        <f t="shared" si="658"/>
        <v>L62X38_355#000_05</v>
      </c>
      <c r="D225" s="197">
        <f t="shared" ref="D225:F225" si="723">D224</f>
        <v>37.5</v>
      </c>
      <c r="E225" s="204">
        <f t="shared" si="723"/>
        <v>4.125</v>
      </c>
      <c r="F225" s="198">
        <f t="shared" si="723"/>
        <v>11</v>
      </c>
      <c r="G225" s="198">
        <f t="shared" si="641"/>
        <v>8.8000000000000007</v>
      </c>
      <c r="H225" s="198">
        <f t="shared" si="642"/>
        <v>5.5</v>
      </c>
      <c r="I225" s="198">
        <f t="shared" si="655"/>
        <v>8</v>
      </c>
      <c r="J225" s="199">
        <f t="shared" si="678"/>
        <v>355</v>
      </c>
      <c r="K225" s="194" t="str">
        <f>D225&amp;-5</f>
        <v>37.5-5</v>
      </c>
      <c r="L225" s="198">
        <f t="shared" ref="L225:N225" si="724">L224</f>
        <v>0.11</v>
      </c>
      <c r="M225" s="198">
        <f t="shared" si="724"/>
        <v>150</v>
      </c>
      <c r="N225" s="198">
        <f t="shared" si="724"/>
        <v>750</v>
      </c>
    </row>
    <row r="226" spans="1:14" s="182" customFormat="1" x14ac:dyDescent="0.25">
      <c r="A226" s="229">
        <f t="shared" ref="A226:B226" si="725">A225+1</f>
        <v>3943</v>
      </c>
      <c r="B226" s="230">
        <f t="shared" si="725"/>
        <v>216</v>
      </c>
      <c r="C226" s="229" t="str">
        <f t="shared" si="658"/>
        <v>L62X38_355#000_06</v>
      </c>
      <c r="D226" s="197">
        <f t="shared" ref="D226:F226" si="726">D225</f>
        <v>37.5</v>
      </c>
      <c r="E226" s="204">
        <f t="shared" si="726"/>
        <v>4.125</v>
      </c>
      <c r="F226" s="198">
        <f t="shared" si="726"/>
        <v>11</v>
      </c>
      <c r="G226" s="198">
        <f t="shared" si="641"/>
        <v>8.8000000000000007</v>
      </c>
      <c r="H226" s="198">
        <f t="shared" si="642"/>
        <v>5.5</v>
      </c>
      <c r="I226" s="198">
        <f t="shared" si="655"/>
        <v>8</v>
      </c>
      <c r="J226" s="199">
        <f t="shared" si="678"/>
        <v>355</v>
      </c>
      <c r="K226" s="194" t="str">
        <f>D226&amp;-6</f>
        <v>37.5-6</v>
      </c>
      <c r="L226" s="198">
        <f t="shared" ref="L226:N226" si="727">L225</f>
        <v>0.11</v>
      </c>
      <c r="M226" s="198">
        <f t="shared" si="727"/>
        <v>150</v>
      </c>
      <c r="N226" s="198">
        <f t="shared" si="727"/>
        <v>750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N34"/>
  <sheetViews>
    <sheetView zoomScaleNormal="100" workbookViewId="0">
      <selection activeCell="Q24" sqref="Q24"/>
    </sheetView>
  </sheetViews>
  <sheetFormatPr defaultColWidth="9" defaultRowHeight="15" x14ac:dyDescent="0.15"/>
  <cols>
    <col min="1" max="1" width="8" style="23" customWidth="1"/>
    <col min="2" max="2" width="6.375" style="23" customWidth="1"/>
    <col min="3" max="3" width="17.625" style="23" customWidth="1"/>
    <col min="4" max="4" width="6.375" style="23" customWidth="1"/>
    <col min="5" max="5" width="6.625" style="23" customWidth="1"/>
    <col min="6" max="6" width="7" style="23" customWidth="1"/>
    <col min="7" max="7" width="6.25" style="23" customWidth="1"/>
    <col min="8" max="8" width="7.375" style="23" customWidth="1"/>
    <col min="9" max="9" width="6.625" style="23" customWidth="1"/>
    <col min="10" max="10" width="6.75" style="23" customWidth="1"/>
    <col min="11" max="11" width="9.625" style="23" customWidth="1"/>
    <col min="12" max="12" width="7.25" style="23" customWidth="1"/>
    <col min="13" max="13" width="6.25" style="23" customWidth="1"/>
    <col min="14" max="14" width="6.75" style="23" customWidth="1"/>
    <col min="15" max="16384" width="9" style="23"/>
  </cols>
  <sheetData>
    <row r="1" spans="1:14" x14ac:dyDescent="0.15">
      <c r="H1" s="22" t="s">
        <v>135</v>
      </c>
      <c r="I1" s="216" t="s">
        <v>3973</v>
      </c>
    </row>
    <row r="2" spans="1:14" x14ac:dyDescent="0.15">
      <c r="B2" s="22" t="s">
        <v>115</v>
      </c>
      <c r="C2" s="22"/>
      <c r="D2" s="22"/>
      <c r="E2" s="22"/>
      <c r="H2" s="22"/>
      <c r="I2" s="216" t="s">
        <v>3971</v>
      </c>
    </row>
    <row r="3" spans="1:14" x14ac:dyDescent="0.15">
      <c r="B3" s="22" t="s">
        <v>88</v>
      </c>
      <c r="C3" s="22"/>
      <c r="D3" s="22"/>
      <c r="E3" s="22" t="s">
        <v>895</v>
      </c>
      <c r="H3" s="22"/>
      <c r="I3" s="240" t="s">
        <v>3939</v>
      </c>
    </row>
    <row r="4" spans="1:14" x14ac:dyDescent="0.15">
      <c r="B4" s="22" t="s">
        <v>89</v>
      </c>
      <c r="C4" s="22"/>
      <c r="D4" s="22"/>
      <c r="E4" s="22" t="s">
        <v>113</v>
      </c>
      <c r="H4" s="22"/>
      <c r="I4" s="216" t="s">
        <v>3938</v>
      </c>
    </row>
    <row r="5" spans="1:14" x14ac:dyDescent="0.15">
      <c r="B5" s="22" t="s">
        <v>91</v>
      </c>
      <c r="C5" s="22"/>
      <c r="D5" s="22"/>
      <c r="E5" s="22" t="s">
        <v>99</v>
      </c>
      <c r="I5" s="240" t="s">
        <v>3940</v>
      </c>
    </row>
    <row r="6" spans="1:14" x14ac:dyDescent="0.15">
      <c r="B6" s="22" t="s">
        <v>93</v>
      </c>
      <c r="C6" s="22"/>
      <c r="D6" s="22"/>
      <c r="E6" s="22" t="s">
        <v>100</v>
      </c>
      <c r="I6" s="216" t="s">
        <v>3932</v>
      </c>
    </row>
    <row r="7" spans="1:14" x14ac:dyDescent="0.15">
      <c r="A7" s="46"/>
      <c r="B7" s="46"/>
      <c r="C7" s="46"/>
      <c r="D7" s="46"/>
      <c r="E7" s="46"/>
      <c r="F7" s="46"/>
      <c r="G7" s="46"/>
      <c r="H7" s="46"/>
      <c r="I7" s="216" t="s">
        <v>3930</v>
      </c>
      <c r="J7" s="46"/>
      <c r="K7" s="46"/>
      <c r="L7" s="46"/>
      <c r="M7" s="46"/>
      <c r="N7" s="46"/>
    </row>
    <row r="8" spans="1:14" ht="15.75" thickBot="1" x14ac:dyDescent="0.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</row>
    <row r="9" spans="1:14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2</v>
      </c>
      <c r="K9" s="26" t="s">
        <v>3</v>
      </c>
      <c r="L9" s="25" t="s">
        <v>141</v>
      </c>
      <c r="M9" s="27" t="s">
        <v>138</v>
      </c>
      <c r="N9" s="27" t="s">
        <v>139</v>
      </c>
    </row>
    <row r="10" spans="1:14" ht="15.75" thickBot="1" x14ac:dyDescent="0.3">
      <c r="A10" s="29" t="s">
        <v>76</v>
      </c>
      <c r="B10" s="30" t="str">
        <f>B2</f>
        <v>DLC63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32" t="s">
        <v>7</v>
      </c>
      <c r="N10" s="32" t="s">
        <v>7</v>
      </c>
    </row>
    <row r="11" spans="1:14" ht="15.75" thickBot="1" x14ac:dyDescent="0.3">
      <c r="A11" s="24">
        <f>'DLC62'!A226+1</f>
        <v>3944</v>
      </c>
      <c r="B11" s="27">
        <v>1</v>
      </c>
      <c r="C11" s="24" t="str">
        <f>TEXT(RIGHT($B$2,LEN($B$2)-3),"L00")&amp;"X"&amp;TEXT(D11,"00")&amp;"_"&amp;IF(J11&lt;0,TEXT(360+J11,"000"),TEXT(J11,"000"))&amp;"#"&amp;"000"&amp;"_"&amp;TEXT(RIGHT(K11,LEN(K11)-FIND("-",K11)),"00")</f>
        <v>L63X30_340#000_01</v>
      </c>
      <c r="D11" s="34">
        <f>v_1</f>
        <v>30</v>
      </c>
      <c r="E11" s="60">
        <f>F11*D11/100</f>
        <v>3.3</v>
      </c>
      <c r="F11" s="35">
        <f>0.11*100</f>
        <v>11</v>
      </c>
      <c r="G11" s="35">
        <f t="shared" ref="G11:G34" si="0">m_ty*F11</f>
        <v>8.8000000000000007</v>
      </c>
      <c r="H11" s="35">
        <f t="shared" ref="H11:H34" si="1">m_tz*F11</f>
        <v>5.5</v>
      </c>
      <c r="I11" s="35">
        <f>inflow</f>
        <v>8</v>
      </c>
      <c r="J11" s="36">
        <f t="shared" ref="J11" si="2">dlc63_y1</f>
        <v>-20</v>
      </c>
      <c r="K11" s="37" t="str">
        <f>D11&amp;-1</f>
        <v>30-1</v>
      </c>
      <c r="L11" s="35">
        <f>alpha_e</f>
        <v>0.11</v>
      </c>
      <c r="M11" s="44">
        <f>t_out</f>
        <v>150</v>
      </c>
      <c r="N11" s="44">
        <f>M11+T_s1</f>
        <v>750</v>
      </c>
    </row>
    <row r="12" spans="1:14" ht="15.75" thickBot="1" x14ac:dyDescent="0.3">
      <c r="A12" s="41">
        <f t="shared" ref="A12:B27" si="3">A11+1</f>
        <v>3945</v>
      </c>
      <c r="B12" s="42">
        <f t="shared" si="3"/>
        <v>2</v>
      </c>
      <c r="C12" s="218" t="str">
        <f t="shared" ref="C12:C34" si="4">TEXT(RIGHT($B$2,LEN($B$2)-3),"L00")&amp;"X"&amp;TEXT(D12,"00")&amp;"_"&amp;IF(J12&lt;0,TEXT(360+J12,"000"),TEXT(J12,"000"))&amp;"#"&amp;"000"&amp;"_"&amp;TEXT(RIGHT(K12,LEN(K12)-FIND("-",K12)),"00")</f>
        <v>L63X30_340#000_02</v>
      </c>
      <c r="D12" s="43">
        <f>D11</f>
        <v>30</v>
      </c>
      <c r="E12" s="61">
        <f>E11</f>
        <v>3.3</v>
      </c>
      <c r="F12" s="44">
        <f>F11</f>
        <v>11</v>
      </c>
      <c r="G12" s="44">
        <f t="shared" si="0"/>
        <v>8.8000000000000007</v>
      </c>
      <c r="H12" s="44">
        <f t="shared" si="1"/>
        <v>5.5</v>
      </c>
      <c r="I12" s="44">
        <f>I11</f>
        <v>8</v>
      </c>
      <c r="J12" s="45">
        <f>J11</f>
        <v>-20</v>
      </c>
      <c r="K12" s="37" t="str">
        <f>D12&amp;-2</f>
        <v>30-2</v>
      </c>
      <c r="L12" s="44">
        <f>L11</f>
        <v>0.11</v>
      </c>
      <c r="M12" s="44">
        <f>M11</f>
        <v>150</v>
      </c>
      <c r="N12" s="44">
        <f>N11</f>
        <v>750</v>
      </c>
    </row>
    <row r="13" spans="1:14" ht="15.75" thickBot="1" x14ac:dyDescent="0.3">
      <c r="A13" s="229">
        <f t="shared" ref="A13" si="5">A12+1</f>
        <v>3946</v>
      </c>
      <c r="B13" s="42">
        <f t="shared" si="3"/>
        <v>3</v>
      </c>
      <c r="C13" s="218" t="str">
        <f t="shared" si="4"/>
        <v>L63X30_340#000_03</v>
      </c>
      <c r="D13" s="43">
        <f t="shared" ref="D13:J28" si="6">D12</f>
        <v>30</v>
      </c>
      <c r="E13" s="61">
        <f t="shared" si="6"/>
        <v>3.3</v>
      </c>
      <c r="F13" s="44">
        <f t="shared" si="6"/>
        <v>11</v>
      </c>
      <c r="G13" s="44">
        <f t="shared" si="0"/>
        <v>8.8000000000000007</v>
      </c>
      <c r="H13" s="44">
        <f t="shared" si="1"/>
        <v>5.5</v>
      </c>
      <c r="I13" s="44">
        <f t="shared" si="6"/>
        <v>8</v>
      </c>
      <c r="J13" s="199">
        <f t="shared" si="6"/>
        <v>-20</v>
      </c>
      <c r="K13" s="37" t="str">
        <f>D13&amp;-3</f>
        <v>30-3</v>
      </c>
      <c r="L13" s="44">
        <f t="shared" ref="L13:N28" si="7">L12</f>
        <v>0.11</v>
      </c>
      <c r="M13" s="44">
        <f t="shared" si="7"/>
        <v>150</v>
      </c>
      <c r="N13" s="44">
        <f t="shared" si="7"/>
        <v>750</v>
      </c>
    </row>
    <row r="14" spans="1:14" ht="15.75" thickBot="1" x14ac:dyDescent="0.3">
      <c r="A14" s="229">
        <f t="shared" ref="A14" si="8">A13+1</f>
        <v>3947</v>
      </c>
      <c r="B14" s="42">
        <f t="shared" si="3"/>
        <v>4</v>
      </c>
      <c r="C14" s="218" t="str">
        <f t="shared" si="4"/>
        <v>L63X30_340#000_04</v>
      </c>
      <c r="D14" s="43">
        <f t="shared" si="6"/>
        <v>30</v>
      </c>
      <c r="E14" s="61">
        <f t="shared" si="6"/>
        <v>3.3</v>
      </c>
      <c r="F14" s="44">
        <f t="shared" si="6"/>
        <v>11</v>
      </c>
      <c r="G14" s="44">
        <f t="shared" si="0"/>
        <v>8.8000000000000007</v>
      </c>
      <c r="H14" s="44">
        <f t="shared" si="1"/>
        <v>5.5</v>
      </c>
      <c r="I14" s="44">
        <f t="shared" si="6"/>
        <v>8</v>
      </c>
      <c r="J14" s="199">
        <f t="shared" si="6"/>
        <v>-20</v>
      </c>
      <c r="K14" s="37" t="str">
        <f>D14&amp;-4</f>
        <v>30-4</v>
      </c>
      <c r="L14" s="44">
        <f t="shared" si="7"/>
        <v>0.11</v>
      </c>
      <c r="M14" s="44">
        <f t="shared" si="7"/>
        <v>150</v>
      </c>
      <c r="N14" s="44">
        <f t="shared" si="7"/>
        <v>750</v>
      </c>
    </row>
    <row r="15" spans="1:14" ht="15.75" thickBot="1" x14ac:dyDescent="0.3">
      <c r="A15" s="229">
        <f t="shared" ref="A15" si="9">A14+1</f>
        <v>3948</v>
      </c>
      <c r="B15" s="42">
        <f t="shared" si="3"/>
        <v>5</v>
      </c>
      <c r="C15" s="218" t="str">
        <f t="shared" si="4"/>
        <v>L63X30_340#000_05</v>
      </c>
      <c r="D15" s="43">
        <f t="shared" si="6"/>
        <v>30</v>
      </c>
      <c r="E15" s="61">
        <f t="shared" si="6"/>
        <v>3.3</v>
      </c>
      <c r="F15" s="44">
        <f t="shared" si="6"/>
        <v>11</v>
      </c>
      <c r="G15" s="44">
        <f t="shared" si="0"/>
        <v>8.8000000000000007</v>
      </c>
      <c r="H15" s="44">
        <f t="shared" si="1"/>
        <v>5.5</v>
      </c>
      <c r="I15" s="44">
        <f t="shared" si="6"/>
        <v>8</v>
      </c>
      <c r="J15" s="199">
        <f t="shared" si="6"/>
        <v>-20</v>
      </c>
      <c r="K15" s="37" t="str">
        <f>D15&amp;-5</f>
        <v>30-5</v>
      </c>
      <c r="L15" s="44">
        <f t="shared" si="7"/>
        <v>0.11</v>
      </c>
      <c r="M15" s="44">
        <f t="shared" si="7"/>
        <v>150</v>
      </c>
      <c r="N15" s="44">
        <f t="shared" si="7"/>
        <v>750</v>
      </c>
    </row>
    <row r="16" spans="1:14" ht="15.75" thickBot="1" x14ac:dyDescent="0.3">
      <c r="A16" s="229">
        <f t="shared" ref="A16" si="10">A15+1</f>
        <v>3949</v>
      </c>
      <c r="B16" s="42">
        <f t="shared" si="3"/>
        <v>6</v>
      </c>
      <c r="C16" s="218" t="str">
        <f t="shared" si="4"/>
        <v>L63X30_340#000_06</v>
      </c>
      <c r="D16" s="43">
        <f t="shared" si="6"/>
        <v>30</v>
      </c>
      <c r="E16" s="61">
        <f t="shared" si="6"/>
        <v>3.3</v>
      </c>
      <c r="F16" s="44">
        <f t="shared" si="6"/>
        <v>11</v>
      </c>
      <c r="G16" s="44">
        <f t="shared" si="0"/>
        <v>8.8000000000000007</v>
      </c>
      <c r="H16" s="44">
        <f t="shared" si="1"/>
        <v>5.5</v>
      </c>
      <c r="I16" s="44">
        <f t="shared" si="6"/>
        <v>8</v>
      </c>
      <c r="J16" s="199">
        <f t="shared" si="6"/>
        <v>-20</v>
      </c>
      <c r="K16" s="37" t="str">
        <f>D16&amp;-6</f>
        <v>30-6</v>
      </c>
      <c r="L16" s="44">
        <f t="shared" si="7"/>
        <v>0.11</v>
      </c>
      <c r="M16" s="44">
        <f t="shared" si="7"/>
        <v>150</v>
      </c>
      <c r="N16" s="44">
        <f t="shared" si="7"/>
        <v>750</v>
      </c>
    </row>
    <row r="17" spans="1:14" ht="15.75" thickBot="1" x14ac:dyDescent="0.3">
      <c r="A17" s="229">
        <f t="shared" ref="A17" si="11">A16+1</f>
        <v>3950</v>
      </c>
      <c r="B17" s="42">
        <f t="shared" si="3"/>
        <v>7</v>
      </c>
      <c r="C17" s="218" t="str">
        <f t="shared" si="4"/>
        <v>L63X30_350#000_01</v>
      </c>
      <c r="D17" s="43">
        <f t="shared" si="6"/>
        <v>30</v>
      </c>
      <c r="E17" s="61">
        <f t="shared" si="6"/>
        <v>3.3</v>
      </c>
      <c r="F17" s="44">
        <f t="shared" si="6"/>
        <v>11</v>
      </c>
      <c r="G17" s="44">
        <f t="shared" si="0"/>
        <v>8.8000000000000007</v>
      </c>
      <c r="H17" s="44">
        <f t="shared" si="1"/>
        <v>5.5</v>
      </c>
      <c r="I17" s="44">
        <f t="shared" si="6"/>
        <v>8</v>
      </c>
      <c r="J17" s="45">
        <f t="shared" ref="J17" si="12">dlc63_y2</f>
        <v>-10</v>
      </c>
      <c r="K17" s="37" t="str">
        <f>D17&amp;-1</f>
        <v>30-1</v>
      </c>
      <c r="L17" s="44">
        <f t="shared" si="7"/>
        <v>0.11</v>
      </c>
      <c r="M17" s="44">
        <f t="shared" si="7"/>
        <v>150</v>
      </c>
      <c r="N17" s="44">
        <f t="shared" si="7"/>
        <v>750</v>
      </c>
    </row>
    <row r="18" spans="1:14" ht="15.75" thickBot="1" x14ac:dyDescent="0.3">
      <c r="A18" s="229">
        <f t="shared" ref="A18" si="13">A17+1</f>
        <v>3951</v>
      </c>
      <c r="B18" s="42">
        <f t="shared" si="3"/>
        <v>8</v>
      </c>
      <c r="C18" s="218" t="str">
        <f t="shared" si="4"/>
        <v>L63X30_350#000_02</v>
      </c>
      <c r="D18" s="43">
        <f t="shared" si="6"/>
        <v>30</v>
      </c>
      <c r="E18" s="61">
        <f t="shared" si="6"/>
        <v>3.3</v>
      </c>
      <c r="F18" s="44">
        <f t="shared" si="6"/>
        <v>11</v>
      </c>
      <c r="G18" s="44">
        <f t="shared" si="0"/>
        <v>8.8000000000000007</v>
      </c>
      <c r="H18" s="44">
        <f t="shared" si="1"/>
        <v>5.5</v>
      </c>
      <c r="I18" s="44">
        <f t="shared" si="6"/>
        <v>8</v>
      </c>
      <c r="J18" s="45">
        <f>J17</f>
        <v>-10</v>
      </c>
      <c r="K18" s="37" t="str">
        <f>D18&amp;-2</f>
        <v>30-2</v>
      </c>
      <c r="L18" s="44">
        <f t="shared" si="7"/>
        <v>0.11</v>
      </c>
      <c r="M18" s="44">
        <f t="shared" si="7"/>
        <v>150</v>
      </c>
      <c r="N18" s="44">
        <f t="shared" si="7"/>
        <v>750</v>
      </c>
    </row>
    <row r="19" spans="1:14" ht="15.75" thickBot="1" x14ac:dyDescent="0.3">
      <c r="A19" s="229">
        <f t="shared" ref="A19" si="14">A18+1</f>
        <v>3952</v>
      </c>
      <c r="B19" s="42">
        <f t="shared" si="3"/>
        <v>9</v>
      </c>
      <c r="C19" s="218" t="str">
        <f t="shared" si="4"/>
        <v>L63X30_350#000_03</v>
      </c>
      <c r="D19" s="43">
        <f t="shared" si="6"/>
        <v>30</v>
      </c>
      <c r="E19" s="61">
        <f t="shared" si="6"/>
        <v>3.3</v>
      </c>
      <c r="F19" s="44">
        <f t="shared" si="6"/>
        <v>11</v>
      </c>
      <c r="G19" s="44">
        <f t="shared" si="0"/>
        <v>8.8000000000000007</v>
      </c>
      <c r="H19" s="44">
        <f t="shared" si="1"/>
        <v>5.5</v>
      </c>
      <c r="I19" s="44">
        <f t="shared" si="6"/>
        <v>8</v>
      </c>
      <c r="J19" s="199">
        <f t="shared" si="6"/>
        <v>-10</v>
      </c>
      <c r="K19" s="37" t="str">
        <f>D19&amp;-3</f>
        <v>30-3</v>
      </c>
      <c r="L19" s="44">
        <f t="shared" si="7"/>
        <v>0.11</v>
      </c>
      <c r="M19" s="44">
        <f t="shared" si="7"/>
        <v>150</v>
      </c>
      <c r="N19" s="44">
        <f t="shared" si="7"/>
        <v>750</v>
      </c>
    </row>
    <row r="20" spans="1:14" ht="15.75" thickBot="1" x14ac:dyDescent="0.3">
      <c r="A20" s="229">
        <f t="shared" ref="A20" si="15">A19+1</f>
        <v>3953</v>
      </c>
      <c r="B20" s="42">
        <f t="shared" si="3"/>
        <v>10</v>
      </c>
      <c r="C20" s="218" t="str">
        <f t="shared" si="4"/>
        <v>L63X30_350#000_04</v>
      </c>
      <c r="D20" s="43">
        <f t="shared" si="6"/>
        <v>30</v>
      </c>
      <c r="E20" s="61">
        <f t="shared" si="6"/>
        <v>3.3</v>
      </c>
      <c r="F20" s="44">
        <f t="shared" si="6"/>
        <v>11</v>
      </c>
      <c r="G20" s="44">
        <f t="shared" si="0"/>
        <v>8.8000000000000007</v>
      </c>
      <c r="H20" s="44">
        <f t="shared" si="1"/>
        <v>5.5</v>
      </c>
      <c r="I20" s="44">
        <f t="shared" si="6"/>
        <v>8</v>
      </c>
      <c r="J20" s="199">
        <f t="shared" si="6"/>
        <v>-10</v>
      </c>
      <c r="K20" s="37" t="str">
        <f>D20&amp;-4</f>
        <v>30-4</v>
      </c>
      <c r="L20" s="44">
        <f t="shared" si="7"/>
        <v>0.11</v>
      </c>
      <c r="M20" s="44">
        <f t="shared" si="7"/>
        <v>150</v>
      </c>
      <c r="N20" s="44">
        <f t="shared" si="7"/>
        <v>750</v>
      </c>
    </row>
    <row r="21" spans="1:14" ht="15.75" thickBot="1" x14ac:dyDescent="0.3">
      <c r="A21" s="229">
        <f t="shared" ref="A21" si="16">A20+1</f>
        <v>3954</v>
      </c>
      <c r="B21" s="42">
        <f t="shared" si="3"/>
        <v>11</v>
      </c>
      <c r="C21" s="218" t="str">
        <f t="shared" si="4"/>
        <v>L63X30_350#000_05</v>
      </c>
      <c r="D21" s="43">
        <f t="shared" si="6"/>
        <v>30</v>
      </c>
      <c r="E21" s="61">
        <f t="shared" si="6"/>
        <v>3.3</v>
      </c>
      <c r="F21" s="44">
        <f t="shared" si="6"/>
        <v>11</v>
      </c>
      <c r="G21" s="44">
        <f t="shared" si="0"/>
        <v>8.8000000000000007</v>
      </c>
      <c r="H21" s="44">
        <f t="shared" si="1"/>
        <v>5.5</v>
      </c>
      <c r="I21" s="44">
        <f t="shared" si="6"/>
        <v>8</v>
      </c>
      <c r="J21" s="199">
        <f t="shared" si="6"/>
        <v>-10</v>
      </c>
      <c r="K21" s="37" t="str">
        <f>D21&amp;-5</f>
        <v>30-5</v>
      </c>
      <c r="L21" s="44">
        <f t="shared" si="7"/>
        <v>0.11</v>
      </c>
      <c r="M21" s="44">
        <f t="shared" si="7"/>
        <v>150</v>
      </c>
      <c r="N21" s="44">
        <f t="shared" si="7"/>
        <v>750</v>
      </c>
    </row>
    <row r="22" spans="1:14" ht="15.75" thickBot="1" x14ac:dyDescent="0.3">
      <c r="A22" s="229">
        <f t="shared" ref="A22" si="17">A21+1</f>
        <v>3955</v>
      </c>
      <c r="B22" s="42">
        <f t="shared" si="3"/>
        <v>12</v>
      </c>
      <c r="C22" s="218" t="str">
        <f t="shared" si="4"/>
        <v>L63X30_350#000_06</v>
      </c>
      <c r="D22" s="43">
        <f t="shared" si="6"/>
        <v>30</v>
      </c>
      <c r="E22" s="61">
        <f t="shared" si="6"/>
        <v>3.3</v>
      </c>
      <c r="F22" s="44">
        <f t="shared" si="6"/>
        <v>11</v>
      </c>
      <c r="G22" s="44">
        <f t="shared" si="0"/>
        <v>8.8000000000000007</v>
      </c>
      <c r="H22" s="44">
        <f t="shared" si="1"/>
        <v>5.5</v>
      </c>
      <c r="I22" s="44">
        <f t="shared" si="6"/>
        <v>8</v>
      </c>
      <c r="J22" s="199">
        <f t="shared" si="6"/>
        <v>-10</v>
      </c>
      <c r="K22" s="37" t="str">
        <f>D22&amp;-6</f>
        <v>30-6</v>
      </c>
      <c r="L22" s="44">
        <f t="shared" si="7"/>
        <v>0.11</v>
      </c>
      <c r="M22" s="44">
        <f t="shared" si="7"/>
        <v>150</v>
      </c>
      <c r="N22" s="44">
        <f t="shared" si="7"/>
        <v>750</v>
      </c>
    </row>
    <row r="23" spans="1:14" ht="15.75" thickBot="1" x14ac:dyDescent="0.3">
      <c r="A23" s="229">
        <f t="shared" ref="A23" si="18">A22+1</f>
        <v>3956</v>
      </c>
      <c r="B23" s="42">
        <f t="shared" si="3"/>
        <v>13</v>
      </c>
      <c r="C23" s="218" t="str">
        <f t="shared" si="4"/>
        <v>L63X30_010#000_01</v>
      </c>
      <c r="D23" s="43">
        <f t="shared" si="6"/>
        <v>30</v>
      </c>
      <c r="E23" s="61">
        <f t="shared" si="6"/>
        <v>3.3</v>
      </c>
      <c r="F23" s="44">
        <f t="shared" si="6"/>
        <v>11</v>
      </c>
      <c r="G23" s="44">
        <f t="shared" si="0"/>
        <v>8.8000000000000007</v>
      </c>
      <c r="H23" s="44">
        <f t="shared" si="1"/>
        <v>5.5</v>
      </c>
      <c r="I23" s="44">
        <f t="shared" si="6"/>
        <v>8</v>
      </c>
      <c r="J23" s="199">
        <f t="shared" ref="J23" si="19">dlc63_y4</f>
        <v>10</v>
      </c>
      <c r="K23" s="37" t="str">
        <f>D23&amp;-1</f>
        <v>30-1</v>
      </c>
      <c r="L23" s="44">
        <f t="shared" si="7"/>
        <v>0.11</v>
      </c>
      <c r="M23" s="44">
        <f t="shared" si="7"/>
        <v>150</v>
      </c>
      <c r="N23" s="44">
        <f t="shared" si="7"/>
        <v>750</v>
      </c>
    </row>
    <row r="24" spans="1:14" ht="15.75" thickBot="1" x14ac:dyDescent="0.3">
      <c r="A24" s="229">
        <f t="shared" ref="A24" si="20">A23+1</f>
        <v>3957</v>
      </c>
      <c r="B24" s="42">
        <f t="shared" si="3"/>
        <v>14</v>
      </c>
      <c r="C24" s="218" t="str">
        <f t="shared" si="4"/>
        <v>L63X30_010#000_02</v>
      </c>
      <c r="D24" s="43">
        <f t="shared" si="6"/>
        <v>30</v>
      </c>
      <c r="E24" s="61">
        <f t="shared" si="6"/>
        <v>3.3</v>
      </c>
      <c r="F24" s="44">
        <f t="shared" si="6"/>
        <v>11</v>
      </c>
      <c r="G24" s="44">
        <f t="shared" si="0"/>
        <v>8.8000000000000007</v>
      </c>
      <c r="H24" s="44">
        <f t="shared" si="1"/>
        <v>5.5</v>
      </c>
      <c r="I24" s="44">
        <f t="shared" si="6"/>
        <v>8</v>
      </c>
      <c r="J24" s="45">
        <f>J23</f>
        <v>10</v>
      </c>
      <c r="K24" s="37" t="str">
        <f>D24&amp;-2</f>
        <v>30-2</v>
      </c>
      <c r="L24" s="44">
        <f t="shared" si="7"/>
        <v>0.11</v>
      </c>
      <c r="M24" s="44">
        <f t="shared" si="7"/>
        <v>150</v>
      </c>
      <c r="N24" s="44">
        <f t="shared" si="7"/>
        <v>750</v>
      </c>
    </row>
    <row r="25" spans="1:14" ht="15.75" thickBot="1" x14ac:dyDescent="0.3">
      <c r="A25" s="229">
        <f t="shared" ref="A25" si="21">A24+1</f>
        <v>3958</v>
      </c>
      <c r="B25" s="42">
        <f t="shared" si="3"/>
        <v>15</v>
      </c>
      <c r="C25" s="218" t="str">
        <f t="shared" si="4"/>
        <v>L63X30_010#000_03</v>
      </c>
      <c r="D25" s="43">
        <f t="shared" si="6"/>
        <v>30</v>
      </c>
      <c r="E25" s="61">
        <f t="shared" si="6"/>
        <v>3.3</v>
      </c>
      <c r="F25" s="44">
        <f t="shared" si="6"/>
        <v>11</v>
      </c>
      <c r="G25" s="44">
        <f t="shared" si="0"/>
        <v>8.8000000000000007</v>
      </c>
      <c r="H25" s="44">
        <f t="shared" si="1"/>
        <v>5.5</v>
      </c>
      <c r="I25" s="44">
        <f t="shared" si="6"/>
        <v>8</v>
      </c>
      <c r="J25" s="199">
        <f t="shared" si="6"/>
        <v>10</v>
      </c>
      <c r="K25" s="37" t="str">
        <f>D25&amp;-3</f>
        <v>30-3</v>
      </c>
      <c r="L25" s="44">
        <f t="shared" si="7"/>
        <v>0.11</v>
      </c>
      <c r="M25" s="44">
        <f t="shared" si="7"/>
        <v>150</v>
      </c>
      <c r="N25" s="44">
        <f t="shared" si="7"/>
        <v>750</v>
      </c>
    </row>
    <row r="26" spans="1:14" ht="15.75" thickBot="1" x14ac:dyDescent="0.3">
      <c r="A26" s="229">
        <f t="shared" ref="A26" si="22">A25+1</f>
        <v>3959</v>
      </c>
      <c r="B26" s="42">
        <f t="shared" si="3"/>
        <v>16</v>
      </c>
      <c r="C26" s="218" t="str">
        <f t="shared" si="4"/>
        <v>L63X30_010#000_04</v>
      </c>
      <c r="D26" s="43">
        <f t="shared" si="6"/>
        <v>30</v>
      </c>
      <c r="E26" s="61">
        <f t="shared" si="6"/>
        <v>3.3</v>
      </c>
      <c r="F26" s="44">
        <f t="shared" si="6"/>
        <v>11</v>
      </c>
      <c r="G26" s="44">
        <f t="shared" si="0"/>
        <v>8.8000000000000007</v>
      </c>
      <c r="H26" s="44">
        <f t="shared" si="1"/>
        <v>5.5</v>
      </c>
      <c r="I26" s="44">
        <f t="shared" si="6"/>
        <v>8</v>
      </c>
      <c r="J26" s="199">
        <f t="shared" si="6"/>
        <v>10</v>
      </c>
      <c r="K26" s="37" t="str">
        <f>D26&amp;-4</f>
        <v>30-4</v>
      </c>
      <c r="L26" s="44">
        <f t="shared" si="7"/>
        <v>0.11</v>
      </c>
      <c r="M26" s="44">
        <f t="shared" si="7"/>
        <v>150</v>
      </c>
      <c r="N26" s="44">
        <f t="shared" si="7"/>
        <v>750</v>
      </c>
    </row>
    <row r="27" spans="1:14" ht="15.75" thickBot="1" x14ac:dyDescent="0.3">
      <c r="A27" s="229">
        <f t="shared" ref="A27" si="23">A26+1</f>
        <v>3960</v>
      </c>
      <c r="B27" s="42">
        <f t="shared" si="3"/>
        <v>17</v>
      </c>
      <c r="C27" s="218" t="str">
        <f t="shared" si="4"/>
        <v>L63X30_010#000_05</v>
      </c>
      <c r="D27" s="43">
        <f t="shared" si="6"/>
        <v>30</v>
      </c>
      <c r="E27" s="61">
        <f t="shared" si="6"/>
        <v>3.3</v>
      </c>
      <c r="F27" s="44">
        <f t="shared" si="6"/>
        <v>11</v>
      </c>
      <c r="G27" s="44">
        <f t="shared" si="0"/>
        <v>8.8000000000000007</v>
      </c>
      <c r="H27" s="44">
        <f t="shared" si="1"/>
        <v>5.5</v>
      </c>
      <c r="I27" s="44">
        <f t="shared" si="6"/>
        <v>8</v>
      </c>
      <c r="J27" s="199">
        <f t="shared" si="6"/>
        <v>10</v>
      </c>
      <c r="K27" s="37" t="str">
        <f>D27&amp;-5</f>
        <v>30-5</v>
      </c>
      <c r="L27" s="44">
        <f t="shared" si="7"/>
        <v>0.11</v>
      </c>
      <c r="M27" s="44">
        <f t="shared" si="7"/>
        <v>150</v>
      </c>
      <c r="N27" s="44">
        <f t="shared" si="7"/>
        <v>750</v>
      </c>
    </row>
    <row r="28" spans="1:14" ht="15.75" thickBot="1" x14ac:dyDescent="0.3">
      <c r="A28" s="229">
        <f t="shared" ref="A28" si="24">A27+1</f>
        <v>3961</v>
      </c>
      <c r="B28" s="42">
        <f t="shared" ref="B28:B34" si="25">B27+1</f>
        <v>18</v>
      </c>
      <c r="C28" s="218" t="str">
        <f t="shared" si="4"/>
        <v>L63X30_010#000_06</v>
      </c>
      <c r="D28" s="43">
        <f t="shared" si="6"/>
        <v>30</v>
      </c>
      <c r="E28" s="61">
        <f t="shared" si="6"/>
        <v>3.3</v>
      </c>
      <c r="F28" s="44">
        <f t="shared" si="6"/>
        <v>11</v>
      </c>
      <c r="G28" s="44">
        <f t="shared" si="0"/>
        <v>8.8000000000000007</v>
      </c>
      <c r="H28" s="44">
        <f t="shared" si="1"/>
        <v>5.5</v>
      </c>
      <c r="I28" s="44">
        <f t="shared" si="6"/>
        <v>8</v>
      </c>
      <c r="J28" s="199">
        <f t="shared" si="6"/>
        <v>10</v>
      </c>
      <c r="K28" s="37" t="str">
        <f>D28&amp;-6</f>
        <v>30-6</v>
      </c>
      <c r="L28" s="44">
        <f t="shared" si="7"/>
        <v>0.11</v>
      </c>
      <c r="M28" s="44">
        <f t="shared" si="7"/>
        <v>150</v>
      </c>
      <c r="N28" s="44">
        <f t="shared" si="7"/>
        <v>750</v>
      </c>
    </row>
    <row r="29" spans="1:14" ht="15.75" thickBot="1" x14ac:dyDescent="0.3">
      <c r="A29" s="229">
        <f t="shared" ref="A29" si="26">A28+1</f>
        <v>3962</v>
      </c>
      <c r="B29" s="42">
        <f t="shared" si="25"/>
        <v>19</v>
      </c>
      <c r="C29" s="218" t="str">
        <f t="shared" si="4"/>
        <v>L63X30_020#000_01</v>
      </c>
      <c r="D29" s="43">
        <f t="shared" ref="D29:F34" si="27">D28</f>
        <v>30</v>
      </c>
      <c r="E29" s="61">
        <f t="shared" si="27"/>
        <v>3.3</v>
      </c>
      <c r="F29" s="44">
        <f t="shared" si="27"/>
        <v>11</v>
      </c>
      <c r="G29" s="44">
        <f t="shared" si="0"/>
        <v>8.8000000000000007</v>
      </c>
      <c r="H29" s="44">
        <f t="shared" si="1"/>
        <v>5.5</v>
      </c>
      <c r="I29" s="44">
        <f t="shared" ref="I29:J34" si="28">I28</f>
        <v>8</v>
      </c>
      <c r="J29" s="199">
        <f t="shared" ref="J29" si="29">dlc63_y5</f>
        <v>20</v>
      </c>
      <c r="K29" s="37" t="str">
        <f>D29&amp;-1</f>
        <v>30-1</v>
      </c>
      <c r="L29" s="44">
        <f t="shared" ref="L29:N34" si="30">L28</f>
        <v>0.11</v>
      </c>
      <c r="M29" s="44">
        <f t="shared" si="30"/>
        <v>150</v>
      </c>
      <c r="N29" s="44">
        <f t="shared" si="30"/>
        <v>750</v>
      </c>
    </row>
    <row r="30" spans="1:14" ht="15.75" thickBot="1" x14ac:dyDescent="0.3">
      <c r="A30" s="229">
        <f t="shared" ref="A30" si="31">A29+1</f>
        <v>3963</v>
      </c>
      <c r="B30" s="42">
        <f t="shared" si="25"/>
        <v>20</v>
      </c>
      <c r="C30" s="218" t="str">
        <f t="shared" si="4"/>
        <v>L63X30_020#000_02</v>
      </c>
      <c r="D30" s="43">
        <f t="shared" si="27"/>
        <v>30</v>
      </c>
      <c r="E30" s="61">
        <f t="shared" si="27"/>
        <v>3.3</v>
      </c>
      <c r="F30" s="44">
        <f t="shared" si="27"/>
        <v>11</v>
      </c>
      <c r="G30" s="44">
        <f t="shared" si="0"/>
        <v>8.8000000000000007</v>
      </c>
      <c r="H30" s="44">
        <f t="shared" si="1"/>
        <v>5.5</v>
      </c>
      <c r="I30" s="44">
        <f t="shared" si="28"/>
        <v>8</v>
      </c>
      <c r="J30" s="45">
        <f>J29</f>
        <v>20</v>
      </c>
      <c r="K30" s="37" t="str">
        <f>D30&amp;-2</f>
        <v>30-2</v>
      </c>
      <c r="L30" s="44">
        <f t="shared" si="30"/>
        <v>0.11</v>
      </c>
      <c r="M30" s="44">
        <f t="shared" si="30"/>
        <v>150</v>
      </c>
      <c r="N30" s="44">
        <f t="shared" si="30"/>
        <v>750</v>
      </c>
    </row>
    <row r="31" spans="1:14" ht="15.75" thickBot="1" x14ac:dyDescent="0.3">
      <c r="A31" s="229">
        <f t="shared" ref="A31" si="32">A30+1</f>
        <v>3964</v>
      </c>
      <c r="B31" s="42">
        <f t="shared" si="25"/>
        <v>21</v>
      </c>
      <c r="C31" s="218" t="str">
        <f t="shared" si="4"/>
        <v>L63X30_020#000_03</v>
      </c>
      <c r="D31" s="43">
        <f t="shared" si="27"/>
        <v>30</v>
      </c>
      <c r="E31" s="61">
        <f t="shared" si="27"/>
        <v>3.3</v>
      </c>
      <c r="F31" s="44">
        <f t="shared" si="27"/>
        <v>11</v>
      </c>
      <c r="G31" s="44">
        <f t="shared" si="0"/>
        <v>8.8000000000000007</v>
      </c>
      <c r="H31" s="44">
        <f t="shared" si="1"/>
        <v>5.5</v>
      </c>
      <c r="I31" s="44">
        <f t="shared" si="28"/>
        <v>8</v>
      </c>
      <c r="J31" s="199">
        <f t="shared" si="28"/>
        <v>20</v>
      </c>
      <c r="K31" s="37" t="str">
        <f>D31&amp;-3</f>
        <v>30-3</v>
      </c>
      <c r="L31" s="44">
        <f t="shared" si="30"/>
        <v>0.11</v>
      </c>
      <c r="M31" s="44">
        <f t="shared" si="30"/>
        <v>150</v>
      </c>
      <c r="N31" s="44">
        <f t="shared" si="30"/>
        <v>750</v>
      </c>
    </row>
    <row r="32" spans="1:14" ht="15.75" thickBot="1" x14ac:dyDescent="0.3">
      <c r="A32" s="229">
        <f t="shared" ref="A32" si="33">A31+1</f>
        <v>3965</v>
      </c>
      <c r="B32" s="42">
        <f t="shared" si="25"/>
        <v>22</v>
      </c>
      <c r="C32" s="218" t="str">
        <f t="shared" si="4"/>
        <v>L63X30_020#000_04</v>
      </c>
      <c r="D32" s="43">
        <f t="shared" si="27"/>
        <v>30</v>
      </c>
      <c r="E32" s="61">
        <f t="shared" si="27"/>
        <v>3.3</v>
      </c>
      <c r="F32" s="44">
        <f t="shared" si="27"/>
        <v>11</v>
      </c>
      <c r="G32" s="44">
        <f t="shared" si="0"/>
        <v>8.8000000000000007</v>
      </c>
      <c r="H32" s="44">
        <f t="shared" si="1"/>
        <v>5.5</v>
      </c>
      <c r="I32" s="44">
        <f t="shared" si="28"/>
        <v>8</v>
      </c>
      <c r="J32" s="199">
        <f t="shared" si="28"/>
        <v>20</v>
      </c>
      <c r="K32" s="37" t="str">
        <f>D32&amp;-4</f>
        <v>30-4</v>
      </c>
      <c r="L32" s="44">
        <f t="shared" si="30"/>
        <v>0.11</v>
      </c>
      <c r="M32" s="44">
        <f t="shared" si="30"/>
        <v>150</v>
      </c>
      <c r="N32" s="44">
        <f t="shared" si="30"/>
        <v>750</v>
      </c>
    </row>
    <row r="33" spans="1:14" ht="15.75" thickBot="1" x14ac:dyDescent="0.3">
      <c r="A33" s="229">
        <f t="shared" ref="A33" si="34">A32+1</f>
        <v>3966</v>
      </c>
      <c r="B33" s="42">
        <f t="shared" si="25"/>
        <v>23</v>
      </c>
      <c r="C33" s="218" t="str">
        <f t="shared" si="4"/>
        <v>L63X30_020#000_05</v>
      </c>
      <c r="D33" s="43">
        <f t="shared" si="27"/>
        <v>30</v>
      </c>
      <c r="E33" s="61">
        <f t="shared" si="27"/>
        <v>3.3</v>
      </c>
      <c r="F33" s="44">
        <f t="shared" si="27"/>
        <v>11</v>
      </c>
      <c r="G33" s="44">
        <f t="shared" si="0"/>
        <v>8.8000000000000007</v>
      </c>
      <c r="H33" s="44">
        <f t="shared" si="1"/>
        <v>5.5</v>
      </c>
      <c r="I33" s="44">
        <f t="shared" si="28"/>
        <v>8</v>
      </c>
      <c r="J33" s="199">
        <f t="shared" si="28"/>
        <v>20</v>
      </c>
      <c r="K33" s="37" t="str">
        <f>D33&amp;-5</f>
        <v>30-5</v>
      </c>
      <c r="L33" s="44">
        <f t="shared" si="30"/>
        <v>0.11</v>
      </c>
      <c r="M33" s="44">
        <f t="shared" si="30"/>
        <v>150</v>
      </c>
      <c r="N33" s="44">
        <f t="shared" si="30"/>
        <v>750</v>
      </c>
    </row>
    <row r="34" spans="1:14" x14ac:dyDescent="0.25">
      <c r="A34" s="229">
        <f t="shared" ref="A34" si="35">A33+1</f>
        <v>3967</v>
      </c>
      <c r="B34" s="42">
        <f t="shared" si="25"/>
        <v>24</v>
      </c>
      <c r="C34" s="218" t="str">
        <f t="shared" si="4"/>
        <v>L63X30_020#000_06</v>
      </c>
      <c r="D34" s="43">
        <f t="shared" si="27"/>
        <v>30</v>
      </c>
      <c r="E34" s="61">
        <f t="shared" si="27"/>
        <v>3.3</v>
      </c>
      <c r="F34" s="44">
        <f t="shared" si="27"/>
        <v>11</v>
      </c>
      <c r="G34" s="44">
        <f t="shared" si="0"/>
        <v>8.8000000000000007</v>
      </c>
      <c r="H34" s="44">
        <f t="shared" si="1"/>
        <v>5.5</v>
      </c>
      <c r="I34" s="44">
        <f t="shared" si="28"/>
        <v>8</v>
      </c>
      <c r="J34" s="199">
        <f t="shared" si="28"/>
        <v>20</v>
      </c>
      <c r="K34" s="37" t="str">
        <f>D34&amp;-6</f>
        <v>30-6</v>
      </c>
      <c r="L34" s="44">
        <f t="shared" si="30"/>
        <v>0.11</v>
      </c>
      <c r="M34" s="44">
        <f t="shared" si="30"/>
        <v>150</v>
      </c>
      <c r="N34" s="44">
        <f t="shared" si="30"/>
        <v>750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32"/>
  <sheetViews>
    <sheetView topLeftCell="B1" zoomScaleNormal="100" workbookViewId="0">
      <selection activeCell="M31" sqref="M31"/>
    </sheetView>
  </sheetViews>
  <sheetFormatPr defaultColWidth="9" defaultRowHeight="15" x14ac:dyDescent="0.15"/>
  <cols>
    <col min="1" max="1" width="7" style="23" customWidth="1"/>
    <col min="2" max="2" width="7.375" style="23" customWidth="1"/>
    <col min="3" max="3" width="19" style="23" customWidth="1"/>
    <col min="4" max="4" width="6.875" style="23" customWidth="1"/>
    <col min="5" max="5" width="7.375" style="23" customWidth="1"/>
    <col min="6" max="6" width="8.125" style="23" customWidth="1"/>
    <col min="7" max="8" width="7.375" style="23" customWidth="1"/>
    <col min="9" max="9" width="8" style="23" customWidth="1"/>
    <col min="10" max="10" width="9" style="23"/>
    <col min="11" max="11" width="8.875" style="23" customWidth="1"/>
    <col min="12" max="12" width="7.375" style="23" customWidth="1"/>
    <col min="13" max="13" width="6.75" style="23" customWidth="1"/>
    <col min="14" max="14" width="7" style="23" customWidth="1"/>
    <col min="15" max="15" width="9" style="23"/>
    <col min="16" max="17" width="8" style="23" customWidth="1"/>
    <col min="18" max="18" width="9.375" style="23" bestFit="1" customWidth="1"/>
    <col min="19" max="20" width="9" style="23"/>
    <col min="21" max="21" width="9.75" style="23" customWidth="1"/>
    <col min="22" max="16384" width="9" style="23"/>
  </cols>
  <sheetData>
    <row r="1" spans="1:25" x14ac:dyDescent="0.15">
      <c r="H1" s="22" t="s">
        <v>135</v>
      </c>
      <c r="I1" s="216" t="s">
        <v>3974</v>
      </c>
      <c r="J1" s="21"/>
    </row>
    <row r="2" spans="1:25" x14ac:dyDescent="0.15">
      <c r="B2" s="22" t="s">
        <v>117</v>
      </c>
      <c r="C2" s="22"/>
      <c r="D2" s="22"/>
      <c r="E2" s="22"/>
      <c r="F2" s="22"/>
      <c r="G2" s="22"/>
      <c r="H2" s="22"/>
      <c r="I2" s="216" t="s">
        <v>3928</v>
      </c>
      <c r="J2" s="216" t="s">
        <v>3930</v>
      </c>
    </row>
    <row r="3" spans="1:25" x14ac:dyDescent="0.15">
      <c r="B3" s="22" t="s">
        <v>88</v>
      </c>
      <c r="C3" s="22"/>
      <c r="D3" s="22"/>
      <c r="E3" s="22" t="s">
        <v>896</v>
      </c>
      <c r="F3" s="22"/>
      <c r="G3" s="22"/>
      <c r="H3" s="22"/>
      <c r="I3" s="240" t="s">
        <v>3939</v>
      </c>
      <c r="J3" s="21"/>
    </row>
    <row r="4" spans="1:25" x14ac:dyDescent="0.15">
      <c r="B4" s="22" t="s">
        <v>89</v>
      </c>
      <c r="C4" s="22"/>
      <c r="D4" s="22"/>
      <c r="E4" s="22" t="s">
        <v>1722</v>
      </c>
      <c r="F4" s="22"/>
      <c r="G4" s="22"/>
      <c r="H4" s="22"/>
      <c r="I4" s="216" t="s">
        <v>3937</v>
      </c>
      <c r="J4" s="21"/>
    </row>
    <row r="5" spans="1:25" x14ac:dyDescent="0.15">
      <c r="B5" s="22" t="s">
        <v>91</v>
      </c>
      <c r="C5" s="22"/>
      <c r="D5" s="22"/>
      <c r="E5" s="22" t="s">
        <v>890</v>
      </c>
      <c r="F5" s="22"/>
      <c r="G5" s="22"/>
      <c r="H5" s="22"/>
      <c r="I5" s="240" t="s">
        <v>3940</v>
      </c>
      <c r="J5" s="21"/>
    </row>
    <row r="6" spans="1:25" x14ac:dyDescent="0.15">
      <c r="B6" s="22" t="s">
        <v>93</v>
      </c>
      <c r="C6" s="22"/>
      <c r="D6" s="22"/>
      <c r="E6" s="22" t="s">
        <v>891</v>
      </c>
      <c r="F6" s="22"/>
      <c r="G6" s="22"/>
      <c r="H6" s="22"/>
      <c r="I6" s="216" t="s">
        <v>3932</v>
      </c>
      <c r="J6" s="21"/>
    </row>
    <row r="7" spans="1:25" x14ac:dyDescent="0.15">
      <c r="A7" s="23">
        <v>1</v>
      </c>
      <c r="B7" s="23">
        <v>2</v>
      </c>
      <c r="C7" s="217">
        <v>3</v>
      </c>
      <c r="D7" s="217">
        <v>4</v>
      </c>
      <c r="E7" s="217">
        <v>5</v>
      </c>
      <c r="F7" s="217">
        <v>6</v>
      </c>
      <c r="G7" s="217">
        <v>7</v>
      </c>
      <c r="H7" s="217">
        <v>8</v>
      </c>
      <c r="I7" s="217">
        <v>9</v>
      </c>
      <c r="J7" s="217">
        <v>10</v>
      </c>
      <c r="K7" s="217">
        <v>11</v>
      </c>
      <c r="L7" s="217">
        <v>12</v>
      </c>
      <c r="M7" s="217">
        <v>13</v>
      </c>
      <c r="N7" s="217">
        <v>14</v>
      </c>
      <c r="O7" s="217">
        <v>15</v>
      </c>
      <c r="P7" s="217">
        <v>16</v>
      </c>
      <c r="Q7" s="217">
        <v>17</v>
      </c>
      <c r="R7" s="217">
        <v>18</v>
      </c>
      <c r="S7" s="217">
        <v>19</v>
      </c>
      <c r="T7" s="217">
        <v>20</v>
      </c>
      <c r="U7" s="217">
        <v>21</v>
      </c>
      <c r="V7" s="217">
        <v>22</v>
      </c>
    </row>
    <row r="8" spans="1:25" ht="15.75" thickBot="1" x14ac:dyDescent="0.2">
      <c r="P8" s="273" t="s">
        <v>249</v>
      </c>
      <c r="Q8" s="274"/>
      <c r="R8" s="274"/>
      <c r="S8" s="274"/>
      <c r="T8" s="274"/>
      <c r="U8" s="274"/>
      <c r="V8" s="275"/>
    </row>
    <row r="9" spans="1:25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140</v>
      </c>
      <c r="K9" s="26" t="s">
        <v>3</v>
      </c>
      <c r="L9" s="25" t="s">
        <v>141</v>
      </c>
      <c r="M9" s="27" t="s">
        <v>138</v>
      </c>
      <c r="N9" s="27" t="s">
        <v>139</v>
      </c>
      <c r="P9" s="28" t="s">
        <v>77</v>
      </c>
      <c r="Q9" s="28" t="s">
        <v>78</v>
      </c>
      <c r="R9" s="28" t="s">
        <v>79</v>
      </c>
      <c r="S9" s="28" t="s">
        <v>80</v>
      </c>
      <c r="T9" s="28" t="s">
        <v>81</v>
      </c>
      <c r="U9" s="28" t="s">
        <v>82</v>
      </c>
      <c r="V9" s="28" t="s">
        <v>250</v>
      </c>
    </row>
    <row r="10" spans="1:25" ht="15.75" thickBot="1" x14ac:dyDescent="0.3">
      <c r="A10" s="29" t="s">
        <v>76</v>
      </c>
      <c r="B10" s="30" t="str">
        <f>B2</f>
        <v>DLC64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32" t="s">
        <v>7</v>
      </c>
      <c r="N10" s="32" t="s">
        <v>7</v>
      </c>
      <c r="P10" s="33" t="s">
        <v>83</v>
      </c>
      <c r="Q10" s="28" t="s">
        <v>83</v>
      </c>
      <c r="R10" s="28" t="s">
        <v>76</v>
      </c>
      <c r="S10" s="28" t="s">
        <v>76</v>
      </c>
      <c r="T10" s="28" t="s">
        <v>76</v>
      </c>
      <c r="U10" s="28" t="s">
        <v>84</v>
      </c>
      <c r="V10" s="28" t="s">
        <v>251</v>
      </c>
    </row>
    <row r="11" spans="1:25" ht="15.75" thickBot="1" x14ac:dyDescent="0.3">
      <c r="A11" s="24">
        <f>'DLC63'!A34+1</f>
        <v>3968</v>
      </c>
      <c r="B11" s="27">
        <v>1</v>
      </c>
      <c r="C11" s="218" t="str">
        <f>TEXT(RIGHT($B$2,LEN($B$2)-3),"L00")&amp;"X"&amp;TEXT(D11,"00")&amp;"-"&amp;IF(J11&lt;0,TEXT(360+J11,"000"),TEXT(J11,"000"))&amp;"_"&amp;"000"&amp;"_"&amp;TEXT(RIGHT(K11,LEN(K11)-FIND("-",K11)),"00")</f>
        <v>L64X02-352_000_01</v>
      </c>
      <c r="D11" s="34">
        <f>v_in-1</f>
        <v>2</v>
      </c>
      <c r="E11" s="60">
        <f t="shared" ref="E11:E22" si="0">I_ref*(0.75*D11+5.6)</f>
        <v>0.99399999999999999</v>
      </c>
      <c r="F11" s="35">
        <f>E11/D11*100</f>
        <v>49.7</v>
      </c>
      <c r="G11" s="35">
        <f t="shared" ref="G11:G22" si="1">m_ty*F11</f>
        <v>39.760000000000005</v>
      </c>
      <c r="H11" s="35">
        <f t="shared" ref="H11:H22" si="2">m_tz*F11</f>
        <v>24.85</v>
      </c>
      <c r="I11" s="35">
        <f>inflow</f>
        <v>8</v>
      </c>
      <c r="J11" s="36">
        <f>yaw_min</f>
        <v>-8</v>
      </c>
      <c r="K11" s="37" t="str">
        <f>D11&amp;-1</f>
        <v>2-1</v>
      </c>
      <c r="L11" s="35">
        <f>alpha_n</f>
        <v>0.2</v>
      </c>
      <c r="M11" s="44">
        <f>t_out</f>
        <v>150</v>
      </c>
      <c r="N11" s="44">
        <f>M11+T_s1</f>
        <v>750</v>
      </c>
      <c r="P11" s="38">
        <v>0</v>
      </c>
      <c r="Q11" s="38">
        <f t="shared" ref="Q11:Q16" si="3">v_in</f>
        <v>3</v>
      </c>
      <c r="R11" s="39">
        <f t="shared" ref="R11:S22" si="4">IF(wpd="Rayleigh",1-EXP(-PI()*((P11/2/v_ave)^2)),IF(wpd="Weibull",1-EXP(-((P11/weibull_A)^weibull_K))))</f>
        <v>0</v>
      </c>
      <c r="S11" s="39">
        <f t="shared" si="4"/>
        <v>0.11808862170182366</v>
      </c>
      <c r="T11" s="39">
        <f>S11-0</f>
        <v>0.11808862170182366</v>
      </c>
      <c r="U11" s="40">
        <f>T11*(H_year-H_hy-H_hp-H_ice-H_typhoon)/6</f>
        <v>171.58276733274977</v>
      </c>
      <c r="V11" s="40" t="s">
        <v>125</v>
      </c>
      <c r="W11" s="163">
        <f>X11*3600/(N11-M11)</f>
        <v>20589.932079929975</v>
      </c>
      <c r="X11" s="163">
        <f>U11*20</f>
        <v>3431.6553466549954</v>
      </c>
      <c r="Y11" s="176">
        <f>SUM(U11:U22)</f>
        <v>1030.9107118963823</v>
      </c>
    </row>
    <row r="12" spans="1:25" ht="15.75" thickBot="1" x14ac:dyDescent="0.3">
      <c r="A12" s="41">
        <f>A11+1</f>
        <v>3969</v>
      </c>
      <c r="B12" s="42">
        <f>B11+1</f>
        <v>2</v>
      </c>
      <c r="C12" s="218" t="str">
        <f t="shared" ref="C12:C22" si="5">TEXT(RIGHT($B$2,LEN($B$2)-3),"L00")&amp;"X"&amp;TEXT(D12,"00")&amp;"-"&amp;IF(J12&lt;0,TEXT(360+J12,"000"),TEXT(J12,"000"))&amp;"_"&amp;"000"&amp;"_"&amp;TEXT(RIGHT(K12,LEN(K12)-FIND("-",K12)),"00")</f>
        <v>L64X02-352_000_02</v>
      </c>
      <c r="D12" s="43">
        <f>D11</f>
        <v>2</v>
      </c>
      <c r="E12" s="61">
        <f t="shared" si="0"/>
        <v>0.99399999999999999</v>
      </c>
      <c r="F12" s="44">
        <f>E12/D12*100</f>
        <v>49.7</v>
      </c>
      <c r="G12" s="44">
        <f t="shared" si="1"/>
        <v>39.760000000000005</v>
      </c>
      <c r="H12" s="44">
        <f t="shared" si="2"/>
        <v>24.85</v>
      </c>
      <c r="I12" s="44">
        <f>I11</f>
        <v>8</v>
      </c>
      <c r="J12" s="45">
        <f>yaw_min</f>
        <v>-8</v>
      </c>
      <c r="K12" s="37" t="str">
        <f>D12&amp;-2</f>
        <v>2-2</v>
      </c>
      <c r="L12" s="44">
        <f>L11</f>
        <v>0.2</v>
      </c>
      <c r="M12" s="44">
        <f>M11</f>
        <v>150</v>
      </c>
      <c r="N12" s="44">
        <f>N11</f>
        <v>750</v>
      </c>
      <c r="P12" s="38">
        <v>0</v>
      </c>
      <c r="Q12" s="38">
        <f t="shared" si="3"/>
        <v>3</v>
      </c>
      <c r="R12" s="39">
        <f t="shared" si="4"/>
        <v>0</v>
      </c>
      <c r="S12" s="39">
        <f t="shared" si="4"/>
        <v>0.11808862170182366</v>
      </c>
      <c r="T12" s="39">
        <f t="shared" ref="T12:T16" si="6">S12-0</f>
        <v>0.11808862170182366</v>
      </c>
      <c r="U12" s="40">
        <f t="shared" ref="U12:U22" si="7">T12*(H_year-H_hy-H_hp-H_ice-H_typhoon)/6</f>
        <v>171.58276733274977</v>
      </c>
      <c r="V12" s="40" t="str">
        <f>V11</f>
        <v>H</v>
      </c>
      <c r="W12" s="163">
        <f t="shared" ref="W12:W22" si="8">X12*3600/(N12-M12)</f>
        <v>20589.932079929975</v>
      </c>
      <c r="X12" s="163">
        <f t="shared" ref="X12:X22" si="9">U12*20</f>
        <v>3431.6553466549954</v>
      </c>
      <c r="Y12" s="163"/>
    </row>
    <row r="13" spans="1:25" ht="15.75" thickBot="1" x14ac:dyDescent="0.3">
      <c r="A13" s="41">
        <f t="shared" ref="A13:B22" si="10">A12+1</f>
        <v>3970</v>
      </c>
      <c r="B13" s="42">
        <f t="shared" si="10"/>
        <v>3</v>
      </c>
      <c r="C13" s="218" t="str">
        <f t="shared" si="5"/>
        <v>L64X02-000_000_03</v>
      </c>
      <c r="D13" s="43">
        <f t="shared" ref="D13:D16" si="11">D12</f>
        <v>2</v>
      </c>
      <c r="E13" s="61">
        <f t="shared" si="0"/>
        <v>0.99399999999999999</v>
      </c>
      <c r="F13" s="44">
        <f t="shared" ref="F13:F22" si="12">E13/D13*100</f>
        <v>49.7</v>
      </c>
      <c r="G13" s="44">
        <f t="shared" si="1"/>
        <v>39.760000000000005</v>
      </c>
      <c r="H13" s="44">
        <f t="shared" si="2"/>
        <v>24.85</v>
      </c>
      <c r="I13" s="44">
        <f t="shared" ref="I13:I22" si="13">I12</f>
        <v>8</v>
      </c>
      <c r="J13" s="45">
        <f>yaw_null</f>
        <v>0</v>
      </c>
      <c r="K13" s="37" t="str">
        <f>D13&amp;-3</f>
        <v>2-3</v>
      </c>
      <c r="L13" s="44">
        <f t="shared" ref="L13:N22" si="14">L12</f>
        <v>0.2</v>
      </c>
      <c r="M13" s="44">
        <f t="shared" si="14"/>
        <v>150</v>
      </c>
      <c r="N13" s="44">
        <f t="shared" si="14"/>
        <v>750</v>
      </c>
      <c r="P13" s="38">
        <v>0</v>
      </c>
      <c r="Q13" s="38">
        <f t="shared" si="3"/>
        <v>3</v>
      </c>
      <c r="R13" s="39">
        <f t="shared" si="4"/>
        <v>0</v>
      </c>
      <c r="S13" s="39">
        <f t="shared" si="4"/>
        <v>0.11808862170182366</v>
      </c>
      <c r="T13" s="39">
        <f t="shared" si="6"/>
        <v>0.11808862170182366</v>
      </c>
      <c r="U13" s="40">
        <f t="shared" si="7"/>
        <v>171.58276733274977</v>
      </c>
      <c r="V13" s="40" t="str">
        <f t="shared" ref="V13:V22" si="15">V12</f>
        <v>H</v>
      </c>
      <c r="W13" s="163">
        <f t="shared" si="8"/>
        <v>20589.932079929975</v>
      </c>
      <c r="X13" s="163">
        <f t="shared" si="9"/>
        <v>3431.6553466549954</v>
      </c>
      <c r="Y13" s="163"/>
    </row>
    <row r="14" spans="1:25" ht="15.75" thickBot="1" x14ac:dyDescent="0.3">
      <c r="A14" s="41">
        <f t="shared" si="10"/>
        <v>3971</v>
      </c>
      <c r="B14" s="42">
        <f t="shared" si="10"/>
        <v>4</v>
      </c>
      <c r="C14" s="218" t="str">
        <f t="shared" si="5"/>
        <v>L64X02-000_000_04</v>
      </c>
      <c r="D14" s="43">
        <f t="shared" si="11"/>
        <v>2</v>
      </c>
      <c r="E14" s="61">
        <f t="shared" si="0"/>
        <v>0.99399999999999999</v>
      </c>
      <c r="F14" s="44">
        <f t="shared" si="12"/>
        <v>49.7</v>
      </c>
      <c r="G14" s="44">
        <f t="shared" si="1"/>
        <v>39.760000000000005</v>
      </c>
      <c r="H14" s="44">
        <f t="shared" si="2"/>
        <v>24.85</v>
      </c>
      <c r="I14" s="44">
        <f t="shared" si="13"/>
        <v>8</v>
      </c>
      <c r="J14" s="45">
        <f>yaw_null</f>
        <v>0</v>
      </c>
      <c r="K14" s="37" t="str">
        <f>D14&amp;-4</f>
        <v>2-4</v>
      </c>
      <c r="L14" s="44">
        <f t="shared" si="14"/>
        <v>0.2</v>
      </c>
      <c r="M14" s="44">
        <f t="shared" si="14"/>
        <v>150</v>
      </c>
      <c r="N14" s="44">
        <f t="shared" si="14"/>
        <v>750</v>
      </c>
      <c r="P14" s="38">
        <v>0</v>
      </c>
      <c r="Q14" s="38">
        <f t="shared" si="3"/>
        <v>3</v>
      </c>
      <c r="R14" s="39">
        <f t="shared" si="4"/>
        <v>0</v>
      </c>
      <c r="S14" s="39">
        <f t="shared" si="4"/>
        <v>0.11808862170182366</v>
      </c>
      <c r="T14" s="39">
        <f t="shared" si="6"/>
        <v>0.11808862170182366</v>
      </c>
      <c r="U14" s="40">
        <f t="shared" si="7"/>
        <v>171.58276733274977</v>
      </c>
      <c r="V14" s="40" t="str">
        <f t="shared" si="15"/>
        <v>H</v>
      </c>
      <c r="W14" s="163">
        <f t="shared" si="8"/>
        <v>20589.932079929975</v>
      </c>
      <c r="X14" s="163">
        <f t="shared" si="9"/>
        <v>3431.6553466549954</v>
      </c>
      <c r="Y14" s="163"/>
    </row>
    <row r="15" spans="1:25" ht="15.75" thickBot="1" x14ac:dyDescent="0.3">
      <c r="A15" s="41">
        <f t="shared" si="10"/>
        <v>3972</v>
      </c>
      <c r="B15" s="42">
        <f t="shared" si="10"/>
        <v>5</v>
      </c>
      <c r="C15" s="218" t="str">
        <f t="shared" si="5"/>
        <v>L64X02-008_000_05</v>
      </c>
      <c r="D15" s="43">
        <f t="shared" si="11"/>
        <v>2</v>
      </c>
      <c r="E15" s="61">
        <f t="shared" si="0"/>
        <v>0.99399999999999999</v>
      </c>
      <c r="F15" s="44">
        <f t="shared" si="12"/>
        <v>49.7</v>
      </c>
      <c r="G15" s="44">
        <f t="shared" si="1"/>
        <v>39.760000000000005</v>
      </c>
      <c r="H15" s="44">
        <f t="shared" si="2"/>
        <v>24.85</v>
      </c>
      <c r="I15" s="44">
        <f t="shared" si="13"/>
        <v>8</v>
      </c>
      <c r="J15" s="45">
        <f>yaw_max</f>
        <v>8</v>
      </c>
      <c r="K15" s="37" t="str">
        <f>D15&amp;-5</f>
        <v>2-5</v>
      </c>
      <c r="L15" s="44">
        <f t="shared" si="14"/>
        <v>0.2</v>
      </c>
      <c r="M15" s="44">
        <f t="shared" si="14"/>
        <v>150</v>
      </c>
      <c r="N15" s="44">
        <f t="shared" si="14"/>
        <v>750</v>
      </c>
      <c r="P15" s="38">
        <v>0</v>
      </c>
      <c r="Q15" s="38">
        <f t="shared" si="3"/>
        <v>3</v>
      </c>
      <c r="R15" s="39">
        <f t="shared" si="4"/>
        <v>0</v>
      </c>
      <c r="S15" s="39">
        <f t="shared" si="4"/>
        <v>0.11808862170182366</v>
      </c>
      <c r="T15" s="39">
        <f t="shared" si="6"/>
        <v>0.11808862170182366</v>
      </c>
      <c r="U15" s="40">
        <f t="shared" si="7"/>
        <v>171.58276733274977</v>
      </c>
      <c r="V15" s="40" t="str">
        <f t="shared" si="15"/>
        <v>H</v>
      </c>
      <c r="W15" s="163">
        <f t="shared" si="8"/>
        <v>20589.932079929975</v>
      </c>
      <c r="X15" s="163">
        <f t="shared" si="9"/>
        <v>3431.6553466549954</v>
      </c>
      <c r="Y15" s="163"/>
    </row>
    <row r="16" spans="1:25" ht="15.75" thickBot="1" x14ac:dyDescent="0.3">
      <c r="A16" s="41">
        <f t="shared" si="10"/>
        <v>3973</v>
      </c>
      <c r="B16" s="42">
        <f t="shared" si="10"/>
        <v>6</v>
      </c>
      <c r="C16" s="218" t="str">
        <f t="shared" si="5"/>
        <v>L64X02-008_000_06</v>
      </c>
      <c r="D16" s="43">
        <f t="shared" si="11"/>
        <v>2</v>
      </c>
      <c r="E16" s="61">
        <f t="shared" si="0"/>
        <v>0.99399999999999999</v>
      </c>
      <c r="F16" s="44">
        <f t="shared" si="12"/>
        <v>49.7</v>
      </c>
      <c r="G16" s="44">
        <f t="shared" si="1"/>
        <v>39.760000000000005</v>
      </c>
      <c r="H16" s="44">
        <f t="shared" si="2"/>
        <v>24.85</v>
      </c>
      <c r="I16" s="44">
        <f t="shared" si="13"/>
        <v>8</v>
      </c>
      <c r="J16" s="45">
        <f>yaw_max</f>
        <v>8</v>
      </c>
      <c r="K16" s="37" t="str">
        <f>D16&amp;-6</f>
        <v>2-6</v>
      </c>
      <c r="L16" s="44">
        <f t="shared" si="14"/>
        <v>0.2</v>
      </c>
      <c r="M16" s="44">
        <f t="shared" si="14"/>
        <v>150</v>
      </c>
      <c r="N16" s="44">
        <f t="shared" si="14"/>
        <v>750</v>
      </c>
      <c r="P16" s="38">
        <v>0</v>
      </c>
      <c r="Q16" s="38">
        <f t="shared" si="3"/>
        <v>3</v>
      </c>
      <c r="R16" s="39">
        <f t="shared" si="4"/>
        <v>0</v>
      </c>
      <c r="S16" s="39">
        <f t="shared" si="4"/>
        <v>0.11808862170182366</v>
      </c>
      <c r="T16" s="39">
        <f t="shared" si="6"/>
        <v>0.11808862170182366</v>
      </c>
      <c r="U16" s="40">
        <f t="shared" si="7"/>
        <v>171.58276733274977</v>
      </c>
      <c r="V16" s="40" t="str">
        <f t="shared" si="15"/>
        <v>H</v>
      </c>
      <c r="W16" s="163">
        <f t="shared" si="8"/>
        <v>20589.932079929975</v>
      </c>
      <c r="X16" s="163">
        <f t="shared" si="9"/>
        <v>3431.6553466549954</v>
      </c>
      <c r="Y16" s="163"/>
    </row>
    <row r="17" spans="1:25" ht="15.75" thickBot="1" x14ac:dyDescent="0.3">
      <c r="A17" s="41">
        <f t="shared" ref="A17:B17" si="16">A16+1</f>
        <v>3974</v>
      </c>
      <c r="B17" s="42">
        <f t="shared" si="16"/>
        <v>7</v>
      </c>
      <c r="C17" s="218" t="str">
        <f t="shared" si="5"/>
        <v>L64X26-352_000_01</v>
      </c>
      <c r="D17" s="110">
        <f>0.7*v_ref</f>
        <v>26.25</v>
      </c>
      <c r="E17" s="61">
        <f t="shared" si="0"/>
        <v>3.5402500000000003</v>
      </c>
      <c r="F17" s="44">
        <f t="shared" si="12"/>
        <v>13.486666666666668</v>
      </c>
      <c r="G17" s="44">
        <f t="shared" si="1"/>
        <v>10.789333333333335</v>
      </c>
      <c r="H17" s="44">
        <f t="shared" si="2"/>
        <v>6.7433333333333341</v>
      </c>
      <c r="I17" s="44">
        <f t="shared" si="13"/>
        <v>8</v>
      </c>
      <c r="J17" s="45">
        <f>yaw_min</f>
        <v>-8</v>
      </c>
      <c r="K17" s="37" t="str">
        <f>D17&amp;-1</f>
        <v>26.25-1</v>
      </c>
      <c r="L17" s="44">
        <f t="shared" ref="L17" si="17">L16</f>
        <v>0.2</v>
      </c>
      <c r="M17" s="44">
        <f t="shared" si="14"/>
        <v>150</v>
      </c>
      <c r="N17" s="44">
        <f t="shared" si="14"/>
        <v>750</v>
      </c>
      <c r="P17" s="38">
        <f t="shared" ref="P17:P22" si="18">v_out</f>
        <v>25</v>
      </c>
      <c r="Q17" s="38">
        <v>100</v>
      </c>
      <c r="R17" s="39">
        <f t="shared" si="4"/>
        <v>0.99983779445975174</v>
      </c>
      <c r="S17" s="39">
        <f t="shared" si="4"/>
        <v>1</v>
      </c>
      <c r="T17" s="39">
        <f>1-R17</f>
        <v>1.6220554024826139E-4</v>
      </c>
      <c r="U17" s="40">
        <f t="shared" si="7"/>
        <v>0.2356846499807238</v>
      </c>
      <c r="V17" s="40" t="str">
        <f t="shared" si="15"/>
        <v>H</v>
      </c>
      <c r="W17" s="163">
        <f t="shared" si="8"/>
        <v>28.282157997686856</v>
      </c>
      <c r="X17" s="163">
        <f t="shared" si="9"/>
        <v>4.7136929996144765</v>
      </c>
      <c r="Y17" s="163"/>
    </row>
    <row r="18" spans="1:25" ht="15.75" thickBot="1" x14ac:dyDescent="0.3">
      <c r="A18" s="41">
        <f t="shared" ref="A18:B18" si="19">A17+1</f>
        <v>3975</v>
      </c>
      <c r="B18" s="42">
        <f t="shared" si="19"/>
        <v>8</v>
      </c>
      <c r="C18" s="218" t="str">
        <f t="shared" si="5"/>
        <v>L64X26-352_000_02</v>
      </c>
      <c r="D18" s="110">
        <f>D17</f>
        <v>26.25</v>
      </c>
      <c r="E18" s="61">
        <f t="shared" si="0"/>
        <v>3.5402500000000003</v>
      </c>
      <c r="F18" s="44">
        <f t="shared" si="12"/>
        <v>13.486666666666668</v>
      </c>
      <c r="G18" s="44">
        <f t="shared" si="1"/>
        <v>10.789333333333335</v>
      </c>
      <c r="H18" s="44">
        <f t="shared" si="2"/>
        <v>6.7433333333333341</v>
      </c>
      <c r="I18" s="44">
        <f t="shared" si="13"/>
        <v>8</v>
      </c>
      <c r="J18" s="45">
        <f>yaw_min</f>
        <v>-8</v>
      </c>
      <c r="K18" s="37" t="str">
        <f>D18&amp;-2</f>
        <v>26.25-2</v>
      </c>
      <c r="L18" s="44">
        <f t="shared" ref="L18" si="20">L17</f>
        <v>0.2</v>
      </c>
      <c r="M18" s="44">
        <f t="shared" si="14"/>
        <v>150</v>
      </c>
      <c r="N18" s="44">
        <f t="shared" si="14"/>
        <v>750</v>
      </c>
      <c r="P18" s="38">
        <f t="shared" si="18"/>
        <v>25</v>
      </c>
      <c r="Q18" s="38">
        <v>100</v>
      </c>
      <c r="R18" s="39">
        <f t="shared" si="4"/>
        <v>0.99983779445975174</v>
      </c>
      <c r="S18" s="39">
        <f t="shared" si="4"/>
        <v>1</v>
      </c>
      <c r="T18" s="39">
        <f t="shared" ref="T18:T22" si="21">1-R18</f>
        <v>1.6220554024826139E-4</v>
      </c>
      <c r="U18" s="40">
        <f t="shared" si="7"/>
        <v>0.2356846499807238</v>
      </c>
      <c r="V18" s="40" t="str">
        <f t="shared" si="15"/>
        <v>H</v>
      </c>
      <c r="W18" s="163">
        <f t="shared" si="8"/>
        <v>28.282157997686856</v>
      </c>
      <c r="X18" s="163">
        <f t="shared" si="9"/>
        <v>4.7136929996144765</v>
      </c>
      <c r="Y18" s="163"/>
    </row>
    <row r="19" spans="1:25" ht="15.75" thickBot="1" x14ac:dyDescent="0.3">
      <c r="A19" s="41">
        <f t="shared" si="10"/>
        <v>3976</v>
      </c>
      <c r="B19" s="42">
        <f t="shared" si="10"/>
        <v>9</v>
      </c>
      <c r="C19" s="218" t="str">
        <f t="shared" si="5"/>
        <v>L64X26-000_000_03</v>
      </c>
      <c r="D19" s="110">
        <f t="shared" ref="D19:D22" si="22">D18</f>
        <v>26.25</v>
      </c>
      <c r="E19" s="61">
        <f t="shared" si="0"/>
        <v>3.5402500000000003</v>
      </c>
      <c r="F19" s="44">
        <f t="shared" si="12"/>
        <v>13.486666666666668</v>
      </c>
      <c r="G19" s="44">
        <f t="shared" si="1"/>
        <v>10.789333333333335</v>
      </c>
      <c r="H19" s="44">
        <f t="shared" si="2"/>
        <v>6.7433333333333341</v>
      </c>
      <c r="I19" s="44">
        <f t="shared" si="13"/>
        <v>8</v>
      </c>
      <c r="J19" s="45">
        <f>yaw_null</f>
        <v>0</v>
      </c>
      <c r="K19" s="37" t="str">
        <f>D19&amp;-3</f>
        <v>26.25-3</v>
      </c>
      <c r="L19" s="44">
        <f t="shared" si="14"/>
        <v>0.2</v>
      </c>
      <c r="M19" s="44">
        <f t="shared" si="14"/>
        <v>150</v>
      </c>
      <c r="N19" s="44">
        <f t="shared" si="14"/>
        <v>750</v>
      </c>
      <c r="P19" s="38">
        <f t="shared" si="18"/>
        <v>25</v>
      </c>
      <c r="Q19" s="38">
        <v>100</v>
      </c>
      <c r="R19" s="39">
        <f t="shared" si="4"/>
        <v>0.99983779445975174</v>
      </c>
      <c r="S19" s="39">
        <f t="shared" si="4"/>
        <v>1</v>
      </c>
      <c r="T19" s="39">
        <f t="shared" si="21"/>
        <v>1.6220554024826139E-4</v>
      </c>
      <c r="U19" s="40">
        <f t="shared" si="7"/>
        <v>0.2356846499807238</v>
      </c>
      <c r="V19" s="40" t="str">
        <f t="shared" si="15"/>
        <v>H</v>
      </c>
      <c r="W19" s="163">
        <f t="shared" si="8"/>
        <v>28.282157997686856</v>
      </c>
      <c r="X19" s="163">
        <f t="shared" si="9"/>
        <v>4.7136929996144765</v>
      </c>
      <c r="Y19" s="163"/>
    </row>
    <row r="20" spans="1:25" ht="15.75" thickBot="1" x14ac:dyDescent="0.3">
      <c r="A20" s="41">
        <f t="shared" si="10"/>
        <v>3977</v>
      </c>
      <c r="B20" s="42">
        <f t="shared" si="10"/>
        <v>10</v>
      </c>
      <c r="C20" s="218" t="str">
        <f t="shared" si="5"/>
        <v>L64X26-000_000_04</v>
      </c>
      <c r="D20" s="110">
        <f t="shared" si="22"/>
        <v>26.25</v>
      </c>
      <c r="E20" s="61">
        <f t="shared" si="0"/>
        <v>3.5402500000000003</v>
      </c>
      <c r="F20" s="44">
        <f t="shared" si="12"/>
        <v>13.486666666666668</v>
      </c>
      <c r="G20" s="44">
        <f t="shared" si="1"/>
        <v>10.789333333333335</v>
      </c>
      <c r="H20" s="44">
        <f t="shared" si="2"/>
        <v>6.7433333333333341</v>
      </c>
      <c r="I20" s="44">
        <f t="shared" si="13"/>
        <v>8</v>
      </c>
      <c r="J20" s="45">
        <f>yaw_null</f>
        <v>0</v>
      </c>
      <c r="K20" s="37" t="str">
        <f>D20&amp;-4</f>
        <v>26.25-4</v>
      </c>
      <c r="L20" s="44">
        <f t="shared" si="14"/>
        <v>0.2</v>
      </c>
      <c r="M20" s="44">
        <f t="shared" si="14"/>
        <v>150</v>
      </c>
      <c r="N20" s="44">
        <f t="shared" si="14"/>
        <v>750</v>
      </c>
      <c r="P20" s="38">
        <f t="shared" si="18"/>
        <v>25</v>
      </c>
      <c r="Q20" s="38">
        <v>100</v>
      </c>
      <c r="R20" s="39">
        <f t="shared" si="4"/>
        <v>0.99983779445975174</v>
      </c>
      <c r="S20" s="39">
        <f t="shared" si="4"/>
        <v>1</v>
      </c>
      <c r="T20" s="39">
        <f t="shared" si="21"/>
        <v>1.6220554024826139E-4</v>
      </c>
      <c r="U20" s="40">
        <f t="shared" si="7"/>
        <v>0.2356846499807238</v>
      </c>
      <c r="V20" s="40" t="str">
        <f t="shared" si="15"/>
        <v>H</v>
      </c>
      <c r="W20" s="163">
        <f t="shared" si="8"/>
        <v>28.282157997686856</v>
      </c>
      <c r="X20" s="163">
        <f t="shared" si="9"/>
        <v>4.7136929996144765</v>
      </c>
      <c r="Y20" s="163"/>
    </row>
    <row r="21" spans="1:25" ht="15.75" thickBot="1" x14ac:dyDescent="0.3">
      <c r="A21" s="41">
        <f t="shared" si="10"/>
        <v>3978</v>
      </c>
      <c r="B21" s="42">
        <f t="shared" si="10"/>
        <v>11</v>
      </c>
      <c r="C21" s="218" t="str">
        <f t="shared" si="5"/>
        <v>L64X26-008_000_05</v>
      </c>
      <c r="D21" s="110">
        <f t="shared" si="22"/>
        <v>26.25</v>
      </c>
      <c r="E21" s="61">
        <f t="shared" si="0"/>
        <v>3.5402500000000003</v>
      </c>
      <c r="F21" s="44">
        <f t="shared" si="12"/>
        <v>13.486666666666668</v>
      </c>
      <c r="G21" s="44">
        <f t="shared" si="1"/>
        <v>10.789333333333335</v>
      </c>
      <c r="H21" s="44">
        <f t="shared" si="2"/>
        <v>6.7433333333333341</v>
      </c>
      <c r="I21" s="44">
        <f t="shared" si="13"/>
        <v>8</v>
      </c>
      <c r="J21" s="45">
        <f>yaw_max</f>
        <v>8</v>
      </c>
      <c r="K21" s="37" t="str">
        <f>D21&amp;-5</f>
        <v>26.25-5</v>
      </c>
      <c r="L21" s="44">
        <f t="shared" si="14"/>
        <v>0.2</v>
      </c>
      <c r="M21" s="44">
        <f t="shared" si="14"/>
        <v>150</v>
      </c>
      <c r="N21" s="44">
        <f t="shared" si="14"/>
        <v>750</v>
      </c>
      <c r="P21" s="38">
        <f t="shared" si="18"/>
        <v>25</v>
      </c>
      <c r="Q21" s="38">
        <v>100</v>
      </c>
      <c r="R21" s="39">
        <f t="shared" si="4"/>
        <v>0.99983779445975174</v>
      </c>
      <c r="S21" s="39">
        <f t="shared" si="4"/>
        <v>1</v>
      </c>
      <c r="T21" s="39">
        <f t="shared" si="21"/>
        <v>1.6220554024826139E-4</v>
      </c>
      <c r="U21" s="40">
        <f t="shared" si="7"/>
        <v>0.2356846499807238</v>
      </c>
      <c r="V21" s="40" t="str">
        <f t="shared" si="15"/>
        <v>H</v>
      </c>
      <c r="W21" s="163">
        <f t="shared" si="8"/>
        <v>28.282157997686856</v>
      </c>
      <c r="X21" s="163">
        <f t="shared" si="9"/>
        <v>4.7136929996144765</v>
      </c>
      <c r="Y21" s="163"/>
    </row>
    <row r="22" spans="1:25" x14ac:dyDescent="0.25">
      <c r="A22" s="41">
        <f t="shared" si="10"/>
        <v>3979</v>
      </c>
      <c r="B22" s="42">
        <f t="shared" si="10"/>
        <v>12</v>
      </c>
      <c r="C22" s="218" t="str">
        <f t="shared" si="5"/>
        <v>L64X26-008_000_06</v>
      </c>
      <c r="D22" s="110">
        <f t="shared" si="22"/>
        <v>26.25</v>
      </c>
      <c r="E22" s="61">
        <f t="shared" si="0"/>
        <v>3.5402500000000003</v>
      </c>
      <c r="F22" s="44">
        <f t="shared" si="12"/>
        <v>13.486666666666668</v>
      </c>
      <c r="G22" s="44">
        <f t="shared" si="1"/>
        <v>10.789333333333335</v>
      </c>
      <c r="H22" s="44">
        <f t="shared" si="2"/>
        <v>6.7433333333333341</v>
      </c>
      <c r="I22" s="44">
        <f t="shared" si="13"/>
        <v>8</v>
      </c>
      <c r="J22" s="45">
        <f>yaw_max</f>
        <v>8</v>
      </c>
      <c r="K22" s="37" t="str">
        <f>D22&amp;-6</f>
        <v>26.25-6</v>
      </c>
      <c r="L22" s="44">
        <f t="shared" si="14"/>
        <v>0.2</v>
      </c>
      <c r="M22" s="44">
        <f t="shared" si="14"/>
        <v>150</v>
      </c>
      <c r="N22" s="44">
        <f t="shared" si="14"/>
        <v>750</v>
      </c>
      <c r="P22" s="38">
        <f t="shared" si="18"/>
        <v>25</v>
      </c>
      <c r="Q22" s="38">
        <v>100</v>
      </c>
      <c r="R22" s="39">
        <f t="shared" si="4"/>
        <v>0.99983779445975174</v>
      </c>
      <c r="S22" s="39">
        <f t="shared" si="4"/>
        <v>1</v>
      </c>
      <c r="T22" s="39">
        <f t="shared" si="21"/>
        <v>1.6220554024826139E-4</v>
      </c>
      <c r="U22" s="40">
        <f t="shared" si="7"/>
        <v>0.2356846499807238</v>
      </c>
      <c r="V22" s="40" t="str">
        <f t="shared" si="15"/>
        <v>H</v>
      </c>
      <c r="W22" s="163">
        <f t="shared" si="8"/>
        <v>28.282157997686856</v>
      </c>
      <c r="X22" s="163">
        <f t="shared" si="9"/>
        <v>4.7136929996144765</v>
      </c>
      <c r="Y22" s="163"/>
    </row>
    <row r="26" spans="1:25" x14ac:dyDescent="0.15">
      <c r="I26" s="216"/>
    </row>
    <row r="27" spans="1:25" x14ac:dyDescent="0.15">
      <c r="I27" s="216"/>
    </row>
    <row r="28" spans="1:25" x14ac:dyDescent="0.15">
      <c r="I28" s="240"/>
    </row>
    <row r="29" spans="1:25" x14ac:dyDescent="0.15">
      <c r="I29" s="216"/>
    </row>
    <row r="30" spans="1:25" x14ac:dyDescent="0.15">
      <c r="I30" s="240"/>
    </row>
    <row r="31" spans="1:25" x14ac:dyDescent="0.15">
      <c r="I31" s="216"/>
    </row>
    <row r="32" spans="1:25" x14ac:dyDescent="0.15">
      <c r="I32" s="216"/>
    </row>
  </sheetData>
  <mergeCells count="1">
    <mergeCell ref="P8:V8"/>
  </mergeCells>
  <phoneticPr fontId="1" type="noConversion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18"/>
  <sheetViews>
    <sheetView zoomScaleNormal="100" workbookViewId="0">
      <selection activeCell="S22" sqref="S22"/>
    </sheetView>
  </sheetViews>
  <sheetFormatPr defaultColWidth="9" defaultRowHeight="15" x14ac:dyDescent="0.15"/>
  <cols>
    <col min="1" max="1" width="8" style="23" customWidth="1"/>
    <col min="2" max="2" width="7.75" style="23" customWidth="1"/>
    <col min="3" max="3" width="17.75" style="23" customWidth="1"/>
    <col min="4" max="4" width="7.625" style="23" customWidth="1"/>
    <col min="5" max="6" width="8.125" style="23" customWidth="1"/>
    <col min="7" max="7" width="8.375" style="23" customWidth="1"/>
    <col min="8" max="8" width="7.375" style="23" customWidth="1"/>
    <col min="9" max="9" width="7.25" style="23" customWidth="1"/>
    <col min="10" max="10" width="7" style="23" customWidth="1"/>
    <col min="11" max="11" width="9" style="23"/>
    <col min="12" max="12" width="7.375" style="23" customWidth="1"/>
    <col min="13" max="13" width="8.75" style="23" customWidth="1"/>
    <col min="14" max="14" width="6.25" style="23" customWidth="1"/>
    <col min="15" max="15" width="7.125" style="23" customWidth="1"/>
    <col min="16" max="16384" width="9" style="23"/>
  </cols>
  <sheetData>
    <row r="1" spans="1:15" x14ac:dyDescent="0.15">
      <c r="H1" s="22" t="s">
        <v>135</v>
      </c>
      <c r="I1" s="216" t="s">
        <v>3975</v>
      </c>
    </row>
    <row r="2" spans="1:15" x14ac:dyDescent="0.15">
      <c r="B2" s="22" t="s">
        <v>3859</v>
      </c>
      <c r="C2" s="22"/>
      <c r="D2" s="22"/>
      <c r="E2" s="22"/>
      <c r="H2" s="22"/>
      <c r="I2" s="216" t="s">
        <v>3977</v>
      </c>
    </row>
    <row r="3" spans="1:15" x14ac:dyDescent="0.15">
      <c r="B3" s="22" t="s">
        <v>88</v>
      </c>
      <c r="C3" s="22"/>
      <c r="D3" s="22"/>
      <c r="E3" s="22" t="s">
        <v>116</v>
      </c>
      <c r="H3" s="22"/>
      <c r="I3" s="240" t="s">
        <v>3939</v>
      </c>
    </row>
    <row r="4" spans="1:15" x14ac:dyDescent="0.15">
      <c r="B4" s="22" t="s">
        <v>89</v>
      </c>
      <c r="C4" s="22"/>
      <c r="D4" s="22"/>
      <c r="E4" s="22" t="s">
        <v>118</v>
      </c>
      <c r="H4" s="22"/>
      <c r="I4" s="216" t="s">
        <v>3938</v>
      </c>
    </row>
    <row r="5" spans="1:15" x14ac:dyDescent="0.15">
      <c r="B5" s="22" t="s">
        <v>91</v>
      </c>
      <c r="C5" s="22"/>
      <c r="D5" s="22"/>
      <c r="E5" s="22" t="s">
        <v>99</v>
      </c>
      <c r="I5" s="240" t="s">
        <v>3940</v>
      </c>
    </row>
    <row r="6" spans="1:15" x14ac:dyDescent="0.15">
      <c r="B6" s="22" t="s">
        <v>93</v>
      </c>
      <c r="C6" s="22"/>
      <c r="D6" s="22"/>
      <c r="E6" s="22" t="s">
        <v>106</v>
      </c>
      <c r="I6" s="216" t="s">
        <v>3932</v>
      </c>
    </row>
    <row r="7" spans="1:15" x14ac:dyDescent="0.15">
      <c r="A7" s="46"/>
      <c r="B7" s="46"/>
      <c r="C7" s="46"/>
      <c r="D7" s="46"/>
      <c r="E7" s="46"/>
      <c r="F7" s="46"/>
      <c r="G7" s="46"/>
      <c r="H7" s="46"/>
      <c r="I7" s="216" t="s">
        <v>3930</v>
      </c>
      <c r="J7" s="46"/>
      <c r="K7" s="46"/>
      <c r="L7" s="46"/>
      <c r="M7" s="46"/>
      <c r="N7" s="46"/>
      <c r="O7" s="46"/>
    </row>
    <row r="8" spans="1:15" ht="15.75" thickBot="1" x14ac:dyDescent="0.2">
      <c r="A8" s="46">
        <v>1</v>
      </c>
      <c r="B8" s="46">
        <v>2</v>
      </c>
      <c r="C8" s="139">
        <v>3</v>
      </c>
      <c r="D8" s="139">
        <v>4</v>
      </c>
      <c r="E8" s="139">
        <v>5</v>
      </c>
      <c r="F8" s="139">
        <v>6</v>
      </c>
      <c r="G8" s="139">
        <v>7</v>
      </c>
      <c r="H8" s="139">
        <v>8</v>
      </c>
      <c r="I8" s="139">
        <v>9</v>
      </c>
      <c r="J8" s="139">
        <v>10</v>
      </c>
      <c r="K8" s="139">
        <v>11</v>
      </c>
      <c r="L8" s="139">
        <v>12</v>
      </c>
      <c r="M8" s="139">
        <v>13</v>
      </c>
      <c r="N8" s="139">
        <v>14</v>
      </c>
      <c r="O8" s="139">
        <v>15</v>
      </c>
    </row>
    <row r="9" spans="1:15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2</v>
      </c>
      <c r="K9" s="26" t="s">
        <v>3</v>
      </c>
      <c r="L9" s="25" t="s">
        <v>141</v>
      </c>
      <c r="M9" s="47" t="s">
        <v>22</v>
      </c>
      <c r="N9" s="27" t="s">
        <v>138</v>
      </c>
      <c r="O9" s="27" t="s">
        <v>139</v>
      </c>
    </row>
    <row r="10" spans="1:15" ht="15.75" thickBot="1" x14ac:dyDescent="0.3">
      <c r="A10" s="29" t="s">
        <v>76</v>
      </c>
      <c r="B10" s="30" t="str">
        <f>B2</f>
        <v>DLC71a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48"/>
      <c r="N10" s="32" t="s">
        <v>7</v>
      </c>
      <c r="O10" s="32" t="s">
        <v>7</v>
      </c>
    </row>
    <row r="11" spans="1:15" ht="15.75" thickBot="1" x14ac:dyDescent="0.3">
      <c r="A11" s="24">
        <f>'DLC64'!A22+1</f>
        <v>3980</v>
      </c>
      <c r="B11" s="27">
        <v>1</v>
      </c>
      <c r="C11" s="183" t="str">
        <f>TEXT(RIGHT($B$2,LEN($B$2)-3),"000")&amp;IF(M11=0,"A",IF(M11=15,"B",IF(M11=30,"C",IF(M11=45,"D",IF(M11=60,"E","F")))))&amp;TEXT(D11,"00")&amp;"#"&amp;IF(J11&lt;0,TEXT(360+J11,"000"),TEXT(J11,"000"))&amp;"_"&amp;"000"&amp;"_"&amp;TEXT(RIGHT(K11,LEN(K11)-FIND("-",K11)),"00")</f>
        <v>71aA30#352_000_01</v>
      </c>
      <c r="D11" s="34">
        <f>v_1</f>
        <v>30</v>
      </c>
      <c r="E11" s="60">
        <f>F11*D11/100</f>
        <v>3.3</v>
      </c>
      <c r="F11" s="35">
        <f>0.11*100</f>
        <v>11</v>
      </c>
      <c r="G11" s="44">
        <f t="shared" ref="G11:G16" si="0">m_ty*F11</f>
        <v>8.8000000000000007</v>
      </c>
      <c r="H11" s="44">
        <f t="shared" ref="H11:H16" si="1">m_tz*F11</f>
        <v>5.5</v>
      </c>
      <c r="I11" s="35">
        <f>inflow</f>
        <v>8</v>
      </c>
      <c r="J11" s="36">
        <f t="shared" ref="J11:J52" si="2">yaw_min</f>
        <v>-8</v>
      </c>
      <c r="K11" s="37" t="str">
        <f>D11&amp;-1</f>
        <v>30-1</v>
      </c>
      <c r="L11" s="35">
        <f>alpha_e</f>
        <v>0.11</v>
      </c>
      <c r="M11" s="57">
        <v>0</v>
      </c>
      <c r="N11" s="53">
        <f>t_out</f>
        <v>150</v>
      </c>
      <c r="O11" s="35">
        <f>N11+T_s1</f>
        <v>750</v>
      </c>
    </row>
    <row r="12" spans="1:15" ht="15.75" thickBot="1" x14ac:dyDescent="0.3">
      <c r="A12" s="41">
        <f>A11+1</f>
        <v>3981</v>
      </c>
      <c r="B12" s="42">
        <f>B11+1</f>
        <v>2</v>
      </c>
      <c r="C12" s="218" t="str">
        <f t="shared" ref="C12:C75" si="3">TEXT(RIGHT($B$2,LEN($B$2)-3),"000")&amp;IF(M12=0,"A",IF(M12=15,"B",IF(M12=30,"C",IF(M12=45,"D",IF(M12=60,"E","F")))))&amp;TEXT(D12,"00")&amp;"#"&amp;IF(J12&lt;0,TEXT(360+J12,"000"),TEXT(J12,"000"))&amp;"_"&amp;"000"&amp;"_"&amp;TEXT(RIGHT(K12,LEN(K12)-FIND("-",K12)),"00")</f>
        <v>71aA30#352_000_02</v>
      </c>
      <c r="D12" s="43">
        <f>D11</f>
        <v>30</v>
      </c>
      <c r="E12" s="61">
        <f>E11</f>
        <v>3.3</v>
      </c>
      <c r="F12" s="44">
        <f>F11</f>
        <v>11</v>
      </c>
      <c r="G12" s="44">
        <f t="shared" si="0"/>
        <v>8.8000000000000007</v>
      </c>
      <c r="H12" s="44">
        <f t="shared" si="1"/>
        <v>5.5</v>
      </c>
      <c r="I12" s="44">
        <f>I11</f>
        <v>8</v>
      </c>
      <c r="J12" s="45">
        <f t="shared" si="2"/>
        <v>-8</v>
      </c>
      <c r="K12" s="37" t="str">
        <f>D12&amp;-2</f>
        <v>30-2</v>
      </c>
      <c r="L12" s="44">
        <f>L11</f>
        <v>0.11</v>
      </c>
      <c r="M12" s="53">
        <f>M11</f>
        <v>0</v>
      </c>
      <c r="N12" s="53">
        <f>N11</f>
        <v>150</v>
      </c>
      <c r="O12" s="44">
        <f>O11</f>
        <v>750</v>
      </c>
    </row>
    <row r="13" spans="1:15" ht="15.75" thickBot="1" x14ac:dyDescent="0.3">
      <c r="A13" s="229">
        <f t="shared" ref="A13:A76" si="4">A12+1</f>
        <v>3982</v>
      </c>
      <c r="B13" s="230">
        <f t="shared" ref="B13:B76" si="5">B12+1</f>
        <v>3</v>
      </c>
      <c r="C13" s="218" t="str">
        <f t="shared" si="3"/>
        <v>71aA30#352_000_03</v>
      </c>
      <c r="D13" s="43">
        <f t="shared" ref="D13:I17" si="6">D12</f>
        <v>30</v>
      </c>
      <c r="E13" s="61">
        <f t="shared" si="6"/>
        <v>3.3</v>
      </c>
      <c r="F13" s="44">
        <f t="shared" si="6"/>
        <v>11</v>
      </c>
      <c r="G13" s="44">
        <f t="shared" si="0"/>
        <v>8.8000000000000007</v>
      </c>
      <c r="H13" s="44">
        <f t="shared" si="1"/>
        <v>5.5</v>
      </c>
      <c r="I13" s="44">
        <f t="shared" si="6"/>
        <v>8</v>
      </c>
      <c r="J13" s="45">
        <f t="shared" si="2"/>
        <v>-8</v>
      </c>
      <c r="K13" s="37" t="str">
        <f>D13&amp;-3</f>
        <v>30-3</v>
      </c>
      <c r="L13" s="44">
        <f t="shared" ref="L13:O17" si="7">L12</f>
        <v>0.11</v>
      </c>
      <c r="M13" s="53">
        <f t="shared" si="7"/>
        <v>0</v>
      </c>
      <c r="N13" s="53">
        <f t="shared" si="7"/>
        <v>150</v>
      </c>
      <c r="O13" s="44">
        <f t="shared" si="7"/>
        <v>750</v>
      </c>
    </row>
    <row r="14" spans="1:15" ht="15.75" thickBot="1" x14ac:dyDescent="0.3">
      <c r="A14" s="229">
        <f t="shared" si="4"/>
        <v>3983</v>
      </c>
      <c r="B14" s="230">
        <f t="shared" si="5"/>
        <v>4</v>
      </c>
      <c r="C14" s="218" t="str">
        <f t="shared" si="3"/>
        <v>71aA30#352_000_04</v>
      </c>
      <c r="D14" s="43">
        <f t="shared" si="6"/>
        <v>30</v>
      </c>
      <c r="E14" s="61">
        <f t="shared" si="6"/>
        <v>3.3</v>
      </c>
      <c r="F14" s="44">
        <f t="shared" si="6"/>
        <v>11</v>
      </c>
      <c r="G14" s="44">
        <f t="shared" si="0"/>
        <v>8.8000000000000007</v>
      </c>
      <c r="H14" s="44">
        <f t="shared" si="1"/>
        <v>5.5</v>
      </c>
      <c r="I14" s="44">
        <f t="shared" si="6"/>
        <v>8</v>
      </c>
      <c r="J14" s="45">
        <f t="shared" si="2"/>
        <v>-8</v>
      </c>
      <c r="K14" s="37" t="str">
        <f>D14&amp;-4</f>
        <v>30-4</v>
      </c>
      <c r="L14" s="44">
        <f t="shared" si="7"/>
        <v>0.11</v>
      </c>
      <c r="M14" s="53">
        <f t="shared" si="7"/>
        <v>0</v>
      </c>
      <c r="N14" s="53">
        <f t="shared" si="7"/>
        <v>150</v>
      </c>
      <c r="O14" s="44">
        <f t="shared" si="7"/>
        <v>750</v>
      </c>
    </row>
    <row r="15" spans="1:15" ht="15.75" thickBot="1" x14ac:dyDescent="0.3">
      <c r="A15" s="229">
        <f t="shared" si="4"/>
        <v>3984</v>
      </c>
      <c r="B15" s="230">
        <f t="shared" si="5"/>
        <v>5</v>
      </c>
      <c r="C15" s="218" t="str">
        <f t="shared" si="3"/>
        <v>71aA30#352_000_05</v>
      </c>
      <c r="D15" s="43">
        <f t="shared" si="6"/>
        <v>30</v>
      </c>
      <c r="E15" s="61">
        <f t="shared" si="6"/>
        <v>3.3</v>
      </c>
      <c r="F15" s="44">
        <f t="shared" si="6"/>
        <v>11</v>
      </c>
      <c r="G15" s="44">
        <f t="shared" si="0"/>
        <v>8.8000000000000007</v>
      </c>
      <c r="H15" s="44">
        <f t="shared" si="1"/>
        <v>5.5</v>
      </c>
      <c r="I15" s="44">
        <f t="shared" si="6"/>
        <v>8</v>
      </c>
      <c r="J15" s="45">
        <f t="shared" si="2"/>
        <v>-8</v>
      </c>
      <c r="K15" s="37" t="str">
        <f>D15&amp;-5</f>
        <v>30-5</v>
      </c>
      <c r="L15" s="44">
        <f t="shared" si="7"/>
        <v>0.11</v>
      </c>
      <c r="M15" s="53">
        <f t="shared" si="7"/>
        <v>0</v>
      </c>
      <c r="N15" s="53">
        <f t="shared" si="7"/>
        <v>150</v>
      </c>
      <c r="O15" s="44">
        <f t="shared" si="7"/>
        <v>750</v>
      </c>
    </row>
    <row r="16" spans="1:15" ht="15.75" thickBot="1" x14ac:dyDescent="0.3">
      <c r="A16" s="229">
        <f t="shared" si="4"/>
        <v>3985</v>
      </c>
      <c r="B16" s="230">
        <f t="shared" si="5"/>
        <v>6</v>
      </c>
      <c r="C16" s="218" t="str">
        <f t="shared" si="3"/>
        <v>71aA30#352_000_06</v>
      </c>
      <c r="D16" s="43">
        <f t="shared" si="6"/>
        <v>30</v>
      </c>
      <c r="E16" s="61">
        <f t="shared" si="6"/>
        <v>3.3</v>
      </c>
      <c r="F16" s="44">
        <f t="shared" si="6"/>
        <v>11</v>
      </c>
      <c r="G16" s="44">
        <f t="shared" si="0"/>
        <v>8.8000000000000007</v>
      </c>
      <c r="H16" s="44">
        <f t="shared" si="1"/>
        <v>5.5</v>
      </c>
      <c r="I16" s="44">
        <f t="shared" si="6"/>
        <v>8</v>
      </c>
      <c r="J16" s="45">
        <f t="shared" si="2"/>
        <v>-8</v>
      </c>
      <c r="K16" s="37" t="str">
        <f>D16&amp;-6</f>
        <v>30-6</v>
      </c>
      <c r="L16" s="44">
        <f t="shared" si="7"/>
        <v>0.11</v>
      </c>
      <c r="M16" s="53">
        <f t="shared" si="7"/>
        <v>0</v>
      </c>
      <c r="N16" s="53">
        <f t="shared" si="7"/>
        <v>150</v>
      </c>
      <c r="O16" s="44">
        <f t="shared" si="7"/>
        <v>750</v>
      </c>
    </row>
    <row r="17" spans="1:15" ht="15.75" thickBot="1" x14ac:dyDescent="0.3">
      <c r="A17" s="229">
        <f t="shared" si="4"/>
        <v>3986</v>
      </c>
      <c r="B17" s="230">
        <f t="shared" si="5"/>
        <v>7</v>
      </c>
      <c r="C17" s="218" t="str">
        <f t="shared" si="3"/>
        <v>71aA30#000_000_01</v>
      </c>
      <c r="D17" s="43">
        <f t="shared" si="6"/>
        <v>30</v>
      </c>
      <c r="E17" s="61">
        <f t="shared" si="6"/>
        <v>3.3</v>
      </c>
      <c r="F17" s="44">
        <f t="shared" si="6"/>
        <v>11</v>
      </c>
      <c r="G17" s="44">
        <f t="shared" ref="G17" si="8">m_ty*F17</f>
        <v>8.8000000000000007</v>
      </c>
      <c r="H17" s="44">
        <f t="shared" ref="H17" si="9">m_tz*F17</f>
        <v>5.5</v>
      </c>
      <c r="I17" s="44">
        <f t="shared" si="6"/>
        <v>8</v>
      </c>
      <c r="J17" s="45">
        <f>yaw_null</f>
        <v>0</v>
      </c>
      <c r="K17" s="37" t="str">
        <f>D17&amp;-1</f>
        <v>30-1</v>
      </c>
      <c r="L17" s="44">
        <f t="shared" si="7"/>
        <v>0.11</v>
      </c>
      <c r="M17" s="53">
        <f t="shared" ref="M17" si="10">M16</f>
        <v>0</v>
      </c>
      <c r="N17" s="53">
        <f t="shared" si="7"/>
        <v>150</v>
      </c>
      <c r="O17" s="44">
        <f t="shared" si="7"/>
        <v>750</v>
      </c>
    </row>
    <row r="18" spans="1:15" ht="15.75" thickBot="1" x14ac:dyDescent="0.3">
      <c r="A18" s="229">
        <f t="shared" si="4"/>
        <v>3987</v>
      </c>
      <c r="B18" s="230">
        <f t="shared" si="5"/>
        <v>8</v>
      </c>
      <c r="C18" s="218" t="str">
        <f t="shared" si="3"/>
        <v>71aA30#000_000_02</v>
      </c>
      <c r="D18" s="43">
        <f>D17</f>
        <v>30</v>
      </c>
      <c r="E18" s="61">
        <f>E17</f>
        <v>3.3</v>
      </c>
      <c r="F18" s="44">
        <f>F17</f>
        <v>11</v>
      </c>
      <c r="G18" s="44">
        <f t="shared" ref="G18:G23" si="11">m_ty*F18</f>
        <v>8.8000000000000007</v>
      </c>
      <c r="H18" s="44">
        <f t="shared" ref="H18:H23" si="12">m_tz*F18</f>
        <v>5.5</v>
      </c>
      <c r="I18" s="44">
        <f>I17</f>
        <v>8</v>
      </c>
      <c r="J18" s="45">
        <f>J17</f>
        <v>0</v>
      </c>
      <c r="K18" s="37" t="str">
        <f>D18&amp;-2</f>
        <v>30-2</v>
      </c>
      <c r="L18" s="44">
        <f>L17</f>
        <v>0.11</v>
      </c>
      <c r="M18" s="53">
        <f t="shared" ref="M18" si="13">M17</f>
        <v>0</v>
      </c>
      <c r="N18" s="53">
        <f>N17</f>
        <v>150</v>
      </c>
      <c r="O18" s="44">
        <f>O17</f>
        <v>750</v>
      </c>
    </row>
    <row r="19" spans="1:15" ht="15.75" thickBot="1" x14ac:dyDescent="0.3">
      <c r="A19" s="229">
        <f t="shared" si="4"/>
        <v>3988</v>
      </c>
      <c r="B19" s="230">
        <f t="shared" si="5"/>
        <v>9</v>
      </c>
      <c r="C19" s="218" t="str">
        <f t="shared" si="3"/>
        <v>71aA30#000_000_03</v>
      </c>
      <c r="D19" s="43">
        <f t="shared" ref="D19:F19" si="14">D18</f>
        <v>30</v>
      </c>
      <c r="E19" s="61">
        <f t="shared" si="14"/>
        <v>3.3</v>
      </c>
      <c r="F19" s="44">
        <f t="shared" si="14"/>
        <v>11</v>
      </c>
      <c r="G19" s="44">
        <f t="shared" si="11"/>
        <v>8.8000000000000007</v>
      </c>
      <c r="H19" s="44">
        <f t="shared" si="12"/>
        <v>5.5</v>
      </c>
      <c r="I19" s="44">
        <f t="shared" ref="I19:J19" si="15">I18</f>
        <v>8</v>
      </c>
      <c r="J19" s="199">
        <f t="shared" si="15"/>
        <v>0</v>
      </c>
      <c r="K19" s="37" t="str">
        <f>D19&amp;-3</f>
        <v>30-3</v>
      </c>
      <c r="L19" s="44">
        <f t="shared" ref="L19:O19" si="16">L18</f>
        <v>0.11</v>
      </c>
      <c r="M19" s="53">
        <f t="shared" si="16"/>
        <v>0</v>
      </c>
      <c r="N19" s="53">
        <f t="shared" si="16"/>
        <v>150</v>
      </c>
      <c r="O19" s="44">
        <f t="shared" si="16"/>
        <v>750</v>
      </c>
    </row>
    <row r="20" spans="1:15" ht="15.75" thickBot="1" x14ac:dyDescent="0.3">
      <c r="A20" s="229">
        <f t="shared" si="4"/>
        <v>3989</v>
      </c>
      <c r="B20" s="230">
        <f t="shared" si="5"/>
        <v>10</v>
      </c>
      <c r="C20" s="218" t="str">
        <f t="shared" si="3"/>
        <v>71aA30#000_000_04</v>
      </c>
      <c r="D20" s="43">
        <f t="shared" ref="D20:F20" si="17">D19</f>
        <v>30</v>
      </c>
      <c r="E20" s="61">
        <f t="shared" si="17"/>
        <v>3.3</v>
      </c>
      <c r="F20" s="44">
        <f t="shared" si="17"/>
        <v>11</v>
      </c>
      <c r="G20" s="44">
        <f t="shared" si="11"/>
        <v>8.8000000000000007</v>
      </c>
      <c r="H20" s="44">
        <f t="shared" si="12"/>
        <v>5.5</v>
      </c>
      <c r="I20" s="44">
        <f t="shared" ref="I20:J20" si="18">I19</f>
        <v>8</v>
      </c>
      <c r="J20" s="199">
        <f t="shared" si="18"/>
        <v>0</v>
      </c>
      <c r="K20" s="37" t="str">
        <f>D20&amp;-4</f>
        <v>30-4</v>
      </c>
      <c r="L20" s="44">
        <f t="shared" ref="L20:O20" si="19">L19</f>
        <v>0.11</v>
      </c>
      <c r="M20" s="53">
        <f t="shared" si="19"/>
        <v>0</v>
      </c>
      <c r="N20" s="53">
        <f t="shared" si="19"/>
        <v>150</v>
      </c>
      <c r="O20" s="44">
        <f t="shared" si="19"/>
        <v>750</v>
      </c>
    </row>
    <row r="21" spans="1:15" ht="15.75" thickBot="1" x14ac:dyDescent="0.3">
      <c r="A21" s="229">
        <f t="shared" si="4"/>
        <v>3990</v>
      </c>
      <c r="B21" s="230">
        <f t="shared" si="5"/>
        <v>11</v>
      </c>
      <c r="C21" s="218" t="str">
        <f t="shared" si="3"/>
        <v>71aA30#000_000_05</v>
      </c>
      <c r="D21" s="43">
        <f t="shared" ref="D21:F21" si="20">D20</f>
        <v>30</v>
      </c>
      <c r="E21" s="61">
        <f t="shared" si="20"/>
        <v>3.3</v>
      </c>
      <c r="F21" s="44">
        <f t="shared" si="20"/>
        <v>11</v>
      </c>
      <c r="G21" s="44">
        <f t="shared" si="11"/>
        <v>8.8000000000000007</v>
      </c>
      <c r="H21" s="44">
        <f t="shared" si="12"/>
        <v>5.5</v>
      </c>
      <c r="I21" s="44">
        <f t="shared" ref="I21:J21" si="21">I20</f>
        <v>8</v>
      </c>
      <c r="J21" s="199">
        <f t="shared" si="21"/>
        <v>0</v>
      </c>
      <c r="K21" s="37" t="str">
        <f>D21&amp;-5</f>
        <v>30-5</v>
      </c>
      <c r="L21" s="44">
        <f t="shared" ref="L21:O21" si="22">L20</f>
        <v>0.11</v>
      </c>
      <c r="M21" s="53">
        <f t="shared" si="22"/>
        <v>0</v>
      </c>
      <c r="N21" s="53">
        <f t="shared" si="22"/>
        <v>150</v>
      </c>
      <c r="O21" s="44">
        <f t="shared" si="22"/>
        <v>750</v>
      </c>
    </row>
    <row r="22" spans="1:15" ht="15.75" thickBot="1" x14ac:dyDescent="0.3">
      <c r="A22" s="229">
        <f t="shared" si="4"/>
        <v>3991</v>
      </c>
      <c r="B22" s="230">
        <f t="shared" si="5"/>
        <v>12</v>
      </c>
      <c r="C22" s="218" t="str">
        <f t="shared" si="3"/>
        <v>71aA30#000_000_06</v>
      </c>
      <c r="D22" s="43">
        <f t="shared" ref="D22:F22" si="23">D21</f>
        <v>30</v>
      </c>
      <c r="E22" s="61">
        <f t="shared" si="23"/>
        <v>3.3</v>
      </c>
      <c r="F22" s="44">
        <f t="shared" si="23"/>
        <v>11</v>
      </c>
      <c r="G22" s="44">
        <f t="shared" si="11"/>
        <v>8.8000000000000007</v>
      </c>
      <c r="H22" s="44">
        <f t="shared" si="12"/>
        <v>5.5</v>
      </c>
      <c r="I22" s="44">
        <f t="shared" ref="I22:J22" si="24">I21</f>
        <v>8</v>
      </c>
      <c r="J22" s="199">
        <f t="shared" si="24"/>
        <v>0</v>
      </c>
      <c r="K22" s="37" t="str">
        <f>D22&amp;-6</f>
        <v>30-6</v>
      </c>
      <c r="L22" s="44">
        <f t="shared" ref="L22:O22" si="25">L21</f>
        <v>0.11</v>
      </c>
      <c r="M22" s="53">
        <f t="shared" si="25"/>
        <v>0</v>
      </c>
      <c r="N22" s="53">
        <f t="shared" si="25"/>
        <v>150</v>
      </c>
      <c r="O22" s="44">
        <f t="shared" si="25"/>
        <v>750</v>
      </c>
    </row>
    <row r="23" spans="1:15" ht="15.75" thickBot="1" x14ac:dyDescent="0.3">
      <c r="A23" s="229">
        <f t="shared" si="4"/>
        <v>3992</v>
      </c>
      <c r="B23" s="230">
        <f t="shared" si="5"/>
        <v>13</v>
      </c>
      <c r="C23" s="218" t="str">
        <f t="shared" si="3"/>
        <v>71aA30#008_000_01</v>
      </c>
      <c r="D23" s="43">
        <f t="shared" ref="D23:F23" si="26">D22</f>
        <v>30</v>
      </c>
      <c r="E23" s="61">
        <f t="shared" si="26"/>
        <v>3.3</v>
      </c>
      <c r="F23" s="44">
        <f t="shared" si="26"/>
        <v>11</v>
      </c>
      <c r="G23" s="44">
        <f t="shared" si="11"/>
        <v>8.8000000000000007</v>
      </c>
      <c r="H23" s="44">
        <f t="shared" si="12"/>
        <v>5.5</v>
      </c>
      <c r="I23" s="44">
        <f t="shared" ref="I23" si="27">I22</f>
        <v>8</v>
      </c>
      <c r="J23" s="45">
        <f>yaw_max</f>
        <v>8</v>
      </c>
      <c r="K23" s="37" t="str">
        <f>D23&amp;-1</f>
        <v>30-1</v>
      </c>
      <c r="L23" s="44">
        <f t="shared" ref="L23:M23" si="28">L22</f>
        <v>0.11</v>
      </c>
      <c r="M23" s="53">
        <f t="shared" si="28"/>
        <v>0</v>
      </c>
      <c r="N23" s="53">
        <f t="shared" ref="N23:O23" si="29">N22</f>
        <v>150</v>
      </c>
      <c r="O23" s="44">
        <f t="shared" si="29"/>
        <v>750</v>
      </c>
    </row>
    <row r="24" spans="1:15" ht="15.75" thickBot="1" x14ac:dyDescent="0.3">
      <c r="A24" s="229">
        <f t="shared" si="4"/>
        <v>3993</v>
      </c>
      <c r="B24" s="230">
        <f t="shared" si="5"/>
        <v>14</v>
      </c>
      <c r="C24" s="218" t="str">
        <f t="shared" si="3"/>
        <v>71aA30#008_000_02</v>
      </c>
      <c r="D24" s="43">
        <f>D23</f>
        <v>30</v>
      </c>
      <c r="E24" s="61">
        <f>E23</f>
        <v>3.3</v>
      </c>
      <c r="F24" s="44">
        <f>F23</f>
        <v>11</v>
      </c>
      <c r="G24" s="44">
        <f t="shared" ref="G24:G29" si="30">m_ty*F24</f>
        <v>8.8000000000000007</v>
      </c>
      <c r="H24" s="44">
        <f t="shared" ref="H24:H29" si="31">m_tz*F24</f>
        <v>5.5</v>
      </c>
      <c r="I24" s="44">
        <f>I23</f>
        <v>8</v>
      </c>
      <c r="J24" s="45">
        <f>J23</f>
        <v>8</v>
      </c>
      <c r="K24" s="37" t="str">
        <f>D24&amp;-2</f>
        <v>30-2</v>
      </c>
      <c r="L24" s="44">
        <f>L23</f>
        <v>0.11</v>
      </c>
      <c r="M24" s="53">
        <f t="shared" ref="M24" si="32">M23</f>
        <v>0</v>
      </c>
      <c r="N24" s="53">
        <f>N23</f>
        <v>150</v>
      </c>
      <c r="O24" s="44">
        <f>O23</f>
        <v>750</v>
      </c>
    </row>
    <row r="25" spans="1:15" ht="15.75" thickBot="1" x14ac:dyDescent="0.3">
      <c r="A25" s="229">
        <f t="shared" si="4"/>
        <v>3994</v>
      </c>
      <c r="B25" s="230">
        <f t="shared" si="5"/>
        <v>15</v>
      </c>
      <c r="C25" s="218" t="str">
        <f t="shared" si="3"/>
        <v>71aA30#008_000_03</v>
      </c>
      <c r="D25" s="43">
        <f t="shared" ref="D25:F25" si="33">D24</f>
        <v>30</v>
      </c>
      <c r="E25" s="61">
        <f t="shared" si="33"/>
        <v>3.3</v>
      </c>
      <c r="F25" s="44">
        <f t="shared" si="33"/>
        <v>11</v>
      </c>
      <c r="G25" s="44">
        <f t="shared" si="30"/>
        <v>8.8000000000000007</v>
      </c>
      <c r="H25" s="44">
        <f t="shared" si="31"/>
        <v>5.5</v>
      </c>
      <c r="I25" s="44">
        <f t="shared" ref="I25:J25" si="34">I24</f>
        <v>8</v>
      </c>
      <c r="J25" s="199">
        <f t="shared" si="34"/>
        <v>8</v>
      </c>
      <c r="K25" s="37" t="str">
        <f>D25&amp;-3</f>
        <v>30-3</v>
      </c>
      <c r="L25" s="44">
        <f t="shared" ref="L25:O25" si="35">L24</f>
        <v>0.11</v>
      </c>
      <c r="M25" s="53">
        <f t="shared" si="35"/>
        <v>0</v>
      </c>
      <c r="N25" s="53">
        <f t="shared" si="35"/>
        <v>150</v>
      </c>
      <c r="O25" s="44">
        <f t="shared" si="35"/>
        <v>750</v>
      </c>
    </row>
    <row r="26" spans="1:15" ht="15.75" thickBot="1" x14ac:dyDescent="0.3">
      <c r="A26" s="229">
        <f t="shared" si="4"/>
        <v>3995</v>
      </c>
      <c r="B26" s="230">
        <f t="shared" si="5"/>
        <v>16</v>
      </c>
      <c r="C26" s="218" t="str">
        <f t="shared" si="3"/>
        <v>71aA30#008_000_04</v>
      </c>
      <c r="D26" s="43">
        <f t="shared" ref="D26:F26" si="36">D25</f>
        <v>30</v>
      </c>
      <c r="E26" s="61">
        <f t="shared" si="36"/>
        <v>3.3</v>
      </c>
      <c r="F26" s="44">
        <f t="shared" si="36"/>
        <v>11</v>
      </c>
      <c r="G26" s="44">
        <f t="shared" si="30"/>
        <v>8.8000000000000007</v>
      </c>
      <c r="H26" s="44">
        <f t="shared" si="31"/>
        <v>5.5</v>
      </c>
      <c r="I26" s="44">
        <f t="shared" ref="I26:J26" si="37">I25</f>
        <v>8</v>
      </c>
      <c r="J26" s="199">
        <f t="shared" si="37"/>
        <v>8</v>
      </c>
      <c r="K26" s="37" t="str">
        <f>D26&amp;-4</f>
        <v>30-4</v>
      </c>
      <c r="L26" s="44">
        <f t="shared" ref="L26:O26" si="38">L25</f>
        <v>0.11</v>
      </c>
      <c r="M26" s="53">
        <f t="shared" si="38"/>
        <v>0</v>
      </c>
      <c r="N26" s="53">
        <f t="shared" si="38"/>
        <v>150</v>
      </c>
      <c r="O26" s="44">
        <f t="shared" si="38"/>
        <v>750</v>
      </c>
    </row>
    <row r="27" spans="1:15" ht="15.75" thickBot="1" x14ac:dyDescent="0.3">
      <c r="A27" s="229">
        <f t="shared" si="4"/>
        <v>3996</v>
      </c>
      <c r="B27" s="230">
        <f t="shared" si="5"/>
        <v>17</v>
      </c>
      <c r="C27" s="218" t="str">
        <f t="shared" si="3"/>
        <v>71aA30#008_000_05</v>
      </c>
      <c r="D27" s="43">
        <f t="shared" ref="D27:F27" si="39">D26</f>
        <v>30</v>
      </c>
      <c r="E27" s="61">
        <f t="shared" si="39"/>
        <v>3.3</v>
      </c>
      <c r="F27" s="44">
        <f t="shared" si="39"/>
        <v>11</v>
      </c>
      <c r="G27" s="44">
        <f t="shared" si="30"/>
        <v>8.8000000000000007</v>
      </c>
      <c r="H27" s="44">
        <f t="shared" si="31"/>
        <v>5.5</v>
      </c>
      <c r="I27" s="44">
        <f t="shared" ref="I27:J27" si="40">I26</f>
        <v>8</v>
      </c>
      <c r="J27" s="199">
        <f t="shared" si="40"/>
        <v>8</v>
      </c>
      <c r="K27" s="37" t="str">
        <f>D27&amp;-5</f>
        <v>30-5</v>
      </c>
      <c r="L27" s="44">
        <f t="shared" ref="L27:O27" si="41">L26</f>
        <v>0.11</v>
      </c>
      <c r="M27" s="53">
        <f t="shared" si="41"/>
        <v>0</v>
      </c>
      <c r="N27" s="53">
        <f t="shared" si="41"/>
        <v>150</v>
      </c>
      <c r="O27" s="44">
        <f t="shared" si="41"/>
        <v>750</v>
      </c>
    </row>
    <row r="28" spans="1:15" ht="15.75" thickBot="1" x14ac:dyDescent="0.3">
      <c r="A28" s="229">
        <f t="shared" si="4"/>
        <v>3997</v>
      </c>
      <c r="B28" s="230">
        <f t="shared" si="5"/>
        <v>18</v>
      </c>
      <c r="C28" s="218" t="str">
        <f t="shared" si="3"/>
        <v>71aA30#008_000_06</v>
      </c>
      <c r="D28" s="43">
        <f t="shared" ref="D28:F28" si="42">D27</f>
        <v>30</v>
      </c>
      <c r="E28" s="61">
        <f t="shared" si="42"/>
        <v>3.3</v>
      </c>
      <c r="F28" s="44">
        <f t="shared" si="42"/>
        <v>11</v>
      </c>
      <c r="G28" s="44">
        <f t="shared" si="30"/>
        <v>8.8000000000000007</v>
      </c>
      <c r="H28" s="44">
        <f t="shared" si="31"/>
        <v>5.5</v>
      </c>
      <c r="I28" s="44">
        <f t="shared" ref="I28:J28" si="43">I27</f>
        <v>8</v>
      </c>
      <c r="J28" s="199">
        <f t="shared" si="43"/>
        <v>8</v>
      </c>
      <c r="K28" s="37" t="str">
        <f>D28&amp;-6</f>
        <v>30-6</v>
      </c>
      <c r="L28" s="44">
        <f t="shared" ref="L28:O28" si="44">L27</f>
        <v>0.11</v>
      </c>
      <c r="M28" s="53">
        <f t="shared" si="44"/>
        <v>0</v>
      </c>
      <c r="N28" s="53">
        <f t="shared" si="44"/>
        <v>150</v>
      </c>
      <c r="O28" s="44">
        <f t="shared" si="44"/>
        <v>750</v>
      </c>
    </row>
    <row r="29" spans="1:15" ht="15.75" thickBot="1" x14ac:dyDescent="0.3">
      <c r="A29" s="229">
        <f t="shared" si="4"/>
        <v>3998</v>
      </c>
      <c r="B29" s="230">
        <f t="shared" si="5"/>
        <v>19</v>
      </c>
      <c r="C29" s="218" t="str">
        <f t="shared" si="3"/>
        <v>71aB30#352_000_01</v>
      </c>
      <c r="D29" s="43">
        <f t="shared" ref="D29:F29" si="45">D28</f>
        <v>30</v>
      </c>
      <c r="E29" s="61">
        <f t="shared" si="45"/>
        <v>3.3</v>
      </c>
      <c r="F29" s="44">
        <f t="shared" si="45"/>
        <v>11</v>
      </c>
      <c r="G29" s="44">
        <f t="shared" si="30"/>
        <v>8.8000000000000007</v>
      </c>
      <c r="H29" s="44">
        <f t="shared" si="31"/>
        <v>5.5</v>
      </c>
      <c r="I29" s="44">
        <f t="shared" ref="I29" si="46">I28</f>
        <v>8</v>
      </c>
      <c r="J29" s="199">
        <f t="shared" si="2"/>
        <v>-8</v>
      </c>
      <c r="K29" s="37" t="str">
        <f>D29&amp;-1</f>
        <v>30-1</v>
      </c>
      <c r="L29" s="44">
        <f t="shared" ref="L29" si="47">L28</f>
        <v>0.11</v>
      </c>
      <c r="M29" s="53">
        <f>M11+15</f>
        <v>15</v>
      </c>
      <c r="N29" s="53">
        <f t="shared" ref="N29:O29" si="48">N28</f>
        <v>150</v>
      </c>
      <c r="O29" s="44">
        <f t="shared" si="48"/>
        <v>750</v>
      </c>
    </row>
    <row r="30" spans="1:15" ht="15.75" thickBot="1" x14ac:dyDescent="0.3">
      <c r="A30" s="229">
        <f t="shared" si="4"/>
        <v>3999</v>
      </c>
      <c r="B30" s="230">
        <f t="shared" si="5"/>
        <v>20</v>
      </c>
      <c r="C30" s="218" t="str">
        <f t="shared" si="3"/>
        <v>71aB30#352_000_02</v>
      </c>
      <c r="D30" s="43">
        <f>D29</f>
        <v>30</v>
      </c>
      <c r="E30" s="61">
        <f>E29</f>
        <v>3.3</v>
      </c>
      <c r="F30" s="44">
        <f>F29</f>
        <v>11</v>
      </c>
      <c r="G30" s="44">
        <f t="shared" ref="G30:G35" si="49">m_ty*F30</f>
        <v>8.8000000000000007</v>
      </c>
      <c r="H30" s="44">
        <f t="shared" ref="H30:H35" si="50">m_tz*F30</f>
        <v>5.5</v>
      </c>
      <c r="I30" s="44">
        <f>I29</f>
        <v>8</v>
      </c>
      <c r="J30" s="199">
        <f t="shared" si="2"/>
        <v>-8</v>
      </c>
      <c r="K30" s="37" t="str">
        <f>D30&amp;-2</f>
        <v>30-2</v>
      </c>
      <c r="L30" s="44">
        <f>L29</f>
        <v>0.11</v>
      </c>
      <c r="M30" s="53">
        <f t="shared" ref="M30:M93" si="51">M12+15</f>
        <v>15</v>
      </c>
      <c r="N30" s="53">
        <f>N29</f>
        <v>150</v>
      </c>
      <c r="O30" s="44">
        <f>O29</f>
        <v>750</v>
      </c>
    </row>
    <row r="31" spans="1:15" ht="15.75" thickBot="1" x14ac:dyDescent="0.3">
      <c r="A31" s="229">
        <f t="shared" si="4"/>
        <v>4000</v>
      </c>
      <c r="B31" s="230">
        <f t="shared" si="5"/>
        <v>21</v>
      </c>
      <c r="C31" s="218" t="str">
        <f t="shared" si="3"/>
        <v>71aB30#352_000_03</v>
      </c>
      <c r="D31" s="43">
        <f t="shared" ref="D31:F31" si="52">D30</f>
        <v>30</v>
      </c>
      <c r="E31" s="61">
        <f t="shared" si="52"/>
        <v>3.3</v>
      </c>
      <c r="F31" s="44">
        <f t="shared" si="52"/>
        <v>11</v>
      </c>
      <c r="G31" s="44">
        <f t="shared" si="49"/>
        <v>8.8000000000000007</v>
      </c>
      <c r="H31" s="44">
        <f t="shared" si="50"/>
        <v>5.5</v>
      </c>
      <c r="I31" s="44">
        <f t="shared" ref="I31" si="53">I30</f>
        <v>8</v>
      </c>
      <c r="J31" s="199">
        <f t="shared" si="2"/>
        <v>-8</v>
      </c>
      <c r="K31" s="37" t="str">
        <f>D31&amp;-3</f>
        <v>30-3</v>
      </c>
      <c r="L31" s="44">
        <f t="shared" ref="L31:O31" si="54">L30</f>
        <v>0.11</v>
      </c>
      <c r="M31" s="53">
        <f t="shared" si="51"/>
        <v>15</v>
      </c>
      <c r="N31" s="53">
        <f t="shared" si="54"/>
        <v>150</v>
      </c>
      <c r="O31" s="44">
        <f t="shared" si="54"/>
        <v>750</v>
      </c>
    </row>
    <row r="32" spans="1:15" ht="15.75" thickBot="1" x14ac:dyDescent="0.3">
      <c r="A32" s="229">
        <f t="shared" si="4"/>
        <v>4001</v>
      </c>
      <c r="B32" s="230">
        <f t="shared" si="5"/>
        <v>22</v>
      </c>
      <c r="C32" s="218" t="str">
        <f t="shared" si="3"/>
        <v>71aB30#352_000_04</v>
      </c>
      <c r="D32" s="43">
        <f t="shared" ref="D32:F32" si="55">D31</f>
        <v>30</v>
      </c>
      <c r="E32" s="61">
        <f t="shared" si="55"/>
        <v>3.3</v>
      </c>
      <c r="F32" s="44">
        <f t="shared" si="55"/>
        <v>11</v>
      </c>
      <c r="G32" s="44">
        <f t="shared" si="49"/>
        <v>8.8000000000000007</v>
      </c>
      <c r="H32" s="44">
        <f t="shared" si="50"/>
        <v>5.5</v>
      </c>
      <c r="I32" s="44">
        <f t="shared" ref="I32" si="56">I31</f>
        <v>8</v>
      </c>
      <c r="J32" s="199">
        <f t="shared" si="2"/>
        <v>-8</v>
      </c>
      <c r="K32" s="37" t="str">
        <f>D32&amp;-4</f>
        <v>30-4</v>
      </c>
      <c r="L32" s="44">
        <f t="shared" ref="L32:O32" si="57">L31</f>
        <v>0.11</v>
      </c>
      <c r="M32" s="53">
        <f t="shared" si="51"/>
        <v>15</v>
      </c>
      <c r="N32" s="53">
        <f t="shared" si="57"/>
        <v>150</v>
      </c>
      <c r="O32" s="44">
        <f t="shared" si="57"/>
        <v>750</v>
      </c>
    </row>
    <row r="33" spans="1:15" ht="15.75" thickBot="1" x14ac:dyDescent="0.3">
      <c r="A33" s="229">
        <f t="shared" si="4"/>
        <v>4002</v>
      </c>
      <c r="B33" s="230">
        <f t="shared" si="5"/>
        <v>23</v>
      </c>
      <c r="C33" s="218" t="str">
        <f t="shared" si="3"/>
        <v>71aB30#352_000_05</v>
      </c>
      <c r="D33" s="43">
        <f t="shared" ref="D33:F33" si="58">D32</f>
        <v>30</v>
      </c>
      <c r="E33" s="61">
        <f t="shared" si="58"/>
        <v>3.3</v>
      </c>
      <c r="F33" s="44">
        <f t="shared" si="58"/>
        <v>11</v>
      </c>
      <c r="G33" s="44">
        <f t="shared" si="49"/>
        <v>8.8000000000000007</v>
      </c>
      <c r="H33" s="44">
        <f t="shared" si="50"/>
        <v>5.5</v>
      </c>
      <c r="I33" s="44">
        <f t="shared" ref="I33" si="59">I32</f>
        <v>8</v>
      </c>
      <c r="J33" s="199">
        <f t="shared" si="2"/>
        <v>-8</v>
      </c>
      <c r="K33" s="37" t="str">
        <f>D33&amp;-5</f>
        <v>30-5</v>
      </c>
      <c r="L33" s="44">
        <f t="shared" ref="L33:O33" si="60">L32</f>
        <v>0.11</v>
      </c>
      <c r="M33" s="53">
        <f t="shared" si="51"/>
        <v>15</v>
      </c>
      <c r="N33" s="53">
        <f t="shared" si="60"/>
        <v>150</v>
      </c>
      <c r="O33" s="44">
        <f t="shared" si="60"/>
        <v>750</v>
      </c>
    </row>
    <row r="34" spans="1:15" ht="15.75" thickBot="1" x14ac:dyDescent="0.3">
      <c r="A34" s="229">
        <f t="shared" si="4"/>
        <v>4003</v>
      </c>
      <c r="B34" s="230">
        <f t="shared" si="5"/>
        <v>24</v>
      </c>
      <c r="C34" s="218" t="str">
        <f t="shared" si="3"/>
        <v>71aB30#352_000_06</v>
      </c>
      <c r="D34" s="43">
        <f t="shared" ref="D34:F34" si="61">D33</f>
        <v>30</v>
      </c>
      <c r="E34" s="61">
        <f t="shared" si="61"/>
        <v>3.3</v>
      </c>
      <c r="F34" s="44">
        <f t="shared" si="61"/>
        <v>11</v>
      </c>
      <c r="G34" s="44">
        <f t="shared" si="49"/>
        <v>8.8000000000000007</v>
      </c>
      <c r="H34" s="44">
        <f t="shared" si="50"/>
        <v>5.5</v>
      </c>
      <c r="I34" s="44">
        <f t="shared" ref="I34" si="62">I33</f>
        <v>8</v>
      </c>
      <c r="J34" s="199">
        <f t="shared" si="2"/>
        <v>-8</v>
      </c>
      <c r="K34" s="37" t="str">
        <f>D34&amp;-6</f>
        <v>30-6</v>
      </c>
      <c r="L34" s="44">
        <f t="shared" ref="L34:O34" si="63">L33</f>
        <v>0.11</v>
      </c>
      <c r="M34" s="53">
        <f t="shared" si="51"/>
        <v>15</v>
      </c>
      <c r="N34" s="53">
        <f t="shared" si="63"/>
        <v>150</v>
      </c>
      <c r="O34" s="44">
        <f t="shared" si="63"/>
        <v>750</v>
      </c>
    </row>
    <row r="35" spans="1:15" ht="15.75" thickBot="1" x14ac:dyDescent="0.3">
      <c r="A35" s="229">
        <f t="shared" si="4"/>
        <v>4004</v>
      </c>
      <c r="B35" s="230">
        <f t="shared" si="5"/>
        <v>25</v>
      </c>
      <c r="C35" s="218" t="str">
        <f t="shared" si="3"/>
        <v>71aB30#000_000_01</v>
      </c>
      <c r="D35" s="43">
        <f t="shared" ref="D35:F35" si="64">D34</f>
        <v>30</v>
      </c>
      <c r="E35" s="61">
        <f t="shared" si="64"/>
        <v>3.3</v>
      </c>
      <c r="F35" s="44">
        <f t="shared" si="64"/>
        <v>11</v>
      </c>
      <c r="G35" s="44">
        <f t="shared" si="49"/>
        <v>8.8000000000000007</v>
      </c>
      <c r="H35" s="44">
        <f t="shared" si="50"/>
        <v>5.5</v>
      </c>
      <c r="I35" s="44">
        <f t="shared" ref="I35" si="65">I34</f>
        <v>8</v>
      </c>
      <c r="J35" s="199">
        <f>yaw_null</f>
        <v>0</v>
      </c>
      <c r="K35" s="37" t="str">
        <f>D35&amp;-1</f>
        <v>30-1</v>
      </c>
      <c r="L35" s="44">
        <f t="shared" ref="L35" si="66">L34</f>
        <v>0.11</v>
      </c>
      <c r="M35" s="53">
        <f t="shared" si="51"/>
        <v>15</v>
      </c>
      <c r="N35" s="53">
        <f t="shared" ref="N35:O35" si="67">N34</f>
        <v>150</v>
      </c>
      <c r="O35" s="44">
        <f t="shared" si="67"/>
        <v>750</v>
      </c>
    </row>
    <row r="36" spans="1:15" ht="15.75" thickBot="1" x14ac:dyDescent="0.3">
      <c r="A36" s="229">
        <f t="shared" si="4"/>
        <v>4005</v>
      </c>
      <c r="B36" s="230">
        <f t="shared" si="5"/>
        <v>26</v>
      </c>
      <c r="C36" s="218" t="str">
        <f t="shared" si="3"/>
        <v>71aB30#000_000_02</v>
      </c>
      <c r="D36" s="43">
        <f>D35</f>
        <v>30</v>
      </c>
      <c r="E36" s="61">
        <f>E35</f>
        <v>3.3</v>
      </c>
      <c r="F36" s="44">
        <f>F35</f>
        <v>11</v>
      </c>
      <c r="G36" s="44">
        <f t="shared" ref="G36:G41" si="68">m_ty*F36</f>
        <v>8.8000000000000007</v>
      </c>
      <c r="H36" s="44">
        <f t="shared" ref="H36:H41" si="69">m_tz*F36</f>
        <v>5.5</v>
      </c>
      <c r="I36" s="44">
        <f>I35</f>
        <v>8</v>
      </c>
      <c r="J36" s="199">
        <f>J35</f>
        <v>0</v>
      </c>
      <c r="K36" s="37" t="str">
        <f>D36&amp;-2</f>
        <v>30-2</v>
      </c>
      <c r="L36" s="44">
        <f>L35</f>
        <v>0.11</v>
      </c>
      <c r="M36" s="53">
        <f t="shared" si="51"/>
        <v>15</v>
      </c>
      <c r="N36" s="53">
        <f>N35</f>
        <v>150</v>
      </c>
      <c r="O36" s="44">
        <f>O35</f>
        <v>750</v>
      </c>
    </row>
    <row r="37" spans="1:15" ht="15.75" thickBot="1" x14ac:dyDescent="0.3">
      <c r="A37" s="229">
        <f t="shared" si="4"/>
        <v>4006</v>
      </c>
      <c r="B37" s="230">
        <f t="shared" si="5"/>
        <v>27</v>
      </c>
      <c r="C37" s="218" t="str">
        <f t="shared" si="3"/>
        <v>71aB30#000_000_03</v>
      </c>
      <c r="D37" s="43">
        <f t="shared" ref="D37:F37" si="70">D36</f>
        <v>30</v>
      </c>
      <c r="E37" s="61">
        <f t="shared" si="70"/>
        <v>3.3</v>
      </c>
      <c r="F37" s="44">
        <f t="shared" si="70"/>
        <v>11</v>
      </c>
      <c r="G37" s="44">
        <f t="shared" si="68"/>
        <v>8.8000000000000007</v>
      </c>
      <c r="H37" s="44">
        <f t="shared" si="69"/>
        <v>5.5</v>
      </c>
      <c r="I37" s="44">
        <f t="shared" ref="I37:J37" si="71">I36</f>
        <v>8</v>
      </c>
      <c r="J37" s="199">
        <f t="shared" si="71"/>
        <v>0</v>
      </c>
      <c r="K37" s="37" t="str">
        <f>D37&amp;-3</f>
        <v>30-3</v>
      </c>
      <c r="L37" s="44">
        <f t="shared" ref="L37:O37" si="72">L36</f>
        <v>0.11</v>
      </c>
      <c r="M37" s="53">
        <f t="shared" si="51"/>
        <v>15</v>
      </c>
      <c r="N37" s="53">
        <f t="shared" si="72"/>
        <v>150</v>
      </c>
      <c r="O37" s="44">
        <f t="shared" si="72"/>
        <v>750</v>
      </c>
    </row>
    <row r="38" spans="1:15" ht="15.75" thickBot="1" x14ac:dyDescent="0.3">
      <c r="A38" s="229">
        <f t="shared" si="4"/>
        <v>4007</v>
      </c>
      <c r="B38" s="230">
        <f t="shared" si="5"/>
        <v>28</v>
      </c>
      <c r="C38" s="218" t="str">
        <f t="shared" si="3"/>
        <v>71aB30#000_000_04</v>
      </c>
      <c r="D38" s="43">
        <f t="shared" ref="D38:F38" si="73">D37</f>
        <v>30</v>
      </c>
      <c r="E38" s="61">
        <f t="shared" si="73"/>
        <v>3.3</v>
      </c>
      <c r="F38" s="44">
        <f t="shared" si="73"/>
        <v>11</v>
      </c>
      <c r="G38" s="44">
        <f t="shared" si="68"/>
        <v>8.8000000000000007</v>
      </c>
      <c r="H38" s="44">
        <f t="shared" si="69"/>
        <v>5.5</v>
      </c>
      <c r="I38" s="44">
        <f t="shared" ref="I38:J38" si="74">I37</f>
        <v>8</v>
      </c>
      <c r="J38" s="199">
        <f t="shared" si="74"/>
        <v>0</v>
      </c>
      <c r="K38" s="37" t="str">
        <f>D38&amp;-4</f>
        <v>30-4</v>
      </c>
      <c r="L38" s="44">
        <f t="shared" ref="L38:O38" si="75">L37</f>
        <v>0.11</v>
      </c>
      <c r="M38" s="53">
        <f t="shared" si="51"/>
        <v>15</v>
      </c>
      <c r="N38" s="53">
        <f t="shared" si="75"/>
        <v>150</v>
      </c>
      <c r="O38" s="44">
        <f t="shared" si="75"/>
        <v>750</v>
      </c>
    </row>
    <row r="39" spans="1:15" ht="15.75" thickBot="1" x14ac:dyDescent="0.3">
      <c r="A39" s="229">
        <f t="shared" si="4"/>
        <v>4008</v>
      </c>
      <c r="B39" s="230">
        <f t="shared" si="5"/>
        <v>29</v>
      </c>
      <c r="C39" s="218" t="str">
        <f t="shared" si="3"/>
        <v>71aB30#000_000_05</v>
      </c>
      <c r="D39" s="43">
        <f t="shared" ref="D39:F39" si="76">D38</f>
        <v>30</v>
      </c>
      <c r="E39" s="61">
        <f t="shared" si="76"/>
        <v>3.3</v>
      </c>
      <c r="F39" s="44">
        <f t="shared" si="76"/>
        <v>11</v>
      </c>
      <c r="G39" s="44">
        <f t="shared" si="68"/>
        <v>8.8000000000000007</v>
      </c>
      <c r="H39" s="44">
        <f t="shared" si="69"/>
        <v>5.5</v>
      </c>
      <c r="I39" s="44">
        <f t="shared" ref="I39:J39" si="77">I38</f>
        <v>8</v>
      </c>
      <c r="J39" s="199">
        <f t="shared" si="77"/>
        <v>0</v>
      </c>
      <c r="K39" s="37" t="str">
        <f>D39&amp;-5</f>
        <v>30-5</v>
      </c>
      <c r="L39" s="44">
        <f t="shared" ref="L39:O39" si="78">L38</f>
        <v>0.11</v>
      </c>
      <c r="M39" s="53">
        <f t="shared" si="51"/>
        <v>15</v>
      </c>
      <c r="N39" s="53">
        <f t="shared" si="78"/>
        <v>150</v>
      </c>
      <c r="O39" s="44">
        <f t="shared" si="78"/>
        <v>750</v>
      </c>
    </row>
    <row r="40" spans="1:15" ht="15.75" thickBot="1" x14ac:dyDescent="0.3">
      <c r="A40" s="229">
        <f t="shared" si="4"/>
        <v>4009</v>
      </c>
      <c r="B40" s="230">
        <f t="shared" si="5"/>
        <v>30</v>
      </c>
      <c r="C40" s="218" t="str">
        <f t="shared" si="3"/>
        <v>71aB30#000_000_06</v>
      </c>
      <c r="D40" s="43">
        <f t="shared" ref="D40:F40" si="79">D39</f>
        <v>30</v>
      </c>
      <c r="E40" s="61">
        <f t="shared" si="79"/>
        <v>3.3</v>
      </c>
      <c r="F40" s="44">
        <f t="shared" si="79"/>
        <v>11</v>
      </c>
      <c r="G40" s="44">
        <f t="shared" si="68"/>
        <v>8.8000000000000007</v>
      </c>
      <c r="H40" s="44">
        <f t="shared" si="69"/>
        <v>5.5</v>
      </c>
      <c r="I40" s="44">
        <f t="shared" ref="I40:J40" si="80">I39</f>
        <v>8</v>
      </c>
      <c r="J40" s="199">
        <f t="shared" si="80"/>
        <v>0</v>
      </c>
      <c r="K40" s="37" t="str">
        <f>D40&amp;-6</f>
        <v>30-6</v>
      </c>
      <c r="L40" s="44">
        <f t="shared" ref="L40:O40" si="81">L39</f>
        <v>0.11</v>
      </c>
      <c r="M40" s="53">
        <f t="shared" si="51"/>
        <v>15</v>
      </c>
      <c r="N40" s="53">
        <f t="shared" si="81"/>
        <v>150</v>
      </c>
      <c r="O40" s="44">
        <f t="shared" si="81"/>
        <v>750</v>
      </c>
    </row>
    <row r="41" spans="1:15" ht="15.75" thickBot="1" x14ac:dyDescent="0.3">
      <c r="A41" s="229">
        <f t="shared" si="4"/>
        <v>4010</v>
      </c>
      <c r="B41" s="230">
        <f t="shared" si="5"/>
        <v>31</v>
      </c>
      <c r="C41" s="218" t="str">
        <f t="shared" si="3"/>
        <v>71aB30#008_000_01</v>
      </c>
      <c r="D41" s="43">
        <f t="shared" ref="D41:F41" si="82">D40</f>
        <v>30</v>
      </c>
      <c r="E41" s="61">
        <f t="shared" si="82"/>
        <v>3.3</v>
      </c>
      <c r="F41" s="44">
        <f t="shared" si="82"/>
        <v>11</v>
      </c>
      <c r="G41" s="44">
        <f t="shared" si="68"/>
        <v>8.8000000000000007</v>
      </c>
      <c r="H41" s="44">
        <f t="shared" si="69"/>
        <v>5.5</v>
      </c>
      <c r="I41" s="44">
        <f t="shared" ref="I41" si="83">I40</f>
        <v>8</v>
      </c>
      <c r="J41" s="199">
        <f>yaw_max</f>
        <v>8</v>
      </c>
      <c r="K41" s="37" t="str">
        <f>D41&amp;-1</f>
        <v>30-1</v>
      </c>
      <c r="L41" s="44">
        <f t="shared" ref="L41" si="84">L40</f>
        <v>0.11</v>
      </c>
      <c r="M41" s="53">
        <f t="shared" si="51"/>
        <v>15</v>
      </c>
      <c r="N41" s="53">
        <f t="shared" ref="N41:O41" si="85">N40</f>
        <v>150</v>
      </c>
      <c r="O41" s="44">
        <f t="shared" si="85"/>
        <v>750</v>
      </c>
    </row>
    <row r="42" spans="1:15" ht="15.75" thickBot="1" x14ac:dyDescent="0.3">
      <c r="A42" s="229">
        <f t="shared" si="4"/>
        <v>4011</v>
      </c>
      <c r="B42" s="230">
        <f t="shared" si="5"/>
        <v>32</v>
      </c>
      <c r="C42" s="218" t="str">
        <f t="shared" si="3"/>
        <v>71aB30#008_000_02</v>
      </c>
      <c r="D42" s="43">
        <f>D41</f>
        <v>30</v>
      </c>
      <c r="E42" s="61">
        <f>E41</f>
        <v>3.3</v>
      </c>
      <c r="F42" s="44">
        <f>F41</f>
        <v>11</v>
      </c>
      <c r="G42" s="44">
        <f t="shared" ref="G42:G46" si="86">m_ty*F42</f>
        <v>8.8000000000000007</v>
      </c>
      <c r="H42" s="44">
        <f t="shared" ref="H42:H46" si="87">m_tz*F42</f>
        <v>5.5</v>
      </c>
      <c r="I42" s="44">
        <f>I41</f>
        <v>8</v>
      </c>
      <c r="J42" s="199">
        <f>J41</f>
        <v>8</v>
      </c>
      <c r="K42" s="37" t="str">
        <f>D42&amp;-2</f>
        <v>30-2</v>
      </c>
      <c r="L42" s="44">
        <f>L41</f>
        <v>0.11</v>
      </c>
      <c r="M42" s="53">
        <f t="shared" si="51"/>
        <v>15</v>
      </c>
      <c r="N42" s="53">
        <f>N41</f>
        <v>150</v>
      </c>
      <c r="O42" s="44">
        <f>O41</f>
        <v>750</v>
      </c>
    </row>
    <row r="43" spans="1:15" ht="15.75" thickBot="1" x14ac:dyDescent="0.3">
      <c r="A43" s="229">
        <f t="shared" si="4"/>
        <v>4012</v>
      </c>
      <c r="B43" s="230">
        <f t="shared" si="5"/>
        <v>33</v>
      </c>
      <c r="C43" s="218" t="str">
        <f t="shared" si="3"/>
        <v>71aB30#008_000_03</v>
      </c>
      <c r="D43" s="43">
        <f t="shared" ref="D43:F43" si="88">D42</f>
        <v>30</v>
      </c>
      <c r="E43" s="61">
        <f t="shared" si="88"/>
        <v>3.3</v>
      </c>
      <c r="F43" s="44">
        <f t="shared" si="88"/>
        <v>11</v>
      </c>
      <c r="G43" s="44">
        <f t="shared" si="86"/>
        <v>8.8000000000000007</v>
      </c>
      <c r="H43" s="44">
        <f t="shared" si="87"/>
        <v>5.5</v>
      </c>
      <c r="I43" s="44">
        <f t="shared" ref="I43:J43" si="89">I42</f>
        <v>8</v>
      </c>
      <c r="J43" s="199">
        <f t="shared" si="89"/>
        <v>8</v>
      </c>
      <c r="K43" s="37" t="str">
        <f>D43&amp;-3</f>
        <v>30-3</v>
      </c>
      <c r="L43" s="44">
        <f t="shared" ref="L43:O43" si="90">L42</f>
        <v>0.11</v>
      </c>
      <c r="M43" s="53">
        <f t="shared" si="51"/>
        <v>15</v>
      </c>
      <c r="N43" s="53">
        <f t="shared" si="90"/>
        <v>150</v>
      </c>
      <c r="O43" s="44">
        <f t="shared" si="90"/>
        <v>750</v>
      </c>
    </row>
    <row r="44" spans="1:15" ht="15.75" thickBot="1" x14ac:dyDescent="0.3">
      <c r="A44" s="229">
        <f t="shared" si="4"/>
        <v>4013</v>
      </c>
      <c r="B44" s="230">
        <f t="shared" si="5"/>
        <v>34</v>
      </c>
      <c r="C44" s="218" t="str">
        <f t="shared" si="3"/>
        <v>71aB30#008_000_04</v>
      </c>
      <c r="D44" s="43">
        <f t="shared" ref="D44:F44" si="91">D43</f>
        <v>30</v>
      </c>
      <c r="E44" s="61">
        <f t="shared" si="91"/>
        <v>3.3</v>
      </c>
      <c r="F44" s="44">
        <f t="shared" si="91"/>
        <v>11</v>
      </c>
      <c r="G44" s="44">
        <f t="shared" si="86"/>
        <v>8.8000000000000007</v>
      </c>
      <c r="H44" s="44">
        <f t="shared" si="87"/>
        <v>5.5</v>
      </c>
      <c r="I44" s="44">
        <f t="shared" ref="I44:J44" si="92">I43</f>
        <v>8</v>
      </c>
      <c r="J44" s="199">
        <f t="shared" si="92"/>
        <v>8</v>
      </c>
      <c r="K44" s="37" t="str">
        <f>D44&amp;-4</f>
        <v>30-4</v>
      </c>
      <c r="L44" s="44">
        <f t="shared" ref="L44:O44" si="93">L43</f>
        <v>0.11</v>
      </c>
      <c r="M44" s="53">
        <f t="shared" si="51"/>
        <v>15</v>
      </c>
      <c r="N44" s="53">
        <f t="shared" si="93"/>
        <v>150</v>
      </c>
      <c r="O44" s="44">
        <f t="shared" si="93"/>
        <v>750</v>
      </c>
    </row>
    <row r="45" spans="1:15" ht="15.75" thickBot="1" x14ac:dyDescent="0.3">
      <c r="A45" s="229">
        <f t="shared" si="4"/>
        <v>4014</v>
      </c>
      <c r="B45" s="230">
        <f t="shared" si="5"/>
        <v>35</v>
      </c>
      <c r="C45" s="218" t="str">
        <f t="shared" si="3"/>
        <v>71aB30#008_000_05</v>
      </c>
      <c r="D45" s="43">
        <f t="shared" ref="D45:F45" si="94">D44</f>
        <v>30</v>
      </c>
      <c r="E45" s="61">
        <f t="shared" si="94"/>
        <v>3.3</v>
      </c>
      <c r="F45" s="44">
        <f t="shared" si="94"/>
        <v>11</v>
      </c>
      <c r="G45" s="44">
        <f t="shared" si="86"/>
        <v>8.8000000000000007</v>
      </c>
      <c r="H45" s="44">
        <f t="shared" si="87"/>
        <v>5.5</v>
      </c>
      <c r="I45" s="44">
        <f t="shared" ref="I45:J45" si="95">I44</f>
        <v>8</v>
      </c>
      <c r="J45" s="199">
        <f t="shared" si="95"/>
        <v>8</v>
      </c>
      <c r="K45" s="37" t="str">
        <f>D45&amp;-5</f>
        <v>30-5</v>
      </c>
      <c r="L45" s="44">
        <f t="shared" ref="L45:O45" si="96">L44</f>
        <v>0.11</v>
      </c>
      <c r="M45" s="53">
        <f t="shared" si="51"/>
        <v>15</v>
      </c>
      <c r="N45" s="53">
        <f t="shared" si="96"/>
        <v>150</v>
      </c>
      <c r="O45" s="44">
        <f t="shared" si="96"/>
        <v>750</v>
      </c>
    </row>
    <row r="46" spans="1:15" ht="15.75" thickBot="1" x14ac:dyDescent="0.3">
      <c r="A46" s="229">
        <f t="shared" si="4"/>
        <v>4015</v>
      </c>
      <c r="B46" s="230">
        <f t="shared" si="5"/>
        <v>36</v>
      </c>
      <c r="C46" s="218" t="str">
        <f t="shared" si="3"/>
        <v>71aB30#008_000_06</v>
      </c>
      <c r="D46" s="43">
        <f t="shared" ref="D46:F46" si="97">D45</f>
        <v>30</v>
      </c>
      <c r="E46" s="61">
        <f t="shared" si="97"/>
        <v>3.3</v>
      </c>
      <c r="F46" s="44">
        <f t="shared" si="97"/>
        <v>11</v>
      </c>
      <c r="G46" s="44">
        <f t="shared" si="86"/>
        <v>8.8000000000000007</v>
      </c>
      <c r="H46" s="44">
        <f t="shared" si="87"/>
        <v>5.5</v>
      </c>
      <c r="I46" s="44">
        <f t="shared" ref="I46:J48" si="98">I45</f>
        <v>8</v>
      </c>
      <c r="J46" s="199">
        <f t="shared" si="98"/>
        <v>8</v>
      </c>
      <c r="K46" s="37" t="str">
        <f>D46&amp;-6</f>
        <v>30-6</v>
      </c>
      <c r="L46" s="44">
        <f t="shared" ref="L46:O47" si="99">L45</f>
        <v>0.11</v>
      </c>
      <c r="M46" s="53">
        <f t="shared" si="51"/>
        <v>15</v>
      </c>
      <c r="N46" s="53">
        <f t="shared" si="99"/>
        <v>150</v>
      </c>
      <c r="O46" s="44">
        <f t="shared" si="99"/>
        <v>750</v>
      </c>
    </row>
    <row r="47" spans="1:15" ht="15.75" thickBot="1" x14ac:dyDescent="0.3">
      <c r="A47" s="229">
        <f t="shared" si="4"/>
        <v>4016</v>
      </c>
      <c r="B47" s="230">
        <f t="shared" si="5"/>
        <v>37</v>
      </c>
      <c r="C47" s="218" t="str">
        <f t="shared" si="3"/>
        <v>71aC30#352_000_01</v>
      </c>
      <c r="D47" s="43">
        <f t="shared" ref="D47:F47" si="100">D46</f>
        <v>30</v>
      </c>
      <c r="E47" s="61">
        <f t="shared" si="100"/>
        <v>3.3</v>
      </c>
      <c r="F47" s="44">
        <f t="shared" si="100"/>
        <v>11</v>
      </c>
      <c r="G47" s="44">
        <f t="shared" ref="G47:G82" si="101">m_ty*F47</f>
        <v>8.8000000000000007</v>
      </c>
      <c r="H47" s="44">
        <f t="shared" ref="H47:H82" si="102">m_tz*F47</f>
        <v>5.5</v>
      </c>
      <c r="I47" s="44">
        <f t="shared" si="98"/>
        <v>8</v>
      </c>
      <c r="J47" s="199">
        <f t="shared" si="2"/>
        <v>-8</v>
      </c>
      <c r="K47" s="194" t="str">
        <f>D47&amp;-1</f>
        <v>30-1</v>
      </c>
      <c r="L47" s="198">
        <f t="shared" si="99"/>
        <v>0.11</v>
      </c>
      <c r="M47" s="53">
        <f>M29+15</f>
        <v>30</v>
      </c>
      <c r="N47" s="53">
        <f t="shared" ref="N47:O47" si="103">N46</f>
        <v>150</v>
      </c>
      <c r="O47" s="44">
        <f t="shared" si="103"/>
        <v>750</v>
      </c>
    </row>
    <row r="48" spans="1:15" ht="15.75" thickBot="1" x14ac:dyDescent="0.3">
      <c r="A48" s="229">
        <f t="shared" si="4"/>
        <v>4017</v>
      </c>
      <c r="B48" s="230">
        <f t="shared" si="5"/>
        <v>38</v>
      </c>
      <c r="C48" s="218" t="str">
        <f t="shared" si="3"/>
        <v>71aC30#352_000_02</v>
      </c>
      <c r="D48" s="43">
        <f t="shared" ref="D48:F48" si="104">D47</f>
        <v>30</v>
      </c>
      <c r="E48" s="61">
        <f t="shared" si="104"/>
        <v>3.3</v>
      </c>
      <c r="F48" s="44">
        <f t="shared" si="104"/>
        <v>11</v>
      </c>
      <c r="G48" s="44">
        <f t="shared" si="101"/>
        <v>8.8000000000000007</v>
      </c>
      <c r="H48" s="44">
        <f t="shared" si="102"/>
        <v>5.5</v>
      </c>
      <c r="I48" s="44">
        <f t="shared" si="98"/>
        <v>8</v>
      </c>
      <c r="J48" s="199">
        <f t="shared" si="2"/>
        <v>-8</v>
      </c>
      <c r="K48" s="194" t="str">
        <f>D48&amp;-2</f>
        <v>30-2</v>
      </c>
      <c r="L48" s="198">
        <f>L47</f>
        <v>0.11</v>
      </c>
      <c r="M48" s="53">
        <f t="shared" si="51"/>
        <v>30</v>
      </c>
      <c r="N48" s="53">
        <f t="shared" ref="N48:O48" si="105">N47</f>
        <v>150</v>
      </c>
      <c r="O48" s="44">
        <f t="shared" si="105"/>
        <v>750</v>
      </c>
    </row>
    <row r="49" spans="1:15" ht="15.75" thickBot="1" x14ac:dyDescent="0.3">
      <c r="A49" s="229">
        <f t="shared" si="4"/>
        <v>4018</v>
      </c>
      <c r="B49" s="230">
        <f t="shared" si="5"/>
        <v>39</v>
      </c>
      <c r="C49" s="218" t="str">
        <f t="shared" si="3"/>
        <v>71aC30#352_000_03</v>
      </c>
      <c r="D49" s="43">
        <f t="shared" ref="D49:F49" si="106">D48</f>
        <v>30</v>
      </c>
      <c r="E49" s="61">
        <f t="shared" si="106"/>
        <v>3.3</v>
      </c>
      <c r="F49" s="44">
        <f t="shared" si="106"/>
        <v>11</v>
      </c>
      <c r="G49" s="44">
        <f t="shared" si="101"/>
        <v>8.8000000000000007</v>
      </c>
      <c r="H49" s="44">
        <f t="shared" si="102"/>
        <v>5.5</v>
      </c>
      <c r="I49" s="44">
        <f t="shared" ref="I49" si="107">I48</f>
        <v>8</v>
      </c>
      <c r="J49" s="199">
        <f t="shared" si="2"/>
        <v>-8</v>
      </c>
      <c r="K49" s="194" t="str">
        <f>D49&amp;-3</f>
        <v>30-3</v>
      </c>
      <c r="L49" s="198">
        <f t="shared" ref="L49" si="108">L48</f>
        <v>0.11</v>
      </c>
      <c r="M49" s="53">
        <f t="shared" si="51"/>
        <v>30</v>
      </c>
      <c r="N49" s="53">
        <f t="shared" ref="N49:O49" si="109">N48</f>
        <v>150</v>
      </c>
      <c r="O49" s="44">
        <f t="shared" si="109"/>
        <v>750</v>
      </c>
    </row>
    <row r="50" spans="1:15" ht="15.75" thickBot="1" x14ac:dyDescent="0.3">
      <c r="A50" s="229">
        <f t="shared" si="4"/>
        <v>4019</v>
      </c>
      <c r="B50" s="230">
        <f t="shared" si="5"/>
        <v>40</v>
      </c>
      <c r="C50" s="218" t="str">
        <f t="shared" si="3"/>
        <v>71aC30#352_000_04</v>
      </c>
      <c r="D50" s="43">
        <f t="shared" ref="D50:F50" si="110">D49</f>
        <v>30</v>
      </c>
      <c r="E50" s="61">
        <f t="shared" si="110"/>
        <v>3.3</v>
      </c>
      <c r="F50" s="44">
        <f t="shared" si="110"/>
        <v>11</v>
      </c>
      <c r="G50" s="44">
        <f t="shared" si="101"/>
        <v>8.8000000000000007</v>
      </c>
      <c r="H50" s="44">
        <f t="shared" si="102"/>
        <v>5.5</v>
      </c>
      <c r="I50" s="44">
        <f t="shared" ref="I50" si="111">I49</f>
        <v>8</v>
      </c>
      <c r="J50" s="199">
        <f t="shared" si="2"/>
        <v>-8</v>
      </c>
      <c r="K50" s="194" t="str">
        <f>D50&amp;-4</f>
        <v>30-4</v>
      </c>
      <c r="L50" s="198">
        <f t="shared" ref="L50" si="112">L49</f>
        <v>0.11</v>
      </c>
      <c r="M50" s="53">
        <f t="shared" si="51"/>
        <v>30</v>
      </c>
      <c r="N50" s="53">
        <f t="shared" ref="N50:O50" si="113">N49</f>
        <v>150</v>
      </c>
      <c r="O50" s="44">
        <f t="shared" si="113"/>
        <v>750</v>
      </c>
    </row>
    <row r="51" spans="1:15" ht="15.75" thickBot="1" x14ac:dyDescent="0.3">
      <c r="A51" s="229">
        <f t="shared" si="4"/>
        <v>4020</v>
      </c>
      <c r="B51" s="230">
        <f t="shared" si="5"/>
        <v>41</v>
      </c>
      <c r="C51" s="218" t="str">
        <f t="shared" si="3"/>
        <v>71aC30#352_000_05</v>
      </c>
      <c r="D51" s="43">
        <f t="shared" ref="D51:F51" si="114">D50</f>
        <v>30</v>
      </c>
      <c r="E51" s="61">
        <f t="shared" si="114"/>
        <v>3.3</v>
      </c>
      <c r="F51" s="44">
        <f t="shared" si="114"/>
        <v>11</v>
      </c>
      <c r="G51" s="44">
        <f t="shared" si="101"/>
        <v>8.8000000000000007</v>
      </c>
      <c r="H51" s="44">
        <f t="shared" si="102"/>
        <v>5.5</v>
      </c>
      <c r="I51" s="44">
        <f t="shared" ref="I51" si="115">I50</f>
        <v>8</v>
      </c>
      <c r="J51" s="199">
        <f t="shared" si="2"/>
        <v>-8</v>
      </c>
      <c r="K51" s="194" t="str">
        <f>D51&amp;-5</f>
        <v>30-5</v>
      </c>
      <c r="L51" s="198">
        <f t="shared" ref="L51" si="116">L50</f>
        <v>0.11</v>
      </c>
      <c r="M51" s="53">
        <f t="shared" si="51"/>
        <v>30</v>
      </c>
      <c r="N51" s="53">
        <f t="shared" ref="N51:O51" si="117">N50</f>
        <v>150</v>
      </c>
      <c r="O51" s="44">
        <f t="shared" si="117"/>
        <v>750</v>
      </c>
    </row>
    <row r="52" spans="1:15" ht="15.75" thickBot="1" x14ac:dyDescent="0.3">
      <c r="A52" s="229">
        <f t="shared" si="4"/>
        <v>4021</v>
      </c>
      <c r="B52" s="230">
        <f t="shared" si="5"/>
        <v>42</v>
      </c>
      <c r="C52" s="218" t="str">
        <f t="shared" si="3"/>
        <v>71aC30#352_000_06</v>
      </c>
      <c r="D52" s="43">
        <f t="shared" ref="D52:F52" si="118">D51</f>
        <v>30</v>
      </c>
      <c r="E52" s="61">
        <f t="shared" si="118"/>
        <v>3.3</v>
      </c>
      <c r="F52" s="44">
        <f t="shared" si="118"/>
        <v>11</v>
      </c>
      <c r="G52" s="44">
        <f t="shared" si="101"/>
        <v>8.8000000000000007</v>
      </c>
      <c r="H52" s="44">
        <f t="shared" si="102"/>
        <v>5.5</v>
      </c>
      <c r="I52" s="44">
        <f t="shared" ref="I52" si="119">I51</f>
        <v>8</v>
      </c>
      <c r="J52" s="199">
        <f t="shared" si="2"/>
        <v>-8</v>
      </c>
      <c r="K52" s="194" t="str">
        <f>D52&amp;-6</f>
        <v>30-6</v>
      </c>
      <c r="L52" s="198">
        <f t="shared" ref="L52:L53" si="120">L51</f>
        <v>0.11</v>
      </c>
      <c r="M52" s="53">
        <f t="shared" si="51"/>
        <v>30</v>
      </c>
      <c r="N52" s="53">
        <f t="shared" ref="N52:O52" si="121">N51</f>
        <v>150</v>
      </c>
      <c r="O52" s="44">
        <f t="shared" si="121"/>
        <v>750</v>
      </c>
    </row>
    <row r="53" spans="1:15" ht="15.75" thickBot="1" x14ac:dyDescent="0.3">
      <c r="A53" s="229">
        <f t="shared" si="4"/>
        <v>4022</v>
      </c>
      <c r="B53" s="230">
        <f t="shared" si="5"/>
        <v>43</v>
      </c>
      <c r="C53" s="218" t="str">
        <f t="shared" si="3"/>
        <v>71aC30#000_000_01</v>
      </c>
      <c r="D53" s="43">
        <f t="shared" ref="D53:F53" si="122">D52</f>
        <v>30</v>
      </c>
      <c r="E53" s="61">
        <f t="shared" si="122"/>
        <v>3.3</v>
      </c>
      <c r="F53" s="44">
        <f t="shared" si="122"/>
        <v>11</v>
      </c>
      <c r="G53" s="44">
        <f t="shared" si="101"/>
        <v>8.8000000000000007</v>
      </c>
      <c r="H53" s="44">
        <f t="shared" si="102"/>
        <v>5.5</v>
      </c>
      <c r="I53" s="44">
        <f t="shared" ref="I53" si="123">I52</f>
        <v>8</v>
      </c>
      <c r="J53" s="199">
        <f>yaw_null</f>
        <v>0</v>
      </c>
      <c r="K53" s="194" t="str">
        <f>D53&amp;-1</f>
        <v>30-1</v>
      </c>
      <c r="L53" s="198">
        <f t="shared" si="120"/>
        <v>0.11</v>
      </c>
      <c r="M53" s="53">
        <f t="shared" si="51"/>
        <v>30</v>
      </c>
      <c r="N53" s="53">
        <f t="shared" ref="N53:O53" si="124">N52</f>
        <v>150</v>
      </c>
      <c r="O53" s="44">
        <f t="shared" si="124"/>
        <v>750</v>
      </c>
    </row>
    <row r="54" spans="1:15" ht="15.75" thickBot="1" x14ac:dyDescent="0.3">
      <c r="A54" s="229">
        <f t="shared" si="4"/>
        <v>4023</v>
      </c>
      <c r="B54" s="230">
        <f t="shared" si="5"/>
        <v>44</v>
      </c>
      <c r="C54" s="218" t="str">
        <f t="shared" si="3"/>
        <v>71aC30#000_000_02</v>
      </c>
      <c r="D54" s="43">
        <f>D53</f>
        <v>30</v>
      </c>
      <c r="E54" s="61">
        <f>E53</f>
        <v>3.3</v>
      </c>
      <c r="F54" s="44">
        <f>F53</f>
        <v>11</v>
      </c>
      <c r="G54" s="44">
        <f t="shared" si="101"/>
        <v>8.8000000000000007</v>
      </c>
      <c r="H54" s="44">
        <f t="shared" si="102"/>
        <v>5.5</v>
      </c>
      <c r="I54" s="44">
        <f>I53</f>
        <v>8</v>
      </c>
      <c r="J54" s="199">
        <f>J53</f>
        <v>0</v>
      </c>
      <c r="K54" s="194" t="str">
        <f>D54&amp;-2</f>
        <v>30-2</v>
      </c>
      <c r="L54" s="198">
        <f>L53</f>
        <v>0.11</v>
      </c>
      <c r="M54" s="53">
        <f t="shared" si="51"/>
        <v>30</v>
      </c>
      <c r="N54" s="53">
        <f>N53</f>
        <v>150</v>
      </c>
      <c r="O54" s="44">
        <f>O53</f>
        <v>750</v>
      </c>
    </row>
    <row r="55" spans="1:15" ht="15.75" thickBot="1" x14ac:dyDescent="0.3">
      <c r="A55" s="229">
        <f t="shared" si="4"/>
        <v>4024</v>
      </c>
      <c r="B55" s="230">
        <f t="shared" si="5"/>
        <v>45</v>
      </c>
      <c r="C55" s="218" t="str">
        <f t="shared" si="3"/>
        <v>71aC30#000_000_03</v>
      </c>
      <c r="D55" s="43">
        <f t="shared" ref="D55:F55" si="125">D54</f>
        <v>30</v>
      </c>
      <c r="E55" s="61">
        <f t="shared" si="125"/>
        <v>3.3</v>
      </c>
      <c r="F55" s="44">
        <f t="shared" si="125"/>
        <v>11</v>
      </c>
      <c r="G55" s="44">
        <f t="shared" si="101"/>
        <v>8.8000000000000007</v>
      </c>
      <c r="H55" s="44">
        <f t="shared" si="102"/>
        <v>5.5</v>
      </c>
      <c r="I55" s="44">
        <f t="shared" ref="I55:J59" si="126">I54</f>
        <v>8</v>
      </c>
      <c r="J55" s="199">
        <f t="shared" si="126"/>
        <v>0</v>
      </c>
      <c r="K55" s="194" t="str">
        <f>D55&amp;-3</f>
        <v>30-3</v>
      </c>
      <c r="L55" s="198">
        <f t="shared" ref="L55" si="127">L54</f>
        <v>0.11</v>
      </c>
      <c r="M55" s="53">
        <f t="shared" si="51"/>
        <v>30</v>
      </c>
      <c r="N55" s="53">
        <f t="shared" ref="N55:O55" si="128">N54</f>
        <v>150</v>
      </c>
      <c r="O55" s="44">
        <f t="shared" si="128"/>
        <v>750</v>
      </c>
    </row>
    <row r="56" spans="1:15" ht="15.75" thickBot="1" x14ac:dyDescent="0.3">
      <c r="A56" s="229">
        <f t="shared" si="4"/>
        <v>4025</v>
      </c>
      <c r="B56" s="230">
        <f t="shared" si="5"/>
        <v>46</v>
      </c>
      <c r="C56" s="218" t="str">
        <f t="shared" si="3"/>
        <v>71aC30#000_000_04</v>
      </c>
      <c r="D56" s="43">
        <f t="shared" ref="D56:F56" si="129">D55</f>
        <v>30</v>
      </c>
      <c r="E56" s="61">
        <f t="shared" si="129"/>
        <v>3.3</v>
      </c>
      <c r="F56" s="44">
        <f t="shared" si="129"/>
        <v>11</v>
      </c>
      <c r="G56" s="44">
        <f t="shared" si="101"/>
        <v>8.8000000000000007</v>
      </c>
      <c r="H56" s="44">
        <f t="shared" si="102"/>
        <v>5.5</v>
      </c>
      <c r="I56" s="44">
        <f t="shared" si="126"/>
        <v>8</v>
      </c>
      <c r="J56" s="199">
        <f t="shared" si="126"/>
        <v>0</v>
      </c>
      <c r="K56" s="194" t="str">
        <f>D56&amp;-4</f>
        <v>30-4</v>
      </c>
      <c r="L56" s="198">
        <f t="shared" ref="L56" si="130">L55</f>
        <v>0.11</v>
      </c>
      <c r="M56" s="53">
        <f t="shared" si="51"/>
        <v>30</v>
      </c>
      <c r="N56" s="53">
        <f t="shared" ref="N56:O56" si="131">N55</f>
        <v>150</v>
      </c>
      <c r="O56" s="44">
        <f t="shared" si="131"/>
        <v>750</v>
      </c>
    </row>
    <row r="57" spans="1:15" ht="15.75" thickBot="1" x14ac:dyDescent="0.3">
      <c r="A57" s="229">
        <f t="shared" si="4"/>
        <v>4026</v>
      </c>
      <c r="B57" s="230">
        <f t="shared" si="5"/>
        <v>47</v>
      </c>
      <c r="C57" s="218" t="str">
        <f t="shared" si="3"/>
        <v>71aC30#000_000_05</v>
      </c>
      <c r="D57" s="43">
        <f t="shared" ref="D57:F57" si="132">D56</f>
        <v>30</v>
      </c>
      <c r="E57" s="61">
        <f t="shared" si="132"/>
        <v>3.3</v>
      </c>
      <c r="F57" s="44">
        <f t="shared" si="132"/>
        <v>11</v>
      </c>
      <c r="G57" s="44">
        <f t="shared" si="101"/>
        <v>8.8000000000000007</v>
      </c>
      <c r="H57" s="44">
        <f t="shared" si="102"/>
        <v>5.5</v>
      </c>
      <c r="I57" s="44">
        <f t="shared" si="126"/>
        <v>8</v>
      </c>
      <c r="J57" s="199">
        <f t="shared" si="126"/>
        <v>0</v>
      </c>
      <c r="K57" s="194" t="str">
        <f>D57&amp;-5</f>
        <v>30-5</v>
      </c>
      <c r="L57" s="198">
        <f t="shared" ref="L57" si="133">L56</f>
        <v>0.11</v>
      </c>
      <c r="M57" s="53">
        <f t="shared" si="51"/>
        <v>30</v>
      </c>
      <c r="N57" s="53">
        <f t="shared" ref="N57:O57" si="134">N56</f>
        <v>150</v>
      </c>
      <c r="O57" s="44">
        <f t="shared" si="134"/>
        <v>750</v>
      </c>
    </row>
    <row r="58" spans="1:15" ht="15.75" thickBot="1" x14ac:dyDescent="0.3">
      <c r="A58" s="229">
        <f t="shared" si="4"/>
        <v>4027</v>
      </c>
      <c r="B58" s="230">
        <f t="shared" si="5"/>
        <v>48</v>
      </c>
      <c r="C58" s="218" t="str">
        <f t="shared" si="3"/>
        <v>71aC30#000_000_06</v>
      </c>
      <c r="D58" s="43">
        <f t="shared" ref="D58:F58" si="135">D57</f>
        <v>30</v>
      </c>
      <c r="E58" s="61">
        <f t="shared" si="135"/>
        <v>3.3</v>
      </c>
      <c r="F58" s="44">
        <f t="shared" si="135"/>
        <v>11</v>
      </c>
      <c r="G58" s="44">
        <f t="shared" si="101"/>
        <v>8.8000000000000007</v>
      </c>
      <c r="H58" s="44">
        <f t="shared" si="102"/>
        <v>5.5</v>
      </c>
      <c r="I58" s="44">
        <f t="shared" si="126"/>
        <v>8</v>
      </c>
      <c r="J58" s="199">
        <f t="shared" si="126"/>
        <v>0</v>
      </c>
      <c r="K58" s="194" t="str">
        <f>D58&amp;-6</f>
        <v>30-6</v>
      </c>
      <c r="L58" s="198">
        <f t="shared" ref="L58:L59" si="136">L57</f>
        <v>0.11</v>
      </c>
      <c r="M58" s="53">
        <f t="shared" si="51"/>
        <v>30</v>
      </c>
      <c r="N58" s="53">
        <f t="shared" ref="N58:O58" si="137">N57</f>
        <v>150</v>
      </c>
      <c r="O58" s="44">
        <f t="shared" si="137"/>
        <v>750</v>
      </c>
    </row>
    <row r="59" spans="1:15" ht="15.75" thickBot="1" x14ac:dyDescent="0.3">
      <c r="A59" s="229">
        <f t="shared" si="4"/>
        <v>4028</v>
      </c>
      <c r="B59" s="230">
        <f t="shared" si="5"/>
        <v>49</v>
      </c>
      <c r="C59" s="218" t="str">
        <f t="shared" si="3"/>
        <v>71aC30#008_000_01</v>
      </c>
      <c r="D59" s="43">
        <f t="shared" ref="D59:F59" si="138">D58</f>
        <v>30</v>
      </c>
      <c r="E59" s="61">
        <f t="shared" si="138"/>
        <v>3.3</v>
      </c>
      <c r="F59" s="44">
        <f t="shared" si="138"/>
        <v>11</v>
      </c>
      <c r="G59" s="44">
        <f t="shared" si="101"/>
        <v>8.8000000000000007</v>
      </c>
      <c r="H59" s="44">
        <f t="shared" si="102"/>
        <v>5.5</v>
      </c>
      <c r="I59" s="44">
        <f t="shared" si="126"/>
        <v>8</v>
      </c>
      <c r="J59" s="199">
        <f>yaw_max</f>
        <v>8</v>
      </c>
      <c r="K59" s="194" t="str">
        <f>D59&amp;-1</f>
        <v>30-1</v>
      </c>
      <c r="L59" s="198">
        <f t="shared" si="136"/>
        <v>0.11</v>
      </c>
      <c r="M59" s="53">
        <f t="shared" si="51"/>
        <v>30</v>
      </c>
      <c r="N59" s="53">
        <f t="shared" ref="N59:O59" si="139">N58</f>
        <v>150</v>
      </c>
      <c r="O59" s="44">
        <f t="shared" si="139"/>
        <v>750</v>
      </c>
    </row>
    <row r="60" spans="1:15" ht="15.75" thickBot="1" x14ac:dyDescent="0.3">
      <c r="A60" s="229">
        <f t="shared" si="4"/>
        <v>4029</v>
      </c>
      <c r="B60" s="230">
        <f t="shared" si="5"/>
        <v>50</v>
      </c>
      <c r="C60" s="218" t="str">
        <f t="shared" si="3"/>
        <v>71aC30#008_000_02</v>
      </c>
      <c r="D60" s="43">
        <f>D59</f>
        <v>30</v>
      </c>
      <c r="E60" s="61">
        <f>E59</f>
        <v>3.3</v>
      </c>
      <c r="F60" s="44">
        <f>F59</f>
        <v>11</v>
      </c>
      <c r="G60" s="44">
        <f t="shared" si="101"/>
        <v>8.8000000000000007</v>
      </c>
      <c r="H60" s="44">
        <f t="shared" si="102"/>
        <v>5.5</v>
      </c>
      <c r="I60" s="44">
        <f>I59</f>
        <v>8</v>
      </c>
      <c r="J60" s="199">
        <f>J59</f>
        <v>8</v>
      </c>
      <c r="K60" s="194" t="str">
        <f>D60&amp;-2</f>
        <v>30-2</v>
      </c>
      <c r="L60" s="198">
        <f>L59</f>
        <v>0.11</v>
      </c>
      <c r="M60" s="53">
        <f t="shared" si="51"/>
        <v>30</v>
      </c>
      <c r="N60" s="53">
        <f>N59</f>
        <v>150</v>
      </c>
      <c r="O60" s="44">
        <f>O59</f>
        <v>750</v>
      </c>
    </row>
    <row r="61" spans="1:15" ht="15.75" thickBot="1" x14ac:dyDescent="0.3">
      <c r="A61" s="229">
        <f t="shared" si="4"/>
        <v>4030</v>
      </c>
      <c r="B61" s="230">
        <f t="shared" si="5"/>
        <v>51</v>
      </c>
      <c r="C61" s="218" t="str">
        <f t="shared" si="3"/>
        <v>71aC30#008_000_03</v>
      </c>
      <c r="D61" s="43">
        <f t="shared" ref="D61:F61" si="140">D60</f>
        <v>30</v>
      </c>
      <c r="E61" s="61">
        <f t="shared" si="140"/>
        <v>3.3</v>
      </c>
      <c r="F61" s="44">
        <f t="shared" si="140"/>
        <v>11</v>
      </c>
      <c r="G61" s="44">
        <f t="shared" si="101"/>
        <v>8.8000000000000007</v>
      </c>
      <c r="H61" s="44">
        <f t="shared" si="102"/>
        <v>5.5</v>
      </c>
      <c r="I61" s="44">
        <f t="shared" ref="I61:J65" si="141">I60</f>
        <v>8</v>
      </c>
      <c r="J61" s="199">
        <f t="shared" si="141"/>
        <v>8</v>
      </c>
      <c r="K61" s="194" t="str">
        <f>D61&amp;-3</f>
        <v>30-3</v>
      </c>
      <c r="L61" s="198">
        <f t="shared" ref="L61" si="142">L60</f>
        <v>0.11</v>
      </c>
      <c r="M61" s="53">
        <f t="shared" si="51"/>
        <v>30</v>
      </c>
      <c r="N61" s="53">
        <f t="shared" ref="N61:O61" si="143">N60</f>
        <v>150</v>
      </c>
      <c r="O61" s="44">
        <f t="shared" si="143"/>
        <v>750</v>
      </c>
    </row>
    <row r="62" spans="1:15" ht="15.75" thickBot="1" x14ac:dyDescent="0.3">
      <c r="A62" s="229">
        <f t="shared" si="4"/>
        <v>4031</v>
      </c>
      <c r="B62" s="230">
        <f t="shared" si="5"/>
        <v>52</v>
      </c>
      <c r="C62" s="218" t="str">
        <f t="shared" si="3"/>
        <v>71aC30#008_000_04</v>
      </c>
      <c r="D62" s="43">
        <f t="shared" ref="D62:F62" si="144">D61</f>
        <v>30</v>
      </c>
      <c r="E62" s="61">
        <f t="shared" si="144"/>
        <v>3.3</v>
      </c>
      <c r="F62" s="44">
        <f t="shared" si="144"/>
        <v>11</v>
      </c>
      <c r="G62" s="44">
        <f t="shared" si="101"/>
        <v>8.8000000000000007</v>
      </c>
      <c r="H62" s="44">
        <f t="shared" si="102"/>
        <v>5.5</v>
      </c>
      <c r="I62" s="44">
        <f t="shared" si="141"/>
        <v>8</v>
      </c>
      <c r="J62" s="199">
        <f t="shared" si="141"/>
        <v>8</v>
      </c>
      <c r="K62" s="194" t="str">
        <f>D62&amp;-4</f>
        <v>30-4</v>
      </c>
      <c r="L62" s="198">
        <f t="shared" ref="L62" si="145">L61</f>
        <v>0.11</v>
      </c>
      <c r="M62" s="53">
        <f t="shared" si="51"/>
        <v>30</v>
      </c>
      <c r="N62" s="53">
        <f t="shared" ref="N62:O62" si="146">N61</f>
        <v>150</v>
      </c>
      <c r="O62" s="44">
        <f t="shared" si="146"/>
        <v>750</v>
      </c>
    </row>
    <row r="63" spans="1:15" ht="15.75" thickBot="1" x14ac:dyDescent="0.3">
      <c r="A63" s="229">
        <f t="shared" si="4"/>
        <v>4032</v>
      </c>
      <c r="B63" s="230">
        <f t="shared" si="5"/>
        <v>53</v>
      </c>
      <c r="C63" s="218" t="str">
        <f t="shared" si="3"/>
        <v>71aC30#008_000_05</v>
      </c>
      <c r="D63" s="43">
        <f t="shared" ref="D63:F63" si="147">D62</f>
        <v>30</v>
      </c>
      <c r="E63" s="61">
        <f t="shared" si="147"/>
        <v>3.3</v>
      </c>
      <c r="F63" s="44">
        <f t="shared" si="147"/>
        <v>11</v>
      </c>
      <c r="G63" s="44">
        <f t="shared" si="101"/>
        <v>8.8000000000000007</v>
      </c>
      <c r="H63" s="44">
        <f t="shared" si="102"/>
        <v>5.5</v>
      </c>
      <c r="I63" s="44">
        <f t="shared" si="141"/>
        <v>8</v>
      </c>
      <c r="J63" s="199">
        <f t="shared" si="141"/>
        <v>8</v>
      </c>
      <c r="K63" s="194" t="str">
        <f>D63&amp;-5</f>
        <v>30-5</v>
      </c>
      <c r="L63" s="198">
        <f t="shared" ref="L63" si="148">L62</f>
        <v>0.11</v>
      </c>
      <c r="M63" s="53">
        <f t="shared" si="51"/>
        <v>30</v>
      </c>
      <c r="N63" s="53">
        <f t="shared" ref="N63:O63" si="149">N62</f>
        <v>150</v>
      </c>
      <c r="O63" s="44">
        <f t="shared" si="149"/>
        <v>750</v>
      </c>
    </row>
    <row r="64" spans="1:15" ht="15.75" thickBot="1" x14ac:dyDescent="0.3">
      <c r="A64" s="229">
        <f t="shared" si="4"/>
        <v>4033</v>
      </c>
      <c r="B64" s="230">
        <f t="shared" si="5"/>
        <v>54</v>
      </c>
      <c r="C64" s="218" t="str">
        <f t="shared" si="3"/>
        <v>71aC30#008_000_06</v>
      </c>
      <c r="D64" s="43">
        <f t="shared" ref="D64:F64" si="150">D63</f>
        <v>30</v>
      </c>
      <c r="E64" s="61">
        <f t="shared" si="150"/>
        <v>3.3</v>
      </c>
      <c r="F64" s="44">
        <f t="shared" si="150"/>
        <v>11</v>
      </c>
      <c r="G64" s="44">
        <f t="shared" si="101"/>
        <v>8.8000000000000007</v>
      </c>
      <c r="H64" s="44">
        <f t="shared" si="102"/>
        <v>5.5</v>
      </c>
      <c r="I64" s="44">
        <f t="shared" si="141"/>
        <v>8</v>
      </c>
      <c r="J64" s="199">
        <f t="shared" si="141"/>
        <v>8</v>
      </c>
      <c r="K64" s="194" t="str">
        <f>D64&amp;-6</f>
        <v>30-6</v>
      </c>
      <c r="L64" s="198">
        <f t="shared" ref="L64:L65" si="151">L63</f>
        <v>0.11</v>
      </c>
      <c r="M64" s="53">
        <f t="shared" si="51"/>
        <v>30</v>
      </c>
      <c r="N64" s="53">
        <f t="shared" ref="N64:O64" si="152">N63</f>
        <v>150</v>
      </c>
      <c r="O64" s="44">
        <f t="shared" si="152"/>
        <v>750</v>
      </c>
    </row>
    <row r="65" spans="1:15" ht="15.75" thickBot="1" x14ac:dyDescent="0.3">
      <c r="A65" s="229">
        <f t="shared" si="4"/>
        <v>4034</v>
      </c>
      <c r="B65" s="230">
        <f t="shared" si="5"/>
        <v>55</v>
      </c>
      <c r="C65" s="218" t="str">
        <f t="shared" si="3"/>
        <v>71aD30#352_000_01</v>
      </c>
      <c r="D65" s="43">
        <f t="shared" ref="D65:F65" si="153">D64</f>
        <v>30</v>
      </c>
      <c r="E65" s="61">
        <f t="shared" si="153"/>
        <v>3.3</v>
      </c>
      <c r="F65" s="44">
        <f t="shared" si="153"/>
        <v>11</v>
      </c>
      <c r="G65" s="44">
        <f t="shared" si="101"/>
        <v>8.8000000000000007</v>
      </c>
      <c r="H65" s="44">
        <f t="shared" si="102"/>
        <v>5.5</v>
      </c>
      <c r="I65" s="44">
        <f t="shared" si="141"/>
        <v>8</v>
      </c>
      <c r="J65" s="199">
        <f t="shared" ref="J65:J70" si="154">yaw_min</f>
        <v>-8</v>
      </c>
      <c r="K65" s="194" t="str">
        <f>D65&amp;-1</f>
        <v>30-1</v>
      </c>
      <c r="L65" s="198">
        <f t="shared" si="151"/>
        <v>0.11</v>
      </c>
      <c r="M65" s="53">
        <f>M47+15</f>
        <v>45</v>
      </c>
      <c r="N65" s="53">
        <f t="shared" ref="N65:O65" si="155">N64</f>
        <v>150</v>
      </c>
      <c r="O65" s="44">
        <f t="shared" si="155"/>
        <v>750</v>
      </c>
    </row>
    <row r="66" spans="1:15" ht="15.75" thickBot="1" x14ac:dyDescent="0.3">
      <c r="A66" s="229">
        <f t="shared" si="4"/>
        <v>4035</v>
      </c>
      <c r="B66" s="230">
        <f t="shared" si="5"/>
        <v>56</v>
      </c>
      <c r="C66" s="218" t="str">
        <f t="shared" si="3"/>
        <v>71aD30#352_000_02</v>
      </c>
      <c r="D66" s="43">
        <f>D65</f>
        <v>30</v>
      </c>
      <c r="E66" s="61">
        <f>E65</f>
        <v>3.3</v>
      </c>
      <c r="F66" s="44">
        <f>F65</f>
        <v>11</v>
      </c>
      <c r="G66" s="44">
        <f t="shared" si="101"/>
        <v>8.8000000000000007</v>
      </c>
      <c r="H66" s="44">
        <f t="shared" si="102"/>
        <v>5.5</v>
      </c>
      <c r="I66" s="44">
        <f>I65</f>
        <v>8</v>
      </c>
      <c r="J66" s="199">
        <f t="shared" si="154"/>
        <v>-8</v>
      </c>
      <c r="K66" s="194" t="str">
        <f>D66&amp;-2</f>
        <v>30-2</v>
      </c>
      <c r="L66" s="198">
        <f>L65</f>
        <v>0.11</v>
      </c>
      <c r="M66" s="53">
        <f t="shared" si="51"/>
        <v>45</v>
      </c>
      <c r="N66" s="53">
        <f>N65</f>
        <v>150</v>
      </c>
      <c r="O66" s="44">
        <f>O65</f>
        <v>750</v>
      </c>
    </row>
    <row r="67" spans="1:15" ht="15.75" thickBot="1" x14ac:dyDescent="0.3">
      <c r="A67" s="229">
        <f t="shared" si="4"/>
        <v>4036</v>
      </c>
      <c r="B67" s="230">
        <f t="shared" si="5"/>
        <v>57</v>
      </c>
      <c r="C67" s="218" t="str">
        <f t="shared" si="3"/>
        <v>71aD30#352_000_03</v>
      </c>
      <c r="D67" s="43">
        <f t="shared" ref="D67:F67" si="156">D66</f>
        <v>30</v>
      </c>
      <c r="E67" s="61">
        <f t="shared" si="156"/>
        <v>3.3</v>
      </c>
      <c r="F67" s="44">
        <f t="shared" si="156"/>
        <v>11</v>
      </c>
      <c r="G67" s="44">
        <f t="shared" si="101"/>
        <v>8.8000000000000007</v>
      </c>
      <c r="H67" s="44">
        <f t="shared" si="102"/>
        <v>5.5</v>
      </c>
      <c r="I67" s="44">
        <f t="shared" ref="I67:I71" si="157">I66</f>
        <v>8</v>
      </c>
      <c r="J67" s="199">
        <f t="shared" si="154"/>
        <v>-8</v>
      </c>
      <c r="K67" s="194" t="str">
        <f>D67&amp;-3</f>
        <v>30-3</v>
      </c>
      <c r="L67" s="198">
        <f t="shared" ref="L67" si="158">L66</f>
        <v>0.11</v>
      </c>
      <c r="M67" s="53">
        <f t="shared" si="51"/>
        <v>45</v>
      </c>
      <c r="N67" s="53">
        <f t="shared" ref="N67:O67" si="159">N66</f>
        <v>150</v>
      </c>
      <c r="O67" s="44">
        <f t="shared" si="159"/>
        <v>750</v>
      </c>
    </row>
    <row r="68" spans="1:15" ht="15.75" thickBot="1" x14ac:dyDescent="0.3">
      <c r="A68" s="229">
        <f t="shared" si="4"/>
        <v>4037</v>
      </c>
      <c r="B68" s="230">
        <f t="shared" si="5"/>
        <v>58</v>
      </c>
      <c r="C68" s="218" t="str">
        <f t="shared" si="3"/>
        <v>71aD30#352_000_04</v>
      </c>
      <c r="D68" s="43">
        <f t="shared" ref="D68:F68" si="160">D67</f>
        <v>30</v>
      </c>
      <c r="E68" s="61">
        <f t="shared" si="160"/>
        <v>3.3</v>
      </c>
      <c r="F68" s="44">
        <f t="shared" si="160"/>
        <v>11</v>
      </c>
      <c r="G68" s="44">
        <f t="shared" si="101"/>
        <v>8.8000000000000007</v>
      </c>
      <c r="H68" s="44">
        <f t="shared" si="102"/>
        <v>5.5</v>
      </c>
      <c r="I68" s="44">
        <f t="shared" si="157"/>
        <v>8</v>
      </c>
      <c r="J68" s="199">
        <f t="shared" si="154"/>
        <v>-8</v>
      </c>
      <c r="K68" s="194" t="str">
        <f>D68&amp;-4</f>
        <v>30-4</v>
      </c>
      <c r="L68" s="198">
        <f t="shared" ref="L68" si="161">L67</f>
        <v>0.11</v>
      </c>
      <c r="M68" s="53">
        <f t="shared" si="51"/>
        <v>45</v>
      </c>
      <c r="N68" s="53">
        <f t="shared" ref="N68:O68" si="162">N67</f>
        <v>150</v>
      </c>
      <c r="O68" s="44">
        <f t="shared" si="162"/>
        <v>750</v>
      </c>
    </row>
    <row r="69" spans="1:15" ht="15.75" thickBot="1" x14ac:dyDescent="0.3">
      <c r="A69" s="229">
        <f t="shared" si="4"/>
        <v>4038</v>
      </c>
      <c r="B69" s="230">
        <f t="shared" si="5"/>
        <v>59</v>
      </c>
      <c r="C69" s="218" t="str">
        <f t="shared" si="3"/>
        <v>71aD30#352_000_05</v>
      </c>
      <c r="D69" s="43">
        <f t="shared" ref="D69:F69" si="163">D68</f>
        <v>30</v>
      </c>
      <c r="E69" s="61">
        <f t="shared" si="163"/>
        <v>3.3</v>
      </c>
      <c r="F69" s="44">
        <f t="shared" si="163"/>
        <v>11</v>
      </c>
      <c r="G69" s="44">
        <f t="shared" si="101"/>
        <v>8.8000000000000007</v>
      </c>
      <c r="H69" s="44">
        <f t="shared" si="102"/>
        <v>5.5</v>
      </c>
      <c r="I69" s="44">
        <f t="shared" si="157"/>
        <v>8</v>
      </c>
      <c r="J69" s="199">
        <f t="shared" si="154"/>
        <v>-8</v>
      </c>
      <c r="K69" s="194" t="str">
        <f>D69&amp;-5</f>
        <v>30-5</v>
      </c>
      <c r="L69" s="198">
        <f t="shared" ref="L69" si="164">L68</f>
        <v>0.11</v>
      </c>
      <c r="M69" s="53">
        <f t="shared" si="51"/>
        <v>45</v>
      </c>
      <c r="N69" s="53">
        <f t="shared" ref="N69:O69" si="165">N68</f>
        <v>150</v>
      </c>
      <c r="O69" s="44">
        <f t="shared" si="165"/>
        <v>750</v>
      </c>
    </row>
    <row r="70" spans="1:15" ht="15.75" thickBot="1" x14ac:dyDescent="0.3">
      <c r="A70" s="229">
        <f t="shared" si="4"/>
        <v>4039</v>
      </c>
      <c r="B70" s="230">
        <f t="shared" si="5"/>
        <v>60</v>
      </c>
      <c r="C70" s="218" t="str">
        <f t="shared" si="3"/>
        <v>71aD30#352_000_06</v>
      </c>
      <c r="D70" s="43">
        <f t="shared" ref="D70:F70" si="166">D69</f>
        <v>30</v>
      </c>
      <c r="E70" s="61">
        <f t="shared" si="166"/>
        <v>3.3</v>
      </c>
      <c r="F70" s="44">
        <f t="shared" si="166"/>
        <v>11</v>
      </c>
      <c r="G70" s="44">
        <f t="shared" si="101"/>
        <v>8.8000000000000007</v>
      </c>
      <c r="H70" s="44">
        <f t="shared" si="102"/>
        <v>5.5</v>
      </c>
      <c r="I70" s="44">
        <f t="shared" si="157"/>
        <v>8</v>
      </c>
      <c r="J70" s="199">
        <f t="shared" si="154"/>
        <v>-8</v>
      </c>
      <c r="K70" s="194" t="str">
        <f>D70&amp;-6</f>
        <v>30-6</v>
      </c>
      <c r="L70" s="198">
        <f t="shared" ref="L70:L71" si="167">L69</f>
        <v>0.11</v>
      </c>
      <c r="M70" s="53">
        <f t="shared" si="51"/>
        <v>45</v>
      </c>
      <c r="N70" s="53">
        <f t="shared" ref="N70:O70" si="168">N69</f>
        <v>150</v>
      </c>
      <c r="O70" s="44">
        <f t="shared" si="168"/>
        <v>750</v>
      </c>
    </row>
    <row r="71" spans="1:15" ht="15.75" thickBot="1" x14ac:dyDescent="0.3">
      <c r="A71" s="229">
        <f t="shared" si="4"/>
        <v>4040</v>
      </c>
      <c r="B71" s="230">
        <f t="shared" si="5"/>
        <v>61</v>
      </c>
      <c r="C71" s="218" t="str">
        <f t="shared" si="3"/>
        <v>71aD30#000_000_01</v>
      </c>
      <c r="D71" s="43">
        <f t="shared" ref="D71:F71" si="169">D70</f>
        <v>30</v>
      </c>
      <c r="E71" s="61">
        <f t="shared" si="169"/>
        <v>3.3</v>
      </c>
      <c r="F71" s="44">
        <f t="shared" si="169"/>
        <v>11</v>
      </c>
      <c r="G71" s="44">
        <f t="shared" si="101"/>
        <v>8.8000000000000007</v>
      </c>
      <c r="H71" s="44">
        <f t="shared" si="102"/>
        <v>5.5</v>
      </c>
      <c r="I71" s="44">
        <f t="shared" si="157"/>
        <v>8</v>
      </c>
      <c r="J71" s="199">
        <f>yaw_null</f>
        <v>0</v>
      </c>
      <c r="K71" s="194" t="str">
        <f>D71&amp;-1</f>
        <v>30-1</v>
      </c>
      <c r="L71" s="198">
        <f t="shared" si="167"/>
        <v>0.11</v>
      </c>
      <c r="M71" s="53">
        <f t="shared" si="51"/>
        <v>45</v>
      </c>
      <c r="N71" s="53">
        <f t="shared" ref="N71:O71" si="170">N70</f>
        <v>150</v>
      </c>
      <c r="O71" s="44">
        <f t="shared" si="170"/>
        <v>750</v>
      </c>
    </row>
    <row r="72" spans="1:15" ht="15.75" thickBot="1" x14ac:dyDescent="0.3">
      <c r="A72" s="229">
        <f t="shared" si="4"/>
        <v>4041</v>
      </c>
      <c r="B72" s="230">
        <f t="shared" si="5"/>
        <v>62</v>
      </c>
      <c r="C72" s="218" t="str">
        <f t="shared" si="3"/>
        <v>71aD30#000_000_02</v>
      </c>
      <c r="D72" s="43">
        <f>D71</f>
        <v>30</v>
      </c>
      <c r="E72" s="61">
        <f>E71</f>
        <v>3.3</v>
      </c>
      <c r="F72" s="44">
        <f>F71</f>
        <v>11</v>
      </c>
      <c r="G72" s="44">
        <f t="shared" si="101"/>
        <v>8.8000000000000007</v>
      </c>
      <c r="H72" s="44">
        <f t="shared" si="102"/>
        <v>5.5</v>
      </c>
      <c r="I72" s="44">
        <f>I71</f>
        <v>8</v>
      </c>
      <c r="J72" s="199">
        <f>J71</f>
        <v>0</v>
      </c>
      <c r="K72" s="194" t="str">
        <f>D72&amp;-2</f>
        <v>30-2</v>
      </c>
      <c r="L72" s="198">
        <f>L71</f>
        <v>0.11</v>
      </c>
      <c r="M72" s="53">
        <f t="shared" si="51"/>
        <v>45</v>
      </c>
      <c r="N72" s="53">
        <f>N71</f>
        <v>150</v>
      </c>
      <c r="O72" s="44">
        <f>O71</f>
        <v>750</v>
      </c>
    </row>
    <row r="73" spans="1:15" ht="15.75" thickBot="1" x14ac:dyDescent="0.3">
      <c r="A73" s="229">
        <f t="shared" si="4"/>
        <v>4042</v>
      </c>
      <c r="B73" s="230">
        <f t="shared" si="5"/>
        <v>63</v>
      </c>
      <c r="C73" s="218" t="str">
        <f t="shared" si="3"/>
        <v>71aD30#000_000_03</v>
      </c>
      <c r="D73" s="43">
        <f t="shared" ref="D73:F73" si="171">D72</f>
        <v>30</v>
      </c>
      <c r="E73" s="61">
        <f t="shared" si="171"/>
        <v>3.3</v>
      </c>
      <c r="F73" s="44">
        <f t="shared" si="171"/>
        <v>11</v>
      </c>
      <c r="G73" s="44">
        <f t="shared" si="101"/>
        <v>8.8000000000000007</v>
      </c>
      <c r="H73" s="44">
        <f t="shared" si="102"/>
        <v>5.5</v>
      </c>
      <c r="I73" s="44">
        <f t="shared" ref="I73:J77" si="172">I72</f>
        <v>8</v>
      </c>
      <c r="J73" s="199">
        <f t="shared" si="172"/>
        <v>0</v>
      </c>
      <c r="K73" s="194" t="str">
        <f>D73&amp;-3</f>
        <v>30-3</v>
      </c>
      <c r="L73" s="198">
        <f t="shared" ref="L73" si="173">L72</f>
        <v>0.11</v>
      </c>
      <c r="M73" s="53">
        <f t="shared" si="51"/>
        <v>45</v>
      </c>
      <c r="N73" s="53">
        <f t="shared" ref="N73:O73" si="174">N72</f>
        <v>150</v>
      </c>
      <c r="O73" s="44">
        <f t="shared" si="174"/>
        <v>750</v>
      </c>
    </row>
    <row r="74" spans="1:15" ht="15.75" thickBot="1" x14ac:dyDescent="0.3">
      <c r="A74" s="229">
        <f t="shared" si="4"/>
        <v>4043</v>
      </c>
      <c r="B74" s="230">
        <f t="shared" si="5"/>
        <v>64</v>
      </c>
      <c r="C74" s="218" t="str">
        <f t="shared" si="3"/>
        <v>71aD30#000_000_04</v>
      </c>
      <c r="D74" s="43">
        <f t="shared" ref="D74:F74" si="175">D73</f>
        <v>30</v>
      </c>
      <c r="E74" s="61">
        <f t="shared" si="175"/>
        <v>3.3</v>
      </c>
      <c r="F74" s="44">
        <f t="shared" si="175"/>
        <v>11</v>
      </c>
      <c r="G74" s="44">
        <f t="shared" si="101"/>
        <v>8.8000000000000007</v>
      </c>
      <c r="H74" s="44">
        <f t="shared" si="102"/>
        <v>5.5</v>
      </c>
      <c r="I74" s="44">
        <f t="shared" si="172"/>
        <v>8</v>
      </c>
      <c r="J74" s="199">
        <f t="shared" si="172"/>
        <v>0</v>
      </c>
      <c r="K74" s="194" t="str">
        <f>D74&amp;-4</f>
        <v>30-4</v>
      </c>
      <c r="L74" s="198">
        <f t="shared" ref="L74" si="176">L73</f>
        <v>0.11</v>
      </c>
      <c r="M74" s="53">
        <f t="shared" si="51"/>
        <v>45</v>
      </c>
      <c r="N74" s="53">
        <f t="shared" ref="N74:O74" si="177">N73</f>
        <v>150</v>
      </c>
      <c r="O74" s="44">
        <f t="shared" si="177"/>
        <v>750</v>
      </c>
    </row>
    <row r="75" spans="1:15" ht="15.75" thickBot="1" x14ac:dyDescent="0.3">
      <c r="A75" s="229">
        <f t="shared" si="4"/>
        <v>4044</v>
      </c>
      <c r="B75" s="230">
        <f t="shared" si="5"/>
        <v>65</v>
      </c>
      <c r="C75" s="218" t="str">
        <f t="shared" si="3"/>
        <v>71aD30#000_000_05</v>
      </c>
      <c r="D75" s="43">
        <f t="shared" ref="D75:F75" si="178">D74</f>
        <v>30</v>
      </c>
      <c r="E75" s="61">
        <f t="shared" si="178"/>
        <v>3.3</v>
      </c>
      <c r="F75" s="44">
        <f t="shared" si="178"/>
        <v>11</v>
      </c>
      <c r="G75" s="44">
        <f t="shared" si="101"/>
        <v>8.8000000000000007</v>
      </c>
      <c r="H75" s="44">
        <f t="shared" si="102"/>
        <v>5.5</v>
      </c>
      <c r="I75" s="44">
        <f t="shared" si="172"/>
        <v>8</v>
      </c>
      <c r="J75" s="199">
        <f t="shared" si="172"/>
        <v>0</v>
      </c>
      <c r="K75" s="194" t="str">
        <f>D75&amp;-5</f>
        <v>30-5</v>
      </c>
      <c r="L75" s="198">
        <f t="shared" ref="L75" si="179">L74</f>
        <v>0.11</v>
      </c>
      <c r="M75" s="53">
        <f t="shared" si="51"/>
        <v>45</v>
      </c>
      <c r="N75" s="53">
        <f t="shared" ref="N75:O75" si="180">N74</f>
        <v>150</v>
      </c>
      <c r="O75" s="44">
        <f t="shared" si="180"/>
        <v>750</v>
      </c>
    </row>
    <row r="76" spans="1:15" ht="15.75" thickBot="1" x14ac:dyDescent="0.3">
      <c r="A76" s="229">
        <f t="shared" si="4"/>
        <v>4045</v>
      </c>
      <c r="B76" s="230">
        <f t="shared" si="5"/>
        <v>66</v>
      </c>
      <c r="C76" s="218" t="str">
        <f t="shared" ref="C76:C118" si="181">TEXT(RIGHT($B$2,LEN($B$2)-3),"000")&amp;IF(M76=0,"A",IF(M76=15,"B",IF(M76=30,"C",IF(M76=45,"D",IF(M76=60,"E","F")))))&amp;TEXT(D76,"00")&amp;"#"&amp;IF(J76&lt;0,TEXT(360+J76,"000"),TEXT(J76,"000"))&amp;"_"&amp;"000"&amp;"_"&amp;TEXT(RIGHT(K76,LEN(K76)-FIND("-",K76)),"00")</f>
        <v>71aD30#000_000_06</v>
      </c>
      <c r="D76" s="43">
        <f t="shared" ref="D76:F76" si="182">D75</f>
        <v>30</v>
      </c>
      <c r="E76" s="61">
        <f t="shared" si="182"/>
        <v>3.3</v>
      </c>
      <c r="F76" s="44">
        <f t="shared" si="182"/>
        <v>11</v>
      </c>
      <c r="G76" s="44">
        <f t="shared" si="101"/>
        <v>8.8000000000000007</v>
      </c>
      <c r="H76" s="44">
        <f t="shared" si="102"/>
        <v>5.5</v>
      </c>
      <c r="I76" s="44">
        <f t="shared" si="172"/>
        <v>8</v>
      </c>
      <c r="J76" s="199">
        <f t="shared" si="172"/>
        <v>0</v>
      </c>
      <c r="K76" s="194" t="str">
        <f>D76&amp;-6</f>
        <v>30-6</v>
      </c>
      <c r="L76" s="198">
        <f t="shared" ref="L76:L77" si="183">L75</f>
        <v>0.11</v>
      </c>
      <c r="M76" s="53">
        <f t="shared" si="51"/>
        <v>45</v>
      </c>
      <c r="N76" s="53">
        <f t="shared" ref="N76:O76" si="184">N75</f>
        <v>150</v>
      </c>
      <c r="O76" s="44">
        <f t="shared" si="184"/>
        <v>750</v>
      </c>
    </row>
    <row r="77" spans="1:15" ht="15.75" thickBot="1" x14ac:dyDescent="0.3">
      <c r="A77" s="229">
        <f t="shared" ref="A77:A118" si="185">A76+1</f>
        <v>4046</v>
      </c>
      <c r="B77" s="230">
        <f t="shared" ref="B77:B118" si="186">B76+1</f>
        <v>67</v>
      </c>
      <c r="C77" s="218" t="str">
        <f t="shared" si="181"/>
        <v>71aD30#008_000_01</v>
      </c>
      <c r="D77" s="43">
        <f t="shared" ref="D77:F77" si="187">D76</f>
        <v>30</v>
      </c>
      <c r="E77" s="61">
        <f t="shared" si="187"/>
        <v>3.3</v>
      </c>
      <c r="F77" s="44">
        <f t="shared" si="187"/>
        <v>11</v>
      </c>
      <c r="G77" s="44">
        <f t="shared" si="101"/>
        <v>8.8000000000000007</v>
      </c>
      <c r="H77" s="44">
        <f t="shared" si="102"/>
        <v>5.5</v>
      </c>
      <c r="I77" s="44">
        <f t="shared" si="172"/>
        <v>8</v>
      </c>
      <c r="J77" s="199">
        <f>yaw_max</f>
        <v>8</v>
      </c>
      <c r="K77" s="194" t="str">
        <f>D77&amp;-1</f>
        <v>30-1</v>
      </c>
      <c r="L77" s="198">
        <f t="shared" si="183"/>
        <v>0.11</v>
      </c>
      <c r="M77" s="53">
        <f t="shared" si="51"/>
        <v>45</v>
      </c>
      <c r="N77" s="53">
        <f t="shared" ref="N77:O77" si="188">N76</f>
        <v>150</v>
      </c>
      <c r="O77" s="44">
        <f t="shared" si="188"/>
        <v>750</v>
      </c>
    </row>
    <row r="78" spans="1:15" ht="15.75" thickBot="1" x14ac:dyDescent="0.3">
      <c r="A78" s="229">
        <f t="shared" si="185"/>
        <v>4047</v>
      </c>
      <c r="B78" s="230">
        <f t="shared" si="186"/>
        <v>68</v>
      </c>
      <c r="C78" s="218" t="str">
        <f t="shared" si="181"/>
        <v>71aD30#008_000_02</v>
      </c>
      <c r="D78" s="43">
        <f>D77</f>
        <v>30</v>
      </c>
      <c r="E78" s="61">
        <f>E77</f>
        <v>3.3</v>
      </c>
      <c r="F78" s="44">
        <f>F77</f>
        <v>11</v>
      </c>
      <c r="G78" s="44">
        <f t="shared" si="101"/>
        <v>8.8000000000000007</v>
      </c>
      <c r="H78" s="44">
        <f t="shared" si="102"/>
        <v>5.5</v>
      </c>
      <c r="I78" s="44">
        <f>I77</f>
        <v>8</v>
      </c>
      <c r="J78" s="199">
        <f>J77</f>
        <v>8</v>
      </c>
      <c r="K78" s="194" t="str">
        <f>D78&amp;-2</f>
        <v>30-2</v>
      </c>
      <c r="L78" s="198">
        <f>L77</f>
        <v>0.11</v>
      </c>
      <c r="M78" s="53">
        <f t="shared" si="51"/>
        <v>45</v>
      </c>
      <c r="N78" s="53">
        <f>N77</f>
        <v>150</v>
      </c>
      <c r="O78" s="44">
        <f>O77</f>
        <v>750</v>
      </c>
    </row>
    <row r="79" spans="1:15" ht="15.75" thickBot="1" x14ac:dyDescent="0.3">
      <c r="A79" s="229">
        <f t="shared" si="185"/>
        <v>4048</v>
      </c>
      <c r="B79" s="230">
        <f t="shared" si="186"/>
        <v>69</v>
      </c>
      <c r="C79" s="218" t="str">
        <f t="shared" si="181"/>
        <v>71aD30#008_000_03</v>
      </c>
      <c r="D79" s="43">
        <f t="shared" ref="D79:F79" si="189">D78</f>
        <v>30</v>
      </c>
      <c r="E79" s="61">
        <f t="shared" si="189"/>
        <v>3.3</v>
      </c>
      <c r="F79" s="44">
        <f t="shared" si="189"/>
        <v>11</v>
      </c>
      <c r="G79" s="44">
        <f t="shared" si="101"/>
        <v>8.8000000000000007</v>
      </c>
      <c r="H79" s="44">
        <f t="shared" si="102"/>
        <v>5.5</v>
      </c>
      <c r="I79" s="44">
        <f t="shared" ref="I79:J84" si="190">I78</f>
        <v>8</v>
      </c>
      <c r="J79" s="199">
        <f t="shared" si="190"/>
        <v>8</v>
      </c>
      <c r="K79" s="194" t="str">
        <f>D79&amp;-3</f>
        <v>30-3</v>
      </c>
      <c r="L79" s="198">
        <f t="shared" ref="L79" si="191">L78</f>
        <v>0.11</v>
      </c>
      <c r="M79" s="53">
        <f t="shared" si="51"/>
        <v>45</v>
      </c>
      <c r="N79" s="53">
        <f t="shared" ref="N79:O79" si="192">N78</f>
        <v>150</v>
      </c>
      <c r="O79" s="44">
        <f t="shared" si="192"/>
        <v>750</v>
      </c>
    </row>
    <row r="80" spans="1:15" ht="15.75" thickBot="1" x14ac:dyDescent="0.3">
      <c r="A80" s="229">
        <f t="shared" si="185"/>
        <v>4049</v>
      </c>
      <c r="B80" s="230">
        <f t="shared" si="186"/>
        <v>70</v>
      </c>
      <c r="C80" s="218" t="str">
        <f t="shared" si="181"/>
        <v>71aD30#008_000_04</v>
      </c>
      <c r="D80" s="43">
        <f t="shared" ref="D80:F80" si="193">D79</f>
        <v>30</v>
      </c>
      <c r="E80" s="61">
        <f t="shared" si="193"/>
        <v>3.3</v>
      </c>
      <c r="F80" s="44">
        <f t="shared" si="193"/>
        <v>11</v>
      </c>
      <c r="G80" s="44">
        <f t="shared" si="101"/>
        <v>8.8000000000000007</v>
      </c>
      <c r="H80" s="44">
        <f t="shared" si="102"/>
        <v>5.5</v>
      </c>
      <c r="I80" s="44">
        <f t="shared" si="190"/>
        <v>8</v>
      </c>
      <c r="J80" s="199">
        <f t="shared" si="190"/>
        <v>8</v>
      </c>
      <c r="K80" s="194" t="str">
        <f>D80&amp;-4</f>
        <v>30-4</v>
      </c>
      <c r="L80" s="198">
        <f t="shared" ref="L80" si="194">L79</f>
        <v>0.11</v>
      </c>
      <c r="M80" s="53">
        <f t="shared" si="51"/>
        <v>45</v>
      </c>
      <c r="N80" s="53">
        <f t="shared" ref="N80:O80" si="195">N79</f>
        <v>150</v>
      </c>
      <c r="O80" s="44">
        <f t="shared" si="195"/>
        <v>750</v>
      </c>
    </row>
    <row r="81" spans="1:15" ht="15.75" thickBot="1" x14ac:dyDescent="0.3">
      <c r="A81" s="229">
        <f t="shared" si="185"/>
        <v>4050</v>
      </c>
      <c r="B81" s="230">
        <f t="shared" si="186"/>
        <v>71</v>
      </c>
      <c r="C81" s="218" t="str">
        <f t="shared" si="181"/>
        <v>71aD30#008_000_05</v>
      </c>
      <c r="D81" s="43">
        <f t="shared" ref="D81:F81" si="196">D80</f>
        <v>30</v>
      </c>
      <c r="E81" s="61">
        <f t="shared" si="196"/>
        <v>3.3</v>
      </c>
      <c r="F81" s="44">
        <f t="shared" si="196"/>
        <v>11</v>
      </c>
      <c r="G81" s="44">
        <f t="shared" si="101"/>
        <v>8.8000000000000007</v>
      </c>
      <c r="H81" s="44">
        <f t="shared" si="102"/>
        <v>5.5</v>
      </c>
      <c r="I81" s="44">
        <f t="shared" si="190"/>
        <v>8</v>
      </c>
      <c r="J81" s="199">
        <f t="shared" si="190"/>
        <v>8</v>
      </c>
      <c r="K81" s="194" t="str">
        <f>D81&amp;-5</f>
        <v>30-5</v>
      </c>
      <c r="L81" s="198">
        <f t="shared" ref="L81" si="197">L80</f>
        <v>0.11</v>
      </c>
      <c r="M81" s="53">
        <f t="shared" si="51"/>
        <v>45</v>
      </c>
      <c r="N81" s="53">
        <f t="shared" ref="N81:O81" si="198">N80</f>
        <v>150</v>
      </c>
      <c r="O81" s="44">
        <f t="shared" si="198"/>
        <v>750</v>
      </c>
    </row>
    <row r="82" spans="1:15" ht="15.75" thickBot="1" x14ac:dyDescent="0.3">
      <c r="A82" s="229">
        <f t="shared" si="185"/>
        <v>4051</v>
      </c>
      <c r="B82" s="230">
        <f t="shared" si="186"/>
        <v>72</v>
      </c>
      <c r="C82" s="218" t="str">
        <f t="shared" si="181"/>
        <v>71aD30#008_000_06</v>
      </c>
      <c r="D82" s="43">
        <f t="shared" ref="D82:F82" si="199">D81</f>
        <v>30</v>
      </c>
      <c r="E82" s="61">
        <f t="shared" si="199"/>
        <v>3.3</v>
      </c>
      <c r="F82" s="44">
        <f t="shared" si="199"/>
        <v>11</v>
      </c>
      <c r="G82" s="44">
        <f t="shared" si="101"/>
        <v>8.8000000000000007</v>
      </c>
      <c r="H82" s="44">
        <f t="shared" si="102"/>
        <v>5.5</v>
      </c>
      <c r="I82" s="44">
        <f t="shared" si="190"/>
        <v>8</v>
      </c>
      <c r="J82" s="199">
        <f t="shared" si="190"/>
        <v>8</v>
      </c>
      <c r="K82" s="194" t="str">
        <f>D82&amp;-6</f>
        <v>30-6</v>
      </c>
      <c r="L82" s="198">
        <f t="shared" ref="L82:L83" si="200">L81</f>
        <v>0.11</v>
      </c>
      <c r="M82" s="53">
        <f t="shared" si="51"/>
        <v>45</v>
      </c>
      <c r="N82" s="53">
        <f t="shared" ref="N82:O82" si="201">N81</f>
        <v>150</v>
      </c>
      <c r="O82" s="44">
        <f t="shared" si="201"/>
        <v>750</v>
      </c>
    </row>
    <row r="83" spans="1:15" ht="15.75" thickBot="1" x14ac:dyDescent="0.3">
      <c r="A83" s="229">
        <f t="shared" si="185"/>
        <v>4052</v>
      </c>
      <c r="B83" s="230">
        <f t="shared" si="186"/>
        <v>73</v>
      </c>
      <c r="C83" s="218" t="str">
        <f t="shared" si="181"/>
        <v>71aE30#352_000_01</v>
      </c>
      <c r="D83" s="43">
        <f t="shared" ref="D83:F83" si="202">D82</f>
        <v>30</v>
      </c>
      <c r="E83" s="61">
        <f t="shared" si="202"/>
        <v>3.3</v>
      </c>
      <c r="F83" s="44">
        <f t="shared" si="202"/>
        <v>11</v>
      </c>
      <c r="G83" s="44">
        <f t="shared" ref="G83:G118" si="203">m_ty*F83</f>
        <v>8.8000000000000007</v>
      </c>
      <c r="H83" s="44">
        <f t="shared" ref="H83:H118" si="204">m_tz*F83</f>
        <v>5.5</v>
      </c>
      <c r="I83" s="44">
        <f t="shared" si="190"/>
        <v>8</v>
      </c>
      <c r="J83" s="199">
        <f t="shared" ref="J83:J88" si="205">yaw_min</f>
        <v>-8</v>
      </c>
      <c r="K83" s="194" t="str">
        <f>D83&amp;-1</f>
        <v>30-1</v>
      </c>
      <c r="L83" s="198">
        <f t="shared" si="200"/>
        <v>0.11</v>
      </c>
      <c r="M83" s="53">
        <f>M65+15</f>
        <v>60</v>
      </c>
      <c r="N83" s="53">
        <f t="shared" ref="N83:O83" si="206">N82</f>
        <v>150</v>
      </c>
      <c r="O83" s="44">
        <f t="shared" si="206"/>
        <v>750</v>
      </c>
    </row>
    <row r="84" spans="1:15" ht="15.75" thickBot="1" x14ac:dyDescent="0.3">
      <c r="A84" s="229">
        <f t="shared" si="185"/>
        <v>4053</v>
      </c>
      <c r="B84" s="230">
        <f t="shared" si="186"/>
        <v>74</v>
      </c>
      <c r="C84" s="218" t="str">
        <f t="shared" si="181"/>
        <v>71aE30#352_000_02</v>
      </c>
      <c r="D84" s="43">
        <f t="shared" ref="D84:F84" si="207">D83</f>
        <v>30</v>
      </c>
      <c r="E84" s="61">
        <f t="shared" si="207"/>
        <v>3.3</v>
      </c>
      <c r="F84" s="44">
        <f t="shared" si="207"/>
        <v>11</v>
      </c>
      <c r="G84" s="44">
        <f t="shared" si="203"/>
        <v>8.8000000000000007</v>
      </c>
      <c r="H84" s="44">
        <f t="shared" si="204"/>
        <v>5.5</v>
      </c>
      <c r="I84" s="44">
        <f t="shared" si="190"/>
        <v>8</v>
      </c>
      <c r="J84" s="199">
        <f t="shared" si="205"/>
        <v>-8</v>
      </c>
      <c r="K84" s="194" t="str">
        <f>D84&amp;-2</f>
        <v>30-2</v>
      </c>
      <c r="L84" s="198">
        <f>L83</f>
        <v>0.11</v>
      </c>
      <c r="M84" s="53">
        <f t="shared" si="51"/>
        <v>60</v>
      </c>
      <c r="N84" s="53">
        <f t="shared" ref="N84:O84" si="208">N83</f>
        <v>150</v>
      </c>
      <c r="O84" s="44">
        <f t="shared" si="208"/>
        <v>750</v>
      </c>
    </row>
    <row r="85" spans="1:15" ht="15.75" thickBot="1" x14ac:dyDescent="0.3">
      <c r="A85" s="229">
        <f t="shared" si="185"/>
        <v>4054</v>
      </c>
      <c r="B85" s="230">
        <f t="shared" si="186"/>
        <v>75</v>
      </c>
      <c r="C85" s="218" t="str">
        <f t="shared" si="181"/>
        <v>71aE30#352_000_03</v>
      </c>
      <c r="D85" s="43">
        <f t="shared" ref="D85:F85" si="209">D84</f>
        <v>30</v>
      </c>
      <c r="E85" s="61">
        <f t="shared" si="209"/>
        <v>3.3</v>
      </c>
      <c r="F85" s="44">
        <f t="shared" si="209"/>
        <v>11</v>
      </c>
      <c r="G85" s="44">
        <f t="shared" si="203"/>
        <v>8.8000000000000007</v>
      </c>
      <c r="H85" s="44">
        <f t="shared" si="204"/>
        <v>5.5</v>
      </c>
      <c r="I85" s="44">
        <f t="shared" ref="I85" si="210">I84</f>
        <v>8</v>
      </c>
      <c r="J85" s="199">
        <f t="shared" si="205"/>
        <v>-8</v>
      </c>
      <c r="K85" s="194" t="str">
        <f>D85&amp;-3</f>
        <v>30-3</v>
      </c>
      <c r="L85" s="198">
        <f t="shared" ref="L85" si="211">L84</f>
        <v>0.11</v>
      </c>
      <c r="M85" s="53">
        <f t="shared" si="51"/>
        <v>60</v>
      </c>
      <c r="N85" s="53">
        <f t="shared" ref="N85:O85" si="212">N84</f>
        <v>150</v>
      </c>
      <c r="O85" s="44">
        <f t="shared" si="212"/>
        <v>750</v>
      </c>
    </row>
    <row r="86" spans="1:15" ht="15.75" thickBot="1" x14ac:dyDescent="0.3">
      <c r="A86" s="229">
        <f t="shared" si="185"/>
        <v>4055</v>
      </c>
      <c r="B86" s="230">
        <f t="shared" si="186"/>
        <v>76</v>
      </c>
      <c r="C86" s="218" t="str">
        <f t="shared" si="181"/>
        <v>71aE30#352_000_04</v>
      </c>
      <c r="D86" s="43">
        <f t="shared" ref="D86:F86" si="213">D85</f>
        <v>30</v>
      </c>
      <c r="E86" s="61">
        <f t="shared" si="213"/>
        <v>3.3</v>
      </c>
      <c r="F86" s="44">
        <f t="shared" si="213"/>
        <v>11</v>
      </c>
      <c r="G86" s="44">
        <f t="shared" si="203"/>
        <v>8.8000000000000007</v>
      </c>
      <c r="H86" s="44">
        <f t="shared" si="204"/>
        <v>5.5</v>
      </c>
      <c r="I86" s="44">
        <f t="shared" ref="I86" si="214">I85</f>
        <v>8</v>
      </c>
      <c r="J86" s="199">
        <f t="shared" si="205"/>
        <v>-8</v>
      </c>
      <c r="K86" s="194" t="str">
        <f>D86&amp;-4</f>
        <v>30-4</v>
      </c>
      <c r="L86" s="198">
        <f t="shared" ref="L86" si="215">L85</f>
        <v>0.11</v>
      </c>
      <c r="M86" s="53">
        <f t="shared" si="51"/>
        <v>60</v>
      </c>
      <c r="N86" s="53">
        <f t="shared" ref="N86:O86" si="216">N85</f>
        <v>150</v>
      </c>
      <c r="O86" s="44">
        <f t="shared" si="216"/>
        <v>750</v>
      </c>
    </row>
    <row r="87" spans="1:15" ht="15.75" thickBot="1" x14ac:dyDescent="0.3">
      <c r="A87" s="229">
        <f t="shared" si="185"/>
        <v>4056</v>
      </c>
      <c r="B87" s="230">
        <f t="shared" si="186"/>
        <v>77</v>
      </c>
      <c r="C87" s="218" t="str">
        <f t="shared" si="181"/>
        <v>71aE30#352_000_05</v>
      </c>
      <c r="D87" s="43">
        <f t="shared" ref="D87:F87" si="217">D86</f>
        <v>30</v>
      </c>
      <c r="E87" s="61">
        <f t="shared" si="217"/>
        <v>3.3</v>
      </c>
      <c r="F87" s="44">
        <f t="shared" si="217"/>
        <v>11</v>
      </c>
      <c r="G87" s="44">
        <f t="shared" si="203"/>
        <v>8.8000000000000007</v>
      </c>
      <c r="H87" s="44">
        <f t="shared" si="204"/>
        <v>5.5</v>
      </c>
      <c r="I87" s="44">
        <f t="shared" ref="I87" si="218">I86</f>
        <v>8</v>
      </c>
      <c r="J87" s="199">
        <f t="shared" si="205"/>
        <v>-8</v>
      </c>
      <c r="K87" s="194" t="str">
        <f>D87&amp;-5</f>
        <v>30-5</v>
      </c>
      <c r="L87" s="198">
        <f t="shared" ref="L87" si="219">L86</f>
        <v>0.11</v>
      </c>
      <c r="M87" s="53">
        <f t="shared" si="51"/>
        <v>60</v>
      </c>
      <c r="N87" s="53">
        <f t="shared" ref="N87:O87" si="220">N86</f>
        <v>150</v>
      </c>
      <c r="O87" s="44">
        <f t="shared" si="220"/>
        <v>750</v>
      </c>
    </row>
    <row r="88" spans="1:15" ht="15.75" thickBot="1" x14ac:dyDescent="0.3">
      <c r="A88" s="229">
        <f t="shared" si="185"/>
        <v>4057</v>
      </c>
      <c r="B88" s="230">
        <f t="shared" si="186"/>
        <v>78</v>
      </c>
      <c r="C88" s="218" t="str">
        <f t="shared" si="181"/>
        <v>71aE30#352_000_06</v>
      </c>
      <c r="D88" s="43">
        <f t="shared" ref="D88:F88" si="221">D87</f>
        <v>30</v>
      </c>
      <c r="E88" s="61">
        <f t="shared" si="221"/>
        <v>3.3</v>
      </c>
      <c r="F88" s="44">
        <f t="shared" si="221"/>
        <v>11</v>
      </c>
      <c r="G88" s="44">
        <f t="shared" si="203"/>
        <v>8.8000000000000007</v>
      </c>
      <c r="H88" s="44">
        <f t="shared" si="204"/>
        <v>5.5</v>
      </c>
      <c r="I88" s="44">
        <f t="shared" ref="I88" si="222">I87</f>
        <v>8</v>
      </c>
      <c r="J88" s="199">
        <f t="shared" si="205"/>
        <v>-8</v>
      </c>
      <c r="K88" s="194" t="str">
        <f>D88&amp;-6</f>
        <v>30-6</v>
      </c>
      <c r="L88" s="198">
        <f t="shared" ref="L88:L89" si="223">L87</f>
        <v>0.11</v>
      </c>
      <c r="M88" s="53">
        <f t="shared" si="51"/>
        <v>60</v>
      </c>
      <c r="N88" s="53">
        <f t="shared" ref="N88:O88" si="224">N87</f>
        <v>150</v>
      </c>
      <c r="O88" s="44">
        <f t="shared" si="224"/>
        <v>750</v>
      </c>
    </row>
    <row r="89" spans="1:15" ht="15.75" thickBot="1" x14ac:dyDescent="0.3">
      <c r="A89" s="229">
        <f t="shared" si="185"/>
        <v>4058</v>
      </c>
      <c r="B89" s="230">
        <f t="shared" si="186"/>
        <v>79</v>
      </c>
      <c r="C89" s="218" t="str">
        <f t="shared" si="181"/>
        <v>71aE30#000_000_01</v>
      </c>
      <c r="D89" s="43">
        <f t="shared" ref="D89:F89" si="225">D88</f>
        <v>30</v>
      </c>
      <c r="E89" s="61">
        <f t="shared" si="225"/>
        <v>3.3</v>
      </c>
      <c r="F89" s="44">
        <f t="shared" si="225"/>
        <v>11</v>
      </c>
      <c r="G89" s="44">
        <f t="shared" si="203"/>
        <v>8.8000000000000007</v>
      </c>
      <c r="H89" s="44">
        <f t="shared" si="204"/>
        <v>5.5</v>
      </c>
      <c r="I89" s="44">
        <f t="shared" ref="I89" si="226">I88</f>
        <v>8</v>
      </c>
      <c r="J89" s="199">
        <f>yaw_null</f>
        <v>0</v>
      </c>
      <c r="K89" s="194" t="str">
        <f>D89&amp;-1</f>
        <v>30-1</v>
      </c>
      <c r="L89" s="198">
        <f t="shared" si="223"/>
        <v>0.11</v>
      </c>
      <c r="M89" s="53">
        <f t="shared" si="51"/>
        <v>60</v>
      </c>
      <c r="N89" s="53">
        <f t="shared" ref="N89:O89" si="227">N88</f>
        <v>150</v>
      </c>
      <c r="O89" s="44">
        <f t="shared" si="227"/>
        <v>750</v>
      </c>
    </row>
    <row r="90" spans="1:15" ht="15.75" thickBot="1" x14ac:dyDescent="0.3">
      <c r="A90" s="229">
        <f t="shared" si="185"/>
        <v>4059</v>
      </c>
      <c r="B90" s="230">
        <f t="shared" si="186"/>
        <v>80</v>
      </c>
      <c r="C90" s="218" t="str">
        <f t="shared" si="181"/>
        <v>71aE30#000_000_02</v>
      </c>
      <c r="D90" s="43">
        <f>D89</f>
        <v>30</v>
      </c>
      <c r="E90" s="61">
        <f>E89</f>
        <v>3.3</v>
      </c>
      <c r="F90" s="44">
        <f>F89</f>
        <v>11</v>
      </c>
      <c r="G90" s="44">
        <f t="shared" si="203"/>
        <v>8.8000000000000007</v>
      </c>
      <c r="H90" s="44">
        <f t="shared" si="204"/>
        <v>5.5</v>
      </c>
      <c r="I90" s="44">
        <f>I89</f>
        <v>8</v>
      </c>
      <c r="J90" s="199">
        <f>J89</f>
        <v>0</v>
      </c>
      <c r="K90" s="194" t="str">
        <f>D90&amp;-2</f>
        <v>30-2</v>
      </c>
      <c r="L90" s="198">
        <f>L89</f>
        <v>0.11</v>
      </c>
      <c r="M90" s="53">
        <f t="shared" si="51"/>
        <v>60</v>
      </c>
      <c r="N90" s="53">
        <f>N89</f>
        <v>150</v>
      </c>
      <c r="O90" s="44">
        <f>O89</f>
        <v>750</v>
      </c>
    </row>
    <row r="91" spans="1:15" ht="15.75" thickBot="1" x14ac:dyDescent="0.3">
      <c r="A91" s="229">
        <f t="shared" si="185"/>
        <v>4060</v>
      </c>
      <c r="B91" s="230">
        <f t="shared" si="186"/>
        <v>81</v>
      </c>
      <c r="C91" s="218" t="str">
        <f t="shared" si="181"/>
        <v>71aE30#000_000_03</v>
      </c>
      <c r="D91" s="43">
        <f t="shared" ref="D91:F91" si="228">D90</f>
        <v>30</v>
      </c>
      <c r="E91" s="61">
        <f t="shared" si="228"/>
        <v>3.3</v>
      </c>
      <c r="F91" s="44">
        <f t="shared" si="228"/>
        <v>11</v>
      </c>
      <c r="G91" s="44">
        <f t="shared" si="203"/>
        <v>8.8000000000000007</v>
      </c>
      <c r="H91" s="44">
        <f t="shared" si="204"/>
        <v>5.5</v>
      </c>
      <c r="I91" s="44">
        <f t="shared" ref="I91:J95" si="229">I90</f>
        <v>8</v>
      </c>
      <c r="J91" s="199">
        <f t="shared" si="229"/>
        <v>0</v>
      </c>
      <c r="K91" s="194" t="str">
        <f>D91&amp;-3</f>
        <v>30-3</v>
      </c>
      <c r="L91" s="198">
        <f t="shared" ref="L91" si="230">L90</f>
        <v>0.11</v>
      </c>
      <c r="M91" s="53">
        <f t="shared" si="51"/>
        <v>60</v>
      </c>
      <c r="N91" s="53">
        <f t="shared" ref="N91:O91" si="231">N90</f>
        <v>150</v>
      </c>
      <c r="O91" s="44">
        <f t="shared" si="231"/>
        <v>750</v>
      </c>
    </row>
    <row r="92" spans="1:15" ht="15.75" thickBot="1" x14ac:dyDescent="0.3">
      <c r="A92" s="229">
        <f t="shared" si="185"/>
        <v>4061</v>
      </c>
      <c r="B92" s="230">
        <f t="shared" si="186"/>
        <v>82</v>
      </c>
      <c r="C92" s="218" t="str">
        <f t="shared" si="181"/>
        <v>71aE30#000_000_04</v>
      </c>
      <c r="D92" s="43">
        <f t="shared" ref="D92:F92" si="232">D91</f>
        <v>30</v>
      </c>
      <c r="E92" s="61">
        <f t="shared" si="232"/>
        <v>3.3</v>
      </c>
      <c r="F92" s="44">
        <f t="shared" si="232"/>
        <v>11</v>
      </c>
      <c r="G92" s="44">
        <f t="shared" si="203"/>
        <v>8.8000000000000007</v>
      </c>
      <c r="H92" s="44">
        <f t="shared" si="204"/>
        <v>5.5</v>
      </c>
      <c r="I92" s="44">
        <f t="shared" si="229"/>
        <v>8</v>
      </c>
      <c r="J92" s="199">
        <f t="shared" si="229"/>
        <v>0</v>
      </c>
      <c r="K92" s="194" t="str">
        <f>D92&amp;-4</f>
        <v>30-4</v>
      </c>
      <c r="L92" s="198">
        <f t="shared" ref="L92" si="233">L91</f>
        <v>0.11</v>
      </c>
      <c r="M92" s="53">
        <f t="shared" si="51"/>
        <v>60</v>
      </c>
      <c r="N92" s="53">
        <f t="shared" ref="N92:O92" si="234">N91</f>
        <v>150</v>
      </c>
      <c r="O92" s="44">
        <f t="shared" si="234"/>
        <v>750</v>
      </c>
    </row>
    <row r="93" spans="1:15" ht="15.75" thickBot="1" x14ac:dyDescent="0.3">
      <c r="A93" s="229">
        <f t="shared" si="185"/>
        <v>4062</v>
      </c>
      <c r="B93" s="230">
        <f t="shared" si="186"/>
        <v>83</v>
      </c>
      <c r="C93" s="218" t="str">
        <f t="shared" si="181"/>
        <v>71aE30#000_000_05</v>
      </c>
      <c r="D93" s="43">
        <f t="shared" ref="D93:F93" si="235">D92</f>
        <v>30</v>
      </c>
      <c r="E93" s="61">
        <f t="shared" si="235"/>
        <v>3.3</v>
      </c>
      <c r="F93" s="44">
        <f t="shared" si="235"/>
        <v>11</v>
      </c>
      <c r="G93" s="44">
        <f t="shared" si="203"/>
        <v>8.8000000000000007</v>
      </c>
      <c r="H93" s="44">
        <f t="shared" si="204"/>
        <v>5.5</v>
      </c>
      <c r="I93" s="44">
        <f t="shared" si="229"/>
        <v>8</v>
      </c>
      <c r="J93" s="199">
        <f t="shared" si="229"/>
        <v>0</v>
      </c>
      <c r="K93" s="194" t="str">
        <f>D93&amp;-5</f>
        <v>30-5</v>
      </c>
      <c r="L93" s="198">
        <f t="shared" ref="L93" si="236">L92</f>
        <v>0.11</v>
      </c>
      <c r="M93" s="53">
        <f t="shared" si="51"/>
        <v>60</v>
      </c>
      <c r="N93" s="53">
        <f t="shared" ref="N93:O93" si="237">N92</f>
        <v>150</v>
      </c>
      <c r="O93" s="44">
        <f t="shared" si="237"/>
        <v>750</v>
      </c>
    </row>
    <row r="94" spans="1:15" ht="15.75" thickBot="1" x14ac:dyDescent="0.3">
      <c r="A94" s="229">
        <f t="shared" si="185"/>
        <v>4063</v>
      </c>
      <c r="B94" s="230">
        <f t="shared" si="186"/>
        <v>84</v>
      </c>
      <c r="C94" s="218" t="str">
        <f t="shared" si="181"/>
        <v>71aE30#000_000_06</v>
      </c>
      <c r="D94" s="43">
        <f t="shared" ref="D94:F94" si="238">D93</f>
        <v>30</v>
      </c>
      <c r="E94" s="61">
        <f t="shared" si="238"/>
        <v>3.3</v>
      </c>
      <c r="F94" s="44">
        <f t="shared" si="238"/>
        <v>11</v>
      </c>
      <c r="G94" s="44">
        <f t="shared" si="203"/>
        <v>8.8000000000000007</v>
      </c>
      <c r="H94" s="44">
        <f t="shared" si="204"/>
        <v>5.5</v>
      </c>
      <c r="I94" s="44">
        <f t="shared" si="229"/>
        <v>8</v>
      </c>
      <c r="J94" s="199">
        <f t="shared" si="229"/>
        <v>0</v>
      </c>
      <c r="K94" s="194" t="str">
        <f>D94&amp;-6</f>
        <v>30-6</v>
      </c>
      <c r="L94" s="198">
        <f t="shared" ref="L94:L95" si="239">L93</f>
        <v>0.11</v>
      </c>
      <c r="M94" s="53">
        <f t="shared" ref="M94:M100" si="240">M76+15</f>
        <v>60</v>
      </c>
      <c r="N94" s="53">
        <f t="shared" ref="N94:O94" si="241">N93</f>
        <v>150</v>
      </c>
      <c r="O94" s="44">
        <f t="shared" si="241"/>
        <v>750</v>
      </c>
    </row>
    <row r="95" spans="1:15" ht="15.75" thickBot="1" x14ac:dyDescent="0.3">
      <c r="A95" s="229">
        <f t="shared" si="185"/>
        <v>4064</v>
      </c>
      <c r="B95" s="230">
        <f t="shared" si="186"/>
        <v>85</v>
      </c>
      <c r="C95" s="218" t="str">
        <f t="shared" si="181"/>
        <v>71aE30#008_000_01</v>
      </c>
      <c r="D95" s="43">
        <f t="shared" ref="D95:F95" si="242">D94</f>
        <v>30</v>
      </c>
      <c r="E95" s="61">
        <f t="shared" si="242"/>
        <v>3.3</v>
      </c>
      <c r="F95" s="44">
        <f t="shared" si="242"/>
        <v>11</v>
      </c>
      <c r="G95" s="44">
        <f t="shared" si="203"/>
        <v>8.8000000000000007</v>
      </c>
      <c r="H95" s="44">
        <f t="shared" si="204"/>
        <v>5.5</v>
      </c>
      <c r="I95" s="44">
        <f t="shared" si="229"/>
        <v>8</v>
      </c>
      <c r="J95" s="199">
        <f>yaw_max</f>
        <v>8</v>
      </c>
      <c r="K95" s="194" t="str">
        <f>D95&amp;-1</f>
        <v>30-1</v>
      </c>
      <c r="L95" s="198">
        <f t="shared" si="239"/>
        <v>0.11</v>
      </c>
      <c r="M95" s="53">
        <f t="shared" si="240"/>
        <v>60</v>
      </c>
      <c r="N95" s="53">
        <f t="shared" ref="N95:O95" si="243">N94</f>
        <v>150</v>
      </c>
      <c r="O95" s="44">
        <f t="shared" si="243"/>
        <v>750</v>
      </c>
    </row>
    <row r="96" spans="1:15" ht="15.75" thickBot="1" x14ac:dyDescent="0.3">
      <c r="A96" s="229">
        <f t="shared" si="185"/>
        <v>4065</v>
      </c>
      <c r="B96" s="230">
        <f t="shared" si="186"/>
        <v>86</v>
      </c>
      <c r="C96" s="218" t="str">
        <f t="shared" si="181"/>
        <v>71aE30#008_000_02</v>
      </c>
      <c r="D96" s="43">
        <f>D95</f>
        <v>30</v>
      </c>
      <c r="E96" s="61">
        <f>E95</f>
        <v>3.3</v>
      </c>
      <c r="F96" s="44">
        <f>F95</f>
        <v>11</v>
      </c>
      <c r="G96" s="44">
        <f t="shared" si="203"/>
        <v>8.8000000000000007</v>
      </c>
      <c r="H96" s="44">
        <f t="shared" si="204"/>
        <v>5.5</v>
      </c>
      <c r="I96" s="44">
        <f>I95</f>
        <v>8</v>
      </c>
      <c r="J96" s="199">
        <f>J95</f>
        <v>8</v>
      </c>
      <c r="K96" s="194" t="str">
        <f>D96&amp;-2</f>
        <v>30-2</v>
      </c>
      <c r="L96" s="198">
        <f>L95</f>
        <v>0.11</v>
      </c>
      <c r="M96" s="53">
        <f t="shared" si="240"/>
        <v>60</v>
      </c>
      <c r="N96" s="53">
        <f>N95</f>
        <v>150</v>
      </c>
      <c r="O96" s="44">
        <f>O95</f>
        <v>750</v>
      </c>
    </row>
    <row r="97" spans="1:15" ht="15.75" thickBot="1" x14ac:dyDescent="0.3">
      <c r="A97" s="229">
        <f t="shared" si="185"/>
        <v>4066</v>
      </c>
      <c r="B97" s="230">
        <f t="shared" si="186"/>
        <v>87</v>
      </c>
      <c r="C97" s="218" t="str">
        <f t="shared" si="181"/>
        <v>71aE30#008_000_03</v>
      </c>
      <c r="D97" s="43">
        <f t="shared" ref="D97:F97" si="244">D96</f>
        <v>30</v>
      </c>
      <c r="E97" s="61">
        <f t="shared" si="244"/>
        <v>3.3</v>
      </c>
      <c r="F97" s="44">
        <f t="shared" si="244"/>
        <v>11</v>
      </c>
      <c r="G97" s="44">
        <f t="shared" si="203"/>
        <v>8.8000000000000007</v>
      </c>
      <c r="H97" s="44">
        <f t="shared" si="204"/>
        <v>5.5</v>
      </c>
      <c r="I97" s="44">
        <f t="shared" ref="I97:J101" si="245">I96</f>
        <v>8</v>
      </c>
      <c r="J97" s="199">
        <f t="shared" si="245"/>
        <v>8</v>
      </c>
      <c r="K97" s="194" t="str">
        <f>D97&amp;-3</f>
        <v>30-3</v>
      </c>
      <c r="L97" s="198">
        <f t="shared" ref="L97" si="246">L96</f>
        <v>0.11</v>
      </c>
      <c r="M97" s="53">
        <f t="shared" si="240"/>
        <v>60</v>
      </c>
      <c r="N97" s="53">
        <f t="shared" ref="N97:O97" si="247">N96</f>
        <v>150</v>
      </c>
      <c r="O97" s="44">
        <f t="shared" si="247"/>
        <v>750</v>
      </c>
    </row>
    <row r="98" spans="1:15" ht="15.75" thickBot="1" x14ac:dyDescent="0.3">
      <c r="A98" s="229">
        <f t="shared" si="185"/>
        <v>4067</v>
      </c>
      <c r="B98" s="230">
        <f t="shared" si="186"/>
        <v>88</v>
      </c>
      <c r="C98" s="218" t="str">
        <f t="shared" si="181"/>
        <v>71aE30#008_000_04</v>
      </c>
      <c r="D98" s="43">
        <f t="shared" ref="D98:F98" si="248">D97</f>
        <v>30</v>
      </c>
      <c r="E98" s="61">
        <f t="shared" si="248"/>
        <v>3.3</v>
      </c>
      <c r="F98" s="44">
        <f t="shared" si="248"/>
        <v>11</v>
      </c>
      <c r="G98" s="44">
        <f t="shared" si="203"/>
        <v>8.8000000000000007</v>
      </c>
      <c r="H98" s="44">
        <f t="shared" si="204"/>
        <v>5.5</v>
      </c>
      <c r="I98" s="44">
        <f t="shared" si="245"/>
        <v>8</v>
      </c>
      <c r="J98" s="199">
        <f t="shared" si="245"/>
        <v>8</v>
      </c>
      <c r="K98" s="194" t="str">
        <f>D98&amp;-4</f>
        <v>30-4</v>
      </c>
      <c r="L98" s="198">
        <f t="shared" ref="L98" si="249">L97</f>
        <v>0.11</v>
      </c>
      <c r="M98" s="53">
        <f t="shared" si="240"/>
        <v>60</v>
      </c>
      <c r="N98" s="53">
        <f t="shared" ref="N98:O98" si="250">N97</f>
        <v>150</v>
      </c>
      <c r="O98" s="44">
        <f t="shared" si="250"/>
        <v>750</v>
      </c>
    </row>
    <row r="99" spans="1:15" ht="15.75" thickBot="1" x14ac:dyDescent="0.3">
      <c r="A99" s="229">
        <f t="shared" si="185"/>
        <v>4068</v>
      </c>
      <c r="B99" s="230">
        <f t="shared" si="186"/>
        <v>89</v>
      </c>
      <c r="C99" s="218" t="str">
        <f t="shared" si="181"/>
        <v>71aE30#008_000_05</v>
      </c>
      <c r="D99" s="43">
        <f t="shared" ref="D99:F99" si="251">D98</f>
        <v>30</v>
      </c>
      <c r="E99" s="61">
        <f t="shared" si="251"/>
        <v>3.3</v>
      </c>
      <c r="F99" s="44">
        <f t="shared" si="251"/>
        <v>11</v>
      </c>
      <c r="G99" s="44">
        <f t="shared" si="203"/>
        <v>8.8000000000000007</v>
      </c>
      <c r="H99" s="44">
        <f t="shared" si="204"/>
        <v>5.5</v>
      </c>
      <c r="I99" s="44">
        <f t="shared" si="245"/>
        <v>8</v>
      </c>
      <c r="J99" s="199">
        <f t="shared" si="245"/>
        <v>8</v>
      </c>
      <c r="K99" s="194" t="str">
        <f>D99&amp;-5</f>
        <v>30-5</v>
      </c>
      <c r="L99" s="198">
        <f t="shared" ref="L99" si="252">L98</f>
        <v>0.11</v>
      </c>
      <c r="M99" s="53">
        <f t="shared" si="240"/>
        <v>60</v>
      </c>
      <c r="N99" s="53">
        <f t="shared" ref="N99:O99" si="253">N98</f>
        <v>150</v>
      </c>
      <c r="O99" s="44">
        <f t="shared" si="253"/>
        <v>750</v>
      </c>
    </row>
    <row r="100" spans="1:15" ht="15.75" thickBot="1" x14ac:dyDescent="0.3">
      <c r="A100" s="229">
        <f t="shared" si="185"/>
        <v>4069</v>
      </c>
      <c r="B100" s="230">
        <f t="shared" si="186"/>
        <v>90</v>
      </c>
      <c r="C100" s="218" t="str">
        <f t="shared" si="181"/>
        <v>71aE30#008_000_06</v>
      </c>
      <c r="D100" s="43">
        <f t="shared" ref="D100:F100" si="254">D99</f>
        <v>30</v>
      </c>
      <c r="E100" s="61">
        <f t="shared" si="254"/>
        <v>3.3</v>
      </c>
      <c r="F100" s="44">
        <f t="shared" si="254"/>
        <v>11</v>
      </c>
      <c r="G100" s="44">
        <f t="shared" si="203"/>
        <v>8.8000000000000007</v>
      </c>
      <c r="H100" s="44">
        <f t="shared" si="204"/>
        <v>5.5</v>
      </c>
      <c r="I100" s="44">
        <f t="shared" si="245"/>
        <v>8</v>
      </c>
      <c r="J100" s="199">
        <f t="shared" si="245"/>
        <v>8</v>
      </c>
      <c r="K100" s="194" t="str">
        <f>D100&amp;-6</f>
        <v>30-6</v>
      </c>
      <c r="L100" s="198">
        <f t="shared" ref="L100:L101" si="255">L99</f>
        <v>0.11</v>
      </c>
      <c r="M100" s="53">
        <f t="shared" si="240"/>
        <v>60</v>
      </c>
      <c r="N100" s="53">
        <f t="shared" ref="N100:O100" si="256">N99</f>
        <v>150</v>
      </c>
      <c r="O100" s="44">
        <f t="shared" si="256"/>
        <v>750</v>
      </c>
    </row>
    <row r="101" spans="1:15" ht="15.75" thickBot="1" x14ac:dyDescent="0.3">
      <c r="A101" s="229">
        <f t="shared" si="185"/>
        <v>4070</v>
      </c>
      <c r="B101" s="230">
        <f t="shared" si="186"/>
        <v>91</v>
      </c>
      <c r="C101" s="218" t="str">
        <f t="shared" si="181"/>
        <v>71aF30#352_000_01</v>
      </c>
      <c r="D101" s="43">
        <f t="shared" ref="D101:F101" si="257">D100</f>
        <v>30</v>
      </c>
      <c r="E101" s="61">
        <f t="shared" si="257"/>
        <v>3.3</v>
      </c>
      <c r="F101" s="44">
        <f t="shared" si="257"/>
        <v>11</v>
      </c>
      <c r="G101" s="44">
        <f t="shared" si="203"/>
        <v>8.8000000000000007</v>
      </c>
      <c r="H101" s="44">
        <f t="shared" si="204"/>
        <v>5.5</v>
      </c>
      <c r="I101" s="44">
        <f t="shared" si="245"/>
        <v>8</v>
      </c>
      <c r="J101" s="199">
        <f t="shared" ref="J101:J106" si="258">yaw_min</f>
        <v>-8</v>
      </c>
      <c r="K101" s="194" t="str">
        <f>D101&amp;-1</f>
        <v>30-1</v>
      </c>
      <c r="L101" s="198">
        <f t="shared" si="255"/>
        <v>0.11</v>
      </c>
      <c r="M101" s="53">
        <f>M83+15</f>
        <v>75</v>
      </c>
      <c r="N101" s="53">
        <f t="shared" ref="N101:O101" si="259">N100</f>
        <v>150</v>
      </c>
      <c r="O101" s="44">
        <f t="shared" si="259"/>
        <v>750</v>
      </c>
    </row>
    <row r="102" spans="1:15" ht="15.75" thickBot="1" x14ac:dyDescent="0.3">
      <c r="A102" s="229">
        <f t="shared" si="185"/>
        <v>4071</v>
      </c>
      <c r="B102" s="230">
        <f t="shared" si="186"/>
        <v>92</v>
      </c>
      <c r="C102" s="218" t="str">
        <f t="shared" si="181"/>
        <v>71aF30#352_000_02</v>
      </c>
      <c r="D102" s="43">
        <f>D101</f>
        <v>30</v>
      </c>
      <c r="E102" s="61">
        <f>E101</f>
        <v>3.3</v>
      </c>
      <c r="F102" s="44">
        <f>F101</f>
        <v>11</v>
      </c>
      <c r="G102" s="44">
        <f t="shared" si="203"/>
        <v>8.8000000000000007</v>
      </c>
      <c r="H102" s="44">
        <f t="shared" si="204"/>
        <v>5.5</v>
      </c>
      <c r="I102" s="44">
        <f>I101</f>
        <v>8</v>
      </c>
      <c r="J102" s="199">
        <f t="shared" si="258"/>
        <v>-8</v>
      </c>
      <c r="K102" s="194" t="str">
        <f>D102&amp;-2</f>
        <v>30-2</v>
      </c>
      <c r="L102" s="198">
        <f>L101</f>
        <v>0.11</v>
      </c>
      <c r="M102" s="53">
        <f t="shared" ref="M102:M118" si="260">M84+15</f>
        <v>75</v>
      </c>
      <c r="N102" s="53">
        <f>N101</f>
        <v>150</v>
      </c>
      <c r="O102" s="44">
        <f>O101</f>
        <v>750</v>
      </c>
    </row>
    <row r="103" spans="1:15" ht="15.75" thickBot="1" x14ac:dyDescent="0.3">
      <c r="A103" s="229">
        <f t="shared" si="185"/>
        <v>4072</v>
      </c>
      <c r="B103" s="230">
        <f t="shared" si="186"/>
        <v>93</v>
      </c>
      <c r="C103" s="218" t="str">
        <f t="shared" si="181"/>
        <v>71aF30#352_000_03</v>
      </c>
      <c r="D103" s="43">
        <f t="shared" ref="D103:F103" si="261">D102</f>
        <v>30</v>
      </c>
      <c r="E103" s="61">
        <f t="shared" si="261"/>
        <v>3.3</v>
      </c>
      <c r="F103" s="44">
        <f t="shared" si="261"/>
        <v>11</v>
      </c>
      <c r="G103" s="44">
        <f t="shared" si="203"/>
        <v>8.8000000000000007</v>
      </c>
      <c r="H103" s="44">
        <f t="shared" si="204"/>
        <v>5.5</v>
      </c>
      <c r="I103" s="44">
        <f t="shared" ref="I103:I107" si="262">I102</f>
        <v>8</v>
      </c>
      <c r="J103" s="199">
        <f t="shared" si="258"/>
        <v>-8</v>
      </c>
      <c r="K103" s="194" t="str">
        <f>D103&amp;-3</f>
        <v>30-3</v>
      </c>
      <c r="L103" s="198">
        <f t="shared" ref="L103" si="263">L102</f>
        <v>0.11</v>
      </c>
      <c r="M103" s="53">
        <f t="shared" si="260"/>
        <v>75</v>
      </c>
      <c r="N103" s="53">
        <f t="shared" ref="N103:O103" si="264">N102</f>
        <v>150</v>
      </c>
      <c r="O103" s="44">
        <f t="shared" si="264"/>
        <v>750</v>
      </c>
    </row>
    <row r="104" spans="1:15" ht="15.75" thickBot="1" x14ac:dyDescent="0.3">
      <c r="A104" s="229">
        <f t="shared" si="185"/>
        <v>4073</v>
      </c>
      <c r="B104" s="230">
        <f t="shared" si="186"/>
        <v>94</v>
      </c>
      <c r="C104" s="218" t="str">
        <f t="shared" si="181"/>
        <v>71aF30#352_000_04</v>
      </c>
      <c r="D104" s="43">
        <f t="shared" ref="D104:F104" si="265">D103</f>
        <v>30</v>
      </c>
      <c r="E104" s="61">
        <f t="shared" si="265"/>
        <v>3.3</v>
      </c>
      <c r="F104" s="44">
        <f t="shared" si="265"/>
        <v>11</v>
      </c>
      <c r="G104" s="44">
        <f t="shared" si="203"/>
        <v>8.8000000000000007</v>
      </c>
      <c r="H104" s="44">
        <f t="shared" si="204"/>
        <v>5.5</v>
      </c>
      <c r="I104" s="44">
        <f t="shared" si="262"/>
        <v>8</v>
      </c>
      <c r="J104" s="199">
        <f t="shared" si="258"/>
        <v>-8</v>
      </c>
      <c r="K104" s="194" t="str">
        <f>D104&amp;-4</f>
        <v>30-4</v>
      </c>
      <c r="L104" s="198">
        <f t="shared" ref="L104" si="266">L103</f>
        <v>0.11</v>
      </c>
      <c r="M104" s="53">
        <f t="shared" si="260"/>
        <v>75</v>
      </c>
      <c r="N104" s="53">
        <f t="shared" ref="N104:O104" si="267">N103</f>
        <v>150</v>
      </c>
      <c r="O104" s="44">
        <f t="shared" si="267"/>
        <v>750</v>
      </c>
    </row>
    <row r="105" spans="1:15" ht="15.75" thickBot="1" x14ac:dyDescent="0.3">
      <c r="A105" s="229">
        <f t="shared" si="185"/>
        <v>4074</v>
      </c>
      <c r="B105" s="230">
        <f t="shared" si="186"/>
        <v>95</v>
      </c>
      <c r="C105" s="218" t="str">
        <f t="shared" si="181"/>
        <v>71aF30#352_000_05</v>
      </c>
      <c r="D105" s="43">
        <f t="shared" ref="D105:F105" si="268">D104</f>
        <v>30</v>
      </c>
      <c r="E105" s="61">
        <f t="shared" si="268"/>
        <v>3.3</v>
      </c>
      <c r="F105" s="44">
        <f t="shared" si="268"/>
        <v>11</v>
      </c>
      <c r="G105" s="44">
        <f t="shared" si="203"/>
        <v>8.8000000000000007</v>
      </c>
      <c r="H105" s="44">
        <f t="shared" si="204"/>
        <v>5.5</v>
      </c>
      <c r="I105" s="44">
        <f t="shared" si="262"/>
        <v>8</v>
      </c>
      <c r="J105" s="199">
        <f t="shared" si="258"/>
        <v>-8</v>
      </c>
      <c r="K105" s="194" t="str">
        <f>D105&amp;-5</f>
        <v>30-5</v>
      </c>
      <c r="L105" s="198">
        <f t="shared" ref="L105" si="269">L104</f>
        <v>0.11</v>
      </c>
      <c r="M105" s="53">
        <f t="shared" si="260"/>
        <v>75</v>
      </c>
      <c r="N105" s="53">
        <f t="shared" ref="N105:O105" si="270">N104</f>
        <v>150</v>
      </c>
      <c r="O105" s="44">
        <f t="shared" si="270"/>
        <v>750</v>
      </c>
    </row>
    <row r="106" spans="1:15" ht="15.75" thickBot="1" x14ac:dyDescent="0.3">
      <c r="A106" s="229">
        <f t="shared" si="185"/>
        <v>4075</v>
      </c>
      <c r="B106" s="230">
        <f t="shared" si="186"/>
        <v>96</v>
      </c>
      <c r="C106" s="218" t="str">
        <f t="shared" si="181"/>
        <v>71aF30#352_000_06</v>
      </c>
      <c r="D106" s="43">
        <f t="shared" ref="D106:F106" si="271">D105</f>
        <v>30</v>
      </c>
      <c r="E106" s="61">
        <f t="shared" si="271"/>
        <v>3.3</v>
      </c>
      <c r="F106" s="44">
        <f t="shared" si="271"/>
        <v>11</v>
      </c>
      <c r="G106" s="44">
        <f t="shared" si="203"/>
        <v>8.8000000000000007</v>
      </c>
      <c r="H106" s="44">
        <f t="shared" si="204"/>
        <v>5.5</v>
      </c>
      <c r="I106" s="44">
        <f t="shared" si="262"/>
        <v>8</v>
      </c>
      <c r="J106" s="199">
        <f t="shared" si="258"/>
        <v>-8</v>
      </c>
      <c r="K106" s="194" t="str">
        <f>D106&amp;-6</f>
        <v>30-6</v>
      </c>
      <c r="L106" s="198">
        <f t="shared" ref="L106:L107" si="272">L105</f>
        <v>0.11</v>
      </c>
      <c r="M106" s="53">
        <f t="shared" si="260"/>
        <v>75</v>
      </c>
      <c r="N106" s="53">
        <f t="shared" ref="N106:O106" si="273">N105</f>
        <v>150</v>
      </c>
      <c r="O106" s="44">
        <f t="shared" si="273"/>
        <v>750</v>
      </c>
    </row>
    <row r="107" spans="1:15" ht="15.75" thickBot="1" x14ac:dyDescent="0.3">
      <c r="A107" s="229">
        <f t="shared" si="185"/>
        <v>4076</v>
      </c>
      <c r="B107" s="230">
        <f t="shared" si="186"/>
        <v>97</v>
      </c>
      <c r="C107" s="218" t="str">
        <f t="shared" si="181"/>
        <v>71aF30#000_000_01</v>
      </c>
      <c r="D107" s="43">
        <f t="shared" ref="D107:F107" si="274">D106</f>
        <v>30</v>
      </c>
      <c r="E107" s="61">
        <f t="shared" si="274"/>
        <v>3.3</v>
      </c>
      <c r="F107" s="44">
        <f t="shared" si="274"/>
        <v>11</v>
      </c>
      <c r="G107" s="44">
        <f t="shared" si="203"/>
        <v>8.8000000000000007</v>
      </c>
      <c r="H107" s="44">
        <f t="shared" si="204"/>
        <v>5.5</v>
      </c>
      <c r="I107" s="44">
        <f t="shared" si="262"/>
        <v>8</v>
      </c>
      <c r="J107" s="199">
        <f>yaw_null</f>
        <v>0</v>
      </c>
      <c r="K107" s="194" t="str">
        <f>D107&amp;-1</f>
        <v>30-1</v>
      </c>
      <c r="L107" s="198">
        <f t="shared" si="272"/>
        <v>0.11</v>
      </c>
      <c r="M107" s="53">
        <f t="shared" si="260"/>
        <v>75</v>
      </c>
      <c r="N107" s="53">
        <f t="shared" ref="N107:O107" si="275">N106</f>
        <v>150</v>
      </c>
      <c r="O107" s="44">
        <f t="shared" si="275"/>
        <v>750</v>
      </c>
    </row>
    <row r="108" spans="1:15" ht="15.75" thickBot="1" x14ac:dyDescent="0.3">
      <c r="A108" s="229">
        <f t="shared" si="185"/>
        <v>4077</v>
      </c>
      <c r="B108" s="230">
        <f t="shared" si="186"/>
        <v>98</v>
      </c>
      <c r="C108" s="218" t="str">
        <f t="shared" si="181"/>
        <v>71aF30#000_000_02</v>
      </c>
      <c r="D108" s="43">
        <f>D107</f>
        <v>30</v>
      </c>
      <c r="E108" s="61">
        <f>E107</f>
        <v>3.3</v>
      </c>
      <c r="F108" s="44">
        <f>F107</f>
        <v>11</v>
      </c>
      <c r="G108" s="44">
        <f t="shared" si="203"/>
        <v>8.8000000000000007</v>
      </c>
      <c r="H108" s="44">
        <f t="shared" si="204"/>
        <v>5.5</v>
      </c>
      <c r="I108" s="44">
        <f>I107</f>
        <v>8</v>
      </c>
      <c r="J108" s="199">
        <f>J107</f>
        <v>0</v>
      </c>
      <c r="K108" s="194" t="str">
        <f>D108&amp;-2</f>
        <v>30-2</v>
      </c>
      <c r="L108" s="198">
        <f>L107</f>
        <v>0.11</v>
      </c>
      <c r="M108" s="53">
        <f t="shared" si="260"/>
        <v>75</v>
      </c>
      <c r="N108" s="53">
        <f>N107</f>
        <v>150</v>
      </c>
      <c r="O108" s="44">
        <f>O107</f>
        <v>750</v>
      </c>
    </row>
    <row r="109" spans="1:15" ht="15.75" thickBot="1" x14ac:dyDescent="0.3">
      <c r="A109" s="229">
        <f t="shared" si="185"/>
        <v>4078</v>
      </c>
      <c r="B109" s="230">
        <f t="shared" si="186"/>
        <v>99</v>
      </c>
      <c r="C109" s="218" t="str">
        <f t="shared" si="181"/>
        <v>71aF30#000_000_03</v>
      </c>
      <c r="D109" s="43">
        <f t="shared" ref="D109:F109" si="276">D108</f>
        <v>30</v>
      </c>
      <c r="E109" s="61">
        <f t="shared" si="276"/>
        <v>3.3</v>
      </c>
      <c r="F109" s="44">
        <f t="shared" si="276"/>
        <v>11</v>
      </c>
      <c r="G109" s="44">
        <f t="shared" si="203"/>
        <v>8.8000000000000007</v>
      </c>
      <c r="H109" s="44">
        <f t="shared" si="204"/>
        <v>5.5</v>
      </c>
      <c r="I109" s="44">
        <f t="shared" ref="I109:J113" si="277">I108</f>
        <v>8</v>
      </c>
      <c r="J109" s="199">
        <f t="shared" si="277"/>
        <v>0</v>
      </c>
      <c r="K109" s="194" t="str">
        <f>D109&amp;-3</f>
        <v>30-3</v>
      </c>
      <c r="L109" s="198">
        <f t="shared" ref="L109" si="278">L108</f>
        <v>0.11</v>
      </c>
      <c r="M109" s="53">
        <f t="shared" si="260"/>
        <v>75</v>
      </c>
      <c r="N109" s="53">
        <f t="shared" ref="N109:O109" si="279">N108</f>
        <v>150</v>
      </c>
      <c r="O109" s="44">
        <f t="shared" si="279"/>
        <v>750</v>
      </c>
    </row>
    <row r="110" spans="1:15" ht="15.75" thickBot="1" x14ac:dyDescent="0.3">
      <c r="A110" s="229">
        <f t="shared" si="185"/>
        <v>4079</v>
      </c>
      <c r="B110" s="230">
        <f t="shared" si="186"/>
        <v>100</v>
      </c>
      <c r="C110" s="218" t="str">
        <f t="shared" si="181"/>
        <v>71aF30#000_000_04</v>
      </c>
      <c r="D110" s="43">
        <f t="shared" ref="D110:F110" si="280">D109</f>
        <v>30</v>
      </c>
      <c r="E110" s="61">
        <f t="shared" si="280"/>
        <v>3.3</v>
      </c>
      <c r="F110" s="44">
        <f t="shared" si="280"/>
        <v>11</v>
      </c>
      <c r="G110" s="44">
        <f t="shared" si="203"/>
        <v>8.8000000000000007</v>
      </c>
      <c r="H110" s="44">
        <f t="shared" si="204"/>
        <v>5.5</v>
      </c>
      <c r="I110" s="44">
        <f t="shared" si="277"/>
        <v>8</v>
      </c>
      <c r="J110" s="199">
        <f t="shared" si="277"/>
        <v>0</v>
      </c>
      <c r="K110" s="194" t="str">
        <f>D110&amp;-4</f>
        <v>30-4</v>
      </c>
      <c r="L110" s="198">
        <f t="shared" ref="L110" si="281">L109</f>
        <v>0.11</v>
      </c>
      <c r="M110" s="53">
        <f t="shared" si="260"/>
        <v>75</v>
      </c>
      <c r="N110" s="53">
        <f t="shared" ref="N110:O110" si="282">N109</f>
        <v>150</v>
      </c>
      <c r="O110" s="44">
        <f t="shared" si="282"/>
        <v>750</v>
      </c>
    </row>
    <row r="111" spans="1:15" ht="15.75" thickBot="1" x14ac:dyDescent="0.3">
      <c r="A111" s="229">
        <f t="shared" si="185"/>
        <v>4080</v>
      </c>
      <c r="B111" s="230">
        <f t="shared" si="186"/>
        <v>101</v>
      </c>
      <c r="C111" s="218" t="str">
        <f t="shared" si="181"/>
        <v>71aF30#000_000_05</v>
      </c>
      <c r="D111" s="43">
        <f t="shared" ref="D111:F111" si="283">D110</f>
        <v>30</v>
      </c>
      <c r="E111" s="61">
        <f t="shared" si="283"/>
        <v>3.3</v>
      </c>
      <c r="F111" s="44">
        <f t="shared" si="283"/>
        <v>11</v>
      </c>
      <c r="G111" s="44">
        <f t="shared" si="203"/>
        <v>8.8000000000000007</v>
      </c>
      <c r="H111" s="44">
        <f t="shared" si="204"/>
        <v>5.5</v>
      </c>
      <c r="I111" s="44">
        <f t="shared" si="277"/>
        <v>8</v>
      </c>
      <c r="J111" s="199">
        <f t="shared" si="277"/>
        <v>0</v>
      </c>
      <c r="K111" s="194" t="str">
        <f>D111&amp;-5</f>
        <v>30-5</v>
      </c>
      <c r="L111" s="198">
        <f t="shared" ref="L111" si="284">L110</f>
        <v>0.11</v>
      </c>
      <c r="M111" s="53">
        <f t="shared" si="260"/>
        <v>75</v>
      </c>
      <c r="N111" s="53">
        <f t="shared" ref="N111:O111" si="285">N110</f>
        <v>150</v>
      </c>
      <c r="O111" s="44">
        <f t="shared" si="285"/>
        <v>750</v>
      </c>
    </row>
    <row r="112" spans="1:15" ht="15.75" thickBot="1" x14ac:dyDescent="0.3">
      <c r="A112" s="229">
        <f t="shared" si="185"/>
        <v>4081</v>
      </c>
      <c r="B112" s="230">
        <f t="shared" si="186"/>
        <v>102</v>
      </c>
      <c r="C112" s="218" t="str">
        <f t="shared" si="181"/>
        <v>71aF30#000_000_06</v>
      </c>
      <c r="D112" s="43">
        <f t="shared" ref="D112:F112" si="286">D111</f>
        <v>30</v>
      </c>
      <c r="E112" s="61">
        <f t="shared" si="286"/>
        <v>3.3</v>
      </c>
      <c r="F112" s="44">
        <f t="shared" si="286"/>
        <v>11</v>
      </c>
      <c r="G112" s="44">
        <f t="shared" si="203"/>
        <v>8.8000000000000007</v>
      </c>
      <c r="H112" s="44">
        <f t="shared" si="204"/>
        <v>5.5</v>
      </c>
      <c r="I112" s="44">
        <f t="shared" si="277"/>
        <v>8</v>
      </c>
      <c r="J112" s="199">
        <f t="shared" si="277"/>
        <v>0</v>
      </c>
      <c r="K112" s="194" t="str">
        <f>D112&amp;-6</f>
        <v>30-6</v>
      </c>
      <c r="L112" s="198">
        <f t="shared" ref="L112:L113" si="287">L111</f>
        <v>0.11</v>
      </c>
      <c r="M112" s="53">
        <f t="shared" si="260"/>
        <v>75</v>
      </c>
      <c r="N112" s="53">
        <f t="shared" ref="N112:O112" si="288">N111</f>
        <v>150</v>
      </c>
      <c r="O112" s="44">
        <f t="shared" si="288"/>
        <v>750</v>
      </c>
    </row>
    <row r="113" spans="1:15" ht="15.75" thickBot="1" x14ac:dyDescent="0.3">
      <c r="A113" s="229">
        <f t="shared" si="185"/>
        <v>4082</v>
      </c>
      <c r="B113" s="230">
        <f t="shared" si="186"/>
        <v>103</v>
      </c>
      <c r="C113" s="218" t="str">
        <f t="shared" si="181"/>
        <v>71aF30#008_000_01</v>
      </c>
      <c r="D113" s="43">
        <f t="shared" ref="D113:F113" si="289">D112</f>
        <v>30</v>
      </c>
      <c r="E113" s="61">
        <f t="shared" si="289"/>
        <v>3.3</v>
      </c>
      <c r="F113" s="44">
        <f t="shared" si="289"/>
        <v>11</v>
      </c>
      <c r="G113" s="44">
        <f t="shared" si="203"/>
        <v>8.8000000000000007</v>
      </c>
      <c r="H113" s="44">
        <f t="shared" si="204"/>
        <v>5.5</v>
      </c>
      <c r="I113" s="44">
        <f t="shared" si="277"/>
        <v>8</v>
      </c>
      <c r="J113" s="199">
        <f>yaw_max</f>
        <v>8</v>
      </c>
      <c r="K113" s="194" t="str">
        <f>D113&amp;-1</f>
        <v>30-1</v>
      </c>
      <c r="L113" s="198">
        <f t="shared" si="287"/>
        <v>0.11</v>
      </c>
      <c r="M113" s="53">
        <f t="shared" si="260"/>
        <v>75</v>
      </c>
      <c r="N113" s="53">
        <f t="shared" ref="N113:O113" si="290">N112</f>
        <v>150</v>
      </c>
      <c r="O113" s="44">
        <f t="shared" si="290"/>
        <v>750</v>
      </c>
    </row>
    <row r="114" spans="1:15" ht="15.75" thickBot="1" x14ac:dyDescent="0.3">
      <c r="A114" s="229">
        <f t="shared" si="185"/>
        <v>4083</v>
      </c>
      <c r="B114" s="230">
        <f t="shared" si="186"/>
        <v>104</v>
      </c>
      <c r="C114" s="218" t="str">
        <f t="shared" si="181"/>
        <v>71aF30#008_000_02</v>
      </c>
      <c r="D114" s="43">
        <f>D113</f>
        <v>30</v>
      </c>
      <c r="E114" s="61">
        <f>E113</f>
        <v>3.3</v>
      </c>
      <c r="F114" s="44">
        <f>F113</f>
        <v>11</v>
      </c>
      <c r="G114" s="44">
        <f t="shared" si="203"/>
        <v>8.8000000000000007</v>
      </c>
      <c r="H114" s="44">
        <f t="shared" si="204"/>
        <v>5.5</v>
      </c>
      <c r="I114" s="44">
        <f>I113</f>
        <v>8</v>
      </c>
      <c r="J114" s="199">
        <f>J113</f>
        <v>8</v>
      </c>
      <c r="K114" s="194" t="str">
        <f>D114&amp;-2</f>
        <v>30-2</v>
      </c>
      <c r="L114" s="198">
        <f>L113</f>
        <v>0.11</v>
      </c>
      <c r="M114" s="53">
        <f t="shared" si="260"/>
        <v>75</v>
      </c>
      <c r="N114" s="53">
        <f>N113</f>
        <v>150</v>
      </c>
      <c r="O114" s="44">
        <f>O113</f>
        <v>750</v>
      </c>
    </row>
    <row r="115" spans="1:15" ht="15.75" thickBot="1" x14ac:dyDescent="0.3">
      <c r="A115" s="229">
        <f t="shared" si="185"/>
        <v>4084</v>
      </c>
      <c r="B115" s="230">
        <f t="shared" si="186"/>
        <v>105</v>
      </c>
      <c r="C115" s="218" t="str">
        <f t="shared" si="181"/>
        <v>71aF30#008_000_03</v>
      </c>
      <c r="D115" s="43">
        <f t="shared" ref="D115:F115" si="291">D114</f>
        <v>30</v>
      </c>
      <c r="E115" s="61">
        <f t="shared" si="291"/>
        <v>3.3</v>
      </c>
      <c r="F115" s="44">
        <f t="shared" si="291"/>
        <v>11</v>
      </c>
      <c r="G115" s="44">
        <f t="shared" si="203"/>
        <v>8.8000000000000007</v>
      </c>
      <c r="H115" s="44">
        <f t="shared" si="204"/>
        <v>5.5</v>
      </c>
      <c r="I115" s="44">
        <f t="shared" ref="I115:J118" si="292">I114</f>
        <v>8</v>
      </c>
      <c r="J115" s="199">
        <f t="shared" si="292"/>
        <v>8</v>
      </c>
      <c r="K115" s="194" t="str">
        <f>D115&amp;-3</f>
        <v>30-3</v>
      </c>
      <c r="L115" s="198">
        <f t="shared" ref="L115" si="293">L114</f>
        <v>0.11</v>
      </c>
      <c r="M115" s="53">
        <f t="shared" si="260"/>
        <v>75</v>
      </c>
      <c r="N115" s="53">
        <f t="shared" ref="N115:O115" si="294">N114</f>
        <v>150</v>
      </c>
      <c r="O115" s="44">
        <f t="shared" si="294"/>
        <v>750</v>
      </c>
    </row>
    <row r="116" spans="1:15" ht="15.75" thickBot="1" x14ac:dyDescent="0.3">
      <c r="A116" s="229">
        <f t="shared" si="185"/>
        <v>4085</v>
      </c>
      <c r="B116" s="230">
        <f t="shared" si="186"/>
        <v>106</v>
      </c>
      <c r="C116" s="218" t="str">
        <f t="shared" si="181"/>
        <v>71aF30#008_000_04</v>
      </c>
      <c r="D116" s="43">
        <f t="shared" ref="D116:F116" si="295">D115</f>
        <v>30</v>
      </c>
      <c r="E116" s="61">
        <f t="shared" si="295"/>
        <v>3.3</v>
      </c>
      <c r="F116" s="44">
        <f t="shared" si="295"/>
        <v>11</v>
      </c>
      <c r="G116" s="44">
        <f t="shared" si="203"/>
        <v>8.8000000000000007</v>
      </c>
      <c r="H116" s="44">
        <f t="shared" si="204"/>
        <v>5.5</v>
      </c>
      <c r="I116" s="44">
        <f t="shared" si="292"/>
        <v>8</v>
      </c>
      <c r="J116" s="199">
        <f t="shared" si="292"/>
        <v>8</v>
      </c>
      <c r="K116" s="194" t="str">
        <f>D116&amp;-4</f>
        <v>30-4</v>
      </c>
      <c r="L116" s="198">
        <f t="shared" ref="L116" si="296">L115</f>
        <v>0.11</v>
      </c>
      <c r="M116" s="53">
        <f t="shared" si="260"/>
        <v>75</v>
      </c>
      <c r="N116" s="53">
        <f t="shared" ref="N116:O116" si="297">N115</f>
        <v>150</v>
      </c>
      <c r="O116" s="44">
        <f t="shared" si="297"/>
        <v>750</v>
      </c>
    </row>
    <row r="117" spans="1:15" ht="15.75" thickBot="1" x14ac:dyDescent="0.3">
      <c r="A117" s="229">
        <f t="shared" si="185"/>
        <v>4086</v>
      </c>
      <c r="B117" s="230">
        <f t="shared" si="186"/>
        <v>107</v>
      </c>
      <c r="C117" s="218" t="str">
        <f t="shared" si="181"/>
        <v>71aF30#008_000_05</v>
      </c>
      <c r="D117" s="43">
        <f t="shared" ref="D117:F117" si="298">D116</f>
        <v>30</v>
      </c>
      <c r="E117" s="61">
        <f t="shared" si="298"/>
        <v>3.3</v>
      </c>
      <c r="F117" s="44">
        <f t="shared" si="298"/>
        <v>11</v>
      </c>
      <c r="G117" s="44">
        <f t="shared" si="203"/>
        <v>8.8000000000000007</v>
      </c>
      <c r="H117" s="44">
        <f t="shared" si="204"/>
        <v>5.5</v>
      </c>
      <c r="I117" s="44">
        <f t="shared" si="292"/>
        <v>8</v>
      </c>
      <c r="J117" s="199">
        <f t="shared" si="292"/>
        <v>8</v>
      </c>
      <c r="K117" s="194" t="str">
        <f>D117&amp;-5</f>
        <v>30-5</v>
      </c>
      <c r="L117" s="198">
        <f t="shared" ref="L117" si="299">L116</f>
        <v>0.11</v>
      </c>
      <c r="M117" s="53">
        <f t="shared" si="260"/>
        <v>75</v>
      </c>
      <c r="N117" s="53">
        <f t="shared" ref="N117:O117" si="300">N116</f>
        <v>150</v>
      </c>
      <c r="O117" s="44">
        <f t="shared" si="300"/>
        <v>750</v>
      </c>
    </row>
    <row r="118" spans="1:15" x14ac:dyDescent="0.25">
      <c r="A118" s="229">
        <f t="shared" si="185"/>
        <v>4087</v>
      </c>
      <c r="B118" s="230">
        <f t="shared" si="186"/>
        <v>108</v>
      </c>
      <c r="C118" s="218" t="str">
        <f t="shared" si="181"/>
        <v>71aF30#008_000_06</v>
      </c>
      <c r="D118" s="43">
        <f t="shared" ref="D118:F118" si="301">D117</f>
        <v>30</v>
      </c>
      <c r="E118" s="61">
        <f t="shared" si="301"/>
        <v>3.3</v>
      </c>
      <c r="F118" s="44">
        <f t="shared" si="301"/>
        <v>11</v>
      </c>
      <c r="G118" s="44">
        <f t="shared" si="203"/>
        <v>8.8000000000000007</v>
      </c>
      <c r="H118" s="44">
        <f t="shared" si="204"/>
        <v>5.5</v>
      </c>
      <c r="I118" s="44">
        <f t="shared" si="292"/>
        <v>8</v>
      </c>
      <c r="J118" s="199">
        <f t="shared" si="292"/>
        <v>8</v>
      </c>
      <c r="K118" s="194" t="str">
        <f>D118&amp;-6</f>
        <v>30-6</v>
      </c>
      <c r="L118" s="198">
        <f t="shared" ref="L118" si="302">L117</f>
        <v>0.11</v>
      </c>
      <c r="M118" s="53">
        <f t="shared" si="260"/>
        <v>75</v>
      </c>
      <c r="N118" s="53">
        <f t="shared" ref="N118:O118" si="303">N117</f>
        <v>150</v>
      </c>
      <c r="O118" s="44">
        <f t="shared" si="303"/>
        <v>750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O28"/>
  <sheetViews>
    <sheetView topLeftCell="C1" zoomScaleNormal="100" workbookViewId="0">
      <selection activeCell="I1" sqref="I1:I7"/>
    </sheetView>
  </sheetViews>
  <sheetFormatPr defaultColWidth="9" defaultRowHeight="15" x14ac:dyDescent="0.15"/>
  <cols>
    <col min="1" max="1" width="8" style="182" customWidth="1"/>
    <col min="2" max="2" width="7.75" style="182" customWidth="1"/>
    <col min="3" max="3" width="19.125" style="182" customWidth="1"/>
    <col min="4" max="4" width="7.625" style="182" customWidth="1"/>
    <col min="5" max="6" width="8.125" style="182" customWidth="1"/>
    <col min="7" max="7" width="8.375" style="182" customWidth="1"/>
    <col min="8" max="8" width="7.375" style="182" customWidth="1"/>
    <col min="9" max="9" width="7.25" style="182" customWidth="1"/>
    <col min="10" max="10" width="7" style="182" customWidth="1"/>
    <col min="11" max="11" width="9" style="182"/>
    <col min="12" max="12" width="7.375" style="182" customWidth="1"/>
    <col min="13" max="13" width="11.625" style="182" bestFit="1" customWidth="1"/>
    <col min="14" max="14" width="6.25" style="182" customWidth="1"/>
    <col min="15" max="15" width="7.125" style="182" customWidth="1"/>
    <col min="16" max="16384" width="9" style="182"/>
  </cols>
  <sheetData>
    <row r="1" spans="1:15" x14ac:dyDescent="0.15">
      <c r="H1" s="181" t="s">
        <v>135</v>
      </c>
      <c r="I1" s="216" t="s">
        <v>3976</v>
      </c>
    </row>
    <row r="2" spans="1:15" x14ac:dyDescent="0.15">
      <c r="B2" s="181" t="s">
        <v>3860</v>
      </c>
      <c r="C2" s="181"/>
      <c r="D2" s="181"/>
      <c r="E2" s="181"/>
      <c r="H2" s="181"/>
      <c r="I2" s="216" t="s">
        <v>3971</v>
      </c>
    </row>
    <row r="3" spans="1:15" x14ac:dyDescent="0.15">
      <c r="B3" s="181" t="s">
        <v>88</v>
      </c>
      <c r="C3" s="181"/>
      <c r="D3" s="181"/>
      <c r="E3" s="181" t="s">
        <v>116</v>
      </c>
      <c r="H3" s="181"/>
      <c r="I3" s="240" t="s">
        <v>3939</v>
      </c>
    </row>
    <row r="4" spans="1:15" x14ac:dyDescent="0.15">
      <c r="B4" s="181" t="s">
        <v>89</v>
      </c>
      <c r="C4" s="181"/>
      <c r="D4" s="181"/>
      <c r="E4" s="181" t="s">
        <v>3674</v>
      </c>
      <c r="H4" s="181"/>
      <c r="I4" s="216" t="s">
        <v>3938</v>
      </c>
    </row>
    <row r="5" spans="1:15" x14ac:dyDescent="0.15">
      <c r="B5" s="181" t="s">
        <v>91</v>
      </c>
      <c r="C5" s="181"/>
      <c r="D5" s="181"/>
      <c r="E5" s="181" t="s">
        <v>99</v>
      </c>
      <c r="I5" s="240" t="s">
        <v>3940</v>
      </c>
    </row>
    <row r="6" spans="1:15" x14ac:dyDescent="0.15">
      <c r="B6" s="181" t="s">
        <v>93</v>
      </c>
      <c r="C6" s="181"/>
      <c r="D6" s="181"/>
      <c r="E6" s="181" t="s">
        <v>106</v>
      </c>
      <c r="I6" s="216" t="s">
        <v>3932</v>
      </c>
    </row>
    <row r="7" spans="1:15" x14ac:dyDescent="0.15">
      <c r="A7" s="139"/>
      <c r="B7" s="139"/>
      <c r="C7" s="139"/>
      <c r="D7" s="139"/>
      <c r="E7" s="139"/>
      <c r="F7" s="139"/>
      <c r="G7" s="139"/>
      <c r="H7" s="139"/>
      <c r="I7" s="216" t="s">
        <v>3930</v>
      </c>
      <c r="J7" s="139"/>
      <c r="K7" s="139"/>
      <c r="L7" s="139"/>
      <c r="M7" s="139"/>
      <c r="N7" s="139"/>
      <c r="O7" s="139"/>
    </row>
    <row r="8" spans="1:15" ht="14.25" customHeight="1" thickBot="1" x14ac:dyDescent="0.2">
      <c r="A8" s="139">
        <v>1</v>
      </c>
      <c r="B8" s="139">
        <v>2</v>
      </c>
      <c r="C8" s="139">
        <v>3</v>
      </c>
      <c r="D8" s="139">
        <v>4</v>
      </c>
      <c r="E8" s="139">
        <v>5</v>
      </c>
      <c r="F8" s="139">
        <v>6</v>
      </c>
      <c r="G8" s="139">
        <v>7</v>
      </c>
      <c r="H8" s="139">
        <v>8</v>
      </c>
      <c r="I8" s="139">
        <v>9</v>
      </c>
      <c r="J8" s="139">
        <v>10</v>
      </c>
      <c r="K8" s="139">
        <v>11</v>
      </c>
      <c r="L8" s="139">
        <v>12</v>
      </c>
      <c r="M8" s="139">
        <v>13</v>
      </c>
      <c r="N8" s="139">
        <v>14</v>
      </c>
      <c r="O8" s="139">
        <v>15</v>
      </c>
    </row>
    <row r="9" spans="1:15" x14ac:dyDescent="0.25">
      <c r="A9" s="183" t="s">
        <v>97</v>
      </c>
      <c r="B9" s="184" t="s">
        <v>96</v>
      </c>
      <c r="C9" s="183" t="s">
        <v>0</v>
      </c>
      <c r="D9" s="184" t="s">
        <v>137</v>
      </c>
      <c r="E9" s="201" t="s">
        <v>142</v>
      </c>
      <c r="F9" s="184" t="s">
        <v>119</v>
      </c>
      <c r="G9" s="184" t="s">
        <v>120</v>
      </c>
      <c r="H9" s="184" t="s">
        <v>121</v>
      </c>
      <c r="I9" s="184" t="s">
        <v>144</v>
      </c>
      <c r="J9" s="184" t="s">
        <v>2</v>
      </c>
      <c r="K9" s="185" t="s">
        <v>3</v>
      </c>
      <c r="L9" s="184" t="s">
        <v>141</v>
      </c>
      <c r="M9" s="200" t="s">
        <v>3675</v>
      </c>
      <c r="N9" s="186" t="s">
        <v>138</v>
      </c>
      <c r="O9" s="186" t="s">
        <v>139</v>
      </c>
    </row>
    <row r="10" spans="1:15" ht="15.75" thickBot="1" x14ac:dyDescent="0.3">
      <c r="A10" s="187" t="s">
        <v>76</v>
      </c>
      <c r="B10" s="188" t="str">
        <f>B2</f>
        <v>DLC71b</v>
      </c>
      <c r="C10" s="187"/>
      <c r="D10" s="188" t="s">
        <v>4</v>
      </c>
      <c r="E10" s="202" t="s">
        <v>4</v>
      </c>
      <c r="F10" s="188" t="s">
        <v>5</v>
      </c>
      <c r="G10" s="188" t="s">
        <v>5</v>
      </c>
      <c r="H10" s="188" t="s">
        <v>5</v>
      </c>
      <c r="I10" s="188" t="s">
        <v>6</v>
      </c>
      <c r="J10" s="188" t="s">
        <v>6</v>
      </c>
      <c r="K10" s="189"/>
      <c r="L10" s="188"/>
      <c r="M10" s="48"/>
      <c r="N10" s="190" t="s">
        <v>7</v>
      </c>
      <c r="O10" s="190" t="s">
        <v>7</v>
      </c>
    </row>
    <row r="11" spans="1:15" x14ac:dyDescent="0.25">
      <c r="A11" s="183">
        <f>DLC71a!A118+1</f>
        <v>4088</v>
      </c>
      <c r="B11" s="186">
        <v>1</v>
      </c>
      <c r="C11" s="229" t="str">
        <f>TEXT(RIGHT($B$2,LEN($B$2)-3),"000")&amp;"X"&amp;TEXT(D11,"00")&amp;"#"&amp;IF(J11&lt;0,TEXT(360+J11,"000"),TEXT(J11,"000"))&amp;"_"&amp;"000"&amp;"_"&amp;TEXT(RIGHT(K11,LEN(K11)-FIND("-",K11)),"00")</f>
        <v>71bX30#352_000_01</v>
      </c>
      <c r="D11" s="191">
        <f>v_1</f>
        <v>30</v>
      </c>
      <c r="E11" s="203">
        <f>F11*D11/100</f>
        <v>3.3</v>
      </c>
      <c r="F11" s="192">
        <f>0.11*100</f>
        <v>11</v>
      </c>
      <c r="G11" s="198">
        <f t="shared" ref="G11:G22" si="0">m_ty*F11</f>
        <v>8.8000000000000007</v>
      </c>
      <c r="H11" s="198">
        <f t="shared" ref="H11:H22" si="1">m_tz*F11</f>
        <v>5.5</v>
      </c>
      <c r="I11" s="192">
        <f>inflow</f>
        <v>8</v>
      </c>
      <c r="J11" s="193">
        <f t="shared" ref="J11:J16" si="2">yaw_min</f>
        <v>-8</v>
      </c>
      <c r="K11" s="194" t="str">
        <f>D11&amp;-1</f>
        <v>30-1</v>
      </c>
      <c r="L11" s="192">
        <f>alpha_e</f>
        <v>0.11</v>
      </c>
      <c r="M11" s="57">
        <f>Btorque_max</f>
        <v>30000</v>
      </c>
      <c r="N11" s="53">
        <f>t_out</f>
        <v>150</v>
      </c>
      <c r="O11" s="192">
        <f>N11+T_s1</f>
        <v>750</v>
      </c>
    </row>
    <row r="12" spans="1:15" ht="15.75" customHeight="1" x14ac:dyDescent="0.25">
      <c r="A12" s="195">
        <f>A11+1</f>
        <v>4089</v>
      </c>
      <c r="B12" s="196">
        <f>B11+1</f>
        <v>2</v>
      </c>
      <c r="C12" s="229" t="str">
        <f t="shared" ref="C12:C28" si="3">TEXT(RIGHT($B$2,LEN($B$2)-3),"000")&amp;"X"&amp;TEXT(D12,"00")&amp;"#"&amp;IF(J12&lt;0,TEXT(360+J12,"000"),TEXT(J12,"000"))&amp;"_"&amp;"000"&amp;"_"&amp;TEXT(RIGHT(K12,LEN(K12)-FIND("-",K12)),"00")</f>
        <v>71bX30#352_000_02</v>
      </c>
      <c r="D12" s="197">
        <f>D11</f>
        <v>30</v>
      </c>
      <c r="E12" s="204">
        <f>E11</f>
        <v>3.3</v>
      </c>
      <c r="F12" s="198">
        <f>F11</f>
        <v>11</v>
      </c>
      <c r="G12" s="198">
        <f t="shared" si="0"/>
        <v>8.8000000000000007</v>
      </c>
      <c r="H12" s="198">
        <f t="shared" si="1"/>
        <v>5.5</v>
      </c>
      <c r="I12" s="198">
        <f>I11</f>
        <v>8</v>
      </c>
      <c r="J12" s="199">
        <f t="shared" si="2"/>
        <v>-8</v>
      </c>
      <c r="K12" s="194" t="str">
        <f>D12&amp;-2</f>
        <v>30-2</v>
      </c>
      <c r="L12" s="198">
        <f>L11</f>
        <v>0.11</v>
      </c>
      <c r="M12" s="53">
        <f>M11</f>
        <v>30000</v>
      </c>
      <c r="N12" s="53">
        <f>N11</f>
        <v>150</v>
      </c>
      <c r="O12" s="198">
        <f>O11</f>
        <v>750</v>
      </c>
    </row>
    <row r="13" spans="1:15" x14ac:dyDescent="0.25">
      <c r="A13" s="229">
        <f t="shared" ref="A13:A28" si="4">A12+1</f>
        <v>4090</v>
      </c>
      <c r="B13" s="230">
        <f t="shared" ref="B13:B28" si="5">B12+1</f>
        <v>3</v>
      </c>
      <c r="C13" s="229" t="str">
        <f t="shared" si="3"/>
        <v>71bX30#352_000_03</v>
      </c>
      <c r="D13" s="197">
        <f t="shared" ref="D13:I17" si="6">D12</f>
        <v>30</v>
      </c>
      <c r="E13" s="204">
        <f t="shared" si="6"/>
        <v>3.3</v>
      </c>
      <c r="F13" s="198">
        <f t="shared" si="6"/>
        <v>11</v>
      </c>
      <c r="G13" s="198">
        <f t="shared" si="0"/>
        <v>8.8000000000000007</v>
      </c>
      <c r="H13" s="198">
        <f t="shared" si="1"/>
        <v>5.5</v>
      </c>
      <c r="I13" s="198">
        <f t="shared" si="6"/>
        <v>8</v>
      </c>
      <c r="J13" s="199">
        <f t="shared" si="2"/>
        <v>-8</v>
      </c>
      <c r="K13" s="194" t="str">
        <f>D13&amp;-3</f>
        <v>30-3</v>
      </c>
      <c r="L13" s="198">
        <f t="shared" ref="L13:O17" si="7">L12</f>
        <v>0.11</v>
      </c>
      <c r="M13" s="53">
        <f t="shared" si="7"/>
        <v>30000</v>
      </c>
      <c r="N13" s="53">
        <f t="shared" si="7"/>
        <v>150</v>
      </c>
      <c r="O13" s="198">
        <f t="shared" si="7"/>
        <v>750</v>
      </c>
    </row>
    <row r="14" spans="1:15" x14ac:dyDescent="0.25">
      <c r="A14" s="229">
        <f t="shared" si="4"/>
        <v>4091</v>
      </c>
      <c r="B14" s="230">
        <f t="shared" si="5"/>
        <v>4</v>
      </c>
      <c r="C14" s="229" t="str">
        <f t="shared" si="3"/>
        <v>71bX30#352_000_04</v>
      </c>
      <c r="D14" s="197">
        <f t="shared" si="6"/>
        <v>30</v>
      </c>
      <c r="E14" s="204">
        <f t="shared" si="6"/>
        <v>3.3</v>
      </c>
      <c r="F14" s="198">
        <f t="shared" si="6"/>
        <v>11</v>
      </c>
      <c r="G14" s="198">
        <f t="shared" si="0"/>
        <v>8.8000000000000007</v>
      </c>
      <c r="H14" s="198">
        <f t="shared" si="1"/>
        <v>5.5</v>
      </c>
      <c r="I14" s="198">
        <f t="shared" si="6"/>
        <v>8</v>
      </c>
      <c r="J14" s="199">
        <f t="shared" si="2"/>
        <v>-8</v>
      </c>
      <c r="K14" s="194" t="str">
        <f>D14&amp;-4</f>
        <v>30-4</v>
      </c>
      <c r="L14" s="198">
        <f t="shared" si="7"/>
        <v>0.11</v>
      </c>
      <c r="M14" s="53">
        <f t="shared" si="7"/>
        <v>30000</v>
      </c>
      <c r="N14" s="53">
        <f t="shared" si="7"/>
        <v>150</v>
      </c>
      <c r="O14" s="198">
        <f t="shared" si="7"/>
        <v>750</v>
      </c>
    </row>
    <row r="15" spans="1:15" x14ac:dyDescent="0.25">
      <c r="A15" s="229">
        <f t="shared" si="4"/>
        <v>4092</v>
      </c>
      <c r="B15" s="230">
        <f t="shared" si="5"/>
        <v>5</v>
      </c>
      <c r="C15" s="229" t="str">
        <f t="shared" si="3"/>
        <v>71bX30#352_000_05</v>
      </c>
      <c r="D15" s="197">
        <f t="shared" si="6"/>
        <v>30</v>
      </c>
      <c r="E15" s="204">
        <f t="shared" si="6"/>
        <v>3.3</v>
      </c>
      <c r="F15" s="198">
        <f t="shared" si="6"/>
        <v>11</v>
      </c>
      <c r="G15" s="198">
        <f t="shared" si="0"/>
        <v>8.8000000000000007</v>
      </c>
      <c r="H15" s="198">
        <f t="shared" si="1"/>
        <v>5.5</v>
      </c>
      <c r="I15" s="198">
        <f t="shared" si="6"/>
        <v>8</v>
      </c>
      <c r="J15" s="199">
        <f t="shared" si="2"/>
        <v>-8</v>
      </c>
      <c r="K15" s="194" t="str">
        <f>D15&amp;-5</f>
        <v>30-5</v>
      </c>
      <c r="L15" s="198">
        <f t="shared" si="7"/>
        <v>0.11</v>
      </c>
      <c r="M15" s="53">
        <f t="shared" si="7"/>
        <v>30000</v>
      </c>
      <c r="N15" s="53">
        <f t="shared" si="7"/>
        <v>150</v>
      </c>
      <c r="O15" s="198">
        <f t="shared" si="7"/>
        <v>750</v>
      </c>
    </row>
    <row r="16" spans="1:15" x14ac:dyDescent="0.25">
      <c r="A16" s="229">
        <f t="shared" si="4"/>
        <v>4093</v>
      </c>
      <c r="B16" s="230">
        <f t="shared" si="5"/>
        <v>6</v>
      </c>
      <c r="C16" s="229" t="str">
        <f t="shared" si="3"/>
        <v>71bX30#352_000_06</v>
      </c>
      <c r="D16" s="197">
        <f t="shared" si="6"/>
        <v>30</v>
      </c>
      <c r="E16" s="204">
        <f t="shared" si="6"/>
        <v>3.3</v>
      </c>
      <c r="F16" s="198">
        <f t="shared" si="6"/>
        <v>11</v>
      </c>
      <c r="G16" s="198">
        <f t="shared" si="0"/>
        <v>8.8000000000000007</v>
      </c>
      <c r="H16" s="198">
        <f t="shared" si="1"/>
        <v>5.5</v>
      </c>
      <c r="I16" s="198">
        <f t="shared" si="6"/>
        <v>8</v>
      </c>
      <c r="J16" s="199">
        <f t="shared" si="2"/>
        <v>-8</v>
      </c>
      <c r="K16" s="194" t="str">
        <f>D16&amp;-6</f>
        <v>30-6</v>
      </c>
      <c r="L16" s="198">
        <f t="shared" si="7"/>
        <v>0.11</v>
      </c>
      <c r="M16" s="53">
        <f t="shared" si="7"/>
        <v>30000</v>
      </c>
      <c r="N16" s="53">
        <f t="shared" si="7"/>
        <v>150</v>
      </c>
      <c r="O16" s="198">
        <f t="shared" si="7"/>
        <v>750</v>
      </c>
    </row>
    <row r="17" spans="1:15" x14ac:dyDescent="0.25">
      <c r="A17" s="229">
        <f t="shared" si="4"/>
        <v>4094</v>
      </c>
      <c r="B17" s="230">
        <f t="shared" si="5"/>
        <v>7</v>
      </c>
      <c r="C17" s="229" t="str">
        <f t="shared" si="3"/>
        <v>71bX30#000_000_01</v>
      </c>
      <c r="D17" s="197">
        <f>D16</f>
        <v>30</v>
      </c>
      <c r="E17" s="204">
        <f t="shared" si="6"/>
        <v>3.3</v>
      </c>
      <c r="F17" s="198">
        <f t="shared" si="6"/>
        <v>11</v>
      </c>
      <c r="G17" s="198">
        <f t="shared" ref="G17" si="8">m_ty*F17</f>
        <v>8.8000000000000007</v>
      </c>
      <c r="H17" s="198">
        <f t="shared" ref="H17" si="9">m_tz*F17</f>
        <v>5.5</v>
      </c>
      <c r="I17" s="198">
        <f t="shared" si="6"/>
        <v>8</v>
      </c>
      <c r="J17" s="199">
        <f t="shared" ref="J17:J22" si="10">yaw_null</f>
        <v>0</v>
      </c>
      <c r="K17" s="194" t="str">
        <f>D17&amp;-1</f>
        <v>30-1</v>
      </c>
      <c r="L17" s="198">
        <f t="shared" si="7"/>
        <v>0.11</v>
      </c>
      <c r="M17" s="53">
        <f t="shared" si="7"/>
        <v>30000</v>
      </c>
      <c r="N17" s="53">
        <f t="shared" si="7"/>
        <v>150</v>
      </c>
      <c r="O17" s="198">
        <f t="shared" si="7"/>
        <v>750</v>
      </c>
    </row>
    <row r="18" spans="1:15" x14ac:dyDescent="0.25">
      <c r="A18" s="229">
        <f t="shared" si="4"/>
        <v>4095</v>
      </c>
      <c r="B18" s="230">
        <f t="shared" si="5"/>
        <v>8</v>
      </c>
      <c r="C18" s="229" t="str">
        <f t="shared" si="3"/>
        <v>71bX30#000_000_02</v>
      </c>
      <c r="D18" s="197">
        <f t="shared" ref="D18:F23" si="11">D17</f>
        <v>30</v>
      </c>
      <c r="E18" s="204">
        <f t="shared" si="11"/>
        <v>3.3</v>
      </c>
      <c r="F18" s="198">
        <f t="shared" si="11"/>
        <v>11</v>
      </c>
      <c r="G18" s="198">
        <f t="shared" si="0"/>
        <v>8.8000000000000007</v>
      </c>
      <c r="H18" s="198">
        <f t="shared" si="1"/>
        <v>5.5</v>
      </c>
      <c r="I18" s="198">
        <f t="shared" ref="I18:I23" si="12">I17</f>
        <v>8</v>
      </c>
      <c r="J18" s="199">
        <f t="shared" si="10"/>
        <v>0</v>
      </c>
      <c r="K18" s="194" t="str">
        <f>D18&amp;-2</f>
        <v>30-2</v>
      </c>
      <c r="L18" s="198">
        <f t="shared" ref="L18:O23" si="13">L17</f>
        <v>0.11</v>
      </c>
      <c r="M18" s="53">
        <f>M17</f>
        <v>30000</v>
      </c>
      <c r="N18" s="53">
        <f t="shared" si="13"/>
        <v>150</v>
      </c>
      <c r="O18" s="198">
        <f t="shared" si="13"/>
        <v>750</v>
      </c>
    </row>
    <row r="19" spans="1:15" x14ac:dyDescent="0.25">
      <c r="A19" s="229">
        <f t="shared" si="4"/>
        <v>4096</v>
      </c>
      <c r="B19" s="230">
        <f t="shared" si="5"/>
        <v>9</v>
      </c>
      <c r="C19" s="229" t="str">
        <f t="shared" si="3"/>
        <v>71bX30#000_000_03</v>
      </c>
      <c r="D19" s="197">
        <f t="shared" si="11"/>
        <v>30</v>
      </c>
      <c r="E19" s="204">
        <f t="shared" si="11"/>
        <v>3.3</v>
      </c>
      <c r="F19" s="198">
        <f t="shared" si="11"/>
        <v>11</v>
      </c>
      <c r="G19" s="198">
        <f t="shared" si="0"/>
        <v>8.8000000000000007</v>
      </c>
      <c r="H19" s="198">
        <f t="shared" si="1"/>
        <v>5.5</v>
      </c>
      <c r="I19" s="198">
        <f t="shared" si="12"/>
        <v>8</v>
      </c>
      <c r="J19" s="199">
        <f t="shared" si="10"/>
        <v>0</v>
      </c>
      <c r="K19" s="194" t="str">
        <f>D19&amp;-3</f>
        <v>30-3</v>
      </c>
      <c r="L19" s="198">
        <f t="shared" si="13"/>
        <v>0.11</v>
      </c>
      <c r="M19" s="53">
        <f t="shared" si="13"/>
        <v>30000</v>
      </c>
      <c r="N19" s="53">
        <f t="shared" si="13"/>
        <v>150</v>
      </c>
      <c r="O19" s="198">
        <f t="shared" si="13"/>
        <v>750</v>
      </c>
    </row>
    <row r="20" spans="1:15" x14ac:dyDescent="0.25">
      <c r="A20" s="229">
        <f t="shared" si="4"/>
        <v>4097</v>
      </c>
      <c r="B20" s="230">
        <f t="shared" si="5"/>
        <v>10</v>
      </c>
      <c r="C20" s="229" t="str">
        <f t="shared" si="3"/>
        <v>71bX30#000_000_04</v>
      </c>
      <c r="D20" s="197">
        <f t="shared" si="11"/>
        <v>30</v>
      </c>
      <c r="E20" s="204">
        <f t="shared" si="11"/>
        <v>3.3</v>
      </c>
      <c r="F20" s="198">
        <f t="shared" si="11"/>
        <v>11</v>
      </c>
      <c r="G20" s="198">
        <f t="shared" si="0"/>
        <v>8.8000000000000007</v>
      </c>
      <c r="H20" s="198">
        <f t="shared" si="1"/>
        <v>5.5</v>
      </c>
      <c r="I20" s="198">
        <f t="shared" si="12"/>
        <v>8</v>
      </c>
      <c r="J20" s="199">
        <f t="shared" si="10"/>
        <v>0</v>
      </c>
      <c r="K20" s="194" t="str">
        <f>D20&amp;-4</f>
        <v>30-4</v>
      </c>
      <c r="L20" s="198">
        <f t="shared" si="13"/>
        <v>0.11</v>
      </c>
      <c r="M20" s="53">
        <f t="shared" si="13"/>
        <v>30000</v>
      </c>
      <c r="N20" s="53">
        <f t="shared" si="13"/>
        <v>150</v>
      </c>
      <c r="O20" s="198">
        <f t="shared" si="13"/>
        <v>750</v>
      </c>
    </row>
    <row r="21" spans="1:15" x14ac:dyDescent="0.25">
      <c r="A21" s="229">
        <f t="shared" si="4"/>
        <v>4098</v>
      </c>
      <c r="B21" s="230">
        <f t="shared" si="5"/>
        <v>11</v>
      </c>
      <c r="C21" s="229" t="str">
        <f t="shared" si="3"/>
        <v>71bX30#000_000_05</v>
      </c>
      <c r="D21" s="197">
        <f t="shared" si="11"/>
        <v>30</v>
      </c>
      <c r="E21" s="204">
        <f t="shared" si="11"/>
        <v>3.3</v>
      </c>
      <c r="F21" s="198">
        <f t="shared" si="11"/>
        <v>11</v>
      </c>
      <c r="G21" s="198">
        <f t="shared" si="0"/>
        <v>8.8000000000000007</v>
      </c>
      <c r="H21" s="198">
        <f t="shared" si="1"/>
        <v>5.5</v>
      </c>
      <c r="I21" s="198">
        <f t="shared" si="12"/>
        <v>8</v>
      </c>
      <c r="J21" s="199">
        <f t="shared" si="10"/>
        <v>0</v>
      </c>
      <c r="K21" s="194" t="str">
        <f>D21&amp;-5</f>
        <v>30-5</v>
      </c>
      <c r="L21" s="198">
        <f t="shared" si="13"/>
        <v>0.11</v>
      </c>
      <c r="M21" s="53">
        <f t="shared" si="13"/>
        <v>30000</v>
      </c>
      <c r="N21" s="53">
        <f t="shared" si="13"/>
        <v>150</v>
      </c>
      <c r="O21" s="198">
        <f t="shared" si="13"/>
        <v>750</v>
      </c>
    </row>
    <row r="22" spans="1:15" x14ac:dyDescent="0.25">
      <c r="A22" s="229">
        <f t="shared" si="4"/>
        <v>4099</v>
      </c>
      <c r="B22" s="230">
        <f t="shared" si="5"/>
        <v>12</v>
      </c>
      <c r="C22" s="229" t="str">
        <f t="shared" si="3"/>
        <v>71bX30#000_000_06</v>
      </c>
      <c r="D22" s="197">
        <f t="shared" si="11"/>
        <v>30</v>
      </c>
      <c r="E22" s="204">
        <f t="shared" si="11"/>
        <v>3.3</v>
      </c>
      <c r="F22" s="198">
        <f t="shared" si="11"/>
        <v>11</v>
      </c>
      <c r="G22" s="198">
        <f t="shared" si="0"/>
        <v>8.8000000000000007</v>
      </c>
      <c r="H22" s="198">
        <f t="shared" si="1"/>
        <v>5.5</v>
      </c>
      <c r="I22" s="198">
        <f t="shared" si="12"/>
        <v>8</v>
      </c>
      <c r="J22" s="199">
        <f t="shared" si="10"/>
        <v>0</v>
      </c>
      <c r="K22" s="194" t="str">
        <f>D22&amp;-6</f>
        <v>30-6</v>
      </c>
      <c r="L22" s="198">
        <f t="shared" si="13"/>
        <v>0.11</v>
      </c>
      <c r="M22" s="53">
        <f t="shared" si="13"/>
        <v>30000</v>
      </c>
      <c r="N22" s="53">
        <f t="shared" si="13"/>
        <v>150</v>
      </c>
      <c r="O22" s="198">
        <f t="shared" si="13"/>
        <v>750</v>
      </c>
    </row>
    <row r="23" spans="1:15" x14ac:dyDescent="0.25">
      <c r="A23" s="229">
        <f t="shared" si="4"/>
        <v>4100</v>
      </c>
      <c r="B23" s="230">
        <f t="shared" si="5"/>
        <v>13</v>
      </c>
      <c r="C23" s="229" t="str">
        <f t="shared" si="3"/>
        <v>71bX30#008_000_01</v>
      </c>
      <c r="D23" s="197">
        <f t="shared" si="11"/>
        <v>30</v>
      </c>
      <c r="E23" s="204">
        <f t="shared" si="11"/>
        <v>3.3</v>
      </c>
      <c r="F23" s="198">
        <f t="shared" si="11"/>
        <v>11</v>
      </c>
      <c r="G23" s="198">
        <f t="shared" ref="G23" si="14">m_ty*F23</f>
        <v>8.8000000000000007</v>
      </c>
      <c r="H23" s="198">
        <f t="shared" ref="H23" si="15">m_tz*F23</f>
        <v>5.5</v>
      </c>
      <c r="I23" s="198">
        <f t="shared" si="12"/>
        <v>8</v>
      </c>
      <c r="J23" s="199">
        <f t="shared" ref="J23:J28" si="16">yaw_max</f>
        <v>8</v>
      </c>
      <c r="K23" s="194" t="str">
        <f>D23&amp;-1</f>
        <v>30-1</v>
      </c>
      <c r="L23" s="198">
        <f t="shared" si="13"/>
        <v>0.11</v>
      </c>
      <c r="M23" s="53">
        <f t="shared" si="13"/>
        <v>30000</v>
      </c>
      <c r="N23" s="53">
        <f t="shared" si="13"/>
        <v>150</v>
      </c>
      <c r="O23" s="198">
        <f t="shared" si="13"/>
        <v>750</v>
      </c>
    </row>
    <row r="24" spans="1:15" x14ac:dyDescent="0.25">
      <c r="A24" s="229">
        <f t="shared" si="4"/>
        <v>4101</v>
      </c>
      <c r="B24" s="230">
        <f t="shared" si="5"/>
        <v>14</v>
      </c>
      <c r="C24" s="229" t="str">
        <f t="shared" si="3"/>
        <v>71bX30#008_000_02</v>
      </c>
      <c r="D24" s="197">
        <f t="shared" ref="D24:F28" si="17">D23</f>
        <v>30</v>
      </c>
      <c r="E24" s="204">
        <f t="shared" si="17"/>
        <v>3.3</v>
      </c>
      <c r="F24" s="198">
        <f t="shared" si="17"/>
        <v>11</v>
      </c>
      <c r="G24" s="198">
        <f t="shared" ref="G24:G28" si="18">m_ty*F24</f>
        <v>8.8000000000000007</v>
      </c>
      <c r="H24" s="198">
        <f t="shared" ref="H24:H28" si="19">m_tz*F24</f>
        <v>5.5</v>
      </c>
      <c r="I24" s="198">
        <f t="shared" ref="I24:I28" si="20">I23</f>
        <v>8</v>
      </c>
      <c r="J24" s="199">
        <f t="shared" si="16"/>
        <v>8</v>
      </c>
      <c r="K24" s="194" t="str">
        <f>D24&amp;-2</f>
        <v>30-2</v>
      </c>
      <c r="L24" s="198">
        <f t="shared" ref="L24:O28" si="21">L23</f>
        <v>0.11</v>
      </c>
      <c r="M24" s="53">
        <f>M23</f>
        <v>30000</v>
      </c>
      <c r="N24" s="53">
        <f t="shared" si="21"/>
        <v>150</v>
      </c>
      <c r="O24" s="198">
        <f t="shared" si="21"/>
        <v>750</v>
      </c>
    </row>
    <row r="25" spans="1:15" x14ac:dyDescent="0.25">
      <c r="A25" s="229">
        <f t="shared" si="4"/>
        <v>4102</v>
      </c>
      <c r="B25" s="230">
        <f t="shared" si="5"/>
        <v>15</v>
      </c>
      <c r="C25" s="229" t="str">
        <f t="shared" si="3"/>
        <v>71bX30#008_000_03</v>
      </c>
      <c r="D25" s="197">
        <f t="shared" si="17"/>
        <v>30</v>
      </c>
      <c r="E25" s="204">
        <f t="shared" si="17"/>
        <v>3.3</v>
      </c>
      <c r="F25" s="198">
        <f t="shared" si="17"/>
        <v>11</v>
      </c>
      <c r="G25" s="198">
        <f t="shared" si="18"/>
        <v>8.8000000000000007</v>
      </c>
      <c r="H25" s="198">
        <f t="shared" si="19"/>
        <v>5.5</v>
      </c>
      <c r="I25" s="198">
        <f t="shared" si="20"/>
        <v>8</v>
      </c>
      <c r="J25" s="199">
        <f t="shared" si="16"/>
        <v>8</v>
      </c>
      <c r="K25" s="194" t="str">
        <f>D25&amp;-3</f>
        <v>30-3</v>
      </c>
      <c r="L25" s="198">
        <f t="shared" si="21"/>
        <v>0.11</v>
      </c>
      <c r="M25" s="53">
        <f t="shared" si="21"/>
        <v>30000</v>
      </c>
      <c r="N25" s="53">
        <f t="shared" si="21"/>
        <v>150</v>
      </c>
      <c r="O25" s="198">
        <f t="shared" si="21"/>
        <v>750</v>
      </c>
    </row>
    <row r="26" spans="1:15" x14ac:dyDescent="0.25">
      <c r="A26" s="229">
        <f t="shared" si="4"/>
        <v>4103</v>
      </c>
      <c r="B26" s="230">
        <f t="shared" si="5"/>
        <v>16</v>
      </c>
      <c r="C26" s="229" t="str">
        <f t="shared" si="3"/>
        <v>71bX30#008_000_04</v>
      </c>
      <c r="D26" s="197">
        <f t="shared" si="17"/>
        <v>30</v>
      </c>
      <c r="E26" s="204">
        <f t="shared" si="17"/>
        <v>3.3</v>
      </c>
      <c r="F26" s="198">
        <f t="shared" si="17"/>
        <v>11</v>
      </c>
      <c r="G26" s="198">
        <f t="shared" si="18"/>
        <v>8.8000000000000007</v>
      </c>
      <c r="H26" s="198">
        <f t="shared" si="19"/>
        <v>5.5</v>
      </c>
      <c r="I26" s="198">
        <f t="shared" si="20"/>
        <v>8</v>
      </c>
      <c r="J26" s="199">
        <f t="shared" si="16"/>
        <v>8</v>
      </c>
      <c r="K26" s="194" t="str">
        <f>D26&amp;-4</f>
        <v>30-4</v>
      </c>
      <c r="L26" s="198">
        <f t="shared" si="21"/>
        <v>0.11</v>
      </c>
      <c r="M26" s="53">
        <f t="shared" si="21"/>
        <v>30000</v>
      </c>
      <c r="N26" s="53">
        <f t="shared" si="21"/>
        <v>150</v>
      </c>
      <c r="O26" s="198">
        <f t="shared" si="21"/>
        <v>750</v>
      </c>
    </row>
    <row r="27" spans="1:15" x14ac:dyDescent="0.25">
      <c r="A27" s="229">
        <f t="shared" si="4"/>
        <v>4104</v>
      </c>
      <c r="B27" s="230">
        <f t="shared" si="5"/>
        <v>17</v>
      </c>
      <c r="C27" s="229" t="str">
        <f t="shared" si="3"/>
        <v>71bX30#008_000_05</v>
      </c>
      <c r="D27" s="197">
        <f t="shared" si="17"/>
        <v>30</v>
      </c>
      <c r="E27" s="204">
        <f t="shared" si="17"/>
        <v>3.3</v>
      </c>
      <c r="F27" s="198">
        <f t="shared" si="17"/>
        <v>11</v>
      </c>
      <c r="G27" s="198">
        <f t="shared" si="18"/>
        <v>8.8000000000000007</v>
      </c>
      <c r="H27" s="198">
        <f t="shared" si="19"/>
        <v>5.5</v>
      </c>
      <c r="I27" s="198">
        <f t="shared" si="20"/>
        <v>8</v>
      </c>
      <c r="J27" s="199">
        <f t="shared" si="16"/>
        <v>8</v>
      </c>
      <c r="K27" s="194" t="str">
        <f>D27&amp;-5</f>
        <v>30-5</v>
      </c>
      <c r="L27" s="198">
        <f t="shared" si="21"/>
        <v>0.11</v>
      </c>
      <c r="M27" s="53">
        <f t="shared" si="21"/>
        <v>30000</v>
      </c>
      <c r="N27" s="53">
        <f t="shared" si="21"/>
        <v>150</v>
      </c>
      <c r="O27" s="198">
        <f t="shared" si="21"/>
        <v>750</v>
      </c>
    </row>
    <row r="28" spans="1:15" x14ac:dyDescent="0.25">
      <c r="A28" s="229">
        <f t="shared" si="4"/>
        <v>4105</v>
      </c>
      <c r="B28" s="230">
        <f t="shared" si="5"/>
        <v>18</v>
      </c>
      <c r="C28" s="229" t="str">
        <f t="shared" si="3"/>
        <v>71bX30#008_000_06</v>
      </c>
      <c r="D28" s="197">
        <f t="shared" si="17"/>
        <v>30</v>
      </c>
      <c r="E28" s="204">
        <f t="shared" si="17"/>
        <v>3.3</v>
      </c>
      <c r="F28" s="198">
        <f t="shared" si="17"/>
        <v>11</v>
      </c>
      <c r="G28" s="198">
        <f t="shared" si="18"/>
        <v>8.8000000000000007</v>
      </c>
      <c r="H28" s="198">
        <f t="shared" si="19"/>
        <v>5.5</v>
      </c>
      <c r="I28" s="198">
        <f t="shared" si="20"/>
        <v>8</v>
      </c>
      <c r="J28" s="199">
        <f t="shared" si="16"/>
        <v>8</v>
      </c>
      <c r="K28" s="194" t="str">
        <f>D28&amp;-6</f>
        <v>30-6</v>
      </c>
      <c r="L28" s="198">
        <f t="shared" si="21"/>
        <v>0.11</v>
      </c>
      <c r="M28" s="53">
        <f t="shared" si="21"/>
        <v>30000</v>
      </c>
      <c r="N28" s="53">
        <f t="shared" si="21"/>
        <v>150</v>
      </c>
      <c r="O28" s="198">
        <f t="shared" si="21"/>
        <v>750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X298"/>
  <sheetViews>
    <sheetView topLeftCell="C1" zoomScaleNormal="100" workbookViewId="0">
      <selection activeCell="I2" sqref="I2"/>
    </sheetView>
  </sheetViews>
  <sheetFormatPr defaultColWidth="9" defaultRowHeight="15" x14ac:dyDescent="0.15"/>
  <cols>
    <col min="1" max="1" width="8.25" style="23" customWidth="1"/>
    <col min="2" max="2" width="7.375" style="23" customWidth="1"/>
    <col min="3" max="3" width="20.625" style="23" customWidth="1"/>
    <col min="4" max="4" width="7.375" style="23" customWidth="1"/>
    <col min="5" max="5" width="7.75" style="23" customWidth="1"/>
    <col min="6" max="6" width="7.375" style="23" customWidth="1"/>
    <col min="7" max="9" width="7.25" style="23" customWidth="1"/>
    <col min="10" max="10" width="7.625" style="23" customWidth="1"/>
    <col min="11" max="11" width="8.75" style="23" customWidth="1"/>
    <col min="12" max="12" width="7.125" style="23" customWidth="1"/>
    <col min="13" max="13" width="9" style="23"/>
    <col min="14" max="14" width="7.125" style="23" customWidth="1"/>
    <col min="15" max="15" width="8.625" style="23" customWidth="1"/>
    <col min="16" max="16384" width="9" style="23"/>
  </cols>
  <sheetData>
    <row r="1" spans="1:16" x14ac:dyDescent="0.15">
      <c r="H1" s="22" t="s">
        <v>135</v>
      </c>
      <c r="I1" s="216" t="s">
        <v>3978</v>
      </c>
    </row>
    <row r="2" spans="1:16" x14ac:dyDescent="0.15">
      <c r="B2" s="22" t="s">
        <v>126</v>
      </c>
      <c r="C2" s="22"/>
      <c r="D2" s="22"/>
      <c r="E2" s="22"/>
      <c r="H2" s="22"/>
      <c r="I2" s="216" t="s">
        <v>3969</v>
      </c>
    </row>
    <row r="3" spans="1:16" x14ac:dyDescent="0.15">
      <c r="B3" s="22" t="s">
        <v>88</v>
      </c>
      <c r="C3" s="22"/>
      <c r="D3" s="22"/>
      <c r="E3" s="93" t="s">
        <v>927</v>
      </c>
      <c r="H3" s="22"/>
      <c r="I3" s="240" t="s">
        <v>3939</v>
      </c>
    </row>
    <row r="4" spans="1:16" x14ac:dyDescent="0.15">
      <c r="B4" s="22" t="s">
        <v>89</v>
      </c>
      <c r="C4" s="22"/>
      <c r="D4" s="22"/>
      <c r="E4" s="22" t="s">
        <v>127</v>
      </c>
      <c r="H4" s="22"/>
      <c r="I4" s="216" t="s">
        <v>3938</v>
      </c>
    </row>
    <row r="5" spans="1:16" x14ac:dyDescent="0.15">
      <c r="B5" s="22" t="s">
        <v>91</v>
      </c>
      <c r="C5" s="22"/>
      <c r="D5" s="22"/>
      <c r="E5" s="22" t="s">
        <v>99</v>
      </c>
      <c r="I5" s="240" t="s">
        <v>3940</v>
      </c>
    </row>
    <row r="6" spans="1:16" x14ac:dyDescent="0.15">
      <c r="B6" s="22" t="s">
        <v>93</v>
      </c>
      <c r="C6" s="22"/>
      <c r="D6" s="22"/>
      <c r="E6" s="22" t="s">
        <v>100</v>
      </c>
      <c r="I6" s="216" t="s">
        <v>3932</v>
      </c>
    </row>
    <row r="7" spans="1:16" x14ac:dyDescent="0.15">
      <c r="H7" s="46"/>
      <c r="I7" s="216" t="s">
        <v>3930</v>
      </c>
    </row>
    <row r="8" spans="1:16" ht="15.75" thickBot="1" x14ac:dyDescent="0.2"/>
    <row r="9" spans="1:16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2</v>
      </c>
      <c r="K9" s="26" t="s">
        <v>3</v>
      </c>
      <c r="L9" s="25" t="s">
        <v>141</v>
      </c>
      <c r="M9" s="27" t="s">
        <v>897</v>
      </c>
      <c r="N9" s="27" t="s">
        <v>138</v>
      </c>
      <c r="O9" s="27" t="s">
        <v>139</v>
      </c>
      <c r="P9" s="27" t="s">
        <v>912</v>
      </c>
    </row>
    <row r="10" spans="1:16" ht="15.75" thickBot="1" x14ac:dyDescent="0.3">
      <c r="A10" s="29" t="s">
        <v>76</v>
      </c>
      <c r="B10" s="30" t="str">
        <f>B2</f>
        <v>DLC81a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32"/>
      <c r="N10" s="32" t="s">
        <v>7</v>
      </c>
      <c r="O10" s="32" t="s">
        <v>7</v>
      </c>
      <c r="P10" s="32"/>
    </row>
    <row r="11" spans="1:16" ht="15.75" thickBot="1" x14ac:dyDescent="0.3">
      <c r="A11" s="24">
        <f>DLC71b!A28+1</f>
        <v>4106</v>
      </c>
      <c r="B11" s="27">
        <v>1</v>
      </c>
      <c r="C11" s="24" t="str">
        <f>TEXT(RIGHT($B$2,LEN($B$2)-3),"000")&amp;"X"&amp;TEXT(D11,"00")&amp;"_"&amp;IF(J11&lt;0,TEXT(360+J11,"000"),TEXT(J11,"000"))&amp;"_"&amp;TEXT(M11,"000")&amp;"#"&amp;TEXT(RIGHT(K11,LEN(K11)-FIND("-",K11)),"00")</f>
        <v>81aX13_000_000#01</v>
      </c>
      <c r="D11" s="34">
        <f>v_m+5</f>
        <v>13</v>
      </c>
      <c r="E11" s="60">
        <f>I_ref*(0.75*D11+5.6)</f>
        <v>2.149</v>
      </c>
      <c r="F11" s="35">
        <f>E11/D11*100</f>
        <v>16.530769230769231</v>
      </c>
      <c r="G11" s="35">
        <f t="shared" ref="G11:G58" si="0">m_ty*F11</f>
        <v>13.224615384615385</v>
      </c>
      <c r="H11" s="35">
        <f t="shared" ref="H11:H58" si="1">m_tz*F11</f>
        <v>8.2653846153846153</v>
      </c>
      <c r="I11" s="35">
        <f>inflow</f>
        <v>8</v>
      </c>
      <c r="J11" s="36">
        <v>0</v>
      </c>
      <c r="K11" s="37" t="str">
        <f>D11&amp;-1</f>
        <v>13-1</v>
      </c>
      <c r="L11" s="35">
        <f>alpha_n</f>
        <v>0.2</v>
      </c>
      <c r="M11" s="49">
        <v>0</v>
      </c>
      <c r="N11" s="44">
        <f>t_out</f>
        <v>150</v>
      </c>
      <c r="O11" s="44">
        <f>N11+T_s1</f>
        <v>750</v>
      </c>
      <c r="P11" s="35" t="s">
        <v>168</v>
      </c>
    </row>
    <row r="12" spans="1:16" ht="15.75" thickBot="1" x14ac:dyDescent="0.3">
      <c r="A12" s="41">
        <f t="shared" ref="A12:B12" si="2">A11+1</f>
        <v>4107</v>
      </c>
      <c r="B12" s="42">
        <f t="shared" si="2"/>
        <v>2</v>
      </c>
      <c r="C12" s="218" t="str">
        <f t="shared" ref="C12:C75" si="3">TEXT(RIGHT($B$2,LEN($B$2)-3),"000")&amp;"X"&amp;TEXT(D12,"00")&amp;"_"&amp;IF(J12&lt;0,TEXT(360+J12,"000"),TEXT(J12,"000"))&amp;"_"&amp;TEXT(M12,"000")&amp;"#"&amp;TEXT(RIGHT(K12,LEN(K12)-FIND("-",K12)),"00")</f>
        <v>81aX13_000_000#02</v>
      </c>
      <c r="D12" s="43">
        <f>D11</f>
        <v>13</v>
      </c>
      <c r="E12" s="61">
        <f>E11</f>
        <v>2.149</v>
      </c>
      <c r="F12" s="44">
        <f>F11</f>
        <v>16.530769230769231</v>
      </c>
      <c r="G12" s="44">
        <f t="shared" si="0"/>
        <v>13.224615384615385</v>
      </c>
      <c r="H12" s="44">
        <f t="shared" si="1"/>
        <v>8.2653846153846153</v>
      </c>
      <c r="I12" s="44">
        <f>I11</f>
        <v>8</v>
      </c>
      <c r="J12" s="45">
        <v>0</v>
      </c>
      <c r="K12" s="37" t="str">
        <f>D12&amp;-2</f>
        <v>13-2</v>
      </c>
      <c r="L12" s="44">
        <f>L11</f>
        <v>0.2</v>
      </c>
      <c r="M12" s="49">
        <f>M11</f>
        <v>0</v>
      </c>
      <c r="N12" s="44">
        <f>N11</f>
        <v>150</v>
      </c>
      <c r="O12" s="44">
        <f>O11</f>
        <v>750</v>
      </c>
      <c r="P12" s="44" t="str">
        <f>P11</f>
        <v>on</v>
      </c>
    </row>
    <row r="13" spans="1:16" ht="15.75" thickBot="1" x14ac:dyDescent="0.3">
      <c r="A13" s="229">
        <f t="shared" ref="A13:B13" si="4">A12+1</f>
        <v>4108</v>
      </c>
      <c r="B13" s="230">
        <f t="shared" si="4"/>
        <v>3</v>
      </c>
      <c r="C13" s="218" t="str">
        <f t="shared" si="3"/>
        <v>81aX13_000_000#03</v>
      </c>
      <c r="D13" s="43">
        <f t="shared" ref="D13:I28" si="5">D12</f>
        <v>13</v>
      </c>
      <c r="E13" s="61">
        <f t="shared" si="5"/>
        <v>2.149</v>
      </c>
      <c r="F13" s="44">
        <f t="shared" si="5"/>
        <v>16.530769230769231</v>
      </c>
      <c r="G13" s="44">
        <f t="shared" si="0"/>
        <v>13.224615384615385</v>
      </c>
      <c r="H13" s="44">
        <f t="shared" si="1"/>
        <v>8.2653846153846153</v>
      </c>
      <c r="I13" s="44">
        <f t="shared" si="5"/>
        <v>8</v>
      </c>
      <c r="J13" s="45">
        <v>0</v>
      </c>
      <c r="K13" s="37" t="str">
        <f>D13&amp;-3</f>
        <v>13-3</v>
      </c>
      <c r="L13" s="44">
        <f t="shared" ref="L13:O28" si="6">L12</f>
        <v>0.2</v>
      </c>
      <c r="M13" s="49">
        <f>M12</f>
        <v>0</v>
      </c>
      <c r="N13" s="44">
        <f t="shared" si="6"/>
        <v>150</v>
      </c>
      <c r="O13" s="44">
        <f t="shared" si="6"/>
        <v>750</v>
      </c>
      <c r="P13" s="44" t="str">
        <f t="shared" ref="P13:P27" si="7">P12</f>
        <v>on</v>
      </c>
    </row>
    <row r="14" spans="1:16" ht="15.75" thickBot="1" x14ac:dyDescent="0.3">
      <c r="A14" s="229">
        <f t="shared" ref="A14:B14" si="8">A13+1</f>
        <v>4109</v>
      </c>
      <c r="B14" s="230">
        <f t="shared" si="8"/>
        <v>4</v>
      </c>
      <c r="C14" s="218" t="str">
        <f t="shared" si="3"/>
        <v>81aX13_000_000#04</v>
      </c>
      <c r="D14" s="43">
        <f t="shared" si="5"/>
        <v>13</v>
      </c>
      <c r="E14" s="61">
        <f t="shared" si="5"/>
        <v>2.149</v>
      </c>
      <c r="F14" s="44">
        <f t="shared" si="5"/>
        <v>16.530769230769231</v>
      </c>
      <c r="G14" s="44">
        <f t="shared" si="0"/>
        <v>13.224615384615385</v>
      </c>
      <c r="H14" s="44">
        <f t="shared" si="1"/>
        <v>8.2653846153846153</v>
      </c>
      <c r="I14" s="44">
        <f t="shared" si="5"/>
        <v>8</v>
      </c>
      <c r="J14" s="45">
        <v>0</v>
      </c>
      <c r="K14" s="37" t="str">
        <f>D14&amp;-4</f>
        <v>13-4</v>
      </c>
      <c r="L14" s="44">
        <f t="shared" si="6"/>
        <v>0.2</v>
      </c>
      <c r="M14" s="49">
        <f>M13</f>
        <v>0</v>
      </c>
      <c r="N14" s="44">
        <f t="shared" si="6"/>
        <v>150</v>
      </c>
      <c r="O14" s="44">
        <f t="shared" si="6"/>
        <v>750</v>
      </c>
      <c r="P14" s="44" t="str">
        <f t="shared" si="7"/>
        <v>on</v>
      </c>
    </row>
    <row r="15" spans="1:16" ht="15.75" thickBot="1" x14ac:dyDescent="0.3">
      <c r="A15" s="229">
        <f t="shared" ref="A15:B15" si="9">A14+1</f>
        <v>4110</v>
      </c>
      <c r="B15" s="230">
        <f t="shared" si="9"/>
        <v>5</v>
      </c>
      <c r="C15" s="218" t="str">
        <f t="shared" si="3"/>
        <v>81aX13_000_000#05</v>
      </c>
      <c r="D15" s="43">
        <f t="shared" si="5"/>
        <v>13</v>
      </c>
      <c r="E15" s="61">
        <f t="shared" si="5"/>
        <v>2.149</v>
      </c>
      <c r="F15" s="44">
        <f t="shared" si="5"/>
        <v>16.530769230769231</v>
      </c>
      <c r="G15" s="44">
        <f t="shared" si="0"/>
        <v>13.224615384615385</v>
      </c>
      <c r="H15" s="44">
        <f t="shared" si="1"/>
        <v>8.2653846153846153</v>
      </c>
      <c r="I15" s="44">
        <f t="shared" si="5"/>
        <v>8</v>
      </c>
      <c r="J15" s="45">
        <v>0</v>
      </c>
      <c r="K15" s="37" t="str">
        <f>D15&amp;-5</f>
        <v>13-5</v>
      </c>
      <c r="L15" s="44">
        <f t="shared" si="6"/>
        <v>0.2</v>
      </c>
      <c r="M15" s="49">
        <f>M14</f>
        <v>0</v>
      </c>
      <c r="N15" s="44">
        <f t="shared" si="6"/>
        <v>150</v>
      </c>
      <c r="O15" s="44">
        <f t="shared" si="6"/>
        <v>750</v>
      </c>
      <c r="P15" s="44" t="str">
        <f t="shared" si="7"/>
        <v>on</v>
      </c>
    </row>
    <row r="16" spans="1:16" ht="15.75" thickBot="1" x14ac:dyDescent="0.3">
      <c r="A16" s="229">
        <f t="shared" ref="A16:B16" si="10">A15+1</f>
        <v>4111</v>
      </c>
      <c r="B16" s="230">
        <f t="shared" si="10"/>
        <v>6</v>
      </c>
      <c r="C16" s="218" t="str">
        <f t="shared" si="3"/>
        <v>81aX13_000_000#06</v>
      </c>
      <c r="D16" s="43">
        <f t="shared" si="5"/>
        <v>13</v>
      </c>
      <c r="E16" s="61">
        <f t="shared" si="5"/>
        <v>2.149</v>
      </c>
      <c r="F16" s="44">
        <f t="shared" si="5"/>
        <v>16.530769230769231</v>
      </c>
      <c r="G16" s="44">
        <f t="shared" si="0"/>
        <v>13.224615384615385</v>
      </c>
      <c r="H16" s="44">
        <f t="shared" si="1"/>
        <v>8.2653846153846153</v>
      </c>
      <c r="I16" s="44">
        <f t="shared" si="5"/>
        <v>8</v>
      </c>
      <c r="J16" s="45">
        <v>0</v>
      </c>
      <c r="K16" s="37" t="str">
        <f>D16&amp;-6</f>
        <v>13-6</v>
      </c>
      <c r="L16" s="44">
        <f t="shared" si="6"/>
        <v>0.2</v>
      </c>
      <c r="M16" s="49">
        <f>M15</f>
        <v>0</v>
      </c>
      <c r="N16" s="44">
        <f t="shared" si="6"/>
        <v>150</v>
      </c>
      <c r="O16" s="44">
        <f t="shared" si="6"/>
        <v>750</v>
      </c>
      <c r="P16" s="44" t="str">
        <f t="shared" si="7"/>
        <v>on</v>
      </c>
    </row>
    <row r="17" spans="1:24" ht="15.75" thickBot="1" x14ac:dyDescent="0.3">
      <c r="A17" s="229">
        <f t="shared" ref="A17:B17" si="11">A16+1</f>
        <v>4112</v>
      </c>
      <c r="B17" s="230">
        <f t="shared" si="11"/>
        <v>7</v>
      </c>
      <c r="C17" s="218" t="str">
        <f t="shared" si="3"/>
        <v>81aX13_000_030#01</v>
      </c>
      <c r="D17" s="43">
        <f t="shared" si="5"/>
        <v>13</v>
      </c>
      <c r="E17" s="61">
        <f t="shared" si="5"/>
        <v>2.149</v>
      </c>
      <c r="F17" s="44">
        <f t="shared" si="5"/>
        <v>16.530769230769231</v>
      </c>
      <c r="G17" s="44">
        <f t="shared" si="0"/>
        <v>13.224615384615385</v>
      </c>
      <c r="H17" s="44">
        <f t="shared" si="1"/>
        <v>8.2653846153846153</v>
      </c>
      <c r="I17" s="44">
        <f t="shared" si="5"/>
        <v>8</v>
      </c>
      <c r="J17" s="45">
        <v>0</v>
      </c>
      <c r="K17" s="37" t="str">
        <f>D17&amp;-1</f>
        <v>13-1</v>
      </c>
      <c r="L17" s="44">
        <f t="shared" si="6"/>
        <v>0.2</v>
      </c>
      <c r="M17" s="49">
        <v>30</v>
      </c>
      <c r="N17" s="44">
        <f t="shared" si="6"/>
        <v>150</v>
      </c>
      <c r="O17" s="44">
        <f t="shared" si="6"/>
        <v>750</v>
      </c>
      <c r="P17" s="44" t="str">
        <f t="shared" si="7"/>
        <v>on</v>
      </c>
    </row>
    <row r="18" spans="1:24" ht="15.75" thickBot="1" x14ac:dyDescent="0.3">
      <c r="A18" s="229">
        <f t="shared" ref="A18:B18" si="12">A17+1</f>
        <v>4113</v>
      </c>
      <c r="B18" s="230">
        <f t="shared" si="12"/>
        <v>8</v>
      </c>
      <c r="C18" s="218" t="str">
        <f t="shared" si="3"/>
        <v>81aX13_000_030#02</v>
      </c>
      <c r="D18" s="43">
        <f t="shared" si="5"/>
        <v>13</v>
      </c>
      <c r="E18" s="61">
        <f t="shared" si="5"/>
        <v>2.149</v>
      </c>
      <c r="F18" s="44">
        <f t="shared" si="5"/>
        <v>16.530769230769231</v>
      </c>
      <c r="G18" s="44">
        <f t="shared" si="0"/>
        <v>13.224615384615385</v>
      </c>
      <c r="H18" s="44">
        <f t="shared" si="1"/>
        <v>8.2653846153846153</v>
      </c>
      <c r="I18" s="44">
        <f t="shared" si="5"/>
        <v>8</v>
      </c>
      <c r="J18" s="45">
        <v>0</v>
      </c>
      <c r="K18" s="37" t="str">
        <f>D18&amp;-2</f>
        <v>13-2</v>
      </c>
      <c r="L18" s="44">
        <f t="shared" si="6"/>
        <v>0.2</v>
      </c>
      <c r="M18" s="49">
        <f>M17</f>
        <v>30</v>
      </c>
      <c r="N18" s="44">
        <f t="shared" si="6"/>
        <v>150</v>
      </c>
      <c r="O18" s="44">
        <f t="shared" si="6"/>
        <v>750</v>
      </c>
      <c r="P18" s="44" t="str">
        <f t="shared" si="7"/>
        <v>on</v>
      </c>
    </row>
    <row r="19" spans="1:24" ht="15.75" thickBot="1" x14ac:dyDescent="0.3">
      <c r="A19" s="229">
        <f t="shared" ref="A19:B19" si="13">A18+1</f>
        <v>4114</v>
      </c>
      <c r="B19" s="230">
        <f t="shared" si="13"/>
        <v>9</v>
      </c>
      <c r="C19" s="218" t="str">
        <f t="shared" si="3"/>
        <v>81aX13_000_030#03</v>
      </c>
      <c r="D19" s="43">
        <f t="shared" si="5"/>
        <v>13</v>
      </c>
      <c r="E19" s="61">
        <f t="shared" si="5"/>
        <v>2.149</v>
      </c>
      <c r="F19" s="44">
        <f t="shared" si="5"/>
        <v>16.530769230769231</v>
      </c>
      <c r="G19" s="44">
        <f t="shared" si="0"/>
        <v>13.224615384615385</v>
      </c>
      <c r="H19" s="44">
        <f t="shared" si="1"/>
        <v>8.2653846153846153</v>
      </c>
      <c r="I19" s="44">
        <f t="shared" si="5"/>
        <v>8</v>
      </c>
      <c r="J19" s="45">
        <v>0</v>
      </c>
      <c r="K19" s="37" t="str">
        <f>D19&amp;-3</f>
        <v>13-3</v>
      </c>
      <c r="L19" s="44">
        <f t="shared" si="6"/>
        <v>0.2</v>
      </c>
      <c r="M19" s="49">
        <f>M18</f>
        <v>30</v>
      </c>
      <c r="N19" s="44">
        <f t="shared" si="6"/>
        <v>150</v>
      </c>
      <c r="O19" s="44">
        <f t="shared" si="6"/>
        <v>750</v>
      </c>
      <c r="P19" s="44" t="str">
        <f t="shared" si="7"/>
        <v>on</v>
      </c>
    </row>
    <row r="20" spans="1:24" ht="15.75" thickBot="1" x14ac:dyDescent="0.3">
      <c r="A20" s="229">
        <f t="shared" ref="A20:B20" si="14">A19+1</f>
        <v>4115</v>
      </c>
      <c r="B20" s="230">
        <f t="shared" si="14"/>
        <v>10</v>
      </c>
      <c r="C20" s="218" t="str">
        <f t="shared" si="3"/>
        <v>81aX13_000_030#04</v>
      </c>
      <c r="D20" s="43">
        <f t="shared" si="5"/>
        <v>13</v>
      </c>
      <c r="E20" s="61">
        <f t="shared" si="5"/>
        <v>2.149</v>
      </c>
      <c r="F20" s="44">
        <f t="shared" si="5"/>
        <v>16.530769230769231</v>
      </c>
      <c r="G20" s="44">
        <f t="shared" si="0"/>
        <v>13.224615384615385</v>
      </c>
      <c r="H20" s="44">
        <f t="shared" si="1"/>
        <v>8.2653846153846153</v>
      </c>
      <c r="I20" s="44">
        <f t="shared" si="5"/>
        <v>8</v>
      </c>
      <c r="J20" s="45">
        <v>0</v>
      </c>
      <c r="K20" s="37" t="str">
        <f>D20&amp;-4</f>
        <v>13-4</v>
      </c>
      <c r="L20" s="44">
        <f t="shared" si="6"/>
        <v>0.2</v>
      </c>
      <c r="M20" s="49">
        <f>M19</f>
        <v>30</v>
      </c>
      <c r="N20" s="44">
        <f t="shared" si="6"/>
        <v>150</v>
      </c>
      <c r="O20" s="44">
        <f t="shared" si="6"/>
        <v>750</v>
      </c>
      <c r="P20" s="44" t="str">
        <f t="shared" si="7"/>
        <v>on</v>
      </c>
    </row>
    <row r="21" spans="1:24" ht="15.75" thickBot="1" x14ac:dyDescent="0.3">
      <c r="A21" s="229">
        <f t="shared" ref="A21:B21" si="15">A20+1</f>
        <v>4116</v>
      </c>
      <c r="B21" s="230">
        <f t="shared" si="15"/>
        <v>11</v>
      </c>
      <c r="C21" s="218" t="str">
        <f t="shared" si="3"/>
        <v>81aX13_000_030#05</v>
      </c>
      <c r="D21" s="43">
        <f t="shared" si="5"/>
        <v>13</v>
      </c>
      <c r="E21" s="61">
        <f t="shared" si="5"/>
        <v>2.149</v>
      </c>
      <c r="F21" s="44">
        <f t="shared" si="5"/>
        <v>16.530769230769231</v>
      </c>
      <c r="G21" s="44">
        <f t="shared" si="0"/>
        <v>13.224615384615385</v>
      </c>
      <c r="H21" s="44">
        <f t="shared" si="1"/>
        <v>8.2653846153846153</v>
      </c>
      <c r="I21" s="44">
        <f t="shared" si="5"/>
        <v>8</v>
      </c>
      <c r="J21" s="45">
        <v>0</v>
      </c>
      <c r="K21" s="37" t="str">
        <f>D21&amp;-5</f>
        <v>13-5</v>
      </c>
      <c r="L21" s="44">
        <f t="shared" si="6"/>
        <v>0.2</v>
      </c>
      <c r="M21" s="49">
        <f>M20</f>
        <v>30</v>
      </c>
      <c r="N21" s="44">
        <f t="shared" si="6"/>
        <v>150</v>
      </c>
      <c r="O21" s="44">
        <f t="shared" si="6"/>
        <v>750</v>
      </c>
      <c r="P21" s="44" t="str">
        <f t="shared" si="7"/>
        <v>on</v>
      </c>
    </row>
    <row r="22" spans="1:24" ht="15.75" thickBot="1" x14ac:dyDescent="0.3">
      <c r="A22" s="229">
        <f t="shared" ref="A22:B22" si="16">A21+1</f>
        <v>4117</v>
      </c>
      <c r="B22" s="230">
        <f t="shared" si="16"/>
        <v>12</v>
      </c>
      <c r="C22" s="218" t="str">
        <f t="shared" si="3"/>
        <v>81aX13_000_030#06</v>
      </c>
      <c r="D22" s="43">
        <f t="shared" si="5"/>
        <v>13</v>
      </c>
      <c r="E22" s="61">
        <f t="shared" si="5"/>
        <v>2.149</v>
      </c>
      <c r="F22" s="44">
        <f t="shared" si="5"/>
        <v>16.530769230769231</v>
      </c>
      <c r="G22" s="44">
        <f t="shared" si="0"/>
        <v>13.224615384615385</v>
      </c>
      <c r="H22" s="44">
        <f t="shared" si="1"/>
        <v>8.2653846153846153</v>
      </c>
      <c r="I22" s="44">
        <f t="shared" si="5"/>
        <v>8</v>
      </c>
      <c r="J22" s="45">
        <v>0</v>
      </c>
      <c r="K22" s="37" t="str">
        <f>D22&amp;-6</f>
        <v>13-6</v>
      </c>
      <c r="L22" s="44">
        <f t="shared" si="6"/>
        <v>0.2</v>
      </c>
      <c r="M22" s="49">
        <f>M21</f>
        <v>30</v>
      </c>
      <c r="N22" s="44">
        <f t="shared" si="6"/>
        <v>150</v>
      </c>
      <c r="O22" s="44">
        <f t="shared" si="6"/>
        <v>750</v>
      </c>
      <c r="P22" s="44" t="str">
        <f t="shared" si="7"/>
        <v>on</v>
      </c>
    </row>
    <row r="23" spans="1:24" ht="15.75" thickBot="1" x14ac:dyDescent="0.3">
      <c r="A23" s="229">
        <f t="shared" ref="A23:B23" si="17">A22+1</f>
        <v>4118</v>
      </c>
      <c r="B23" s="230">
        <f t="shared" si="17"/>
        <v>13</v>
      </c>
      <c r="C23" s="218" t="str">
        <f t="shared" si="3"/>
        <v>81aX13_000_060#01</v>
      </c>
      <c r="D23" s="43">
        <f t="shared" si="5"/>
        <v>13</v>
      </c>
      <c r="E23" s="61">
        <f t="shared" si="5"/>
        <v>2.149</v>
      </c>
      <c r="F23" s="44">
        <f t="shared" si="5"/>
        <v>16.530769230769231</v>
      </c>
      <c r="G23" s="44">
        <f t="shared" si="0"/>
        <v>13.224615384615385</v>
      </c>
      <c r="H23" s="44">
        <f t="shared" si="1"/>
        <v>8.2653846153846153</v>
      </c>
      <c r="I23" s="44">
        <f t="shared" si="5"/>
        <v>8</v>
      </c>
      <c r="J23" s="45">
        <v>0</v>
      </c>
      <c r="K23" s="37" t="str">
        <f>D23&amp;-1</f>
        <v>13-1</v>
      </c>
      <c r="L23" s="44">
        <f t="shared" si="6"/>
        <v>0.2</v>
      </c>
      <c r="M23" s="49">
        <v>60</v>
      </c>
      <c r="N23" s="44">
        <f t="shared" ref="N23" si="18">N22</f>
        <v>150</v>
      </c>
      <c r="O23" s="44">
        <f t="shared" si="6"/>
        <v>750</v>
      </c>
      <c r="P23" s="44" t="str">
        <f t="shared" si="7"/>
        <v>on</v>
      </c>
    </row>
    <row r="24" spans="1:24" ht="15.75" thickBot="1" x14ac:dyDescent="0.3">
      <c r="A24" s="229">
        <f t="shared" ref="A24:B24" si="19">A23+1</f>
        <v>4119</v>
      </c>
      <c r="B24" s="230">
        <f t="shared" si="19"/>
        <v>14</v>
      </c>
      <c r="C24" s="218" t="str">
        <f t="shared" si="3"/>
        <v>81aX13_000_060#02</v>
      </c>
      <c r="D24" s="43">
        <f t="shared" si="5"/>
        <v>13</v>
      </c>
      <c r="E24" s="61">
        <f t="shared" si="5"/>
        <v>2.149</v>
      </c>
      <c r="F24" s="44">
        <f t="shared" si="5"/>
        <v>16.530769230769231</v>
      </c>
      <c r="G24" s="44">
        <f t="shared" si="0"/>
        <v>13.224615384615385</v>
      </c>
      <c r="H24" s="44">
        <f t="shared" si="1"/>
        <v>8.2653846153846153</v>
      </c>
      <c r="I24" s="44">
        <f t="shared" si="5"/>
        <v>8</v>
      </c>
      <c r="J24" s="45">
        <v>0</v>
      </c>
      <c r="K24" s="37" t="str">
        <f>D24&amp;-2</f>
        <v>13-2</v>
      </c>
      <c r="L24" s="44">
        <f t="shared" si="6"/>
        <v>0.2</v>
      </c>
      <c r="M24" s="49">
        <f>M23</f>
        <v>60</v>
      </c>
      <c r="N24" s="44">
        <f t="shared" ref="N24" si="20">N23</f>
        <v>150</v>
      </c>
      <c r="O24" s="44">
        <f t="shared" si="6"/>
        <v>750</v>
      </c>
      <c r="P24" s="44" t="str">
        <f t="shared" si="7"/>
        <v>on</v>
      </c>
    </row>
    <row r="25" spans="1:24" ht="15.75" thickBot="1" x14ac:dyDescent="0.3">
      <c r="A25" s="229">
        <f t="shared" ref="A25:B25" si="21">A24+1</f>
        <v>4120</v>
      </c>
      <c r="B25" s="230">
        <f t="shared" si="21"/>
        <v>15</v>
      </c>
      <c r="C25" s="218" t="str">
        <f t="shared" si="3"/>
        <v>81aX13_000_060#03</v>
      </c>
      <c r="D25" s="43">
        <f t="shared" si="5"/>
        <v>13</v>
      </c>
      <c r="E25" s="61">
        <f t="shared" si="5"/>
        <v>2.149</v>
      </c>
      <c r="F25" s="44">
        <f t="shared" si="5"/>
        <v>16.530769230769231</v>
      </c>
      <c r="G25" s="44">
        <f t="shared" si="0"/>
        <v>13.224615384615385</v>
      </c>
      <c r="H25" s="44">
        <f t="shared" si="1"/>
        <v>8.2653846153846153</v>
      </c>
      <c r="I25" s="44">
        <f t="shared" si="5"/>
        <v>8</v>
      </c>
      <c r="J25" s="45">
        <v>0</v>
      </c>
      <c r="K25" s="37" t="str">
        <f>D25&amp;-3</f>
        <v>13-3</v>
      </c>
      <c r="L25" s="44">
        <f t="shared" si="6"/>
        <v>0.2</v>
      </c>
      <c r="M25" s="49">
        <f>M24</f>
        <v>60</v>
      </c>
      <c r="N25" s="44">
        <f t="shared" ref="N25" si="22">N24</f>
        <v>150</v>
      </c>
      <c r="O25" s="44">
        <f t="shared" si="6"/>
        <v>750</v>
      </c>
      <c r="P25" s="44" t="str">
        <f t="shared" si="7"/>
        <v>on</v>
      </c>
      <c r="R25" s="96"/>
      <c r="S25" s="97"/>
      <c r="T25" s="97"/>
      <c r="U25" s="97"/>
      <c r="V25" s="97"/>
      <c r="W25" s="97"/>
      <c r="X25" s="97"/>
    </row>
    <row r="26" spans="1:24" ht="15.75" thickBot="1" x14ac:dyDescent="0.3">
      <c r="A26" s="229">
        <f t="shared" ref="A26:B26" si="23">A25+1</f>
        <v>4121</v>
      </c>
      <c r="B26" s="230">
        <f t="shared" si="23"/>
        <v>16</v>
      </c>
      <c r="C26" s="218" t="str">
        <f t="shared" si="3"/>
        <v>81aX13_000_060#04</v>
      </c>
      <c r="D26" s="43">
        <f t="shared" si="5"/>
        <v>13</v>
      </c>
      <c r="E26" s="61">
        <f t="shared" si="5"/>
        <v>2.149</v>
      </c>
      <c r="F26" s="44">
        <f t="shared" si="5"/>
        <v>16.530769230769231</v>
      </c>
      <c r="G26" s="44">
        <f t="shared" si="0"/>
        <v>13.224615384615385</v>
      </c>
      <c r="H26" s="44">
        <f t="shared" si="1"/>
        <v>8.2653846153846153</v>
      </c>
      <c r="I26" s="44">
        <f t="shared" si="5"/>
        <v>8</v>
      </c>
      <c r="J26" s="45">
        <v>0</v>
      </c>
      <c r="K26" s="37" t="str">
        <f>D26&amp;-4</f>
        <v>13-4</v>
      </c>
      <c r="L26" s="44">
        <f t="shared" si="6"/>
        <v>0.2</v>
      </c>
      <c r="M26" s="49">
        <f>M25</f>
        <v>60</v>
      </c>
      <c r="N26" s="44">
        <f t="shared" ref="N26" si="24">N25</f>
        <v>150</v>
      </c>
      <c r="O26" s="44">
        <f t="shared" si="6"/>
        <v>750</v>
      </c>
      <c r="P26" s="44" t="str">
        <f t="shared" si="7"/>
        <v>on</v>
      </c>
      <c r="R26" s="97"/>
      <c r="S26" s="97"/>
      <c r="T26" s="97"/>
      <c r="U26" s="97"/>
      <c r="V26" s="97"/>
      <c r="W26" s="97"/>
      <c r="X26" s="97"/>
    </row>
    <row r="27" spans="1:24" ht="15.75" thickBot="1" x14ac:dyDescent="0.3">
      <c r="A27" s="229">
        <f t="shared" ref="A27:B27" si="25">A26+1</f>
        <v>4122</v>
      </c>
      <c r="B27" s="230">
        <f t="shared" si="25"/>
        <v>17</v>
      </c>
      <c r="C27" s="218" t="str">
        <f t="shared" si="3"/>
        <v>81aX13_000_060#05</v>
      </c>
      <c r="D27" s="43">
        <f t="shared" si="5"/>
        <v>13</v>
      </c>
      <c r="E27" s="61">
        <f t="shared" si="5"/>
        <v>2.149</v>
      </c>
      <c r="F27" s="44">
        <f t="shared" si="5"/>
        <v>16.530769230769231</v>
      </c>
      <c r="G27" s="44">
        <f t="shared" si="0"/>
        <v>13.224615384615385</v>
      </c>
      <c r="H27" s="44">
        <f t="shared" si="1"/>
        <v>8.2653846153846153</v>
      </c>
      <c r="I27" s="44">
        <f t="shared" si="5"/>
        <v>8</v>
      </c>
      <c r="J27" s="45">
        <v>0</v>
      </c>
      <c r="K27" s="37" t="str">
        <f>D27&amp;-5</f>
        <v>13-5</v>
      </c>
      <c r="L27" s="44">
        <f t="shared" si="6"/>
        <v>0.2</v>
      </c>
      <c r="M27" s="49">
        <f>M26</f>
        <v>60</v>
      </c>
      <c r="N27" s="44">
        <f t="shared" ref="N27" si="26">N26</f>
        <v>150</v>
      </c>
      <c r="O27" s="44">
        <f t="shared" si="6"/>
        <v>750</v>
      </c>
      <c r="P27" s="44" t="str">
        <f t="shared" si="7"/>
        <v>on</v>
      </c>
      <c r="R27" s="97"/>
      <c r="S27" s="97"/>
      <c r="T27" s="97"/>
      <c r="U27" s="97"/>
      <c r="V27" s="97"/>
      <c r="W27" s="97"/>
      <c r="X27" s="97"/>
    </row>
    <row r="28" spans="1:24" ht="15.75" thickBot="1" x14ac:dyDescent="0.3">
      <c r="A28" s="229">
        <f t="shared" ref="A28:B28" si="27">A27+1</f>
        <v>4123</v>
      </c>
      <c r="B28" s="230">
        <f t="shared" si="27"/>
        <v>18</v>
      </c>
      <c r="C28" s="218" t="str">
        <f t="shared" si="3"/>
        <v>81aX13_000_060#06</v>
      </c>
      <c r="D28" s="43">
        <f t="shared" si="5"/>
        <v>13</v>
      </c>
      <c r="E28" s="61">
        <f t="shared" si="5"/>
        <v>2.149</v>
      </c>
      <c r="F28" s="44">
        <f t="shared" si="5"/>
        <v>16.530769230769231</v>
      </c>
      <c r="G28" s="44">
        <f t="shared" si="0"/>
        <v>13.224615384615385</v>
      </c>
      <c r="H28" s="44">
        <f t="shared" si="1"/>
        <v>8.2653846153846153</v>
      </c>
      <c r="I28" s="44">
        <f t="shared" si="5"/>
        <v>8</v>
      </c>
      <c r="J28" s="45">
        <v>0</v>
      </c>
      <c r="K28" s="37" t="str">
        <f>D28&amp;-6</f>
        <v>13-6</v>
      </c>
      <c r="L28" s="44">
        <f t="shared" si="6"/>
        <v>0.2</v>
      </c>
      <c r="M28" s="49">
        <f>M27</f>
        <v>60</v>
      </c>
      <c r="N28" s="44">
        <f t="shared" ref="N28" si="28">N27</f>
        <v>150</v>
      </c>
      <c r="O28" s="44">
        <f t="shared" si="6"/>
        <v>750</v>
      </c>
      <c r="P28" s="44" t="str">
        <f t="shared" ref="P28:P43" si="29">P27</f>
        <v>on</v>
      </c>
      <c r="R28" s="97"/>
      <c r="S28" s="97"/>
      <c r="T28" s="97"/>
      <c r="U28" s="97"/>
      <c r="V28" s="97"/>
      <c r="W28" s="97"/>
      <c r="X28" s="97"/>
    </row>
    <row r="29" spans="1:24" ht="15.75" thickBot="1" x14ac:dyDescent="0.3">
      <c r="A29" s="229">
        <f t="shared" ref="A29:B29" si="30">A28+1</f>
        <v>4124</v>
      </c>
      <c r="B29" s="230">
        <f t="shared" si="30"/>
        <v>19</v>
      </c>
      <c r="C29" s="218" t="str">
        <f t="shared" si="3"/>
        <v>81aX13_000_090#01</v>
      </c>
      <c r="D29" s="43">
        <f t="shared" ref="D29:F44" si="31">D28</f>
        <v>13</v>
      </c>
      <c r="E29" s="61">
        <f t="shared" si="31"/>
        <v>2.149</v>
      </c>
      <c r="F29" s="44">
        <f t="shared" si="31"/>
        <v>16.530769230769231</v>
      </c>
      <c r="G29" s="44">
        <f t="shared" si="0"/>
        <v>13.224615384615385</v>
      </c>
      <c r="H29" s="44">
        <f t="shared" si="1"/>
        <v>8.2653846153846153</v>
      </c>
      <c r="I29" s="44">
        <f t="shared" ref="I29:I44" si="32">I28</f>
        <v>8</v>
      </c>
      <c r="J29" s="45">
        <v>0</v>
      </c>
      <c r="K29" s="37" t="str">
        <f>D29&amp;-1</f>
        <v>13-1</v>
      </c>
      <c r="L29" s="44">
        <f t="shared" ref="L29:O44" si="33">L28</f>
        <v>0.2</v>
      </c>
      <c r="M29" s="49">
        <v>90</v>
      </c>
      <c r="N29" s="44">
        <f t="shared" ref="N29" si="34">N28</f>
        <v>150</v>
      </c>
      <c r="O29" s="44">
        <f t="shared" si="33"/>
        <v>750</v>
      </c>
      <c r="P29" s="44" t="str">
        <f t="shared" si="29"/>
        <v>on</v>
      </c>
      <c r="R29" s="97"/>
      <c r="S29" s="97"/>
      <c r="T29" s="97"/>
      <c r="U29" s="97"/>
      <c r="V29" s="97"/>
      <c r="W29" s="97"/>
      <c r="X29" s="97"/>
    </row>
    <row r="30" spans="1:24" ht="15.75" thickBot="1" x14ac:dyDescent="0.3">
      <c r="A30" s="229">
        <f t="shared" ref="A30:B30" si="35">A29+1</f>
        <v>4125</v>
      </c>
      <c r="B30" s="230">
        <f t="shared" si="35"/>
        <v>20</v>
      </c>
      <c r="C30" s="218" t="str">
        <f t="shared" si="3"/>
        <v>81aX13_000_090#02</v>
      </c>
      <c r="D30" s="43">
        <f t="shared" si="31"/>
        <v>13</v>
      </c>
      <c r="E30" s="61">
        <f t="shared" si="31"/>
        <v>2.149</v>
      </c>
      <c r="F30" s="44">
        <f t="shared" si="31"/>
        <v>16.530769230769231</v>
      </c>
      <c r="G30" s="44">
        <f t="shared" si="0"/>
        <v>13.224615384615385</v>
      </c>
      <c r="H30" s="44">
        <f t="shared" si="1"/>
        <v>8.2653846153846153</v>
      </c>
      <c r="I30" s="44">
        <f t="shared" si="32"/>
        <v>8</v>
      </c>
      <c r="J30" s="45">
        <v>0</v>
      </c>
      <c r="K30" s="37" t="str">
        <f>D30&amp;-2</f>
        <v>13-2</v>
      </c>
      <c r="L30" s="44">
        <f t="shared" si="33"/>
        <v>0.2</v>
      </c>
      <c r="M30" s="49">
        <f>M29</f>
        <v>90</v>
      </c>
      <c r="N30" s="44">
        <f t="shared" ref="N30" si="36">N29</f>
        <v>150</v>
      </c>
      <c r="O30" s="44">
        <f t="shared" si="33"/>
        <v>750</v>
      </c>
      <c r="P30" s="44" t="str">
        <f t="shared" si="29"/>
        <v>on</v>
      </c>
      <c r="R30" s="97"/>
      <c r="S30" s="97"/>
      <c r="T30" s="97"/>
      <c r="U30" s="97"/>
      <c r="V30" s="97"/>
      <c r="W30" s="97"/>
      <c r="X30" s="97"/>
    </row>
    <row r="31" spans="1:24" ht="15.75" thickBot="1" x14ac:dyDescent="0.3">
      <c r="A31" s="229">
        <f t="shared" ref="A31:B31" si="37">A30+1</f>
        <v>4126</v>
      </c>
      <c r="B31" s="230">
        <f t="shared" si="37"/>
        <v>21</v>
      </c>
      <c r="C31" s="218" t="str">
        <f t="shared" si="3"/>
        <v>81aX13_000_090#03</v>
      </c>
      <c r="D31" s="43">
        <f t="shared" si="31"/>
        <v>13</v>
      </c>
      <c r="E31" s="61">
        <f t="shared" si="31"/>
        <v>2.149</v>
      </c>
      <c r="F31" s="44">
        <f t="shared" si="31"/>
        <v>16.530769230769231</v>
      </c>
      <c r="G31" s="44">
        <f t="shared" si="0"/>
        <v>13.224615384615385</v>
      </c>
      <c r="H31" s="44">
        <f t="shared" si="1"/>
        <v>8.2653846153846153</v>
      </c>
      <c r="I31" s="44">
        <f t="shared" si="32"/>
        <v>8</v>
      </c>
      <c r="J31" s="45">
        <v>0</v>
      </c>
      <c r="K31" s="37" t="str">
        <f>D31&amp;-3</f>
        <v>13-3</v>
      </c>
      <c r="L31" s="44">
        <f t="shared" si="33"/>
        <v>0.2</v>
      </c>
      <c r="M31" s="49">
        <f>M30</f>
        <v>90</v>
      </c>
      <c r="N31" s="44">
        <f t="shared" ref="N31" si="38">N30</f>
        <v>150</v>
      </c>
      <c r="O31" s="44">
        <f t="shared" si="33"/>
        <v>750</v>
      </c>
      <c r="P31" s="44" t="str">
        <f t="shared" si="29"/>
        <v>on</v>
      </c>
      <c r="R31" s="97"/>
      <c r="S31" s="97"/>
      <c r="T31" s="97"/>
      <c r="U31" s="97"/>
      <c r="V31" s="97"/>
      <c r="W31" s="97"/>
      <c r="X31" s="97"/>
    </row>
    <row r="32" spans="1:24" ht="15.75" thickBot="1" x14ac:dyDescent="0.3">
      <c r="A32" s="229">
        <f t="shared" ref="A32:B32" si="39">A31+1</f>
        <v>4127</v>
      </c>
      <c r="B32" s="230">
        <f t="shared" si="39"/>
        <v>22</v>
      </c>
      <c r="C32" s="218" t="str">
        <f t="shared" si="3"/>
        <v>81aX13_000_090#04</v>
      </c>
      <c r="D32" s="43">
        <f t="shared" si="31"/>
        <v>13</v>
      </c>
      <c r="E32" s="61">
        <f t="shared" si="31"/>
        <v>2.149</v>
      </c>
      <c r="F32" s="44">
        <f t="shared" si="31"/>
        <v>16.530769230769231</v>
      </c>
      <c r="G32" s="44">
        <f t="shared" si="0"/>
        <v>13.224615384615385</v>
      </c>
      <c r="H32" s="44">
        <f t="shared" si="1"/>
        <v>8.2653846153846153</v>
      </c>
      <c r="I32" s="44">
        <f t="shared" si="32"/>
        <v>8</v>
      </c>
      <c r="J32" s="45">
        <v>0</v>
      </c>
      <c r="K32" s="37" t="str">
        <f>D32&amp;-4</f>
        <v>13-4</v>
      </c>
      <c r="L32" s="44">
        <f t="shared" si="33"/>
        <v>0.2</v>
      </c>
      <c r="M32" s="49">
        <f>M31</f>
        <v>90</v>
      </c>
      <c r="N32" s="44">
        <f t="shared" ref="N32" si="40">N31</f>
        <v>150</v>
      </c>
      <c r="O32" s="44">
        <f t="shared" si="33"/>
        <v>750</v>
      </c>
      <c r="P32" s="44" t="str">
        <f t="shared" si="29"/>
        <v>on</v>
      </c>
      <c r="R32" s="97"/>
      <c r="S32" s="97"/>
      <c r="T32" s="97"/>
      <c r="U32" s="97"/>
      <c r="V32" s="97"/>
      <c r="W32" s="97"/>
      <c r="X32" s="97"/>
    </row>
    <row r="33" spans="1:24" ht="15.75" thickBot="1" x14ac:dyDescent="0.3">
      <c r="A33" s="229">
        <f t="shared" ref="A33:B33" si="41">A32+1</f>
        <v>4128</v>
      </c>
      <c r="B33" s="230">
        <f t="shared" si="41"/>
        <v>23</v>
      </c>
      <c r="C33" s="218" t="str">
        <f t="shared" si="3"/>
        <v>81aX13_000_090#05</v>
      </c>
      <c r="D33" s="43">
        <f t="shared" si="31"/>
        <v>13</v>
      </c>
      <c r="E33" s="61">
        <f t="shared" si="31"/>
        <v>2.149</v>
      </c>
      <c r="F33" s="44">
        <f t="shared" si="31"/>
        <v>16.530769230769231</v>
      </c>
      <c r="G33" s="44">
        <f t="shared" si="0"/>
        <v>13.224615384615385</v>
      </c>
      <c r="H33" s="44">
        <f t="shared" si="1"/>
        <v>8.2653846153846153</v>
      </c>
      <c r="I33" s="44">
        <f t="shared" si="32"/>
        <v>8</v>
      </c>
      <c r="J33" s="45">
        <v>0</v>
      </c>
      <c r="K33" s="37" t="str">
        <f>D33&amp;-5</f>
        <v>13-5</v>
      </c>
      <c r="L33" s="44">
        <f t="shared" si="33"/>
        <v>0.2</v>
      </c>
      <c r="M33" s="49">
        <f>M32</f>
        <v>90</v>
      </c>
      <c r="N33" s="44">
        <f t="shared" ref="N33" si="42">N32</f>
        <v>150</v>
      </c>
      <c r="O33" s="44">
        <f t="shared" si="33"/>
        <v>750</v>
      </c>
      <c r="P33" s="44" t="str">
        <f t="shared" si="29"/>
        <v>on</v>
      </c>
      <c r="R33" s="97"/>
      <c r="S33" s="97"/>
      <c r="T33" s="97"/>
      <c r="U33" s="97"/>
      <c r="V33" s="97"/>
      <c r="W33" s="97"/>
      <c r="X33" s="97"/>
    </row>
    <row r="34" spans="1:24" ht="15.75" thickBot="1" x14ac:dyDescent="0.3">
      <c r="A34" s="229">
        <f t="shared" ref="A34:B34" si="43">A33+1</f>
        <v>4129</v>
      </c>
      <c r="B34" s="230">
        <f t="shared" si="43"/>
        <v>24</v>
      </c>
      <c r="C34" s="218" t="str">
        <f t="shared" si="3"/>
        <v>81aX13_000_090#06</v>
      </c>
      <c r="D34" s="43">
        <f t="shared" si="31"/>
        <v>13</v>
      </c>
      <c r="E34" s="61">
        <f t="shared" si="31"/>
        <v>2.149</v>
      </c>
      <c r="F34" s="44">
        <f t="shared" si="31"/>
        <v>16.530769230769231</v>
      </c>
      <c r="G34" s="44">
        <f t="shared" si="0"/>
        <v>13.224615384615385</v>
      </c>
      <c r="H34" s="44">
        <f t="shared" si="1"/>
        <v>8.2653846153846153</v>
      </c>
      <c r="I34" s="44">
        <f t="shared" si="32"/>
        <v>8</v>
      </c>
      <c r="J34" s="45">
        <v>0</v>
      </c>
      <c r="K34" s="37" t="str">
        <f>D34&amp;-6</f>
        <v>13-6</v>
      </c>
      <c r="L34" s="44">
        <f t="shared" si="33"/>
        <v>0.2</v>
      </c>
      <c r="M34" s="49">
        <f>M33</f>
        <v>90</v>
      </c>
      <c r="N34" s="44">
        <f t="shared" ref="N34" si="44">N33</f>
        <v>150</v>
      </c>
      <c r="O34" s="44">
        <f t="shared" si="33"/>
        <v>750</v>
      </c>
      <c r="P34" s="44" t="str">
        <f t="shared" si="29"/>
        <v>on</v>
      </c>
    </row>
    <row r="35" spans="1:24" ht="15.75" thickBot="1" x14ac:dyDescent="0.3">
      <c r="A35" s="229">
        <f t="shared" ref="A35:B35" si="45">A34+1</f>
        <v>4130</v>
      </c>
      <c r="B35" s="230">
        <f t="shared" si="45"/>
        <v>25</v>
      </c>
      <c r="C35" s="218" t="str">
        <f t="shared" si="3"/>
        <v>81aX13_030_000#01</v>
      </c>
      <c r="D35" s="43">
        <f t="shared" si="31"/>
        <v>13</v>
      </c>
      <c r="E35" s="61">
        <f t="shared" si="31"/>
        <v>2.149</v>
      </c>
      <c r="F35" s="44">
        <f t="shared" si="31"/>
        <v>16.530769230769231</v>
      </c>
      <c r="G35" s="44">
        <f t="shared" si="0"/>
        <v>13.224615384615385</v>
      </c>
      <c r="H35" s="44">
        <f t="shared" si="1"/>
        <v>8.2653846153846153</v>
      </c>
      <c r="I35" s="44">
        <f t="shared" si="32"/>
        <v>8</v>
      </c>
      <c r="J35" s="45">
        <v>30</v>
      </c>
      <c r="K35" s="37" t="str">
        <f>D35&amp;-1</f>
        <v>13-1</v>
      </c>
      <c r="L35" s="44">
        <f t="shared" si="33"/>
        <v>0.2</v>
      </c>
      <c r="M35" s="49">
        <v>0</v>
      </c>
      <c r="N35" s="44">
        <f t="shared" ref="N35" si="46">N34</f>
        <v>150</v>
      </c>
      <c r="O35" s="44">
        <f t="shared" si="33"/>
        <v>750</v>
      </c>
      <c r="P35" s="44" t="str">
        <f t="shared" si="29"/>
        <v>on</v>
      </c>
    </row>
    <row r="36" spans="1:24" ht="15.75" thickBot="1" x14ac:dyDescent="0.3">
      <c r="A36" s="229">
        <f t="shared" ref="A36:B36" si="47">A35+1</f>
        <v>4131</v>
      </c>
      <c r="B36" s="230">
        <f t="shared" si="47"/>
        <v>26</v>
      </c>
      <c r="C36" s="218" t="str">
        <f t="shared" si="3"/>
        <v>81aX13_030_000#02</v>
      </c>
      <c r="D36" s="43">
        <f t="shared" si="31"/>
        <v>13</v>
      </c>
      <c r="E36" s="61">
        <f t="shared" si="31"/>
        <v>2.149</v>
      </c>
      <c r="F36" s="44">
        <f t="shared" si="31"/>
        <v>16.530769230769231</v>
      </c>
      <c r="G36" s="44">
        <f t="shared" si="0"/>
        <v>13.224615384615385</v>
      </c>
      <c r="H36" s="44">
        <f t="shared" si="1"/>
        <v>8.2653846153846153</v>
      </c>
      <c r="I36" s="44">
        <f t="shared" si="32"/>
        <v>8</v>
      </c>
      <c r="J36" s="45">
        <v>30</v>
      </c>
      <c r="K36" s="37" t="str">
        <f>D36&amp;-2</f>
        <v>13-2</v>
      </c>
      <c r="L36" s="44">
        <f t="shared" si="33"/>
        <v>0.2</v>
      </c>
      <c r="M36" s="49">
        <f>M35</f>
        <v>0</v>
      </c>
      <c r="N36" s="44">
        <f t="shared" ref="N36" si="48">N35</f>
        <v>150</v>
      </c>
      <c r="O36" s="44">
        <f t="shared" si="33"/>
        <v>750</v>
      </c>
      <c r="P36" s="44" t="str">
        <f t="shared" si="29"/>
        <v>on</v>
      </c>
      <c r="R36" s="97"/>
      <c r="S36" s="97"/>
      <c r="T36" s="97"/>
      <c r="U36" s="97"/>
      <c r="V36" s="97"/>
      <c r="W36" s="97"/>
      <c r="X36" s="97"/>
    </row>
    <row r="37" spans="1:24" ht="15.75" thickBot="1" x14ac:dyDescent="0.3">
      <c r="A37" s="229">
        <f t="shared" ref="A37:B37" si="49">A36+1</f>
        <v>4132</v>
      </c>
      <c r="B37" s="230">
        <f t="shared" si="49"/>
        <v>27</v>
      </c>
      <c r="C37" s="218" t="str">
        <f t="shared" si="3"/>
        <v>81aX13_030_000#03</v>
      </c>
      <c r="D37" s="43">
        <f t="shared" si="31"/>
        <v>13</v>
      </c>
      <c r="E37" s="61">
        <f t="shared" si="31"/>
        <v>2.149</v>
      </c>
      <c r="F37" s="44">
        <f t="shared" si="31"/>
        <v>16.530769230769231</v>
      </c>
      <c r="G37" s="44">
        <f t="shared" si="0"/>
        <v>13.224615384615385</v>
      </c>
      <c r="H37" s="44">
        <f t="shared" si="1"/>
        <v>8.2653846153846153</v>
      </c>
      <c r="I37" s="44">
        <f t="shared" si="32"/>
        <v>8</v>
      </c>
      <c r="J37" s="45">
        <v>30</v>
      </c>
      <c r="K37" s="37" t="str">
        <f>D37&amp;-3</f>
        <v>13-3</v>
      </c>
      <c r="L37" s="44">
        <f t="shared" si="33"/>
        <v>0.2</v>
      </c>
      <c r="M37" s="49">
        <f>M36</f>
        <v>0</v>
      </c>
      <c r="N37" s="44">
        <f t="shared" ref="N37" si="50">N36</f>
        <v>150</v>
      </c>
      <c r="O37" s="44">
        <f t="shared" si="33"/>
        <v>750</v>
      </c>
      <c r="P37" s="44" t="str">
        <f t="shared" si="29"/>
        <v>on</v>
      </c>
      <c r="R37" s="97"/>
      <c r="S37" s="97"/>
      <c r="T37" s="97"/>
      <c r="U37" s="97"/>
      <c r="V37" s="97"/>
      <c r="W37" s="97"/>
      <c r="X37" s="97"/>
    </row>
    <row r="38" spans="1:24" ht="15.75" thickBot="1" x14ac:dyDescent="0.3">
      <c r="A38" s="229">
        <f t="shared" ref="A38:B38" si="51">A37+1</f>
        <v>4133</v>
      </c>
      <c r="B38" s="230">
        <f t="shared" si="51"/>
        <v>28</v>
      </c>
      <c r="C38" s="218" t="str">
        <f t="shared" si="3"/>
        <v>81aX13_030_000#04</v>
      </c>
      <c r="D38" s="43">
        <f t="shared" si="31"/>
        <v>13</v>
      </c>
      <c r="E38" s="61">
        <f t="shared" si="31"/>
        <v>2.149</v>
      </c>
      <c r="F38" s="44">
        <f t="shared" si="31"/>
        <v>16.530769230769231</v>
      </c>
      <c r="G38" s="44">
        <f t="shared" si="0"/>
        <v>13.224615384615385</v>
      </c>
      <c r="H38" s="44">
        <f t="shared" si="1"/>
        <v>8.2653846153846153</v>
      </c>
      <c r="I38" s="44">
        <f t="shared" si="32"/>
        <v>8</v>
      </c>
      <c r="J38" s="45">
        <v>30</v>
      </c>
      <c r="K38" s="37" t="str">
        <f>D38&amp;-4</f>
        <v>13-4</v>
      </c>
      <c r="L38" s="44">
        <f t="shared" si="33"/>
        <v>0.2</v>
      </c>
      <c r="M38" s="49">
        <f>M37</f>
        <v>0</v>
      </c>
      <c r="N38" s="44">
        <f t="shared" ref="N38" si="52">N37</f>
        <v>150</v>
      </c>
      <c r="O38" s="44">
        <f t="shared" si="33"/>
        <v>750</v>
      </c>
      <c r="P38" s="44" t="str">
        <f t="shared" si="29"/>
        <v>on</v>
      </c>
      <c r="R38" s="97"/>
      <c r="S38" s="97"/>
      <c r="T38" s="97"/>
      <c r="U38" s="97"/>
      <c r="V38" s="97"/>
      <c r="W38" s="97"/>
      <c r="X38" s="97"/>
    </row>
    <row r="39" spans="1:24" ht="15.75" thickBot="1" x14ac:dyDescent="0.3">
      <c r="A39" s="229">
        <f t="shared" ref="A39:B39" si="53">A38+1</f>
        <v>4134</v>
      </c>
      <c r="B39" s="230">
        <f t="shared" si="53"/>
        <v>29</v>
      </c>
      <c r="C39" s="218" t="str">
        <f t="shared" si="3"/>
        <v>81aX13_030_000#05</v>
      </c>
      <c r="D39" s="43">
        <f t="shared" si="31"/>
        <v>13</v>
      </c>
      <c r="E39" s="61">
        <f t="shared" si="31"/>
        <v>2.149</v>
      </c>
      <c r="F39" s="44">
        <f t="shared" si="31"/>
        <v>16.530769230769231</v>
      </c>
      <c r="G39" s="44">
        <f t="shared" si="0"/>
        <v>13.224615384615385</v>
      </c>
      <c r="H39" s="44">
        <f t="shared" si="1"/>
        <v>8.2653846153846153</v>
      </c>
      <c r="I39" s="44">
        <f t="shared" si="32"/>
        <v>8</v>
      </c>
      <c r="J39" s="45">
        <v>30</v>
      </c>
      <c r="K39" s="37" t="str">
        <f>D39&amp;-5</f>
        <v>13-5</v>
      </c>
      <c r="L39" s="44">
        <f t="shared" si="33"/>
        <v>0.2</v>
      </c>
      <c r="M39" s="49">
        <f>M38</f>
        <v>0</v>
      </c>
      <c r="N39" s="44">
        <f t="shared" ref="N39" si="54">N38</f>
        <v>150</v>
      </c>
      <c r="O39" s="44">
        <f t="shared" si="33"/>
        <v>750</v>
      </c>
      <c r="P39" s="44" t="str">
        <f t="shared" si="29"/>
        <v>on</v>
      </c>
      <c r="R39" s="97"/>
      <c r="S39" s="97"/>
      <c r="T39" s="97"/>
      <c r="U39" s="97"/>
      <c r="V39" s="97"/>
      <c r="W39" s="97"/>
      <c r="X39" s="97"/>
    </row>
    <row r="40" spans="1:24" ht="15.75" thickBot="1" x14ac:dyDescent="0.3">
      <c r="A40" s="229">
        <f t="shared" ref="A40:B40" si="55">A39+1</f>
        <v>4135</v>
      </c>
      <c r="B40" s="230">
        <f t="shared" si="55"/>
        <v>30</v>
      </c>
      <c r="C40" s="218" t="str">
        <f t="shared" si="3"/>
        <v>81aX13_030_000#06</v>
      </c>
      <c r="D40" s="43">
        <f t="shared" si="31"/>
        <v>13</v>
      </c>
      <c r="E40" s="61">
        <f t="shared" si="31"/>
        <v>2.149</v>
      </c>
      <c r="F40" s="44">
        <f t="shared" si="31"/>
        <v>16.530769230769231</v>
      </c>
      <c r="G40" s="44">
        <f t="shared" si="0"/>
        <v>13.224615384615385</v>
      </c>
      <c r="H40" s="44">
        <f t="shared" si="1"/>
        <v>8.2653846153846153</v>
      </c>
      <c r="I40" s="44">
        <f t="shared" si="32"/>
        <v>8</v>
      </c>
      <c r="J40" s="45">
        <v>30</v>
      </c>
      <c r="K40" s="37" t="str">
        <f>D40&amp;-6</f>
        <v>13-6</v>
      </c>
      <c r="L40" s="44">
        <f t="shared" si="33"/>
        <v>0.2</v>
      </c>
      <c r="M40" s="49">
        <f>M39</f>
        <v>0</v>
      </c>
      <c r="N40" s="44">
        <f t="shared" ref="N40" si="56">N39</f>
        <v>150</v>
      </c>
      <c r="O40" s="44">
        <f t="shared" si="33"/>
        <v>750</v>
      </c>
      <c r="P40" s="44" t="str">
        <f t="shared" si="29"/>
        <v>on</v>
      </c>
      <c r="R40" s="97"/>
      <c r="S40" s="97"/>
      <c r="T40" s="97"/>
      <c r="U40" s="97"/>
      <c r="V40" s="97"/>
      <c r="W40" s="97"/>
      <c r="X40" s="97"/>
    </row>
    <row r="41" spans="1:24" ht="15.75" thickBot="1" x14ac:dyDescent="0.3">
      <c r="A41" s="229">
        <f t="shared" ref="A41:B41" si="57">A40+1</f>
        <v>4136</v>
      </c>
      <c r="B41" s="230">
        <f t="shared" si="57"/>
        <v>31</v>
      </c>
      <c r="C41" s="218" t="str">
        <f t="shared" si="3"/>
        <v>81aX13_030_030#01</v>
      </c>
      <c r="D41" s="43">
        <f t="shared" si="31"/>
        <v>13</v>
      </c>
      <c r="E41" s="61">
        <f t="shared" si="31"/>
        <v>2.149</v>
      </c>
      <c r="F41" s="44">
        <f t="shared" si="31"/>
        <v>16.530769230769231</v>
      </c>
      <c r="G41" s="44">
        <f t="shared" si="0"/>
        <v>13.224615384615385</v>
      </c>
      <c r="H41" s="44">
        <f t="shared" si="1"/>
        <v>8.2653846153846153</v>
      </c>
      <c r="I41" s="44">
        <f t="shared" si="32"/>
        <v>8</v>
      </c>
      <c r="J41" s="45">
        <v>30</v>
      </c>
      <c r="K41" s="37" t="str">
        <f>D41&amp;-1</f>
        <v>13-1</v>
      </c>
      <c r="L41" s="44">
        <f t="shared" si="33"/>
        <v>0.2</v>
      </c>
      <c r="M41" s="49">
        <v>30</v>
      </c>
      <c r="N41" s="44">
        <f t="shared" ref="N41:N104" si="58">N40</f>
        <v>150</v>
      </c>
      <c r="O41" s="44">
        <f t="shared" si="33"/>
        <v>750</v>
      </c>
      <c r="P41" s="44" t="str">
        <f t="shared" si="29"/>
        <v>on</v>
      </c>
      <c r="R41" s="97"/>
      <c r="S41" s="97"/>
      <c r="T41" s="97"/>
      <c r="U41" s="97"/>
      <c r="V41" s="97"/>
      <c r="W41" s="97"/>
      <c r="X41" s="97"/>
    </row>
    <row r="42" spans="1:24" ht="15.75" thickBot="1" x14ac:dyDescent="0.3">
      <c r="A42" s="229">
        <f t="shared" ref="A42:B42" si="59">A41+1</f>
        <v>4137</v>
      </c>
      <c r="B42" s="230">
        <f t="shared" si="59"/>
        <v>32</v>
      </c>
      <c r="C42" s="218" t="str">
        <f t="shared" si="3"/>
        <v>81aX13_030_030#02</v>
      </c>
      <c r="D42" s="43">
        <f t="shared" si="31"/>
        <v>13</v>
      </c>
      <c r="E42" s="61">
        <f t="shared" si="31"/>
        <v>2.149</v>
      </c>
      <c r="F42" s="44">
        <f t="shared" si="31"/>
        <v>16.530769230769231</v>
      </c>
      <c r="G42" s="44">
        <f t="shared" si="0"/>
        <v>13.224615384615385</v>
      </c>
      <c r="H42" s="44">
        <f t="shared" si="1"/>
        <v>8.2653846153846153</v>
      </c>
      <c r="I42" s="44">
        <f t="shared" si="32"/>
        <v>8</v>
      </c>
      <c r="J42" s="45">
        <v>30</v>
      </c>
      <c r="K42" s="37" t="str">
        <f>D42&amp;-2</f>
        <v>13-2</v>
      </c>
      <c r="L42" s="44">
        <f t="shared" si="33"/>
        <v>0.2</v>
      </c>
      <c r="M42" s="49">
        <f>M41</f>
        <v>30</v>
      </c>
      <c r="N42" s="44">
        <f t="shared" si="58"/>
        <v>150</v>
      </c>
      <c r="O42" s="44">
        <f t="shared" si="33"/>
        <v>750</v>
      </c>
      <c r="P42" s="44" t="str">
        <f t="shared" si="29"/>
        <v>on</v>
      </c>
      <c r="R42" s="97"/>
      <c r="S42" s="97"/>
      <c r="T42" s="97"/>
      <c r="U42" s="97"/>
      <c r="V42" s="97"/>
      <c r="W42" s="97"/>
      <c r="X42" s="97"/>
    </row>
    <row r="43" spans="1:24" ht="15.75" thickBot="1" x14ac:dyDescent="0.3">
      <c r="A43" s="229">
        <f t="shared" ref="A43:B43" si="60">A42+1</f>
        <v>4138</v>
      </c>
      <c r="B43" s="230">
        <f t="shared" si="60"/>
        <v>33</v>
      </c>
      <c r="C43" s="218" t="str">
        <f t="shared" si="3"/>
        <v>81aX13_030_030#03</v>
      </c>
      <c r="D43" s="43">
        <f t="shared" si="31"/>
        <v>13</v>
      </c>
      <c r="E43" s="61">
        <f t="shared" si="31"/>
        <v>2.149</v>
      </c>
      <c r="F43" s="44">
        <f t="shared" si="31"/>
        <v>16.530769230769231</v>
      </c>
      <c r="G43" s="44">
        <f t="shared" si="0"/>
        <v>13.224615384615385</v>
      </c>
      <c r="H43" s="44">
        <f t="shared" si="1"/>
        <v>8.2653846153846153</v>
      </c>
      <c r="I43" s="44">
        <f t="shared" si="32"/>
        <v>8</v>
      </c>
      <c r="J43" s="45">
        <v>30</v>
      </c>
      <c r="K43" s="37" t="str">
        <f>D43&amp;-3</f>
        <v>13-3</v>
      </c>
      <c r="L43" s="44">
        <f t="shared" si="33"/>
        <v>0.2</v>
      </c>
      <c r="M43" s="49">
        <f>M42</f>
        <v>30</v>
      </c>
      <c r="N43" s="44">
        <f t="shared" si="58"/>
        <v>150</v>
      </c>
      <c r="O43" s="44">
        <f t="shared" si="33"/>
        <v>750</v>
      </c>
      <c r="P43" s="44" t="str">
        <f t="shared" si="29"/>
        <v>on</v>
      </c>
      <c r="R43" s="97"/>
      <c r="S43" s="97"/>
      <c r="T43" s="97"/>
      <c r="U43" s="97"/>
      <c r="V43" s="97"/>
      <c r="W43" s="97"/>
      <c r="X43" s="97"/>
    </row>
    <row r="44" spans="1:24" ht="15.75" thickBot="1" x14ac:dyDescent="0.3">
      <c r="A44" s="229">
        <f t="shared" ref="A44:B44" si="61">A43+1</f>
        <v>4139</v>
      </c>
      <c r="B44" s="230">
        <f t="shared" si="61"/>
        <v>34</v>
      </c>
      <c r="C44" s="218" t="str">
        <f t="shared" si="3"/>
        <v>81aX13_030_030#04</v>
      </c>
      <c r="D44" s="43">
        <f t="shared" si="31"/>
        <v>13</v>
      </c>
      <c r="E44" s="61">
        <f t="shared" si="31"/>
        <v>2.149</v>
      </c>
      <c r="F44" s="44">
        <f t="shared" si="31"/>
        <v>16.530769230769231</v>
      </c>
      <c r="G44" s="44">
        <f t="shared" si="0"/>
        <v>13.224615384615385</v>
      </c>
      <c r="H44" s="44">
        <f t="shared" si="1"/>
        <v>8.2653846153846153</v>
      </c>
      <c r="I44" s="44">
        <f t="shared" si="32"/>
        <v>8</v>
      </c>
      <c r="J44" s="45">
        <v>30</v>
      </c>
      <c r="K44" s="37" t="str">
        <f>D44&amp;-4</f>
        <v>13-4</v>
      </c>
      <c r="L44" s="44">
        <f t="shared" si="33"/>
        <v>0.2</v>
      </c>
      <c r="M44" s="49">
        <f>M43</f>
        <v>30</v>
      </c>
      <c r="N44" s="44">
        <f t="shared" si="58"/>
        <v>150</v>
      </c>
      <c r="O44" s="44">
        <f t="shared" si="33"/>
        <v>750</v>
      </c>
      <c r="P44" s="44" t="str">
        <f t="shared" ref="P44:P58" si="62">P43</f>
        <v>on</v>
      </c>
      <c r="R44" s="97"/>
      <c r="S44" s="97"/>
      <c r="T44" s="97"/>
      <c r="U44" s="97"/>
      <c r="V44" s="97"/>
      <c r="W44" s="97"/>
      <c r="X44" s="97"/>
    </row>
    <row r="45" spans="1:24" ht="15.75" thickBot="1" x14ac:dyDescent="0.3">
      <c r="A45" s="229">
        <f t="shared" ref="A45:B45" si="63">A44+1</f>
        <v>4140</v>
      </c>
      <c r="B45" s="230">
        <f t="shared" si="63"/>
        <v>35</v>
      </c>
      <c r="C45" s="218" t="str">
        <f t="shared" si="3"/>
        <v>81aX13_030_030#05</v>
      </c>
      <c r="D45" s="43">
        <f t="shared" ref="D45:F58" si="64">D44</f>
        <v>13</v>
      </c>
      <c r="E45" s="61">
        <f t="shared" si="64"/>
        <v>2.149</v>
      </c>
      <c r="F45" s="44">
        <f t="shared" si="64"/>
        <v>16.530769230769231</v>
      </c>
      <c r="G45" s="44">
        <f t="shared" si="0"/>
        <v>13.224615384615385</v>
      </c>
      <c r="H45" s="44">
        <f t="shared" si="1"/>
        <v>8.2653846153846153</v>
      </c>
      <c r="I45" s="44">
        <f t="shared" ref="I45:I108" si="65">I44</f>
        <v>8</v>
      </c>
      <c r="J45" s="45">
        <v>30</v>
      </c>
      <c r="K45" s="37" t="str">
        <f>D45&amp;-5</f>
        <v>13-5</v>
      </c>
      <c r="L45" s="44">
        <f t="shared" ref="L45:O58" si="66">L44</f>
        <v>0.2</v>
      </c>
      <c r="M45" s="49">
        <f>M44</f>
        <v>30</v>
      </c>
      <c r="N45" s="44">
        <f t="shared" si="58"/>
        <v>150</v>
      </c>
      <c r="O45" s="44">
        <f t="shared" si="66"/>
        <v>750</v>
      </c>
      <c r="P45" s="44" t="str">
        <f t="shared" si="62"/>
        <v>on</v>
      </c>
      <c r="R45" s="97"/>
      <c r="S45" s="97"/>
      <c r="T45" s="97"/>
      <c r="U45" s="97"/>
      <c r="V45" s="97"/>
      <c r="W45" s="97"/>
      <c r="X45" s="97"/>
    </row>
    <row r="46" spans="1:24" ht="15.75" thickBot="1" x14ac:dyDescent="0.3">
      <c r="A46" s="229">
        <f t="shared" ref="A46:B46" si="67">A45+1</f>
        <v>4141</v>
      </c>
      <c r="B46" s="230">
        <f t="shared" si="67"/>
        <v>36</v>
      </c>
      <c r="C46" s="218" t="str">
        <f t="shared" si="3"/>
        <v>81aX13_030_030#06</v>
      </c>
      <c r="D46" s="43">
        <f t="shared" si="64"/>
        <v>13</v>
      </c>
      <c r="E46" s="61">
        <f t="shared" si="64"/>
        <v>2.149</v>
      </c>
      <c r="F46" s="44">
        <f t="shared" si="64"/>
        <v>16.530769230769231</v>
      </c>
      <c r="G46" s="44">
        <f t="shared" si="0"/>
        <v>13.224615384615385</v>
      </c>
      <c r="H46" s="44">
        <f t="shared" si="1"/>
        <v>8.2653846153846153</v>
      </c>
      <c r="I46" s="44">
        <f t="shared" si="65"/>
        <v>8</v>
      </c>
      <c r="J46" s="45">
        <v>30</v>
      </c>
      <c r="K46" s="37" t="str">
        <f>D46&amp;-6</f>
        <v>13-6</v>
      </c>
      <c r="L46" s="44">
        <f t="shared" si="66"/>
        <v>0.2</v>
      </c>
      <c r="M46" s="49">
        <f>M45</f>
        <v>30</v>
      </c>
      <c r="N46" s="44">
        <f t="shared" si="58"/>
        <v>150</v>
      </c>
      <c r="O46" s="44">
        <f t="shared" si="66"/>
        <v>750</v>
      </c>
      <c r="P46" s="44" t="str">
        <f t="shared" si="62"/>
        <v>on</v>
      </c>
      <c r="R46" s="97"/>
      <c r="S46" s="97"/>
      <c r="T46" s="97"/>
      <c r="U46" s="97"/>
      <c r="V46" s="97"/>
      <c r="W46" s="97"/>
      <c r="X46" s="97"/>
    </row>
    <row r="47" spans="1:24" ht="15.75" thickBot="1" x14ac:dyDescent="0.3">
      <c r="A47" s="229">
        <f t="shared" ref="A47:B47" si="68">A46+1</f>
        <v>4142</v>
      </c>
      <c r="B47" s="230">
        <f t="shared" si="68"/>
        <v>37</v>
      </c>
      <c r="C47" s="218" t="str">
        <f t="shared" si="3"/>
        <v>81aX13_030_060#01</v>
      </c>
      <c r="D47" s="43">
        <f t="shared" si="64"/>
        <v>13</v>
      </c>
      <c r="E47" s="61">
        <f t="shared" si="64"/>
        <v>2.149</v>
      </c>
      <c r="F47" s="44">
        <f t="shared" si="64"/>
        <v>16.530769230769231</v>
      </c>
      <c r="G47" s="44">
        <f t="shared" si="0"/>
        <v>13.224615384615385</v>
      </c>
      <c r="H47" s="44">
        <f t="shared" si="1"/>
        <v>8.2653846153846153</v>
      </c>
      <c r="I47" s="44">
        <f t="shared" si="65"/>
        <v>8</v>
      </c>
      <c r="J47" s="45">
        <v>30</v>
      </c>
      <c r="K47" s="37" t="str">
        <f>D47&amp;-1</f>
        <v>13-1</v>
      </c>
      <c r="L47" s="44">
        <f t="shared" si="66"/>
        <v>0.2</v>
      </c>
      <c r="M47" s="49">
        <v>60</v>
      </c>
      <c r="N47" s="44">
        <f t="shared" si="58"/>
        <v>150</v>
      </c>
      <c r="O47" s="44">
        <f t="shared" si="66"/>
        <v>750</v>
      </c>
      <c r="P47" s="44" t="str">
        <f t="shared" si="62"/>
        <v>on</v>
      </c>
      <c r="R47" s="97"/>
      <c r="S47" s="97"/>
      <c r="T47" s="97"/>
      <c r="U47" s="97"/>
      <c r="V47" s="97"/>
      <c r="W47" s="97"/>
      <c r="X47" s="97"/>
    </row>
    <row r="48" spans="1:24" ht="15.75" thickBot="1" x14ac:dyDescent="0.3">
      <c r="A48" s="229">
        <f t="shared" ref="A48:B48" si="69">A47+1</f>
        <v>4143</v>
      </c>
      <c r="B48" s="230">
        <f t="shared" si="69"/>
        <v>38</v>
      </c>
      <c r="C48" s="218" t="str">
        <f t="shared" si="3"/>
        <v>81aX13_030_060#02</v>
      </c>
      <c r="D48" s="43">
        <f t="shared" si="64"/>
        <v>13</v>
      </c>
      <c r="E48" s="61">
        <f t="shared" si="64"/>
        <v>2.149</v>
      </c>
      <c r="F48" s="44">
        <f t="shared" si="64"/>
        <v>16.530769230769231</v>
      </c>
      <c r="G48" s="44">
        <f t="shared" si="0"/>
        <v>13.224615384615385</v>
      </c>
      <c r="H48" s="44">
        <f t="shared" si="1"/>
        <v>8.2653846153846153</v>
      </c>
      <c r="I48" s="44">
        <f t="shared" si="65"/>
        <v>8</v>
      </c>
      <c r="J48" s="45">
        <v>30</v>
      </c>
      <c r="K48" s="37" t="str">
        <f>D48&amp;-2</f>
        <v>13-2</v>
      </c>
      <c r="L48" s="44">
        <f t="shared" si="66"/>
        <v>0.2</v>
      </c>
      <c r="M48" s="49">
        <f>M47</f>
        <v>60</v>
      </c>
      <c r="N48" s="44">
        <f t="shared" si="58"/>
        <v>150</v>
      </c>
      <c r="O48" s="44">
        <f t="shared" si="66"/>
        <v>750</v>
      </c>
      <c r="P48" s="44" t="str">
        <f t="shared" si="62"/>
        <v>on</v>
      </c>
      <c r="R48" s="97"/>
      <c r="S48" s="97"/>
      <c r="T48" s="97"/>
      <c r="U48" s="97"/>
      <c r="V48" s="97"/>
      <c r="W48" s="97"/>
      <c r="X48" s="97"/>
    </row>
    <row r="49" spans="1:24" ht="15.75" thickBot="1" x14ac:dyDescent="0.3">
      <c r="A49" s="229">
        <f t="shared" ref="A49:B49" si="70">A48+1</f>
        <v>4144</v>
      </c>
      <c r="B49" s="230">
        <f t="shared" si="70"/>
        <v>39</v>
      </c>
      <c r="C49" s="218" t="str">
        <f t="shared" si="3"/>
        <v>81aX13_030_060#03</v>
      </c>
      <c r="D49" s="43">
        <f t="shared" si="64"/>
        <v>13</v>
      </c>
      <c r="E49" s="61">
        <f t="shared" si="64"/>
        <v>2.149</v>
      </c>
      <c r="F49" s="44">
        <f t="shared" si="64"/>
        <v>16.530769230769231</v>
      </c>
      <c r="G49" s="44">
        <f t="shared" si="0"/>
        <v>13.224615384615385</v>
      </c>
      <c r="H49" s="44">
        <f t="shared" si="1"/>
        <v>8.2653846153846153</v>
      </c>
      <c r="I49" s="44">
        <f t="shared" si="65"/>
        <v>8</v>
      </c>
      <c r="J49" s="45">
        <v>30</v>
      </c>
      <c r="K49" s="37" t="str">
        <f>D49&amp;-3</f>
        <v>13-3</v>
      </c>
      <c r="L49" s="44">
        <f t="shared" si="66"/>
        <v>0.2</v>
      </c>
      <c r="M49" s="49">
        <f>M48</f>
        <v>60</v>
      </c>
      <c r="N49" s="44">
        <f t="shared" si="58"/>
        <v>150</v>
      </c>
      <c r="O49" s="44">
        <f t="shared" si="66"/>
        <v>750</v>
      </c>
      <c r="P49" s="44" t="str">
        <f t="shared" si="62"/>
        <v>on</v>
      </c>
      <c r="R49" s="97"/>
      <c r="S49" s="97"/>
      <c r="T49" s="97"/>
      <c r="U49" s="97"/>
      <c r="V49" s="97"/>
      <c r="W49" s="97"/>
      <c r="X49" s="97"/>
    </row>
    <row r="50" spans="1:24" ht="15.75" thickBot="1" x14ac:dyDescent="0.3">
      <c r="A50" s="229">
        <f t="shared" ref="A50:B50" si="71">A49+1</f>
        <v>4145</v>
      </c>
      <c r="B50" s="230">
        <f t="shared" si="71"/>
        <v>40</v>
      </c>
      <c r="C50" s="218" t="str">
        <f t="shared" si="3"/>
        <v>81aX13_030_060#04</v>
      </c>
      <c r="D50" s="43">
        <f t="shared" si="64"/>
        <v>13</v>
      </c>
      <c r="E50" s="61">
        <f t="shared" si="64"/>
        <v>2.149</v>
      </c>
      <c r="F50" s="44">
        <f t="shared" si="64"/>
        <v>16.530769230769231</v>
      </c>
      <c r="G50" s="44">
        <f t="shared" si="0"/>
        <v>13.224615384615385</v>
      </c>
      <c r="H50" s="44">
        <f t="shared" si="1"/>
        <v>8.2653846153846153</v>
      </c>
      <c r="I50" s="44">
        <f t="shared" si="65"/>
        <v>8</v>
      </c>
      <c r="J50" s="45">
        <v>30</v>
      </c>
      <c r="K50" s="37" t="str">
        <f>D50&amp;-4</f>
        <v>13-4</v>
      </c>
      <c r="L50" s="44">
        <f t="shared" si="66"/>
        <v>0.2</v>
      </c>
      <c r="M50" s="49">
        <f>M49</f>
        <v>60</v>
      </c>
      <c r="N50" s="44">
        <f t="shared" si="58"/>
        <v>150</v>
      </c>
      <c r="O50" s="44">
        <f t="shared" si="66"/>
        <v>750</v>
      </c>
      <c r="P50" s="44" t="str">
        <f t="shared" si="62"/>
        <v>on</v>
      </c>
      <c r="R50" s="97"/>
      <c r="S50" s="97"/>
      <c r="T50" s="97"/>
      <c r="U50" s="97"/>
      <c r="V50" s="97"/>
      <c r="W50" s="97"/>
      <c r="X50" s="97"/>
    </row>
    <row r="51" spans="1:24" ht="15.75" thickBot="1" x14ac:dyDescent="0.3">
      <c r="A51" s="229">
        <f t="shared" ref="A51:B51" si="72">A50+1</f>
        <v>4146</v>
      </c>
      <c r="B51" s="230">
        <f t="shared" si="72"/>
        <v>41</v>
      </c>
      <c r="C51" s="218" t="str">
        <f t="shared" si="3"/>
        <v>81aX13_030_060#05</v>
      </c>
      <c r="D51" s="43">
        <f t="shared" si="64"/>
        <v>13</v>
      </c>
      <c r="E51" s="61">
        <f t="shared" si="64"/>
        <v>2.149</v>
      </c>
      <c r="F51" s="44">
        <f t="shared" si="64"/>
        <v>16.530769230769231</v>
      </c>
      <c r="G51" s="44">
        <f t="shared" si="0"/>
        <v>13.224615384615385</v>
      </c>
      <c r="H51" s="44">
        <f t="shared" si="1"/>
        <v>8.2653846153846153</v>
      </c>
      <c r="I51" s="44">
        <f t="shared" si="65"/>
        <v>8</v>
      </c>
      <c r="J51" s="45">
        <v>30</v>
      </c>
      <c r="K51" s="37" t="str">
        <f>D51&amp;-5</f>
        <v>13-5</v>
      </c>
      <c r="L51" s="44">
        <f t="shared" si="66"/>
        <v>0.2</v>
      </c>
      <c r="M51" s="49">
        <f>M50</f>
        <v>60</v>
      </c>
      <c r="N51" s="44">
        <f t="shared" si="58"/>
        <v>150</v>
      </c>
      <c r="O51" s="44">
        <f t="shared" si="66"/>
        <v>750</v>
      </c>
      <c r="P51" s="44" t="str">
        <f t="shared" si="62"/>
        <v>on</v>
      </c>
      <c r="R51" s="97"/>
      <c r="S51" s="97"/>
      <c r="T51" s="97"/>
      <c r="U51" s="97"/>
      <c r="V51" s="97"/>
      <c r="W51" s="97"/>
      <c r="X51" s="97"/>
    </row>
    <row r="52" spans="1:24" ht="15.75" thickBot="1" x14ac:dyDescent="0.3">
      <c r="A52" s="229">
        <f t="shared" ref="A52:B52" si="73">A51+1</f>
        <v>4147</v>
      </c>
      <c r="B52" s="230">
        <f t="shared" si="73"/>
        <v>42</v>
      </c>
      <c r="C52" s="218" t="str">
        <f t="shared" si="3"/>
        <v>81aX13_030_060#06</v>
      </c>
      <c r="D52" s="43">
        <f t="shared" si="64"/>
        <v>13</v>
      </c>
      <c r="E52" s="61">
        <f t="shared" si="64"/>
        <v>2.149</v>
      </c>
      <c r="F52" s="44">
        <f t="shared" si="64"/>
        <v>16.530769230769231</v>
      </c>
      <c r="G52" s="44">
        <f t="shared" si="0"/>
        <v>13.224615384615385</v>
      </c>
      <c r="H52" s="44">
        <f t="shared" si="1"/>
        <v>8.2653846153846153</v>
      </c>
      <c r="I52" s="44">
        <f t="shared" si="65"/>
        <v>8</v>
      </c>
      <c r="J52" s="45">
        <v>30</v>
      </c>
      <c r="K52" s="37" t="str">
        <f>D52&amp;-6</f>
        <v>13-6</v>
      </c>
      <c r="L52" s="44">
        <f t="shared" si="66"/>
        <v>0.2</v>
      </c>
      <c r="M52" s="49">
        <f>M51</f>
        <v>60</v>
      </c>
      <c r="N52" s="44">
        <f t="shared" si="58"/>
        <v>150</v>
      </c>
      <c r="O52" s="44">
        <f t="shared" si="66"/>
        <v>750</v>
      </c>
      <c r="P52" s="44" t="str">
        <f t="shared" si="62"/>
        <v>on</v>
      </c>
      <c r="R52" s="97"/>
      <c r="S52" s="97"/>
      <c r="T52" s="97"/>
      <c r="U52" s="97"/>
      <c r="V52" s="97"/>
      <c r="W52" s="97"/>
      <c r="X52" s="97"/>
    </row>
    <row r="53" spans="1:24" ht="15.75" thickBot="1" x14ac:dyDescent="0.3">
      <c r="A53" s="229">
        <f t="shared" ref="A53:B53" si="74">A52+1</f>
        <v>4148</v>
      </c>
      <c r="B53" s="230">
        <f t="shared" si="74"/>
        <v>43</v>
      </c>
      <c r="C53" s="218" t="str">
        <f t="shared" si="3"/>
        <v>81aX13_030_090#01</v>
      </c>
      <c r="D53" s="43">
        <f t="shared" si="64"/>
        <v>13</v>
      </c>
      <c r="E53" s="61">
        <f t="shared" si="64"/>
        <v>2.149</v>
      </c>
      <c r="F53" s="44">
        <f t="shared" si="64"/>
        <v>16.530769230769231</v>
      </c>
      <c r="G53" s="44">
        <f t="shared" si="0"/>
        <v>13.224615384615385</v>
      </c>
      <c r="H53" s="44">
        <f t="shared" si="1"/>
        <v>8.2653846153846153</v>
      </c>
      <c r="I53" s="44">
        <f t="shared" si="65"/>
        <v>8</v>
      </c>
      <c r="J53" s="45">
        <v>30</v>
      </c>
      <c r="K53" s="37" t="str">
        <f>D53&amp;-1</f>
        <v>13-1</v>
      </c>
      <c r="L53" s="44">
        <f t="shared" si="66"/>
        <v>0.2</v>
      </c>
      <c r="M53" s="49">
        <v>90</v>
      </c>
      <c r="N53" s="44">
        <f t="shared" si="58"/>
        <v>150</v>
      </c>
      <c r="O53" s="44">
        <f t="shared" si="66"/>
        <v>750</v>
      </c>
      <c r="P53" s="44" t="str">
        <f t="shared" si="62"/>
        <v>on</v>
      </c>
    </row>
    <row r="54" spans="1:24" ht="15.75" thickBot="1" x14ac:dyDescent="0.3">
      <c r="A54" s="229">
        <f t="shared" ref="A54:B54" si="75">A53+1</f>
        <v>4149</v>
      </c>
      <c r="B54" s="230">
        <f t="shared" si="75"/>
        <v>44</v>
      </c>
      <c r="C54" s="218" t="str">
        <f t="shared" si="3"/>
        <v>81aX13_030_090#02</v>
      </c>
      <c r="D54" s="43">
        <f t="shared" si="64"/>
        <v>13</v>
      </c>
      <c r="E54" s="61">
        <f t="shared" si="64"/>
        <v>2.149</v>
      </c>
      <c r="F54" s="44">
        <f t="shared" si="64"/>
        <v>16.530769230769231</v>
      </c>
      <c r="G54" s="44">
        <f t="shared" si="0"/>
        <v>13.224615384615385</v>
      </c>
      <c r="H54" s="44">
        <f t="shared" si="1"/>
        <v>8.2653846153846153</v>
      </c>
      <c r="I54" s="44">
        <f t="shared" si="65"/>
        <v>8</v>
      </c>
      <c r="J54" s="45">
        <v>30</v>
      </c>
      <c r="K54" s="37" t="str">
        <f>D54&amp;-2</f>
        <v>13-2</v>
      </c>
      <c r="L54" s="44">
        <f t="shared" si="66"/>
        <v>0.2</v>
      </c>
      <c r="M54" s="49">
        <f>M53</f>
        <v>90</v>
      </c>
      <c r="N54" s="44">
        <f t="shared" si="58"/>
        <v>150</v>
      </c>
      <c r="O54" s="44">
        <f t="shared" si="66"/>
        <v>750</v>
      </c>
      <c r="P54" s="44" t="str">
        <f t="shared" si="62"/>
        <v>on</v>
      </c>
    </row>
    <row r="55" spans="1:24" ht="15.75" thickBot="1" x14ac:dyDescent="0.3">
      <c r="A55" s="229">
        <f t="shared" ref="A55:B55" si="76">A54+1</f>
        <v>4150</v>
      </c>
      <c r="B55" s="230">
        <f t="shared" si="76"/>
        <v>45</v>
      </c>
      <c r="C55" s="218" t="str">
        <f t="shared" si="3"/>
        <v>81aX13_030_090#03</v>
      </c>
      <c r="D55" s="43">
        <f t="shared" si="64"/>
        <v>13</v>
      </c>
      <c r="E55" s="61">
        <f t="shared" si="64"/>
        <v>2.149</v>
      </c>
      <c r="F55" s="44">
        <f t="shared" si="64"/>
        <v>16.530769230769231</v>
      </c>
      <c r="G55" s="44">
        <f t="shared" si="0"/>
        <v>13.224615384615385</v>
      </c>
      <c r="H55" s="44">
        <f t="shared" si="1"/>
        <v>8.2653846153846153</v>
      </c>
      <c r="I55" s="44">
        <f t="shared" si="65"/>
        <v>8</v>
      </c>
      <c r="J55" s="45">
        <v>30</v>
      </c>
      <c r="K55" s="37" t="str">
        <f>D55&amp;-3</f>
        <v>13-3</v>
      </c>
      <c r="L55" s="44">
        <f t="shared" si="66"/>
        <v>0.2</v>
      </c>
      <c r="M55" s="49">
        <f>M54</f>
        <v>90</v>
      </c>
      <c r="N55" s="44">
        <f t="shared" si="58"/>
        <v>150</v>
      </c>
      <c r="O55" s="44">
        <f t="shared" si="66"/>
        <v>750</v>
      </c>
      <c r="P55" s="44" t="str">
        <f t="shared" si="62"/>
        <v>on</v>
      </c>
    </row>
    <row r="56" spans="1:24" ht="15.75" thickBot="1" x14ac:dyDescent="0.3">
      <c r="A56" s="229">
        <f t="shared" ref="A56:B56" si="77">A55+1</f>
        <v>4151</v>
      </c>
      <c r="B56" s="230">
        <f t="shared" si="77"/>
        <v>46</v>
      </c>
      <c r="C56" s="218" t="str">
        <f t="shared" si="3"/>
        <v>81aX13_030_090#04</v>
      </c>
      <c r="D56" s="43">
        <f t="shared" si="64"/>
        <v>13</v>
      </c>
      <c r="E56" s="61">
        <f t="shared" si="64"/>
        <v>2.149</v>
      </c>
      <c r="F56" s="44">
        <f t="shared" si="64"/>
        <v>16.530769230769231</v>
      </c>
      <c r="G56" s="44">
        <f t="shared" si="0"/>
        <v>13.224615384615385</v>
      </c>
      <c r="H56" s="44">
        <f t="shared" si="1"/>
        <v>8.2653846153846153</v>
      </c>
      <c r="I56" s="44">
        <f t="shared" si="65"/>
        <v>8</v>
      </c>
      <c r="J56" s="45">
        <v>30</v>
      </c>
      <c r="K56" s="37" t="str">
        <f>D56&amp;-4</f>
        <v>13-4</v>
      </c>
      <c r="L56" s="44">
        <f t="shared" si="66"/>
        <v>0.2</v>
      </c>
      <c r="M56" s="49">
        <f>M55</f>
        <v>90</v>
      </c>
      <c r="N56" s="44">
        <f t="shared" si="58"/>
        <v>150</v>
      </c>
      <c r="O56" s="44">
        <f t="shared" si="66"/>
        <v>750</v>
      </c>
      <c r="P56" s="44" t="str">
        <f t="shared" si="62"/>
        <v>on</v>
      </c>
    </row>
    <row r="57" spans="1:24" ht="15.75" thickBot="1" x14ac:dyDescent="0.3">
      <c r="A57" s="229">
        <f t="shared" ref="A57:B57" si="78">A56+1</f>
        <v>4152</v>
      </c>
      <c r="B57" s="230">
        <f t="shared" si="78"/>
        <v>47</v>
      </c>
      <c r="C57" s="218" t="str">
        <f t="shared" si="3"/>
        <v>81aX13_030_090#05</v>
      </c>
      <c r="D57" s="43">
        <f t="shared" si="64"/>
        <v>13</v>
      </c>
      <c r="E57" s="61">
        <f t="shared" si="64"/>
        <v>2.149</v>
      </c>
      <c r="F57" s="44">
        <f t="shared" si="64"/>
        <v>16.530769230769231</v>
      </c>
      <c r="G57" s="44">
        <f t="shared" si="0"/>
        <v>13.224615384615385</v>
      </c>
      <c r="H57" s="44">
        <f t="shared" si="1"/>
        <v>8.2653846153846153</v>
      </c>
      <c r="I57" s="44">
        <f t="shared" si="65"/>
        <v>8</v>
      </c>
      <c r="J57" s="45">
        <v>30</v>
      </c>
      <c r="K57" s="37" t="str">
        <f>D57&amp;-5</f>
        <v>13-5</v>
      </c>
      <c r="L57" s="44">
        <f t="shared" si="66"/>
        <v>0.2</v>
      </c>
      <c r="M57" s="49">
        <f>M56</f>
        <v>90</v>
      </c>
      <c r="N57" s="44">
        <f t="shared" si="58"/>
        <v>150</v>
      </c>
      <c r="O57" s="44">
        <f t="shared" si="66"/>
        <v>750</v>
      </c>
      <c r="P57" s="44" t="str">
        <f t="shared" si="62"/>
        <v>on</v>
      </c>
    </row>
    <row r="58" spans="1:24" ht="15.75" thickBot="1" x14ac:dyDescent="0.3">
      <c r="A58" s="229">
        <f t="shared" ref="A58:B58" si="79">A57+1</f>
        <v>4153</v>
      </c>
      <c r="B58" s="230">
        <f t="shared" si="79"/>
        <v>48</v>
      </c>
      <c r="C58" s="218" t="str">
        <f t="shared" si="3"/>
        <v>81aX13_030_090#06</v>
      </c>
      <c r="D58" s="43">
        <f t="shared" si="64"/>
        <v>13</v>
      </c>
      <c r="E58" s="61">
        <f t="shared" si="64"/>
        <v>2.149</v>
      </c>
      <c r="F58" s="44">
        <f t="shared" si="64"/>
        <v>16.530769230769231</v>
      </c>
      <c r="G58" s="44">
        <f t="shared" si="0"/>
        <v>13.224615384615385</v>
      </c>
      <c r="H58" s="44">
        <f t="shared" si="1"/>
        <v>8.2653846153846153</v>
      </c>
      <c r="I58" s="44">
        <f t="shared" si="65"/>
        <v>8</v>
      </c>
      <c r="J58" s="45">
        <v>30</v>
      </c>
      <c r="K58" s="37" t="str">
        <f>D58&amp;-6</f>
        <v>13-6</v>
      </c>
      <c r="L58" s="44">
        <f t="shared" si="66"/>
        <v>0.2</v>
      </c>
      <c r="M58" s="49">
        <f>M57</f>
        <v>90</v>
      </c>
      <c r="N58" s="44">
        <f t="shared" si="58"/>
        <v>150</v>
      </c>
      <c r="O58" s="44">
        <f t="shared" si="66"/>
        <v>750</v>
      </c>
      <c r="P58" s="44" t="str">
        <f t="shared" si="62"/>
        <v>on</v>
      </c>
    </row>
    <row r="59" spans="1:24" ht="15.75" thickBot="1" x14ac:dyDescent="0.3">
      <c r="A59" s="229">
        <f t="shared" ref="A59:B59" si="80">A58+1</f>
        <v>4154</v>
      </c>
      <c r="B59" s="230">
        <f t="shared" si="80"/>
        <v>49</v>
      </c>
      <c r="C59" s="218" t="str">
        <f t="shared" si="3"/>
        <v>81aX13_060_000#01</v>
      </c>
      <c r="D59" s="43">
        <f t="shared" ref="D59:F59" si="81">D58</f>
        <v>13</v>
      </c>
      <c r="E59" s="61">
        <f t="shared" si="81"/>
        <v>2.149</v>
      </c>
      <c r="F59" s="44">
        <f t="shared" si="81"/>
        <v>16.530769230769231</v>
      </c>
      <c r="G59" s="44">
        <f t="shared" ref="G59:G122" si="82">m_ty*F59</f>
        <v>13.224615384615385</v>
      </c>
      <c r="H59" s="44">
        <f t="shared" ref="H59:H122" si="83">m_tz*F59</f>
        <v>8.2653846153846153</v>
      </c>
      <c r="I59" s="44">
        <f t="shared" si="65"/>
        <v>8</v>
      </c>
      <c r="J59" s="45">
        <v>60</v>
      </c>
      <c r="K59" s="37" t="str">
        <f>D59&amp;-1</f>
        <v>13-1</v>
      </c>
      <c r="L59" s="44">
        <f t="shared" ref="L59:P59" si="84">L58</f>
        <v>0.2</v>
      </c>
      <c r="M59" s="49">
        <v>0</v>
      </c>
      <c r="N59" s="44">
        <f t="shared" si="58"/>
        <v>150</v>
      </c>
      <c r="O59" s="44">
        <f t="shared" si="84"/>
        <v>750</v>
      </c>
      <c r="P59" s="44" t="str">
        <f t="shared" si="84"/>
        <v>on</v>
      </c>
    </row>
    <row r="60" spans="1:24" ht="15.75" thickBot="1" x14ac:dyDescent="0.3">
      <c r="A60" s="229">
        <f t="shared" ref="A60:B60" si="85">A59+1</f>
        <v>4155</v>
      </c>
      <c r="B60" s="230">
        <f t="shared" si="85"/>
        <v>50</v>
      </c>
      <c r="C60" s="218" t="str">
        <f t="shared" si="3"/>
        <v>81aX13_060_000#02</v>
      </c>
      <c r="D60" s="43">
        <f t="shared" ref="D60:F60" si="86">D59</f>
        <v>13</v>
      </c>
      <c r="E60" s="61">
        <f t="shared" si="86"/>
        <v>2.149</v>
      </c>
      <c r="F60" s="44">
        <f t="shared" si="86"/>
        <v>16.530769230769231</v>
      </c>
      <c r="G60" s="44">
        <f t="shared" si="82"/>
        <v>13.224615384615385</v>
      </c>
      <c r="H60" s="44">
        <f t="shared" si="83"/>
        <v>8.2653846153846153</v>
      </c>
      <c r="I60" s="44">
        <f t="shared" si="65"/>
        <v>8</v>
      </c>
      <c r="J60" s="45">
        <v>60</v>
      </c>
      <c r="K60" s="37" t="str">
        <f>D60&amp;-2</f>
        <v>13-2</v>
      </c>
      <c r="L60" s="44">
        <f t="shared" ref="L60:P60" si="87">L59</f>
        <v>0.2</v>
      </c>
      <c r="M60" s="49">
        <f>M59</f>
        <v>0</v>
      </c>
      <c r="N60" s="44">
        <f t="shared" ref="N60" si="88">N59</f>
        <v>150</v>
      </c>
      <c r="O60" s="44">
        <f t="shared" si="87"/>
        <v>750</v>
      </c>
      <c r="P60" s="44" t="str">
        <f t="shared" si="87"/>
        <v>on</v>
      </c>
    </row>
    <row r="61" spans="1:24" ht="15.75" thickBot="1" x14ac:dyDescent="0.3">
      <c r="A61" s="229">
        <f t="shared" ref="A61:B61" si="89">A60+1</f>
        <v>4156</v>
      </c>
      <c r="B61" s="230">
        <f t="shared" si="89"/>
        <v>51</v>
      </c>
      <c r="C61" s="218" t="str">
        <f t="shared" si="3"/>
        <v>81aX13_060_000#03</v>
      </c>
      <c r="D61" s="43">
        <f t="shared" ref="D61:F61" si="90">D60</f>
        <v>13</v>
      </c>
      <c r="E61" s="61">
        <f t="shared" si="90"/>
        <v>2.149</v>
      </c>
      <c r="F61" s="44">
        <f t="shared" si="90"/>
        <v>16.530769230769231</v>
      </c>
      <c r="G61" s="44">
        <f t="shared" si="82"/>
        <v>13.224615384615385</v>
      </c>
      <c r="H61" s="44">
        <f t="shared" si="83"/>
        <v>8.2653846153846153</v>
      </c>
      <c r="I61" s="44">
        <f t="shared" si="65"/>
        <v>8</v>
      </c>
      <c r="J61" s="45">
        <v>60</v>
      </c>
      <c r="K61" s="37" t="str">
        <f>D61&amp;-3</f>
        <v>13-3</v>
      </c>
      <c r="L61" s="44">
        <f t="shared" ref="L61:P61" si="91">L60</f>
        <v>0.2</v>
      </c>
      <c r="M61" s="49">
        <f>M60</f>
        <v>0</v>
      </c>
      <c r="N61" s="44">
        <f t="shared" si="58"/>
        <v>150</v>
      </c>
      <c r="O61" s="44">
        <f t="shared" si="91"/>
        <v>750</v>
      </c>
      <c r="P61" s="44" t="str">
        <f t="shared" si="91"/>
        <v>on</v>
      </c>
    </row>
    <row r="62" spans="1:24" ht="15.75" thickBot="1" x14ac:dyDescent="0.3">
      <c r="A62" s="229">
        <f t="shared" ref="A62:B62" si="92">A61+1</f>
        <v>4157</v>
      </c>
      <c r="B62" s="230">
        <f t="shared" si="92"/>
        <v>52</v>
      </c>
      <c r="C62" s="218" t="str">
        <f t="shared" si="3"/>
        <v>81aX13_060_000#04</v>
      </c>
      <c r="D62" s="43">
        <f t="shared" ref="D62:F62" si="93">D61</f>
        <v>13</v>
      </c>
      <c r="E62" s="61">
        <f t="shared" si="93"/>
        <v>2.149</v>
      </c>
      <c r="F62" s="44">
        <f t="shared" si="93"/>
        <v>16.530769230769231</v>
      </c>
      <c r="G62" s="44">
        <f t="shared" si="82"/>
        <v>13.224615384615385</v>
      </c>
      <c r="H62" s="44">
        <f t="shared" si="83"/>
        <v>8.2653846153846153</v>
      </c>
      <c r="I62" s="44">
        <f t="shared" si="65"/>
        <v>8</v>
      </c>
      <c r="J62" s="45">
        <v>60</v>
      </c>
      <c r="K62" s="37" t="str">
        <f>D62&amp;-4</f>
        <v>13-4</v>
      </c>
      <c r="L62" s="44">
        <f t="shared" ref="L62:P62" si="94">L61</f>
        <v>0.2</v>
      </c>
      <c r="M62" s="49">
        <f>M61</f>
        <v>0</v>
      </c>
      <c r="N62" s="44">
        <f t="shared" si="58"/>
        <v>150</v>
      </c>
      <c r="O62" s="44">
        <f t="shared" si="94"/>
        <v>750</v>
      </c>
      <c r="P62" s="44" t="str">
        <f t="shared" si="94"/>
        <v>on</v>
      </c>
    </row>
    <row r="63" spans="1:24" ht="15.75" thickBot="1" x14ac:dyDescent="0.3">
      <c r="A63" s="229">
        <f t="shared" ref="A63:B63" si="95">A62+1</f>
        <v>4158</v>
      </c>
      <c r="B63" s="230">
        <f t="shared" si="95"/>
        <v>53</v>
      </c>
      <c r="C63" s="218" t="str">
        <f t="shared" si="3"/>
        <v>81aX13_060_000#05</v>
      </c>
      <c r="D63" s="43">
        <f t="shared" ref="D63:F63" si="96">D62</f>
        <v>13</v>
      </c>
      <c r="E63" s="61">
        <f t="shared" si="96"/>
        <v>2.149</v>
      </c>
      <c r="F63" s="44">
        <f t="shared" si="96"/>
        <v>16.530769230769231</v>
      </c>
      <c r="G63" s="44">
        <f t="shared" si="82"/>
        <v>13.224615384615385</v>
      </c>
      <c r="H63" s="44">
        <f t="shared" si="83"/>
        <v>8.2653846153846153</v>
      </c>
      <c r="I63" s="44">
        <f t="shared" si="65"/>
        <v>8</v>
      </c>
      <c r="J63" s="45">
        <v>60</v>
      </c>
      <c r="K63" s="37" t="str">
        <f>D63&amp;-5</f>
        <v>13-5</v>
      </c>
      <c r="L63" s="44">
        <f t="shared" ref="L63:P63" si="97">L62</f>
        <v>0.2</v>
      </c>
      <c r="M63" s="49">
        <f>M62</f>
        <v>0</v>
      </c>
      <c r="N63" s="44">
        <f t="shared" si="58"/>
        <v>150</v>
      </c>
      <c r="O63" s="44">
        <f t="shared" si="97"/>
        <v>750</v>
      </c>
      <c r="P63" s="44" t="str">
        <f t="shared" si="97"/>
        <v>on</v>
      </c>
    </row>
    <row r="64" spans="1:24" ht="15.75" thickBot="1" x14ac:dyDescent="0.3">
      <c r="A64" s="229">
        <f t="shared" ref="A64:B64" si="98">A63+1</f>
        <v>4159</v>
      </c>
      <c r="B64" s="230">
        <f t="shared" si="98"/>
        <v>54</v>
      </c>
      <c r="C64" s="218" t="str">
        <f t="shared" si="3"/>
        <v>81aX13_060_000#06</v>
      </c>
      <c r="D64" s="43">
        <f t="shared" ref="D64:F64" si="99">D63</f>
        <v>13</v>
      </c>
      <c r="E64" s="61">
        <f t="shared" si="99"/>
        <v>2.149</v>
      </c>
      <c r="F64" s="44">
        <f t="shared" si="99"/>
        <v>16.530769230769231</v>
      </c>
      <c r="G64" s="44">
        <f t="shared" si="82"/>
        <v>13.224615384615385</v>
      </c>
      <c r="H64" s="44">
        <f t="shared" si="83"/>
        <v>8.2653846153846153</v>
      </c>
      <c r="I64" s="44">
        <f t="shared" si="65"/>
        <v>8</v>
      </c>
      <c r="J64" s="45">
        <v>60</v>
      </c>
      <c r="K64" s="37" t="str">
        <f>D64&amp;-6</f>
        <v>13-6</v>
      </c>
      <c r="L64" s="44">
        <f t="shared" ref="L64:P64" si="100">L63</f>
        <v>0.2</v>
      </c>
      <c r="M64" s="49">
        <f>M63</f>
        <v>0</v>
      </c>
      <c r="N64" s="44">
        <f t="shared" si="58"/>
        <v>150</v>
      </c>
      <c r="O64" s="44">
        <f t="shared" si="100"/>
        <v>750</v>
      </c>
      <c r="P64" s="44" t="str">
        <f t="shared" si="100"/>
        <v>on</v>
      </c>
    </row>
    <row r="65" spans="1:16" ht="15.75" thickBot="1" x14ac:dyDescent="0.3">
      <c r="A65" s="229">
        <f t="shared" ref="A65:B65" si="101">A64+1</f>
        <v>4160</v>
      </c>
      <c r="B65" s="230">
        <f t="shared" si="101"/>
        <v>55</v>
      </c>
      <c r="C65" s="218" t="str">
        <f t="shared" si="3"/>
        <v>81aX13_060_030#01</v>
      </c>
      <c r="D65" s="43">
        <f t="shared" ref="D65:F65" si="102">D64</f>
        <v>13</v>
      </c>
      <c r="E65" s="61">
        <f t="shared" si="102"/>
        <v>2.149</v>
      </c>
      <c r="F65" s="44">
        <f t="shared" si="102"/>
        <v>16.530769230769231</v>
      </c>
      <c r="G65" s="44">
        <f t="shared" si="82"/>
        <v>13.224615384615385</v>
      </c>
      <c r="H65" s="44">
        <f t="shared" si="83"/>
        <v>8.2653846153846153</v>
      </c>
      <c r="I65" s="44">
        <f t="shared" si="65"/>
        <v>8</v>
      </c>
      <c r="J65" s="45">
        <v>60</v>
      </c>
      <c r="K65" s="37" t="str">
        <f>D65&amp;-1</f>
        <v>13-1</v>
      </c>
      <c r="L65" s="44">
        <f t="shared" ref="L65:P65" si="103">L64</f>
        <v>0.2</v>
      </c>
      <c r="M65" s="49">
        <v>30</v>
      </c>
      <c r="N65" s="44">
        <f t="shared" si="58"/>
        <v>150</v>
      </c>
      <c r="O65" s="44">
        <f t="shared" si="103"/>
        <v>750</v>
      </c>
      <c r="P65" s="44" t="str">
        <f t="shared" si="103"/>
        <v>on</v>
      </c>
    </row>
    <row r="66" spans="1:16" ht="15.75" thickBot="1" x14ac:dyDescent="0.3">
      <c r="A66" s="229">
        <f t="shared" ref="A66:B66" si="104">A65+1</f>
        <v>4161</v>
      </c>
      <c r="B66" s="230">
        <f t="shared" si="104"/>
        <v>56</v>
      </c>
      <c r="C66" s="218" t="str">
        <f t="shared" si="3"/>
        <v>81aX13_060_030#02</v>
      </c>
      <c r="D66" s="43">
        <f t="shared" ref="D66:F66" si="105">D65</f>
        <v>13</v>
      </c>
      <c r="E66" s="61">
        <f t="shared" si="105"/>
        <v>2.149</v>
      </c>
      <c r="F66" s="44">
        <f t="shared" si="105"/>
        <v>16.530769230769231</v>
      </c>
      <c r="G66" s="44">
        <f t="shared" si="82"/>
        <v>13.224615384615385</v>
      </c>
      <c r="H66" s="44">
        <f t="shared" si="83"/>
        <v>8.2653846153846153</v>
      </c>
      <c r="I66" s="44">
        <f t="shared" si="65"/>
        <v>8</v>
      </c>
      <c r="J66" s="45">
        <v>60</v>
      </c>
      <c r="K66" s="37" t="str">
        <f>D66&amp;-2</f>
        <v>13-2</v>
      </c>
      <c r="L66" s="44">
        <f t="shared" ref="L66:P66" si="106">L65</f>
        <v>0.2</v>
      </c>
      <c r="M66" s="49">
        <f>M65</f>
        <v>30</v>
      </c>
      <c r="N66" s="44">
        <f t="shared" si="58"/>
        <v>150</v>
      </c>
      <c r="O66" s="44">
        <f t="shared" si="106"/>
        <v>750</v>
      </c>
      <c r="P66" s="44" t="str">
        <f t="shared" si="106"/>
        <v>on</v>
      </c>
    </row>
    <row r="67" spans="1:16" ht="15.75" thickBot="1" x14ac:dyDescent="0.3">
      <c r="A67" s="229">
        <f t="shared" ref="A67:B67" si="107">A66+1</f>
        <v>4162</v>
      </c>
      <c r="B67" s="230">
        <f t="shared" si="107"/>
        <v>57</v>
      </c>
      <c r="C67" s="218" t="str">
        <f t="shared" si="3"/>
        <v>81aX13_060_030#03</v>
      </c>
      <c r="D67" s="43">
        <f t="shared" ref="D67:F67" si="108">D66</f>
        <v>13</v>
      </c>
      <c r="E67" s="61">
        <f t="shared" si="108"/>
        <v>2.149</v>
      </c>
      <c r="F67" s="44">
        <f t="shared" si="108"/>
        <v>16.530769230769231</v>
      </c>
      <c r="G67" s="44">
        <f t="shared" si="82"/>
        <v>13.224615384615385</v>
      </c>
      <c r="H67" s="44">
        <f t="shared" si="83"/>
        <v>8.2653846153846153</v>
      </c>
      <c r="I67" s="44">
        <f t="shared" si="65"/>
        <v>8</v>
      </c>
      <c r="J67" s="45">
        <v>60</v>
      </c>
      <c r="K67" s="37" t="str">
        <f>D67&amp;-3</f>
        <v>13-3</v>
      </c>
      <c r="L67" s="44">
        <f t="shared" ref="L67:P67" si="109">L66</f>
        <v>0.2</v>
      </c>
      <c r="M67" s="49">
        <f>M66</f>
        <v>30</v>
      </c>
      <c r="N67" s="44">
        <f t="shared" si="58"/>
        <v>150</v>
      </c>
      <c r="O67" s="44">
        <f t="shared" si="109"/>
        <v>750</v>
      </c>
      <c r="P67" s="44" t="str">
        <f t="shared" si="109"/>
        <v>on</v>
      </c>
    </row>
    <row r="68" spans="1:16" ht="15.75" thickBot="1" x14ac:dyDescent="0.3">
      <c r="A68" s="229">
        <f t="shared" ref="A68:B68" si="110">A67+1</f>
        <v>4163</v>
      </c>
      <c r="B68" s="230">
        <f t="shared" si="110"/>
        <v>58</v>
      </c>
      <c r="C68" s="218" t="str">
        <f t="shared" si="3"/>
        <v>81aX13_060_030#04</v>
      </c>
      <c r="D68" s="43">
        <f t="shared" ref="D68:F68" si="111">D67</f>
        <v>13</v>
      </c>
      <c r="E68" s="61">
        <f t="shared" si="111"/>
        <v>2.149</v>
      </c>
      <c r="F68" s="44">
        <f t="shared" si="111"/>
        <v>16.530769230769231</v>
      </c>
      <c r="G68" s="44">
        <f t="shared" si="82"/>
        <v>13.224615384615385</v>
      </c>
      <c r="H68" s="44">
        <f t="shared" si="83"/>
        <v>8.2653846153846153</v>
      </c>
      <c r="I68" s="44">
        <f t="shared" si="65"/>
        <v>8</v>
      </c>
      <c r="J68" s="45">
        <v>60</v>
      </c>
      <c r="K68" s="37" t="str">
        <f>D68&amp;-4</f>
        <v>13-4</v>
      </c>
      <c r="L68" s="44">
        <f t="shared" ref="L68:P68" si="112">L67</f>
        <v>0.2</v>
      </c>
      <c r="M68" s="49">
        <f>M67</f>
        <v>30</v>
      </c>
      <c r="N68" s="44">
        <f t="shared" si="58"/>
        <v>150</v>
      </c>
      <c r="O68" s="44">
        <f t="shared" si="112"/>
        <v>750</v>
      </c>
      <c r="P68" s="44" t="str">
        <f t="shared" si="112"/>
        <v>on</v>
      </c>
    </row>
    <row r="69" spans="1:16" ht="15.75" thickBot="1" x14ac:dyDescent="0.3">
      <c r="A69" s="229">
        <f t="shared" ref="A69:B69" si="113">A68+1</f>
        <v>4164</v>
      </c>
      <c r="B69" s="230">
        <f t="shared" si="113"/>
        <v>59</v>
      </c>
      <c r="C69" s="218" t="str">
        <f t="shared" si="3"/>
        <v>81aX13_060_030#05</v>
      </c>
      <c r="D69" s="43">
        <f t="shared" ref="D69:F69" si="114">D68</f>
        <v>13</v>
      </c>
      <c r="E69" s="61">
        <f t="shared" si="114"/>
        <v>2.149</v>
      </c>
      <c r="F69" s="44">
        <f t="shared" si="114"/>
        <v>16.530769230769231</v>
      </c>
      <c r="G69" s="44">
        <f t="shared" si="82"/>
        <v>13.224615384615385</v>
      </c>
      <c r="H69" s="44">
        <f t="shared" si="83"/>
        <v>8.2653846153846153</v>
      </c>
      <c r="I69" s="44">
        <f t="shared" si="65"/>
        <v>8</v>
      </c>
      <c r="J69" s="45">
        <v>60</v>
      </c>
      <c r="K69" s="37" t="str">
        <f>D69&amp;-5</f>
        <v>13-5</v>
      </c>
      <c r="L69" s="44">
        <f t="shared" ref="L69:P69" si="115">L68</f>
        <v>0.2</v>
      </c>
      <c r="M69" s="49">
        <f>M68</f>
        <v>30</v>
      </c>
      <c r="N69" s="44">
        <f t="shared" si="58"/>
        <v>150</v>
      </c>
      <c r="O69" s="44">
        <f t="shared" si="115"/>
        <v>750</v>
      </c>
      <c r="P69" s="44" t="str">
        <f t="shared" si="115"/>
        <v>on</v>
      </c>
    </row>
    <row r="70" spans="1:16" ht="15.75" thickBot="1" x14ac:dyDescent="0.3">
      <c r="A70" s="229">
        <f t="shared" ref="A70:B70" si="116">A69+1</f>
        <v>4165</v>
      </c>
      <c r="B70" s="230">
        <f t="shared" si="116"/>
        <v>60</v>
      </c>
      <c r="C70" s="218" t="str">
        <f t="shared" si="3"/>
        <v>81aX13_060_030#06</v>
      </c>
      <c r="D70" s="43">
        <f t="shared" ref="D70:F70" si="117">D69</f>
        <v>13</v>
      </c>
      <c r="E70" s="61">
        <f t="shared" si="117"/>
        <v>2.149</v>
      </c>
      <c r="F70" s="44">
        <f t="shared" si="117"/>
        <v>16.530769230769231</v>
      </c>
      <c r="G70" s="44">
        <f t="shared" si="82"/>
        <v>13.224615384615385</v>
      </c>
      <c r="H70" s="44">
        <f t="shared" si="83"/>
        <v>8.2653846153846153</v>
      </c>
      <c r="I70" s="44">
        <f t="shared" si="65"/>
        <v>8</v>
      </c>
      <c r="J70" s="45">
        <v>60</v>
      </c>
      <c r="K70" s="37" t="str">
        <f>D70&amp;-6</f>
        <v>13-6</v>
      </c>
      <c r="L70" s="44">
        <f t="shared" ref="L70:P70" si="118">L69</f>
        <v>0.2</v>
      </c>
      <c r="M70" s="49">
        <f>M69</f>
        <v>30</v>
      </c>
      <c r="N70" s="44">
        <f t="shared" si="58"/>
        <v>150</v>
      </c>
      <c r="O70" s="44">
        <f t="shared" si="118"/>
        <v>750</v>
      </c>
      <c r="P70" s="44" t="str">
        <f t="shared" si="118"/>
        <v>on</v>
      </c>
    </row>
    <row r="71" spans="1:16" ht="15.75" thickBot="1" x14ac:dyDescent="0.3">
      <c r="A71" s="229">
        <f t="shared" ref="A71:B71" si="119">A70+1</f>
        <v>4166</v>
      </c>
      <c r="B71" s="230">
        <f t="shared" si="119"/>
        <v>61</v>
      </c>
      <c r="C71" s="218" t="str">
        <f t="shared" si="3"/>
        <v>81aX13_060_060#01</v>
      </c>
      <c r="D71" s="43">
        <f t="shared" ref="D71:F71" si="120">D70</f>
        <v>13</v>
      </c>
      <c r="E71" s="61">
        <f t="shared" si="120"/>
        <v>2.149</v>
      </c>
      <c r="F71" s="44">
        <f t="shared" si="120"/>
        <v>16.530769230769231</v>
      </c>
      <c r="G71" s="44">
        <f t="shared" si="82"/>
        <v>13.224615384615385</v>
      </c>
      <c r="H71" s="44">
        <f t="shared" si="83"/>
        <v>8.2653846153846153</v>
      </c>
      <c r="I71" s="44">
        <f t="shared" si="65"/>
        <v>8</v>
      </c>
      <c r="J71" s="45">
        <v>60</v>
      </c>
      <c r="K71" s="37" t="str">
        <f>D71&amp;-1</f>
        <v>13-1</v>
      </c>
      <c r="L71" s="44">
        <f t="shared" ref="L71:P71" si="121">L70</f>
        <v>0.2</v>
      </c>
      <c r="M71" s="49">
        <v>60</v>
      </c>
      <c r="N71" s="44">
        <f t="shared" si="58"/>
        <v>150</v>
      </c>
      <c r="O71" s="44">
        <f t="shared" si="121"/>
        <v>750</v>
      </c>
      <c r="P71" s="44" t="str">
        <f t="shared" si="121"/>
        <v>on</v>
      </c>
    </row>
    <row r="72" spans="1:16" ht="15.75" thickBot="1" x14ac:dyDescent="0.3">
      <c r="A72" s="229">
        <f t="shared" ref="A72:B72" si="122">A71+1</f>
        <v>4167</v>
      </c>
      <c r="B72" s="230">
        <f t="shared" si="122"/>
        <v>62</v>
      </c>
      <c r="C72" s="218" t="str">
        <f t="shared" si="3"/>
        <v>81aX13_060_060#02</v>
      </c>
      <c r="D72" s="43">
        <f t="shared" ref="D72:F72" si="123">D71</f>
        <v>13</v>
      </c>
      <c r="E72" s="61">
        <f t="shared" si="123"/>
        <v>2.149</v>
      </c>
      <c r="F72" s="44">
        <f t="shared" si="123"/>
        <v>16.530769230769231</v>
      </c>
      <c r="G72" s="44">
        <f t="shared" si="82"/>
        <v>13.224615384615385</v>
      </c>
      <c r="H72" s="44">
        <f t="shared" si="83"/>
        <v>8.2653846153846153</v>
      </c>
      <c r="I72" s="44">
        <f t="shared" si="65"/>
        <v>8</v>
      </c>
      <c r="J72" s="45">
        <v>60</v>
      </c>
      <c r="K72" s="37" t="str">
        <f>D72&amp;-2</f>
        <v>13-2</v>
      </c>
      <c r="L72" s="44">
        <f t="shared" ref="L72:P72" si="124">L71</f>
        <v>0.2</v>
      </c>
      <c r="M72" s="49">
        <f>M71</f>
        <v>60</v>
      </c>
      <c r="N72" s="44">
        <f t="shared" si="58"/>
        <v>150</v>
      </c>
      <c r="O72" s="44">
        <f t="shared" si="124"/>
        <v>750</v>
      </c>
      <c r="P72" s="44" t="str">
        <f t="shared" si="124"/>
        <v>on</v>
      </c>
    </row>
    <row r="73" spans="1:16" ht="15.75" thickBot="1" x14ac:dyDescent="0.3">
      <c r="A73" s="229">
        <f t="shared" ref="A73:B73" si="125">A72+1</f>
        <v>4168</v>
      </c>
      <c r="B73" s="230">
        <f t="shared" si="125"/>
        <v>63</v>
      </c>
      <c r="C73" s="218" t="str">
        <f t="shared" si="3"/>
        <v>81aX13_060_060#03</v>
      </c>
      <c r="D73" s="43">
        <f t="shared" ref="D73:F73" si="126">D72</f>
        <v>13</v>
      </c>
      <c r="E73" s="61">
        <f t="shared" si="126"/>
        <v>2.149</v>
      </c>
      <c r="F73" s="44">
        <f t="shared" si="126"/>
        <v>16.530769230769231</v>
      </c>
      <c r="G73" s="44">
        <f t="shared" si="82"/>
        <v>13.224615384615385</v>
      </c>
      <c r="H73" s="44">
        <f t="shared" si="83"/>
        <v>8.2653846153846153</v>
      </c>
      <c r="I73" s="44">
        <f t="shared" si="65"/>
        <v>8</v>
      </c>
      <c r="J73" s="45">
        <v>60</v>
      </c>
      <c r="K73" s="37" t="str">
        <f>D73&amp;-3</f>
        <v>13-3</v>
      </c>
      <c r="L73" s="44">
        <f t="shared" ref="L73:P73" si="127">L72</f>
        <v>0.2</v>
      </c>
      <c r="M73" s="49">
        <f>M72</f>
        <v>60</v>
      </c>
      <c r="N73" s="44">
        <f t="shared" si="58"/>
        <v>150</v>
      </c>
      <c r="O73" s="44">
        <f t="shared" si="127"/>
        <v>750</v>
      </c>
      <c r="P73" s="44" t="str">
        <f t="shared" si="127"/>
        <v>on</v>
      </c>
    </row>
    <row r="74" spans="1:16" ht="15.75" thickBot="1" x14ac:dyDescent="0.3">
      <c r="A74" s="229">
        <f t="shared" ref="A74:B74" si="128">A73+1</f>
        <v>4169</v>
      </c>
      <c r="B74" s="230">
        <f t="shared" si="128"/>
        <v>64</v>
      </c>
      <c r="C74" s="218" t="str">
        <f t="shared" si="3"/>
        <v>81aX13_060_060#04</v>
      </c>
      <c r="D74" s="43">
        <f t="shared" ref="D74:F74" si="129">D73</f>
        <v>13</v>
      </c>
      <c r="E74" s="61">
        <f t="shared" si="129"/>
        <v>2.149</v>
      </c>
      <c r="F74" s="44">
        <f t="shared" si="129"/>
        <v>16.530769230769231</v>
      </c>
      <c r="G74" s="44">
        <f t="shared" si="82"/>
        <v>13.224615384615385</v>
      </c>
      <c r="H74" s="44">
        <f t="shared" si="83"/>
        <v>8.2653846153846153</v>
      </c>
      <c r="I74" s="44">
        <f t="shared" si="65"/>
        <v>8</v>
      </c>
      <c r="J74" s="45">
        <v>60</v>
      </c>
      <c r="K74" s="37" t="str">
        <f>D74&amp;-4</f>
        <v>13-4</v>
      </c>
      <c r="L74" s="44">
        <f t="shared" ref="L74:P74" si="130">L73</f>
        <v>0.2</v>
      </c>
      <c r="M74" s="49">
        <f>M73</f>
        <v>60</v>
      </c>
      <c r="N74" s="44">
        <f t="shared" si="58"/>
        <v>150</v>
      </c>
      <c r="O74" s="44">
        <f t="shared" si="130"/>
        <v>750</v>
      </c>
      <c r="P74" s="44" t="str">
        <f t="shared" si="130"/>
        <v>on</v>
      </c>
    </row>
    <row r="75" spans="1:16" ht="15.75" thickBot="1" x14ac:dyDescent="0.3">
      <c r="A75" s="229">
        <f t="shared" ref="A75:B75" si="131">A74+1</f>
        <v>4170</v>
      </c>
      <c r="B75" s="230">
        <f t="shared" si="131"/>
        <v>65</v>
      </c>
      <c r="C75" s="218" t="str">
        <f t="shared" si="3"/>
        <v>81aX13_060_060#05</v>
      </c>
      <c r="D75" s="43">
        <f t="shared" ref="D75:F75" si="132">D74</f>
        <v>13</v>
      </c>
      <c r="E75" s="61">
        <f t="shared" si="132"/>
        <v>2.149</v>
      </c>
      <c r="F75" s="44">
        <f t="shared" si="132"/>
        <v>16.530769230769231</v>
      </c>
      <c r="G75" s="44">
        <f t="shared" si="82"/>
        <v>13.224615384615385</v>
      </c>
      <c r="H75" s="44">
        <f t="shared" si="83"/>
        <v>8.2653846153846153</v>
      </c>
      <c r="I75" s="44">
        <f t="shared" si="65"/>
        <v>8</v>
      </c>
      <c r="J75" s="45">
        <v>60</v>
      </c>
      <c r="K75" s="37" t="str">
        <f>D75&amp;-5</f>
        <v>13-5</v>
      </c>
      <c r="L75" s="44">
        <f t="shared" ref="L75:P75" si="133">L74</f>
        <v>0.2</v>
      </c>
      <c r="M75" s="49">
        <f>M74</f>
        <v>60</v>
      </c>
      <c r="N75" s="44">
        <f t="shared" si="58"/>
        <v>150</v>
      </c>
      <c r="O75" s="44">
        <f t="shared" si="133"/>
        <v>750</v>
      </c>
      <c r="P75" s="44" t="str">
        <f t="shared" si="133"/>
        <v>on</v>
      </c>
    </row>
    <row r="76" spans="1:16" ht="15.75" thickBot="1" x14ac:dyDescent="0.3">
      <c r="A76" s="229">
        <f t="shared" ref="A76:B76" si="134">A75+1</f>
        <v>4171</v>
      </c>
      <c r="B76" s="230">
        <f t="shared" si="134"/>
        <v>66</v>
      </c>
      <c r="C76" s="218" t="str">
        <f t="shared" ref="C76:C139" si="135">TEXT(RIGHT($B$2,LEN($B$2)-3),"000")&amp;"X"&amp;TEXT(D76,"00")&amp;"_"&amp;IF(J76&lt;0,TEXT(360+J76,"000"),TEXT(J76,"000"))&amp;"_"&amp;TEXT(M76,"000")&amp;"#"&amp;TEXT(RIGHT(K76,LEN(K76)-FIND("-",K76)),"00")</f>
        <v>81aX13_060_060#06</v>
      </c>
      <c r="D76" s="43">
        <f t="shared" ref="D76:F76" si="136">D75</f>
        <v>13</v>
      </c>
      <c r="E76" s="61">
        <f t="shared" si="136"/>
        <v>2.149</v>
      </c>
      <c r="F76" s="44">
        <f t="shared" si="136"/>
        <v>16.530769230769231</v>
      </c>
      <c r="G76" s="44">
        <f t="shared" si="82"/>
        <v>13.224615384615385</v>
      </c>
      <c r="H76" s="44">
        <f t="shared" si="83"/>
        <v>8.2653846153846153</v>
      </c>
      <c r="I76" s="44">
        <f t="shared" si="65"/>
        <v>8</v>
      </c>
      <c r="J76" s="45">
        <v>60</v>
      </c>
      <c r="K76" s="37" t="str">
        <f>D76&amp;-6</f>
        <v>13-6</v>
      </c>
      <c r="L76" s="44">
        <f t="shared" ref="L76:P76" si="137">L75</f>
        <v>0.2</v>
      </c>
      <c r="M76" s="49">
        <f>M75</f>
        <v>60</v>
      </c>
      <c r="N76" s="44">
        <f t="shared" si="58"/>
        <v>150</v>
      </c>
      <c r="O76" s="44">
        <f t="shared" si="137"/>
        <v>750</v>
      </c>
      <c r="P76" s="44" t="str">
        <f t="shared" si="137"/>
        <v>on</v>
      </c>
    </row>
    <row r="77" spans="1:16" ht="15.75" thickBot="1" x14ac:dyDescent="0.3">
      <c r="A77" s="229">
        <f t="shared" ref="A77:B77" si="138">A76+1</f>
        <v>4172</v>
      </c>
      <c r="B77" s="230">
        <f t="shared" si="138"/>
        <v>67</v>
      </c>
      <c r="C77" s="218" t="str">
        <f t="shared" si="135"/>
        <v>81aX13_060_090#01</v>
      </c>
      <c r="D77" s="43">
        <f t="shared" ref="D77:F77" si="139">D76</f>
        <v>13</v>
      </c>
      <c r="E77" s="61">
        <f t="shared" si="139"/>
        <v>2.149</v>
      </c>
      <c r="F77" s="44">
        <f t="shared" si="139"/>
        <v>16.530769230769231</v>
      </c>
      <c r="G77" s="44">
        <f t="shared" si="82"/>
        <v>13.224615384615385</v>
      </c>
      <c r="H77" s="44">
        <f t="shared" si="83"/>
        <v>8.2653846153846153</v>
      </c>
      <c r="I77" s="44">
        <f t="shared" si="65"/>
        <v>8</v>
      </c>
      <c r="J77" s="45">
        <v>60</v>
      </c>
      <c r="K77" s="37" t="str">
        <f>D77&amp;-1</f>
        <v>13-1</v>
      </c>
      <c r="L77" s="44">
        <f t="shared" ref="L77:P77" si="140">L76</f>
        <v>0.2</v>
      </c>
      <c r="M77" s="49">
        <v>90</v>
      </c>
      <c r="N77" s="44">
        <f t="shared" si="58"/>
        <v>150</v>
      </c>
      <c r="O77" s="44">
        <f t="shared" si="140"/>
        <v>750</v>
      </c>
      <c r="P77" s="44" t="str">
        <f t="shared" si="140"/>
        <v>on</v>
      </c>
    </row>
    <row r="78" spans="1:16" ht="15.75" thickBot="1" x14ac:dyDescent="0.3">
      <c r="A78" s="229">
        <f t="shared" ref="A78:B78" si="141">A77+1</f>
        <v>4173</v>
      </c>
      <c r="B78" s="230">
        <f t="shared" si="141"/>
        <v>68</v>
      </c>
      <c r="C78" s="218" t="str">
        <f t="shared" si="135"/>
        <v>81aX13_060_090#02</v>
      </c>
      <c r="D78" s="43">
        <f t="shared" ref="D78:F78" si="142">D77</f>
        <v>13</v>
      </c>
      <c r="E78" s="61">
        <f t="shared" si="142"/>
        <v>2.149</v>
      </c>
      <c r="F78" s="44">
        <f t="shared" si="142"/>
        <v>16.530769230769231</v>
      </c>
      <c r="G78" s="44">
        <f t="shared" si="82"/>
        <v>13.224615384615385</v>
      </c>
      <c r="H78" s="44">
        <f t="shared" si="83"/>
        <v>8.2653846153846153</v>
      </c>
      <c r="I78" s="44">
        <f t="shared" si="65"/>
        <v>8</v>
      </c>
      <c r="J78" s="45">
        <v>60</v>
      </c>
      <c r="K78" s="37" t="str">
        <f>D78&amp;-2</f>
        <v>13-2</v>
      </c>
      <c r="L78" s="44">
        <f t="shared" ref="L78:P78" si="143">L77</f>
        <v>0.2</v>
      </c>
      <c r="M78" s="49">
        <f>M77</f>
        <v>90</v>
      </c>
      <c r="N78" s="44">
        <f t="shared" si="58"/>
        <v>150</v>
      </c>
      <c r="O78" s="44">
        <f t="shared" si="143"/>
        <v>750</v>
      </c>
      <c r="P78" s="44" t="str">
        <f t="shared" si="143"/>
        <v>on</v>
      </c>
    </row>
    <row r="79" spans="1:16" ht="15.75" thickBot="1" x14ac:dyDescent="0.3">
      <c r="A79" s="229">
        <f t="shared" ref="A79:B79" si="144">A78+1</f>
        <v>4174</v>
      </c>
      <c r="B79" s="230">
        <f t="shared" si="144"/>
        <v>69</v>
      </c>
      <c r="C79" s="218" t="str">
        <f t="shared" si="135"/>
        <v>81aX13_060_090#03</v>
      </c>
      <c r="D79" s="43">
        <f t="shared" ref="D79:F79" si="145">D78</f>
        <v>13</v>
      </c>
      <c r="E79" s="61">
        <f t="shared" si="145"/>
        <v>2.149</v>
      </c>
      <c r="F79" s="44">
        <f t="shared" si="145"/>
        <v>16.530769230769231</v>
      </c>
      <c r="G79" s="44">
        <f t="shared" si="82"/>
        <v>13.224615384615385</v>
      </c>
      <c r="H79" s="44">
        <f t="shared" si="83"/>
        <v>8.2653846153846153</v>
      </c>
      <c r="I79" s="44">
        <f t="shared" si="65"/>
        <v>8</v>
      </c>
      <c r="J79" s="45">
        <v>60</v>
      </c>
      <c r="K79" s="37" t="str">
        <f>D79&amp;-3</f>
        <v>13-3</v>
      </c>
      <c r="L79" s="44">
        <f t="shared" ref="L79:P79" si="146">L78</f>
        <v>0.2</v>
      </c>
      <c r="M79" s="49">
        <f>M78</f>
        <v>90</v>
      </c>
      <c r="N79" s="44">
        <f t="shared" ref="N79" si="147">N78</f>
        <v>150</v>
      </c>
      <c r="O79" s="44">
        <f t="shared" si="146"/>
        <v>750</v>
      </c>
      <c r="P79" s="44" t="str">
        <f t="shared" si="146"/>
        <v>on</v>
      </c>
    </row>
    <row r="80" spans="1:16" ht="15.75" thickBot="1" x14ac:dyDescent="0.3">
      <c r="A80" s="229">
        <f t="shared" ref="A80:B80" si="148">A79+1</f>
        <v>4175</v>
      </c>
      <c r="B80" s="230">
        <f t="shared" si="148"/>
        <v>70</v>
      </c>
      <c r="C80" s="218" t="str">
        <f t="shared" si="135"/>
        <v>81aX13_060_090#04</v>
      </c>
      <c r="D80" s="43">
        <f t="shared" ref="D80:F80" si="149">D79</f>
        <v>13</v>
      </c>
      <c r="E80" s="61">
        <f t="shared" si="149"/>
        <v>2.149</v>
      </c>
      <c r="F80" s="44">
        <f t="shared" si="149"/>
        <v>16.530769230769231</v>
      </c>
      <c r="G80" s="44">
        <f t="shared" si="82"/>
        <v>13.224615384615385</v>
      </c>
      <c r="H80" s="44">
        <f t="shared" si="83"/>
        <v>8.2653846153846153</v>
      </c>
      <c r="I80" s="44">
        <f t="shared" si="65"/>
        <v>8</v>
      </c>
      <c r="J80" s="45">
        <v>60</v>
      </c>
      <c r="K80" s="37" t="str">
        <f>D80&amp;-4</f>
        <v>13-4</v>
      </c>
      <c r="L80" s="44">
        <f t="shared" ref="L80:P80" si="150">L79</f>
        <v>0.2</v>
      </c>
      <c r="M80" s="49">
        <f>M79</f>
        <v>90</v>
      </c>
      <c r="N80" s="44">
        <f t="shared" si="58"/>
        <v>150</v>
      </c>
      <c r="O80" s="44">
        <f t="shared" si="150"/>
        <v>750</v>
      </c>
      <c r="P80" s="44" t="str">
        <f t="shared" si="150"/>
        <v>on</v>
      </c>
    </row>
    <row r="81" spans="1:16" ht="15.75" thickBot="1" x14ac:dyDescent="0.3">
      <c r="A81" s="229">
        <f t="shared" ref="A81:B81" si="151">A80+1</f>
        <v>4176</v>
      </c>
      <c r="B81" s="230">
        <f t="shared" si="151"/>
        <v>71</v>
      </c>
      <c r="C81" s="218" t="str">
        <f t="shared" si="135"/>
        <v>81aX13_060_090#05</v>
      </c>
      <c r="D81" s="43">
        <f t="shared" ref="D81:F81" si="152">D80</f>
        <v>13</v>
      </c>
      <c r="E81" s="61">
        <f t="shared" si="152"/>
        <v>2.149</v>
      </c>
      <c r="F81" s="44">
        <f t="shared" si="152"/>
        <v>16.530769230769231</v>
      </c>
      <c r="G81" s="44">
        <f t="shared" si="82"/>
        <v>13.224615384615385</v>
      </c>
      <c r="H81" s="44">
        <f t="shared" si="83"/>
        <v>8.2653846153846153</v>
      </c>
      <c r="I81" s="44">
        <f t="shared" si="65"/>
        <v>8</v>
      </c>
      <c r="J81" s="45">
        <v>60</v>
      </c>
      <c r="K81" s="37" t="str">
        <f>D81&amp;-5</f>
        <v>13-5</v>
      </c>
      <c r="L81" s="44">
        <f t="shared" ref="L81:P81" si="153">L80</f>
        <v>0.2</v>
      </c>
      <c r="M81" s="49">
        <f>M80</f>
        <v>90</v>
      </c>
      <c r="N81" s="44">
        <f t="shared" si="58"/>
        <v>150</v>
      </c>
      <c r="O81" s="44">
        <f t="shared" si="153"/>
        <v>750</v>
      </c>
      <c r="P81" s="44" t="str">
        <f t="shared" si="153"/>
        <v>on</v>
      </c>
    </row>
    <row r="82" spans="1:16" ht="15.75" thickBot="1" x14ac:dyDescent="0.3">
      <c r="A82" s="229">
        <f t="shared" ref="A82:B82" si="154">A81+1</f>
        <v>4177</v>
      </c>
      <c r="B82" s="230">
        <f t="shared" si="154"/>
        <v>72</v>
      </c>
      <c r="C82" s="218" t="str">
        <f t="shared" si="135"/>
        <v>81aX13_060_090#06</v>
      </c>
      <c r="D82" s="43">
        <f t="shared" ref="D82:F82" si="155">D81</f>
        <v>13</v>
      </c>
      <c r="E82" s="61">
        <f t="shared" si="155"/>
        <v>2.149</v>
      </c>
      <c r="F82" s="44">
        <f t="shared" si="155"/>
        <v>16.530769230769231</v>
      </c>
      <c r="G82" s="44">
        <f t="shared" si="82"/>
        <v>13.224615384615385</v>
      </c>
      <c r="H82" s="44">
        <f t="shared" si="83"/>
        <v>8.2653846153846153</v>
      </c>
      <c r="I82" s="44">
        <f t="shared" si="65"/>
        <v>8</v>
      </c>
      <c r="J82" s="45">
        <v>60</v>
      </c>
      <c r="K82" s="37" t="str">
        <f>D82&amp;-6</f>
        <v>13-6</v>
      </c>
      <c r="L82" s="44">
        <f t="shared" ref="L82:P82" si="156">L81</f>
        <v>0.2</v>
      </c>
      <c r="M82" s="49">
        <f>M81</f>
        <v>90</v>
      </c>
      <c r="N82" s="44">
        <f t="shared" si="58"/>
        <v>150</v>
      </c>
      <c r="O82" s="44">
        <f t="shared" si="156"/>
        <v>750</v>
      </c>
      <c r="P82" s="44" t="str">
        <f t="shared" si="156"/>
        <v>on</v>
      </c>
    </row>
    <row r="83" spans="1:16" ht="15.75" thickBot="1" x14ac:dyDescent="0.3">
      <c r="A83" s="229">
        <f t="shared" ref="A83:B83" si="157">A82+1</f>
        <v>4178</v>
      </c>
      <c r="B83" s="230">
        <f t="shared" si="157"/>
        <v>73</v>
      </c>
      <c r="C83" s="218" t="str">
        <f t="shared" si="135"/>
        <v>81aX13_090_000#01</v>
      </c>
      <c r="D83" s="43">
        <f t="shared" ref="D83:F83" si="158">D82</f>
        <v>13</v>
      </c>
      <c r="E83" s="61">
        <f t="shared" si="158"/>
        <v>2.149</v>
      </c>
      <c r="F83" s="44">
        <f t="shared" si="158"/>
        <v>16.530769230769231</v>
      </c>
      <c r="G83" s="44">
        <f t="shared" si="82"/>
        <v>13.224615384615385</v>
      </c>
      <c r="H83" s="44">
        <f t="shared" si="83"/>
        <v>8.2653846153846153</v>
      </c>
      <c r="I83" s="44">
        <f t="shared" si="65"/>
        <v>8</v>
      </c>
      <c r="J83" s="45">
        <v>90</v>
      </c>
      <c r="K83" s="37" t="str">
        <f>D83&amp;-1</f>
        <v>13-1</v>
      </c>
      <c r="L83" s="44">
        <f t="shared" ref="L83:P83" si="159">L82</f>
        <v>0.2</v>
      </c>
      <c r="M83" s="49">
        <v>0</v>
      </c>
      <c r="N83" s="44">
        <f t="shared" si="58"/>
        <v>150</v>
      </c>
      <c r="O83" s="44">
        <f t="shared" si="159"/>
        <v>750</v>
      </c>
      <c r="P83" s="44" t="str">
        <f t="shared" si="159"/>
        <v>on</v>
      </c>
    </row>
    <row r="84" spans="1:16" ht="15.75" thickBot="1" x14ac:dyDescent="0.3">
      <c r="A84" s="229">
        <f t="shared" ref="A84:B84" si="160">A83+1</f>
        <v>4179</v>
      </c>
      <c r="B84" s="230">
        <f t="shared" si="160"/>
        <v>74</v>
      </c>
      <c r="C84" s="218" t="str">
        <f t="shared" si="135"/>
        <v>81aX13_090_000#02</v>
      </c>
      <c r="D84" s="43">
        <f t="shared" ref="D84:F84" si="161">D83</f>
        <v>13</v>
      </c>
      <c r="E84" s="61">
        <f t="shared" si="161"/>
        <v>2.149</v>
      </c>
      <c r="F84" s="44">
        <f t="shared" si="161"/>
        <v>16.530769230769231</v>
      </c>
      <c r="G84" s="44">
        <f t="shared" si="82"/>
        <v>13.224615384615385</v>
      </c>
      <c r="H84" s="44">
        <f t="shared" si="83"/>
        <v>8.2653846153846153</v>
      </c>
      <c r="I84" s="44">
        <f t="shared" si="65"/>
        <v>8</v>
      </c>
      <c r="J84" s="45">
        <v>90</v>
      </c>
      <c r="K84" s="37" t="str">
        <f>D84&amp;-2</f>
        <v>13-2</v>
      </c>
      <c r="L84" s="44">
        <f t="shared" ref="L84:P84" si="162">L83</f>
        <v>0.2</v>
      </c>
      <c r="M84" s="49">
        <f>M83</f>
        <v>0</v>
      </c>
      <c r="N84" s="44">
        <f t="shared" si="58"/>
        <v>150</v>
      </c>
      <c r="O84" s="44">
        <f t="shared" si="162"/>
        <v>750</v>
      </c>
      <c r="P84" s="44" t="str">
        <f t="shared" si="162"/>
        <v>on</v>
      </c>
    </row>
    <row r="85" spans="1:16" ht="15.75" thickBot="1" x14ac:dyDescent="0.3">
      <c r="A85" s="229">
        <f t="shared" ref="A85:B85" si="163">A84+1</f>
        <v>4180</v>
      </c>
      <c r="B85" s="230">
        <f t="shared" si="163"/>
        <v>75</v>
      </c>
      <c r="C85" s="218" t="str">
        <f t="shared" si="135"/>
        <v>81aX13_090_000#03</v>
      </c>
      <c r="D85" s="43">
        <f t="shared" ref="D85:F85" si="164">D84</f>
        <v>13</v>
      </c>
      <c r="E85" s="61">
        <f t="shared" si="164"/>
        <v>2.149</v>
      </c>
      <c r="F85" s="44">
        <f t="shared" si="164"/>
        <v>16.530769230769231</v>
      </c>
      <c r="G85" s="44">
        <f t="shared" si="82"/>
        <v>13.224615384615385</v>
      </c>
      <c r="H85" s="44">
        <f t="shared" si="83"/>
        <v>8.2653846153846153</v>
      </c>
      <c r="I85" s="44">
        <f t="shared" si="65"/>
        <v>8</v>
      </c>
      <c r="J85" s="45">
        <v>90</v>
      </c>
      <c r="K85" s="37" t="str">
        <f>D85&amp;-3</f>
        <v>13-3</v>
      </c>
      <c r="L85" s="44">
        <f t="shared" ref="L85:P85" si="165">L84</f>
        <v>0.2</v>
      </c>
      <c r="M85" s="49">
        <f>M84</f>
        <v>0</v>
      </c>
      <c r="N85" s="44">
        <f t="shared" si="58"/>
        <v>150</v>
      </c>
      <c r="O85" s="44">
        <f t="shared" si="165"/>
        <v>750</v>
      </c>
      <c r="P85" s="44" t="str">
        <f t="shared" si="165"/>
        <v>on</v>
      </c>
    </row>
    <row r="86" spans="1:16" ht="15.75" thickBot="1" x14ac:dyDescent="0.3">
      <c r="A86" s="229">
        <f t="shared" ref="A86:B86" si="166">A85+1</f>
        <v>4181</v>
      </c>
      <c r="B86" s="230">
        <f t="shared" si="166"/>
        <v>76</v>
      </c>
      <c r="C86" s="218" t="str">
        <f t="shared" si="135"/>
        <v>81aX13_090_000#04</v>
      </c>
      <c r="D86" s="43">
        <f t="shared" ref="D86:F86" si="167">D85</f>
        <v>13</v>
      </c>
      <c r="E86" s="61">
        <f t="shared" si="167"/>
        <v>2.149</v>
      </c>
      <c r="F86" s="44">
        <f t="shared" si="167"/>
        <v>16.530769230769231</v>
      </c>
      <c r="G86" s="44">
        <f t="shared" si="82"/>
        <v>13.224615384615385</v>
      </c>
      <c r="H86" s="44">
        <f t="shared" si="83"/>
        <v>8.2653846153846153</v>
      </c>
      <c r="I86" s="44">
        <f t="shared" si="65"/>
        <v>8</v>
      </c>
      <c r="J86" s="45">
        <v>90</v>
      </c>
      <c r="K86" s="37" t="str">
        <f>D86&amp;-4</f>
        <v>13-4</v>
      </c>
      <c r="L86" s="44">
        <f t="shared" ref="L86:P86" si="168">L85</f>
        <v>0.2</v>
      </c>
      <c r="M86" s="49">
        <f>M85</f>
        <v>0</v>
      </c>
      <c r="N86" s="44">
        <f t="shared" si="58"/>
        <v>150</v>
      </c>
      <c r="O86" s="44">
        <f t="shared" si="168"/>
        <v>750</v>
      </c>
      <c r="P86" s="44" t="str">
        <f t="shared" si="168"/>
        <v>on</v>
      </c>
    </row>
    <row r="87" spans="1:16" ht="15.75" thickBot="1" x14ac:dyDescent="0.3">
      <c r="A87" s="229">
        <f t="shared" ref="A87:B87" si="169">A86+1</f>
        <v>4182</v>
      </c>
      <c r="B87" s="230">
        <f t="shared" si="169"/>
        <v>77</v>
      </c>
      <c r="C87" s="218" t="str">
        <f t="shared" si="135"/>
        <v>81aX13_090_000#05</v>
      </c>
      <c r="D87" s="43">
        <f t="shared" ref="D87:F87" si="170">D86</f>
        <v>13</v>
      </c>
      <c r="E87" s="61">
        <f t="shared" si="170"/>
        <v>2.149</v>
      </c>
      <c r="F87" s="44">
        <f t="shared" si="170"/>
        <v>16.530769230769231</v>
      </c>
      <c r="G87" s="44">
        <f t="shared" si="82"/>
        <v>13.224615384615385</v>
      </c>
      <c r="H87" s="44">
        <f t="shared" si="83"/>
        <v>8.2653846153846153</v>
      </c>
      <c r="I87" s="44">
        <f t="shared" si="65"/>
        <v>8</v>
      </c>
      <c r="J87" s="45">
        <v>90</v>
      </c>
      <c r="K87" s="37" t="str">
        <f>D87&amp;-5</f>
        <v>13-5</v>
      </c>
      <c r="L87" s="44">
        <f t="shared" ref="L87:P87" si="171">L86</f>
        <v>0.2</v>
      </c>
      <c r="M87" s="49">
        <f>M86</f>
        <v>0</v>
      </c>
      <c r="N87" s="44">
        <f t="shared" si="58"/>
        <v>150</v>
      </c>
      <c r="O87" s="44">
        <f t="shared" si="171"/>
        <v>750</v>
      </c>
      <c r="P87" s="44" t="str">
        <f t="shared" si="171"/>
        <v>on</v>
      </c>
    </row>
    <row r="88" spans="1:16" ht="15.75" thickBot="1" x14ac:dyDescent="0.3">
      <c r="A88" s="229">
        <f t="shared" ref="A88:B88" si="172">A87+1</f>
        <v>4183</v>
      </c>
      <c r="B88" s="230">
        <f t="shared" si="172"/>
        <v>78</v>
      </c>
      <c r="C88" s="218" t="str">
        <f t="shared" si="135"/>
        <v>81aX13_090_000#06</v>
      </c>
      <c r="D88" s="43">
        <f t="shared" ref="D88:F88" si="173">D87</f>
        <v>13</v>
      </c>
      <c r="E88" s="61">
        <f t="shared" si="173"/>
        <v>2.149</v>
      </c>
      <c r="F88" s="44">
        <f t="shared" si="173"/>
        <v>16.530769230769231</v>
      </c>
      <c r="G88" s="44">
        <f t="shared" si="82"/>
        <v>13.224615384615385</v>
      </c>
      <c r="H88" s="44">
        <f t="shared" si="83"/>
        <v>8.2653846153846153</v>
      </c>
      <c r="I88" s="44">
        <f t="shared" si="65"/>
        <v>8</v>
      </c>
      <c r="J88" s="45">
        <v>90</v>
      </c>
      <c r="K88" s="37" t="str">
        <f>D88&amp;-6</f>
        <v>13-6</v>
      </c>
      <c r="L88" s="44">
        <f t="shared" ref="L88:P88" si="174">L87</f>
        <v>0.2</v>
      </c>
      <c r="M88" s="49">
        <f>M87</f>
        <v>0</v>
      </c>
      <c r="N88" s="44">
        <f t="shared" si="58"/>
        <v>150</v>
      </c>
      <c r="O88" s="44">
        <f t="shared" si="174"/>
        <v>750</v>
      </c>
      <c r="P88" s="44" t="str">
        <f t="shared" si="174"/>
        <v>on</v>
      </c>
    </row>
    <row r="89" spans="1:16" ht="15.75" thickBot="1" x14ac:dyDescent="0.3">
      <c r="A89" s="229">
        <f t="shared" ref="A89:B89" si="175">A88+1</f>
        <v>4184</v>
      </c>
      <c r="B89" s="230">
        <f t="shared" si="175"/>
        <v>79</v>
      </c>
      <c r="C89" s="218" t="str">
        <f t="shared" si="135"/>
        <v>81aX13_090_030#01</v>
      </c>
      <c r="D89" s="43">
        <f t="shared" ref="D89:F89" si="176">D88</f>
        <v>13</v>
      </c>
      <c r="E89" s="61">
        <f t="shared" si="176"/>
        <v>2.149</v>
      </c>
      <c r="F89" s="44">
        <f t="shared" si="176"/>
        <v>16.530769230769231</v>
      </c>
      <c r="G89" s="44">
        <f t="shared" si="82"/>
        <v>13.224615384615385</v>
      </c>
      <c r="H89" s="44">
        <f t="shared" si="83"/>
        <v>8.2653846153846153</v>
      </c>
      <c r="I89" s="44">
        <f t="shared" si="65"/>
        <v>8</v>
      </c>
      <c r="J89" s="45">
        <v>90</v>
      </c>
      <c r="K89" s="37" t="str">
        <f>D89&amp;-1</f>
        <v>13-1</v>
      </c>
      <c r="L89" s="44">
        <f t="shared" ref="L89:P89" si="177">L88</f>
        <v>0.2</v>
      </c>
      <c r="M89" s="49">
        <v>30</v>
      </c>
      <c r="N89" s="44">
        <f t="shared" si="58"/>
        <v>150</v>
      </c>
      <c r="O89" s="44">
        <f t="shared" si="177"/>
        <v>750</v>
      </c>
      <c r="P89" s="44" t="str">
        <f t="shared" si="177"/>
        <v>on</v>
      </c>
    </row>
    <row r="90" spans="1:16" ht="15.75" thickBot="1" x14ac:dyDescent="0.3">
      <c r="A90" s="229">
        <f t="shared" ref="A90:B90" si="178">A89+1</f>
        <v>4185</v>
      </c>
      <c r="B90" s="230">
        <f t="shared" si="178"/>
        <v>80</v>
      </c>
      <c r="C90" s="218" t="str">
        <f t="shared" si="135"/>
        <v>81aX13_090_030#02</v>
      </c>
      <c r="D90" s="43">
        <f t="shared" ref="D90:F90" si="179">D89</f>
        <v>13</v>
      </c>
      <c r="E90" s="61">
        <f t="shared" si="179"/>
        <v>2.149</v>
      </c>
      <c r="F90" s="44">
        <f t="shared" si="179"/>
        <v>16.530769230769231</v>
      </c>
      <c r="G90" s="44">
        <f t="shared" si="82"/>
        <v>13.224615384615385</v>
      </c>
      <c r="H90" s="44">
        <f t="shared" si="83"/>
        <v>8.2653846153846153</v>
      </c>
      <c r="I90" s="44">
        <f t="shared" si="65"/>
        <v>8</v>
      </c>
      <c r="J90" s="45">
        <v>90</v>
      </c>
      <c r="K90" s="37" t="str">
        <f>D90&amp;-2</f>
        <v>13-2</v>
      </c>
      <c r="L90" s="44">
        <f t="shared" ref="L90:P90" si="180">L89</f>
        <v>0.2</v>
      </c>
      <c r="M90" s="49">
        <f>M89</f>
        <v>30</v>
      </c>
      <c r="N90" s="44">
        <f t="shared" si="58"/>
        <v>150</v>
      </c>
      <c r="O90" s="44">
        <f t="shared" si="180"/>
        <v>750</v>
      </c>
      <c r="P90" s="44" t="str">
        <f t="shared" si="180"/>
        <v>on</v>
      </c>
    </row>
    <row r="91" spans="1:16" ht="15.75" thickBot="1" x14ac:dyDescent="0.3">
      <c r="A91" s="229">
        <f t="shared" ref="A91:B91" si="181">A90+1</f>
        <v>4186</v>
      </c>
      <c r="B91" s="230">
        <f t="shared" si="181"/>
        <v>81</v>
      </c>
      <c r="C91" s="218" t="str">
        <f t="shared" si="135"/>
        <v>81aX13_090_030#03</v>
      </c>
      <c r="D91" s="43">
        <f t="shared" ref="D91:F91" si="182">D90</f>
        <v>13</v>
      </c>
      <c r="E91" s="61">
        <f t="shared" si="182"/>
        <v>2.149</v>
      </c>
      <c r="F91" s="44">
        <f t="shared" si="182"/>
        <v>16.530769230769231</v>
      </c>
      <c r="G91" s="44">
        <f t="shared" si="82"/>
        <v>13.224615384615385</v>
      </c>
      <c r="H91" s="44">
        <f t="shared" si="83"/>
        <v>8.2653846153846153</v>
      </c>
      <c r="I91" s="44">
        <f t="shared" si="65"/>
        <v>8</v>
      </c>
      <c r="J91" s="45">
        <v>90</v>
      </c>
      <c r="K91" s="37" t="str">
        <f>D91&amp;-3</f>
        <v>13-3</v>
      </c>
      <c r="L91" s="44">
        <f t="shared" ref="L91:P91" si="183">L90</f>
        <v>0.2</v>
      </c>
      <c r="M91" s="49">
        <f>M90</f>
        <v>30</v>
      </c>
      <c r="N91" s="44">
        <f t="shared" si="58"/>
        <v>150</v>
      </c>
      <c r="O91" s="44">
        <f t="shared" si="183"/>
        <v>750</v>
      </c>
      <c r="P91" s="44" t="str">
        <f t="shared" si="183"/>
        <v>on</v>
      </c>
    </row>
    <row r="92" spans="1:16" ht="15.75" thickBot="1" x14ac:dyDescent="0.3">
      <c r="A92" s="229">
        <f t="shared" ref="A92:B92" si="184">A91+1</f>
        <v>4187</v>
      </c>
      <c r="B92" s="230">
        <f t="shared" si="184"/>
        <v>82</v>
      </c>
      <c r="C92" s="218" t="str">
        <f t="shared" si="135"/>
        <v>81aX13_090_030#04</v>
      </c>
      <c r="D92" s="43">
        <f t="shared" ref="D92:F92" si="185">D91</f>
        <v>13</v>
      </c>
      <c r="E92" s="61">
        <f t="shared" si="185"/>
        <v>2.149</v>
      </c>
      <c r="F92" s="44">
        <f t="shared" si="185"/>
        <v>16.530769230769231</v>
      </c>
      <c r="G92" s="44">
        <f t="shared" si="82"/>
        <v>13.224615384615385</v>
      </c>
      <c r="H92" s="44">
        <f t="shared" si="83"/>
        <v>8.2653846153846153</v>
      </c>
      <c r="I92" s="44">
        <f t="shared" si="65"/>
        <v>8</v>
      </c>
      <c r="J92" s="45">
        <v>90</v>
      </c>
      <c r="K92" s="37" t="str">
        <f>D92&amp;-4</f>
        <v>13-4</v>
      </c>
      <c r="L92" s="44">
        <f t="shared" ref="L92:P92" si="186">L91</f>
        <v>0.2</v>
      </c>
      <c r="M92" s="49">
        <f>M91</f>
        <v>30</v>
      </c>
      <c r="N92" s="44">
        <f t="shared" si="58"/>
        <v>150</v>
      </c>
      <c r="O92" s="44">
        <f t="shared" si="186"/>
        <v>750</v>
      </c>
      <c r="P92" s="44" t="str">
        <f t="shared" si="186"/>
        <v>on</v>
      </c>
    </row>
    <row r="93" spans="1:16" ht="15.75" thickBot="1" x14ac:dyDescent="0.3">
      <c r="A93" s="229">
        <f t="shared" ref="A93:B93" si="187">A92+1</f>
        <v>4188</v>
      </c>
      <c r="B93" s="230">
        <f t="shared" si="187"/>
        <v>83</v>
      </c>
      <c r="C93" s="218" t="str">
        <f t="shared" si="135"/>
        <v>81aX13_090_030#05</v>
      </c>
      <c r="D93" s="43">
        <f t="shared" ref="D93:F93" si="188">D92</f>
        <v>13</v>
      </c>
      <c r="E93" s="61">
        <f t="shared" si="188"/>
        <v>2.149</v>
      </c>
      <c r="F93" s="44">
        <f t="shared" si="188"/>
        <v>16.530769230769231</v>
      </c>
      <c r="G93" s="44">
        <f t="shared" si="82"/>
        <v>13.224615384615385</v>
      </c>
      <c r="H93" s="44">
        <f t="shared" si="83"/>
        <v>8.2653846153846153</v>
      </c>
      <c r="I93" s="44">
        <f t="shared" si="65"/>
        <v>8</v>
      </c>
      <c r="J93" s="45">
        <v>90</v>
      </c>
      <c r="K93" s="37" t="str">
        <f>D93&amp;-5</f>
        <v>13-5</v>
      </c>
      <c r="L93" s="44">
        <f t="shared" ref="L93:P93" si="189">L92</f>
        <v>0.2</v>
      </c>
      <c r="M93" s="49">
        <f>M92</f>
        <v>30</v>
      </c>
      <c r="N93" s="44">
        <f t="shared" si="58"/>
        <v>150</v>
      </c>
      <c r="O93" s="44">
        <f t="shared" si="189"/>
        <v>750</v>
      </c>
      <c r="P93" s="44" t="str">
        <f t="shared" si="189"/>
        <v>on</v>
      </c>
    </row>
    <row r="94" spans="1:16" ht="15.75" thickBot="1" x14ac:dyDescent="0.3">
      <c r="A94" s="229">
        <f t="shared" ref="A94:B94" si="190">A93+1</f>
        <v>4189</v>
      </c>
      <c r="B94" s="230">
        <f t="shared" si="190"/>
        <v>84</v>
      </c>
      <c r="C94" s="218" t="str">
        <f t="shared" si="135"/>
        <v>81aX13_090_030#06</v>
      </c>
      <c r="D94" s="43">
        <f t="shared" ref="D94:F94" si="191">D93</f>
        <v>13</v>
      </c>
      <c r="E94" s="61">
        <f t="shared" si="191"/>
        <v>2.149</v>
      </c>
      <c r="F94" s="44">
        <f t="shared" si="191"/>
        <v>16.530769230769231</v>
      </c>
      <c r="G94" s="44">
        <f t="shared" si="82"/>
        <v>13.224615384615385</v>
      </c>
      <c r="H94" s="44">
        <f t="shared" si="83"/>
        <v>8.2653846153846153</v>
      </c>
      <c r="I94" s="44">
        <f t="shared" si="65"/>
        <v>8</v>
      </c>
      <c r="J94" s="45">
        <v>90</v>
      </c>
      <c r="K94" s="37" t="str">
        <f>D94&amp;-6</f>
        <v>13-6</v>
      </c>
      <c r="L94" s="44">
        <f t="shared" ref="L94:P94" si="192">L93</f>
        <v>0.2</v>
      </c>
      <c r="M94" s="49">
        <f>M93</f>
        <v>30</v>
      </c>
      <c r="N94" s="44">
        <f t="shared" si="58"/>
        <v>150</v>
      </c>
      <c r="O94" s="44">
        <f t="shared" si="192"/>
        <v>750</v>
      </c>
      <c r="P94" s="44" t="str">
        <f t="shared" si="192"/>
        <v>on</v>
      </c>
    </row>
    <row r="95" spans="1:16" ht="15.75" thickBot="1" x14ac:dyDescent="0.3">
      <c r="A95" s="229">
        <f t="shared" ref="A95:B95" si="193">A94+1</f>
        <v>4190</v>
      </c>
      <c r="B95" s="230">
        <f t="shared" si="193"/>
        <v>85</v>
      </c>
      <c r="C95" s="218" t="str">
        <f t="shared" si="135"/>
        <v>81aX13_090_060#01</v>
      </c>
      <c r="D95" s="43">
        <f t="shared" ref="D95:F95" si="194">D94</f>
        <v>13</v>
      </c>
      <c r="E95" s="61">
        <f t="shared" si="194"/>
        <v>2.149</v>
      </c>
      <c r="F95" s="44">
        <f t="shared" si="194"/>
        <v>16.530769230769231</v>
      </c>
      <c r="G95" s="44">
        <f t="shared" si="82"/>
        <v>13.224615384615385</v>
      </c>
      <c r="H95" s="44">
        <f t="shared" si="83"/>
        <v>8.2653846153846153</v>
      </c>
      <c r="I95" s="44">
        <f t="shared" si="65"/>
        <v>8</v>
      </c>
      <c r="J95" s="45">
        <v>90</v>
      </c>
      <c r="K95" s="37" t="str">
        <f>D95&amp;-1</f>
        <v>13-1</v>
      </c>
      <c r="L95" s="44">
        <f t="shared" ref="L95:P95" si="195">L94</f>
        <v>0.2</v>
      </c>
      <c r="M95" s="49">
        <v>60</v>
      </c>
      <c r="N95" s="44">
        <f t="shared" si="58"/>
        <v>150</v>
      </c>
      <c r="O95" s="44">
        <f t="shared" si="195"/>
        <v>750</v>
      </c>
      <c r="P95" s="44" t="str">
        <f t="shared" si="195"/>
        <v>on</v>
      </c>
    </row>
    <row r="96" spans="1:16" ht="15.75" thickBot="1" x14ac:dyDescent="0.3">
      <c r="A96" s="229">
        <f t="shared" ref="A96:B96" si="196">A95+1</f>
        <v>4191</v>
      </c>
      <c r="B96" s="230">
        <f t="shared" si="196"/>
        <v>86</v>
      </c>
      <c r="C96" s="218" t="str">
        <f t="shared" si="135"/>
        <v>81aX13_090_060#02</v>
      </c>
      <c r="D96" s="43">
        <f t="shared" ref="D96:F96" si="197">D95</f>
        <v>13</v>
      </c>
      <c r="E96" s="61">
        <f t="shared" si="197"/>
        <v>2.149</v>
      </c>
      <c r="F96" s="44">
        <f t="shared" si="197"/>
        <v>16.530769230769231</v>
      </c>
      <c r="G96" s="44">
        <f t="shared" si="82"/>
        <v>13.224615384615385</v>
      </c>
      <c r="H96" s="44">
        <f t="shared" si="83"/>
        <v>8.2653846153846153</v>
      </c>
      <c r="I96" s="44">
        <f t="shared" si="65"/>
        <v>8</v>
      </c>
      <c r="J96" s="45">
        <v>90</v>
      </c>
      <c r="K96" s="37" t="str">
        <f>D96&amp;-2</f>
        <v>13-2</v>
      </c>
      <c r="L96" s="44">
        <f t="shared" ref="L96:P96" si="198">L95</f>
        <v>0.2</v>
      </c>
      <c r="M96" s="49">
        <f>M95</f>
        <v>60</v>
      </c>
      <c r="N96" s="44">
        <f t="shared" si="58"/>
        <v>150</v>
      </c>
      <c r="O96" s="44">
        <f t="shared" si="198"/>
        <v>750</v>
      </c>
      <c r="P96" s="44" t="str">
        <f t="shared" si="198"/>
        <v>on</v>
      </c>
    </row>
    <row r="97" spans="1:16" ht="15.75" thickBot="1" x14ac:dyDescent="0.3">
      <c r="A97" s="229">
        <f t="shared" ref="A97:B97" si="199">A96+1</f>
        <v>4192</v>
      </c>
      <c r="B97" s="230">
        <f t="shared" si="199"/>
        <v>87</v>
      </c>
      <c r="C97" s="218" t="str">
        <f t="shared" si="135"/>
        <v>81aX13_090_060#03</v>
      </c>
      <c r="D97" s="43">
        <f t="shared" ref="D97:F97" si="200">D96</f>
        <v>13</v>
      </c>
      <c r="E97" s="61">
        <f t="shared" si="200"/>
        <v>2.149</v>
      </c>
      <c r="F97" s="44">
        <f t="shared" si="200"/>
        <v>16.530769230769231</v>
      </c>
      <c r="G97" s="44">
        <f t="shared" si="82"/>
        <v>13.224615384615385</v>
      </c>
      <c r="H97" s="44">
        <f t="shared" si="83"/>
        <v>8.2653846153846153</v>
      </c>
      <c r="I97" s="44">
        <f t="shared" si="65"/>
        <v>8</v>
      </c>
      <c r="J97" s="45">
        <v>90</v>
      </c>
      <c r="K97" s="37" t="str">
        <f>D97&amp;-3</f>
        <v>13-3</v>
      </c>
      <c r="L97" s="44">
        <f t="shared" ref="L97:P97" si="201">L96</f>
        <v>0.2</v>
      </c>
      <c r="M97" s="49">
        <f>M96</f>
        <v>60</v>
      </c>
      <c r="N97" s="44">
        <f t="shared" si="58"/>
        <v>150</v>
      </c>
      <c r="O97" s="44">
        <f t="shared" si="201"/>
        <v>750</v>
      </c>
      <c r="P97" s="44" t="str">
        <f t="shared" si="201"/>
        <v>on</v>
      </c>
    </row>
    <row r="98" spans="1:16" ht="15.75" thickBot="1" x14ac:dyDescent="0.3">
      <c r="A98" s="229">
        <f t="shared" ref="A98:B98" si="202">A97+1</f>
        <v>4193</v>
      </c>
      <c r="B98" s="230">
        <f t="shared" si="202"/>
        <v>88</v>
      </c>
      <c r="C98" s="218" t="str">
        <f t="shared" si="135"/>
        <v>81aX13_090_060#04</v>
      </c>
      <c r="D98" s="43">
        <f t="shared" ref="D98:F98" si="203">D97</f>
        <v>13</v>
      </c>
      <c r="E98" s="61">
        <f t="shared" si="203"/>
        <v>2.149</v>
      </c>
      <c r="F98" s="44">
        <f t="shared" si="203"/>
        <v>16.530769230769231</v>
      </c>
      <c r="G98" s="44">
        <f t="shared" si="82"/>
        <v>13.224615384615385</v>
      </c>
      <c r="H98" s="44">
        <f t="shared" si="83"/>
        <v>8.2653846153846153</v>
      </c>
      <c r="I98" s="44">
        <f t="shared" si="65"/>
        <v>8</v>
      </c>
      <c r="J98" s="45">
        <v>90</v>
      </c>
      <c r="K98" s="37" t="str">
        <f>D98&amp;-4</f>
        <v>13-4</v>
      </c>
      <c r="L98" s="44">
        <f t="shared" ref="L98:P98" si="204">L97</f>
        <v>0.2</v>
      </c>
      <c r="M98" s="49">
        <f>M97</f>
        <v>60</v>
      </c>
      <c r="N98" s="44">
        <f t="shared" ref="N98" si="205">N97</f>
        <v>150</v>
      </c>
      <c r="O98" s="44">
        <f t="shared" si="204"/>
        <v>750</v>
      </c>
      <c r="P98" s="44" t="str">
        <f t="shared" si="204"/>
        <v>on</v>
      </c>
    </row>
    <row r="99" spans="1:16" ht="15.75" thickBot="1" x14ac:dyDescent="0.3">
      <c r="A99" s="229">
        <f t="shared" ref="A99:B99" si="206">A98+1</f>
        <v>4194</v>
      </c>
      <c r="B99" s="230">
        <f t="shared" si="206"/>
        <v>89</v>
      </c>
      <c r="C99" s="218" t="str">
        <f t="shared" si="135"/>
        <v>81aX13_090_060#05</v>
      </c>
      <c r="D99" s="43">
        <f t="shared" ref="D99:F99" si="207">D98</f>
        <v>13</v>
      </c>
      <c r="E99" s="61">
        <f t="shared" si="207"/>
        <v>2.149</v>
      </c>
      <c r="F99" s="44">
        <f t="shared" si="207"/>
        <v>16.530769230769231</v>
      </c>
      <c r="G99" s="44">
        <f t="shared" si="82"/>
        <v>13.224615384615385</v>
      </c>
      <c r="H99" s="44">
        <f t="shared" si="83"/>
        <v>8.2653846153846153</v>
      </c>
      <c r="I99" s="44">
        <f t="shared" si="65"/>
        <v>8</v>
      </c>
      <c r="J99" s="45">
        <v>90</v>
      </c>
      <c r="K99" s="37" t="str">
        <f>D99&amp;-5</f>
        <v>13-5</v>
      </c>
      <c r="L99" s="44">
        <f t="shared" ref="L99:P99" si="208">L98</f>
        <v>0.2</v>
      </c>
      <c r="M99" s="49">
        <f>M98</f>
        <v>60</v>
      </c>
      <c r="N99" s="44">
        <f t="shared" si="58"/>
        <v>150</v>
      </c>
      <c r="O99" s="44">
        <f t="shared" si="208"/>
        <v>750</v>
      </c>
      <c r="P99" s="44" t="str">
        <f t="shared" si="208"/>
        <v>on</v>
      </c>
    </row>
    <row r="100" spans="1:16" ht="15.75" thickBot="1" x14ac:dyDescent="0.3">
      <c r="A100" s="229">
        <f t="shared" ref="A100:B100" si="209">A99+1</f>
        <v>4195</v>
      </c>
      <c r="B100" s="230">
        <f t="shared" si="209"/>
        <v>90</v>
      </c>
      <c r="C100" s="218" t="str">
        <f t="shared" si="135"/>
        <v>81aX13_090_060#06</v>
      </c>
      <c r="D100" s="43">
        <f t="shared" ref="D100:F100" si="210">D99</f>
        <v>13</v>
      </c>
      <c r="E100" s="61">
        <f t="shared" si="210"/>
        <v>2.149</v>
      </c>
      <c r="F100" s="44">
        <f t="shared" si="210"/>
        <v>16.530769230769231</v>
      </c>
      <c r="G100" s="44">
        <f t="shared" si="82"/>
        <v>13.224615384615385</v>
      </c>
      <c r="H100" s="44">
        <f t="shared" si="83"/>
        <v>8.2653846153846153</v>
      </c>
      <c r="I100" s="44">
        <f t="shared" si="65"/>
        <v>8</v>
      </c>
      <c r="J100" s="45">
        <v>90</v>
      </c>
      <c r="K100" s="37" t="str">
        <f>D100&amp;-6</f>
        <v>13-6</v>
      </c>
      <c r="L100" s="44">
        <f t="shared" ref="L100:P100" si="211">L99</f>
        <v>0.2</v>
      </c>
      <c r="M100" s="49">
        <f>M99</f>
        <v>60</v>
      </c>
      <c r="N100" s="44">
        <f t="shared" si="58"/>
        <v>150</v>
      </c>
      <c r="O100" s="44">
        <f t="shared" si="211"/>
        <v>750</v>
      </c>
      <c r="P100" s="44" t="str">
        <f t="shared" si="211"/>
        <v>on</v>
      </c>
    </row>
    <row r="101" spans="1:16" ht="15.75" thickBot="1" x14ac:dyDescent="0.3">
      <c r="A101" s="229">
        <f t="shared" ref="A101:B101" si="212">A100+1</f>
        <v>4196</v>
      </c>
      <c r="B101" s="230">
        <f t="shared" si="212"/>
        <v>91</v>
      </c>
      <c r="C101" s="218" t="str">
        <f t="shared" si="135"/>
        <v>81aX13_090_090#01</v>
      </c>
      <c r="D101" s="43">
        <f t="shared" ref="D101:F101" si="213">D100</f>
        <v>13</v>
      </c>
      <c r="E101" s="61">
        <f t="shared" si="213"/>
        <v>2.149</v>
      </c>
      <c r="F101" s="44">
        <f t="shared" si="213"/>
        <v>16.530769230769231</v>
      </c>
      <c r="G101" s="44">
        <f t="shared" si="82"/>
        <v>13.224615384615385</v>
      </c>
      <c r="H101" s="44">
        <f t="shared" si="83"/>
        <v>8.2653846153846153</v>
      </c>
      <c r="I101" s="44">
        <f t="shared" si="65"/>
        <v>8</v>
      </c>
      <c r="J101" s="45">
        <v>90</v>
      </c>
      <c r="K101" s="37" t="str">
        <f>D101&amp;-1</f>
        <v>13-1</v>
      </c>
      <c r="L101" s="44">
        <f t="shared" ref="L101:P101" si="214">L100</f>
        <v>0.2</v>
      </c>
      <c r="M101" s="49">
        <v>90</v>
      </c>
      <c r="N101" s="44">
        <f t="shared" si="58"/>
        <v>150</v>
      </c>
      <c r="O101" s="44">
        <f t="shared" si="214"/>
        <v>750</v>
      </c>
      <c r="P101" s="44" t="str">
        <f t="shared" si="214"/>
        <v>on</v>
      </c>
    </row>
    <row r="102" spans="1:16" ht="15.75" thickBot="1" x14ac:dyDescent="0.3">
      <c r="A102" s="229">
        <f t="shared" ref="A102:B102" si="215">A101+1</f>
        <v>4197</v>
      </c>
      <c r="B102" s="230">
        <f t="shared" si="215"/>
        <v>92</v>
      </c>
      <c r="C102" s="218" t="str">
        <f t="shared" si="135"/>
        <v>81aX13_090_090#02</v>
      </c>
      <c r="D102" s="43">
        <f t="shared" ref="D102:F102" si="216">D101</f>
        <v>13</v>
      </c>
      <c r="E102" s="61">
        <f t="shared" si="216"/>
        <v>2.149</v>
      </c>
      <c r="F102" s="44">
        <f t="shared" si="216"/>
        <v>16.530769230769231</v>
      </c>
      <c r="G102" s="44">
        <f t="shared" si="82"/>
        <v>13.224615384615385</v>
      </c>
      <c r="H102" s="44">
        <f t="shared" si="83"/>
        <v>8.2653846153846153</v>
      </c>
      <c r="I102" s="44">
        <f t="shared" si="65"/>
        <v>8</v>
      </c>
      <c r="J102" s="45">
        <v>90</v>
      </c>
      <c r="K102" s="37" t="str">
        <f>D102&amp;-2</f>
        <v>13-2</v>
      </c>
      <c r="L102" s="44">
        <f t="shared" ref="L102:P102" si="217">L101</f>
        <v>0.2</v>
      </c>
      <c r="M102" s="49">
        <f>M101</f>
        <v>90</v>
      </c>
      <c r="N102" s="44">
        <f t="shared" si="58"/>
        <v>150</v>
      </c>
      <c r="O102" s="44">
        <f t="shared" si="217"/>
        <v>750</v>
      </c>
      <c r="P102" s="44" t="str">
        <f t="shared" si="217"/>
        <v>on</v>
      </c>
    </row>
    <row r="103" spans="1:16" ht="15.75" thickBot="1" x14ac:dyDescent="0.3">
      <c r="A103" s="229">
        <f t="shared" ref="A103:B103" si="218">A102+1</f>
        <v>4198</v>
      </c>
      <c r="B103" s="230">
        <f t="shared" si="218"/>
        <v>93</v>
      </c>
      <c r="C103" s="218" t="str">
        <f t="shared" si="135"/>
        <v>81aX13_090_090#03</v>
      </c>
      <c r="D103" s="43">
        <f t="shared" ref="D103:F103" si="219">D102</f>
        <v>13</v>
      </c>
      <c r="E103" s="61">
        <f t="shared" si="219"/>
        <v>2.149</v>
      </c>
      <c r="F103" s="44">
        <f t="shared" si="219"/>
        <v>16.530769230769231</v>
      </c>
      <c r="G103" s="44">
        <f t="shared" si="82"/>
        <v>13.224615384615385</v>
      </c>
      <c r="H103" s="44">
        <f t="shared" si="83"/>
        <v>8.2653846153846153</v>
      </c>
      <c r="I103" s="44">
        <f t="shared" si="65"/>
        <v>8</v>
      </c>
      <c r="J103" s="45">
        <v>90</v>
      </c>
      <c r="K103" s="37" t="str">
        <f>D103&amp;-3</f>
        <v>13-3</v>
      </c>
      <c r="L103" s="44">
        <f t="shared" ref="L103:P103" si="220">L102</f>
        <v>0.2</v>
      </c>
      <c r="M103" s="49">
        <f>M102</f>
        <v>90</v>
      </c>
      <c r="N103" s="44">
        <f t="shared" si="58"/>
        <v>150</v>
      </c>
      <c r="O103" s="44">
        <f t="shared" si="220"/>
        <v>750</v>
      </c>
      <c r="P103" s="44" t="str">
        <f t="shared" si="220"/>
        <v>on</v>
      </c>
    </row>
    <row r="104" spans="1:16" ht="15.75" thickBot="1" x14ac:dyDescent="0.3">
      <c r="A104" s="229">
        <f t="shared" ref="A104:B104" si="221">A103+1</f>
        <v>4199</v>
      </c>
      <c r="B104" s="230">
        <f t="shared" si="221"/>
        <v>94</v>
      </c>
      <c r="C104" s="218" t="str">
        <f t="shared" si="135"/>
        <v>81aX13_090_090#04</v>
      </c>
      <c r="D104" s="43">
        <f t="shared" ref="D104:F104" si="222">D103</f>
        <v>13</v>
      </c>
      <c r="E104" s="61">
        <f t="shared" si="222"/>
        <v>2.149</v>
      </c>
      <c r="F104" s="44">
        <f t="shared" si="222"/>
        <v>16.530769230769231</v>
      </c>
      <c r="G104" s="44">
        <f t="shared" si="82"/>
        <v>13.224615384615385</v>
      </c>
      <c r="H104" s="44">
        <f t="shared" si="83"/>
        <v>8.2653846153846153</v>
      </c>
      <c r="I104" s="44">
        <f t="shared" si="65"/>
        <v>8</v>
      </c>
      <c r="J104" s="45">
        <v>90</v>
      </c>
      <c r="K104" s="37" t="str">
        <f>D104&amp;-4</f>
        <v>13-4</v>
      </c>
      <c r="L104" s="44">
        <f t="shared" ref="L104:P104" si="223">L103</f>
        <v>0.2</v>
      </c>
      <c r="M104" s="49">
        <f>M103</f>
        <v>90</v>
      </c>
      <c r="N104" s="44">
        <f t="shared" si="58"/>
        <v>150</v>
      </c>
      <c r="O104" s="44">
        <f t="shared" si="223"/>
        <v>750</v>
      </c>
      <c r="P104" s="44" t="str">
        <f t="shared" si="223"/>
        <v>on</v>
      </c>
    </row>
    <row r="105" spans="1:16" ht="15.75" thickBot="1" x14ac:dyDescent="0.3">
      <c r="A105" s="229">
        <f t="shared" ref="A105:B105" si="224">A104+1</f>
        <v>4200</v>
      </c>
      <c r="B105" s="230">
        <f t="shared" si="224"/>
        <v>95</v>
      </c>
      <c r="C105" s="218" t="str">
        <f t="shared" si="135"/>
        <v>81aX13_090_090#05</v>
      </c>
      <c r="D105" s="43">
        <f t="shared" ref="D105:F105" si="225">D104</f>
        <v>13</v>
      </c>
      <c r="E105" s="61">
        <f t="shared" si="225"/>
        <v>2.149</v>
      </c>
      <c r="F105" s="44">
        <f t="shared" si="225"/>
        <v>16.530769230769231</v>
      </c>
      <c r="G105" s="44">
        <f t="shared" si="82"/>
        <v>13.224615384615385</v>
      </c>
      <c r="H105" s="44">
        <f t="shared" si="83"/>
        <v>8.2653846153846153</v>
      </c>
      <c r="I105" s="44">
        <f t="shared" si="65"/>
        <v>8</v>
      </c>
      <c r="J105" s="45">
        <v>90</v>
      </c>
      <c r="K105" s="37" t="str">
        <f>D105&amp;-5</f>
        <v>13-5</v>
      </c>
      <c r="L105" s="44">
        <f t="shared" ref="L105:P105" si="226">L104</f>
        <v>0.2</v>
      </c>
      <c r="M105" s="49">
        <f>M104</f>
        <v>90</v>
      </c>
      <c r="N105" s="44">
        <f t="shared" ref="N105:N168" si="227">N104</f>
        <v>150</v>
      </c>
      <c r="O105" s="44">
        <f t="shared" si="226"/>
        <v>750</v>
      </c>
      <c r="P105" s="44" t="str">
        <f t="shared" si="226"/>
        <v>on</v>
      </c>
    </row>
    <row r="106" spans="1:16" ht="15.75" thickBot="1" x14ac:dyDescent="0.3">
      <c r="A106" s="229">
        <f t="shared" ref="A106:B106" si="228">A105+1</f>
        <v>4201</v>
      </c>
      <c r="B106" s="230">
        <f t="shared" si="228"/>
        <v>96</v>
      </c>
      <c r="C106" s="218" t="str">
        <f t="shared" si="135"/>
        <v>81aX13_090_090#06</v>
      </c>
      <c r="D106" s="43">
        <f t="shared" ref="D106:F106" si="229">D105</f>
        <v>13</v>
      </c>
      <c r="E106" s="61">
        <f t="shared" si="229"/>
        <v>2.149</v>
      </c>
      <c r="F106" s="44">
        <f t="shared" si="229"/>
        <v>16.530769230769231</v>
      </c>
      <c r="G106" s="44">
        <f t="shared" si="82"/>
        <v>13.224615384615385</v>
      </c>
      <c r="H106" s="44">
        <f t="shared" si="83"/>
        <v>8.2653846153846153</v>
      </c>
      <c r="I106" s="44">
        <f t="shared" si="65"/>
        <v>8</v>
      </c>
      <c r="J106" s="45">
        <v>90</v>
      </c>
      <c r="K106" s="37" t="str">
        <f>D106&amp;-6</f>
        <v>13-6</v>
      </c>
      <c r="L106" s="44">
        <f t="shared" ref="L106:P106" si="230">L105</f>
        <v>0.2</v>
      </c>
      <c r="M106" s="49">
        <f>M105</f>
        <v>90</v>
      </c>
      <c r="N106" s="44">
        <f t="shared" si="227"/>
        <v>150</v>
      </c>
      <c r="O106" s="44">
        <f t="shared" si="230"/>
        <v>750</v>
      </c>
      <c r="P106" s="44" t="str">
        <f t="shared" si="230"/>
        <v>on</v>
      </c>
    </row>
    <row r="107" spans="1:16" ht="15.75" thickBot="1" x14ac:dyDescent="0.3">
      <c r="A107" s="229">
        <f t="shared" ref="A107:B107" si="231">A106+1</f>
        <v>4202</v>
      </c>
      <c r="B107" s="230">
        <f t="shared" si="231"/>
        <v>97</v>
      </c>
      <c r="C107" s="218" t="str">
        <f t="shared" si="135"/>
        <v>81aX13_120_000#01</v>
      </c>
      <c r="D107" s="43">
        <f t="shared" ref="D107:F107" si="232">D106</f>
        <v>13</v>
      </c>
      <c r="E107" s="61">
        <f t="shared" si="232"/>
        <v>2.149</v>
      </c>
      <c r="F107" s="44">
        <f t="shared" si="232"/>
        <v>16.530769230769231</v>
      </c>
      <c r="G107" s="44">
        <f t="shared" si="82"/>
        <v>13.224615384615385</v>
      </c>
      <c r="H107" s="44">
        <f t="shared" si="83"/>
        <v>8.2653846153846153</v>
      </c>
      <c r="I107" s="44">
        <f t="shared" si="65"/>
        <v>8</v>
      </c>
      <c r="J107" s="45">
        <v>120</v>
      </c>
      <c r="K107" s="37" t="str">
        <f>D107&amp;-1</f>
        <v>13-1</v>
      </c>
      <c r="L107" s="44">
        <f t="shared" ref="L107:P107" si="233">L106</f>
        <v>0.2</v>
      </c>
      <c r="M107" s="49">
        <v>0</v>
      </c>
      <c r="N107" s="44">
        <f t="shared" si="227"/>
        <v>150</v>
      </c>
      <c r="O107" s="44">
        <f t="shared" si="233"/>
        <v>750</v>
      </c>
      <c r="P107" s="44" t="str">
        <f t="shared" si="233"/>
        <v>on</v>
      </c>
    </row>
    <row r="108" spans="1:16" ht="15.75" thickBot="1" x14ac:dyDescent="0.3">
      <c r="A108" s="229">
        <f t="shared" ref="A108:B108" si="234">A107+1</f>
        <v>4203</v>
      </c>
      <c r="B108" s="230">
        <f t="shared" si="234"/>
        <v>98</v>
      </c>
      <c r="C108" s="218" t="str">
        <f t="shared" si="135"/>
        <v>81aX13_120_000#02</v>
      </c>
      <c r="D108" s="43">
        <f t="shared" ref="D108:F108" si="235">D107</f>
        <v>13</v>
      </c>
      <c r="E108" s="61">
        <f t="shared" si="235"/>
        <v>2.149</v>
      </c>
      <c r="F108" s="44">
        <f t="shared" si="235"/>
        <v>16.530769230769231</v>
      </c>
      <c r="G108" s="44">
        <f t="shared" si="82"/>
        <v>13.224615384615385</v>
      </c>
      <c r="H108" s="44">
        <f t="shared" si="83"/>
        <v>8.2653846153846153</v>
      </c>
      <c r="I108" s="44">
        <f t="shared" si="65"/>
        <v>8</v>
      </c>
      <c r="J108" s="45">
        <v>120</v>
      </c>
      <c r="K108" s="37" t="str">
        <f>D108&amp;-2</f>
        <v>13-2</v>
      </c>
      <c r="L108" s="44">
        <f t="shared" ref="L108:P108" si="236">L107</f>
        <v>0.2</v>
      </c>
      <c r="M108" s="49">
        <f>M107</f>
        <v>0</v>
      </c>
      <c r="N108" s="44">
        <f t="shared" si="227"/>
        <v>150</v>
      </c>
      <c r="O108" s="44">
        <f t="shared" si="236"/>
        <v>750</v>
      </c>
      <c r="P108" s="44" t="str">
        <f t="shared" si="236"/>
        <v>on</v>
      </c>
    </row>
    <row r="109" spans="1:16" ht="15.75" thickBot="1" x14ac:dyDescent="0.3">
      <c r="A109" s="229">
        <f t="shared" ref="A109:B109" si="237">A108+1</f>
        <v>4204</v>
      </c>
      <c r="B109" s="230">
        <f t="shared" si="237"/>
        <v>99</v>
      </c>
      <c r="C109" s="218" t="str">
        <f t="shared" si="135"/>
        <v>81aX13_120_000#03</v>
      </c>
      <c r="D109" s="43">
        <f t="shared" ref="D109:F109" si="238">D108</f>
        <v>13</v>
      </c>
      <c r="E109" s="61">
        <f t="shared" si="238"/>
        <v>2.149</v>
      </c>
      <c r="F109" s="44">
        <f t="shared" si="238"/>
        <v>16.530769230769231</v>
      </c>
      <c r="G109" s="44">
        <f t="shared" si="82"/>
        <v>13.224615384615385</v>
      </c>
      <c r="H109" s="44">
        <f t="shared" si="83"/>
        <v>8.2653846153846153</v>
      </c>
      <c r="I109" s="44">
        <f t="shared" ref="I109:I172" si="239">I108</f>
        <v>8</v>
      </c>
      <c r="J109" s="45">
        <v>120</v>
      </c>
      <c r="K109" s="37" t="str">
        <f>D109&amp;-3</f>
        <v>13-3</v>
      </c>
      <c r="L109" s="44">
        <f t="shared" ref="L109:P109" si="240">L108</f>
        <v>0.2</v>
      </c>
      <c r="M109" s="49">
        <f>M108</f>
        <v>0</v>
      </c>
      <c r="N109" s="44">
        <f t="shared" si="227"/>
        <v>150</v>
      </c>
      <c r="O109" s="44">
        <f t="shared" si="240"/>
        <v>750</v>
      </c>
      <c r="P109" s="44" t="str">
        <f t="shared" si="240"/>
        <v>on</v>
      </c>
    </row>
    <row r="110" spans="1:16" ht="15.75" thickBot="1" x14ac:dyDescent="0.3">
      <c r="A110" s="229">
        <f t="shared" ref="A110:B110" si="241">A109+1</f>
        <v>4205</v>
      </c>
      <c r="B110" s="230">
        <f t="shared" si="241"/>
        <v>100</v>
      </c>
      <c r="C110" s="218" t="str">
        <f t="shared" si="135"/>
        <v>81aX13_120_000#04</v>
      </c>
      <c r="D110" s="43">
        <f t="shared" ref="D110:F110" si="242">D109</f>
        <v>13</v>
      </c>
      <c r="E110" s="61">
        <f t="shared" si="242"/>
        <v>2.149</v>
      </c>
      <c r="F110" s="44">
        <f t="shared" si="242"/>
        <v>16.530769230769231</v>
      </c>
      <c r="G110" s="44">
        <f t="shared" si="82"/>
        <v>13.224615384615385</v>
      </c>
      <c r="H110" s="44">
        <f t="shared" si="83"/>
        <v>8.2653846153846153</v>
      </c>
      <c r="I110" s="44">
        <f t="shared" si="239"/>
        <v>8</v>
      </c>
      <c r="J110" s="45">
        <v>120</v>
      </c>
      <c r="K110" s="37" t="str">
        <f>D110&amp;-4</f>
        <v>13-4</v>
      </c>
      <c r="L110" s="44">
        <f t="shared" ref="L110:P110" si="243">L109</f>
        <v>0.2</v>
      </c>
      <c r="M110" s="49">
        <f>M109</f>
        <v>0</v>
      </c>
      <c r="N110" s="44">
        <f t="shared" si="227"/>
        <v>150</v>
      </c>
      <c r="O110" s="44">
        <f t="shared" si="243"/>
        <v>750</v>
      </c>
      <c r="P110" s="44" t="str">
        <f t="shared" si="243"/>
        <v>on</v>
      </c>
    </row>
    <row r="111" spans="1:16" ht="15.75" thickBot="1" x14ac:dyDescent="0.3">
      <c r="A111" s="229">
        <f t="shared" ref="A111:B111" si="244">A110+1</f>
        <v>4206</v>
      </c>
      <c r="B111" s="230">
        <f t="shared" si="244"/>
        <v>101</v>
      </c>
      <c r="C111" s="218" t="str">
        <f t="shared" si="135"/>
        <v>81aX13_120_000#05</v>
      </c>
      <c r="D111" s="43">
        <f t="shared" ref="D111:F111" si="245">D110</f>
        <v>13</v>
      </c>
      <c r="E111" s="61">
        <f t="shared" si="245"/>
        <v>2.149</v>
      </c>
      <c r="F111" s="44">
        <f t="shared" si="245"/>
        <v>16.530769230769231</v>
      </c>
      <c r="G111" s="44">
        <f t="shared" si="82"/>
        <v>13.224615384615385</v>
      </c>
      <c r="H111" s="44">
        <f t="shared" si="83"/>
        <v>8.2653846153846153</v>
      </c>
      <c r="I111" s="44">
        <f t="shared" si="239"/>
        <v>8</v>
      </c>
      <c r="J111" s="45">
        <v>120</v>
      </c>
      <c r="K111" s="37" t="str">
        <f>D111&amp;-5</f>
        <v>13-5</v>
      </c>
      <c r="L111" s="44">
        <f t="shared" ref="L111:P111" si="246">L110</f>
        <v>0.2</v>
      </c>
      <c r="M111" s="49">
        <f>M110</f>
        <v>0</v>
      </c>
      <c r="N111" s="44">
        <f t="shared" si="227"/>
        <v>150</v>
      </c>
      <c r="O111" s="44">
        <f t="shared" si="246"/>
        <v>750</v>
      </c>
      <c r="P111" s="44" t="str">
        <f t="shared" si="246"/>
        <v>on</v>
      </c>
    </row>
    <row r="112" spans="1:16" ht="15.75" thickBot="1" x14ac:dyDescent="0.3">
      <c r="A112" s="229">
        <f t="shared" ref="A112:B112" si="247">A111+1</f>
        <v>4207</v>
      </c>
      <c r="B112" s="230">
        <f t="shared" si="247"/>
        <v>102</v>
      </c>
      <c r="C112" s="218" t="str">
        <f t="shared" si="135"/>
        <v>81aX13_120_000#06</v>
      </c>
      <c r="D112" s="43">
        <f t="shared" ref="D112:F112" si="248">D111</f>
        <v>13</v>
      </c>
      <c r="E112" s="61">
        <f t="shared" si="248"/>
        <v>2.149</v>
      </c>
      <c r="F112" s="44">
        <f t="shared" si="248"/>
        <v>16.530769230769231</v>
      </c>
      <c r="G112" s="44">
        <f t="shared" si="82"/>
        <v>13.224615384615385</v>
      </c>
      <c r="H112" s="44">
        <f t="shared" si="83"/>
        <v>8.2653846153846153</v>
      </c>
      <c r="I112" s="44">
        <f t="shared" si="239"/>
        <v>8</v>
      </c>
      <c r="J112" s="45">
        <v>120</v>
      </c>
      <c r="K112" s="37" t="str">
        <f>D112&amp;-6</f>
        <v>13-6</v>
      </c>
      <c r="L112" s="44">
        <f t="shared" ref="L112:P112" si="249">L111</f>
        <v>0.2</v>
      </c>
      <c r="M112" s="49">
        <f>M111</f>
        <v>0</v>
      </c>
      <c r="N112" s="44">
        <f t="shared" si="227"/>
        <v>150</v>
      </c>
      <c r="O112" s="44">
        <f t="shared" si="249"/>
        <v>750</v>
      </c>
      <c r="P112" s="44" t="str">
        <f t="shared" si="249"/>
        <v>on</v>
      </c>
    </row>
    <row r="113" spans="1:16" ht="15.75" thickBot="1" x14ac:dyDescent="0.3">
      <c r="A113" s="229">
        <f t="shared" ref="A113:B113" si="250">A112+1</f>
        <v>4208</v>
      </c>
      <c r="B113" s="230">
        <f t="shared" si="250"/>
        <v>103</v>
      </c>
      <c r="C113" s="218" t="str">
        <f t="shared" si="135"/>
        <v>81aX13_120_030#01</v>
      </c>
      <c r="D113" s="43">
        <f t="shared" ref="D113:F113" si="251">D112</f>
        <v>13</v>
      </c>
      <c r="E113" s="61">
        <f t="shared" si="251"/>
        <v>2.149</v>
      </c>
      <c r="F113" s="44">
        <f t="shared" si="251"/>
        <v>16.530769230769231</v>
      </c>
      <c r="G113" s="44">
        <f t="shared" si="82"/>
        <v>13.224615384615385</v>
      </c>
      <c r="H113" s="44">
        <f t="shared" si="83"/>
        <v>8.2653846153846153</v>
      </c>
      <c r="I113" s="44">
        <f t="shared" si="239"/>
        <v>8</v>
      </c>
      <c r="J113" s="45">
        <v>120</v>
      </c>
      <c r="K113" s="37" t="str">
        <f>D113&amp;-1</f>
        <v>13-1</v>
      </c>
      <c r="L113" s="44">
        <f t="shared" ref="L113:P113" si="252">L112</f>
        <v>0.2</v>
      </c>
      <c r="M113" s="49">
        <v>30</v>
      </c>
      <c r="N113" s="44">
        <f t="shared" si="227"/>
        <v>150</v>
      </c>
      <c r="O113" s="44">
        <f t="shared" si="252"/>
        <v>750</v>
      </c>
      <c r="P113" s="44" t="str">
        <f t="shared" si="252"/>
        <v>on</v>
      </c>
    </row>
    <row r="114" spans="1:16" ht="15.75" thickBot="1" x14ac:dyDescent="0.3">
      <c r="A114" s="229">
        <f t="shared" ref="A114:B114" si="253">A113+1</f>
        <v>4209</v>
      </c>
      <c r="B114" s="230">
        <f t="shared" si="253"/>
        <v>104</v>
      </c>
      <c r="C114" s="218" t="str">
        <f t="shared" si="135"/>
        <v>81aX13_120_030#02</v>
      </c>
      <c r="D114" s="43">
        <f t="shared" ref="D114:F114" si="254">D113</f>
        <v>13</v>
      </c>
      <c r="E114" s="61">
        <f t="shared" si="254"/>
        <v>2.149</v>
      </c>
      <c r="F114" s="44">
        <f t="shared" si="254"/>
        <v>16.530769230769231</v>
      </c>
      <c r="G114" s="44">
        <f t="shared" si="82"/>
        <v>13.224615384615385</v>
      </c>
      <c r="H114" s="44">
        <f t="shared" si="83"/>
        <v>8.2653846153846153</v>
      </c>
      <c r="I114" s="44">
        <f t="shared" si="239"/>
        <v>8</v>
      </c>
      <c r="J114" s="45">
        <v>120</v>
      </c>
      <c r="K114" s="37" t="str">
        <f>D114&amp;-2</f>
        <v>13-2</v>
      </c>
      <c r="L114" s="44">
        <f t="shared" ref="L114:P114" si="255">L113</f>
        <v>0.2</v>
      </c>
      <c r="M114" s="49">
        <f>M113</f>
        <v>30</v>
      </c>
      <c r="N114" s="44">
        <f t="shared" si="227"/>
        <v>150</v>
      </c>
      <c r="O114" s="44">
        <f t="shared" si="255"/>
        <v>750</v>
      </c>
      <c r="P114" s="44" t="str">
        <f t="shared" si="255"/>
        <v>on</v>
      </c>
    </row>
    <row r="115" spans="1:16" ht="15.75" thickBot="1" x14ac:dyDescent="0.3">
      <c r="A115" s="229">
        <f t="shared" ref="A115:B115" si="256">A114+1</f>
        <v>4210</v>
      </c>
      <c r="B115" s="230">
        <f t="shared" si="256"/>
        <v>105</v>
      </c>
      <c r="C115" s="218" t="str">
        <f t="shared" si="135"/>
        <v>81aX13_120_030#03</v>
      </c>
      <c r="D115" s="43">
        <f t="shared" ref="D115:F115" si="257">D114</f>
        <v>13</v>
      </c>
      <c r="E115" s="61">
        <f t="shared" si="257"/>
        <v>2.149</v>
      </c>
      <c r="F115" s="44">
        <f t="shared" si="257"/>
        <v>16.530769230769231</v>
      </c>
      <c r="G115" s="44">
        <f t="shared" si="82"/>
        <v>13.224615384615385</v>
      </c>
      <c r="H115" s="44">
        <f t="shared" si="83"/>
        <v>8.2653846153846153</v>
      </c>
      <c r="I115" s="44">
        <f t="shared" si="239"/>
        <v>8</v>
      </c>
      <c r="J115" s="45">
        <v>120</v>
      </c>
      <c r="K115" s="37" t="str">
        <f>D115&amp;-3</f>
        <v>13-3</v>
      </c>
      <c r="L115" s="44">
        <f t="shared" ref="L115:P115" si="258">L114</f>
        <v>0.2</v>
      </c>
      <c r="M115" s="49">
        <f>M114</f>
        <v>30</v>
      </c>
      <c r="N115" s="44">
        <f t="shared" si="227"/>
        <v>150</v>
      </c>
      <c r="O115" s="44">
        <f t="shared" si="258"/>
        <v>750</v>
      </c>
      <c r="P115" s="44" t="str">
        <f t="shared" si="258"/>
        <v>on</v>
      </c>
    </row>
    <row r="116" spans="1:16" ht="15.75" thickBot="1" x14ac:dyDescent="0.3">
      <c r="A116" s="229">
        <f t="shared" ref="A116:B116" si="259">A115+1</f>
        <v>4211</v>
      </c>
      <c r="B116" s="230">
        <f t="shared" si="259"/>
        <v>106</v>
      </c>
      <c r="C116" s="218" t="str">
        <f t="shared" si="135"/>
        <v>81aX13_120_030#04</v>
      </c>
      <c r="D116" s="43">
        <f t="shared" ref="D116:F116" si="260">D115</f>
        <v>13</v>
      </c>
      <c r="E116" s="61">
        <f t="shared" si="260"/>
        <v>2.149</v>
      </c>
      <c r="F116" s="44">
        <f t="shared" si="260"/>
        <v>16.530769230769231</v>
      </c>
      <c r="G116" s="44">
        <f t="shared" si="82"/>
        <v>13.224615384615385</v>
      </c>
      <c r="H116" s="44">
        <f t="shared" si="83"/>
        <v>8.2653846153846153</v>
      </c>
      <c r="I116" s="44">
        <f t="shared" si="239"/>
        <v>8</v>
      </c>
      <c r="J116" s="45">
        <v>120</v>
      </c>
      <c r="K116" s="37" t="str">
        <f>D116&amp;-4</f>
        <v>13-4</v>
      </c>
      <c r="L116" s="44">
        <f t="shared" ref="L116:P116" si="261">L115</f>
        <v>0.2</v>
      </c>
      <c r="M116" s="49">
        <f>M115</f>
        <v>30</v>
      </c>
      <c r="N116" s="44">
        <f t="shared" si="227"/>
        <v>150</v>
      </c>
      <c r="O116" s="44">
        <f t="shared" si="261"/>
        <v>750</v>
      </c>
      <c r="P116" s="44" t="str">
        <f t="shared" si="261"/>
        <v>on</v>
      </c>
    </row>
    <row r="117" spans="1:16" ht="15.75" thickBot="1" x14ac:dyDescent="0.3">
      <c r="A117" s="229">
        <f t="shared" ref="A117:B117" si="262">A116+1</f>
        <v>4212</v>
      </c>
      <c r="B117" s="230">
        <f t="shared" si="262"/>
        <v>107</v>
      </c>
      <c r="C117" s="218" t="str">
        <f t="shared" si="135"/>
        <v>81aX13_120_030#05</v>
      </c>
      <c r="D117" s="43">
        <f t="shared" ref="D117:F117" si="263">D116</f>
        <v>13</v>
      </c>
      <c r="E117" s="61">
        <f t="shared" si="263"/>
        <v>2.149</v>
      </c>
      <c r="F117" s="44">
        <f t="shared" si="263"/>
        <v>16.530769230769231</v>
      </c>
      <c r="G117" s="44">
        <f t="shared" si="82"/>
        <v>13.224615384615385</v>
      </c>
      <c r="H117" s="44">
        <f t="shared" si="83"/>
        <v>8.2653846153846153</v>
      </c>
      <c r="I117" s="44">
        <f t="shared" si="239"/>
        <v>8</v>
      </c>
      <c r="J117" s="45">
        <v>120</v>
      </c>
      <c r="K117" s="37" t="str">
        <f>D117&amp;-5</f>
        <v>13-5</v>
      </c>
      <c r="L117" s="44">
        <f t="shared" ref="L117:P117" si="264">L116</f>
        <v>0.2</v>
      </c>
      <c r="M117" s="49">
        <f>M116</f>
        <v>30</v>
      </c>
      <c r="N117" s="44">
        <f t="shared" ref="N117:N180" si="265">N116</f>
        <v>150</v>
      </c>
      <c r="O117" s="44">
        <f t="shared" si="264"/>
        <v>750</v>
      </c>
      <c r="P117" s="44" t="str">
        <f t="shared" si="264"/>
        <v>on</v>
      </c>
    </row>
    <row r="118" spans="1:16" ht="15.75" thickBot="1" x14ac:dyDescent="0.3">
      <c r="A118" s="229">
        <f t="shared" ref="A118:B118" si="266">A117+1</f>
        <v>4213</v>
      </c>
      <c r="B118" s="230">
        <f t="shared" si="266"/>
        <v>108</v>
      </c>
      <c r="C118" s="218" t="str">
        <f t="shared" si="135"/>
        <v>81aX13_120_030#06</v>
      </c>
      <c r="D118" s="43">
        <f t="shared" ref="D118:F118" si="267">D117</f>
        <v>13</v>
      </c>
      <c r="E118" s="61">
        <f t="shared" si="267"/>
        <v>2.149</v>
      </c>
      <c r="F118" s="44">
        <f t="shared" si="267"/>
        <v>16.530769230769231</v>
      </c>
      <c r="G118" s="44">
        <f t="shared" si="82"/>
        <v>13.224615384615385</v>
      </c>
      <c r="H118" s="44">
        <f t="shared" si="83"/>
        <v>8.2653846153846153</v>
      </c>
      <c r="I118" s="44">
        <f t="shared" si="239"/>
        <v>8</v>
      </c>
      <c r="J118" s="45">
        <v>120</v>
      </c>
      <c r="K118" s="37" t="str">
        <f>D118&amp;-6</f>
        <v>13-6</v>
      </c>
      <c r="L118" s="44">
        <f t="shared" ref="L118:P118" si="268">L117</f>
        <v>0.2</v>
      </c>
      <c r="M118" s="49">
        <f>M117</f>
        <v>30</v>
      </c>
      <c r="N118" s="44">
        <f t="shared" si="265"/>
        <v>150</v>
      </c>
      <c r="O118" s="44">
        <f t="shared" si="268"/>
        <v>750</v>
      </c>
      <c r="P118" s="44" t="str">
        <f t="shared" si="268"/>
        <v>on</v>
      </c>
    </row>
    <row r="119" spans="1:16" ht="15.75" thickBot="1" x14ac:dyDescent="0.3">
      <c r="A119" s="229">
        <f t="shared" ref="A119:B119" si="269">A118+1</f>
        <v>4214</v>
      </c>
      <c r="B119" s="230">
        <f t="shared" si="269"/>
        <v>109</v>
      </c>
      <c r="C119" s="218" t="str">
        <f t="shared" si="135"/>
        <v>81aX13_120_060#01</v>
      </c>
      <c r="D119" s="43">
        <f t="shared" ref="D119:F119" si="270">D118</f>
        <v>13</v>
      </c>
      <c r="E119" s="61">
        <f t="shared" si="270"/>
        <v>2.149</v>
      </c>
      <c r="F119" s="44">
        <f t="shared" si="270"/>
        <v>16.530769230769231</v>
      </c>
      <c r="G119" s="44">
        <f t="shared" si="82"/>
        <v>13.224615384615385</v>
      </c>
      <c r="H119" s="44">
        <f t="shared" si="83"/>
        <v>8.2653846153846153</v>
      </c>
      <c r="I119" s="44">
        <f t="shared" si="239"/>
        <v>8</v>
      </c>
      <c r="J119" s="45">
        <v>120</v>
      </c>
      <c r="K119" s="37" t="str">
        <f>D119&amp;-1</f>
        <v>13-1</v>
      </c>
      <c r="L119" s="44">
        <f t="shared" ref="L119:P119" si="271">L118</f>
        <v>0.2</v>
      </c>
      <c r="M119" s="49">
        <v>60</v>
      </c>
      <c r="N119" s="44">
        <f t="shared" si="265"/>
        <v>150</v>
      </c>
      <c r="O119" s="44">
        <f t="shared" si="271"/>
        <v>750</v>
      </c>
      <c r="P119" s="44" t="str">
        <f t="shared" si="271"/>
        <v>on</v>
      </c>
    </row>
    <row r="120" spans="1:16" ht="15.75" thickBot="1" x14ac:dyDescent="0.3">
      <c r="A120" s="229">
        <f t="shared" ref="A120:B120" si="272">A119+1</f>
        <v>4215</v>
      </c>
      <c r="B120" s="230">
        <f t="shared" si="272"/>
        <v>110</v>
      </c>
      <c r="C120" s="218" t="str">
        <f t="shared" si="135"/>
        <v>81aX13_120_060#02</v>
      </c>
      <c r="D120" s="43">
        <f t="shared" ref="D120:F120" si="273">D119</f>
        <v>13</v>
      </c>
      <c r="E120" s="61">
        <f t="shared" si="273"/>
        <v>2.149</v>
      </c>
      <c r="F120" s="44">
        <f t="shared" si="273"/>
        <v>16.530769230769231</v>
      </c>
      <c r="G120" s="44">
        <f t="shared" si="82"/>
        <v>13.224615384615385</v>
      </c>
      <c r="H120" s="44">
        <f t="shared" si="83"/>
        <v>8.2653846153846153</v>
      </c>
      <c r="I120" s="44">
        <f t="shared" si="239"/>
        <v>8</v>
      </c>
      <c r="J120" s="45">
        <v>120</v>
      </c>
      <c r="K120" s="37" t="str">
        <f>D120&amp;-2</f>
        <v>13-2</v>
      </c>
      <c r="L120" s="44">
        <f t="shared" ref="L120:P120" si="274">L119</f>
        <v>0.2</v>
      </c>
      <c r="M120" s="49">
        <f>M119</f>
        <v>60</v>
      </c>
      <c r="N120" s="44">
        <f t="shared" si="265"/>
        <v>150</v>
      </c>
      <c r="O120" s="44">
        <f t="shared" si="274"/>
        <v>750</v>
      </c>
      <c r="P120" s="44" t="str">
        <f t="shared" si="274"/>
        <v>on</v>
      </c>
    </row>
    <row r="121" spans="1:16" ht="15.75" thickBot="1" x14ac:dyDescent="0.3">
      <c r="A121" s="229">
        <f t="shared" ref="A121:B121" si="275">A120+1</f>
        <v>4216</v>
      </c>
      <c r="B121" s="230">
        <f t="shared" si="275"/>
        <v>111</v>
      </c>
      <c r="C121" s="218" t="str">
        <f t="shared" si="135"/>
        <v>81aX13_120_060#03</v>
      </c>
      <c r="D121" s="43">
        <f t="shared" ref="D121:F121" si="276">D120</f>
        <v>13</v>
      </c>
      <c r="E121" s="61">
        <f t="shared" si="276"/>
        <v>2.149</v>
      </c>
      <c r="F121" s="44">
        <f t="shared" si="276"/>
        <v>16.530769230769231</v>
      </c>
      <c r="G121" s="44">
        <f t="shared" si="82"/>
        <v>13.224615384615385</v>
      </c>
      <c r="H121" s="44">
        <f t="shared" si="83"/>
        <v>8.2653846153846153</v>
      </c>
      <c r="I121" s="44">
        <f t="shared" si="239"/>
        <v>8</v>
      </c>
      <c r="J121" s="45">
        <v>120</v>
      </c>
      <c r="K121" s="37" t="str">
        <f>D121&amp;-3</f>
        <v>13-3</v>
      </c>
      <c r="L121" s="44">
        <f t="shared" ref="L121:P121" si="277">L120</f>
        <v>0.2</v>
      </c>
      <c r="M121" s="49">
        <f>M120</f>
        <v>60</v>
      </c>
      <c r="N121" s="44">
        <f t="shared" si="265"/>
        <v>150</v>
      </c>
      <c r="O121" s="44">
        <f t="shared" si="277"/>
        <v>750</v>
      </c>
      <c r="P121" s="44" t="str">
        <f t="shared" si="277"/>
        <v>on</v>
      </c>
    </row>
    <row r="122" spans="1:16" ht="15.75" thickBot="1" x14ac:dyDescent="0.3">
      <c r="A122" s="229">
        <f t="shared" ref="A122:B122" si="278">A121+1</f>
        <v>4217</v>
      </c>
      <c r="B122" s="230">
        <f t="shared" si="278"/>
        <v>112</v>
      </c>
      <c r="C122" s="218" t="str">
        <f t="shared" si="135"/>
        <v>81aX13_120_060#04</v>
      </c>
      <c r="D122" s="43">
        <f t="shared" ref="D122:F122" si="279">D121</f>
        <v>13</v>
      </c>
      <c r="E122" s="61">
        <f t="shared" si="279"/>
        <v>2.149</v>
      </c>
      <c r="F122" s="44">
        <f t="shared" si="279"/>
        <v>16.530769230769231</v>
      </c>
      <c r="G122" s="44">
        <f t="shared" si="82"/>
        <v>13.224615384615385</v>
      </c>
      <c r="H122" s="44">
        <f t="shared" si="83"/>
        <v>8.2653846153846153</v>
      </c>
      <c r="I122" s="44">
        <f t="shared" si="239"/>
        <v>8</v>
      </c>
      <c r="J122" s="45">
        <v>120</v>
      </c>
      <c r="K122" s="37" t="str">
        <f>D122&amp;-4</f>
        <v>13-4</v>
      </c>
      <c r="L122" s="44">
        <f t="shared" ref="L122:P122" si="280">L121</f>
        <v>0.2</v>
      </c>
      <c r="M122" s="49">
        <f>M121</f>
        <v>60</v>
      </c>
      <c r="N122" s="44">
        <f t="shared" si="265"/>
        <v>150</v>
      </c>
      <c r="O122" s="44">
        <f t="shared" si="280"/>
        <v>750</v>
      </c>
      <c r="P122" s="44" t="str">
        <f t="shared" si="280"/>
        <v>on</v>
      </c>
    </row>
    <row r="123" spans="1:16" ht="15.75" thickBot="1" x14ac:dyDescent="0.3">
      <c r="A123" s="229">
        <f t="shared" ref="A123:B123" si="281">A122+1</f>
        <v>4218</v>
      </c>
      <c r="B123" s="230">
        <f t="shared" si="281"/>
        <v>113</v>
      </c>
      <c r="C123" s="218" t="str">
        <f t="shared" si="135"/>
        <v>81aX13_120_060#05</v>
      </c>
      <c r="D123" s="43">
        <f t="shared" ref="D123:F123" si="282">D122</f>
        <v>13</v>
      </c>
      <c r="E123" s="61">
        <f t="shared" si="282"/>
        <v>2.149</v>
      </c>
      <c r="F123" s="44">
        <f t="shared" si="282"/>
        <v>16.530769230769231</v>
      </c>
      <c r="G123" s="44">
        <f t="shared" ref="G123:G186" si="283">m_ty*F123</f>
        <v>13.224615384615385</v>
      </c>
      <c r="H123" s="44">
        <f t="shared" ref="H123:H186" si="284">m_tz*F123</f>
        <v>8.2653846153846153</v>
      </c>
      <c r="I123" s="44">
        <f t="shared" si="239"/>
        <v>8</v>
      </c>
      <c r="J123" s="45">
        <v>120</v>
      </c>
      <c r="K123" s="37" t="str">
        <f>D123&amp;-5</f>
        <v>13-5</v>
      </c>
      <c r="L123" s="44">
        <f t="shared" ref="L123:P123" si="285">L122</f>
        <v>0.2</v>
      </c>
      <c r="M123" s="49">
        <f>M122</f>
        <v>60</v>
      </c>
      <c r="N123" s="44">
        <f t="shared" si="265"/>
        <v>150</v>
      </c>
      <c r="O123" s="44">
        <f t="shared" si="285"/>
        <v>750</v>
      </c>
      <c r="P123" s="44" t="str">
        <f t="shared" si="285"/>
        <v>on</v>
      </c>
    </row>
    <row r="124" spans="1:16" ht="15.75" thickBot="1" x14ac:dyDescent="0.3">
      <c r="A124" s="229">
        <f t="shared" ref="A124:B124" si="286">A123+1</f>
        <v>4219</v>
      </c>
      <c r="B124" s="230">
        <f t="shared" si="286"/>
        <v>114</v>
      </c>
      <c r="C124" s="218" t="str">
        <f t="shared" si="135"/>
        <v>81aX13_120_060#06</v>
      </c>
      <c r="D124" s="43">
        <f t="shared" ref="D124:F124" si="287">D123</f>
        <v>13</v>
      </c>
      <c r="E124" s="61">
        <f t="shared" si="287"/>
        <v>2.149</v>
      </c>
      <c r="F124" s="44">
        <f t="shared" si="287"/>
        <v>16.530769230769231</v>
      </c>
      <c r="G124" s="44">
        <f t="shared" si="283"/>
        <v>13.224615384615385</v>
      </c>
      <c r="H124" s="44">
        <f t="shared" si="284"/>
        <v>8.2653846153846153</v>
      </c>
      <c r="I124" s="44">
        <f t="shared" si="239"/>
        <v>8</v>
      </c>
      <c r="J124" s="45">
        <v>120</v>
      </c>
      <c r="K124" s="37" t="str">
        <f>D124&amp;-6</f>
        <v>13-6</v>
      </c>
      <c r="L124" s="44">
        <f t="shared" ref="L124:P124" si="288">L123</f>
        <v>0.2</v>
      </c>
      <c r="M124" s="49">
        <f>M123</f>
        <v>60</v>
      </c>
      <c r="N124" s="44">
        <f t="shared" si="227"/>
        <v>150</v>
      </c>
      <c r="O124" s="44">
        <f t="shared" si="288"/>
        <v>750</v>
      </c>
      <c r="P124" s="44" t="str">
        <f t="shared" si="288"/>
        <v>on</v>
      </c>
    </row>
    <row r="125" spans="1:16" ht="15.75" thickBot="1" x14ac:dyDescent="0.3">
      <c r="A125" s="229">
        <f t="shared" ref="A125:B125" si="289">A124+1</f>
        <v>4220</v>
      </c>
      <c r="B125" s="230">
        <f t="shared" si="289"/>
        <v>115</v>
      </c>
      <c r="C125" s="218" t="str">
        <f t="shared" si="135"/>
        <v>81aX13_120_090#01</v>
      </c>
      <c r="D125" s="43">
        <f t="shared" ref="D125:F125" si="290">D124</f>
        <v>13</v>
      </c>
      <c r="E125" s="61">
        <f t="shared" si="290"/>
        <v>2.149</v>
      </c>
      <c r="F125" s="44">
        <f t="shared" si="290"/>
        <v>16.530769230769231</v>
      </c>
      <c r="G125" s="44">
        <f t="shared" si="283"/>
        <v>13.224615384615385</v>
      </c>
      <c r="H125" s="44">
        <f t="shared" si="284"/>
        <v>8.2653846153846153</v>
      </c>
      <c r="I125" s="44">
        <f t="shared" si="239"/>
        <v>8</v>
      </c>
      <c r="J125" s="45">
        <v>120</v>
      </c>
      <c r="K125" s="37" t="str">
        <f>D125&amp;-1</f>
        <v>13-1</v>
      </c>
      <c r="L125" s="44">
        <f t="shared" ref="L125:P125" si="291">L124</f>
        <v>0.2</v>
      </c>
      <c r="M125" s="49">
        <v>90</v>
      </c>
      <c r="N125" s="44">
        <f t="shared" si="227"/>
        <v>150</v>
      </c>
      <c r="O125" s="44">
        <f t="shared" si="291"/>
        <v>750</v>
      </c>
      <c r="P125" s="44" t="str">
        <f t="shared" si="291"/>
        <v>on</v>
      </c>
    </row>
    <row r="126" spans="1:16" ht="15.75" thickBot="1" x14ac:dyDescent="0.3">
      <c r="A126" s="229">
        <f t="shared" ref="A126:B126" si="292">A125+1</f>
        <v>4221</v>
      </c>
      <c r="B126" s="230">
        <f t="shared" si="292"/>
        <v>116</v>
      </c>
      <c r="C126" s="218" t="str">
        <f t="shared" si="135"/>
        <v>81aX13_120_090#02</v>
      </c>
      <c r="D126" s="43">
        <f t="shared" ref="D126:F126" si="293">D125</f>
        <v>13</v>
      </c>
      <c r="E126" s="61">
        <f t="shared" si="293"/>
        <v>2.149</v>
      </c>
      <c r="F126" s="44">
        <f t="shared" si="293"/>
        <v>16.530769230769231</v>
      </c>
      <c r="G126" s="44">
        <f t="shared" si="283"/>
        <v>13.224615384615385</v>
      </c>
      <c r="H126" s="44">
        <f t="shared" si="284"/>
        <v>8.2653846153846153</v>
      </c>
      <c r="I126" s="44">
        <f t="shared" si="239"/>
        <v>8</v>
      </c>
      <c r="J126" s="45">
        <v>120</v>
      </c>
      <c r="K126" s="37" t="str">
        <f>D126&amp;-2</f>
        <v>13-2</v>
      </c>
      <c r="L126" s="44">
        <f t="shared" ref="L126:P126" si="294">L125</f>
        <v>0.2</v>
      </c>
      <c r="M126" s="49">
        <f>M125</f>
        <v>90</v>
      </c>
      <c r="N126" s="44">
        <f t="shared" si="227"/>
        <v>150</v>
      </c>
      <c r="O126" s="44">
        <f t="shared" si="294"/>
        <v>750</v>
      </c>
      <c r="P126" s="44" t="str">
        <f t="shared" si="294"/>
        <v>on</v>
      </c>
    </row>
    <row r="127" spans="1:16" ht="15.75" thickBot="1" x14ac:dyDescent="0.3">
      <c r="A127" s="229">
        <f t="shared" ref="A127:B127" si="295">A126+1</f>
        <v>4222</v>
      </c>
      <c r="B127" s="230">
        <f t="shared" si="295"/>
        <v>117</v>
      </c>
      <c r="C127" s="218" t="str">
        <f t="shared" si="135"/>
        <v>81aX13_120_090#03</v>
      </c>
      <c r="D127" s="43">
        <f t="shared" ref="D127:F127" si="296">D126</f>
        <v>13</v>
      </c>
      <c r="E127" s="61">
        <f t="shared" si="296"/>
        <v>2.149</v>
      </c>
      <c r="F127" s="44">
        <f t="shared" si="296"/>
        <v>16.530769230769231</v>
      </c>
      <c r="G127" s="44">
        <f t="shared" si="283"/>
        <v>13.224615384615385</v>
      </c>
      <c r="H127" s="44">
        <f t="shared" si="284"/>
        <v>8.2653846153846153</v>
      </c>
      <c r="I127" s="44">
        <f t="shared" si="239"/>
        <v>8</v>
      </c>
      <c r="J127" s="45">
        <v>120</v>
      </c>
      <c r="K127" s="37" t="str">
        <f>D127&amp;-3</f>
        <v>13-3</v>
      </c>
      <c r="L127" s="44">
        <f t="shared" ref="L127:P127" si="297">L126</f>
        <v>0.2</v>
      </c>
      <c r="M127" s="49">
        <f>M126</f>
        <v>90</v>
      </c>
      <c r="N127" s="44">
        <f t="shared" si="227"/>
        <v>150</v>
      </c>
      <c r="O127" s="44">
        <f t="shared" si="297"/>
        <v>750</v>
      </c>
      <c r="P127" s="44" t="str">
        <f t="shared" si="297"/>
        <v>on</v>
      </c>
    </row>
    <row r="128" spans="1:16" ht="15.75" thickBot="1" x14ac:dyDescent="0.3">
      <c r="A128" s="229">
        <f t="shared" ref="A128:B128" si="298">A127+1</f>
        <v>4223</v>
      </c>
      <c r="B128" s="230">
        <f t="shared" si="298"/>
        <v>118</v>
      </c>
      <c r="C128" s="218" t="str">
        <f t="shared" si="135"/>
        <v>81aX13_120_090#04</v>
      </c>
      <c r="D128" s="43">
        <f t="shared" ref="D128:F128" si="299">D127</f>
        <v>13</v>
      </c>
      <c r="E128" s="61">
        <f t="shared" si="299"/>
        <v>2.149</v>
      </c>
      <c r="F128" s="44">
        <f t="shared" si="299"/>
        <v>16.530769230769231</v>
      </c>
      <c r="G128" s="44">
        <f t="shared" si="283"/>
        <v>13.224615384615385</v>
      </c>
      <c r="H128" s="44">
        <f t="shared" si="284"/>
        <v>8.2653846153846153</v>
      </c>
      <c r="I128" s="44">
        <f t="shared" si="239"/>
        <v>8</v>
      </c>
      <c r="J128" s="45">
        <v>120</v>
      </c>
      <c r="K128" s="37" t="str">
        <f>D128&amp;-4</f>
        <v>13-4</v>
      </c>
      <c r="L128" s="44">
        <f t="shared" ref="L128:P128" si="300">L127</f>
        <v>0.2</v>
      </c>
      <c r="M128" s="49">
        <f>M127</f>
        <v>90</v>
      </c>
      <c r="N128" s="44">
        <f t="shared" si="227"/>
        <v>150</v>
      </c>
      <c r="O128" s="44">
        <f t="shared" si="300"/>
        <v>750</v>
      </c>
      <c r="P128" s="44" t="str">
        <f t="shared" si="300"/>
        <v>on</v>
      </c>
    </row>
    <row r="129" spans="1:16" ht="15.75" thickBot="1" x14ac:dyDescent="0.3">
      <c r="A129" s="229">
        <f t="shared" ref="A129:B129" si="301">A128+1</f>
        <v>4224</v>
      </c>
      <c r="B129" s="230">
        <f t="shared" si="301"/>
        <v>119</v>
      </c>
      <c r="C129" s="218" t="str">
        <f t="shared" si="135"/>
        <v>81aX13_120_090#05</v>
      </c>
      <c r="D129" s="43">
        <f t="shared" ref="D129:F129" si="302">D128</f>
        <v>13</v>
      </c>
      <c r="E129" s="61">
        <f t="shared" si="302"/>
        <v>2.149</v>
      </c>
      <c r="F129" s="44">
        <f t="shared" si="302"/>
        <v>16.530769230769231</v>
      </c>
      <c r="G129" s="44">
        <f t="shared" si="283"/>
        <v>13.224615384615385</v>
      </c>
      <c r="H129" s="44">
        <f t="shared" si="284"/>
        <v>8.2653846153846153</v>
      </c>
      <c r="I129" s="44">
        <f t="shared" si="239"/>
        <v>8</v>
      </c>
      <c r="J129" s="45">
        <v>120</v>
      </c>
      <c r="K129" s="37" t="str">
        <f>D129&amp;-5</f>
        <v>13-5</v>
      </c>
      <c r="L129" s="44">
        <f t="shared" ref="L129:P129" si="303">L128</f>
        <v>0.2</v>
      </c>
      <c r="M129" s="49">
        <f>M128</f>
        <v>90</v>
      </c>
      <c r="N129" s="44">
        <f t="shared" si="227"/>
        <v>150</v>
      </c>
      <c r="O129" s="44">
        <f t="shared" si="303"/>
        <v>750</v>
      </c>
      <c r="P129" s="44" t="str">
        <f t="shared" si="303"/>
        <v>on</v>
      </c>
    </row>
    <row r="130" spans="1:16" ht="15.75" thickBot="1" x14ac:dyDescent="0.3">
      <c r="A130" s="229">
        <f t="shared" ref="A130:B130" si="304">A129+1</f>
        <v>4225</v>
      </c>
      <c r="B130" s="230">
        <f t="shared" si="304"/>
        <v>120</v>
      </c>
      <c r="C130" s="218" t="str">
        <f t="shared" si="135"/>
        <v>81aX13_120_090#06</v>
      </c>
      <c r="D130" s="43">
        <f t="shared" ref="D130:F130" si="305">D129</f>
        <v>13</v>
      </c>
      <c r="E130" s="61">
        <f t="shared" si="305"/>
        <v>2.149</v>
      </c>
      <c r="F130" s="44">
        <f t="shared" si="305"/>
        <v>16.530769230769231</v>
      </c>
      <c r="G130" s="44">
        <f t="shared" si="283"/>
        <v>13.224615384615385</v>
      </c>
      <c r="H130" s="44">
        <f t="shared" si="284"/>
        <v>8.2653846153846153</v>
      </c>
      <c r="I130" s="44">
        <f t="shared" si="239"/>
        <v>8</v>
      </c>
      <c r="J130" s="45">
        <v>120</v>
      </c>
      <c r="K130" s="37" t="str">
        <f>D130&amp;-6</f>
        <v>13-6</v>
      </c>
      <c r="L130" s="44">
        <f t="shared" ref="L130:P130" si="306">L129</f>
        <v>0.2</v>
      </c>
      <c r="M130" s="49">
        <f>M129</f>
        <v>90</v>
      </c>
      <c r="N130" s="44">
        <f t="shared" si="227"/>
        <v>150</v>
      </c>
      <c r="O130" s="44">
        <f t="shared" si="306"/>
        <v>750</v>
      </c>
      <c r="P130" s="44" t="str">
        <f t="shared" si="306"/>
        <v>on</v>
      </c>
    </row>
    <row r="131" spans="1:16" ht="15.75" thickBot="1" x14ac:dyDescent="0.3">
      <c r="A131" s="229">
        <f t="shared" ref="A131:B131" si="307">A130+1</f>
        <v>4226</v>
      </c>
      <c r="B131" s="230">
        <f t="shared" si="307"/>
        <v>121</v>
      </c>
      <c r="C131" s="218" t="str">
        <f t="shared" si="135"/>
        <v>81aX13_150_000#01</v>
      </c>
      <c r="D131" s="43">
        <f t="shared" ref="D131:F131" si="308">D130</f>
        <v>13</v>
      </c>
      <c r="E131" s="61">
        <f t="shared" si="308"/>
        <v>2.149</v>
      </c>
      <c r="F131" s="44">
        <f t="shared" si="308"/>
        <v>16.530769230769231</v>
      </c>
      <c r="G131" s="44">
        <f t="shared" si="283"/>
        <v>13.224615384615385</v>
      </c>
      <c r="H131" s="44">
        <f t="shared" si="284"/>
        <v>8.2653846153846153</v>
      </c>
      <c r="I131" s="44">
        <f t="shared" si="239"/>
        <v>8</v>
      </c>
      <c r="J131" s="45">
        <v>150</v>
      </c>
      <c r="K131" s="37" t="str">
        <f>D131&amp;-1</f>
        <v>13-1</v>
      </c>
      <c r="L131" s="44">
        <f t="shared" ref="L131:P131" si="309">L130</f>
        <v>0.2</v>
      </c>
      <c r="M131" s="49">
        <v>0</v>
      </c>
      <c r="N131" s="44">
        <f t="shared" si="227"/>
        <v>150</v>
      </c>
      <c r="O131" s="44">
        <f t="shared" si="309"/>
        <v>750</v>
      </c>
      <c r="P131" s="44" t="str">
        <f t="shared" si="309"/>
        <v>on</v>
      </c>
    </row>
    <row r="132" spans="1:16" ht="15.75" thickBot="1" x14ac:dyDescent="0.3">
      <c r="A132" s="229">
        <f t="shared" ref="A132:B132" si="310">A131+1</f>
        <v>4227</v>
      </c>
      <c r="B132" s="230">
        <f t="shared" si="310"/>
        <v>122</v>
      </c>
      <c r="C132" s="218" t="str">
        <f t="shared" si="135"/>
        <v>81aX13_150_000#02</v>
      </c>
      <c r="D132" s="43">
        <f t="shared" ref="D132:F132" si="311">D131</f>
        <v>13</v>
      </c>
      <c r="E132" s="61">
        <f t="shared" si="311"/>
        <v>2.149</v>
      </c>
      <c r="F132" s="44">
        <f t="shared" si="311"/>
        <v>16.530769230769231</v>
      </c>
      <c r="G132" s="44">
        <f t="shared" si="283"/>
        <v>13.224615384615385</v>
      </c>
      <c r="H132" s="44">
        <f t="shared" si="284"/>
        <v>8.2653846153846153</v>
      </c>
      <c r="I132" s="44">
        <f t="shared" si="239"/>
        <v>8</v>
      </c>
      <c r="J132" s="45">
        <v>150</v>
      </c>
      <c r="K132" s="37" t="str">
        <f>D132&amp;-2</f>
        <v>13-2</v>
      </c>
      <c r="L132" s="44">
        <f t="shared" ref="L132:P132" si="312">L131</f>
        <v>0.2</v>
      </c>
      <c r="M132" s="49">
        <f>M131</f>
        <v>0</v>
      </c>
      <c r="N132" s="44">
        <f t="shared" si="227"/>
        <v>150</v>
      </c>
      <c r="O132" s="44">
        <f t="shared" si="312"/>
        <v>750</v>
      </c>
      <c r="P132" s="44" t="str">
        <f t="shared" si="312"/>
        <v>on</v>
      </c>
    </row>
    <row r="133" spans="1:16" ht="15.75" thickBot="1" x14ac:dyDescent="0.3">
      <c r="A133" s="229">
        <f t="shared" ref="A133:B133" si="313">A132+1</f>
        <v>4228</v>
      </c>
      <c r="B133" s="230">
        <f t="shared" si="313"/>
        <v>123</v>
      </c>
      <c r="C133" s="218" t="str">
        <f t="shared" si="135"/>
        <v>81aX13_150_000#03</v>
      </c>
      <c r="D133" s="43">
        <f t="shared" ref="D133:F133" si="314">D132</f>
        <v>13</v>
      </c>
      <c r="E133" s="61">
        <f t="shared" si="314"/>
        <v>2.149</v>
      </c>
      <c r="F133" s="44">
        <f t="shared" si="314"/>
        <v>16.530769230769231</v>
      </c>
      <c r="G133" s="44">
        <f t="shared" si="283"/>
        <v>13.224615384615385</v>
      </c>
      <c r="H133" s="44">
        <f t="shared" si="284"/>
        <v>8.2653846153846153</v>
      </c>
      <c r="I133" s="44">
        <f t="shared" si="239"/>
        <v>8</v>
      </c>
      <c r="J133" s="45">
        <v>150</v>
      </c>
      <c r="K133" s="37" t="str">
        <f>D133&amp;-3</f>
        <v>13-3</v>
      </c>
      <c r="L133" s="44">
        <f t="shared" ref="L133:P133" si="315">L132</f>
        <v>0.2</v>
      </c>
      <c r="M133" s="49">
        <f>M132</f>
        <v>0</v>
      </c>
      <c r="N133" s="44">
        <f t="shared" si="227"/>
        <v>150</v>
      </c>
      <c r="O133" s="44">
        <f t="shared" si="315"/>
        <v>750</v>
      </c>
      <c r="P133" s="44" t="str">
        <f t="shared" si="315"/>
        <v>on</v>
      </c>
    </row>
    <row r="134" spans="1:16" ht="15.75" thickBot="1" x14ac:dyDescent="0.3">
      <c r="A134" s="229">
        <f t="shared" ref="A134:B134" si="316">A133+1</f>
        <v>4229</v>
      </c>
      <c r="B134" s="230">
        <f t="shared" si="316"/>
        <v>124</v>
      </c>
      <c r="C134" s="218" t="str">
        <f t="shared" si="135"/>
        <v>81aX13_150_000#04</v>
      </c>
      <c r="D134" s="43">
        <f t="shared" ref="D134:F134" si="317">D133</f>
        <v>13</v>
      </c>
      <c r="E134" s="61">
        <f t="shared" si="317"/>
        <v>2.149</v>
      </c>
      <c r="F134" s="44">
        <f t="shared" si="317"/>
        <v>16.530769230769231</v>
      </c>
      <c r="G134" s="44">
        <f t="shared" si="283"/>
        <v>13.224615384615385</v>
      </c>
      <c r="H134" s="44">
        <f t="shared" si="284"/>
        <v>8.2653846153846153</v>
      </c>
      <c r="I134" s="44">
        <f t="shared" si="239"/>
        <v>8</v>
      </c>
      <c r="J134" s="45">
        <v>150</v>
      </c>
      <c r="K134" s="37" t="str">
        <f>D134&amp;-4</f>
        <v>13-4</v>
      </c>
      <c r="L134" s="44">
        <f t="shared" ref="L134:P134" si="318">L133</f>
        <v>0.2</v>
      </c>
      <c r="M134" s="49">
        <f>M133</f>
        <v>0</v>
      </c>
      <c r="N134" s="44">
        <f t="shared" si="227"/>
        <v>150</v>
      </c>
      <c r="O134" s="44">
        <f t="shared" si="318"/>
        <v>750</v>
      </c>
      <c r="P134" s="44" t="str">
        <f t="shared" si="318"/>
        <v>on</v>
      </c>
    </row>
    <row r="135" spans="1:16" ht="15.75" thickBot="1" x14ac:dyDescent="0.3">
      <c r="A135" s="229">
        <f t="shared" ref="A135:B135" si="319">A134+1</f>
        <v>4230</v>
      </c>
      <c r="B135" s="230">
        <f t="shared" si="319"/>
        <v>125</v>
      </c>
      <c r="C135" s="218" t="str">
        <f t="shared" si="135"/>
        <v>81aX13_150_000#05</v>
      </c>
      <c r="D135" s="43">
        <f t="shared" ref="D135:F135" si="320">D134</f>
        <v>13</v>
      </c>
      <c r="E135" s="61">
        <f t="shared" si="320"/>
        <v>2.149</v>
      </c>
      <c r="F135" s="44">
        <f t="shared" si="320"/>
        <v>16.530769230769231</v>
      </c>
      <c r="G135" s="44">
        <f t="shared" si="283"/>
        <v>13.224615384615385</v>
      </c>
      <c r="H135" s="44">
        <f t="shared" si="284"/>
        <v>8.2653846153846153</v>
      </c>
      <c r="I135" s="44">
        <f t="shared" si="239"/>
        <v>8</v>
      </c>
      <c r="J135" s="45">
        <v>150</v>
      </c>
      <c r="K135" s="37" t="str">
        <f>D135&amp;-5</f>
        <v>13-5</v>
      </c>
      <c r="L135" s="44">
        <f t="shared" ref="L135:P135" si="321">L134</f>
        <v>0.2</v>
      </c>
      <c r="M135" s="49">
        <f>M134</f>
        <v>0</v>
      </c>
      <c r="N135" s="44">
        <f t="shared" si="227"/>
        <v>150</v>
      </c>
      <c r="O135" s="44">
        <f t="shared" si="321"/>
        <v>750</v>
      </c>
      <c r="P135" s="44" t="str">
        <f t="shared" si="321"/>
        <v>on</v>
      </c>
    </row>
    <row r="136" spans="1:16" ht="15.75" thickBot="1" x14ac:dyDescent="0.3">
      <c r="A136" s="229">
        <f t="shared" ref="A136:B136" si="322">A135+1</f>
        <v>4231</v>
      </c>
      <c r="B136" s="230">
        <f t="shared" si="322"/>
        <v>126</v>
      </c>
      <c r="C136" s="218" t="str">
        <f t="shared" si="135"/>
        <v>81aX13_150_000#06</v>
      </c>
      <c r="D136" s="43">
        <f t="shared" ref="D136:F136" si="323">D135</f>
        <v>13</v>
      </c>
      <c r="E136" s="61">
        <f t="shared" si="323"/>
        <v>2.149</v>
      </c>
      <c r="F136" s="44">
        <f t="shared" si="323"/>
        <v>16.530769230769231</v>
      </c>
      <c r="G136" s="44">
        <f t="shared" si="283"/>
        <v>13.224615384615385</v>
      </c>
      <c r="H136" s="44">
        <f t="shared" si="284"/>
        <v>8.2653846153846153</v>
      </c>
      <c r="I136" s="44">
        <f t="shared" si="239"/>
        <v>8</v>
      </c>
      <c r="J136" s="45">
        <v>150</v>
      </c>
      <c r="K136" s="37" t="str">
        <f>D136&amp;-6</f>
        <v>13-6</v>
      </c>
      <c r="L136" s="44">
        <f t="shared" ref="L136:P136" si="324">L135</f>
        <v>0.2</v>
      </c>
      <c r="M136" s="49">
        <f>M135</f>
        <v>0</v>
      </c>
      <c r="N136" s="44">
        <f t="shared" ref="N136" si="325">N135</f>
        <v>150</v>
      </c>
      <c r="O136" s="44">
        <f t="shared" si="324"/>
        <v>750</v>
      </c>
      <c r="P136" s="44" t="str">
        <f t="shared" si="324"/>
        <v>on</v>
      </c>
    </row>
    <row r="137" spans="1:16" ht="15.75" thickBot="1" x14ac:dyDescent="0.3">
      <c r="A137" s="229">
        <f t="shared" ref="A137:B137" si="326">A136+1</f>
        <v>4232</v>
      </c>
      <c r="B137" s="230">
        <f t="shared" si="326"/>
        <v>127</v>
      </c>
      <c r="C137" s="218" t="str">
        <f t="shared" si="135"/>
        <v>81aX13_150_030#01</v>
      </c>
      <c r="D137" s="43">
        <f t="shared" ref="D137:F137" si="327">D136</f>
        <v>13</v>
      </c>
      <c r="E137" s="61">
        <f t="shared" si="327"/>
        <v>2.149</v>
      </c>
      <c r="F137" s="44">
        <f t="shared" si="327"/>
        <v>16.530769230769231</v>
      </c>
      <c r="G137" s="44">
        <f t="shared" si="283"/>
        <v>13.224615384615385</v>
      </c>
      <c r="H137" s="44">
        <f t="shared" si="284"/>
        <v>8.2653846153846153</v>
      </c>
      <c r="I137" s="44">
        <f t="shared" si="239"/>
        <v>8</v>
      </c>
      <c r="J137" s="45">
        <v>150</v>
      </c>
      <c r="K137" s="37" t="str">
        <f>D137&amp;-1</f>
        <v>13-1</v>
      </c>
      <c r="L137" s="44">
        <f t="shared" ref="L137:P137" si="328">L136</f>
        <v>0.2</v>
      </c>
      <c r="M137" s="49">
        <v>30</v>
      </c>
      <c r="N137" s="44">
        <f t="shared" si="265"/>
        <v>150</v>
      </c>
      <c r="O137" s="44">
        <f t="shared" si="328"/>
        <v>750</v>
      </c>
      <c r="P137" s="44" t="str">
        <f t="shared" si="328"/>
        <v>on</v>
      </c>
    </row>
    <row r="138" spans="1:16" ht="15.75" thickBot="1" x14ac:dyDescent="0.3">
      <c r="A138" s="229">
        <f t="shared" ref="A138:B138" si="329">A137+1</f>
        <v>4233</v>
      </c>
      <c r="B138" s="230">
        <f t="shared" si="329"/>
        <v>128</v>
      </c>
      <c r="C138" s="218" t="str">
        <f t="shared" si="135"/>
        <v>81aX13_150_030#02</v>
      </c>
      <c r="D138" s="43">
        <f t="shared" ref="D138:F138" si="330">D137</f>
        <v>13</v>
      </c>
      <c r="E138" s="61">
        <f t="shared" si="330"/>
        <v>2.149</v>
      </c>
      <c r="F138" s="44">
        <f t="shared" si="330"/>
        <v>16.530769230769231</v>
      </c>
      <c r="G138" s="44">
        <f t="shared" si="283"/>
        <v>13.224615384615385</v>
      </c>
      <c r="H138" s="44">
        <f t="shared" si="284"/>
        <v>8.2653846153846153</v>
      </c>
      <c r="I138" s="44">
        <f t="shared" si="239"/>
        <v>8</v>
      </c>
      <c r="J138" s="45">
        <v>150</v>
      </c>
      <c r="K138" s="37" t="str">
        <f>D138&amp;-2</f>
        <v>13-2</v>
      </c>
      <c r="L138" s="44">
        <f t="shared" ref="L138:P138" si="331">L137</f>
        <v>0.2</v>
      </c>
      <c r="M138" s="49">
        <f>M137</f>
        <v>30</v>
      </c>
      <c r="N138" s="44">
        <f t="shared" si="265"/>
        <v>150</v>
      </c>
      <c r="O138" s="44">
        <f t="shared" si="331"/>
        <v>750</v>
      </c>
      <c r="P138" s="44" t="str">
        <f t="shared" si="331"/>
        <v>on</v>
      </c>
    </row>
    <row r="139" spans="1:16" ht="15.75" thickBot="1" x14ac:dyDescent="0.3">
      <c r="A139" s="229">
        <f t="shared" ref="A139:B139" si="332">A138+1</f>
        <v>4234</v>
      </c>
      <c r="B139" s="230">
        <f t="shared" si="332"/>
        <v>129</v>
      </c>
      <c r="C139" s="218" t="str">
        <f t="shared" si="135"/>
        <v>81aX13_150_030#03</v>
      </c>
      <c r="D139" s="43">
        <f t="shared" ref="D139:F139" si="333">D138</f>
        <v>13</v>
      </c>
      <c r="E139" s="61">
        <f t="shared" si="333"/>
        <v>2.149</v>
      </c>
      <c r="F139" s="44">
        <f t="shared" si="333"/>
        <v>16.530769230769231</v>
      </c>
      <c r="G139" s="44">
        <f t="shared" si="283"/>
        <v>13.224615384615385</v>
      </c>
      <c r="H139" s="44">
        <f t="shared" si="284"/>
        <v>8.2653846153846153</v>
      </c>
      <c r="I139" s="44">
        <f t="shared" si="239"/>
        <v>8</v>
      </c>
      <c r="J139" s="45">
        <v>150</v>
      </c>
      <c r="K139" s="37" t="str">
        <f>D139&amp;-3</f>
        <v>13-3</v>
      </c>
      <c r="L139" s="44">
        <f t="shared" ref="L139:P139" si="334">L138</f>
        <v>0.2</v>
      </c>
      <c r="M139" s="49">
        <f>M138</f>
        <v>30</v>
      </c>
      <c r="N139" s="44">
        <f t="shared" si="265"/>
        <v>150</v>
      </c>
      <c r="O139" s="44">
        <f t="shared" si="334"/>
        <v>750</v>
      </c>
      <c r="P139" s="44" t="str">
        <f t="shared" si="334"/>
        <v>on</v>
      </c>
    </row>
    <row r="140" spans="1:16" ht="15.75" thickBot="1" x14ac:dyDescent="0.3">
      <c r="A140" s="229">
        <f t="shared" ref="A140:B140" si="335">A139+1</f>
        <v>4235</v>
      </c>
      <c r="B140" s="230">
        <f t="shared" si="335"/>
        <v>130</v>
      </c>
      <c r="C140" s="218" t="str">
        <f t="shared" ref="C140:C203" si="336">TEXT(RIGHT($B$2,LEN($B$2)-3),"000")&amp;"X"&amp;TEXT(D140,"00")&amp;"_"&amp;IF(J140&lt;0,TEXT(360+J140,"000"),TEXT(J140,"000"))&amp;"_"&amp;TEXT(M140,"000")&amp;"#"&amp;TEXT(RIGHT(K140,LEN(K140)-FIND("-",K140)),"00")</f>
        <v>81aX13_150_030#04</v>
      </c>
      <c r="D140" s="43">
        <f t="shared" ref="D140:F140" si="337">D139</f>
        <v>13</v>
      </c>
      <c r="E140" s="61">
        <f t="shared" si="337"/>
        <v>2.149</v>
      </c>
      <c r="F140" s="44">
        <f t="shared" si="337"/>
        <v>16.530769230769231</v>
      </c>
      <c r="G140" s="44">
        <f t="shared" si="283"/>
        <v>13.224615384615385</v>
      </c>
      <c r="H140" s="44">
        <f t="shared" si="284"/>
        <v>8.2653846153846153</v>
      </c>
      <c r="I140" s="44">
        <f t="shared" si="239"/>
        <v>8</v>
      </c>
      <c r="J140" s="45">
        <v>150</v>
      </c>
      <c r="K140" s="37" t="str">
        <f>D140&amp;-4</f>
        <v>13-4</v>
      </c>
      <c r="L140" s="44">
        <f t="shared" ref="L140:P140" si="338">L139</f>
        <v>0.2</v>
      </c>
      <c r="M140" s="49">
        <f>M139</f>
        <v>30</v>
      </c>
      <c r="N140" s="44">
        <f t="shared" si="265"/>
        <v>150</v>
      </c>
      <c r="O140" s="44">
        <f t="shared" si="338"/>
        <v>750</v>
      </c>
      <c r="P140" s="44" t="str">
        <f t="shared" si="338"/>
        <v>on</v>
      </c>
    </row>
    <row r="141" spans="1:16" ht="15.75" thickBot="1" x14ac:dyDescent="0.3">
      <c r="A141" s="229">
        <f t="shared" ref="A141:B141" si="339">A140+1</f>
        <v>4236</v>
      </c>
      <c r="B141" s="230">
        <f t="shared" si="339"/>
        <v>131</v>
      </c>
      <c r="C141" s="218" t="str">
        <f t="shared" si="336"/>
        <v>81aX13_150_030#05</v>
      </c>
      <c r="D141" s="43">
        <f t="shared" ref="D141:F141" si="340">D140</f>
        <v>13</v>
      </c>
      <c r="E141" s="61">
        <f t="shared" si="340"/>
        <v>2.149</v>
      </c>
      <c r="F141" s="44">
        <f t="shared" si="340"/>
        <v>16.530769230769231</v>
      </c>
      <c r="G141" s="44">
        <f t="shared" si="283"/>
        <v>13.224615384615385</v>
      </c>
      <c r="H141" s="44">
        <f t="shared" si="284"/>
        <v>8.2653846153846153</v>
      </c>
      <c r="I141" s="44">
        <f t="shared" si="239"/>
        <v>8</v>
      </c>
      <c r="J141" s="45">
        <v>150</v>
      </c>
      <c r="K141" s="37" t="str">
        <f>D141&amp;-5</f>
        <v>13-5</v>
      </c>
      <c r="L141" s="44">
        <f t="shared" ref="L141:P141" si="341">L140</f>
        <v>0.2</v>
      </c>
      <c r="M141" s="49">
        <f>M140</f>
        <v>30</v>
      </c>
      <c r="N141" s="44">
        <f t="shared" si="265"/>
        <v>150</v>
      </c>
      <c r="O141" s="44">
        <f t="shared" si="341"/>
        <v>750</v>
      </c>
      <c r="P141" s="44" t="str">
        <f t="shared" si="341"/>
        <v>on</v>
      </c>
    </row>
    <row r="142" spans="1:16" ht="15.75" thickBot="1" x14ac:dyDescent="0.3">
      <c r="A142" s="229">
        <f t="shared" ref="A142:B142" si="342">A141+1</f>
        <v>4237</v>
      </c>
      <c r="B142" s="230">
        <f t="shared" si="342"/>
        <v>132</v>
      </c>
      <c r="C142" s="218" t="str">
        <f t="shared" si="336"/>
        <v>81aX13_150_030#06</v>
      </c>
      <c r="D142" s="43">
        <f t="shared" ref="D142:F142" si="343">D141</f>
        <v>13</v>
      </c>
      <c r="E142" s="61">
        <f t="shared" si="343"/>
        <v>2.149</v>
      </c>
      <c r="F142" s="44">
        <f t="shared" si="343"/>
        <v>16.530769230769231</v>
      </c>
      <c r="G142" s="44">
        <f t="shared" si="283"/>
        <v>13.224615384615385</v>
      </c>
      <c r="H142" s="44">
        <f t="shared" si="284"/>
        <v>8.2653846153846153</v>
      </c>
      <c r="I142" s="44">
        <f t="shared" si="239"/>
        <v>8</v>
      </c>
      <c r="J142" s="45">
        <v>150</v>
      </c>
      <c r="K142" s="37" t="str">
        <f>D142&amp;-6</f>
        <v>13-6</v>
      </c>
      <c r="L142" s="44">
        <f t="shared" ref="L142:P142" si="344">L141</f>
        <v>0.2</v>
      </c>
      <c r="M142" s="49">
        <f>M141</f>
        <v>30</v>
      </c>
      <c r="N142" s="44">
        <f t="shared" si="265"/>
        <v>150</v>
      </c>
      <c r="O142" s="44">
        <f t="shared" si="344"/>
        <v>750</v>
      </c>
      <c r="P142" s="44" t="str">
        <f t="shared" si="344"/>
        <v>on</v>
      </c>
    </row>
    <row r="143" spans="1:16" ht="15.75" thickBot="1" x14ac:dyDescent="0.3">
      <c r="A143" s="229">
        <f t="shared" ref="A143:B143" si="345">A142+1</f>
        <v>4238</v>
      </c>
      <c r="B143" s="230">
        <f t="shared" si="345"/>
        <v>133</v>
      </c>
      <c r="C143" s="218" t="str">
        <f t="shared" si="336"/>
        <v>81aX13_150_060#01</v>
      </c>
      <c r="D143" s="43">
        <f t="shared" ref="D143:F143" si="346">D142</f>
        <v>13</v>
      </c>
      <c r="E143" s="61">
        <f t="shared" si="346"/>
        <v>2.149</v>
      </c>
      <c r="F143" s="44">
        <f t="shared" si="346"/>
        <v>16.530769230769231</v>
      </c>
      <c r="G143" s="44">
        <f t="shared" si="283"/>
        <v>13.224615384615385</v>
      </c>
      <c r="H143" s="44">
        <f t="shared" si="284"/>
        <v>8.2653846153846153</v>
      </c>
      <c r="I143" s="44">
        <f t="shared" si="239"/>
        <v>8</v>
      </c>
      <c r="J143" s="45">
        <v>150</v>
      </c>
      <c r="K143" s="37" t="str">
        <f>D143&amp;-1</f>
        <v>13-1</v>
      </c>
      <c r="L143" s="44">
        <f t="shared" ref="L143:P143" si="347">L142</f>
        <v>0.2</v>
      </c>
      <c r="M143" s="49">
        <v>60</v>
      </c>
      <c r="N143" s="44">
        <f t="shared" si="227"/>
        <v>150</v>
      </c>
      <c r="O143" s="44">
        <f t="shared" si="347"/>
        <v>750</v>
      </c>
      <c r="P143" s="44" t="str">
        <f t="shared" si="347"/>
        <v>on</v>
      </c>
    </row>
    <row r="144" spans="1:16" ht="15.75" thickBot="1" x14ac:dyDescent="0.3">
      <c r="A144" s="229">
        <f t="shared" ref="A144:B144" si="348">A143+1</f>
        <v>4239</v>
      </c>
      <c r="B144" s="230">
        <f t="shared" si="348"/>
        <v>134</v>
      </c>
      <c r="C144" s="218" t="str">
        <f t="shared" si="336"/>
        <v>81aX13_150_060#02</v>
      </c>
      <c r="D144" s="43">
        <f t="shared" ref="D144:F144" si="349">D143</f>
        <v>13</v>
      </c>
      <c r="E144" s="61">
        <f t="shared" si="349"/>
        <v>2.149</v>
      </c>
      <c r="F144" s="44">
        <f t="shared" si="349"/>
        <v>16.530769230769231</v>
      </c>
      <c r="G144" s="44">
        <f t="shared" si="283"/>
        <v>13.224615384615385</v>
      </c>
      <c r="H144" s="44">
        <f t="shared" si="284"/>
        <v>8.2653846153846153</v>
      </c>
      <c r="I144" s="44">
        <f t="shared" si="239"/>
        <v>8</v>
      </c>
      <c r="J144" s="45">
        <v>150</v>
      </c>
      <c r="K144" s="37" t="str">
        <f>D144&amp;-2</f>
        <v>13-2</v>
      </c>
      <c r="L144" s="44">
        <f t="shared" ref="L144:P144" si="350">L143</f>
        <v>0.2</v>
      </c>
      <c r="M144" s="49">
        <f>M143</f>
        <v>60</v>
      </c>
      <c r="N144" s="44">
        <f t="shared" si="227"/>
        <v>150</v>
      </c>
      <c r="O144" s="44">
        <f t="shared" si="350"/>
        <v>750</v>
      </c>
      <c r="P144" s="44" t="str">
        <f t="shared" si="350"/>
        <v>on</v>
      </c>
    </row>
    <row r="145" spans="1:16" ht="15.75" thickBot="1" x14ac:dyDescent="0.3">
      <c r="A145" s="229">
        <f t="shared" ref="A145:B145" si="351">A144+1</f>
        <v>4240</v>
      </c>
      <c r="B145" s="230">
        <f t="shared" si="351"/>
        <v>135</v>
      </c>
      <c r="C145" s="218" t="str">
        <f t="shared" si="336"/>
        <v>81aX13_150_060#03</v>
      </c>
      <c r="D145" s="43">
        <f t="shared" ref="D145:F145" si="352">D144</f>
        <v>13</v>
      </c>
      <c r="E145" s="61">
        <f t="shared" si="352"/>
        <v>2.149</v>
      </c>
      <c r="F145" s="44">
        <f t="shared" si="352"/>
        <v>16.530769230769231</v>
      </c>
      <c r="G145" s="44">
        <f t="shared" si="283"/>
        <v>13.224615384615385</v>
      </c>
      <c r="H145" s="44">
        <f t="shared" si="284"/>
        <v>8.2653846153846153</v>
      </c>
      <c r="I145" s="44">
        <f t="shared" si="239"/>
        <v>8</v>
      </c>
      <c r="J145" s="45">
        <v>150</v>
      </c>
      <c r="K145" s="37" t="str">
        <f>D145&amp;-3</f>
        <v>13-3</v>
      </c>
      <c r="L145" s="44">
        <f t="shared" ref="L145:P145" si="353">L144</f>
        <v>0.2</v>
      </c>
      <c r="M145" s="49">
        <f>M144</f>
        <v>60</v>
      </c>
      <c r="N145" s="44">
        <f t="shared" si="227"/>
        <v>150</v>
      </c>
      <c r="O145" s="44">
        <f t="shared" si="353"/>
        <v>750</v>
      </c>
      <c r="P145" s="44" t="str">
        <f t="shared" si="353"/>
        <v>on</v>
      </c>
    </row>
    <row r="146" spans="1:16" ht="15.75" thickBot="1" x14ac:dyDescent="0.3">
      <c r="A146" s="229">
        <f t="shared" ref="A146:B146" si="354">A145+1</f>
        <v>4241</v>
      </c>
      <c r="B146" s="230">
        <f t="shared" si="354"/>
        <v>136</v>
      </c>
      <c r="C146" s="218" t="str">
        <f t="shared" si="336"/>
        <v>81aX13_150_060#04</v>
      </c>
      <c r="D146" s="43">
        <f t="shared" ref="D146:F146" si="355">D145</f>
        <v>13</v>
      </c>
      <c r="E146" s="61">
        <f t="shared" si="355"/>
        <v>2.149</v>
      </c>
      <c r="F146" s="44">
        <f t="shared" si="355"/>
        <v>16.530769230769231</v>
      </c>
      <c r="G146" s="44">
        <f t="shared" si="283"/>
        <v>13.224615384615385</v>
      </c>
      <c r="H146" s="44">
        <f t="shared" si="284"/>
        <v>8.2653846153846153</v>
      </c>
      <c r="I146" s="44">
        <f t="shared" si="239"/>
        <v>8</v>
      </c>
      <c r="J146" s="45">
        <v>150</v>
      </c>
      <c r="K146" s="37" t="str">
        <f>D146&amp;-4</f>
        <v>13-4</v>
      </c>
      <c r="L146" s="44">
        <f t="shared" ref="L146:P146" si="356">L145</f>
        <v>0.2</v>
      </c>
      <c r="M146" s="49">
        <f>M145</f>
        <v>60</v>
      </c>
      <c r="N146" s="44">
        <f t="shared" si="227"/>
        <v>150</v>
      </c>
      <c r="O146" s="44">
        <f t="shared" si="356"/>
        <v>750</v>
      </c>
      <c r="P146" s="44" t="str">
        <f t="shared" si="356"/>
        <v>on</v>
      </c>
    </row>
    <row r="147" spans="1:16" ht="15.75" thickBot="1" x14ac:dyDescent="0.3">
      <c r="A147" s="229">
        <f t="shared" ref="A147:B147" si="357">A146+1</f>
        <v>4242</v>
      </c>
      <c r="B147" s="230">
        <f t="shared" si="357"/>
        <v>137</v>
      </c>
      <c r="C147" s="218" t="str">
        <f t="shared" si="336"/>
        <v>81aX13_150_060#05</v>
      </c>
      <c r="D147" s="43">
        <f t="shared" ref="D147:F147" si="358">D146</f>
        <v>13</v>
      </c>
      <c r="E147" s="61">
        <f t="shared" si="358"/>
        <v>2.149</v>
      </c>
      <c r="F147" s="44">
        <f t="shared" si="358"/>
        <v>16.530769230769231</v>
      </c>
      <c r="G147" s="44">
        <f t="shared" si="283"/>
        <v>13.224615384615385</v>
      </c>
      <c r="H147" s="44">
        <f t="shared" si="284"/>
        <v>8.2653846153846153</v>
      </c>
      <c r="I147" s="44">
        <f t="shared" si="239"/>
        <v>8</v>
      </c>
      <c r="J147" s="45">
        <v>150</v>
      </c>
      <c r="K147" s="37" t="str">
        <f>D147&amp;-5</f>
        <v>13-5</v>
      </c>
      <c r="L147" s="44">
        <f t="shared" ref="L147:P147" si="359">L146</f>
        <v>0.2</v>
      </c>
      <c r="M147" s="49">
        <f>M146</f>
        <v>60</v>
      </c>
      <c r="N147" s="44">
        <f t="shared" si="227"/>
        <v>150</v>
      </c>
      <c r="O147" s="44">
        <f t="shared" si="359"/>
        <v>750</v>
      </c>
      <c r="P147" s="44" t="str">
        <f t="shared" si="359"/>
        <v>on</v>
      </c>
    </row>
    <row r="148" spans="1:16" ht="15.75" thickBot="1" x14ac:dyDescent="0.3">
      <c r="A148" s="229">
        <f t="shared" ref="A148:B148" si="360">A147+1</f>
        <v>4243</v>
      </c>
      <c r="B148" s="230">
        <f t="shared" si="360"/>
        <v>138</v>
      </c>
      <c r="C148" s="218" t="str">
        <f t="shared" si="336"/>
        <v>81aX13_150_060#06</v>
      </c>
      <c r="D148" s="43">
        <f t="shared" ref="D148:F148" si="361">D147</f>
        <v>13</v>
      </c>
      <c r="E148" s="61">
        <f t="shared" si="361"/>
        <v>2.149</v>
      </c>
      <c r="F148" s="44">
        <f t="shared" si="361"/>
        <v>16.530769230769231</v>
      </c>
      <c r="G148" s="44">
        <f t="shared" si="283"/>
        <v>13.224615384615385</v>
      </c>
      <c r="H148" s="44">
        <f t="shared" si="284"/>
        <v>8.2653846153846153</v>
      </c>
      <c r="I148" s="44">
        <f t="shared" si="239"/>
        <v>8</v>
      </c>
      <c r="J148" s="45">
        <v>150</v>
      </c>
      <c r="K148" s="37" t="str">
        <f>D148&amp;-6</f>
        <v>13-6</v>
      </c>
      <c r="L148" s="44">
        <f t="shared" ref="L148:P148" si="362">L147</f>
        <v>0.2</v>
      </c>
      <c r="M148" s="49">
        <f>M147</f>
        <v>60</v>
      </c>
      <c r="N148" s="44">
        <f t="shared" si="227"/>
        <v>150</v>
      </c>
      <c r="O148" s="44">
        <f t="shared" si="362"/>
        <v>750</v>
      </c>
      <c r="P148" s="44" t="str">
        <f t="shared" si="362"/>
        <v>on</v>
      </c>
    </row>
    <row r="149" spans="1:16" ht="15.75" thickBot="1" x14ac:dyDescent="0.3">
      <c r="A149" s="229">
        <f t="shared" ref="A149:B149" si="363">A148+1</f>
        <v>4244</v>
      </c>
      <c r="B149" s="230">
        <f t="shared" si="363"/>
        <v>139</v>
      </c>
      <c r="C149" s="218" t="str">
        <f t="shared" si="336"/>
        <v>81aX13_150_090#01</v>
      </c>
      <c r="D149" s="43">
        <f t="shared" ref="D149:F149" si="364">D148</f>
        <v>13</v>
      </c>
      <c r="E149" s="61">
        <f t="shared" si="364"/>
        <v>2.149</v>
      </c>
      <c r="F149" s="44">
        <f t="shared" si="364"/>
        <v>16.530769230769231</v>
      </c>
      <c r="G149" s="44">
        <f t="shared" si="283"/>
        <v>13.224615384615385</v>
      </c>
      <c r="H149" s="44">
        <f t="shared" si="284"/>
        <v>8.2653846153846153</v>
      </c>
      <c r="I149" s="44">
        <f t="shared" si="239"/>
        <v>8</v>
      </c>
      <c r="J149" s="45">
        <v>150</v>
      </c>
      <c r="K149" s="37" t="str">
        <f>D149&amp;-1</f>
        <v>13-1</v>
      </c>
      <c r="L149" s="44">
        <f t="shared" ref="L149:P149" si="365">L148</f>
        <v>0.2</v>
      </c>
      <c r="M149" s="49">
        <v>90</v>
      </c>
      <c r="N149" s="44">
        <f t="shared" si="227"/>
        <v>150</v>
      </c>
      <c r="O149" s="44">
        <f t="shared" si="365"/>
        <v>750</v>
      </c>
      <c r="P149" s="44" t="str">
        <f t="shared" si="365"/>
        <v>on</v>
      </c>
    </row>
    <row r="150" spans="1:16" ht="15.75" thickBot="1" x14ac:dyDescent="0.3">
      <c r="A150" s="229">
        <f t="shared" ref="A150:B150" si="366">A149+1</f>
        <v>4245</v>
      </c>
      <c r="B150" s="230">
        <f t="shared" si="366"/>
        <v>140</v>
      </c>
      <c r="C150" s="218" t="str">
        <f t="shared" si="336"/>
        <v>81aX13_150_090#02</v>
      </c>
      <c r="D150" s="43">
        <f t="shared" ref="D150:F150" si="367">D149</f>
        <v>13</v>
      </c>
      <c r="E150" s="61">
        <f t="shared" si="367"/>
        <v>2.149</v>
      </c>
      <c r="F150" s="44">
        <f t="shared" si="367"/>
        <v>16.530769230769231</v>
      </c>
      <c r="G150" s="44">
        <f t="shared" si="283"/>
        <v>13.224615384615385</v>
      </c>
      <c r="H150" s="44">
        <f t="shared" si="284"/>
        <v>8.2653846153846153</v>
      </c>
      <c r="I150" s="44">
        <f t="shared" si="239"/>
        <v>8</v>
      </c>
      <c r="J150" s="45">
        <v>150</v>
      </c>
      <c r="K150" s="37" t="str">
        <f>D150&amp;-2</f>
        <v>13-2</v>
      </c>
      <c r="L150" s="44">
        <f t="shared" ref="L150:P150" si="368">L149</f>
        <v>0.2</v>
      </c>
      <c r="M150" s="49">
        <f>M149</f>
        <v>90</v>
      </c>
      <c r="N150" s="44">
        <f t="shared" si="227"/>
        <v>150</v>
      </c>
      <c r="O150" s="44">
        <f t="shared" si="368"/>
        <v>750</v>
      </c>
      <c r="P150" s="44" t="str">
        <f t="shared" si="368"/>
        <v>on</v>
      </c>
    </row>
    <row r="151" spans="1:16" ht="15.75" thickBot="1" x14ac:dyDescent="0.3">
      <c r="A151" s="229">
        <f t="shared" ref="A151:B151" si="369">A150+1</f>
        <v>4246</v>
      </c>
      <c r="B151" s="230">
        <f t="shared" si="369"/>
        <v>141</v>
      </c>
      <c r="C151" s="218" t="str">
        <f t="shared" si="336"/>
        <v>81aX13_150_090#03</v>
      </c>
      <c r="D151" s="43">
        <f t="shared" ref="D151:F151" si="370">D150</f>
        <v>13</v>
      </c>
      <c r="E151" s="61">
        <f t="shared" si="370"/>
        <v>2.149</v>
      </c>
      <c r="F151" s="44">
        <f t="shared" si="370"/>
        <v>16.530769230769231</v>
      </c>
      <c r="G151" s="44">
        <f t="shared" si="283"/>
        <v>13.224615384615385</v>
      </c>
      <c r="H151" s="44">
        <f t="shared" si="284"/>
        <v>8.2653846153846153</v>
      </c>
      <c r="I151" s="44">
        <f t="shared" si="239"/>
        <v>8</v>
      </c>
      <c r="J151" s="45">
        <v>150</v>
      </c>
      <c r="K151" s="37" t="str">
        <f>D151&amp;-3</f>
        <v>13-3</v>
      </c>
      <c r="L151" s="44">
        <f t="shared" ref="L151:P151" si="371">L150</f>
        <v>0.2</v>
      </c>
      <c r="M151" s="49">
        <f>M150</f>
        <v>90</v>
      </c>
      <c r="N151" s="44">
        <f t="shared" si="227"/>
        <v>150</v>
      </c>
      <c r="O151" s="44">
        <f t="shared" si="371"/>
        <v>750</v>
      </c>
      <c r="P151" s="44" t="str">
        <f t="shared" si="371"/>
        <v>on</v>
      </c>
    </row>
    <row r="152" spans="1:16" ht="15.75" thickBot="1" x14ac:dyDescent="0.3">
      <c r="A152" s="229">
        <f t="shared" ref="A152:B152" si="372">A151+1</f>
        <v>4247</v>
      </c>
      <c r="B152" s="230">
        <f t="shared" si="372"/>
        <v>142</v>
      </c>
      <c r="C152" s="218" t="str">
        <f t="shared" si="336"/>
        <v>81aX13_150_090#04</v>
      </c>
      <c r="D152" s="43">
        <f t="shared" ref="D152:F152" si="373">D151</f>
        <v>13</v>
      </c>
      <c r="E152" s="61">
        <f t="shared" si="373"/>
        <v>2.149</v>
      </c>
      <c r="F152" s="44">
        <f t="shared" si="373"/>
        <v>16.530769230769231</v>
      </c>
      <c r="G152" s="44">
        <f t="shared" si="283"/>
        <v>13.224615384615385</v>
      </c>
      <c r="H152" s="44">
        <f t="shared" si="284"/>
        <v>8.2653846153846153</v>
      </c>
      <c r="I152" s="44">
        <f t="shared" si="239"/>
        <v>8</v>
      </c>
      <c r="J152" s="45">
        <v>150</v>
      </c>
      <c r="K152" s="37" t="str">
        <f>D152&amp;-4</f>
        <v>13-4</v>
      </c>
      <c r="L152" s="44">
        <f t="shared" ref="L152:P152" si="374">L151</f>
        <v>0.2</v>
      </c>
      <c r="M152" s="49">
        <f>M151</f>
        <v>90</v>
      </c>
      <c r="N152" s="44">
        <f t="shared" si="227"/>
        <v>150</v>
      </c>
      <c r="O152" s="44">
        <f t="shared" si="374"/>
        <v>750</v>
      </c>
      <c r="P152" s="44" t="str">
        <f t="shared" si="374"/>
        <v>on</v>
      </c>
    </row>
    <row r="153" spans="1:16" ht="15.75" thickBot="1" x14ac:dyDescent="0.3">
      <c r="A153" s="229">
        <f t="shared" ref="A153:B153" si="375">A152+1</f>
        <v>4248</v>
      </c>
      <c r="B153" s="230">
        <f t="shared" si="375"/>
        <v>143</v>
      </c>
      <c r="C153" s="218" t="str">
        <f t="shared" si="336"/>
        <v>81aX13_150_090#05</v>
      </c>
      <c r="D153" s="43">
        <f t="shared" ref="D153:F153" si="376">D152</f>
        <v>13</v>
      </c>
      <c r="E153" s="61">
        <f t="shared" si="376"/>
        <v>2.149</v>
      </c>
      <c r="F153" s="44">
        <f t="shared" si="376"/>
        <v>16.530769230769231</v>
      </c>
      <c r="G153" s="44">
        <f t="shared" si="283"/>
        <v>13.224615384615385</v>
      </c>
      <c r="H153" s="44">
        <f t="shared" si="284"/>
        <v>8.2653846153846153</v>
      </c>
      <c r="I153" s="44">
        <f t="shared" si="239"/>
        <v>8</v>
      </c>
      <c r="J153" s="45">
        <v>150</v>
      </c>
      <c r="K153" s="37" t="str">
        <f>D153&amp;-5</f>
        <v>13-5</v>
      </c>
      <c r="L153" s="44">
        <f t="shared" ref="L153:P153" si="377">L152</f>
        <v>0.2</v>
      </c>
      <c r="M153" s="49">
        <f>M152</f>
        <v>90</v>
      </c>
      <c r="N153" s="44">
        <f t="shared" si="227"/>
        <v>150</v>
      </c>
      <c r="O153" s="44">
        <f t="shared" si="377"/>
        <v>750</v>
      </c>
      <c r="P153" s="44" t="str">
        <f t="shared" si="377"/>
        <v>on</v>
      </c>
    </row>
    <row r="154" spans="1:16" ht="15.75" thickBot="1" x14ac:dyDescent="0.3">
      <c r="A154" s="229">
        <f t="shared" ref="A154:B154" si="378">A153+1</f>
        <v>4249</v>
      </c>
      <c r="B154" s="230">
        <f t="shared" si="378"/>
        <v>144</v>
      </c>
      <c r="C154" s="218" t="str">
        <f t="shared" si="336"/>
        <v>81aX13_150_090#06</v>
      </c>
      <c r="D154" s="43">
        <f t="shared" ref="D154:F154" si="379">D153</f>
        <v>13</v>
      </c>
      <c r="E154" s="61">
        <f t="shared" si="379"/>
        <v>2.149</v>
      </c>
      <c r="F154" s="44">
        <f t="shared" si="379"/>
        <v>16.530769230769231</v>
      </c>
      <c r="G154" s="44">
        <f t="shared" si="283"/>
        <v>13.224615384615385</v>
      </c>
      <c r="H154" s="44">
        <f t="shared" si="284"/>
        <v>8.2653846153846153</v>
      </c>
      <c r="I154" s="44">
        <f t="shared" si="239"/>
        <v>8</v>
      </c>
      <c r="J154" s="45">
        <v>150</v>
      </c>
      <c r="K154" s="37" t="str">
        <f>D154&amp;-6</f>
        <v>13-6</v>
      </c>
      <c r="L154" s="44">
        <f t="shared" ref="L154:P154" si="380">L153</f>
        <v>0.2</v>
      </c>
      <c r="M154" s="49">
        <f>M153</f>
        <v>90</v>
      </c>
      <c r="N154" s="44">
        <f t="shared" si="227"/>
        <v>150</v>
      </c>
      <c r="O154" s="44">
        <f t="shared" si="380"/>
        <v>750</v>
      </c>
      <c r="P154" s="44" t="str">
        <f t="shared" si="380"/>
        <v>on</v>
      </c>
    </row>
    <row r="155" spans="1:16" ht="15.75" thickBot="1" x14ac:dyDescent="0.3">
      <c r="A155" s="229">
        <f t="shared" ref="A155:B155" si="381">A154+1</f>
        <v>4250</v>
      </c>
      <c r="B155" s="230">
        <f t="shared" si="381"/>
        <v>145</v>
      </c>
      <c r="C155" s="218" t="str">
        <f t="shared" si="336"/>
        <v>81aX13_180_000#01</v>
      </c>
      <c r="D155" s="43">
        <f t="shared" ref="D155:F155" si="382">D154</f>
        <v>13</v>
      </c>
      <c r="E155" s="61">
        <f t="shared" si="382"/>
        <v>2.149</v>
      </c>
      <c r="F155" s="44">
        <f t="shared" si="382"/>
        <v>16.530769230769231</v>
      </c>
      <c r="G155" s="44">
        <f t="shared" si="283"/>
        <v>13.224615384615385</v>
      </c>
      <c r="H155" s="44">
        <f t="shared" si="284"/>
        <v>8.2653846153846153</v>
      </c>
      <c r="I155" s="44">
        <f t="shared" si="239"/>
        <v>8</v>
      </c>
      <c r="J155" s="45">
        <v>180</v>
      </c>
      <c r="K155" s="37" t="str">
        <f>D155&amp;-1</f>
        <v>13-1</v>
      </c>
      <c r="L155" s="44">
        <f t="shared" ref="L155:P155" si="383">L154</f>
        <v>0.2</v>
      </c>
      <c r="M155" s="49">
        <v>0</v>
      </c>
      <c r="N155" s="44">
        <f t="shared" ref="N155" si="384">N154</f>
        <v>150</v>
      </c>
      <c r="O155" s="44">
        <f t="shared" si="383"/>
        <v>750</v>
      </c>
      <c r="P155" s="44" t="str">
        <f t="shared" si="383"/>
        <v>on</v>
      </c>
    </row>
    <row r="156" spans="1:16" ht="15.75" thickBot="1" x14ac:dyDescent="0.3">
      <c r="A156" s="229">
        <f t="shared" ref="A156:B156" si="385">A155+1</f>
        <v>4251</v>
      </c>
      <c r="B156" s="230">
        <f t="shared" si="385"/>
        <v>146</v>
      </c>
      <c r="C156" s="218" t="str">
        <f t="shared" si="336"/>
        <v>81aX13_180_000#02</v>
      </c>
      <c r="D156" s="43">
        <f t="shared" ref="D156:F156" si="386">D155</f>
        <v>13</v>
      </c>
      <c r="E156" s="61">
        <f t="shared" si="386"/>
        <v>2.149</v>
      </c>
      <c r="F156" s="44">
        <f t="shared" si="386"/>
        <v>16.530769230769231</v>
      </c>
      <c r="G156" s="44">
        <f t="shared" si="283"/>
        <v>13.224615384615385</v>
      </c>
      <c r="H156" s="44">
        <f t="shared" si="284"/>
        <v>8.2653846153846153</v>
      </c>
      <c r="I156" s="44">
        <f t="shared" si="239"/>
        <v>8</v>
      </c>
      <c r="J156" s="45">
        <v>180</v>
      </c>
      <c r="K156" s="37" t="str">
        <f>D156&amp;-2</f>
        <v>13-2</v>
      </c>
      <c r="L156" s="44">
        <f t="shared" ref="L156:P156" si="387">L155</f>
        <v>0.2</v>
      </c>
      <c r="M156" s="49">
        <f>M155</f>
        <v>0</v>
      </c>
      <c r="N156" s="44">
        <f t="shared" si="265"/>
        <v>150</v>
      </c>
      <c r="O156" s="44">
        <f t="shared" si="387"/>
        <v>750</v>
      </c>
      <c r="P156" s="44" t="str">
        <f t="shared" si="387"/>
        <v>on</v>
      </c>
    </row>
    <row r="157" spans="1:16" ht="15.75" thickBot="1" x14ac:dyDescent="0.3">
      <c r="A157" s="229">
        <f t="shared" ref="A157:B157" si="388">A156+1</f>
        <v>4252</v>
      </c>
      <c r="B157" s="230">
        <f t="shared" si="388"/>
        <v>147</v>
      </c>
      <c r="C157" s="218" t="str">
        <f t="shared" si="336"/>
        <v>81aX13_180_000#03</v>
      </c>
      <c r="D157" s="43">
        <f t="shared" ref="D157:F157" si="389">D156</f>
        <v>13</v>
      </c>
      <c r="E157" s="61">
        <f t="shared" si="389"/>
        <v>2.149</v>
      </c>
      <c r="F157" s="44">
        <f t="shared" si="389"/>
        <v>16.530769230769231</v>
      </c>
      <c r="G157" s="44">
        <f t="shared" si="283"/>
        <v>13.224615384615385</v>
      </c>
      <c r="H157" s="44">
        <f t="shared" si="284"/>
        <v>8.2653846153846153</v>
      </c>
      <c r="I157" s="44">
        <f t="shared" si="239"/>
        <v>8</v>
      </c>
      <c r="J157" s="45">
        <v>180</v>
      </c>
      <c r="K157" s="37" t="str">
        <f>D157&amp;-3</f>
        <v>13-3</v>
      </c>
      <c r="L157" s="44">
        <f t="shared" ref="L157:P157" si="390">L156</f>
        <v>0.2</v>
      </c>
      <c r="M157" s="49">
        <f>M156</f>
        <v>0</v>
      </c>
      <c r="N157" s="44">
        <f t="shared" si="265"/>
        <v>150</v>
      </c>
      <c r="O157" s="44">
        <f t="shared" si="390"/>
        <v>750</v>
      </c>
      <c r="P157" s="44" t="str">
        <f t="shared" si="390"/>
        <v>on</v>
      </c>
    </row>
    <row r="158" spans="1:16" ht="15.75" thickBot="1" x14ac:dyDescent="0.3">
      <c r="A158" s="229">
        <f t="shared" ref="A158:B158" si="391">A157+1</f>
        <v>4253</v>
      </c>
      <c r="B158" s="230">
        <f t="shared" si="391"/>
        <v>148</v>
      </c>
      <c r="C158" s="218" t="str">
        <f t="shared" si="336"/>
        <v>81aX13_180_000#04</v>
      </c>
      <c r="D158" s="43">
        <f t="shared" ref="D158:F158" si="392">D157</f>
        <v>13</v>
      </c>
      <c r="E158" s="61">
        <f t="shared" si="392"/>
        <v>2.149</v>
      </c>
      <c r="F158" s="44">
        <f t="shared" si="392"/>
        <v>16.530769230769231</v>
      </c>
      <c r="G158" s="44">
        <f t="shared" si="283"/>
        <v>13.224615384615385</v>
      </c>
      <c r="H158" s="44">
        <f t="shared" si="284"/>
        <v>8.2653846153846153</v>
      </c>
      <c r="I158" s="44">
        <f t="shared" si="239"/>
        <v>8</v>
      </c>
      <c r="J158" s="45">
        <v>180</v>
      </c>
      <c r="K158" s="37" t="str">
        <f>D158&amp;-4</f>
        <v>13-4</v>
      </c>
      <c r="L158" s="44">
        <f t="shared" ref="L158:P158" si="393">L157</f>
        <v>0.2</v>
      </c>
      <c r="M158" s="49">
        <f>M157</f>
        <v>0</v>
      </c>
      <c r="N158" s="44">
        <f t="shared" si="265"/>
        <v>150</v>
      </c>
      <c r="O158" s="44">
        <f t="shared" si="393"/>
        <v>750</v>
      </c>
      <c r="P158" s="44" t="str">
        <f t="shared" si="393"/>
        <v>on</v>
      </c>
    </row>
    <row r="159" spans="1:16" ht="15.75" thickBot="1" x14ac:dyDescent="0.3">
      <c r="A159" s="229">
        <f t="shared" ref="A159:B159" si="394">A158+1</f>
        <v>4254</v>
      </c>
      <c r="B159" s="230">
        <f t="shared" si="394"/>
        <v>149</v>
      </c>
      <c r="C159" s="218" t="str">
        <f t="shared" si="336"/>
        <v>81aX13_180_000#05</v>
      </c>
      <c r="D159" s="43">
        <f t="shared" ref="D159:F159" si="395">D158</f>
        <v>13</v>
      </c>
      <c r="E159" s="61">
        <f t="shared" si="395"/>
        <v>2.149</v>
      </c>
      <c r="F159" s="44">
        <f t="shared" si="395"/>
        <v>16.530769230769231</v>
      </c>
      <c r="G159" s="44">
        <f t="shared" si="283"/>
        <v>13.224615384615385</v>
      </c>
      <c r="H159" s="44">
        <f t="shared" si="284"/>
        <v>8.2653846153846153</v>
      </c>
      <c r="I159" s="44">
        <f t="shared" si="239"/>
        <v>8</v>
      </c>
      <c r="J159" s="45">
        <v>180</v>
      </c>
      <c r="K159" s="37" t="str">
        <f>D159&amp;-5</f>
        <v>13-5</v>
      </c>
      <c r="L159" s="44">
        <f t="shared" ref="L159:P159" si="396">L158</f>
        <v>0.2</v>
      </c>
      <c r="M159" s="49">
        <f>M158</f>
        <v>0</v>
      </c>
      <c r="N159" s="44">
        <f t="shared" si="265"/>
        <v>150</v>
      </c>
      <c r="O159" s="44">
        <f t="shared" si="396"/>
        <v>750</v>
      </c>
      <c r="P159" s="44" t="str">
        <f t="shared" si="396"/>
        <v>on</v>
      </c>
    </row>
    <row r="160" spans="1:16" ht="15.75" thickBot="1" x14ac:dyDescent="0.3">
      <c r="A160" s="229">
        <f t="shared" ref="A160:B160" si="397">A159+1</f>
        <v>4255</v>
      </c>
      <c r="B160" s="230">
        <f t="shared" si="397"/>
        <v>150</v>
      </c>
      <c r="C160" s="218" t="str">
        <f t="shared" si="336"/>
        <v>81aX13_180_000#06</v>
      </c>
      <c r="D160" s="43">
        <f t="shared" ref="D160:F160" si="398">D159</f>
        <v>13</v>
      </c>
      <c r="E160" s="61">
        <f t="shared" si="398"/>
        <v>2.149</v>
      </c>
      <c r="F160" s="44">
        <f t="shared" si="398"/>
        <v>16.530769230769231</v>
      </c>
      <c r="G160" s="44">
        <f t="shared" si="283"/>
        <v>13.224615384615385</v>
      </c>
      <c r="H160" s="44">
        <f t="shared" si="284"/>
        <v>8.2653846153846153</v>
      </c>
      <c r="I160" s="44">
        <f t="shared" si="239"/>
        <v>8</v>
      </c>
      <c r="J160" s="45">
        <v>180</v>
      </c>
      <c r="K160" s="37" t="str">
        <f>D160&amp;-6</f>
        <v>13-6</v>
      </c>
      <c r="L160" s="44">
        <f t="shared" ref="L160:P160" si="399">L159</f>
        <v>0.2</v>
      </c>
      <c r="M160" s="49">
        <f>M159</f>
        <v>0</v>
      </c>
      <c r="N160" s="44">
        <f t="shared" si="265"/>
        <v>150</v>
      </c>
      <c r="O160" s="44">
        <f t="shared" si="399"/>
        <v>750</v>
      </c>
      <c r="P160" s="44" t="str">
        <f t="shared" si="399"/>
        <v>on</v>
      </c>
    </row>
    <row r="161" spans="1:16" ht="15.75" thickBot="1" x14ac:dyDescent="0.3">
      <c r="A161" s="229">
        <f t="shared" ref="A161:B161" si="400">A160+1</f>
        <v>4256</v>
      </c>
      <c r="B161" s="230">
        <f t="shared" si="400"/>
        <v>151</v>
      </c>
      <c r="C161" s="218" t="str">
        <f t="shared" si="336"/>
        <v>81aX13_180_030#01</v>
      </c>
      <c r="D161" s="43">
        <f t="shared" ref="D161:F161" si="401">D160</f>
        <v>13</v>
      </c>
      <c r="E161" s="61">
        <f t="shared" si="401"/>
        <v>2.149</v>
      </c>
      <c r="F161" s="44">
        <f t="shared" si="401"/>
        <v>16.530769230769231</v>
      </c>
      <c r="G161" s="44">
        <f t="shared" si="283"/>
        <v>13.224615384615385</v>
      </c>
      <c r="H161" s="44">
        <f t="shared" si="284"/>
        <v>8.2653846153846153</v>
      </c>
      <c r="I161" s="44">
        <f t="shared" si="239"/>
        <v>8</v>
      </c>
      <c r="J161" s="45">
        <v>180</v>
      </c>
      <c r="K161" s="37" t="str">
        <f>D161&amp;-1</f>
        <v>13-1</v>
      </c>
      <c r="L161" s="44">
        <f t="shared" ref="L161:P161" si="402">L160</f>
        <v>0.2</v>
      </c>
      <c r="M161" s="49">
        <v>30</v>
      </c>
      <c r="N161" s="44">
        <f t="shared" si="265"/>
        <v>150</v>
      </c>
      <c r="O161" s="44">
        <f t="shared" si="402"/>
        <v>750</v>
      </c>
      <c r="P161" s="44" t="str">
        <f t="shared" si="402"/>
        <v>on</v>
      </c>
    </row>
    <row r="162" spans="1:16" ht="15.75" thickBot="1" x14ac:dyDescent="0.3">
      <c r="A162" s="229">
        <f t="shared" ref="A162:B162" si="403">A161+1</f>
        <v>4257</v>
      </c>
      <c r="B162" s="230">
        <f t="shared" si="403"/>
        <v>152</v>
      </c>
      <c r="C162" s="218" t="str">
        <f t="shared" si="336"/>
        <v>81aX13_180_030#02</v>
      </c>
      <c r="D162" s="43">
        <f t="shared" ref="D162:F162" si="404">D161</f>
        <v>13</v>
      </c>
      <c r="E162" s="61">
        <f t="shared" si="404"/>
        <v>2.149</v>
      </c>
      <c r="F162" s="44">
        <f t="shared" si="404"/>
        <v>16.530769230769231</v>
      </c>
      <c r="G162" s="44">
        <f t="shared" si="283"/>
        <v>13.224615384615385</v>
      </c>
      <c r="H162" s="44">
        <f t="shared" si="284"/>
        <v>8.2653846153846153</v>
      </c>
      <c r="I162" s="44">
        <f t="shared" si="239"/>
        <v>8</v>
      </c>
      <c r="J162" s="45">
        <v>180</v>
      </c>
      <c r="K162" s="37" t="str">
        <f>D162&amp;-2</f>
        <v>13-2</v>
      </c>
      <c r="L162" s="44">
        <f t="shared" ref="L162:P162" si="405">L161</f>
        <v>0.2</v>
      </c>
      <c r="M162" s="49">
        <f>M161</f>
        <v>30</v>
      </c>
      <c r="N162" s="44">
        <f t="shared" si="227"/>
        <v>150</v>
      </c>
      <c r="O162" s="44">
        <f t="shared" si="405"/>
        <v>750</v>
      </c>
      <c r="P162" s="44" t="str">
        <f t="shared" si="405"/>
        <v>on</v>
      </c>
    </row>
    <row r="163" spans="1:16" ht="15.75" thickBot="1" x14ac:dyDescent="0.3">
      <c r="A163" s="229">
        <f t="shared" ref="A163:B163" si="406">A162+1</f>
        <v>4258</v>
      </c>
      <c r="B163" s="230">
        <f t="shared" si="406"/>
        <v>153</v>
      </c>
      <c r="C163" s="218" t="str">
        <f t="shared" si="336"/>
        <v>81aX13_180_030#03</v>
      </c>
      <c r="D163" s="43">
        <f t="shared" ref="D163:F163" si="407">D162</f>
        <v>13</v>
      </c>
      <c r="E163" s="61">
        <f t="shared" si="407"/>
        <v>2.149</v>
      </c>
      <c r="F163" s="44">
        <f t="shared" si="407"/>
        <v>16.530769230769231</v>
      </c>
      <c r="G163" s="44">
        <f t="shared" si="283"/>
        <v>13.224615384615385</v>
      </c>
      <c r="H163" s="44">
        <f t="shared" si="284"/>
        <v>8.2653846153846153</v>
      </c>
      <c r="I163" s="44">
        <f t="shared" si="239"/>
        <v>8</v>
      </c>
      <c r="J163" s="45">
        <v>180</v>
      </c>
      <c r="K163" s="37" t="str">
        <f>D163&amp;-3</f>
        <v>13-3</v>
      </c>
      <c r="L163" s="44">
        <f t="shared" ref="L163:P163" si="408">L162</f>
        <v>0.2</v>
      </c>
      <c r="M163" s="49">
        <f>M162</f>
        <v>30</v>
      </c>
      <c r="N163" s="44">
        <f t="shared" si="227"/>
        <v>150</v>
      </c>
      <c r="O163" s="44">
        <f t="shared" si="408"/>
        <v>750</v>
      </c>
      <c r="P163" s="44" t="str">
        <f t="shared" si="408"/>
        <v>on</v>
      </c>
    </row>
    <row r="164" spans="1:16" ht="15.75" thickBot="1" x14ac:dyDescent="0.3">
      <c r="A164" s="229">
        <f t="shared" ref="A164:B164" si="409">A163+1</f>
        <v>4259</v>
      </c>
      <c r="B164" s="230">
        <f t="shared" si="409"/>
        <v>154</v>
      </c>
      <c r="C164" s="218" t="str">
        <f t="shared" si="336"/>
        <v>81aX13_180_030#04</v>
      </c>
      <c r="D164" s="43">
        <f t="shared" ref="D164:F164" si="410">D163</f>
        <v>13</v>
      </c>
      <c r="E164" s="61">
        <f t="shared" si="410"/>
        <v>2.149</v>
      </c>
      <c r="F164" s="44">
        <f t="shared" si="410"/>
        <v>16.530769230769231</v>
      </c>
      <c r="G164" s="44">
        <f t="shared" si="283"/>
        <v>13.224615384615385</v>
      </c>
      <c r="H164" s="44">
        <f t="shared" si="284"/>
        <v>8.2653846153846153</v>
      </c>
      <c r="I164" s="44">
        <f t="shared" si="239"/>
        <v>8</v>
      </c>
      <c r="J164" s="45">
        <v>180</v>
      </c>
      <c r="K164" s="37" t="str">
        <f>D164&amp;-4</f>
        <v>13-4</v>
      </c>
      <c r="L164" s="44">
        <f t="shared" ref="L164:P164" si="411">L163</f>
        <v>0.2</v>
      </c>
      <c r="M164" s="49">
        <f>M163</f>
        <v>30</v>
      </c>
      <c r="N164" s="44">
        <f t="shared" si="227"/>
        <v>150</v>
      </c>
      <c r="O164" s="44">
        <f t="shared" si="411"/>
        <v>750</v>
      </c>
      <c r="P164" s="44" t="str">
        <f t="shared" si="411"/>
        <v>on</v>
      </c>
    </row>
    <row r="165" spans="1:16" ht="15.75" thickBot="1" x14ac:dyDescent="0.3">
      <c r="A165" s="229">
        <f t="shared" ref="A165:B165" si="412">A164+1</f>
        <v>4260</v>
      </c>
      <c r="B165" s="230">
        <f t="shared" si="412"/>
        <v>155</v>
      </c>
      <c r="C165" s="218" t="str">
        <f t="shared" si="336"/>
        <v>81aX13_180_030#05</v>
      </c>
      <c r="D165" s="43">
        <f t="shared" ref="D165:F165" si="413">D164</f>
        <v>13</v>
      </c>
      <c r="E165" s="61">
        <f t="shared" si="413"/>
        <v>2.149</v>
      </c>
      <c r="F165" s="44">
        <f t="shared" si="413"/>
        <v>16.530769230769231</v>
      </c>
      <c r="G165" s="44">
        <f t="shared" si="283"/>
        <v>13.224615384615385</v>
      </c>
      <c r="H165" s="44">
        <f t="shared" si="284"/>
        <v>8.2653846153846153</v>
      </c>
      <c r="I165" s="44">
        <f t="shared" si="239"/>
        <v>8</v>
      </c>
      <c r="J165" s="45">
        <v>180</v>
      </c>
      <c r="K165" s="37" t="str">
        <f>D165&amp;-5</f>
        <v>13-5</v>
      </c>
      <c r="L165" s="44">
        <f t="shared" ref="L165:P165" si="414">L164</f>
        <v>0.2</v>
      </c>
      <c r="M165" s="49">
        <f>M164</f>
        <v>30</v>
      </c>
      <c r="N165" s="44">
        <f t="shared" si="227"/>
        <v>150</v>
      </c>
      <c r="O165" s="44">
        <f t="shared" si="414"/>
        <v>750</v>
      </c>
      <c r="P165" s="44" t="str">
        <f t="shared" si="414"/>
        <v>on</v>
      </c>
    </row>
    <row r="166" spans="1:16" ht="15.75" thickBot="1" x14ac:dyDescent="0.3">
      <c r="A166" s="229">
        <f t="shared" ref="A166:B166" si="415">A165+1</f>
        <v>4261</v>
      </c>
      <c r="B166" s="230">
        <f t="shared" si="415"/>
        <v>156</v>
      </c>
      <c r="C166" s="218" t="str">
        <f t="shared" si="336"/>
        <v>81aX13_180_030#06</v>
      </c>
      <c r="D166" s="43">
        <f t="shared" ref="D166:F166" si="416">D165</f>
        <v>13</v>
      </c>
      <c r="E166" s="61">
        <f t="shared" si="416"/>
        <v>2.149</v>
      </c>
      <c r="F166" s="44">
        <f t="shared" si="416"/>
        <v>16.530769230769231</v>
      </c>
      <c r="G166" s="44">
        <f t="shared" si="283"/>
        <v>13.224615384615385</v>
      </c>
      <c r="H166" s="44">
        <f t="shared" si="284"/>
        <v>8.2653846153846153</v>
      </c>
      <c r="I166" s="44">
        <f t="shared" si="239"/>
        <v>8</v>
      </c>
      <c r="J166" s="45">
        <v>180</v>
      </c>
      <c r="K166" s="37" t="str">
        <f>D166&amp;-6</f>
        <v>13-6</v>
      </c>
      <c r="L166" s="44">
        <f t="shared" ref="L166:P166" si="417">L165</f>
        <v>0.2</v>
      </c>
      <c r="M166" s="49">
        <f>M165</f>
        <v>30</v>
      </c>
      <c r="N166" s="44">
        <f t="shared" si="227"/>
        <v>150</v>
      </c>
      <c r="O166" s="44">
        <f t="shared" si="417"/>
        <v>750</v>
      </c>
      <c r="P166" s="44" t="str">
        <f t="shared" si="417"/>
        <v>on</v>
      </c>
    </row>
    <row r="167" spans="1:16" ht="15.75" thickBot="1" x14ac:dyDescent="0.3">
      <c r="A167" s="229">
        <f t="shared" ref="A167:B167" si="418">A166+1</f>
        <v>4262</v>
      </c>
      <c r="B167" s="230">
        <f t="shared" si="418"/>
        <v>157</v>
      </c>
      <c r="C167" s="218" t="str">
        <f t="shared" si="336"/>
        <v>81aX13_180_060#01</v>
      </c>
      <c r="D167" s="43">
        <f t="shared" ref="D167:F167" si="419">D166</f>
        <v>13</v>
      </c>
      <c r="E167" s="61">
        <f t="shared" si="419"/>
        <v>2.149</v>
      </c>
      <c r="F167" s="44">
        <f t="shared" si="419"/>
        <v>16.530769230769231</v>
      </c>
      <c r="G167" s="44">
        <f t="shared" si="283"/>
        <v>13.224615384615385</v>
      </c>
      <c r="H167" s="44">
        <f t="shared" si="284"/>
        <v>8.2653846153846153</v>
      </c>
      <c r="I167" s="44">
        <f t="shared" si="239"/>
        <v>8</v>
      </c>
      <c r="J167" s="45">
        <v>180</v>
      </c>
      <c r="K167" s="37" t="str">
        <f>D167&amp;-1</f>
        <v>13-1</v>
      </c>
      <c r="L167" s="44">
        <f t="shared" ref="L167:P167" si="420">L166</f>
        <v>0.2</v>
      </c>
      <c r="M167" s="49">
        <v>60</v>
      </c>
      <c r="N167" s="44">
        <f t="shared" si="227"/>
        <v>150</v>
      </c>
      <c r="O167" s="44">
        <f t="shared" si="420"/>
        <v>750</v>
      </c>
      <c r="P167" s="44" t="str">
        <f t="shared" si="420"/>
        <v>on</v>
      </c>
    </row>
    <row r="168" spans="1:16" ht="15.75" thickBot="1" x14ac:dyDescent="0.3">
      <c r="A168" s="229">
        <f t="shared" ref="A168:B168" si="421">A167+1</f>
        <v>4263</v>
      </c>
      <c r="B168" s="230">
        <f t="shared" si="421"/>
        <v>158</v>
      </c>
      <c r="C168" s="218" t="str">
        <f t="shared" si="336"/>
        <v>81aX13_180_060#02</v>
      </c>
      <c r="D168" s="43">
        <f t="shared" ref="D168:F168" si="422">D167</f>
        <v>13</v>
      </c>
      <c r="E168" s="61">
        <f t="shared" si="422"/>
        <v>2.149</v>
      </c>
      <c r="F168" s="44">
        <f t="shared" si="422"/>
        <v>16.530769230769231</v>
      </c>
      <c r="G168" s="44">
        <f t="shared" si="283"/>
        <v>13.224615384615385</v>
      </c>
      <c r="H168" s="44">
        <f t="shared" si="284"/>
        <v>8.2653846153846153</v>
      </c>
      <c r="I168" s="44">
        <f t="shared" si="239"/>
        <v>8</v>
      </c>
      <c r="J168" s="45">
        <v>180</v>
      </c>
      <c r="K168" s="37" t="str">
        <f>D168&amp;-2</f>
        <v>13-2</v>
      </c>
      <c r="L168" s="44">
        <f t="shared" ref="L168:P168" si="423">L167</f>
        <v>0.2</v>
      </c>
      <c r="M168" s="49">
        <f>M167</f>
        <v>60</v>
      </c>
      <c r="N168" s="44">
        <f t="shared" si="227"/>
        <v>150</v>
      </c>
      <c r="O168" s="44">
        <f t="shared" si="423"/>
        <v>750</v>
      </c>
      <c r="P168" s="44" t="str">
        <f t="shared" si="423"/>
        <v>on</v>
      </c>
    </row>
    <row r="169" spans="1:16" ht="15.75" thickBot="1" x14ac:dyDescent="0.3">
      <c r="A169" s="229">
        <f t="shared" ref="A169:B169" si="424">A168+1</f>
        <v>4264</v>
      </c>
      <c r="B169" s="230">
        <f t="shared" si="424"/>
        <v>159</v>
      </c>
      <c r="C169" s="218" t="str">
        <f t="shared" si="336"/>
        <v>81aX13_180_060#03</v>
      </c>
      <c r="D169" s="43">
        <f t="shared" ref="D169:F169" si="425">D168</f>
        <v>13</v>
      </c>
      <c r="E169" s="61">
        <f t="shared" si="425"/>
        <v>2.149</v>
      </c>
      <c r="F169" s="44">
        <f t="shared" si="425"/>
        <v>16.530769230769231</v>
      </c>
      <c r="G169" s="44">
        <f t="shared" si="283"/>
        <v>13.224615384615385</v>
      </c>
      <c r="H169" s="44">
        <f t="shared" si="284"/>
        <v>8.2653846153846153</v>
      </c>
      <c r="I169" s="44">
        <f t="shared" si="239"/>
        <v>8</v>
      </c>
      <c r="J169" s="45">
        <v>180</v>
      </c>
      <c r="K169" s="37" t="str">
        <f>D169&amp;-3</f>
        <v>13-3</v>
      </c>
      <c r="L169" s="44">
        <f t="shared" ref="L169:P169" si="426">L168</f>
        <v>0.2</v>
      </c>
      <c r="M169" s="49">
        <f>M168</f>
        <v>60</v>
      </c>
      <c r="N169" s="44">
        <f t="shared" ref="N169:N230" si="427">N168</f>
        <v>150</v>
      </c>
      <c r="O169" s="44">
        <f t="shared" si="426"/>
        <v>750</v>
      </c>
      <c r="P169" s="44" t="str">
        <f t="shared" si="426"/>
        <v>on</v>
      </c>
    </row>
    <row r="170" spans="1:16" ht="15.75" thickBot="1" x14ac:dyDescent="0.3">
      <c r="A170" s="229">
        <f t="shared" ref="A170:B170" si="428">A169+1</f>
        <v>4265</v>
      </c>
      <c r="B170" s="230">
        <f t="shared" si="428"/>
        <v>160</v>
      </c>
      <c r="C170" s="218" t="str">
        <f t="shared" si="336"/>
        <v>81aX13_180_060#04</v>
      </c>
      <c r="D170" s="43">
        <f t="shared" ref="D170:F170" si="429">D169</f>
        <v>13</v>
      </c>
      <c r="E170" s="61">
        <f t="shared" si="429"/>
        <v>2.149</v>
      </c>
      <c r="F170" s="44">
        <f t="shared" si="429"/>
        <v>16.530769230769231</v>
      </c>
      <c r="G170" s="44">
        <f t="shared" si="283"/>
        <v>13.224615384615385</v>
      </c>
      <c r="H170" s="44">
        <f t="shared" si="284"/>
        <v>8.2653846153846153</v>
      </c>
      <c r="I170" s="44">
        <f t="shared" si="239"/>
        <v>8</v>
      </c>
      <c r="J170" s="45">
        <v>180</v>
      </c>
      <c r="K170" s="37" t="str">
        <f>D170&amp;-4</f>
        <v>13-4</v>
      </c>
      <c r="L170" s="44">
        <f t="shared" ref="L170:P170" si="430">L169</f>
        <v>0.2</v>
      </c>
      <c r="M170" s="49">
        <f>M169</f>
        <v>60</v>
      </c>
      <c r="N170" s="44">
        <f t="shared" si="427"/>
        <v>150</v>
      </c>
      <c r="O170" s="44">
        <f t="shared" si="430"/>
        <v>750</v>
      </c>
      <c r="P170" s="44" t="str">
        <f t="shared" si="430"/>
        <v>on</v>
      </c>
    </row>
    <row r="171" spans="1:16" ht="15.75" thickBot="1" x14ac:dyDescent="0.3">
      <c r="A171" s="229">
        <f t="shared" ref="A171:B171" si="431">A170+1</f>
        <v>4266</v>
      </c>
      <c r="B171" s="230">
        <f t="shared" si="431"/>
        <v>161</v>
      </c>
      <c r="C171" s="218" t="str">
        <f t="shared" si="336"/>
        <v>81aX13_180_060#05</v>
      </c>
      <c r="D171" s="43">
        <f t="shared" ref="D171:F171" si="432">D170</f>
        <v>13</v>
      </c>
      <c r="E171" s="61">
        <f t="shared" si="432"/>
        <v>2.149</v>
      </c>
      <c r="F171" s="44">
        <f t="shared" si="432"/>
        <v>16.530769230769231</v>
      </c>
      <c r="G171" s="44">
        <f t="shared" si="283"/>
        <v>13.224615384615385</v>
      </c>
      <c r="H171" s="44">
        <f t="shared" si="284"/>
        <v>8.2653846153846153</v>
      </c>
      <c r="I171" s="44">
        <f t="shared" si="239"/>
        <v>8</v>
      </c>
      <c r="J171" s="45">
        <v>180</v>
      </c>
      <c r="K171" s="37" t="str">
        <f>D171&amp;-5</f>
        <v>13-5</v>
      </c>
      <c r="L171" s="44">
        <f t="shared" ref="L171:P171" si="433">L170</f>
        <v>0.2</v>
      </c>
      <c r="M171" s="49">
        <f>M170</f>
        <v>60</v>
      </c>
      <c r="N171" s="44">
        <f t="shared" si="427"/>
        <v>150</v>
      </c>
      <c r="O171" s="44">
        <f t="shared" si="433"/>
        <v>750</v>
      </c>
      <c r="P171" s="44" t="str">
        <f t="shared" si="433"/>
        <v>on</v>
      </c>
    </row>
    <row r="172" spans="1:16" ht="15.75" thickBot="1" x14ac:dyDescent="0.3">
      <c r="A172" s="229">
        <f t="shared" ref="A172:B172" si="434">A171+1</f>
        <v>4267</v>
      </c>
      <c r="B172" s="230">
        <f t="shared" si="434"/>
        <v>162</v>
      </c>
      <c r="C172" s="218" t="str">
        <f t="shared" si="336"/>
        <v>81aX13_180_060#06</v>
      </c>
      <c r="D172" s="43">
        <f t="shared" ref="D172:F172" si="435">D171</f>
        <v>13</v>
      </c>
      <c r="E172" s="61">
        <f t="shared" si="435"/>
        <v>2.149</v>
      </c>
      <c r="F172" s="44">
        <f t="shared" si="435"/>
        <v>16.530769230769231</v>
      </c>
      <c r="G172" s="44">
        <f t="shared" si="283"/>
        <v>13.224615384615385</v>
      </c>
      <c r="H172" s="44">
        <f t="shared" si="284"/>
        <v>8.2653846153846153</v>
      </c>
      <c r="I172" s="44">
        <f t="shared" si="239"/>
        <v>8</v>
      </c>
      <c r="J172" s="45">
        <v>180</v>
      </c>
      <c r="K172" s="37" t="str">
        <f>D172&amp;-6</f>
        <v>13-6</v>
      </c>
      <c r="L172" s="44">
        <f t="shared" ref="L172:P172" si="436">L171</f>
        <v>0.2</v>
      </c>
      <c r="M172" s="49">
        <f>M171</f>
        <v>60</v>
      </c>
      <c r="N172" s="44">
        <f t="shared" si="427"/>
        <v>150</v>
      </c>
      <c r="O172" s="44">
        <f t="shared" si="436"/>
        <v>750</v>
      </c>
      <c r="P172" s="44" t="str">
        <f t="shared" si="436"/>
        <v>on</v>
      </c>
    </row>
    <row r="173" spans="1:16" ht="15.75" thickBot="1" x14ac:dyDescent="0.3">
      <c r="A173" s="229">
        <f t="shared" ref="A173:B173" si="437">A172+1</f>
        <v>4268</v>
      </c>
      <c r="B173" s="230">
        <f t="shared" si="437"/>
        <v>163</v>
      </c>
      <c r="C173" s="218" t="str">
        <f t="shared" si="336"/>
        <v>81aX13_180_090#01</v>
      </c>
      <c r="D173" s="43">
        <f t="shared" ref="D173:F173" si="438">D172</f>
        <v>13</v>
      </c>
      <c r="E173" s="61">
        <f t="shared" si="438"/>
        <v>2.149</v>
      </c>
      <c r="F173" s="44">
        <f t="shared" si="438"/>
        <v>16.530769230769231</v>
      </c>
      <c r="G173" s="44">
        <f t="shared" si="283"/>
        <v>13.224615384615385</v>
      </c>
      <c r="H173" s="44">
        <f t="shared" si="284"/>
        <v>8.2653846153846153</v>
      </c>
      <c r="I173" s="44">
        <f t="shared" ref="I173:I236" si="439">I172</f>
        <v>8</v>
      </c>
      <c r="J173" s="45">
        <v>180</v>
      </c>
      <c r="K173" s="37" t="str">
        <f>D173&amp;-1</f>
        <v>13-1</v>
      </c>
      <c r="L173" s="44">
        <f t="shared" ref="L173:P173" si="440">L172</f>
        <v>0.2</v>
      </c>
      <c r="M173" s="49">
        <v>90</v>
      </c>
      <c r="N173" s="44">
        <f t="shared" si="427"/>
        <v>150</v>
      </c>
      <c r="O173" s="44">
        <f t="shared" si="440"/>
        <v>750</v>
      </c>
      <c r="P173" s="44" t="str">
        <f t="shared" si="440"/>
        <v>on</v>
      </c>
    </row>
    <row r="174" spans="1:16" ht="15.75" thickBot="1" x14ac:dyDescent="0.3">
      <c r="A174" s="229">
        <f t="shared" ref="A174:B174" si="441">A173+1</f>
        <v>4269</v>
      </c>
      <c r="B174" s="230">
        <f t="shared" si="441"/>
        <v>164</v>
      </c>
      <c r="C174" s="218" t="str">
        <f t="shared" si="336"/>
        <v>81aX13_180_090#02</v>
      </c>
      <c r="D174" s="43">
        <f t="shared" ref="D174:F174" si="442">D173</f>
        <v>13</v>
      </c>
      <c r="E174" s="61">
        <f t="shared" si="442"/>
        <v>2.149</v>
      </c>
      <c r="F174" s="44">
        <f t="shared" si="442"/>
        <v>16.530769230769231</v>
      </c>
      <c r="G174" s="44">
        <f t="shared" si="283"/>
        <v>13.224615384615385</v>
      </c>
      <c r="H174" s="44">
        <f t="shared" si="284"/>
        <v>8.2653846153846153</v>
      </c>
      <c r="I174" s="44">
        <f t="shared" si="439"/>
        <v>8</v>
      </c>
      <c r="J174" s="45">
        <v>180</v>
      </c>
      <c r="K174" s="37" t="str">
        <f>D174&amp;-2</f>
        <v>13-2</v>
      </c>
      <c r="L174" s="44">
        <f t="shared" ref="L174:P174" si="443">L173</f>
        <v>0.2</v>
      </c>
      <c r="M174" s="49">
        <f>M173</f>
        <v>90</v>
      </c>
      <c r="N174" s="44">
        <f t="shared" ref="N174" si="444">N173</f>
        <v>150</v>
      </c>
      <c r="O174" s="44">
        <f t="shared" si="443"/>
        <v>750</v>
      </c>
      <c r="P174" s="44" t="str">
        <f t="shared" si="443"/>
        <v>on</v>
      </c>
    </row>
    <row r="175" spans="1:16" ht="15.75" thickBot="1" x14ac:dyDescent="0.3">
      <c r="A175" s="229">
        <f t="shared" ref="A175:B175" si="445">A174+1</f>
        <v>4270</v>
      </c>
      <c r="B175" s="230">
        <f t="shared" si="445"/>
        <v>165</v>
      </c>
      <c r="C175" s="218" t="str">
        <f t="shared" si="336"/>
        <v>81aX13_180_090#03</v>
      </c>
      <c r="D175" s="43">
        <f t="shared" ref="D175:F175" si="446">D174</f>
        <v>13</v>
      </c>
      <c r="E175" s="61">
        <f t="shared" si="446"/>
        <v>2.149</v>
      </c>
      <c r="F175" s="44">
        <f t="shared" si="446"/>
        <v>16.530769230769231</v>
      </c>
      <c r="G175" s="44">
        <f t="shared" si="283"/>
        <v>13.224615384615385</v>
      </c>
      <c r="H175" s="44">
        <f t="shared" si="284"/>
        <v>8.2653846153846153</v>
      </c>
      <c r="I175" s="44">
        <f t="shared" si="439"/>
        <v>8</v>
      </c>
      <c r="J175" s="45">
        <v>180</v>
      </c>
      <c r="K175" s="37" t="str">
        <f>D175&amp;-3</f>
        <v>13-3</v>
      </c>
      <c r="L175" s="44">
        <f t="shared" ref="L175:P175" si="447">L174</f>
        <v>0.2</v>
      </c>
      <c r="M175" s="49">
        <f>M174</f>
        <v>90</v>
      </c>
      <c r="N175" s="44">
        <f t="shared" si="265"/>
        <v>150</v>
      </c>
      <c r="O175" s="44">
        <f t="shared" si="447"/>
        <v>750</v>
      </c>
      <c r="P175" s="44" t="str">
        <f t="shared" si="447"/>
        <v>on</v>
      </c>
    </row>
    <row r="176" spans="1:16" ht="15.75" thickBot="1" x14ac:dyDescent="0.3">
      <c r="A176" s="229">
        <f t="shared" ref="A176:B176" si="448">A175+1</f>
        <v>4271</v>
      </c>
      <c r="B176" s="230">
        <f t="shared" si="448"/>
        <v>166</v>
      </c>
      <c r="C176" s="218" t="str">
        <f t="shared" si="336"/>
        <v>81aX13_180_090#04</v>
      </c>
      <c r="D176" s="43">
        <f t="shared" ref="D176:F176" si="449">D175</f>
        <v>13</v>
      </c>
      <c r="E176" s="61">
        <f t="shared" si="449"/>
        <v>2.149</v>
      </c>
      <c r="F176" s="44">
        <f t="shared" si="449"/>
        <v>16.530769230769231</v>
      </c>
      <c r="G176" s="44">
        <f t="shared" si="283"/>
        <v>13.224615384615385</v>
      </c>
      <c r="H176" s="44">
        <f t="shared" si="284"/>
        <v>8.2653846153846153</v>
      </c>
      <c r="I176" s="44">
        <f t="shared" si="439"/>
        <v>8</v>
      </c>
      <c r="J176" s="45">
        <v>180</v>
      </c>
      <c r="K176" s="37" t="str">
        <f>D176&amp;-4</f>
        <v>13-4</v>
      </c>
      <c r="L176" s="44">
        <f t="shared" ref="L176:P176" si="450">L175</f>
        <v>0.2</v>
      </c>
      <c r="M176" s="49">
        <f>M175</f>
        <v>90</v>
      </c>
      <c r="N176" s="44">
        <f t="shared" si="265"/>
        <v>150</v>
      </c>
      <c r="O176" s="44">
        <f t="shared" si="450"/>
        <v>750</v>
      </c>
      <c r="P176" s="44" t="str">
        <f t="shared" si="450"/>
        <v>on</v>
      </c>
    </row>
    <row r="177" spans="1:16" ht="15.75" thickBot="1" x14ac:dyDescent="0.3">
      <c r="A177" s="229">
        <f t="shared" ref="A177:B177" si="451">A176+1</f>
        <v>4272</v>
      </c>
      <c r="B177" s="230">
        <f t="shared" si="451"/>
        <v>167</v>
      </c>
      <c r="C177" s="218" t="str">
        <f t="shared" si="336"/>
        <v>81aX13_180_090#05</v>
      </c>
      <c r="D177" s="43">
        <f t="shared" ref="D177:F177" si="452">D176</f>
        <v>13</v>
      </c>
      <c r="E177" s="61">
        <f t="shared" si="452"/>
        <v>2.149</v>
      </c>
      <c r="F177" s="44">
        <f t="shared" si="452"/>
        <v>16.530769230769231</v>
      </c>
      <c r="G177" s="44">
        <f t="shared" si="283"/>
        <v>13.224615384615385</v>
      </c>
      <c r="H177" s="44">
        <f t="shared" si="284"/>
        <v>8.2653846153846153</v>
      </c>
      <c r="I177" s="44">
        <f t="shared" si="439"/>
        <v>8</v>
      </c>
      <c r="J177" s="45">
        <v>180</v>
      </c>
      <c r="K177" s="37" t="str">
        <f>D177&amp;-5</f>
        <v>13-5</v>
      </c>
      <c r="L177" s="44">
        <f t="shared" ref="L177:P177" si="453">L176</f>
        <v>0.2</v>
      </c>
      <c r="M177" s="49">
        <f>M176</f>
        <v>90</v>
      </c>
      <c r="N177" s="44">
        <f t="shared" si="265"/>
        <v>150</v>
      </c>
      <c r="O177" s="44">
        <f t="shared" si="453"/>
        <v>750</v>
      </c>
      <c r="P177" s="44" t="str">
        <f t="shared" si="453"/>
        <v>on</v>
      </c>
    </row>
    <row r="178" spans="1:16" ht="15.75" thickBot="1" x14ac:dyDescent="0.3">
      <c r="A178" s="229">
        <f t="shared" ref="A178:B178" si="454">A177+1</f>
        <v>4273</v>
      </c>
      <c r="B178" s="230">
        <f t="shared" si="454"/>
        <v>168</v>
      </c>
      <c r="C178" s="218" t="str">
        <f t="shared" si="336"/>
        <v>81aX13_180_090#06</v>
      </c>
      <c r="D178" s="43">
        <f t="shared" ref="D178:F178" si="455">D177</f>
        <v>13</v>
      </c>
      <c r="E178" s="61">
        <f t="shared" si="455"/>
        <v>2.149</v>
      </c>
      <c r="F178" s="44">
        <f t="shared" si="455"/>
        <v>16.530769230769231</v>
      </c>
      <c r="G178" s="44">
        <f t="shared" si="283"/>
        <v>13.224615384615385</v>
      </c>
      <c r="H178" s="44">
        <f t="shared" si="284"/>
        <v>8.2653846153846153</v>
      </c>
      <c r="I178" s="44">
        <f t="shared" si="439"/>
        <v>8</v>
      </c>
      <c r="J178" s="45">
        <v>180</v>
      </c>
      <c r="K178" s="37" t="str">
        <f>D178&amp;-6</f>
        <v>13-6</v>
      </c>
      <c r="L178" s="44">
        <f t="shared" ref="L178:P178" si="456">L177</f>
        <v>0.2</v>
      </c>
      <c r="M178" s="49">
        <f>M177</f>
        <v>90</v>
      </c>
      <c r="N178" s="44">
        <f t="shared" si="265"/>
        <v>150</v>
      </c>
      <c r="O178" s="44">
        <f t="shared" si="456"/>
        <v>750</v>
      </c>
      <c r="P178" s="44" t="str">
        <f t="shared" si="456"/>
        <v>on</v>
      </c>
    </row>
    <row r="179" spans="1:16" ht="15.75" thickBot="1" x14ac:dyDescent="0.3">
      <c r="A179" s="229">
        <f t="shared" ref="A179:B179" si="457">A178+1</f>
        <v>4274</v>
      </c>
      <c r="B179" s="230">
        <f t="shared" si="457"/>
        <v>169</v>
      </c>
      <c r="C179" s="218" t="str">
        <f t="shared" si="336"/>
        <v>81aX13_210_000#01</v>
      </c>
      <c r="D179" s="43">
        <f t="shared" ref="D179:F179" si="458">D178</f>
        <v>13</v>
      </c>
      <c r="E179" s="61">
        <f t="shared" si="458"/>
        <v>2.149</v>
      </c>
      <c r="F179" s="44">
        <f t="shared" si="458"/>
        <v>16.530769230769231</v>
      </c>
      <c r="G179" s="44">
        <f t="shared" si="283"/>
        <v>13.224615384615385</v>
      </c>
      <c r="H179" s="44">
        <f t="shared" si="284"/>
        <v>8.2653846153846153</v>
      </c>
      <c r="I179" s="44">
        <f t="shared" si="439"/>
        <v>8</v>
      </c>
      <c r="J179" s="45">
        <v>210</v>
      </c>
      <c r="K179" s="37" t="str">
        <f>D179&amp;-1</f>
        <v>13-1</v>
      </c>
      <c r="L179" s="44">
        <f t="shared" ref="L179:P179" si="459">L178</f>
        <v>0.2</v>
      </c>
      <c r="M179" s="49">
        <v>0</v>
      </c>
      <c r="N179" s="44">
        <f t="shared" si="265"/>
        <v>150</v>
      </c>
      <c r="O179" s="44">
        <f t="shared" si="459"/>
        <v>750</v>
      </c>
      <c r="P179" s="44" t="str">
        <f t="shared" si="459"/>
        <v>on</v>
      </c>
    </row>
    <row r="180" spans="1:16" ht="15.75" thickBot="1" x14ac:dyDescent="0.3">
      <c r="A180" s="229">
        <f t="shared" ref="A180:B180" si="460">A179+1</f>
        <v>4275</v>
      </c>
      <c r="B180" s="230">
        <f t="shared" si="460"/>
        <v>170</v>
      </c>
      <c r="C180" s="218" t="str">
        <f t="shared" si="336"/>
        <v>81aX13_210_000#02</v>
      </c>
      <c r="D180" s="43">
        <f t="shared" ref="D180:F180" si="461">D179</f>
        <v>13</v>
      </c>
      <c r="E180" s="61">
        <f t="shared" si="461"/>
        <v>2.149</v>
      </c>
      <c r="F180" s="44">
        <f t="shared" si="461"/>
        <v>16.530769230769231</v>
      </c>
      <c r="G180" s="44">
        <f t="shared" si="283"/>
        <v>13.224615384615385</v>
      </c>
      <c r="H180" s="44">
        <f t="shared" si="284"/>
        <v>8.2653846153846153</v>
      </c>
      <c r="I180" s="44">
        <f t="shared" si="439"/>
        <v>8</v>
      </c>
      <c r="J180" s="45">
        <v>210</v>
      </c>
      <c r="K180" s="37" t="str">
        <f>D180&amp;-2</f>
        <v>13-2</v>
      </c>
      <c r="L180" s="44">
        <f t="shared" ref="L180:P180" si="462">L179</f>
        <v>0.2</v>
      </c>
      <c r="M180" s="49">
        <f>M179</f>
        <v>0</v>
      </c>
      <c r="N180" s="44">
        <f t="shared" si="265"/>
        <v>150</v>
      </c>
      <c r="O180" s="44">
        <f t="shared" si="462"/>
        <v>750</v>
      </c>
      <c r="P180" s="44" t="str">
        <f t="shared" si="462"/>
        <v>on</v>
      </c>
    </row>
    <row r="181" spans="1:16" ht="15.75" thickBot="1" x14ac:dyDescent="0.3">
      <c r="A181" s="229">
        <f t="shared" ref="A181:B181" si="463">A180+1</f>
        <v>4276</v>
      </c>
      <c r="B181" s="230">
        <f t="shared" si="463"/>
        <v>171</v>
      </c>
      <c r="C181" s="218" t="str">
        <f t="shared" si="336"/>
        <v>81aX13_210_000#03</v>
      </c>
      <c r="D181" s="43">
        <f t="shared" ref="D181:F181" si="464">D180</f>
        <v>13</v>
      </c>
      <c r="E181" s="61">
        <f t="shared" si="464"/>
        <v>2.149</v>
      </c>
      <c r="F181" s="44">
        <f t="shared" si="464"/>
        <v>16.530769230769231</v>
      </c>
      <c r="G181" s="44">
        <f t="shared" si="283"/>
        <v>13.224615384615385</v>
      </c>
      <c r="H181" s="44">
        <f t="shared" si="284"/>
        <v>8.2653846153846153</v>
      </c>
      <c r="I181" s="44">
        <f t="shared" si="439"/>
        <v>8</v>
      </c>
      <c r="J181" s="45">
        <v>210</v>
      </c>
      <c r="K181" s="37" t="str">
        <f>D181&amp;-3</f>
        <v>13-3</v>
      </c>
      <c r="L181" s="44">
        <f t="shared" ref="L181:P181" si="465">L180</f>
        <v>0.2</v>
      </c>
      <c r="M181" s="49">
        <f>M180</f>
        <v>0</v>
      </c>
      <c r="N181" s="44">
        <f t="shared" ref="N181:N244" si="466">N180</f>
        <v>150</v>
      </c>
      <c r="O181" s="44">
        <f t="shared" si="465"/>
        <v>750</v>
      </c>
      <c r="P181" s="44" t="str">
        <f t="shared" si="465"/>
        <v>on</v>
      </c>
    </row>
    <row r="182" spans="1:16" ht="15.75" thickBot="1" x14ac:dyDescent="0.3">
      <c r="A182" s="229">
        <f t="shared" ref="A182:B182" si="467">A181+1</f>
        <v>4277</v>
      </c>
      <c r="B182" s="230">
        <f t="shared" si="467"/>
        <v>172</v>
      </c>
      <c r="C182" s="218" t="str">
        <f t="shared" si="336"/>
        <v>81aX13_210_000#04</v>
      </c>
      <c r="D182" s="43">
        <f t="shared" ref="D182:F182" si="468">D181</f>
        <v>13</v>
      </c>
      <c r="E182" s="61">
        <f t="shared" si="468"/>
        <v>2.149</v>
      </c>
      <c r="F182" s="44">
        <f t="shared" si="468"/>
        <v>16.530769230769231</v>
      </c>
      <c r="G182" s="44">
        <f t="shared" si="283"/>
        <v>13.224615384615385</v>
      </c>
      <c r="H182" s="44">
        <f t="shared" si="284"/>
        <v>8.2653846153846153</v>
      </c>
      <c r="I182" s="44">
        <f t="shared" si="439"/>
        <v>8</v>
      </c>
      <c r="J182" s="45">
        <v>210</v>
      </c>
      <c r="K182" s="37" t="str">
        <f>D182&amp;-4</f>
        <v>13-4</v>
      </c>
      <c r="L182" s="44">
        <f t="shared" ref="L182:P182" si="469">L181</f>
        <v>0.2</v>
      </c>
      <c r="M182" s="49">
        <f>M181</f>
        <v>0</v>
      </c>
      <c r="N182" s="44">
        <f t="shared" si="466"/>
        <v>150</v>
      </c>
      <c r="O182" s="44">
        <f t="shared" si="469"/>
        <v>750</v>
      </c>
      <c r="P182" s="44" t="str">
        <f t="shared" si="469"/>
        <v>on</v>
      </c>
    </row>
    <row r="183" spans="1:16" ht="15.75" thickBot="1" x14ac:dyDescent="0.3">
      <c r="A183" s="229">
        <f t="shared" ref="A183:B183" si="470">A182+1</f>
        <v>4278</v>
      </c>
      <c r="B183" s="230">
        <f t="shared" si="470"/>
        <v>173</v>
      </c>
      <c r="C183" s="218" t="str">
        <f t="shared" si="336"/>
        <v>81aX13_210_000#05</v>
      </c>
      <c r="D183" s="43">
        <f t="shared" ref="D183:F183" si="471">D182</f>
        <v>13</v>
      </c>
      <c r="E183" s="61">
        <f t="shared" si="471"/>
        <v>2.149</v>
      </c>
      <c r="F183" s="44">
        <f t="shared" si="471"/>
        <v>16.530769230769231</v>
      </c>
      <c r="G183" s="44">
        <f t="shared" si="283"/>
        <v>13.224615384615385</v>
      </c>
      <c r="H183" s="44">
        <f t="shared" si="284"/>
        <v>8.2653846153846153</v>
      </c>
      <c r="I183" s="44">
        <f t="shared" si="439"/>
        <v>8</v>
      </c>
      <c r="J183" s="45">
        <v>210</v>
      </c>
      <c r="K183" s="37" t="str">
        <f>D183&amp;-5</f>
        <v>13-5</v>
      </c>
      <c r="L183" s="44">
        <f t="shared" ref="L183:P183" si="472">L182</f>
        <v>0.2</v>
      </c>
      <c r="M183" s="49">
        <f>M182</f>
        <v>0</v>
      </c>
      <c r="N183" s="44">
        <f t="shared" si="466"/>
        <v>150</v>
      </c>
      <c r="O183" s="44">
        <f t="shared" si="472"/>
        <v>750</v>
      </c>
      <c r="P183" s="44" t="str">
        <f t="shared" si="472"/>
        <v>on</v>
      </c>
    </row>
    <row r="184" spans="1:16" ht="15.75" thickBot="1" x14ac:dyDescent="0.3">
      <c r="A184" s="229">
        <f t="shared" ref="A184:B184" si="473">A183+1</f>
        <v>4279</v>
      </c>
      <c r="B184" s="230">
        <f t="shared" si="473"/>
        <v>174</v>
      </c>
      <c r="C184" s="218" t="str">
        <f t="shared" si="336"/>
        <v>81aX13_210_000#06</v>
      </c>
      <c r="D184" s="43">
        <f t="shared" ref="D184:F184" si="474">D183</f>
        <v>13</v>
      </c>
      <c r="E184" s="61">
        <f t="shared" si="474"/>
        <v>2.149</v>
      </c>
      <c r="F184" s="44">
        <f t="shared" si="474"/>
        <v>16.530769230769231</v>
      </c>
      <c r="G184" s="44">
        <f t="shared" si="283"/>
        <v>13.224615384615385</v>
      </c>
      <c r="H184" s="44">
        <f t="shared" si="284"/>
        <v>8.2653846153846153</v>
      </c>
      <c r="I184" s="44">
        <f t="shared" si="439"/>
        <v>8</v>
      </c>
      <c r="J184" s="45">
        <v>210</v>
      </c>
      <c r="K184" s="37" t="str">
        <f>D184&amp;-6</f>
        <v>13-6</v>
      </c>
      <c r="L184" s="44">
        <f t="shared" ref="L184:P184" si="475">L183</f>
        <v>0.2</v>
      </c>
      <c r="M184" s="49">
        <f>M183</f>
        <v>0</v>
      </c>
      <c r="N184" s="44">
        <f t="shared" si="466"/>
        <v>150</v>
      </c>
      <c r="O184" s="44">
        <f t="shared" si="475"/>
        <v>750</v>
      </c>
      <c r="P184" s="44" t="str">
        <f t="shared" si="475"/>
        <v>on</v>
      </c>
    </row>
    <row r="185" spans="1:16" ht="15.75" thickBot="1" x14ac:dyDescent="0.3">
      <c r="A185" s="229">
        <f t="shared" ref="A185:B185" si="476">A184+1</f>
        <v>4280</v>
      </c>
      <c r="B185" s="230">
        <f t="shared" si="476"/>
        <v>175</v>
      </c>
      <c r="C185" s="218" t="str">
        <f t="shared" si="336"/>
        <v>81aX13_210_030#01</v>
      </c>
      <c r="D185" s="43">
        <f t="shared" ref="D185:F185" si="477">D184</f>
        <v>13</v>
      </c>
      <c r="E185" s="61">
        <f t="shared" si="477"/>
        <v>2.149</v>
      </c>
      <c r="F185" s="44">
        <f t="shared" si="477"/>
        <v>16.530769230769231</v>
      </c>
      <c r="G185" s="44">
        <f t="shared" si="283"/>
        <v>13.224615384615385</v>
      </c>
      <c r="H185" s="44">
        <f t="shared" si="284"/>
        <v>8.2653846153846153</v>
      </c>
      <c r="I185" s="44">
        <f t="shared" si="439"/>
        <v>8</v>
      </c>
      <c r="J185" s="45">
        <v>210</v>
      </c>
      <c r="K185" s="37" t="str">
        <f>D185&amp;-1</f>
        <v>13-1</v>
      </c>
      <c r="L185" s="44">
        <f t="shared" ref="L185:P185" si="478">L184</f>
        <v>0.2</v>
      </c>
      <c r="M185" s="49">
        <v>30</v>
      </c>
      <c r="N185" s="44">
        <f t="shared" si="466"/>
        <v>150</v>
      </c>
      <c r="O185" s="44">
        <f t="shared" si="478"/>
        <v>750</v>
      </c>
      <c r="P185" s="44" t="str">
        <f t="shared" si="478"/>
        <v>on</v>
      </c>
    </row>
    <row r="186" spans="1:16" ht="15.75" thickBot="1" x14ac:dyDescent="0.3">
      <c r="A186" s="229">
        <f t="shared" ref="A186:B186" si="479">A185+1</f>
        <v>4281</v>
      </c>
      <c r="B186" s="230">
        <f t="shared" si="479"/>
        <v>176</v>
      </c>
      <c r="C186" s="218" t="str">
        <f t="shared" si="336"/>
        <v>81aX13_210_030#02</v>
      </c>
      <c r="D186" s="43">
        <f t="shared" ref="D186:F186" si="480">D185</f>
        <v>13</v>
      </c>
      <c r="E186" s="61">
        <f t="shared" si="480"/>
        <v>2.149</v>
      </c>
      <c r="F186" s="44">
        <f t="shared" si="480"/>
        <v>16.530769230769231</v>
      </c>
      <c r="G186" s="44">
        <f t="shared" si="283"/>
        <v>13.224615384615385</v>
      </c>
      <c r="H186" s="44">
        <f t="shared" si="284"/>
        <v>8.2653846153846153</v>
      </c>
      <c r="I186" s="44">
        <f t="shared" si="439"/>
        <v>8</v>
      </c>
      <c r="J186" s="45">
        <v>210</v>
      </c>
      <c r="K186" s="37" t="str">
        <f>D186&amp;-2</f>
        <v>13-2</v>
      </c>
      <c r="L186" s="44">
        <f t="shared" ref="L186:P186" si="481">L185</f>
        <v>0.2</v>
      </c>
      <c r="M186" s="49">
        <f>M185</f>
        <v>30</v>
      </c>
      <c r="N186" s="44">
        <f t="shared" si="466"/>
        <v>150</v>
      </c>
      <c r="O186" s="44">
        <f t="shared" si="481"/>
        <v>750</v>
      </c>
      <c r="P186" s="44" t="str">
        <f t="shared" si="481"/>
        <v>on</v>
      </c>
    </row>
    <row r="187" spans="1:16" ht="15.75" thickBot="1" x14ac:dyDescent="0.3">
      <c r="A187" s="229">
        <f t="shared" ref="A187:B187" si="482">A186+1</f>
        <v>4282</v>
      </c>
      <c r="B187" s="230">
        <f t="shared" si="482"/>
        <v>177</v>
      </c>
      <c r="C187" s="218" t="str">
        <f t="shared" si="336"/>
        <v>81aX13_210_030#03</v>
      </c>
      <c r="D187" s="43">
        <f t="shared" ref="D187:F187" si="483">D186</f>
        <v>13</v>
      </c>
      <c r="E187" s="61">
        <f t="shared" si="483"/>
        <v>2.149</v>
      </c>
      <c r="F187" s="44">
        <f t="shared" si="483"/>
        <v>16.530769230769231</v>
      </c>
      <c r="G187" s="44">
        <f t="shared" ref="G187:G250" si="484">m_ty*F187</f>
        <v>13.224615384615385</v>
      </c>
      <c r="H187" s="44">
        <f t="shared" ref="H187:H250" si="485">m_tz*F187</f>
        <v>8.2653846153846153</v>
      </c>
      <c r="I187" s="44">
        <f t="shared" si="439"/>
        <v>8</v>
      </c>
      <c r="J187" s="45">
        <v>210</v>
      </c>
      <c r="K187" s="37" t="str">
        <f>D187&amp;-3</f>
        <v>13-3</v>
      </c>
      <c r="L187" s="44">
        <f t="shared" ref="L187:P187" si="486">L186</f>
        <v>0.2</v>
      </c>
      <c r="M187" s="49">
        <f>M186</f>
        <v>30</v>
      </c>
      <c r="N187" s="44">
        <f t="shared" si="466"/>
        <v>150</v>
      </c>
      <c r="O187" s="44">
        <f t="shared" si="486"/>
        <v>750</v>
      </c>
      <c r="P187" s="44" t="str">
        <f t="shared" si="486"/>
        <v>on</v>
      </c>
    </row>
    <row r="188" spans="1:16" ht="15.75" thickBot="1" x14ac:dyDescent="0.3">
      <c r="A188" s="229">
        <f t="shared" ref="A188:B188" si="487">A187+1</f>
        <v>4283</v>
      </c>
      <c r="B188" s="230">
        <f t="shared" si="487"/>
        <v>178</v>
      </c>
      <c r="C188" s="218" t="str">
        <f t="shared" si="336"/>
        <v>81aX13_210_030#04</v>
      </c>
      <c r="D188" s="43">
        <f t="shared" ref="D188:F188" si="488">D187</f>
        <v>13</v>
      </c>
      <c r="E188" s="61">
        <f t="shared" si="488"/>
        <v>2.149</v>
      </c>
      <c r="F188" s="44">
        <f t="shared" si="488"/>
        <v>16.530769230769231</v>
      </c>
      <c r="G188" s="44">
        <f t="shared" si="484"/>
        <v>13.224615384615385</v>
      </c>
      <c r="H188" s="44">
        <f t="shared" si="485"/>
        <v>8.2653846153846153</v>
      </c>
      <c r="I188" s="44">
        <f t="shared" si="439"/>
        <v>8</v>
      </c>
      <c r="J188" s="45">
        <v>210</v>
      </c>
      <c r="K188" s="37" t="str">
        <f>D188&amp;-4</f>
        <v>13-4</v>
      </c>
      <c r="L188" s="44">
        <f t="shared" ref="L188:P188" si="489">L187</f>
        <v>0.2</v>
      </c>
      <c r="M188" s="49">
        <f>M187</f>
        <v>30</v>
      </c>
      <c r="N188" s="44">
        <f t="shared" si="427"/>
        <v>150</v>
      </c>
      <c r="O188" s="44">
        <f t="shared" si="489"/>
        <v>750</v>
      </c>
      <c r="P188" s="44" t="str">
        <f t="shared" si="489"/>
        <v>on</v>
      </c>
    </row>
    <row r="189" spans="1:16" ht="15.75" thickBot="1" x14ac:dyDescent="0.3">
      <c r="A189" s="229">
        <f t="shared" ref="A189:B189" si="490">A188+1</f>
        <v>4284</v>
      </c>
      <c r="B189" s="230">
        <f t="shared" si="490"/>
        <v>179</v>
      </c>
      <c r="C189" s="218" t="str">
        <f t="shared" si="336"/>
        <v>81aX13_210_030#05</v>
      </c>
      <c r="D189" s="43">
        <f t="shared" ref="D189:F189" si="491">D188</f>
        <v>13</v>
      </c>
      <c r="E189" s="61">
        <f t="shared" si="491"/>
        <v>2.149</v>
      </c>
      <c r="F189" s="44">
        <f t="shared" si="491"/>
        <v>16.530769230769231</v>
      </c>
      <c r="G189" s="44">
        <f t="shared" si="484"/>
        <v>13.224615384615385</v>
      </c>
      <c r="H189" s="44">
        <f t="shared" si="485"/>
        <v>8.2653846153846153</v>
      </c>
      <c r="I189" s="44">
        <f t="shared" si="439"/>
        <v>8</v>
      </c>
      <c r="J189" s="45">
        <v>210</v>
      </c>
      <c r="K189" s="37" t="str">
        <f>D189&amp;-5</f>
        <v>13-5</v>
      </c>
      <c r="L189" s="44">
        <f t="shared" ref="L189:P189" si="492">L188</f>
        <v>0.2</v>
      </c>
      <c r="M189" s="49">
        <f>M188</f>
        <v>30</v>
      </c>
      <c r="N189" s="44">
        <f t="shared" si="427"/>
        <v>150</v>
      </c>
      <c r="O189" s="44">
        <f t="shared" si="492"/>
        <v>750</v>
      </c>
      <c r="P189" s="44" t="str">
        <f t="shared" si="492"/>
        <v>on</v>
      </c>
    </row>
    <row r="190" spans="1:16" ht="15.75" thickBot="1" x14ac:dyDescent="0.3">
      <c r="A190" s="229">
        <f t="shared" ref="A190:B190" si="493">A189+1</f>
        <v>4285</v>
      </c>
      <c r="B190" s="230">
        <f t="shared" si="493"/>
        <v>180</v>
      </c>
      <c r="C190" s="218" t="str">
        <f t="shared" si="336"/>
        <v>81aX13_210_030#06</v>
      </c>
      <c r="D190" s="43">
        <f t="shared" ref="D190:F190" si="494">D189</f>
        <v>13</v>
      </c>
      <c r="E190" s="61">
        <f t="shared" si="494"/>
        <v>2.149</v>
      </c>
      <c r="F190" s="44">
        <f t="shared" si="494"/>
        <v>16.530769230769231</v>
      </c>
      <c r="G190" s="44">
        <f t="shared" si="484"/>
        <v>13.224615384615385</v>
      </c>
      <c r="H190" s="44">
        <f t="shared" si="485"/>
        <v>8.2653846153846153</v>
      </c>
      <c r="I190" s="44">
        <f t="shared" si="439"/>
        <v>8</v>
      </c>
      <c r="J190" s="45">
        <v>210</v>
      </c>
      <c r="K190" s="37" t="str">
        <f>D190&amp;-6</f>
        <v>13-6</v>
      </c>
      <c r="L190" s="44">
        <f t="shared" ref="L190:P190" si="495">L189</f>
        <v>0.2</v>
      </c>
      <c r="M190" s="49">
        <f>M189</f>
        <v>30</v>
      </c>
      <c r="N190" s="44">
        <f t="shared" si="427"/>
        <v>150</v>
      </c>
      <c r="O190" s="44">
        <f t="shared" si="495"/>
        <v>750</v>
      </c>
      <c r="P190" s="44" t="str">
        <f t="shared" si="495"/>
        <v>on</v>
      </c>
    </row>
    <row r="191" spans="1:16" ht="15.75" thickBot="1" x14ac:dyDescent="0.3">
      <c r="A191" s="229">
        <f t="shared" ref="A191:B191" si="496">A190+1</f>
        <v>4286</v>
      </c>
      <c r="B191" s="230">
        <f t="shared" si="496"/>
        <v>181</v>
      </c>
      <c r="C191" s="218" t="str">
        <f t="shared" si="336"/>
        <v>81aX13_210_060#01</v>
      </c>
      <c r="D191" s="43">
        <f t="shared" ref="D191:F191" si="497">D190</f>
        <v>13</v>
      </c>
      <c r="E191" s="61">
        <f t="shared" si="497"/>
        <v>2.149</v>
      </c>
      <c r="F191" s="44">
        <f t="shared" si="497"/>
        <v>16.530769230769231</v>
      </c>
      <c r="G191" s="44">
        <f t="shared" si="484"/>
        <v>13.224615384615385</v>
      </c>
      <c r="H191" s="44">
        <f t="shared" si="485"/>
        <v>8.2653846153846153</v>
      </c>
      <c r="I191" s="44">
        <f t="shared" si="439"/>
        <v>8</v>
      </c>
      <c r="J191" s="45">
        <v>210</v>
      </c>
      <c r="K191" s="37" t="str">
        <f>D191&amp;-1</f>
        <v>13-1</v>
      </c>
      <c r="L191" s="44">
        <f t="shared" ref="L191:P191" si="498">L190</f>
        <v>0.2</v>
      </c>
      <c r="M191" s="49">
        <v>60</v>
      </c>
      <c r="N191" s="44">
        <f t="shared" si="427"/>
        <v>150</v>
      </c>
      <c r="O191" s="44">
        <f t="shared" si="498"/>
        <v>750</v>
      </c>
      <c r="P191" s="44" t="str">
        <f t="shared" si="498"/>
        <v>on</v>
      </c>
    </row>
    <row r="192" spans="1:16" ht="15.75" thickBot="1" x14ac:dyDescent="0.3">
      <c r="A192" s="229">
        <f t="shared" ref="A192:B192" si="499">A191+1</f>
        <v>4287</v>
      </c>
      <c r="B192" s="230">
        <f t="shared" si="499"/>
        <v>182</v>
      </c>
      <c r="C192" s="218" t="str">
        <f t="shared" si="336"/>
        <v>81aX13_210_060#02</v>
      </c>
      <c r="D192" s="43">
        <f t="shared" ref="D192:F192" si="500">D191</f>
        <v>13</v>
      </c>
      <c r="E192" s="61">
        <f t="shared" si="500"/>
        <v>2.149</v>
      </c>
      <c r="F192" s="44">
        <f t="shared" si="500"/>
        <v>16.530769230769231</v>
      </c>
      <c r="G192" s="44">
        <f t="shared" si="484"/>
        <v>13.224615384615385</v>
      </c>
      <c r="H192" s="44">
        <f t="shared" si="485"/>
        <v>8.2653846153846153</v>
      </c>
      <c r="I192" s="44">
        <f t="shared" si="439"/>
        <v>8</v>
      </c>
      <c r="J192" s="45">
        <v>210</v>
      </c>
      <c r="K192" s="37" t="str">
        <f>D192&amp;-2</f>
        <v>13-2</v>
      </c>
      <c r="L192" s="44">
        <f t="shared" ref="L192:P192" si="501">L191</f>
        <v>0.2</v>
      </c>
      <c r="M192" s="49">
        <f>M191</f>
        <v>60</v>
      </c>
      <c r="N192" s="44">
        <f t="shared" si="427"/>
        <v>150</v>
      </c>
      <c r="O192" s="44">
        <f t="shared" si="501"/>
        <v>750</v>
      </c>
      <c r="P192" s="44" t="str">
        <f t="shared" si="501"/>
        <v>on</v>
      </c>
    </row>
    <row r="193" spans="1:16" ht="15.75" thickBot="1" x14ac:dyDescent="0.3">
      <c r="A193" s="229">
        <f t="shared" ref="A193:B193" si="502">A192+1</f>
        <v>4288</v>
      </c>
      <c r="B193" s="230">
        <f t="shared" si="502"/>
        <v>183</v>
      </c>
      <c r="C193" s="218" t="str">
        <f t="shared" si="336"/>
        <v>81aX13_210_060#03</v>
      </c>
      <c r="D193" s="43">
        <f t="shared" ref="D193:F193" si="503">D192</f>
        <v>13</v>
      </c>
      <c r="E193" s="61">
        <f t="shared" si="503"/>
        <v>2.149</v>
      </c>
      <c r="F193" s="44">
        <f t="shared" si="503"/>
        <v>16.530769230769231</v>
      </c>
      <c r="G193" s="44">
        <f t="shared" si="484"/>
        <v>13.224615384615385</v>
      </c>
      <c r="H193" s="44">
        <f t="shared" si="485"/>
        <v>8.2653846153846153</v>
      </c>
      <c r="I193" s="44">
        <f t="shared" si="439"/>
        <v>8</v>
      </c>
      <c r="J193" s="45">
        <v>210</v>
      </c>
      <c r="K193" s="37" t="str">
        <f>D193&amp;-3</f>
        <v>13-3</v>
      </c>
      <c r="L193" s="44">
        <f t="shared" ref="L193:P193" si="504">L192</f>
        <v>0.2</v>
      </c>
      <c r="M193" s="49">
        <f>M192</f>
        <v>60</v>
      </c>
      <c r="N193" s="44">
        <f t="shared" ref="N193:N256" si="505">N192</f>
        <v>150</v>
      </c>
      <c r="O193" s="44">
        <f t="shared" si="504"/>
        <v>750</v>
      </c>
      <c r="P193" s="44" t="str">
        <f t="shared" si="504"/>
        <v>on</v>
      </c>
    </row>
    <row r="194" spans="1:16" ht="15.75" thickBot="1" x14ac:dyDescent="0.3">
      <c r="A194" s="229">
        <f t="shared" ref="A194:B194" si="506">A193+1</f>
        <v>4289</v>
      </c>
      <c r="B194" s="230">
        <f t="shared" si="506"/>
        <v>184</v>
      </c>
      <c r="C194" s="218" t="str">
        <f t="shared" si="336"/>
        <v>81aX13_210_060#04</v>
      </c>
      <c r="D194" s="43">
        <f t="shared" ref="D194:F194" si="507">D193</f>
        <v>13</v>
      </c>
      <c r="E194" s="61">
        <f t="shared" si="507"/>
        <v>2.149</v>
      </c>
      <c r="F194" s="44">
        <f t="shared" si="507"/>
        <v>16.530769230769231</v>
      </c>
      <c r="G194" s="44">
        <f t="shared" si="484"/>
        <v>13.224615384615385</v>
      </c>
      <c r="H194" s="44">
        <f t="shared" si="485"/>
        <v>8.2653846153846153</v>
      </c>
      <c r="I194" s="44">
        <f t="shared" si="439"/>
        <v>8</v>
      </c>
      <c r="J194" s="45">
        <v>210</v>
      </c>
      <c r="K194" s="37" t="str">
        <f>D194&amp;-4</f>
        <v>13-4</v>
      </c>
      <c r="L194" s="44">
        <f t="shared" ref="L194:P194" si="508">L193</f>
        <v>0.2</v>
      </c>
      <c r="M194" s="49">
        <f>M193</f>
        <v>60</v>
      </c>
      <c r="N194" s="44">
        <f t="shared" si="505"/>
        <v>150</v>
      </c>
      <c r="O194" s="44">
        <f t="shared" si="508"/>
        <v>750</v>
      </c>
      <c r="P194" s="44" t="str">
        <f t="shared" si="508"/>
        <v>on</v>
      </c>
    </row>
    <row r="195" spans="1:16" ht="15.75" thickBot="1" x14ac:dyDescent="0.3">
      <c r="A195" s="229">
        <f t="shared" ref="A195:B195" si="509">A194+1</f>
        <v>4290</v>
      </c>
      <c r="B195" s="230">
        <f t="shared" si="509"/>
        <v>185</v>
      </c>
      <c r="C195" s="218" t="str">
        <f t="shared" si="336"/>
        <v>81aX13_210_060#05</v>
      </c>
      <c r="D195" s="43">
        <f t="shared" ref="D195:F195" si="510">D194</f>
        <v>13</v>
      </c>
      <c r="E195" s="61">
        <f t="shared" si="510"/>
        <v>2.149</v>
      </c>
      <c r="F195" s="44">
        <f t="shared" si="510"/>
        <v>16.530769230769231</v>
      </c>
      <c r="G195" s="44">
        <f t="shared" si="484"/>
        <v>13.224615384615385</v>
      </c>
      <c r="H195" s="44">
        <f t="shared" si="485"/>
        <v>8.2653846153846153</v>
      </c>
      <c r="I195" s="44">
        <f t="shared" si="439"/>
        <v>8</v>
      </c>
      <c r="J195" s="45">
        <v>210</v>
      </c>
      <c r="K195" s="37" t="str">
        <f>D195&amp;-5</f>
        <v>13-5</v>
      </c>
      <c r="L195" s="44">
        <f t="shared" ref="L195:P195" si="511">L194</f>
        <v>0.2</v>
      </c>
      <c r="M195" s="49">
        <f>M194</f>
        <v>60</v>
      </c>
      <c r="N195" s="44">
        <f t="shared" si="505"/>
        <v>150</v>
      </c>
      <c r="O195" s="44">
        <f t="shared" si="511"/>
        <v>750</v>
      </c>
      <c r="P195" s="44" t="str">
        <f t="shared" si="511"/>
        <v>on</v>
      </c>
    </row>
    <row r="196" spans="1:16" ht="15.75" thickBot="1" x14ac:dyDescent="0.3">
      <c r="A196" s="229">
        <f t="shared" ref="A196:B196" si="512">A195+1</f>
        <v>4291</v>
      </c>
      <c r="B196" s="230">
        <f t="shared" si="512"/>
        <v>186</v>
      </c>
      <c r="C196" s="218" t="str">
        <f t="shared" si="336"/>
        <v>81aX13_210_060#06</v>
      </c>
      <c r="D196" s="43">
        <f t="shared" ref="D196:F196" si="513">D195</f>
        <v>13</v>
      </c>
      <c r="E196" s="61">
        <f t="shared" si="513"/>
        <v>2.149</v>
      </c>
      <c r="F196" s="44">
        <f t="shared" si="513"/>
        <v>16.530769230769231</v>
      </c>
      <c r="G196" s="44">
        <f t="shared" si="484"/>
        <v>13.224615384615385</v>
      </c>
      <c r="H196" s="44">
        <f t="shared" si="485"/>
        <v>8.2653846153846153</v>
      </c>
      <c r="I196" s="44">
        <f t="shared" si="439"/>
        <v>8</v>
      </c>
      <c r="J196" s="45">
        <v>210</v>
      </c>
      <c r="K196" s="37" t="str">
        <f>D196&amp;-6</f>
        <v>13-6</v>
      </c>
      <c r="L196" s="44">
        <f t="shared" ref="L196:P196" si="514">L195</f>
        <v>0.2</v>
      </c>
      <c r="M196" s="49">
        <f>M195</f>
        <v>60</v>
      </c>
      <c r="N196" s="44">
        <f t="shared" si="505"/>
        <v>150</v>
      </c>
      <c r="O196" s="44">
        <f t="shared" si="514"/>
        <v>750</v>
      </c>
      <c r="P196" s="44" t="str">
        <f t="shared" si="514"/>
        <v>on</v>
      </c>
    </row>
    <row r="197" spans="1:16" ht="15.75" thickBot="1" x14ac:dyDescent="0.3">
      <c r="A197" s="229">
        <f t="shared" ref="A197:B197" si="515">A196+1</f>
        <v>4292</v>
      </c>
      <c r="B197" s="230">
        <f t="shared" si="515"/>
        <v>187</v>
      </c>
      <c r="C197" s="218" t="str">
        <f t="shared" si="336"/>
        <v>81aX13_210_090#01</v>
      </c>
      <c r="D197" s="43">
        <f t="shared" ref="D197:F197" si="516">D196</f>
        <v>13</v>
      </c>
      <c r="E197" s="61">
        <f t="shared" si="516"/>
        <v>2.149</v>
      </c>
      <c r="F197" s="44">
        <f t="shared" si="516"/>
        <v>16.530769230769231</v>
      </c>
      <c r="G197" s="44">
        <f t="shared" si="484"/>
        <v>13.224615384615385</v>
      </c>
      <c r="H197" s="44">
        <f t="shared" si="485"/>
        <v>8.2653846153846153</v>
      </c>
      <c r="I197" s="44">
        <f t="shared" si="439"/>
        <v>8</v>
      </c>
      <c r="J197" s="45">
        <v>210</v>
      </c>
      <c r="K197" s="37" t="str">
        <f>D197&amp;-1</f>
        <v>13-1</v>
      </c>
      <c r="L197" s="44">
        <f t="shared" ref="L197:P197" si="517">L196</f>
        <v>0.2</v>
      </c>
      <c r="M197" s="49">
        <v>90</v>
      </c>
      <c r="N197" s="44">
        <f t="shared" si="505"/>
        <v>150</v>
      </c>
      <c r="O197" s="44">
        <f t="shared" si="517"/>
        <v>750</v>
      </c>
      <c r="P197" s="44" t="str">
        <f t="shared" si="517"/>
        <v>on</v>
      </c>
    </row>
    <row r="198" spans="1:16" ht="15.75" thickBot="1" x14ac:dyDescent="0.3">
      <c r="A198" s="229">
        <f t="shared" ref="A198:B198" si="518">A197+1</f>
        <v>4293</v>
      </c>
      <c r="B198" s="230">
        <f t="shared" si="518"/>
        <v>188</v>
      </c>
      <c r="C198" s="218" t="str">
        <f t="shared" si="336"/>
        <v>81aX13_210_090#02</v>
      </c>
      <c r="D198" s="43">
        <f t="shared" ref="D198:F198" si="519">D197</f>
        <v>13</v>
      </c>
      <c r="E198" s="61">
        <f t="shared" si="519"/>
        <v>2.149</v>
      </c>
      <c r="F198" s="44">
        <f t="shared" si="519"/>
        <v>16.530769230769231</v>
      </c>
      <c r="G198" s="44">
        <f t="shared" si="484"/>
        <v>13.224615384615385</v>
      </c>
      <c r="H198" s="44">
        <f t="shared" si="485"/>
        <v>8.2653846153846153</v>
      </c>
      <c r="I198" s="44">
        <f t="shared" si="439"/>
        <v>8</v>
      </c>
      <c r="J198" s="45">
        <v>210</v>
      </c>
      <c r="K198" s="37" t="str">
        <f>D198&amp;-2</f>
        <v>13-2</v>
      </c>
      <c r="L198" s="44">
        <f t="shared" ref="L198:P198" si="520">L197</f>
        <v>0.2</v>
      </c>
      <c r="M198" s="49">
        <f>M197</f>
        <v>90</v>
      </c>
      <c r="N198" s="44">
        <f t="shared" si="505"/>
        <v>150</v>
      </c>
      <c r="O198" s="44">
        <f t="shared" si="520"/>
        <v>750</v>
      </c>
      <c r="P198" s="44" t="str">
        <f t="shared" si="520"/>
        <v>on</v>
      </c>
    </row>
    <row r="199" spans="1:16" ht="15.75" thickBot="1" x14ac:dyDescent="0.3">
      <c r="A199" s="229">
        <f t="shared" ref="A199:B199" si="521">A198+1</f>
        <v>4294</v>
      </c>
      <c r="B199" s="230">
        <f t="shared" si="521"/>
        <v>189</v>
      </c>
      <c r="C199" s="218" t="str">
        <f t="shared" si="336"/>
        <v>81aX13_210_090#03</v>
      </c>
      <c r="D199" s="43">
        <f t="shared" ref="D199:F199" si="522">D198</f>
        <v>13</v>
      </c>
      <c r="E199" s="61">
        <f t="shared" si="522"/>
        <v>2.149</v>
      </c>
      <c r="F199" s="44">
        <f t="shared" si="522"/>
        <v>16.530769230769231</v>
      </c>
      <c r="G199" s="44">
        <f t="shared" si="484"/>
        <v>13.224615384615385</v>
      </c>
      <c r="H199" s="44">
        <f t="shared" si="485"/>
        <v>8.2653846153846153</v>
      </c>
      <c r="I199" s="44">
        <f t="shared" si="439"/>
        <v>8</v>
      </c>
      <c r="J199" s="45">
        <v>210</v>
      </c>
      <c r="K199" s="37" t="str">
        <f>D199&amp;-3</f>
        <v>13-3</v>
      </c>
      <c r="L199" s="44">
        <f t="shared" ref="L199:P199" si="523">L198</f>
        <v>0.2</v>
      </c>
      <c r="M199" s="49">
        <f>M198</f>
        <v>90</v>
      </c>
      <c r="N199" s="44">
        <f t="shared" si="505"/>
        <v>150</v>
      </c>
      <c r="O199" s="44">
        <f t="shared" si="523"/>
        <v>750</v>
      </c>
      <c r="P199" s="44" t="str">
        <f t="shared" si="523"/>
        <v>on</v>
      </c>
    </row>
    <row r="200" spans="1:16" ht="15.75" thickBot="1" x14ac:dyDescent="0.3">
      <c r="A200" s="229">
        <f t="shared" ref="A200:B200" si="524">A199+1</f>
        <v>4295</v>
      </c>
      <c r="B200" s="230">
        <f t="shared" si="524"/>
        <v>190</v>
      </c>
      <c r="C200" s="218" t="str">
        <f t="shared" si="336"/>
        <v>81aX13_210_090#04</v>
      </c>
      <c r="D200" s="43">
        <f t="shared" ref="D200:F200" si="525">D199</f>
        <v>13</v>
      </c>
      <c r="E200" s="61">
        <f t="shared" si="525"/>
        <v>2.149</v>
      </c>
      <c r="F200" s="44">
        <f t="shared" si="525"/>
        <v>16.530769230769231</v>
      </c>
      <c r="G200" s="44">
        <f t="shared" si="484"/>
        <v>13.224615384615385</v>
      </c>
      <c r="H200" s="44">
        <f t="shared" si="485"/>
        <v>8.2653846153846153</v>
      </c>
      <c r="I200" s="44">
        <f t="shared" si="439"/>
        <v>8</v>
      </c>
      <c r="J200" s="45">
        <v>210</v>
      </c>
      <c r="K200" s="37" t="str">
        <f>D200&amp;-4</f>
        <v>13-4</v>
      </c>
      <c r="L200" s="44">
        <f t="shared" ref="L200:P200" si="526">L199</f>
        <v>0.2</v>
      </c>
      <c r="M200" s="49">
        <f>M199</f>
        <v>90</v>
      </c>
      <c r="N200" s="44">
        <f t="shared" si="466"/>
        <v>150</v>
      </c>
      <c r="O200" s="44">
        <f t="shared" si="526"/>
        <v>750</v>
      </c>
      <c r="P200" s="44" t="str">
        <f t="shared" si="526"/>
        <v>on</v>
      </c>
    </row>
    <row r="201" spans="1:16" ht="15.75" thickBot="1" x14ac:dyDescent="0.3">
      <c r="A201" s="229">
        <f t="shared" ref="A201:B201" si="527">A200+1</f>
        <v>4296</v>
      </c>
      <c r="B201" s="230">
        <f t="shared" si="527"/>
        <v>191</v>
      </c>
      <c r="C201" s="218" t="str">
        <f t="shared" si="336"/>
        <v>81aX13_210_090#05</v>
      </c>
      <c r="D201" s="43">
        <f t="shared" ref="D201:F201" si="528">D200</f>
        <v>13</v>
      </c>
      <c r="E201" s="61">
        <f t="shared" si="528"/>
        <v>2.149</v>
      </c>
      <c r="F201" s="44">
        <f t="shared" si="528"/>
        <v>16.530769230769231</v>
      </c>
      <c r="G201" s="44">
        <f t="shared" si="484"/>
        <v>13.224615384615385</v>
      </c>
      <c r="H201" s="44">
        <f t="shared" si="485"/>
        <v>8.2653846153846153</v>
      </c>
      <c r="I201" s="44">
        <f t="shared" si="439"/>
        <v>8</v>
      </c>
      <c r="J201" s="45">
        <v>210</v>
      </c>
      <c r="K201" s="37" t="str">
        <f>D201&amp;-5</f>
        <v>13-5</v>
      </c>
      <c r="L201" s="44">
        <f t="shared" ref="L201:P201" si="529">L200</f>
        <v>0.2</v>
      </c>
      <c r="M201" s="49">
        <f>M200</f>
        <v>90</v>
      </c>
      <c r="N201" s="44">
        <f t="shared" si="466"/>
        <v>150</v>
      </c>
      <c r="O201" s="44">
        <f t="shared" si="529"/>
        <v>750</v>
      </c>
      <c r="P201" s="44" t="str">
        <f t="shared" si="529"/>
        <v>on</v>
      </c>
    </row>
    <row r="202" spans="1:16" ht="15.75" thickBot="1" x14ac:dyDescent="0.3">
      <c r="A202" s="229">
        <f t="shared" ref="A202:B202" si="530">A201+1</f>
        <v>4297</v>
      </c>
      <c r="B202" s="230">
        <f t="shared" si="530"/>
        <v>192</v>
      </c>
      <c r="C202" s="218" t="str">
        <f t="shared" si="336"/>
        <v>81aX13_210_090#06</v>
      </c>
      <c r="D202" s="43">
        <f t="shared" ref="D202:F202" si="531">D201</f>
        <v>13</v>
      </c>
      <c r="E202" s="61">
        <f t="shared" si="531"/>
        <v>2.149</v>
      </c>
      <c r="F202" s="44">
        <f t="shared" si="531"/>
        <v>16.530769230769231</v>
      </c>
      <c r="G202" s="44">
        <f t="shared" si="484"/>
        <v>13.224615384615385</v>
      </c>
      <c r="H202" s="44">
        <f t="shared" si="485"/>
        <v>8.2653846153846153</v>
      </c>
      <c r="I202" s="44">
        <f t="shared" si="439"/>
        <v>8</v>
      </c>
      <c r="J202" s="45">
        <v>210</v>
      </c>
      <c r="K202" s="37" t="str">
        <f>D202&amp;-6</f>
        <v>13-6</v>
      </c>
      <c r="L202" s="44">
        <f t="shared" ref="L202:P202" si="532">L201</f>
        <v>0.2</v>
      </c>
      <c r="M202" s="49">
        <f>M201</f>
        <v>90</v>
      </c>
      <c r="N202" s="44">
        <f t="shared" si="466"/>
        <v>150</v>
      </c>
      <c r="O202" s="44">
        <f t="shared" si="532"/>
        <v>750</v>
      </c>
      <c r="P202" s="44" t="str">
        <f t="shared" si="532"/>
        <v>on</v>
      </c>
    </row>
    <row r="203" spans="1:16" ht="15.75" thickBot="1" x14ac:dyDescent="0.3">
      <c r="A203" s="229">
        <f t="shared" ref="A203:B203" si="533">A202+1</f>
        <v>4298</v>
      </c>
      <c r="B203" s="230">
        <f t="shared" si="533"/>
        <v>193</v>
      </c>
      <c r="C203" s="218" t="str">
        <f t="shared" si="336"/>
        <v>81aX13_240_000#01</v>
      </c>
      <c r="D203" s="43">
        <f t="shared" ref="D203:F203" si="534">D202</f>
        <v>13</v>
      </c>
      <c r="E203" s="61">
        <f t="shared" si="534"/>
        <v>2.149</v>
      </c>
      <c r="F203" s="44">
        <f t="shared" si="534"/>
        <v>16.530769230769231</v>
      </c>
      <c r="G203" s="44">
        <f t="shared" si="484"/>
        <v>13.224615384615385</v>
      </c>
      <c r="H203" s="44">
        <f t="shared" si="485"/>
        <v>8.2653846153846153</v>
      </c>
      <c r="I203" s="44">
        <f t="shared" si="439"/>
        <v>8</v>
      </c>
      <c r="J203" s="45">
        <v>240</v>
      </c>
      <c r="K203" s="37" t="str">
        <f>D203&amp;-1</f>
        <v>13-1</v>
      </c>
      <c r="L203" s="44">
        <f t="shared" ref="L203:P203" si="535">L202</f>
        <v>0.2</v>
      </c>
      <c r="M203" s="49">
        <v>0</v>
      </c>
      <c r="N203" s="44">
        <f t="shared" si="466"/>
        <v>150</v>
      </c>
      <c r="O203" s="44">
        <f t="shared" si="535"/>
        <v>750</v>
      </c>
      <c r="P203" s="44" t="str">
        <f t="shared" si="535"/>
        <v>on</v>
      </c>
    </row>
    <row r="204" spans="1:16" ht="15.75" thickBot="1" x14ac:dyDescent="0.3">
      <c r="A204" s="229">
        <f t="shared" ref="A204:B204" si="536">A203+1</f>
        <v>4299</v>
      </c>
      <c r="B204" s="230">
        <f t="shared" si="536"/>
        <v>194</v>
      </c>
      <c r="C204" s="218" t="str">
        <f t="shared" ref="C204:C267" si="537">TEXT(RIGHT($B$2,LEN($B$2)-3),"000")&amp;"X"&amp;TEXT(D204,"00")&amp;"_"&amp;IF(J204&lt;0,TEXT(360+J204,"000"),TEXT(J204,"000"))&amp;"_"&amp;TEXT(M204,"000")&amp;"#"&amp;TEXT(RIGHT(K204,LEN(K204)-FIND("-",K204)),"00")</f>
        <v>81aX13_240_000#02</v>
      </c>
      <c r="D204" s="43">
        <f t="shared" ref="D204:F204" si="538">D203</f>
        <v>13</v>
      </c>
      <c r="E204" s="61">
        <f t="shared" si="538"/>
        <v>2.149</v>
      </c>
      <c r="F204" s="44">
        <f t="shared" si="538"/>
        <v>16.530769230769231</v>
      </c>
      <c r="G204" s="44">
        <f t="shared" si="484"/>
        <v>13.224615384615385</v>
      </c>
      <c r="H204" s="44">
        <f t="shared" si="485"/>
        <v>8.2653846153846153</v>
      </c>
      <c r="I204" s="44">
        <f t="shared" si="439"/>
        <v>8</v>
      </c>
      <c r="J204" s="45">
        <v>240</v>
      </c>
      <c r="K204" s="37" t="str">
        <f>D204&amp;-2</f>
        <v>13-2</v>
      </c>
      <c r="L204" s="44">
        <f t="shared" ref="L204:P204" si="539">L203</f>
        <v>0.2</v>
      </c>
      <c r="M204" s="49">
        <f>M203</f>
        <v>0</v>
      </c>
      <c r="N204" s="44">
        <f t="shared" si="466"/>
        <v>150</v>
      </c>
      <c r="O204" s="44">
        <f t="shared" si="539"/>
        <v>750</v>
      </c>
      <c r="P204" s="44" t="str">
        <f t="shared" si="539"/>
        <v>on</v>
      </c>
    </row>
    <row r="205" spans="1:16" ht="15.75" thickBot="1" x14ac:dyDescent="0.3">
      <c r="A205" s="229">
        <f t="shared" ref="A205:B205" si="540">A204+1</f>
        <v>4300</v>
      </c>
      <c r="B205" s="230">
        <f t="shared" si="540"/>
        <v>195</v>
      </c>
      <c r="C205" s="218" t="str">
        <f t="shared" si="537"/>
        <v>81aX13_240_000#03</v>
      </c>
      <c r="D205" s="43">
        <f t="shared" ref="D205:F205" si="541">D204</f>
        <v>13</v>
      </c>
      <c r="E205" s="61">
        <f t="shared" si="541"/>
        <v>2.149</v>
      </c>
      <c r="F205" s="44">
        <f t="shared" si="541"/>
        <v>16.530769230769231</v>
      </c>
      <c r="G205" s="44">
        <f t="shared" si="484"/>
        <v>13.224615384615385</v>
      </c>
      <c r="H205" s="44">
        <f t="shared" si="485"/>
        <v>8.2653846153846153</v>
      </c>
      <c r="I205" s="44">
        <f t="shared" si="439"/>
        <v>8</v>
      </c>
      <c r="J205" s="45">
        <v>240</v>
      </c>
      <c r="K205" s="37" t="str">
        <f>D205&amp;-3</f>
        <v>13-3</v>
      </c>
      <c r="L205" s="44">
        <f t="shared" ref="L205:P205" si="542">L204</f>
        <v>0.2</v>
      </c>
      <c r="M205" s="49">
        <f>M204</f>
        <v>0</v>
      </c>
      <c r="N205" s="44">
        <f t="shared" si="466"/>
        <v>150</v>
      </c>
      <c r="O205" s="44">
        <f t="shared" si="542"/>
        <v>750</v>
      </c>
      <c r="P205" s="44" t="str">
        <f t="shared" si="542"/>
        <v>on</v>
      </c>
    </row>
    <row r="206" spans="1:16" ht="15.75" thickBot="1" x14ac:dyDescent="0.3">
      <c r="A206" s="229">
        <f t="shared" ref="A206:B206" si="543">A205+1</f>
        <v>4301</v>
      </c>
      <c r="B206" s="230">
        <f t="shared" si="543"/>
        <v>196</v>
      </c>
      <c r="C206" s="218" t="str">
        <f t="shared" si="537"/>
        <v>81aX13_240_000#04</v>
      </c>
      <c r="D206" s="43">
        <f t="shared" ref="D206:F206" si="544">D205</f>
        <v>13</v>
      </c>
      <c r="E206" s="61">
        <f t="shared" si="544"/>
        <v>2.149</v>
      </c>
      <c r="F206" s="44">
        <f t="shared" si="544"/>
        <v>16.530769230769231</v>
      </c>
      <c r="G206" s="44">
        <f t="shared" si="484"/>
        <v>13.224615384615385</v>
      </c>
      <c r="H206" s="44">
        <f t="shared" si="485"/>
        <v>8.2653846153846153</v>
      </c>
      <c r="I206" s="44">
        <f t="shared" si="439"/>
        <v>8</v>
      </c>
      <c r="J206" s="45">
        <v>240</v>
      </c>
      <c r="K206" s="37" t="str">
        <f>D206&amp;-4</f>
        <v>13-4</v>
      </c>
      <c r="L206" s="44">
        <f t="shared" ref="L206:P206" si="545">L205</f>
        <v>0.2</v>
      </c>
      <c r="M206" s="49">
        <f>M205</f>
        <v>0</v>
      </c>
      <c r="N206" s="44">
        <f t="shared" si="466"/>
        <v>150</v>
      </c>
      <c r="O206" s="44">
        <f t="shared" si="545"/>
        <v>750</v>
      </c>
      <c r="P206" s="44" t="str">
        <f t="shared" si="545"/>
        <v>on</v>
      </c>
    </row>
    <row r="207" spans="1:16" ht="15.75" thickBot="1" x14ac:dyDescent="0.3">
      <c r="A207" s="229">
        <f t="shared" ref="A207:B207" si="546">A206+1</f>
        <v>4302</v>
      </c>
      <c r="B207" s="230">
        <f t="shared" si="546"/>
        <v>197</v>
      </c>
      <c r="C207" s="218" t="str">
        <f t="shared" si="537"/>
        <v>81aX13_240_000#05</v>
      </c>
      <c r="D207" s="43">
        <f t="shared" ref="D207:F207" si="547">D206</f>
        <v>13</v>
      </c>
      <c r="E207" s="61">
        <f t="shared" si="547"/>
        <v>2.149</v>
      </c>
      <c r="F207" s="44">
        <f t="shared" si="547"/>
        <v>16.530769230769231</v>
      </c>
      <c r="G207" s="44">
        <f t="shared" si="484"/>
        <v>13.224615384615385</v>
      </c>
      <c r="H207" s="44">
        <f t="shared" si="485"/>
        <v>8.2653846153846153</v>
      </c>
      <c r="I207" s="44">
        <f t="shared" si="439"/>
        <v>8</v>
      </c>
      <c r="J207" s="45">
        <v>240</v>
      </c>
      <c r="K207" s="37" t="str">
        <f>D207&amp;-5</f>
        <v>13-5</v>
      </c>
      <c r="L207" s="44">
        <f t="shared" ref="L207:P207" si="548">L206</f>
        <v>0.2</v>
      </c>
      <c r="M207" s="49">
        <f>M206</f>
        <v>0</v>
      </c>
      <c r="N207" s="44">
        <f t="shared" si="427"/>
        <v>150</v>
      </c>
      <c r="O207" s="44">
        <f t="shared" si="548"/>
        <v>750</v>
      </c>
      <c r="P207" s="44" t="str">
        <f t="shared" si="548"/>
        <v>on</v>
      </c>
    </row>
    <row r="208" spans="1:16" ht="15.75" thickBot="1" x14ac:dyDescent="0.3">
      <c r="A208" s="229">
        <f t="shared" ref="A208:B208" si="549">A207+1</f>
        <v>4303</v>
      </c>
      <c r="B208" s="230">
        <f t="shared" si="549"/>
        <v>198</v>
      </c>
      <c r="C208" s="218" t="str">
        <f t="shared" si="537"/>
        <v>81aX13_240_000#06</v>
      </c>
      <c r="D208" s="43">
        <f t="shared" ref="D208:F208" si="550">D207</f>
        <v>13</v>
      </c>
      <c r="E208" s="61">
        <f t="shared" si="550"/>
        <v>2.149</v>
      </c>
      <c r="F208" s="44">
        <f t="shared" si="550"/>
        <v>16.530769230769231</v>
      </c>
      <c r="G208" s="44">
        <f t="shared" si="484"/>
        <v>13.224615384615385</v>
      </c>
      <c r="H208" s="44">
        <f t="shared" si="485"/>
        <v>8.2653846153846153</v>
      </c>
      <c r="I208" s="44">
        <f t="shared" si="439"/>
        <v>8</v>
      </c>
      <c r="J208" s="45">
        <v>240</v>
      </c>
      <c r="K208" s="37" t="str">
        <f>D208&amp;-6</f>
        <v>13-6</v>
      </c>
      <c r="L208" s="44">
        <f t="shared" ref="L208:P208" si="551">L207</f>
        <v>0.2</v>
      </c>
      <c r="M208" s="49">
        <f>M207</f>
        <v>0</v>
      </c>
      <c r="N208" s="44">
        <f t="shared" si="427"/>
        <v>150</v>
      </c>
      <c r="O208" s="44">
        <f t="shared" si="551"/>
        <v>750</v>
      </c>
      <c r="P208" s="44" t="str">
        <f t="shared" si="551"/>
        <v>on</v>
      </c>
    </row>
    <row r="209" spans="1:16" ht="15.75" thickBot="1" x14ac:dyDescent="0.3">
      <c r="A209" s="229">
        <f t="shared" ref="A209:B209" si="552">A208+1</f>
        <v>4304</v>
      </c>
      <c r="B209" s="230">
        <f t="shared" si="552"/>
        <v>199</v>
      </c>
      <c r="C209" s="218" t="str">
        <f t="shared" si="537"/>
        <v>81aX13_240_030#01</v>
      </c>
      <c r="D209" s="43">
        <f t="shared" ref="D209:F209" si="553">D208</f>
        <v>13</v>
      </c>
      <c r="E209" s="61">
        <f t="shared" si="553"/>
        <v>2.149</v>
      </c>
      <c r="F209" s="44">
        <f t="shared" si="553"/>
        <v>16.530769230769231</v>
      </c>
      <c r="G209" s="44">
        <f t="shared" si="484"/>
        <v>13.224615384615385</v>
      </c>
      <c r="H209" s="44">
        <f t="shared" si="485"/>
        <v>8.2653846153846153</v>
      </c>
      <c r="I209" s="44">
        <f t="shared" si="439"/>
        <v>8</v>
      </c>
      <c r="J209" s="45">
        <v>240</v>
      </c>
      <c r="K209" s="37" t="str">
        <f>D209&amp;-1</f>
        <v>13-1</v>
      </c>
      <c r="L209" s="44">
        <f t="shared" ref="L209:P209" si="554">L208</f>
        <v>0.2</v>
      </c>
      <c r="M209" s="49">
        <v>30</v>
      </c>
      <c r="N209" s="44">
        <f t="shared" si="427"/>
        <v>150</v>
      </c>
      <c r="O209" s="44">
        <f t="shared" si="554"/>
        <v>750</v>
      </c>
      <c r="P209" s="44" t="str">
        <f t="shared" si="554"/>
        <v>on</v>
      </c>
    </row>
    <row r="210" spans="1:16" ht="15.75" thickBot="1" x14ac:dyDescent="0.3">
      <c r="A210" s="229">
        <f t="shared" ref="A210:B210" si="555">A209+1</f>
        <v>4305</v>
      </c>
      <c r="B210" s="230">
        <f t="shared" si="555"/>
        <v>200</v>
      </c>
      <c r="C210" s="218" t="str">
        <f t="shared" si="537"/>
        <v>81aX13_240_030#02</v>
      </c>
      <c r="D210" s="43">
        <f t="shared" ref="D210:F210" si="556">D209</f>
        <v>13</v>
      </c>
      <c r="E210" s="61">
        <f t="shared" si="556"/>
        <v>2.149</v>
      </c>
      <c r="F210" s="44">
        <f t="shared" si="556"/>
        <v>16.530769230769231</v>
      </c>
      <c r="G210" s="44">
        <f t="shared" si="484"/>
        <v>13.224615384615385</v>
      </c>
      <c r="H210" s="44">
        <f t="shared" si="485"/>
        <v>8.2653846153846153</v>
      </c>
      <c r="I210" s="44">
        <f t="shared" si="439"/>
        <v>8</v>
      </c>
      <c r="J210" s="45">
        <v>240</v>
      </c>
      <c r="K210" s="37" t="str">
        <f>D210&amp;-2</f>
        <v>13-2</v>
      </c>
      <c r="L210" s="44">
        <f t="shared" ref="L210:P210" si="557">L209</f>
        <v>0.2</v>
      </c>
      <c r="M210" s="49">
        <f>M209</f>
        <v>30</v>
      </c>
      <c r="N210" s="44">
        <f t="shared" si="427"/>
        <v>150</v>
      </c>
      <c r="O210" s="44">
        <f t="shared" si="557"/>
        <v>750</v>
      </c>
      <c r="P210" s="44" t="str">
        <f t="shared" si="557"/>
        <v>on</v>
      </c>
    </row>
    <row r="211" spans="1:16" ht="15.75" thickBot="1" x14ac:dyDescent="0.3">
      <c r="A211" s="229">
        <f t="shared" ref="A211:B211" si="558">A210+1</f>
        <v>4306</v>
      </c>
      <c r="B211" s="230">
        <f t="shared" si="558"/>
        <v>201</v>
      </c>
      <c r="C211" s="218" t="str">
        <f t="shared" si="537"/>
        <v>81aX13_240_030#03</v>
      </c>
      <c r="D211" s="43">
        <f t="shared" ref="D211:F211" si="559">D210</f>
        <v>13</v>
      </c>
      <c r="E211" s="61">
        <f t="shared" si="559"/>
        <v>2.149</v>
      </c>
      <c r="F211" s="44">
        <f t="shared" si="559"/>
        <v>16.530769230769231</v>
      </c>
      <c r="G211" s="44">
        <f t="shared" si="484"/>
        <v>13.224615384615385</v>
      </c>
      <c r="H211" s="44">
        <f t="shared" si="485"/>
        <v>8.2653846153846153</v>
      </c>
      <c r="I211" s="44">
        <f t="shared" si="439"/>
        <v>8</v>
      </c>
      <c r="J211" s="45">
        <v>240</v>
      </c>
      <c r="K211" s="37" t="str">
        <f>D211&amp;-3</f>
        <v>13-3</v>
      </c>
      <c r="L211" s="44">
        <f t="shared" ref="L211:P211" si="560">L210</f>
        <v>0.2</v>
      </c>
      <c r="M211" s="49">
        <f>M210</f>
        <v>30</v>
      </c>
      <c r="N211" s="44">
        <f t="shared" si="427"/>
        <v>150</v>
      </c>
      <c r="O211" s="44">
        <f t="shared" si="560"/>
        <v>750</v>
      </c>
      <c r="P211" s="44" t="str">
        <f t="shared" si="560"/>
        <v>on</v>
      </c>
    </row>
    <row r="212" spans="1:16" ht="15.75" thickBot="1" x14ac:dyDescent="0.3">
      <c r="A212" s="229">
        <f t="shared" ref="A212:B212" si="561">A211+1</f>
        <v>4307</v>
      </c>
      <c r="B212" s="230">
        <f t="shared" si="561"/>
        <v>202</v>
      </c>
      <c r="C212" s="218" t="str">
        <f t="shared" si="537"/>
        <v>81aX13_240_030#04</v>
      </c>
      <c r="D212" s="43">
        <f t="shared" ref="D212:F212" si="562">D211</f>
        <v>13</v>
      </c>
      <c r="E212" s="61">
        <f t="shared" si="562"/>
        <v>2.149</v>
      </c>
      <c r="F212" s="44">
        <f t="shared" si="562"/>
        <v>16.530769230769231</v>
      </c>
      <c r="G212" s="44">
        <f t="shared" si="484"/>
        <v>13.224615384615385</v>
      </c>
      <c r="H212" s="44">
        <f t="shared" si="485"/>
        <v>8.2653846153846153</v>
      </c>
      <c r="I212" s="44">
        <f t="shared" si="439"/>
        <v>8</v>
      </c>
      <c r="J212" s="45">
        <v>240</v>
      </c>
      <c r="K212" s="37" t="str">
        <f>D212&amp;-4</f>
        <v>13-4</v>
      </c>
      <c r="L212" s="44">
        <f t="shared" ref="L212:P212" si="563">L211</f>
        <v>0.2</v>
      </c>
      <c r="M212" s="49">
        <f>M211</f>
        <v>30</v>
      </c>
      <c r="N212" s="44">
        <f t="shared" ref="N212" si="564">N211</f>
        <v>150</v>
      </c>
      <c r="O212" s="44">
        <f t="shared" si="563"/>
        <v>750</v>
      </c>
      <c r="P212" s="44" t="str">
        <f t="shared" si="563"/>
        <v>on</v>
      </c>
    </row>
    <row r="213" spans="1:16" ht="15.75" thickBot="1" x14ac:dyDescent="0.3">
      <c r="A213" s="229">
        <f t="shared" ref="A213:B213" si="565">A212+1</f>
        <v>4308</v>
      </c>
      <c r="B213" s="230">
        <f t="shared" si="565"/>
        <v>203</v>
      </c>
      <c r="C213" s="218" t="str">
        <f t="shared" si="537"/>
        <v>81aX13_240_030#05</v>
      </c>
      <c r="D213" s="43">
        <f t="shared" ref="D213:F213" si="566">D212</f>
        <v>13</v>
      </c>
      <c r="E213" s="61">
        <f t="shared" si="566"/>
        <v>2.149</v>
      </c>
      <c r="F213" s="44">
        <f t="shared" si="566"/>
        <v>16.530769230769231</v>
      </c>
      <c r="G213" s="44">
        <f t="shared" si="484"/>
        <v>13.224615384615385</v>
      </c>
      <c r="H213" s="44">
        <f t="shared" si="485"/>
        <v>8.2653846153846153</v>
      </c>
      <c r="I213" s="44">
        <f t="shared" si="439"/>
        <v>8</v>
      </c>
      <c r="J213" s="45">
        <v>240</v>
      </c>
      <c r="K213" s="37" t="str">
        <f>D213&amp;-5</f>
        <v>13-5</v>
      </c>
      <c r="L213" s="44">
        <f t="shared" ref="L213:P213" si="567">L212</f>
        <v>0.2</v>
      </c>
      <c r="M213" s="49">
        <f>M212</f>
        <v>30</v>
      </c>
      <c r="N213" s="44">
        <f t="shared" si="505"/>
        <v>150</v>
      </c>
      <c r="O213" s="44">
        <f t="shared" si="567"/>
        <v>750</v>
      </c>
      <c r="P213" s="44" t="str">
        <f t="shared" si="567"/>
        <v>on</v>
      </c>
    </row>
    <row r="214" spans="1:16" ht="15.75" thickBot="1" x14ac:dyDescent="0.3">
      <c r="A214" s="229">
        <f t="shared" ref="A214:B214" si="568">A213+1</f>
        <v>4309</v>
      </c>
      <c r="B214" s="230">
        <f t="shared" si="568"/>
        <v>204</v>
      </c>
      <c r="C214" s="218" t="str">
        <f t="shared" si="537"/>
        <v>81aX13_240_030#06</v>
      </c>
      <c r="D214" s="43">
        <f t="shared" ref="D214:F214" si="569">D213</f>
        <v>13</v>
      </c>
      <c r="E214" s="61">
        <f t="shared" si="569"/>
        <v>2.149</v>
      </c>
      <c r="F214" s="44">
        <f t="shared" si="569"/>
        <v>16.530769230769231</v>
      </c>
      <c r="G214" s="44">
        <f t="shared" si="484"/>
        <v>13.224615384615385</v>
      </c>
      <c r="H214" s="44">
        <f t="shared" si="485"/>
        <v>8.2653846153846153</v>
      </c>
      <c r="I214" s="44">
        <f t="shared" si="439"/>
        <v>8</v>
      </c>
      <c r="J214" s="45">
        <v>240</v>
      </c>
      <c r="K214" s="37" t="str">
        <f>D214&amp;-6</f>
        <v>13-6</v>
      </c>
      <c r="L214" s="44">
        <f t="shared" ref="L214:P214" si="570">L213</f>
        <v>0.2</v>
      </c>
      <c r="M214" s="49">
        <f>M213</f>
        <v>30</v>
      </c>
      <c r="N214" s="44">
        <f t="shared" si="505"/>
        <v>150</v>
      </c>
      <c r="O214" s="44">
        <f t="shared" si="570"/>
        <v>750</v>
      </c>
      <c r="P214" s="44" t="str">
        <f t="shared" si="570"/>
        <v>on</v>
      </c>
    </row>
    <row r="215" spans="1:16" ht="15.75" thickBot="1" x14ac:dyDescent="0.3">
      <c r="A215" s="229">
        <f t="shared" ref="A215:B215" si="571">A214+1</f>
        <v>4310</v>
      </c>
      <c r="B215" s="230">
        <f t="shared" si="571"/>
        <v>205</v>
      </c>
      <c r="C215" s="218" t="str">
        <f t="shared" si="537"/>
        <v>81aX13_240_060#01</v>
      </c>
      <c r="D215" s="43">
        <f t="shared" ref="D215:F215" si="572">D214</f>
        <v>13</v>
      </c>
      <c r="E215" s="61">
        <f t="shared" si="572"/>
        <v>2.149</v>
      </c>
      <c r="F215" s="44">
        <f t="shared" si="572"/>
        <v>16.530769230769231</v>
      </c>
      <c r="G215" s="44">
        <f t="shared" si="484"/>
        <v>13.224615384615385</v>
      </c>
      <c r="H215" s="44">
        <f t="shared" si="485"/>
        <v>8.2653846153846153</v>
      </c>
      <c r="I215" s="44">
        <f t="shared" si="439"/>
        <v>8</v>
      </c>
      <c r="J215" s="45">
        <v>240</v>
      </c>
      <c r="K215" s="37" t="str">
        <f>D215&amp;-1</f>
        <v>13-1</v>
      </c>
      <c r="L215" s="44">
        <f t="shared" ref="L215:P215" si="573">L214</f>
        <v>0.2</v>
      </c>
      <c r="M215" s="49">
        <v>60</v>
      </c>
      <c r="N215" s="44">
        <f t="shared" si="505"/>
        <v>150</v>
      </c>
      <c r="O215" s="44">
        <f t="shared" si="573"/>
        <v>750</v>
      </c>
      <c r="P215" s="44" t="str">
        <f t="shared" si="573"/>
        <v>on</v>
      </c>
    </row>
    <row r="216" spans="1:16" ht="15.75" thickBot="1" x14ac:dyDescent="0.3">
      <c r="A216" s="229">
        <f t="shared" ref="A216:B216" si="574">A215+1</f>
        <v>4311</v>
      </c>
      <c r="B216" s="230">
        <f t="shared" si="574"/>
        <v>206</v>
      </c>
      <c r="C216" s="218" t="str">
        <f t="shared" si="537"/>
        <v>81aX13_240_060#02</v>
      </c>
      <c r="D216" s="43">
        <f t="shared" ref="D216:F216" si="575">D215</f>
        <v>13</v>
      </c>
      <c r="E216" s="61">
        <f t="shared" si="575"/>
        <v>2.149</v>
      </c>
      <c r="F216" s="44">
        <f t="shared" si="575"/>
        <v>16.530769230769231</v>
      </c>
      <c r="G216" s="44">
        <f t="shared" si="484"/>
        <v>13.224615384615385</v>
      </c>
      <c r="H216" s="44">
        <f t="shared" si="485"/>
        <v>8.2653846153846153</v>
      </c>
      <c r="I216" s="44">
        <f t="shared" si="439"/>
        <v>8</v>
      </c>
      <c r="J216" s="45">
        <v>240</v>
      </c>
      <c r="K216" s="37" t="str">
        <f>D216&amp;-2</f>
        <v>13-2</v>
      </c>
      <c r="L216" s="44">
        <f t="shared" ref="L216:P216" si="576">L215</f>
        <v>0.2</v>
      </c>
      <c r="M216" s="49">
        <f>M215</f>
        <v>60</v>
      </c>
      <c r="N216" s="44">
        <f t="shared" si="505"/>
        <v>150</v>
      </c>
      <c r="O216" s="44">
        <f t="shared" si="576"/>
        <v>750</v>
      </c>
      <c r="P216" s="44" t="str">
        <f t="shared" si="576"/>
        <v>on</v>
      </c>
    </row>
    <row r="217" spans="1:16" ht="15.75" thickBot="1" x14ac:dyDescent="0.3">
      <c r="A217" s="229">
        <f t="shared" ref="A217:B217" si="577">A216+1</f>
        <v>4312</v>
      </c>
      <c r="B217" s="230">
        <f t="shared" si="577"/>
        <v>207</v>
      </c>
      <c r="C217" s="218" t="str">
        <f t="shared" si="537"/>
        <v>81aX13_240_060#03</v>
      </c>
      <c r="D217" s="43">
        <f t="shared" ref="D217:F217" si="578">D216</f>
        <v>13</v>
      </c>
      <c r="E217" s="61">
        <f t="shared" si="578"/>
        <v>2.149</v>
      </c>
      <c r="F217" s="44">
        <f t="shared" si="578"/>
        <v>16.530769230769231</v>
      </c>
      <c r="G217" s="44">
        <f t="shared" si="484"/>
        <v>13.224615384615385</v>
      </c>
      <c r="H217" s="44">
        <f t="shared" si="485"/>
        <v>8.2653846153846153</v>
      </c>
      <c r="I217" s="44">
        <f t="shared" si="439"/>
        <v>8</v>
      </c>
      <c r="J217" s="45">
        <v>240</v>
      </c>
      <c r="K217" s="37" t="str">
        <f>D217&amp;-3</f>
        <v>13-3</v>
      </c>
      <c r="L217" s="44">
        <f t="shared" ref="L217:P217" si="579">L216</f>
        <v>0.2</v>
      </c>
      <c r="M217" s="49">
        <f>M216</f>
        <v>60</v>
      </c>
      <c r="N217" s="44">
        <f t="shared" si="505"/>
        <v>150</v>
      </c>
      <c r="O217" s="44">
        <f t="shared" si="579"/>
        <v>750</v>
      </c>
      <c r="P217" s="44" t="str">
        <f t="shared" si="579"/>
        <v>on</v>
      </c>
    </row>
    <row r="218" spans="1:16" ht="15.75" thickBot="1" x14ac:dyDescent="0.3">
      <c r="A218" s="229">
        <f t="shared" ref="A218:B218" si="580">A217+1</f>
        <v>4313</v>
      </c>
      <c r="B218" s="230">
        <f t="shared" si="580"/>
        <v>208</v>
      </c>
      <c r="C218" s="218" t="str">
        <f t="shared" si="537"/>
        <v>81aX13_240_060#04</v>
      </c>
      <c r="D218" s="43">
        <f t="shared" ref="D218:F218" si="581">D217</f>
        <v>13</v>
      </c>
      <c r="E218" s="61">
        <f t="shared" si="581"/>
        <v>2.149</v>
      </c>
      <c r="F218" s="44">
        <f t="shared" si="581"/>
        <v>16.530769230769231</v>
      </c>
      <c r="G218" s="44">
        <f t="shared" si="484"/>
        <v>13.224615384615385</v>
      </c>
      <c r="H218" s="44">
        <f t="shared" si="485"/>
        <v>8.2653846153846153</v>
      </c>
      <c r="I218" s="44">
        <f t="shared" si="439"/>
        <v>8</v>
      </c>
      <c r="J218" s="45">
        <v>240</v>
      </c>
      <c r="K218" s="37" t="str">
        <f>D218&amp;-4</f>
        <v>13-4</v>
      </c>
      <c r="L218" s="44">
        <f t="shared" ref="L218:P218" si="582">L217</f>
        <v>0.2</v>
      </c>
      <c r="M218" s="49">
        <f>M217</f>
        <v>60</v>
      </c>
      <c r="N218" s="44">
        <f t="shared" si="505"/>
        <v>150</v>
      </c>
      <c r="O218" s="44">
        <f t="shared" si="582"/>
        <v>750</v>
      </c>
      <c r="P218" s="44" t="str">
        <f t="shared" si="582"/>
        <v>on</v>
      </c>
    </row>
    <row r="219" spans="1:16" ht="15.75" thickBot="1" x14ac:dyDescent="0.3">
      <c r="A219" s="229">
        <f t="shared" ref="A219:B219" si="583">A218+1</f>
        <v>4314</v>
      </c>
      <c r="B219" s="230">
        <f t="shared" si="583"/>
        <v>209</v>
      </c>
      <c r="C219" s="218" t="str">
        <f t="shared" si="537"/>
        <v>81aX13_240_060#05</v>
      </c>
      <c r="D219" s="43">
        <f t="shared" ref="D219:F219" si="584">D218</f>
        <v>13</v>
      </c>
      <c r="E219" s="61">
        <f t="shared" si="584"/>
        <v>2.149</v>
      </c>
      <c r="F219" s="44">
        <f t="shared" si="584"/>
        <v>16.530769230769231</v>
      </c>
      <c r="G219" s="44">
        <f t="shared" si="484"/>
        <v>13.224615384615385</v>
      </c>
      <c r="H219" s="44">
        <f t="shared" si="485"/>
        <v>8.2653846153846153</v>
      </c>
      <c r="I219" s="44">
        <f t="shared" si="439"/>
        <v>8</v>
      </c>
      <c r="J219" s="45">
        <v>240</v>
      </c>
      <c r="K219" s="37" t="str">
        <f>D219&amp;-5</f>
        <v>13-5</v>
      </c>
      <c r="L219" s="44">
        <f t="shared" ref="L219:P219" si="585">L218</f>
        <v>0.2</v>
      </c>
      <c r="M219" s="49">
        <f>M218</f>
        <v>60</v>
      </c>
      <c r="N219" s="44">
        <f t="shared" si="466"/>
        <v>150</v>
      </c>
      <c r="O219" s="44">
        <f t="shared" si="585"/>
        <v>750</v>
      </c>
      <c r="P219" s="44" t="str">
        <f t="shared" si="585"/>
        <v>on</v>
      </c>
    </row>
    <row r="220" spans="1:16" ht="15.75" thickBot="1" x14ac:dyDescent="0.3">
      <c r="A220" s="229">
        <f t="shared" ref="A220:B220" si="586">A219+1</f>
        <v>4315</v>
      </c>
      <c r="B220" s="230">
        <f t="shared" si="586"/>
        <v>210</v>
      </c>
      <c r="C220" s="218" t="str">
        <f t="shared" si="537"/>
        <v>81aX13_240_060#06</v>
      </c>
      <c r="D220" s="43">
        <f t="shared" ref="D220:F220" si="587">D219</f>
        <v>13</v>
      </c>
      <c r="E220" s="61">
        <f t="shared" si="587"/>
        <v>2.149</v>
      </c>
      <c r="F220" s="44">
        <f t="shared" si="587"/>
        <v>16.530769230769231</v>
      </c>
      <c r="G220" s="44">
        <f t="shared" si="484"/>
        <v>13.224615384615385</v>
      </c>
      <c r="H220" s="44">
        <f t="shared" si="485"/>
        <v>8.2653846153846153</v>
      </c>
      <c r="I220" s="44">
        <f t="shared" si="439"/>
        <v>8</v>
      </c>
      <c r="J220" s="45">
        <v>240</v>
      </c>
      <c r="K220" s="37" t="str">
        <f>D220&amp;-6</f>
        <v>13-6</v>
      </c>
      <c r="L220" s="44">
        <f t="shared" ref="L220:P220" si="588">L219</f>
        <v>0.2</v>
      </c>
      <c r="M220" s="49">
        <f>M219</f>
        <v>60</v>
      </c>
      <c r="N220" s="44">
        <f t="shared" si="466"/>
        <v>150</v>
      </c>
      <c r="O220" s="44">
        <f t="shared" si="588"/>
        <v>750</v>
      </c>
      <c r="P220" s="44" t="str">
        <f t="shared" si="588"/>
        <v>on</v>
      </c>
    </row>
    <row r="221" spans="1:16" ht="15.75" thickBot="1" x14ac:dyDescent="0.3">
      <c r="A221" s="229">
        <f t="shared" ref="A221:B221" si="589">A220+1</f>
        <v>4316</v>
      </c>
      <c r="B221" s="230">
        <f t="shared" si="589"/>
        <v>211</v>
      </c>
      <c r="C221" s="218" t="str">
        <f t="shared" si="537"/>
        <v>81aX13_240_090#01</v>
      </c>
      <c r="D221" s="43">
        <f t="shared" ref="D221:F221" si="590">D220</f>
        <v>13</v>
      </c>
      <c r="E221" s="61">
        <f t="shared" si="590"/>
        <v>2.149</v>
      </c>
      <c r="F221" s="44">
        <f t="shared" si="590"/>
        <v>16.530769230769231</v>
      </c>
      <c r="G221" s="44">
        <f t="shared" si="484"/>
        <v>13.224615384615385</v>
      </c>
      <c r="H221" s="44">
        <f t="shared" si="485"/>
        <v>8.2653846153846153</v>
      </c>
      <c r="I221" s="44">
        <f t="shared" si="439"/>
        <v>8</v>
      </c>
      <c r="J221" s="45">
        <v>240</v>
      </c>
      <c r="K221" s="37" t="str">
        <f>D221&amp;-1</f>
        <v>13-1</v>
      </c>
      <c r="L221" s="44">
        <f t="shared" ref="L221:P221" si="591">L220</f>
        <v>0.2</v>
      </c>
      <c r="M221" s="49">
        <v>90</v>
      </c>
      <c r="N221" s="44">
        <f t="shared" si="466"/>
        <v>150</v>
      </c>
      <c r="O221" s="44">
        <f t="shared" si="591"/>
        <v>750</v>
      </c>
      <c r="P221" s="44" t="str">
        <f t="shared" si="591"/>
        <v>on</v>
      </c>
    </row>
    <row r="222" spans="1:16" ht="15.75" thickBot="1" x14ac:dyDescent="0.3">
      <c r="A222" s="229">
        <f t="shared" ref="A222:B222" si="592">A221+1</f>
        <v>4317</v>
      </c>
      <c r="B222" s="230">
        <f t="shared" si="592"/>
        <v>212</v>
      </c>
      <c r="C222" s="218" t="str">
        <f t="shared" si="537"/>
        <v>81aX13_240_090#02</v>
      </c>
      <c r="D222" s="43">
        <f t="shared" ref="D222:F222" si="593">D221</f>
        <v>13</v>
      </c>
      <c r="E222" s="61">
        <f t="shared" si="593"/>
        <v>2.149</v>
      </c>
      <c r="F222" s="44">
        <f t="shared" si="593"/>
        <v>16.530769230769231</v>
      </c>
      <c r="G222" s="44">
        <f t="shared" si="484"/>
        <v>13.224615384615385</v>
      </c>
      <c r="H222" s="44">
        <f t="shared" si="485"/>
        <v>8.2653846153846153</v>
      </c>
      <c r="I222" s="44">
        <f t="shared" si="439"/>
        <v>8</v>
      </c>
      <c r="J222" s="45">
        <v>240</v>
      </c>
      <c r="K222" s="37" t="str">
        <f>D222&amp;-2</f>
        <v>13-2</v>
      </c>
      <c r="L222" s="44">
        <f t="shared" ref="L222:P222" si="594">L221</f>
        <v>0.2</v>
      </c>
      <c r="M222" s="49">
        <f>M221</f>
        <v>90</v>
      </c>
      <c r="N222" s="44">
        <f t="shared" si="466"/>
        <v>150</v>
      </c>
      <c r="O222" s="44">
        <f t="shared" si="594"/>
        <v>750</v>
      </c>
      <c r="P222" s="44" t="str">
        <f t="shared" si="594"/>
        <v>on</v>
      </c>
    </row>
    <row r="223" spans="1:16" ht="15.75" thickBot="1" x14ac:dyDescent="0.3">
      <c r="A223" s="229">
        <f t="shared" ref="A223:B223" si="595">A222+1</f>
        <v>4318</v>
      </c>
      <c r="B223" s="230">
        <f t="shared" si="595"/>
        <v>213</v>
      </c>
      <c r="C223" s="218" t="str">
        <f t="shared" si="537"/>
        <v>81aX13_240_090#03</v>
      </c>
      <c r="D223" s="43">
        <f t="shared" ref="D223:F223" si="596">D222</f>
        <v>13</v>
      </c>
      <c r="E223" s="61">
        <f t="shared" si="596"/>
        <v>2.149</v>
      </c>
      <c r="F223" s="44">
        <f t="shared" si="596"/>
        <v>16.530769230769231</v>
      </c>
      <c r="G223" s="44">
        <f t="shared" si="484"/>
        <v>13.224615384615385</v>
      </c>
      <c r="H223" s="44">
        <f t="shared" si="485"/>
        <v>8.2653846153846153</v>
      </c>
      <c r="I223" s="44">
        <f t="shared" si="439"/>
        <v>8</v>
      </c>
      <c r="J223" s="45">
        <v>240</v>
      </c>
      <c r="K223" s="37" t="str">
        <f>D223&amp;-3</f>
        <v>13-3</v>
      </c>
      <c r="L223" s="44">
        <f t="shared" ref="L223:P223" si="597">L222</f>
        <v>0.2</v>
      </c>
      <c r="M223" s="49">
        <f>M222</f>
        <v>90</v>
      </c>
      <c r="N223" s="44">
        <f t="shared" si="466"/>
        <v>150</v>
      </c>
      <c r="O223" s="44">
        <f t="shared" si="597"/>
        <v>750</v>
      </c>
      <c r="P223" s="44" t="str">
        <f t="shared" si="597"/>
        <v>on</v>
      </c>
    </row>
    <row r="224" spans="1:16" ht="15.75" thickBot="1" x14ac:dyDescent="0.3">
      <c r="A224" s="229">
        <f t="shared" ref="A224:B224" si="598">A223+1</f>
        <v>4319</v>
      </c>
      <c r="B224" s="230">
        <f t="shared" si="598"/>
        <v>214</v>
      </c>
      <c r="C224" s="218" t="str">
        <f t="shared" si="537"/>
        <v>81aX13_240_090#04</v>
      </c>
      <c r="D224" s="43">
        <f t="shared" ref="D224:F224" si="599">D223</f>
        <v>13</v>
      </c>
      <c r="E224" s="61">
        <f t="shared" si="599"/>
        <v>2.149</v>
      </c>
      <c r="F224" s="44">
        <f t="shared" si="599"/>
        <v>16.530769230769231</v>
      </c>
      <c r="G224" s="44">
        <f t="shared" si="484"/>
        <v>13.224615384615385</v>
      </c>
      <c r="H224" s="44">
        <f t="shared" si="485"/>
        <v>8.2653846153846153</v>
      </c>
      <c r="I224" s="44">
        <f t="shared" si="439"/>
        <v>8</v>
      </c>
      <c r="J224" s="45">
        <v>240</v>
      </c>
      <c r="K224" s="37" t="str">
        <f>D224&amp;-4</f>
        <v>13-4</v>
      </c>
      <c r="L224" s="44">
        <f t="shared" ref="L224:P224" si="600">L223</f>
        <v>0.2</v>
      </c>
      <c r="M224" s="49">
        <f>M223</f>
        <v>90</v>
      </c>
      <c r="N224" s="44">
        <f t="shared" si="466"/>
        <v>150</v>
      </c>
      <c r="O224" s="44">
        <f t="shared" si="600"/>
        <v>750</v>
      </c>
      <c r="P224" s="44" t="str">
        <f t="shared" si="600"/>
        <v>on</v>
      </c>
    </row>
    <row r="225" spans="1:16" ht="15.75" thickBot="1" x14ac:dyDescent="0.3">
      <c r="A225" s="229">
        <f t="shared" ref="A225:B225" si="601">A224+1</f>
        <v>4320</v>
      </c>
      <c r="B225" s="230">
        <f t="shared" si="601"/>
        <v>215</v>
      </c>
      <c r="C225" s="218" t="str">
        <f t="shared" si="537"/>
        <v>81aX13_240_090#05</v>
      </c>
      <c r="D225" s="43">
        <f t="shared" ref="D225:F225" si="602">D224</f>
        <v>13</v>
      </c>
      <c r="E225" s="61">
        <f t="shared" si="602"/>
        <v>2.149</v>
      </c>
      <c r="F225" s="44">
        <f t="shared" si="602"/>
        <v>16.530769230769231</v>
      </c>
      <c r="G225" s="44">
        <f t="shared" si="484"/>
        <v>13.224615384615385</v>
      </c>
      <c r="H225" s="44">
        <f t="shared" si="485"/>
        <v>8.2653846153846153</v>
      </c>
      <c r="I225" s="44">
        <f t="shared" si="439"/>
        <v>8</v>
      </c>
      <c r="J225" s="45">
        <v>240</v>
      </c>
      <c r="K225" s="37" t="str">
        <f>D225&amp;-5</f>
        <v>13-5</v>
      </c>
      <c r="L225" s="44">
        <f t="shared" ref="L225:P225" si="603">L224</f>
        <v>0.2</v>
      </c>
      <c r="M225" s="49">
        <f>M224</f>
        <v>90</v>
      </c>
      <c r="N225" s="44">
        <f t="shared" si="466"/>
        <v>150</v>
      </c>
      <c r="O225" s="44">
        <f t="shared" si="603"/>
        <v>750</v>
      </c>
      <c r="P225" s="44" t="str">
        <f t="shared" si="603"/>
        <v>on</v>
      </c>
    </row>
    <row r="226" spans="1:16" ht="15.75" thickBot="1" x14ac:dyDescent="0.3">
      <c r="A226" s="229">
        <f t="shared" ref="A226:B226" si="604">A225+1</f>
        <v>4321</v>
      </c>
      <c r="B226" s="230">
        <f t="shared" si="604"/>
        <v>216</v>
      </c>
      <c r="C226" s="218" t="str">
        <f t="shared" si="537"/>
        <v>81aX13_240_090#06</v>
      </c>
      <c r="D226" s="43">
        <f t="shared" ref="D226:F226" si="605">D225</f>
        <v>13</v>
      </c>
      <c r="E226" s="61">
        <f t="shared" si="605"/>
        <v>2.149</v>
      </c>
      <c r="F226" s="44">
        <f t="shared" si="605"/>
        <v>16.530769230769231</v>
      </c>
      <c r="G226" s="44">
        <f t="shared" si="484"/>
        <v>13.224615384615385</v>
      </c>
      <c r="H226" s="44">
        <f t="shared" si="485"/>
        <v>8.2653846153846153</v>
      </c>
      <c r="I226" s="44">
        <f t="shared" si="439"/>
        <v>8</v>
      </c>
      <c r="J226" s="45">
        <v>240</v>
      </c>
      <c r="K226" s="37" t="str">
        <f>D226&amp;-6</f>
        <v>13-6</v>
      </c>
      <c r="L226" s="44">
        <f t="shared" ref="L226:P226" si="606">L225</f>
        <v>0.2</v>
      </c>
      <c r="M226" s="49">
        <f>M225</f>
        <v>90</v>
      </c>
      <c r="N226" s="44">
        <f t="shared" si="427"/>
        <v>150</v>
      </c>
      <c r="O226" s="44">
        <f t="shared" si="606"/>
        <v>750</v>
      </c>
      <c r="P226" s="44" t="str">
        <f t="shared" si="606"/>
        <v>on</v>
      </c>
    </row>
    <row r="227" spans="1:16" ht="15.75" thickBot="1" x14ac:dyDescent="0.3">
      <c r="A227" s="229">
        <f t="shared" ref="A227:B227" si="607">A226+1</f>
        <v>4322</v>
      </c>
      <c r="B227" s="230">
        <f t="shared" si="607"/>
        <v>217</v>
      </c>
      <c r="C227" s="218" t="str">
        <f t="shared" si="537"/>
        <v>81aX13_270_000#01</v>
      </c>
      <c r="D227" s="43">
        <f t="shared" ref="D227:F227" si="608">D226</f>
        <v>13</v>
      </c>
      <c r="E227" s="61">
        <f t="shared" si="608"/>
        <v>2.149</v>
      </c>
      <c r="F227" s="44">
        <f t="shared" si="608"/>
        <v>16.530769230769231</v>
      </c>
      <c r="G227" s="44">
        <f t="shared" si="484"/>
        <v>13.224615384615385</v>
      </c>
      <c r="H227" s="44">
        <f t="shared" si="485"/>
        <v>8.2653846153846153</v>
      </c>
      <c r="I227" s="44">
        <f t="shared" si="439"/>
        <v>8</v>
      </c>
      <c r="J227" s="45">
        <v>270</v>
      </c>
      <c r="K227" s="37" t="str">
        <f>D227&amp;-1</f>
        <v>13-1</v>
      </c>
      <c r="L227" s="44">
        <f t="shared" ref="L227:P227" si="609">L226</f>
        <v>0.2</v>
      </c>
      <c r="M227" s="49">
        <v>0</v>
      </c>
      <c r="N227" s="44">
        <f t="shared" si="427"/>
        <v>150</v>
      </c>
      <c r="O227" s="44">
        <f t="shared" si="609"/>
        <v>750</v>
      </c>
      <c r="P227" s="44" t="str">
        <f t="shared" si="609"/>
        <v>on</v>
      </c>
    </row>
    <row r="228" spans="1:16" ht="15.75" thickBot="1" x14ac:dyDescent="0.3">
      <c r="A228" s="229">
        <f t="shared" ref="A228:B228" si="610">A227+1</f>
        <v>4323</v>
      </c>
      <c r="B228" s="230">
        <f t="shared" si="610"/>
        <v>218</v>
      </c>
      <c r="C228" s="218" t="str">
        <f t="shared" si="537"/>
        <v>81aX13_270_000#02</v>
      </c>
      <c r="D228" s="43">
        <f t="shared" ref="D228:F228" si="611">D227</f>
        <v>13</v>
      </c>
      <c r="E228" s="61">
        <f t="shared" si="611"/>
        <v>2.149</v>
      </c>
      <c r="F228" s="44">
        <f t="shared" si="611"/>
        <v>16.530769230769231</v>
      </c>
      <c r="G228" s="44">
        <f t="shared" si="484"/>
        <v>13.224615384615385</v>
      </c>
      <c r="H228" s="44">
        <f t="shared" si="485"/>
        <v>8.2653846153846153</v>
      </c>
      <c r="I228" s="44">
        <f t="shared" si="439"/>
        <v>8</v>
      </c>
      <c r="J228" s="45">
        <v>270</v>
      </c>
      <c r="K228" s="37" t="str">
        <f>D228&amp;-2</f>
        <v>13-2</v>
      </c>
      <c r="L228" s="44">
        <f t="shared" ref="L228:P228" si="612">L227</f>
        <v>0.2</v>
      </c>
      <c r="M228" s="49">
        <f>M227</f>
        <v>0</v>
      </c>
      <c r="N228" s="44">
        <f t="shared" si="427"/>
        <v>150</v>
      </c>
      <c r="O228" s="44">
        <f t="shared" si="612"/>
        <v>750</v>
      </c>
      <c r="P228" s="44" t="str">
        <f t="shared" si="612"/>
        <v>on</v>
      </c>
    </row>
    <row r="229" spans="1:16" ht="15.75" thickBot="1" x14ac:dyDescent="0.3">
      <c r="A229" s="229">
        <f t="shared" ref="A229:B229" si="613">A228+1</f>
        <v>4324</v>
      </c>
      <c r="B229" s="230">
        <f t="shared" si="613"/>
        <v>219</v>
      </c>
      <c r="C229" s="218" t="str">
        <f t="shared" si="537"/>
        <v>81aX13_270_000#03</v>
      </c>
      <c r="D229" s="43">
        <f t="shared" ref="D229:F229" si="614">D228</f>
        <v>13</v>
      </c>
      <c r="E229" s="61">
        <f t="shared" si="614"/>
        <v>2.149</v>
      </c>
      <c r="F229" s="44">
        <f t="shared" si="614"/>
        <v>16.530769230769231</v>
      </c>
      <c r="G229" s="44">
        <f t="shared" si="484"/>
        <v>13.224615384615385</v>
      </c>
      <c r="H229" s="44">
        <f t="shared" si="485"/>
        <v>8.2653846153846153</v>
      </c>
      <c r="I229" s="44">
        <f t="shared" si="439"/>
        <v>8</v>
      </c>
      <c r="J229" s="45">
        <v>270</v>
      </c>
      <c r="K229" s="37" t="str">
        <f>D229&amp;-3</f>
        <v>13-3</v>
      </c>
      <c r="L229" s="44">
        <f t="shared" ref="L229:P229" si="615">L228</f>
        <v>0.2</v>
      </c>
      <c r="M229" s="49">
        <f>M228</f>
        <v>0</v>
      </c>
      <c r="N229" s="44">
        <f t="shared" si="427"/>
        <v>150</v>
      </c>
      <c r="O229" s="44">
        <f t="shared" si="615"/>
        <v>750</v>
      </c>
      <c r="P229" s="44" t="str">
        <f t="shared" si="615"/>
        <v>on</v>
      </c>
    </row>
    <row r="230" spans="1:16" ht="15.75" thickBot="1" x14ac:dyDescent="0.3">
      <c r="A230" s="229">
        <f t="shared" ref="A230:B230" si="616">A229+1</f>
        <v>4325</v>
      </c>
      <c r="B230" s="230">
        <f t="shared" si="616"/>
        <v>220</v>
      </c>
      <c r="C230" s="218" t="str">
        <f t="shared" si="537"/>
        <v>81aX13_270_000#04</v>
      </c>
      <c r="D230" s="43">
        <f t="shared" ref="D230:F230" si="617">D229</f>
        <v>13</v>
      </c>
      <c r="E230" s="61">
        <f t="shared" si="617"/>
        <v>2.149</v>
      </c>
      <c r="F230" s="44">
        <f t="shared" si="617"/>
        <v>16.530769230769231</v>
      </c>
      <c r="G230" s="44">
        <f t="shared" si="484"/>
        <v>13.224615384615385</v>
      </c>
      <c r="H230" s="44">
        <f t="shared" si="485"/>
        <v>8.2653846153846153</v>
      </c>
      <c r="I230" s="44">
        <f t="shared" si="439"/>
        <v>8</v>
      </c>
      <c r="J230" s="45">
        <v>270</v>
      </c>
      <c r="K230" s="37" t="str">
        <f>D230&amp;-4</f>
        <v>13-4</v>
      </c>
      <c r="L230" s="44">
        <f t="shared" ref="L230:P230" si="618">L229</f>
        <v>0.2</v>
      </c>
      <c r="M230" s="49">
        <f>M229</f>
        <v>0</v>
      </c>
      <c r="N230" s="44">
        <f t="shared" si="427"/>
        <v>150</v>
      </c>
      <c r="O230" s="44">
        <f t="shared" si="618"/>
        <v>750</v>
      </c>
      <c r="P230" s="44" t="str">
        <f t="shared" si="618"/>
        <v>on</v>
      </c>
    </row>
    <row r="231" spans="1:16" ht="15.75" thickBot="1" x14ac:dyDescent="0.3">
      <c r="A231" s="229">
        <f t="shared" ref="A231:B231" si="619">A230+1</f>
        <v>4326</v>
      </c>
      <c r="B231" s="230">
        <f t="shared" si="619"/>
        <v>221</v>
      </c>
      <c r="C231" s="218" t="str">
        <f t="shared" si="537"/>
        <v>81aX13_270_000#05</v>
      </c>
      <c r="D231" s="43">
        <f t="shared" ref="D231:F231" si="620">D230</f>
        <v>13</v>
      </c>
      <c r="E231" s="61">
        <f t="shared" si="620"/>
        <v>2.149</v>
      </c>
      <c r="F231" s="44">
        <f t="shared" si="620"/>
        <v>16.530769230769231</v>
      </c>
      <c r="G231" s="44">
        <f t="shared" si="484"/>
        <v>13.224615384615385</v>
      </c>
      <c r="H231" s="44">
        <f t="shared" si="485"/>
        <v>8.2653846153846153</v>
      </c>
      <c r="I231" s="44">
        <f t="shared" si="439"/>
        <v>8</v>
      </c>
      <c r="J231" s="45">
        <v>270</v>
      </c>
      <c r="K231" s="37" t="str">
        <f>D231&amp;-5</f>
        <v>13-5</v>
      </c>
      <c r="L231" s="44">
        <f t="shared" ref="L231:P231" si="621">L230</f>
        <v>0.2</v>
      </c>
      <c r="M231" s="49">
        <f>M230</f>
        <v>0</v>
      </c>
      <c r="N231" s="44">
        <f t="shared" ref="N231" si="622">N230</f>
        <v>150</v>
      </c>
      <c r="O231" s="44">
        <f t="shared" si="621"/>
        <v>750</v>
      </c>
      <c r="P231" s="44" t="str">
        <f t="shared" si="621"/>
        <v>on</v>
      </c>
    </row>
    <row r="232" spans="1:16" ht="15.75" thickBot="1" x14ac:dyDescent="0.3">
      <c r="A232" s="229">
        <f t="shared" ref="A232:B232" si="623">A231+1</f>
        <v>4327</v>
      </c>
      <c r="B232" s="230">
        <f t="shared" si="623"/>
        <v>222</v>
      </c>
      <c r="C232" s="218" t="str">
        <f t="shared" si="537"/>
        <v>81aX13_270_000#06</v>
      </c>
      <c r="D232" s="43">
        <f t="shared" ref="D232:F232" si="624">D231</f>
        <v>13</v>
      </c>
      <c r="E232" s="61">
        <f t="shared" si="624"/>
        <v>2.149</v>
      </c>
      <c r="F232" s="44">
        <f t="shared" si="624"/>
        <v>16.530769230769231</v>
      </c>
      <c r="G232" s="44">
        <f t="shared" si="484"/>
        <v>13.224615384615385</v>
      </c>
      <c r="H232" s="44">
        <f t="shared" si="485"/>
        <v>8.2653846153846153</v>
      </c>
      <c r="I232" s="44">
        <f t="shared" si="439"/>
        <v>8</v>
      </c>
      <c r="J232" s="45">
        <v>270</v>
      </c>
      <c r="K232" s="37" t="str">
        <f>D232&amp;-6</f>
        <v>13-6</v>
      </c>
      <c r="L232" s="44">
        <f t="shared" ref="L232:P232" si="625">L231</f>
        <v>0.2</v>
      </c>
      <c r="M232" s="49">
        <f>M231</f>
        <v>0</v>
      </c>
      <c r="N232" s="44">
        <f t="shared" si="505"/>
        <v>150</v>
      </c>
      <c r="O232" s="44">
        <f t="shared" si="625"/>
        <v>750</v>
      </c>
      <c r="P232" s="44" t="str">
        <f t="shared" si="625"/>
        <v>on</v>
      </c>
    </row>
    <row r="233" spans="1:16" ht="15.75" thickBot="1" x14ac:dyDescent="0.3">
      <c r="A233" s="229">
        <f t="shared" ref="A233:B233" si="626">A232+1</f>
        <v>4328</v>
      </c>
      <c r="B233" s="230">
        <f t="shared" si="626"/>
        <v>223</v>
      </c>
      <c r="C233" s="218" t="str">
        <f t="shared" si="537"/>
        <v>81aX13_270_030#01</v>
      </c>
      <c r="D233" s="43">
        <f t="shared" ref="D233:F233" si="627">D232</f>
        <v>13</v>
      </c>
      <c r="E233" s="61">
        <f t="shared" si="627"/>
        <v>2.149</v>
      </c>
      <c r="F233" s="44">
        <f t="shared" si="627"/>
        <v>16.530769230769231</v>
      </c>
      <c r="G233" s="44">
        <f t="shared" si="484"/>
        <v>13.224615384615385</v>
      </c>
      <c r="H233" s="44">
        <f t="shared" si="485"/>
        <v>8.2653846153846153</v>
      </c>
      <c r="I233" s="44">
        <f t="shared" si="439"/>
        <v>8</v>
      </c>
      <c r="J233" s="45">
        <v>270</v>
      </c>
      <c r="K233" s="37" t="str">
        <f>D233&amp;-1</f>
        <v>13-1</v>
      </c>
      <c r="L233" s="44">
        <f t="shared" ref="L233:P233" si="628">L232</f>
        <v>0.2</v>
      </c>
      <c r="M233" s="49">
        <v>30</v>
      </c>
      <c r="N233" s="44">
        <f t="shared" si="505"/>
        <v>150</v>
      </c>
      <c r="O233" s="44">
        <f t="shared" si="628"/>
        <v>750</v>
      </c>
      <c r="P233" s="44" t="str">
        <f t="shared" si="628"/>
        <v>on</v>
      </c>
    </row>
    <row r="234" spans="1:16" ht="15.75" thickBot="1" x14ac:dyDescent="0.3">
      <c r="A234" s="229">
        <f t="shared" ref="A234:B234" si="629">A233+1</f>
        <v>4329</v>
      </c>
      <c r="B234" s="230">
        <f t="shared" si="629"/>
        <v>224</v>
      </c>
      <c r="C234" s="218" t="str">
        <f t="shared" si="537"/>
        <v>81aX13_270_030#02</v>
      </c>
      <c r="D234" s="43">
        <f t="shared" ref="D234:F234" si="630">D233</f>
        <v>13</v>
      </c>
      <c r="E234" s="61">
        <f t="shared" si="630"/>
        <v>2.149</v>
      </c>
      <c r="F234" s="44">
        <f t="shared" si="630"/>
        <v>16.530769230769231</v>
      </c>
      <c r="G234" s="44">
        <f t="shared" si="484"/>
        <v>13.224615384615385</v>
      </c>
      <c r="H234" s="44">
        <f t="shared" si="485"/>
        <v>8.2653846153846153</v>
      </c>
      <c r="I234" s="44">
        <f t="shared" si="439"/>
        <v>8</v>
      </c>
      <c r="J234" s="45">
        <v>270</v>
      </c>
      <c r="K234" s="37" t="str">
        <f>D234&amp;-2</f>
        <v>13-2</v>
      </c>
      <c r="L234" s="44">
        <f t="shared" ref="L234:P234" si="631">L233</f>
        <v>0.2</v>
      </c>
      <c r="M234" s="49">
        <f>M233</f>
        <v>30</v>
      </c>
      <c r="N234" s="44">
        <f t="shared" si="505"/>
        <v>150</v>
      </c>
      <c r="O234" s="44">
        <f t="shared" si="631"/>
        <v>750</v>
      </c>
      <c r="P234" s="44" t="str">
        <f t="shared" si="631"/>
        <v>on</v>
      </c>
    </row>
    <row r="235" spans="1:16" ht="15.75" thickBot="1" x14ac:dyDescent="0.3">
      <c r="A235" s="229">
        <f t="shared" ref="A235:B235" si="632">A234+1</f>
        <v>4330</v>
      </c>
      <c r="B235" s="230">
        <f t="shared" si="632"/>
        <v>225</v>
      </c>
      <c r="C235" s="218" t="str">
        <f t="shared" si="537"/>
        <v>81aX13_270_030#03</v>
      </c>
      <c r="D235" s="43">
        <f t="shared" ref="D235:F235" si="633">D234</f>
        <v>13</v>
      </c>
      <c r="E235" s="61">
        <f t="shared" si="633"/>
        <v>2.149</v>
      </c>
      <c r="F235" s="44">
        <f t="shared" si="633"/>
        <v>16.530769230769231</v>
      </c>
      <c r="G235" s="44">
        <f t="shared" si="484"/>
        <v>13.224615384615385</v>
      </c>
      <c r="H235" s="44">
        <f t="shared" si="485"/>
        <v>8.2653846153846153</v>
      </c>
      <c r="I235" s="44">
        <f t="shared" si="439"/>
        <v>8</v>
      </c>
      <c r="J235" s="45">
        <v>270</v>
      </c>
      <c r="K235" s="37" t="str">
        <f>D235&amp;-3</f>
        <v>13-3</v>
      </c>
      <c r="L235" s="44">
        <f t="shared" ref="L235:P235" si="634">L234</f>
        <v>0.2</v>
      </c>
      <c r="M235" s="49">
        <f>M234</f>
        <v>30</v>
      </c>
      <c r="N235" s="44">
        <f t="shared" si="505"/>
        <v>150</v>
      </c>
      <c r="O235" s="44">
        <f t="shared" si="634"/>
        <v>750</v>
      </c>
      <c r="P235" s="44" t="str">
        <f t="shared" si="634"/>
        <v>on</v>
      </c>
    </row>
    <row r="236" spans="1:16" ht="15.75" thickBot="1" x14ac:dyDescent="0.3">
      <c r="A236" s="229">
        <f t="shared" ref="A236:B236" si="635">A235+1</f>
        <v>4331</v>
      </c>
      <c r="B236" s="230">
        <f t="shared" si="635"/>
        <v>226</v>
      </c>
      <c r="C236" s="218" t="str">
        <f t="shared" si="537"/>
        <v>81aX13_270_030#04</v>
      </c>
      <c r="D236" s="43">
        <f t="shared" ref="D236:F236" si="636">D235</f>
        <v>13</v>
      </c>
      <c r="E236" s="61">
        <f t="shared" si="636"/>
        <v>2.149</v>
      </c>
      <c r="F236" s="44">
        <f t="shared" si="636"/>
        <v>16.530769230769231</v>
      </c>
      <c r="G236" s="44">
        <f t="shared" si="484"/>
        <v>13.224615384615385</v>
      </c>
      <c r="H236" s="44">
        <f t="shared" si="485"/>
        <v>8.2653846153846153</v>
      </c>
      <c r="I236" s="44">
        <f t="shared" si="439"/>
        <v>8</v>
      </c>
      <c r="J236" s="45">
        <v>270</v>
      </c>
      <c r="K236" s="37" t="str">
        <f>D236&amp;-4</f>
        <v>13-4</v>
      </c>
      <c r="L236" s="44">
        <f t="shared" ref="L236:P236" si="637">L235</f>
        <v>0.2</v>
      </c>
      <c r="M236" s="49">
        <f>M235</f>
        <v>30</v>
      </c>
      <c r="N236" s="44">
        <f t="shared" si="505"/>
        <v>150</v>
      </c>
      <c r="O236" s="44">
        <f t="shared" si="637"/>
        <v>750</v>
      </c>
      <c r="P236" s="44" t="str">
        <f t="shared" si="637"/>
        <v>on</v>
      </c>
    </row>
    <row r="237" spans="1:16" ht="15.75" thickBot="1" x14ac:dyDescent="0.3">
      <c r="A237" s="229">
        <f t="shared" ref="A237:B237" si="638">A236+1</f>
        <v>4332</v>
      </c>
      <c r="B237" s="230">
        <f t="shared" si="638"/>
        <v>227</v>
      </c>
      <c r="C237" s="218" t="str">
        <f t="shared" si="537"/>
        <v>81aX13_270_030#05</v>
      </c>
      <c r="D237" s="43">
        <f t="shared" ref="D237:F237" si="639">D236</f>
        <v>13</v>
      </c>
      <c r="E237" s="61">
        <f t="shared" si="639"/>
        <v>2.149</v>
      </c>
      <c r="F237" s="44">
        <f t="shared" si="639"/>
        <v>16.530769230769231</v>
      </c>
      <c r="G237" s="44">
        <f t="shared" si="484"/>
        <v>13.224615384615385</v>
      </c>
      <c r="H237" s="44">
        <f t="shared" si="485"/>
        <v>8.2653846153846153</v>
      </c>
      <c r="I237" s="44">
        <f t="shared" ref="I237:I298" si="640">I236</f>
        <v>8</v>
      </c>
      <c r="J237" s="45">
        <v>270</v>
      </c>
      <c r="K237" s="37" t="str">
        <f>D237&amp;-5</f>
        <v>13-5</v>
      </c>
      <c r="L237" s="44">
        <f t="shared" ref="L237:P237" si="641">L236</f>
        <v>0.2</v>
      </c>
      <c r="M237" s="49">
        <f>M236</f>
        <v>30</v>
      </c>
      <c r="N237" s="44">
        <f t="shared" si="505"/>
        <v>150</v>
      </c>
      <c r="O237" s="44">
        <f t="shared" si="641"/>
        <v>750</v>
      </c>
      <c r="P237" s="44" t="str">
        <f t="shared" si="641"/>
        <v>on</v>
      </c>
    </row>
    <row r="238" spans="1:16" ht="15.75" thickBot="1" x14ac:dyDescent="0.3">
      <c r="A238" s="229">
        <f t="shared" ref="A238:B238" si="642">A237+1</f>
        <v>4333</v>
      </c>
      <c r="B238" s="230">
        <f t="shared" si="642"/>
        <v>228</v>
      </c>
      <c r="C238" s="218" t="str">
        <f t="shared" si="537"/>
        <v>81aX13_270_030#06</v>
      </c>
      <c r="D238" s="43">
        <f t="shared" ref="D238:F238" si="643">D237</f>
        <v>13</v>
      </c>
      <c r="E238" s="61">
        <f t="shared" si="643"/>
        <v>2.149</v>
      </c>
      <c r="F238" s="44">
        <f t="shared" si="643"/>
        <v>16.530769230769231</v>
      </c>
      <c r="G238" s="44">
        <f t="shared" si="484"/>
        <v>13.224615384615385</v>
      </c>
      <c r="H238" s="44">
        <f t="shared" si="485"/>
        <v>8.2653846153846153</v>
      </c>
      <c r="I238" s="44">
        <f t="shared" si="640"/>
        <v>8</v>
      </c>
      <c r="J238" s="45">
        <v>270</v>
      </c>
      <c r="K238" s="37" t="str">
        <f>D238&amp;-6</f>
        <v>13-6</v>
      </c>
      <c r="L238" s="44">
        <f t="shared" ref="L238:P238" si="644">L237</f>
        <v>0.2</v>
      </c>
      <c r="M238" s="49">
        <f>M237</f>
        <v>30</v>
      </c>
      <c r="N238" s="44">
        <f t="shared" si="466"/>
        <v>150</v>
      </c>
      <c r="O238" s="44">
        <f t="shared" si="644"/>
        <v>750</v>
      </c>
      <c r="P238" s="44" t="str">
        <f t="shared" si="644"/>
        <v>on</v>
      </c>
    </row>
    <row r="239" spans="1:16" ht="15.75" thickBot="1" x14ac:dyDescent="0.3">
      <c r="A239" s="229">
        <f t="shared" ref="A239:B239" si="645">A238+1</f>
        <v>4334</v>
      </c>
      <c r="B239" s="230">
        <f t="shared" si="645"/>
        <v>229</v>
      </c>
      <c r="C239" s="218" t="str">
        <f t="shared" si="537"/>
        <v>81aX13_270_060#01</v>
      </c>
      <c r="D239" s="43">
        <f t="shared" ref="D239:F239" si="646">D238</f>
        <v>13</v>
      </c>
      <c r="E239" s="61">
        <f t="shared" si="646"/>
        <v>2.149</v>
      </c>
      <c r="F239" s="44">
        <f t="shared" si="646"/>
        <v>16.530769230769231</v>
      </c>
      <c r="G239" s="44">
        <f t="shared" si="484"/>
        <v>13.224615384615385</v>
      </c>
      <c r="H239" s="44">
        <f t="shared" si="485"/>
        <v>8.2653846153846153</v>
      </c>
      <c r="I239" s="44">
        <f t="shared" si="640"/>
        <v>8</v>
      </c>
      <c r="J239" s="45">
        <v>270</v>
      </c>
      <c r="K239" s="37" t="str">
        <f>D239&amp;-1</f>
        <v>13-1</v>
      </c>
      <c r="L239" s="44">
        <f t="shared" ref="L239:P239" si="647">L238</f>
        <v>0.2</v>
      </c>
      <c r="M239" s="49">
        <v>60</v>
      </c>
      <c r="N239" s="44">
        <f t="shared" si="466"/>
        <v>150</v>
      </c>
      <c r="O239" s="44">
        <f t="shared" si="647"/>
        <v>750</v>
      </c>
      <c r="P239" s="44" t="str">
        <f t="shared" si="647"/>
        <v>on</v>
      </c>
    </row>
    <row r="240" spans="1:16" ht="15.75" thickBot="1" x14ac:dyDescent="0.3">
      <c r="A240" s="229">
        <f t="shared" ref="A240:B240" si="648">A239+1</f>
        <v>4335</v>
      </c>
      <c r="B240" s="230">
        <f t="shared" si="648"/>
        <v>230</v>
      </c>
      <c r="C240" s="218" t="str">
        <f t="shared" si="537"/>
        <v>81aX13_270_060#02</v>
      </c>
      <c r="D240" s="43">
        <f t="shared" ref="D240:F240" si="649">D239</f>
        <v>13</v>
      </c>
      <c r="E240" s="61">
        <f t="shared" si="649"/>
        <v>2.149</v>
      </c>
      <c r="F240" s="44">
        <f t="shared" si="649"/>
        <v>16.530769230769231</v>
      </c>
      <c r="G240" s="44">
        <f t="shared" si="484"/>
        <v>13.224615384615385</v>
      </c>
      <c r="H240" s="44">
        <f t="shared" si="485"/>
        <v>8.2653846153846153</v>
      </c>
      <c r="I240" s="44">
        <f t="shared" si="640"/>
        <v>8</v>
      </c>
      <c r="J240" s="45">
        <v>270</v>
      </c>
      <c r="K240" s="37" t="str">
        <f>D240&amp;-2</f>
        <v>13-2</v>
      </c>
      <c r="L240" s="44">
        <f t="shared" ref="L240:P240" si="650">L239</f>
        <v>0.2</v>
      </c>
      <c r="M240" s="49">
        <f>M239</f>
        <v>60</v>
      </c>
      <c r="N240" s="44">
        <f t="shared" si="466"/>
        <v>150</v>
      </c>
      <c r="O240" s="44">
        <f t="shared" si="650"/>
        <v>750</v>
      </c>
      <c r="P240" s="44" t="str">
        <f t="shared" si="650"/>
        <v>on</v>
      </c>
    </row>
    <row r="241" spans="1:16" ht="15.75" thickBot="1" x14ac:dyDescent="0.3">
      <c r="A241" s="229">
        <f t="shared" ref="A241:B241" si="651">A240+1</f>
        <v>4336</v>
      </c>
      <c r="B241" s="230">
        <f t="shared" si="651"/>
        <v>231</v>
      </c>
      <c r="C241" s="218" t="str">
        <f t="shared" si="537"/>
        <v>81aX13_270_060#03</v>
      </c>
      <c r="D241" s="43">
        <f t="shared" ref="D241:F241" si="652">D240</f>
        <v>13</v>
      </c>
      <c r="E241" s="61">
        <f t="shared" si="652"/>
        <v>2.149</v>
      </c>
      <c r="F241" s="44">
        <f t="shared" si="652"/>
        <v>16.530769230769231</v>
      </c>
      <c r="G241" s="44">
        <f t="shared" si="484"/>
        <v>13.224615384615385</v>
      </c>
      <c r="H241" s="44">
        <f t="shared" si="485"/>
        <v>8.2653846153846153</v>
      </c>
      <c r="I241" s="44">
        <f t="shared" si="640"/>
        <v>8</v>
      </c>
      <c r="J241" s="45">
        <v>270</v>
      </c>
      <c r="K241" s="37" t="str">
        <f>D241&amp;-3</f>
        <v>13-3</v>
      </c>
      <c r="L241" s="44">
        <f t="shared" ref="L241:P241" si="653">L240</f>
        <v>0.2</v>
      </c>
      <c r="M241" s="49">
        <f>M240</f>
        <v>60</v>
      </c>
      <c r="N241" s="44">
        <f t="shared" si="466"/>
        <v>150</v>
      </c>
      <c r="O241" s="44">
        <f t="shared" si="653"/>
        <v>750</v>
      </c>
      <c r="P241" s="44" t="str">
        <f t="shared" si="653"/>
        <v>on</v>
      </c>
    </row>
    <row r="242" spans="1:16" ht="15.75" thickBot="1" x14ac:dyDescent="0.3">
      <c r="A242" s="229">
        <f t="shared" ref="A242:B242" si="654">A241+1</f>
        <v>4337</v>
      </c>
      <c r="B242" s="230">
        <f t="shared" si="654"/>
        <v>232</v>
      </c>
      <c r="C242" s="218" t="str">
        <f t="shared" si="537"/>
        <v>81aX13_270_060#04</v>
      </c>
      <c r="D242" s="43">
        <f t="shared" ref="D242:F242" si="655">D241</f>
        <v>13</v>
      </c>
      <c r="E242" s="61">
        <f t="shared" si="655"/>
        <v>2.149</v>
      </c>
      <c r="F242" s="44">
        <f t="shared" si="655"/>
        <v>16.530769230769231</v>
      </c>
      <c r="G242" s="44">
        <f t="shared" si="484"/>
        <v>13.224615384615385</v>
      </c>
      <c r="H242" s="44">
        <f t="shared" si="485"/>
        <v>8.2653846153846153</v>
      </c>
      <c r="I242" s="44">
        <f t="shared" si="640"/>
        <v>8</v>
      </c>
      <c r="J242" s="45">
        <v>270</v>
      </c>
      <c r="K242" s="37" t="str">
        <f>D242&amp;-4</f>
        <v>13-4</v>
      </c>
      <c r="L242" s="44">
        <f t="shared" ref="L242:P242" si="656">L241</f>
        <v>0.2</v>
      </c>
      <c r="M242" s="49">
        <f>M241</f>
        <v>60</v>
      </c>
      <c r="N242" s="44">
        <f t="shared" si="466"/>
        <v>150</v>
      </c>
      <c r="O242" s="44">
        <f t="shared" si="656"/>
        <v>750</v>
      </c>
      <c r="P242" s="44" t="str">
        <f t="shared" si="656"/>
        <v>on</v>
      </c>
    </row>
    <row r="243" spans="1:16" ht="15.75" thickBot="1" x14ac:dyDescent="0.3">
      <c r="A243" s="229">
        <f t="shared" ref="A243:B243" si="657">A242+1</f>
        <v>4338</v>
      </c>
      <c r="B243" s="230">
        <f t="shared" si="657"/>
        <v>233</v>
      </c>
      <c r="C243" s="218" t="str">
        <f t="shared" si="537"/>
        <v>81aX13_270_060#05</v>
      </c>
      <c r="D243" s="43">
        <f t="shared" ref="D243:F243" si="658">D242</f>
        <v>13</v>
      </c>
      <c r="E243" s="61">
        <f t="shared" si="658"/>
        <v>2.149</v>
      </c>
      <c r="F243" s="44">
        <f t="shared" si="658"/>
        <v>16.530769230769231</v>
      </c>
      <c r="G243" s="44">
        <f t="shared" si="484"/>
        <v>13.224615384615385</v>
      </c>
      <c r="H243" s="44">
        <f t="shared" si="485"/>
        <v>8.2653846153846153</v>
      </c>
      <c r="I243" s="44">
        <f t="shared" si="640"/>
        <v>8</v>
      </c>
      <c r="J243" s="45">
        <v>270</v>
      </c>
      <c r="K243" s="37" t="str">
        <f>D243&amp;-5</f>
        <v>13-5</v>
      </c>
      <c r="L243" s="44">
        <f t="shared" ref="L243:P243" si="659">L242</f>
        <v>0.2</v>
      </c>
      <c r="M243" s="49">
        <f>M242</f>
        <v>60</v>
      </c>
      <c r="N243" s="44">
        <f t="shared" si="466"/>
        <v>150</v>
      </c>
      <c r="O243" s="44">
        <f t="shared" si="659"/>
        <v>750</v>
      </c>
      <c r="P243" s="44" t="str">
        <f t="shared" si="659"/>
        <v>on</v>
      </c>
    </row>
    <row r="244" spans="1:16" ht="15.75" thickBot="1" x14ac:dyDescent="0.3">
      <c r="A244" s="229">
        <f t="shared" ref="A244:B244" si="660">A243+1</f>
        <v>4339</v>
      </c>
      <c r="B244" s="230">
        <f t="shared" si="660"/>
        <v>234</v>
      </c>
      <c r="C244" s="218" t="str">
        <f t="shared" si="537"/>
        <v>81aX13_270_060#06</v>
      </c>
      <c r="D244" s="43">
        <f t="shared" ref="D244:F244" si="661">D243</f>
        <v>13</v>
      </c>
      <c r="E244" s="61">
        <f t="shared" si="661"/>
        <v>2.149</v>
      </c>
      <c r="F244" s="44">
        <f t="shared" si="661"/>
        <v>16.530769230769231</v>
      </c>
      <c r="G244" s="44">
        <f t="shared" si="484"/>
        <v>13.224615384615385</v>
      </c>
      <c r="H244" s="44">
        <f t="shared" si="485"/>
        <v>8.2653846153846153</v>
      </c>
      <c r="I244" s="44">
        <f t="shared" si="640"/>
        <v>8</v>
      </c>
      <c r="J244" s="45">
        <v>270</v>
      </c>
      <c r="K244" s="37" t="str">
        <f>D244&amp;-6</f>
        <v>13-6</v>
      </c>
      <c r="L244" s="44">
        <f t="shared" ref="L244:P244" si="662">L243</f>
        <v>0.2</v>
      </c>
      <c r="M244" s="49">
        <f>M243</f>
        <v>60</v>
      </c>
      <c r="N244" s="44">
        <f t="shared" si="466"/>
        <v>150</v>
      </c>
      <c r="O244" s="44">
        <f t="shared" si="662"/>
        <v>750</v>
      </c>
      <c r="P244" s="44" t="str">
        <f t="shared" si="662"/>
        <v>on</v>
      </c>
    </row>
    <row r="245" spans="1:16" ht="15.75" thickBot="1" x14ac:dyDescent="0.3">
      <c r="A245" s="229">
        <f t="shared" ref="A245:B245" si="663">A244+1</f>
        <v>4340</v>
      </c>
      <c r="B245" s="230">
        <f t="shared" si="663"/>
        <v>235</v>
      </c>
      <c r="C245" s="218" t="str">
        <f t="shared" si="537"/>
        <v>81aX13_270_090#01</v>
      </c>
      <c r="D245" s="43">
        <f t="shared" ref="D245:F245" si="664">D244</f>
        <v>13</v>
      </c>
      <c r="E245" s="61">
        <f t="shared" si="664"/>
        <v>2.149</v>
      </c>
      <c r="F245" s="44">
        <f t="shared" si="664"/>
        <v>16.530769230769231</v>
      </c>
      <c r="G245" s="44">
        <f t="shared" si="484"/>
        <v>13.224615384615385</v>
      </c>
      <c r="H245" s="44">
        <f t="shared" si="485"/>
        <v>8.2653846153846153</v>
      </c>
      <c r="I245" s="44">
        <f t="shared" si="640"/>
        <v>8</v>
      </c>
      <c r="J245" s="45">
        <v>270</v>
      </c>
      <c r="K245" s="37" t="str">
        <f>D245&amp;-1</f>
        <v>13-1</v>
      </c>
      <c r="L245" s="44">
        <f t="shared" ref="L245:P245" si="665">L244</f>
        <v>0.2</v>
      </c>
      <c r="M245" s="49">
        <v>90</v>
      </c>
      <c r="N245" s="44">
        <f t="shared" ref="N245:N287" si="666">N244</f>
        <v>150</v>
      </c>
      <c r="O245" s="44">
        <f t="shared" si="665"/>
        <v>750</v>
      </c>
      <c r="P245" s="44" t="str">
        <f t="shared" si="665"/>
        <v>on</v>
      </c>
    </row>
    <row r="246" spans="1:16" ht="15.75" thickBot="1" x14ac:dyDescent="0.3">
      <c r="A246" s="229">
        <f t="shared" ref="A246:B246" si="667">A245+1</f>
        <v>4341</v>
      </c>
      <c r="B246" s="230">
        <f t="shared" si="667"/>
        <v>236</v>
      </c>
      <c r="C246" s="218" t="str">
        <f t="shared" si="537"/>
        <v>81aX13_270_090#02</v>
      </c>
      <c r="D246" s="43">
        <f t="shared" ref="D246:F246" si="668">D245</f>
        <v>13</v>
      </c>
      <c r="E246" s="61">
        <f t="shared" si="668"/>
        <v>2.149</v>
      </c>
      <c r="F246" s="44">
        <f t="shared" si="668"/>
        <v>16.530769230769231</v>
      </c>
      <c r="G246" s="44">
        <f t="shared" si="484"/>
        <v>13.224615384615385</v>
      </c>
      <c r="H246" s="44">
        <f t="shared" si="485"/>
        <v>8.2653846153846153</v>
      </c>
      <c r="I246" s="44">
        <f t="shared" si="640"/>
        <v>8</v>
      </c>
      <c r="J246" s="45">
        <v>270</v>
      </c>
      <c r="K246" s="37" t="str">
        <f>D246&amp;-2</f>
        <v>13-2</v>
      </c>
      <c r="L246" s="44">
        <f t="shared" ref="L246:P246" si="669">L245</f>
        <v>0.2</v>
      </c>
      <c r="M246" s="49">
        <f>M245</f>
        <v>90</v>
      </c>
      <c r="N246" s="44">
        <f t="shared" si="666"/>
        <v>150</v>
      </c>
      <c r="O246" s="44">
        <f t="shared" si="669"/>
        <v>750</v>
      </c>
      <c r="P246" s="44" t="str">
        <f t="shared" si="669"/>
        <v>on</v>
      </c>
    </row>
    <row r="247" spans="1:16" ht="15.75" thickBot="1" x14ac:dyDescent="0.3">
      <c r="A247" s="229">
        <f t="shared" ref="A247:B247" si="670">A246+1</f>
        <v>4342</v>
      </c>
      <c r="B247" s="230">
        <f t="shared" si="670"/>
        <v>237</v>
      </c>
      <c r="C247" s="218" t="str">
        <f t="shared" si="537"/>
        <v>81aX13_270_090#03</v>
      </c>
      <c r="D247" s="43">
        <f t="shared" ref="D247:F247" si="671">D246</f>
        <v>13</v>
      </c>
      <c r="E247" s="61">
        <f t="shared" si="671"/>
        <v>2.149</v>
      </c>
      <c r="F247" s="44">
        <f t="shared" si="671"/>
        <v>16.530769230769231</v>
      </c>
      <c r="G247" s="44">
        <f t="shared" si="484"/>
        <v>13.224615384615385</v>
      </c>
      <c r="H247" s="44">
        <f t="shared" si="485"/>
        <v>8.2653846153846153</v>
      </c>
      <c r="I247" s="44">
        <f t="shared" si="640"/>
        <v>8</v>
      </c>
      <c r="J247" s="45">
        <v>270</v>
      </c>
      <c r="K247" s="37" t="str">
        <f>D247&amp;-3</f>
        <v>13-3</v>
      </c>
      <c r="L247" s="44">
        <f t="shared" ref="L247:P247" si="672">L246</f>
        <v>0.2</v>
      </c>
      <c r="M247" s="49">
        <f>M246</f>
        <v>90</v>
      </c>
      <c r="N247" s="44">
        <f t="shared" si="666"/>
        <v>150</v>
      </c>
      <c r="O247" s="44">
        <f t="shared" si="672"/>
        <v>750</v>
      </c>
      <c r="P247" s="44" t="str">
        <f t="shared" si="672"/>
        <v>on</v>
      </c>
    </row>
    <row r="248" spans="1:16" ht="15.75" thickBot="1" x14ac:dyDescent="0.3">
      <c r="A248" s="229">
        <f t="shared" ref="A248:B248" si="673">A247+1</f>
        <v>4343</v>
      </c>
      <c r="B248" s="230">
        <f t="shared" si="673"/>
        <v>238</v>
      </c>
      <c r="C248" s="218" t="str">
        <f t="shared" si="537"/>
        <v>81aX13_270_090#04</v>
      </c>
      <c r="D248" s="43">
        <f t="shared" ref="D248:F248" si="674">D247</f>
        <v>13</v>
      </c>
      <c r="E248" s="61">
        <f t="shared" si="674"/>
        <v>2.149</v>
      </c>
      <c r="F248" s="44">
        <f t="shared" si="674"/>
        <v>16.530769230769231</v>
      </c>
      <c r="G248" s="44">
        <f t="shared" si="484"/>
        <v>13.224615384615385</v>
      </c>
      <c r="H248" s="44">
        <f t="shared" si="485"/>
        <v>8.2653846153846153</v>
      </c>
      <c r="I248" s="44">
        <f t="shared" si="640"/>
        <v>8</v>
      </c>
      <c r="J248" s="45">
        <v>270</v>
      </c>
      <c r="K248" s="37" t="str">
        <f>D248&amp;-4</f>
        <v>13-4</v>
      </c>
      <c r="L248" s="44">
        <f t="shared" ref="L248:P248" si="675">L247</f>
        <v>0.2</v>
      </c>
      <c r="M248" s="49">
        <f>M247</f>
        <v>90</v>
      </c>
      <c r="N248" s="44">
        <f t="shared" si="666"/>
        <v>150</v>
      </c>
      <c r="O248" s="44">
        <f t="shared" si="675"/>
        <v>750</v>
      </c>
      <c r="P248" s="44" t="str">
        <f t="shared" si="675"/>
        <v>on</v>
      </c>
    </row>
    <row r="249" spans="1:16" ht="15.75" thickBot="1" x14ac:dyDescent="0.3">
      <c r="A249" s="229">
        <f t="shared" ref="A249:B249" si="676">A248+1</f>
        <v>4344</v>
      </c>
      <c r="B249" s="230">
        <f t="shared" si="676"/>
        <v>239</v>
      </c>
      <c r="C249" s="218" t="str">
        <f t="shared" si="537"/>
        <v>81aX13_270_090#05</v>
      </c>
      <c r="D249" s="43">
        <f t="shared" ref="D249:F249" si="677">D248</f>
        <v>13</v>
      </c>
      <c r="E249" s="61">
        <f t="shared" si="677"/>
        <v>2.149</v>
      </c>
      <c r="F249" s="44">
        <f t="shared" si="677"/>
        <v>16.530769230769231</v>
      </c>
      <c r="G249" s="44">
        <f t="shared" si="484"/>
        <v>13.224615384615385</v>
      </c>
      <c r="H249" s="44">
        <f t="shared" si="485"/>
        <v>8.2653846153846153</v>
      </c>
      <c r="I249" s="44">
        <f t="shared" si="640"/>
        <v>8</v>
      </c>
      <c r="J249" s="45">
        <v>270</v>
      </c>
      <c r="K249" s="37" t="str">
        <f>D249&amp;-5</f>
        <v>13-5</v>
      </c>
      <c r="L249" s="44">
        <f t="shared" ref="L249:P249" si="678">L248</f>
        <v>0.2</v>
      </c>
      <c r="M249" s="49">
        <f>M248</f>
        <v>90</v>
      </c>
      <c r="N249" s="44">
        <f t="shared" si="666"/>
        <v>150</v>
      </c>
      <c r="O249" s="44">
        <f t="shared" si="678"/>
        <v>750</v>
      </c>
      <c r="P249" s="44" t="str">
        <f t="shared" si="678"/>
        <v>on</v>
      </c>
    </row>
    <row r="250" spans="1:16" ht="15.75" thickBot="1" x14ac:dyDescent="0.3">
      <c r="A250" s="229">
        <f t="shared" ref="A250:B250" si="679">A249+1</f>
        <v>4345</v>
      </c>
      <c r="B250" s="230">
        <f t="shared" si="679"/>
        <v>240</v>
      </c>
      <c r="C250" s="218" t="str">
        <f t="shared" si="537"/>
        <v>81aX13_270_090#06</v>
      </c>
      <c r="D250" s="43">
        <f t="shared" ref="D250:F250" si="680">D249</f>
        <v>13</v>
      </c>
      <c r="E250" s="61">
        <f t="shared" si="680"/>
        <v>2.149</v>
      </c>
      <c r="F250" s="44">
        <f t="shared" si="680"/>
        <v>16.530769230769231</v>
      </c>
      <c r="G250" s="44">
        <f t="shared" si="484"/>
        <v>13.224615384615385</v>
      </c>
      <c r="H250" s="44">
        <f t="shared" si="485"/>
        <v>8.2653846153846153</v>
      </c>
      <c r="I250" s="44">
        <f t="shared" si="640"/>
        <v>8</v>
      </c>
      <c r="J250" s="45">
        <v>270</v>
      </c>
      <c r="K250" s="37" t="str">
        <f>D250&amp;-6</f>
        <v>13-6</v>
      </c>
      <c r="L250" s="44">
        <f t="shared" ref="L250:P250" si="681">L249</f>
        <v>0.2</v>
      </c>
      <c r="M250" s="49">
        <f>M249</f>
        <v>90</v>
      </c>
      <c r="N250" s="44">
        <f t="shared" ref="N250" si="682">N249</f>
        <v>150</v>
      </c>
      <c r="O250" s="44">
        <f t="shared" si="681"/>
        <v>750</v>
      </c>
      <c r="P250" s="44" t="str">
        <f t="shared" si="681"/>
        <v>on</v>
      </c>
    </row>
    <row r="251" spans="1:16" ht="15.75" thickBot="1" x14ac:dyDescent="0.3">
      <c r="A251" s="229">
        <f t="shared" ref="A251:B251" si="683">A250+1</f>
        <v>4346</v>
      </c>
      <c r="B251" s="230">
        <f t="shared" si="683"/>
        <v>241</v>
      </c>
      <c r="C251" s="218" t="str">
        <f t="shared" si="537"/>
        <v>81aX13_300_000#01</v>
      </c>
      <c r="D251" s="43">
        <f t="shared" ref="D251:F251" si="684">D250</f>
        <v>13</v>
      </c>
      <c r="E251" s="61">
        <f t="shared" si="684"/>
        <v>2.149</v>
      </c>
      <c r="F251" s="44">
        <f t="shared" si="684"/>
        <v>16.530769230769231</v>
      </c>
      <c r="G251" s="44">
        <f t="shared" ref="G251:G298" si="685">m_ty*F251</f>
        <v>13.224615384615385</v>
      </c>
      <c r="H251" s="44">
        <f t="shared" ref="H251:H298" si="686">m_tz*F251</f>
        <v>8.2653846153846153</v>
      </c>
      <c r="I251" s="44">
        <f t="shared" si="640"/>
        <v>8</v>
      </c>
      <c r="J251" s="45">
        <v>300</v>
      </c>
      <c r="K251" s="37" t="str">
        <f>D251&amp;-1</f>
        <v>13-1</v>
      </c>
      <c r="L251" s="44">
        <f t="shared" ref="L251:P251" si="687">L250</f>
        <v>0.2</v>
      </c>
      <c r="M251" s="49">
        <v>0</v>
      </c>
      <c r="N251" s="44">
        <f t="shared" si="505"/>
        <v>150</v>
      </c>
      <c r="O251" s="44">
        <f t="shared" si="687"/>
        <v>750</v>
      </c>
      <c r="P251" s="44" t="str">
        <f t="shared" si="687"/>
        <v>on</v>
      </c>
    </row>
    <row r="252" spans="1:16" ht="15.75" thickBot="1" x14ac:dyDescent="0.3">
      <c r="A252" s="229">
        <f t="shared" ref="A252:B252" si="688">A251+1</f>
        <v>4347</v>
      </c>
      <c r="B252" s="230">
        <f t="shared" si="688"/>
        <v>242</v>
      </c>
      <c r="C252" s="218" t="str">
        <f t="shared" si="537"/>
        <v>81aX13_300_000#02</v>
      </c>
      <c r="D252" s="43">
        <f t="shared" ref="D252:F252" si="689">D251</f>
        <v>13</v>
      </c>
      <c r="E252" s="61">
        <f t="shared" si="689"/>
        <v>2.149</v>
      </c>
      <c r="F252" s="44">
        <f t="shared" si="689"/>
        <v>16.530769230769231</v>
      </c>
      <c r="G252" s="44">
        <f t="shared" si="685"/>
        <v>13.224615384615385</v>
      </c>
      <c r="H252" s="44">
        <f t="shared" si="686"/>
        <v>8.2653846153846153</v>
      </c>
      <c r="I252" s="44">
        <f t="shared" si="640"/>
        <v>8</v>
      </c>
      <c r="J252" s="45">
        <v>300</v>
      </c>
      <c r="K252" s="37" t="str">
        <f>D252&amp;-2</f>
        <v>13-2</v>
      </c>
      <c r="L252" s="44">
        <f t="shared" ref="L252:P252" si="690">L251</f>
        <v>0.2</v>
      </c>
      <c r="M252" s="49">
        <f>M251</f>
        <v>0</v>
      </c>
      <c r="N252" s="44">
        <f t="shared" si="505"/>
        <v>150</v>
      </c>
      <c r="O252" s="44">
        <f t="shared" si="690"/>
        <v>750</v>
      </c>
      <c r="P252" s="44" t="str">
        <f t="shared" si="690"/>
        <v>on</v>
      </c>
    </row>
    <row r="253" spans="1:16" ht="15.75" thickBot="1" x14ac:dyDescent="0.3">
      <c r="A253" s="229">
        <f t="shared" ref="A253:B253" si="691">A252+1</f>
        <v>4348</v>
      </c>
      <c r="B253" s="230">
        <f t="shared" si="691"/>
        <v>243</v>
      </c>
      <c r="C253" s="218" t="str">
        <f t="shared" si="537"/>
        <v>81aX13_300_000#03</v>
      </c>
      <c r="D253" s="43">
        <f t="shared" ref="D253:F253" si="692">D252</f>
        <v>13</v>
      </c>
      <c r="E253" s="61">
        <f t="shared" si="692"/>
        <v>2.149</v>
      </c>
      <c r="F253" s="44">
        <f t="shared" si="692"/>
        <v>16.530769230769231</v>
      </c>
      <c r="G253" s="44">
        <f t="shared" si="685"/>
        <v>13.224615384615385</v>
      </c>
      <c r="H253" s="44">
        <f t="shared" si="686"/>
        <v>8.2653846153846153</v>
      </c>
      <c r="I253" s="44">
        <f t="shared" si="640"/>
        <v>8</v>
      </c>
      <c r="J253" s="45">
        <v>300</v>
      </c>
      <c r="K253" s="37" t="str">
        <f>D253&amp;-3</f>
        <v>13-3</v>
      </c>
      <c r="L253" s="44">
        <f t="shared" ref="L253:P253" si="693">L252</f>
        <v>0.2</v>
      </c>
      <c r="M253" s="49">
        <f>M252</f>
        <v>0</v>
      </c>
      <c r="N253" s="44">
        <f t="shared" si="505"/>
        <v>150</v>
      </c>
      <c r="O253" s="44">
        <f t="shared" si="693"/>
        <v>750</v>
      </c>
      <c r="P253" s="44" t="str">
        <f t="shared" si="693"/>
        <v>on</v>
      </c>
    </row>
    <row r="254" spans="1:16" ht="15.75" thickBot="1" x14ac:dyDescent="0.3">
      <c r="A254" s="229">
        <f t="shared" ref="A254:B254" si="694">A253+1</f>
        <v>4349</v>
      </c>
      <c r="B254" s="230">
        <f t="shared" si="694"/>
        <v>244</v>
      </c>
      <c r="C254" s="218" t="str">
        <f t="shared" si="537"/>
        <v>81aX13_300_000#04</v>
      </c>
      <c r="D254" s="43">
        <f t="shared" ref="D254:F254" si="695">D253</f>
        <v>13</v>
      </c>
      <c r="E254" s="61">
        <f t="shared" si="695"/>
        <v>2.149</v>
      </c>
      <c r="F254" s="44">
        <f t="shared" si="695"/>
        <v>16.530769230769231</v>
      </c>
      <c r="G254" s="44">
        <f t="shared" si="685"/>
        <v>13.224615384615385</v>
      </c>
      <c r="H254" s="44">
        <f t="shared" si="686"/>
        <v>8.2653846153846153</v>
      </c>
      <c r="I254" s="44">
        <f t="shared" si="640"/>
        <v>8</v>
      </c>
      <c r="J254" s="45">
        <v>300</v>
      </c>
      <c r="K254" s="37" t="str">
        <f>D254&amp;-4</f>
        <v>13-4</v>
      </c>
      <c r="L254" s="44">
        <f t="shared" ref="L254:P254" si="696">L253</f>
        <v>0.2</v>
      </c>
      <c r="M254" s="49">
        <f>M253</f>
        <v>0</v>
      </c>
      <c r="N254" s="44">
        <f t="shared" si="505"/>
        <v>150</v>
      </c>
      <c r="O254" s="44">
        <f t="shared" si="696"/>
        <v>750</v>
      </c>
      <c r="P254" s="44" t="str">
        <f t="shared" si="696"/>
        <v>on</v>
      </c>
    </row>
    <row r="255" spans="1:16" ht="15.75" thickBot="1" x14ac:dyDescent="0.3">
      <c r="A255" s="229">
        <f t="shared" ref="A255:B255" si="697">A254+1</f>
        <v>4350</v>
      </c>
      <c r="B255" s="230">
        <f t="shared" si="697"/>
        <v>245</v>
      </c>
      <c r="C255" s="218" t="str">
        <f t="shared" si="537"/>
        <v>81aX13_300_000#05</v>
      </c>
      <c r="D255" s="43">
        <f t="shared" ref="D255:F255" si="698">D254</f>
        <v>13</v>
      </c>
      <c r="E255" s="61">
        <f t="shared" si="698"/>
        <v>2.149</v>
      </c>
      <c r="F255" s="44">
        <f t="shared" si="698"/>
        <v>16.530769230769231</v>
      </c>
      <c r="G255" s="44">
        <f t="shared" si="685"/>
        <v>13.224615384615385</v>
      </c>
      <c r="H255" s="44">
        <f t="shared" si="686"/>
        <v>8.2653846153846153</v>
      </c>
      <c r="I255" s="44">
        <f t="shared" si="640"/>
        <v>8</v>
      </c>
      <c r="J255" s="45">
        <v>300</v>
      </c>
      <c r="K255" s="37" t="str">
        <f>D255&amp;-5</f>
        <v>13-5</v>
      </c>
      <c r="L255" s="44">
        <f t="shared" ref="L255:P255" si="699">L254</f>
        <v>0.2</v>
      </c>
      <c r="M255" s="49">
        <f>M254</f>
        <v>0</v>
      </c>
      <c r="N255" s="44">
        <f t="shared" si="505"/>
        <v>150</v>
      </c>
      <c r="O255" s="44">
        <f t="shared" si="699"/>
        <v>750</v>
      </c>
      <c r="P255" s="44" t="str">
        <f t="shared" si="699"/>
        <v>on</v>
      </c>
    </row>
    <row r="256" spans="1:16" ht="15.75" thickBot="1" x14ac:dyDescent="0.3">
      <c r="A256" s="229">
        <f t="shared" ref="A256:B256" si="700">A255+1</f>
        <v>4351</v>
      </c>
      <c r="B256" s="230">
        <f t="shared" si="700"/>
        <v>246</v>
      </c>
      <c r="C256" s="218" t="str">
        <f t="shared" si="537"/>
        <v>81aX13_300_000#06</v>
      </c>
      <c r="D256" s="43">
        <f t="shared" ref="D256:F256" si="701">D255</f>
        <v>13</v>
      </c>
      <c r="E256" s="61">
        <f t="shared" si="701"/>
        <v>2.149</v>
      </c>
      <c r="F256" s="44">
        <f t="shared" si="701"/>
        <v>16.530769230769231</v>
      </c>
      <c r="G256" s="44">
        <f t="shared" si="685"/>
        <v>13.224615384615385</v>
      </c>
      <c r="H256" s="44">
        <f t="shared" si="686"/>
        <v>8.2653846153846153</v>
      </c>
      <c r="I256" s="44">
        <f t="shared" si="640"/>
        <v>8</v>
      </c>
      <c r="J256" s="45">
        <v>300</v>
      </c>
      <c r="K256" s="37" t="str">
        <f>D256&amp;-6</f>
        <v>13-6</v>
      </c>
      <c r="L256" s="44">
        <f t="shared" ref="L256:P256" si="702">L255</f>
        <v>0.2</v>
      </c>
      <c r="M256" s="49">
        <f>M255</f>
        <v>0</v>
      </c>
      <c r="N256" s="44">
        <f t="shared" si="505"/>
        <v>150</v>
      </c>
      <c r="O256" s="44">
        <f t="shared" si="702"/>
        <v>750</v>
      </c>
      <c r="P256" s="44" t="str">
        <f t="shared" si="702"/>
        <v>on</v>
      </c>
    </row>
    <row r="257" spans="1:16" ht="15.75" thickBot="1" x14ac:dyDescent="0.3">
      <c r="A257" s="229">
        <f t="shared" ref="A257:B257" si="703">A256+1</f>
        <v>4352</v>
      </c>
      <c r="B257" s="230">
        <f t="shared" si="703"/>
        <v>247</v>
      </c>
      <c r="C257" s="218" t="str">
        <f t="shared" si="537"/>
        <v>81aX13_300_030#01</v>
      </c>
      <c r="D257" s="43">
        <f t="shared" ref="D257:F257" si="704">D256</f>
        <v>13</v>
      </c>
      <c r="E257" s="61">
        <f t="shared" si="704"/>
        <v>2.149</v>
      </c>
      <c r="F257" s="44">
        <f t="shared" si="704"/>
        <v>16.530769230769231</v>
      </c>
      <c r="G257" s="44">
        <f t="shared" si="685"/>
        <v>13.224615384615385</v>
      </c>
      <c r="H257" s="44">
        <f t="shared" si="686"/>
        <v>8.2653846153846153</v>
      </c>
      <c r="I257" s="44">
        <f t="shared" si="640"/>
        <v>8</v>
      </c>
      <c r="J257" s="45">
        <v>300</v>
      </c>
      <c r="K257" s="37" t="str">
        <f>D257&amp;-1</f>
        <v>13-1</v>
      </c>
      <c r="L257" s="44">
        <f t="shared" ref="L257:P257" si="705">L256</f>
        <v>0.2</v>
      </c>
      <c r="M257" s="49">
        <v>30</v>
      </c>
      <c r="N257" s="44">
        <f t="shared" ref="N257:N298" si="706">N256</f>
        <v>150</v>
      </c>
      <c r="O257" s="44">
        <f t="shared" si="705"/>
        <v>750</v>
      </c>
      <c r="P257" s="44" t="str">
        <f t="shared" si="705"/>
        <v>on</v>
      </c>
    </row>
    <row r="258" spans="1:16" ht="15.75" thickBot="1" x14ac:dyDescent="0.3">
      <c r="A258" s="229">
        <f t="shared" ref="A258:B258" si="707">A257+1</f>
        <v>4353</v>
      </c>
      <c r="B258" s="230">
        <f t="shared" si="707"/>
        <v>248</v>
      </c>
      <c r="C258" s="218" t="str">
        <f t="shared" si="537"/>
        <v>81aX13_300_030#02</v>
      </c>
      <c r="D258" s="43">
        <f t="shared" ref="D258:F258" si="708">D257</f>
        <v>13</v>
      </c>
      <c r="E258" s="61">
        <f t="shared" si="708"/>
        <v>2.149</v>
      </c>
      <c r="F258" s="44">
        <f t="shared" si="708"/>
        <v>16.530769230769231</v>
      </c>
      <c r="G258" s="44">
        <f t="shared" si="685"/>
        <v>13.224615384615385</v>
      </c>
      <c r="H258" s="44">
        <f t="shared" si="686"/>
        <v>8.2653846153846153</v>
      </c>
      <c r="I258" s="44">
        <f t="shared" si="640"/>
        <v>8</v>
      </c>
      <c r="J258" s="45">
        <v>300</v>
      </c>
      <c r="K258" s="37" t="str">
        <f>D258&amp;-2</f>
        <v>13-2</v>
      </c>
      <c r="L258" s="44">
        <f t="shared" ref="L258:P258" si="709">L257</f>
        <v>0.2</v>
      </c>
      <c r="M258" s="49">
        <f>M257</f>
        <v>30</v>
      </c>
      <c r="N258" s="44">
        <f t="shared" si="706"/>
        <v>150</v>
      </c>
      <c r="O258" s="44">
        <f t="shared" si="709"/>
        <v>750</v>
      </c>
      <c r="P258" s="44" t="str">
        <f t="shared" si="709"/>
        <v>on</v>
      </c>
    </row>
    <row r="259" spans="1:16" ht="15.75" thickBot="1" x14ac:dyDescent="0.3">
      <c r="A259" s="229">
        <f t="shared" ref="A259:B259" si="710">A258+1</f>
        <v>4354</v>
      </c>
      <c r="B259" s="230">
        <f t="shared" si="710"/>
        <v>249</v>
      </c>
      <c r="C259" s="218" t="str">
        <f t="shared" si="537"/>
        <v>81aX13_300_030#03</v>
      </c>
      <c r="D259" s="43">
        <f t="shared" ref="D259:F259" si="711">D258</f>
        <v>13</v>
      </c>
      <c r="E259" s="61">
        <f t="shared" si="711"/>
        <v>2.149</v>
      </c>
      <c r="F259" s="44">
        <f t="shared" si="711"/>
        <v>16.530769230769231</v>
      </c>
      <c r="G259" s="44">
        <f t="shared" si="685"/>
        <v>13.224615384615385</v>
      </c>
      <c r="H259" s="44">
        <f t="shared" si="686"/>
        <v>8.2653846153846153</v>
      </c>
      <c r="I259" s="44">
        <f t="shared" si="640"/>
        <v>8</v>
      </c>
      <c r="J259" s="45">
        <v>300</v>
      </c>
      <c r="K259" s="37" t="str">
        <f>D259&amp;-3</f>
        <v>13-3</v>
      </c>
      <c r="L259" s="44">
        <f t="shared" ref="L259:P259" si="712">L258</f>
        <v>0.2</v>
      </c>
      <c r="M259" s="49">
        <f>M258</f>
        <v>30</v>
      </c>
      <c r="N259" s="44">
        <f t="shared" si="706"/>
        <v>150</v>
      </c>
      <c r="O259" s="44">
        <f t="shared" si="712"/>
        <v>750</v>
      </c>
      <c r="P259" s="44" t="str">
        <f t="shared" si="712"/>
        <v>on</v>
      </c>
    </row>
    <row r="260" spans="1:16" ht="15.75" thickBot="1" x14ac:dyDescent="0.3">
      <c r="A260" s="229">
        <f t="shared" ref="A260:B260" si="713">A259+1</f>
        <v>4355</v>
      </c>
      <c r="B260" s="230">
        <f t="shared" si="713"/>
        <v>250</v>
      </c>
      <c r="C260" s="218" t="str">
        <f t="shared" si="537"/>
        <v>81aX13_300_030#04</v>
      </c>
      <c r="D260" s="43">
        <f t="shared" ref="D260:F260" si="714">D259</f>
        <v>13</v>
      </c>
      <c r="E260" s="61">
        <f t="shared" si="714"/>
        <v>2.149</v>
      </c>
      <c r="F260" s="44">
        <f t="shared" si="714"/>
        <v>16.530769230769231</v>
      </c>
      <c r="G260" s="44">
        <f t="shared" si="685"/>
        <v>13.224615384615385</v>
      </c>
      <c r="H260" s="44">
        <f t="shared" si="686"/>
        <v>8.2653846153846153</v>
      </c>
      <c r="I260" s="44">
        <f t="shared" si="640"/>
        <v>8</v>
      </c>
      <c r="J260" s="45">
        <v>300</v>
      </c>
      <c r="K260" s="37" t="str">
        <f>D260&amp;-4</f>
        <v>13-4</v>
      </c>
      <c r="L260" s="44">
        <f t="shared" ref="L260:P260" si="715">L259</f>
        <v>0.2</v>
      </c>
      <c r="M260" s="49">
        <f>M259</f>
        <v>30</v>
      </c>
      <c r="N260" s="44">
        <f t="shared" si="706"/>
        <v>150</v>
      </c>
      <c r="O260" s="44">
        <f t="shared" si="715"/>
        <v>750</v>
      </c>
      <c r="P260" s="44" t="str">
        <f t="shared" si="715"/>
        <v>on</v>
      </c>
    </row>
    <row r="261" spans="1:16" ht="15.75" thickBot="1" x14ac:dyDescent="0.3">
      <c r="A261" s="229">
        <f t="shared" ref="A261:B261" si="716">A260+1</f>
        <v>4356</v>
      </c>
      <c r="B261" s="230">
        <f t="shared" si="716"/>
        <v>251</v>
      </c>
      <c r="C261" s="218" t="str">
        <f t="shared" si="537"/>
        <v>81aX13_300_030#05</v>
      </c>
      <c r="D261" s="43">
        <f t="shared" ref="D261:F261" si="717">D260</f>
        <v>13</v>
      </c>
      <c r="E261" s="61">
        <f t="shared" si="717"/>
        <v>2.149</v>
      </c>
      <c r="F261" s="44">
        <f t="shared" si="717"/>
        <v>16.530769230769231</v>
      </c>
      <c r="G261" s="44">
        <f t="shared" si="685"/>
        <v>13.224615384615385</v>
      </c>
      <c r="H261" s="44">
        <f t="shared" si="686"/>
        <v>8.2653846153846153</v>
      </c>
      <c r="I261" s="44">
        <f t="shared" si="640"/>
        <v>8</v>
      </c>
      <c r="J261" s="45">
        <v>300</v>
      </c>
      <c r="K261" s="37" t="str">
        <f>D261&amp;-5</f>
        <v>13-5</v>
      </c>
      <c r="L261" s="44">
        <f t="shared" ref="L261:P261" si="718">L260</f>
        <v>0.2</v>
      </c>
      <c r="M261" s="49">
        <f>M260</f>
        <v>30</v>
      </c>
      <c r="N261" s="44">
        <f t="shared" si="706"/>
        <v>150</v>
      </c>
      <c r="O261" s="44">
        <f t="shared" si="718"/>
        <v>750</v>
      </c>
      <c r="P261" s="44" t="str">
        <f t="shared" si="718"/>
        <v>on</v>
      </c>
    </row>
    <row r="262" spans="1:16" ht="15.75" thickBot="1" x14ac:dyDescent="0.3">
      <c r="A262" s="229">
        <f t="shared" ref="A262:B262" si="719">A261+1</f>
        <v>4357</v>
      </c>
      <c r="B262" s="230">
        <f t="shared" si="719"/>
        <v>252</v>
      </c>
      <c r="C262" s="218" t="str">
        <f t="shared" si="537"/>
        <v>81aX13_300_030#06</v>
      </c>
      <c r="D262" s="43">
        <f t="shared" ref="D262:F262" si="720">D261</f>
        <v>13</v>
      </c>
      <c r="E262" s="61">
        <f t="shared" si="720"/>
        <v>2.149</v>
      </c>
      <c r="F262" s="44">
        <f t="shared" si="720"/>
        <v>16.530769230769231</v>
      </c>
      <c r="G262" s="44">
        <f t="shared" si="685"/>
        <v>13.224615384615385</v>
      </c>
      <c r="H262" s="44">
        <f t="shared" si="686"/>
        <v>8.2653846153846153</v>
      </c>
      <c r="I262" s="44">
        <f t="shared" si="640"/>
        <v>8</v>
      </c>
      <c r="J262" s="45">
        <v>300</v>
      </c>
      <c r="K262" s="37" t="str">
        <f>D262&amp;-6</f>
        <v>13-6</v>
      </c>
      <c r="L262" s="44">
        <f t="shared" ref="L262:P262" si="721">L261</f>
        <v>0.2</v>
      </c>
      <c r="M262" s="49">
        <f>M261</f>
        <v>30</v>
      </c>
      <c r="N262" s="44">
        <f t="shared" si="706"/>
        <v>150</v>
      </c>
      <c r="O262" s="44">
        <f t="shared" si="721"/>
        <v>750</v>
      </c>
      <c r="P262" s="44" t="str">
        <f t="shared" si="721"/>
        <v>on</v>
      </c>
    </row>
    <row r="263" spans="1:16" ht="15.75" thickBot="1" x14ac:dyDescent="0.3">
      <c r="A263" s="229">
        <f t="shared" ref="A263:B263" si="722">A262+1</f>
        <v>4358</v>
      </c>
      <c r="B263" s="230">
        <f t="shared" si="722"/>
        <v>253</v>
      </c>
      <c r="C263" s="218" t="str">
        <f t="shared" si="537"/>
        <v>81aX13_300_060#01</v>
      </c>
      <c r="D263" s="43">
        <f t="shared" ref="D263:F263" si="723">D262</f>
        <v>13</v>
      </c>
      <c r="E263" s="61">
        <f t="shared" si="723"/>
        <v>2.149</v>
      </c>
      <c r="F263" s="44">
        <f t="shared" si="723"/>
        <v>16.530769230769231</v>
      </c>
      <c r="G263" s="44">
        <f t="shared" si="685"/>
        <v>13.224615384615385</v>
      </c>
      <c r="H263" s="44">
        <f t="shared" si="686"/>
        <v>8.2653846153846153</v>
      </c>
      <c r="I263" s="44">
        <f t="shared" si="640"/>
        <v>8</v>
      </c>
      <c r="J263" s="45">
        <v>300</v>
      </c>
      <c r="K263" s="37" t="str">
        <f>D263&amp;-1</f>
        <v>13-1</v>
      </c>
      <c r="L263" s="44">
        <f t="shared" ref="L263:P263" si="724">L262</f>
        <v>0.2</v>
      </c>
      <c r="M263" s="49">
        <v>60</v>
      </c>
      <c r="N263" s="44">
        <f t="shared" si="706"/>
        <v>150</v>
      </c>
      <c r="O263" s="44">
        <f t="shared" si="724"/>
        <v>750</v>
      </c>
      <c r="P263" s="44" t="str">
        <f t="shared" si="724"/>
        <v>on</v>
      </c>
    </row>
    <row r="264" spans="1:16" ht="15.75" thickBot="1" x14ac:dyDescent="0.3">
      <c r="A264" s="229">
        <f t="shared" ref="A264:B264" si="725">A263+1</f>
        <v>4359</v>
      </c>
      <c r="B264" s="230">
        <f t="shared" si="725"/>
        <v>254</v>
      </c>
      <c r="C264" s="218" t="str">
        <f t="shared" si="537"/>
        <v>81aX13_300_060#02</v>
      </c>
      <c r="D264" s="43">
        <f t="shared" ref="D264:F264" si="726">D263</f>
        <v>13</v>
      </c>
      <c r="E264" s="61">
        <f t="shared" si="726"/>
        <v>2.149</v>
      </c>
      <c r="F264" s="44">
        <f t="shared" si="726"/>
        <v>16.530769230769231</v>
      </c>
      <c r="G264" s="44">
        <f t="shared" si="685"/>
        <v>13.224615384615385</v>
      </c>
      <c r="H264" s="44">
        <f t="shared" si="686"/>
        <v>8.2653846153846153</v>
      </c>
      <c r="I264" s="44">
        <f t="shared" si="640"/>
        <v>8</v>
      </c>
      <c r="J264" s="45">
        <v>300</v>
      </c>
      <c r="K264" s="37" t="str">
        <f>D264&amp;-2</f>
        <v>13-2</v>
      </c>
      <c r="L264" s="44">
        <f t="shared" ref="L264:P264" si="727">L263</f>
        <v>0.2</v>
      </c>
      <c r="M264" s="49">
        <f>M263</f>
        <v>60</v>
      </c>
      <c r="N264" s="44">
        <f t="shared" si="666"/>
        <v>150</v>
      </c>
      <c r="O264" s="44">
        <f t="shared" si="727"/>
        <v>750</v>
      </c>
      <c r="P264" s="44" t="str">
        <f t="shared" si="727"/>
        <v>on</v>
      </c>
    </row>
    <row r="265" spans="1:16" ht="15.75" thickBot="1" x14ac:dyDescent="0.3">
      <c r="A265" s="229">
        <f t="shared" ref="A265:B265" si="728">A264+1</f>
        <v>4360</v>
      </c>
      <c r="B265" s="230">
        <f t="shared" si="728"/>
        <v>255</v>
      </c>
      <c r="C265" s="218" t="str">
        <f t="shared" si="537"/>
        <v>81aX13_300_060#03</v>
      </c>
      <c r="D265" s="43">
        <f t="shared" ref="D265:F265" si="729">D264</f>
        <v>13</v>
      </c>
      <c r="E265" s="61">
        <f t="shared" si="729"/>
        <v>2.149</v>
      </c>
      <c r="F265" s="44">
        <f t="shared" si="729"/>
        <v>16.530769230769231</v>
      </c>
      <c r="G265" s="44">
        <f t="shared" si="685"/>
        <v>13.224615384615385</v>
      </c>
      <c r="H265" s="44">
        <f t="shared" si="686"/>
        <v>8.2653846153846153</v>
      </c>
      <c r="I265" s="44">
        <f t="shared" si="640"/>
        <v>8</v>
      </c>
      <c r="J265" s="45">
        <v>300</v>
      </c>
      <c r="K265" s="37" t="str">
        <f>D265&amp;-3</f>
        <v>13-3</v>
      </c>
      <c r="L265" s="44">
        <f t="shared" ref="L265:P265" si="730">L264</f>
        <v>0.2</v>
      </c>
      <c r="M265" s="49">
        <f>M264</f>
        <v>60</v>
      </c>
      <c r="N265" s="44">
        <f t="shared" si="666"/>
        <v>150</v>
      </c>
      <c r="O265" s="44">
        <f t="shared" si="730"/>
        <v>750</v>
      </c>
      <c r="P265" s="44" t="str">
        <f t="shared" si="730"/>
        <v>on</v>
      </c>
    </row>
    <row r="266" spans="1:16" ht="15.75" thickBot="1" x14ac:dyDescent="0.3">
      <c r="A266" s="229">
        <f t="shared" ref="A266:B266" si="731">A265+1</f>
        <v>4361</v>
      </c>
      <c r="B266" s="230">
        <f t="shared" si="731"/>
        <v>256</v>
      </c>
      <c r="C266" s="218" t="str">
        <f t="shared" si="537"/>
        <v>81aX13_300_060#04</v>
      </c>
      <c r="D266" s="43">
        <f t="shared" ref="D266:F266" si="732">D265</f>
        <v>13</v>
      </c>
      <c r="E266" s="61">
        <f t="shared" si="732"/>
        <v>2.149</v>
      </c>
      <c r="F266" s="44">
        <f t="shared" si="732"/>
        <v>16.530769230769231</v>
      </c>
      <c r="G266" s="44">
        <f t="shared" si="685"/>
        <v>13.224615384615385</v>
      </c>
      <c r="H266" s="44">
        <f t="shared" si="686"/>
        <v>8.2653846153846153</v>
      </c>
      <c r="I266" s="44">
        <f t="shared" si="640"/>
        <v>8</v>
      </c>
      <c r="J266" s="45">
        <v>300</v>
      </c>
      <c r="K266" s="37" t="str">
        <f>D266&amp;-4</f>
        <v>13-4</v>
      </c>
      <c r="L266" s="44">
        <f t="shared" ref="L266:P266" si="733">L265</f>
        <v>0.2</v>
      </c>
      <c r="M266" s="49">
        <f>M265</f>
        <v>60</v>
      </c>
      <c r="N266" s="44">
        <f t="shared" si="666"/>
        <v>150</v>
      </c>
      <c r="O266" s="44">
        <f t="shared" si="733"/>
        <v>750</v>
      </c>
      <c r="P266" s="44" t="str">
        <f t="shared" si="733"/>
        <v>on</v>
      </c>
    </row>
    <row r="267" spans="1:16" ht="15.75" thickBot="1" x14ac:dyDescent="0.3">
      <c r="A267" s="229">
        <f t="shared" ref="A267:B267" si="734">A266+1</f>
        <v>4362</v>
      </c>
      <c r="B267" s="230">
        <f t="shared" si="734"/>
        <v>257</v>
      </c>
      <c r="C267" s="218" t="str">
        <f t="shared" si="537"/>
        <v>81aX13_300_060#05</v>
      </c>
      <c r="D267" s="43">
        <f t="shared" ref="D267:F267" si="735">D266</f>
        <v>13</v>
      </c>
      <c r="E267" s="61">
        <f t="shared" si="735"/>
        <v>2.149</v>
      </c>
      <c r="F267" s="44">
        <f t="shared" si="735"/>
        <v>16.530769230769231</v>
      </c>
      <c r="G267" s="44">
        <f t="shared" si="685"/>
        <v>13.224615384615385</v>
      </c>
      <c r="H267" s="44">
        <f t="shared" si="686"/>
        <v>8.2653846153846153</v>
      </c>
      <c r="I267" s="44">
        <f t="shared" si="640"/>
        <v>8</v>
      </c>
      <c r="J267" s="45">
        <v>300</v>
      </c>
      <c r="K267" s="37" t="str">
        <f>D267&amp;-5</f>
        <v>13-5</v>
      </c>
      <c r="L267" s="44">
        <f t="shared" ref="L267:P267" si="736">L266</f>
        <v>0.2</v>
      </c>
      <c r="M267" s="49">
        <f>M266</f>
        <v>60</v>
      </c>
      <c r="N267" s="44">
        <f t="shared" si="666"/>
        <v>150</v>
      </c>
      <c r="O267" s="44">
        <f t="shared" si="736"/>
        <v>750</v>
      </c>
      <c r="P267" s="44" t="str">
        <f t="shared" si="736"/>
        <v>on</v>
      </c>
    </row>
    <row r="268" spans="1:16" ht="15.75" thickBot="1" x14ac:dyDescent="0.3">
      <c r="A268" s="229">
        <f t="shared" ref="A268:B268" si="737">A267+1</f>
        <v>4363</v>
      </c>
      <c r="B268" s="230">
        <f t="shared" si="737"/>
        <v>258</v>
      </c>
      <c r="C268" s="218" t="str">
        <f t="shared" ref="C268:C298" si="738">TEXT(RIGHT($B$2,LEN($B$2)-3),"000")&amp;"X"&amp;TEXT(D268,"00")&amp;"_"&amp;IF(J268&lt;0,TEXT(360+J268,"000"),TEXT(J268,"000"))&amp;"_"&amp;TEXT(M268,"000")&amp;"#"&amp;TEXT(RIGHT(K268,LEN(K268)-FIND("-",K268)),"00")</f>
        <v>81aX13_300_060#06</v>
      </c>
      <c r="D268" s="43">
        <f t="shared" ref="D268:F268" si="739">D267</f>
        <v>13</v>
      </c>
      <c r="E268" s="61">
        <f t="shared" si="739"/>
        <v>2.149</v>
      </c>
      <c r="F268" s="44">
        <f t="shared" si="739"/>
        <v>16.530769230769231</v>
      </c>
      <c r="G268" s="44">
        <f t="shared" si="685"/>
        <v>13.224615384615385</v>
      </c>
      <c r="H268" s="44">
        <f t="shared" si="686"/>
        <v>8.2653846153846153</v>
      </c>
      <c r="I268" s="44">
        <f t="shared" si="640"/>
        <v>8</v>
      </c>
      <c r="J268" s="45">
        <v>300</v>
      </c>
      <c r="K268" s="37" t="str">
        <f>D268&amp;-6</f>
        <v>13-6</v>
      </c>
      <c r="L268" s="44">
        <f t="shared" ref="L268:P268" si="740">L267</f>
        <v>0.2</v>
      </c>
      <c r="M268" s="49">
        <f>M267</f>
        <v>60</v>
      </c>
      <c r="N268" s="44">
        <f t="shared" si="666"/>
        <v>150</v>
      </c>
      <c r="O268" s="44">
        <f t="shared" si="740"/>
        <v>750</v>
      </c>
      <c r="P268" s="44" t="str">
        <f t="shared" si="740"/>
        <v>on</v>
      </c>
    </row>
    <row r="269" spans="1:16" ht="15.75" thickBot="1" x14ac:dyDescent="0.3">
      <c r="A269" s="229">
        <f t="shared" ref="A269:B269" si="741">A268+1</f>
        <v>4364</v>
      </c>
      <c r="B269" s="230">
        <f t="shared" si="741"/>
        <v>259</v>
      </c>
      <c r="C269" s="218" t="str">
        <f t="shared" si="738"/>
        <v>81aX13_300_090#01</v>
      </c>
      <c r="D269" s="43">
        <f t="shared" ref="D269:F269" si="742">D268</f>
        <v>13</v>
      </c>
      <c r="E269" s="61">
        <f t="shared" si="742"/>
        <v>2.149</v>
      </c>
      <c r="F269" s="44">
        <f t="shared" si="742"/>
        <v>16.530769230769231</v>
      </c>
      <c r="G269" s="44">
        <f t="shared" si="685"/>
        <v>13.224615384615385</v>
      </c>
      <c r="H269" s="44">
        <f t="shared" si="686"/>
        <v>8.2653846153846153</v>
      </c>
      <c r="I269" s="44">
        <f t="shared" si="640"/>
        <v>8</v>
      </c>
      <c r="J269" s="45">
        <v>300</v>
      </c>
      <c r="K269" s="37" t="str">
        <f>D269&amp;-1</f>
        <v>13-1</v>
      </c>
      <c r="L269" s="44">
        <f t="shared" ref="L269:P269" si="743">L268</f>
        <v>0.2</v>
      </c>
      <c r="M269" s="49">
        <v>90</v>
      </c>
      <c r="N269" s="44">
        <f t="shared" ref="N269:N294" si="744">N268</f>
        <v>150</v>
      </c>
      <c r="O269" s="44">
        <f t="shared" si="743"/>
        <v>750</v>
      </c>
      <c r="P269" s="44" t="str">
        <f t="shared" si="743"/>
        <v>on</v>
      </c>
    </row>
    <row r="270" spans="1:16" ht="15.75" thickBot="1" x14ac:dyDescent="0.3">
      <c r="A270" s="229">
        <f t="shared" ref="A270:B270" si="745">A269+1</f>
        <v>4365</v>
      </c>
      <c r="B270" s="230">
        <f t="shared" si="745"/>
        <v>260</v>
      </c>
      <c r="C270" s="218" t="str">
        <f t="shared" si="738"/>
        <v>81aX13_300_090#02</v>
      </c>
      <c r="D270" s="43">
        <f t="shared" ref="D270:F270" si="746">D269</f>
        <v>13</v>
      </c>
      <c r="E270" s="61">
        <f t="shared" si="746"/>
        <v>2.149</v>
      </c>
      <c r="F270" s="44">
        <f t="shared" si="746"/>
        <v>16.530769230769231</v>
      </c>
      <c r="G270" s="44">
        <f t="shared" si="685"/>
        <v>13.224615384615385</v>
      </c>
      <c r="H270" s="44">
        <f t="shared" si="686"/>
        <v>8.2653846153846153</v>
      </c>
      <c r="I270" s="44">
        <f t="shared" si="640"/>
        <v>8</v>
      </c>
      <c r="J270" s="45">
        <v>300</v>
      </c>
      <c r="K270" s="37" t="str">
        <f>D270&amp;-2</f>
        <v>13-2</v>
      </c>
      <c r="L270" s="44">
        <f t="shared" ref="L270:P270" si="747">L269</f>
        <v>0.2</v>
      </c>
      <c r="M270" s="49">
        <f>M269</f>
        <v>90</v>
      </c>
      <c r="N270" s="44">
        <f t="shared" si="744"/>
        <v>150</v>
      </c>
      <c r="O270" s="44">
        <f t="shared" si="747"/>
        <v>750</v>
      </c>
      <c r="P270" s="44" t="str">
        <f t="shared" si="747"/>
        <v>on</v>
      </c>
    </row>
    <row r="271" spans="1:16" ht="15.75" thickBot="1" x14ac:dyDescent="0.3">
      <c r="A271" s="229">
        <f t="shared" ref="A271:B271" si="748">A270+1</f>
        <v>4366</v>
      </c>
      <c r="B271" s="230">
        <f t="shared" si="748"/>
        <v>261</v>
      </c>
      <c r="C271" s="218" t="str">
        <f t="shared" si="738"/>
        <v>81aX13_300_090#03</v>
      </c>
      <c r="D271" s="43">
        <f t="shared" ref="D271:F271" si="749">D270</f>
        <v>13</v>
      </c>
      <c r="E271" s="61">
        <f t="shared" si="749"/>
        <v>2.149</v>
      </c>
      <c r="F271" s="44">
        <f t="shared" si="749"/>
        <v>16.530769230769231</v>
      </c>
      <c r="G271" s="44">
        <f t="shared" si="685"/>
        <v>13.224615384615385</v>
      </c>
      <c r="H271" s="44">
        <f t="shared" si="686"/>
        <v>8.2653846153846153</v>
      </c>
      <c r="I271" s="44">
        <f t="shared" si="640"/>
        <v>8</v>
      </c>
      <c r="J271" s="45">
        <v>300</v>
      </c>
      <c r="K271" s="37" t="str">
        <f>D271&amp;-3</f>
        <v>13-3</v>
      </c>
      <c r="L271" s="44">
        <f t="shared" ref="L271:P271" si="750">L270</f>
        <v>0.2</v>
      </c>
      <c r="M271" s="49">
        <f>M270</f>
        <v>90</v>
      </c>
      <c r="N271" s="44">
        <f t="shared" si="744"/>
        <v>150</v>
      </c>
      <c r="O271" s="44">
        <f t="shared" si="750"/>
        <v>750</v>
      </c>
      <c r="P271" s="44" t="str">
        <f t="shared" si="750"/>
        <v>on</v>
      </c>
    </row>
    <row r="272" spans="1:16" ht="15.75" thickBot="1" x14ac:dyDescent="0.3">
      <c r="A272" s="229">
        <f t="shared" ref="A272:B272" si="751">A271+1</f>
        <v>4367</v>
      </c>
      <c r="B272" s="230">
        <f t="shared" si="751"/>
        <v>262</v>
      </c>
      <c r="C272" s="218" t="str">
        <f t="shared" si="738"/>
        <v>81aX13_300_090#04</v>
      </c>
      <c r="D272" s="43">
        <f t="shared" ref="D272:F272" si="752">D271</f>
        <v>13</v>
      </c>
      <c r="E272" s="61">
        <f t="shared" si="752"/>
        <v>2.149</v>
      </c>
      <c r="F272" s="44">
        <f t="shared" si="752"/>
        <v>16.530769230769231</v>
      </c>
      <c r="G272" s="44">
        <f t="shared" si="685"/>
        <v>13.224615384615385</v>
      </c>
      <c r="H272" s="44">
        <f t="shared" si="686"/>
        <v>8.2653846153846153</v>
      </c>
      <c r="I272" s="44">
        <f t="shared" si="640"/>
        <v>8</v>
      </c>
      <c r="J272" s="45">
        <v>300</v>
      </c>
      <c r="K272" s="37" t="str">
        <f>D272&amp;-4</f>
        <v>13-4</v>
      </c>
      <c r="L272" s="44">
        <f t="shared" ref="L272:P272" si="753">L271</f>
        <v>0.2</v>
      </c>
      <c r="M272" s="49">
        <f>M271</f>
        <v>90</v>
      </c>
      <c r="N272" s="44">
        <f t="shared" si="744"/>
        <v>150</v>
      </c>
      <c r="O272" s="44">
        <f t="shared" si="753"/>
        <v>750</v>
      </c>
      <c r="P272" s="44" t="str">
        <f t="shared" si="753"/>
        <v>on</v>
      </c>
    </row>
    <row r="273" spans="1:16" ht="15.75" thickBot="1" x14ac:dyDescent="0.3">
      <c r="A273" s="229">
        <f t="shared" ref="A273:B273" si="754">A272+1</f>
        <v>4368</v>
      </c>
      <c r="B273" s="230">
        <f t="shared" si="754"/>
        <v>263</v>
      </c>
      <c r="C273" s="218" t="str">
        <f t="shared" si="738"/>
        <v>81aX13_300_090#05</v>
      </c>
      <c r="D273" s="43">
        <f t="shared" ref="D273:F273" si="755">D272</f>
        <v>13</v>
      </c>
      <c r="E273" s="61">
        <f t="shared" si="755"/>
        <v>2.149</v>
      </c>
      <c r="F273" s="44">
        <f t="shared" si="755"/>
        <v>16.530769230769231</v>
      </c>
      <c r="G273" s="44">
        <f t="shared" si="685"/>
        <v>13.224615384615385</v>
      </c>
      <c r="H273" s="44">
        <f t="shared" si="686"/>
        <v>8.2653846153846153</v>
      </c>
      <c r="I273" s="44">
        <f t="shared" si="640"/>
        <v>8</v>
      </c>
      <c r="J273" s="45">
        <v>300</v>
      </c>
      <c r="K273" s="37" t="str">
        <f>D273&amp;-5</f>
        <v>13-5</v>
      </c>
      <c r="L273" s="44">
        <f t="shared" ref="L273:P273" si="756">L272</f>
        <v>0.2</v>
      </c>
      <c r="M273" s="49">
        <f>M272</f>
        <v>90</v>
      </c>
      <c r="N273" s="44">
        <f t="shared" si="744"/>
        <v>150</v>
      </c>
      <c r="O273" s="44">
        <f t="shared" si="756"/>
        <v>750</v>
      </c>
      <c r="P273" s="44" t="str">
        <f t="shared" si="756"/>
        <v>on</v>
      </c>
    </row>
    <row r="274" spans="1:16" ht="15.75" thickBot="1" x14ac:dyDescent="0.3">
      <c r="A274" s="229">
        <f t="shared" ref="A274:B274" si="757">A273+1</f>
        <v>4369</v>
      </c>
      <c r="B274" s="230">
        <f t="shared" si="757"/>
        <v>264</v>
      </c>
      <c r="C274" s="218" t="str">
        <f t="shared" si="738"/>
        <v>81aX13_300_090#06</v>
      </c>
      <c r="D274" s="43">
        <f t="shared" ref="D274:F274" si="758">D273</f>
        <v>13</v>
      </c>
      <c r="E274" s="61">
        <f t="shared" si="758"/>
        <v>2.149</v>
      </c>
      <c r="F274" s="44">
        <f t="shared" si="758"/>
        <v>16.530769230769231</v>
      </c>
      <c r="G274" s="44">
        <f t="shared" si="685"/>
        <v>13.224615384615385</v>
      </c>
      <c r="H274" s="44">
        <f t="shared" si="686"/>
        <v>8.2653846153846153</v>
      </c>
      <c r="I274" s="44">
        <f t="shared" si="640"/>
        <v>8</v>
      </c>
      <c r="J274" s="45">
        <v>300</v>
      </c>
      <c r="K274" s="37" t="str">
        <f>D274&amp;-6</f>
        <v>13-6</v>
      </c>
      <c r="L274" s="44">
        <f t="shared" ref="L274:P274" si="759">L273</f>
        <v>0.2</v>
      </c>
      <c r="M274" s="49">
        <f>M273</f>
        <v>90</v>
      </c>
      <c r="N274" s="44">
        <f t="shared" si="744"/>
        <v>150</v>
      </c>
      <c r="O274" s="44">
        <f t="shared" si="759"/>
        <v>750</v>
      </c>
      <c r="P274" s="44" t="str">
        <f t="shared" si="759"/>
        <v>on</v>
      </c>
    </row>
    <row r="275" spans="1:16" ht="15.75" thickBot="1" x14ac:dyDescent="0.3">
      <c r="A275" s="229">
        <f t="shared" ref="A275:B275" si="760">A274+1</f>
        <v>4370</v>
      </c>
      <c r="B275" s="230">
        <f t="shared" si="760"/>
        <v>265</v>
      </c>
      <c r="C275" s="218" t="str">
        <f t="shared" si="738"/>
        <v>81aX13_330_000#01</v>
      </c>
      <c r="D275" s="43">
        <f t="shared" ref="D275:F275" si="761">D274</f>
        <v>13</v>
      </c>
      <c r="E275" s="61">
        <f t="shared" si="761"/>
        <v>2.149</v>
      </c>
      <c r="F275" s="44">
        <f t="shared" si="761"/>
        <v>16.530769230769231</v>
      </c>
      <c r="G275" s="44">
        <f t="shared" si="685"/>
        <v>13.224615384615385</v>
      </c>
      <c r="H275" s="44">
        <f t="shared" si="686"/>
        <v>8.2653846153846153</v>
      </c>
      <c r="I275" s="44">
        <f t="shared" si="640"/>
        <v>8</v>
      </c>
      <c r="J275" s="45">
        <v>330</v>
      </c>
      <c r="K275" s="37" t="str">
        <f>D275&amp;-1</f>
        <v>13-1</v>
      </c>
      <c r="L275" s="44">
        <f t="shared" ref="L275:P275" si="762">L274</f>
        <v>0.2</v>
      </c>
      <c r="M275" s="49">
        <v>0</v>
      </c>
      <c r="N275" s="44">
        <f t="shared" si="744"/>
        <v>150</v>
      </c>
      <c r="O275" s="44">
        <f t="shared" si="762"/>
        <v>750</v>
      </c>
      <c r="P275" s="44" t="str">
        <f t="shared" si="762"/>
        <v>on</v>
      </c>
    </row>
    <row r="276" spans="1:16" ht="15.75" thickBot="1" x14ac:dyDescent="0.3">
      <c r="A276" s="229">
        <f t="shared" ref="A276:B276" si="763">A275+1</f>
        <v>4371</v>
      </c>
      <c r="B276" s="230">
        <f t="shared" si="763"/>
        <v>266</v>
      </c>
      <c r="C276" s="218" t="str">
        <f t="shared" si="738"/>
        <v>81aX13_330_000#02</v>
      </c>
      <c r="D276" s="43">
        <f t="shared" ref="D276:F276" si="764">D275</f>
        <v>13</v>
      </c>
      <c r="E276" s="61">
        <f t="shared" si="764"/>
        <v>2.149</v>
      </c>
      <c r="F276" s="44">
        <f t="shared" si="764"/>
        <v>16.530769230769231</v>
      </c>
      <c r="G276" s="44">
        <f t="shared" si="685"/>
        <v>13.224615384615385</v>
      </c>
      <c r="H276" s="44">
        <f t="shared" si="686"/>
        <v>8.2653846153846153</v>
      </c>
      <c r="I276" s="44">
        <f t="shared" si="640"/>
        <v>8</v>
      </c>
      <c r="J276" s="45">
        <v>330</v>
      </c>
      <c r="K276" s="37" t="str">
        <f>D276&amp;-2</f>
        <v>13-2</v>
      </c>
      <c r="L276" s="44">
        <f t="shared" ref="L276:P276" si="765">L275</f>
        <v>0.2</v>
      </c>
      <c r="M276" s="49">
        <f>M275</f>
        <v>0</v>
      </c>
      <c r="N276" s="44">
        <f t="shared" si="706"/>
        <v>150</v>
      </c>
      <c r="O276" s="44">
        <f t="shared" si="765"/>
        <v>750</v>
      </c>
      <c r="P276" s="44" t="str">
        <f t="shared" si="765"/>
        <v>on</v>
      </c>
    </row>
    <row r="277" spans="1:16" ht="15.75" thickBot="1" x14ac:dyDescent="0.3">
      <c r="A277" s="229">
        <f t="shared" ref="A277:B277" si="766">A276+1</f>
        <v>4372</v>
      </c>
      <c r="B277" s="230">
        <f t="shared" si="766"/>
        <v>267</v>
      </c>
      <c r="C277" s="218" t="str">
        <f t="shared" si="738"/>
        <v>81aX13_330_000#03</v>
      </c>
      <c r="D277" s="43">
        <f t="shared" ref="D277:F277" si="767">D276</f>
        <v>13</v>
      </c>
      <c r="E277" s="61">
        <f t="shared" si="767"/>
        <v>2.149</v>
      </c>
      <c r="F277" s="44">
        <f t="shared" si="767"/>
        <v>16.530769230769231</v>
      </c>
      <c r="G277" s="44">
        <f t="shared" si="685"/>
        <v>13.224615384615385</v>
      </c>
      <c r="H277" s="44">
        <f t="shared" si="686"/>
        <v>8.2653846153846153</v>
      </c>
      <c r="I277" s="44">
        <f t="shared" si="640"/>
        <v>8</v>
      </c>
      <c r="J277" s="45">
        <v>330</v>
      </c>
      <c r="K277" s="37" t="str">
        <f>D277&amp;-3</f>
        <v>13-3</v>
      </c>
      <c r="L277" s="44">
        <f t="shared" ref="L277:P277" si="768">L276</f>
        <v>0.2</v>
      </c>
      <c r="M277" s="49">
        <f>M276</f>
        <v>0</v>
      </c>
      <c r="N277" s="44">
        <f t="shared" si="706"/>
        <v>150</v>
      </c>
      <c r="O277" s="44">
        <f t="shared" si="768"/>
        <v>750</v>
      </c>
      <c r="P277" s="44" t="str">
        <f t="shared" si="768"/>
        <v>on</v>
      </c>
    </row>
    <row r="278" spans="1:16" ht="15.75" thickBot="1" x14ac:dyDescent="0.3">
      <c r="A278" s="229">
        <f t="shared" ref="A278:B278" si="769">A277+1</f>
        <v>4373</v>
      </c>
      <c r="B278" s="230">
        <f t="shared" si="769"/>
        <v>268</v>
      </c>
      <c r="C278" s="218" t="str">
        <f t="shared" si="738"/>
        <v>81aX13_330_000#04</v>
      </c>
      <c r="D278" s="43">
        <f t="shared" ref="D278:F278" si="770">D277</f>
        <v>13</v>
      </c>
      <c r="E278" s="61">
        <f t="shared" si="770"/>
        <v>2.149</v>
      </c>
      <c r="F278" s="44">
        <f t="shared" si="770"/>
        <v>16.530769230769231</v>
      </c>
      <c r="G278" s="44">
        <f t="shared" si="685"/>
        <v>13.224615384615385</v>
      </c>
      <c r="H278" s="44">
        <f t="shared" si="686"/>
        <v>8.2653846153846153</v>
      </c>
      <c r="I278" s="44">
        <f t="shared" si="640"/>
        <v>8</v>
      </c>
      <c r="J278" s="45">
        <v>330</v>
      </c>
      <c r="K278" s="37" t="str">
        <f>D278&amp;-4</f>
        <v>13-4</v>
      </c>
      <c r="L278" s="44">
        <f t="shared" ref="L278:P278" si="771">L277</f>
        <v>0.2</v>
      </c>
      <c r="M278" s="49">
        <f>M277</f>
        <v>0</v>
      </c>
      <c r="N278" s="44">
        <f t="shared" si="706"/>
        <v>150</v>
      </c>
      <c r="O278" s="44">
        <f t="shared" si="771"/>
        <v>750</v>
      </c>
      <c r="P278" s="44" t="str">
        <f t="shared" si="771"/>
        <v>on</v>
      </c>
    </row>
    <row r="279" spans="1:16" ht="15.75" thickBot="1" x14ac:dyDescent="0.3">
      <c r="A279" s="229">
        <f t="shared" ref="A279:B279" si="772">A278+1</f>
        <v>4374</v>
      </c>
      <c r="B279" s="230">
        <f t="shared" si="772"/>
        <v>269</v>
      </c>
      <c r="C279" s="218" t="str">
        <f t="shared" si="738"/>
        <v>81aX13_330_000#05</v>
      </c>
      <c r="D279" s="43">
        <f t="shared" ref="D279:F279" si="773">D278</f>
        <v>13</v>
      </c>
      <c r="E279" s="61">
        <f t="shared" si="773"/>
        <v>2.149</v>
      </c>
      <c r="F279" s="44">
        <f t="shared" si="773"/>
        <v>16.530769230769231</v>
      </c>
      <c r="G279" s="44">
        <f t="shared" si="685"/>
        <v>13.224615384615385</v>
      </c>
      <c r="H279" s="44">
        <f t="shared" si="686"/>
        <v>8.2653846153846153</v>
      </c>
      <c r="I279" s="44">
        <f t="shared" si="640"/>
        <v>8</v>
      </c>
      <c r="J279" s="45">
        <v>330</v>
      </c>
      <c r="K279" s="37" t="str">
        <f>D279&amp;-5</f>
        <v>13-5</v>
      </c>
      <c r="L279" s="44">
        <f t="shared" ref="L279:P279" si="774">L278</f>
        <v>0.2</v>
      </c>
      <c r="M279" s="49">
        <f>M278</f>
        <v>0</v>
      </c>
      <c r="N279" s="44">
        <f t="shared" si="706"/>
        <v>150</v>
      </c>
      <c r="O279" s="44">
        <f t="shared" si="774"/>
        <v>750</v>
      </c>
      <c r="P279" s="44" t="str">
        <f t="shared" si="774"/>
        <v>on</v>
      </c>
    </row>
    <row r="280" spans="1:16" ht="15.75" thickBot="1" x14ac:dyDescent="0.3">
      <c r="A280" s="229">
        <f t="shared" ref="A280:B280" si="775">A279+1</f>
        <v>4375</v>
      </c>
      <c r="B280" s="230">
        <f t="shared" si="775"/>
        <v>270</v>
      </c>
      <c r="C280" s="218" t="str">
        <f t="shared" si="738"/>
        <v>81aX13_330_000#06</v>
      </c>
      <c r="D280" s="43">
        <f t="shared" ref="D280:F280" si="776">D279</f>
        <v>13</v>
      </c>
      <c r="E280" s="61">
        <f t="shared" si="776"/>
        <v>2.149</v>
      </c>
      <c r="F280" s="44">
        <f t="shared" si="776"/>
        <v>16.530769230769231</v>
      </c>
      <c r="G280" s="44">
        <f t="shared" si="685"/>
        <v>13.224615384615385</v>
      </c>
      <c r="H280" s="44">
        <f t="shared" si="686"/>
        <v>8.2653846153846153</v>
      </c>
      <c r="I280" s="44">
        <f t="shared" si="640"/>
        <v>8</v>
      </c>
      <c r="J280" s="45">
        <v>330</v>
      </c>
      <c r="K280" s="37" t="str">
        <f>D280&amp;-6</f>
        <v>13-6</v>
      </c>
      <c r="L280" s="44">
        <f t="shared" ref="L280:P280" si="777">L279</f>
        <v>0.2</v>
      </c>
      <c r="M280" s="49">
        <f>M279</f>
        <v>0</v>
      </c>
      <c r="N280" s="44">
        <f t="shared" si="706"/>
        <v>150</v>
      </c>
      <c r="O280" s="44">
        <f t="shared" si="777"/>
        <v>750</v>
      </c>
      <c r="P280" s="44" t="str">
        <f t="shared" si="777"/>
        <v>on</v>
      </c>
    </row>
    <row r="281" spans="1:16" ht="15.75" thickBot="1" x14ac:dyDescent="0.3">
      <c r="A281" s="229">
        <f t="shared" ref="A281:B281" si="778">A280+1</f>
        <v>4376</v>
      </c>
      <c r="B281" s="230">
        <f t="shared" si="778"/>
        <v>271</v>
      </c>
      <c r="C281" s="218" t="str">
        <f t="shared" si="738"/>
        <v>81aX13_330_030#01</v>
      </c>
      <c r="D281" s="43">
        <f t="shared" ref="D281:F281" si="779">D280</f>
        <v>13</v>
      </c>
      <c r="E281" s="61">
        <f t="shared" si="779"/>
        <v>2.149</v>
      </c>
      <c r="F281" s="44">
        <f t="shared" si="779"/>
        <v>16.530769230769231</v>
      </c>
      <c r="G281" s="44">
        <f t="shared" si="685"/>
        <v>13.224615384615385</v>
      </c>
      <c r="H281" s="44">
        <f t="shared" si="686"/>
        <v>8.2653846153846153</v>
      </c>
      <c r="I281" s="44">
        <f t="shared" si="640"/>
        <v>8</v>
      </c>
      <c r="J281" s="45">
        <v>330</v>
      </c>
      <c r="K281" s="37" t="str">
        <f>D281&amp;-1</f>
        <v>13-1</v>
      </c>
      <c r="L281" s="44">
        <f t="shared" ref="L281:P281" si="780">L280</f>
        <v>0.2</v>
      </c>
      <c r="M281" s="49">
        <v>30</v>
      </c>
      <c r="N281" s="44">
        <f t="shared" si="706"/>
        <v>150</v>
      </c>
      <c r="O281" s="44">
        <f t="shared" si="780"/>
        <v>750</v>
      </c>
      <c r="P281" s="44" t="str">
        <f t="shared" si="780"/>
        <v>on</v>
      </c>
    </row>
    <row r="282" spans="1:16" ht="15.75" thickBot="1" x14ac:dyDescent="0.3">
      <c r="A282" s="229">
        <f t="shared" ref="A282:B282" si="781">A281+1</f>
        <v>4377</v>
      </c>
      <c r="B282" s="230">
        <f t="shared" si="781"/>
        <v>272</v>
      </c>
      <c r="C282" s="218" t="str">
        <f t="shared" si="738"/>
        <v>81aX13_330_030#02</v>
      </c>
      <c r="D282" s="43">
        <f t="shared" ref="D282:F282" si="782">D281</f>
        <v>13</v>
      </c>
      <c r="E282" s="61">
        <f t="shared" si="782"/>
        <v>2.149</v>
      </c>
      <c r="F282" s="44">
        <f t="shared" si="782"/>
        <v>16.530769230769231</v>
      </c>
      <c r="G282" s="44">
        <f t="shared" si="685"/>
        <v>13.224615384615385</v>
      </c>
      <c r="H282" s="44">
        <f t="shared" si="686"/>
        <v>8.2653846153846153</v>
      </c>
      <c r="I282" s="44">
        <f t="shared" si="640"/>
        <v>8</v>
      </c>
      <c r="J282" s="45">
        <v>330</v>
      </c>
      <c r="K282" s="37" t="str">
        <f>D282&amp;-2</f>
        <v>13-2</v>
      </c>
      <c r="L282" s="44">
        <f t="shared" ref="L282:P282" si="783">L281</f>
        <v>0.2</v>
      </c>
      <c r="M282" s="49">
        <f>M281</f>
        <v>30</v>
      </c>
      <c r="N282" s="44">
        <f t="shared" si="706"/>
        <v>150</v>
      </c>
      <c r="O282" s="44">
        <f t="shared" si="783"/>
        <v>750</v>
      </c>
      <c r="P282" s="44" t="str">
        <f t="shared" si="783"/>
        <v>on</v>
      </c>
    </row>
    <row r="283" spans="1:16" ht="15.75" thickBot="1" x14ac:dyDescent="0.3">
      <c r="A283" s="229">
        <f t="shared" ref="A283:B283" si="784">A282+1</f>
        <v>4378</v>
      </c>
      <c r="B283" s="230">
        <f t="shared" si="784"/>
        <v>273</v>
      </c>
      <c r="C283" s="218" t="str">
        <f t="shared" si="738"/>
        <v>81aX13_330_030#03</v>
      </c>
      <c r="D283" s="43">
        <f t="shared" ref="D283:F283" si="785">D282</f>
        <v>13</v>
      </c>
      <c r="E283" s="61">
        <f t="shared" si="785"/>
        <v>2.149</v>
      </c>
      <c r="F283" s="44">
        <f t="shared" si="785"/>
        <v>16.530769230769231</v>
      </c>
      <c r="G283" s="44">
        <f t="shared" si="685"/>
        <v>13.224615384615385</v>
      </c>
      <c r="H283" s="44">
        <f t="shared" si="686"/>
        <v>8.2653846153846153</v>
      </c>
      <c r="I283" s="44">
        <f t="shared" si="640"/>
        <v>8</v>
      </c>
      <c r="J283" s="45">
        <v>330</v>
      </c>
      <c r="K283" s="37" t="str">
        <f>D283&amp;-3</f>
        <v>13-3</v>
      </c>
      <c r="L283" s="44">
        <f t="shared" ref="L283:P283" si="786">L282</f>
        <v>0.2</v>
      </c>
      <c r="M283" s="49">
        <f>M282</f>
        <v>30</v>
      </c>
      <c r="N283" s="44">
        <f t="shared" si="666"/>
        <v>150</v>
      </c>
      <c r="O283" s="44">
        <f t="shared" si="786"/>
        <v>750</v>
      </c>
      <c r="P283" s="44" t="str">
        <f t="shared" si="786"/>
        <v>on</v>
      </c>
    </row>
    <row r="284" spans="1:16" ht="15.75" thickBot="1" x14ac:dyDescent="0.3">
      <c r="A284" s="229">
        <f t="shared" ref="A284:B284" si="787">A283+1</f>
        <v>4379</v>
      </c>
      <c r="B284" s="230">
        <f t="shared" si="787"/>
        <v>274</v>
      </c>
      <c r="C284" s="218" t="str">
        <f t="shared" si="738"/>
        <v>81aX13_330_030#04</v>
      </c>
      <c r="D284" s="43">
        <f t="shared" ref="D284:F284" si="788">D283</f>
        <v>13</v>
      </c>
      <c r="E284" s="61">
        <f t="shared" si="788"/>
        <v>2.149</v>
      </c>
      <c r="F284" s="44">
        <f t="shared" si="788"/>
        <v>16.530769230769231</v>
      </c>
      <c r="G284" s="44">
        <f t="shared" si="685"/>
        <v>13.224615384615385</v>
      </c>
      <c r="H284" s="44">
        <f t="shared" si="686"/>
        <v>8.2653846153846153</v>
      </c>
      <c r="I284" s="44">
        <f t="shared" si="640"/>
        <v>8</v>
      </c>
      <c r="J284" s="45">
        <v>330</v>
      </c>
      <c r="K284" s="37" t="str">
        <f>D284&amp;-4</f>
        <v>13-4</v>
      </c>
      <c r="L284" s="44">
        <f t="shared" ref="L284:P284" si="789">L283</f>
        <v>0.2</v>
      </c>
      <c r="M284" s="49">
        <f>M283</f>
        <v>30</v>
      </c>
      <c r="N284" s="44">
        <f t="shared" si="666"/>
        <v>150</v>
      </c>
      <c r="O284" s="44">
        <f t="shared" si="789"/>
        <v>750</v>
      </c>
      <c r="P284" s="44" t="str">
        <f t="shared" si="789"/>
        <v>on</v>
      </c>
    </row>
    <row r="285" spans="1:16" ht="15.75" thickBot="1" x14ac:dyDescent="0.3">
      <c r="A285" s="229">
        <f t="shared" ref="A285:B285" si="790">A284+1</f>
        <v>4380</v>
      </c>
      <c r="B285" s="230">
        <f t="shared" si="790"/>
        <v>275</v>
      </c>
      <c r="C285" s="218" t="str">
        <f t="shared" si="738"/>
        <v>81aX13_330_030#05</v>
      </c>
      <c r="D285" s="43">
        <f t="shared" ref="D285:F285" si="791">D284</f>
        <v>13</v>
      </c>
      <c r="E285" s="61">
        <f t="shared" si="791"/>
        <v>2.149</v>
      </c>
      <c r="F285" s="44">
        <f t="shared" si="791"/>
        <v>16.530769230769231</v>
      </c>
      <c r="G285" s="44">
        <f t="shared" si="685"/>
        <v>13.224615384615385</v>
      </c>
      <c r="H285" s="44">
        <f t="shared" si="686"/>
        <v>8.2653846153846153</v>
      </c>
      <c r="I285" s="44">
        <f t="shared" si="640"/>
        <v>8</v>
      </c>
      <c r="J285" s="45">
        <v>330</v>
      </c>
      <c r="K285" s="37" t="str">
        <f>D285&amp;-5</f>
        <v>13-5</v>
      </c>
      <c r="L285" s="44">
        <f t="shared" ref="L285:P285" si="792">L284</f>
        <v>0.2</v>
      </c>
      <c r="M285" s="49">
        <f>M284</f>
        <v>30</v>
      </c>
      <c r="N285" s="44">
        <f t="shared" si="666"/>
        <v>150</v>
      </c>
      <c r="O285" s="44">
        <f t="shared" si="792"/>
        <v>750</v>
      </c>
      <c r="P285" s="44" t="str">
        <f t="shared" si="792"/>
        <v>on</v>
      </c>
    </row>
    <row r="286" spans="1:16" ht="15.75" thickBot="1" x14ac:dyDescent="0.3">
      <c r="A286" s="229">
        <f t="shared" ref="A286:B286" si="793">A285+1</f>
        <v>4381</v>
      </c>
      <c r="B286" s="230">
        <f t="shared" si="793"/>
        <v>276</v>
      </c>
      <c r="C286" s="218" t="str">
        <f t="shared" si="738"/>
        <v>81aX13_330_030#06</v>
      </c>
      <c r="D286" s="43">
        <f t="shared" ref="D286:F286" si="794">D285</f>
        <v>13</v>
      </c>
      <c r="E286" s="61">
        <f t="shared" si="794"/>
        <v>2.149</v>
      </c>
      <c r="F286" s="44">
        <f t="shared" si="794"/>
        <v>16.530769230769231</v>
      </c>
      <c r="G286" s="44">
        <f t="shared" si="685"/>
        <v>13.224615384615385</v>
      </c>
      <c r="H286" s="44">
        <f t="shared" si="686"/>
        <v>8.2653846153846153</v>
      </c>
      <c r="I286" s="44">
        <f t="shared" si="640"/>
        <v>8</v>
      </c>
      <c r="J286" s="45">
        <v>330</v>
      </c>
      <c r="K286" s="37" t="str">
        <f>D286&amp;-6</f>
        <v>13-6</v>
      </c>
      <c r="L286" s="44">
        <f t="shared" ref="L286:P286" si="795">L285</f>
        <v>0.2</v>
      </c>
      <c r="M286" s="49">
        <f>M285</f>
        <v>30</v>
      </c>
      <c r="N286" s="44">
        <f t="shared" si="666"/>
        <v>150</v>
      </c>
      <c r="O286" s="44">
        <f t="shared" si="795"/>
        <v>750</v>
      </c>
      <c r="P286" s="44" t="str">
        <f t="shared" si="795"/>
        <v>on</v>
      </c>
    </row>
    <row r="287" spans="1:16" ht="15.75" thickBot="1" x14ac:dyDescent="0.3">
      <c r="A287" s="229">
        <f t="shared" ref="A287:B287" si="796">A286+1</f>
        <v>4382</v>
      </c>
      <c r="B287" s="230">
        <f t="shared" si="796"/>
        <v>277</v>
      </c>
      <c r="C287" s="218" t="str">
        <f t="shared" si="738"/>
        <v>81aX13_330_060#01</v>
      </c>
      <c r="D287" s="43">
        <f t="shared" ref="D287:F287" si="797">D286</f>
        <v>13</v>
      </c>
      <c r="E287" s="61">
        <f t="shared" si="797"/>
        <v>2.149</v>
      </c>
      <c r="F287" s="44">
        <f t="shared" si="797"/>
        <v>16.530769230769231</v>
      </c>
      <c r="G287" s="44">
        <f t="shared" si="685"/>
        <v>13.224615384615385</v>
      </c>
      <c r="H287" s="44">
        <f t="shared" si="686"/>
        <v>8.2653846153846153</v>
      </c>
      <c r="I287" s="44">
        <f t="shared" si="640"/>
        <v>8</v>
      </c>
      <c r="J287" s="45">
        <v>330</v>
      </c>
      <c r="K287" s="37" t="str">
        <f>D287&amp;-1</f>
        <v>13-1</v>
      </c>
      <c r="L287" s="44">
        <f t="shared" ref="L287:P287" si="798">L286</f>
        <v>0.2</v>
      </c>
      <c r="M287" s="49">
        <v>60</v>
      </c>
      <c r="N287" s="44">
        <f t="shared" si="666"/>
        <v>150</v>
      </c>
      <c r="O287" s="44">
        <f t="shared" si="798"/>
        <v>750</v>
      </c>
      <c r="P287" s="44" t="str">
        <f t="shared" si="798"/>
        <v>on</v>
      </c>
    </row>
    <row r="288" spans="1:16" ht="15.75" thickBot="1" x14ac:dyDescent="0.3">
      <c r="A288" s="229">
        <f t="shared" ref="A288:B288" si="799">A287+1</f>
        <v>4383</v>
      </c>
      <c r="B288" s="230">
        <f t="shared" si="799"/>
        <v>278</v>
      </c>
      <c r="C288" s="218" t="str">
        <f t="shared" si="738"/>
        <v>81aX13_330_060#02</v>
      </c>
      <c r="D288" s="43">
        <f t="shared" ref="D288:F288" si="800">D287</f>
        <v>13</v>
      </c>
      <c r="E288" s="61">
        <f t="shared" si="800"/>
        <v>2.149</v>
      </c>
      <c r="F288" s="44">
        <f t="shared" si="800"/>
        <v>16.530769230769231</v>
      </c>
      <c r="G288" s="44">
        <f t="shared" si="685"/>
        <v>13.224615384615385</v>
      </c>
      <c r="H288" s="44">
        <f t="shared" si="686"/>
        <v>8.2653846153846153</v>
      </c>
      <c r="I288" s="44">
        <f t="shared" si="640"/>
        <v>8</v>
      </c>
      <c r="J288" s="45">
        <v>330</v>
      </c>
      <c r="K288" s="37" t="str">
        <f>D288&amp;-2</f>
        <v>13-2</v>
      </c>
      <c r="L288" s="44">
        <f t="shared" ref="L288:P288" si="801">L287</f>
        <v>0.2</v>
      </c>
      <c r="M288" s="49">
        <f>M287</f>
        <v>60</v>
      </c>
      <c r="N288" s="44">
        <f t="shared" ref="N288" si="802">N287</f>
        <v>150</v>
      </c>
      <c r="O288" s="44">
        <f t="shared" si="801"/>
        <v>750</v>
      </c>
      <c r="P288" s="44" t="str">
        <f t="shared" si="801"/>
        <v>on</v>
      </c>
    </row>
    <row r="289" spans="1:16" ht="15.75" thickBot="1" x14ac:dyDescent="0.3">
      <c r="A289" s="229">
        <f t="shared" ref="A289:B289" si="803">A288+1</f>
        <v>4384</v>
      </c>
      <c r="B289" s="230">
        <f t="shared" si="803"/>
        <v>279</v>
      </c>
      <c r="C289" s="218" t="str">
        <f t="shared" si="738"/>
        <v>81aX13_330_060#03</v>
      </c>
      <c r="D289" s="43">
        <f t="shared" ref="D289:F289" si="804">D288</f>
        <v>13</v>
      </c>
      <c r="E289" s="61">
        <f t="shared" si="804"/>
        <v>2.149</v>
      </c>
      <c r="F289" s="44">
        <f t="shared" si="804"/>
        <v>16.530769230769231</v>
      </c>
      <c r="G289" s="44">
        <f t="shared" si="685"/>
        <v>13.224615384615385</v>
      </c>
      <c r="H289" s="44">
        <f t="shared" si="686"/>
        <v>8.2653846153846153</v>
      </c>
      <c r="I289" s="44">
        <f t="shared" si="640"/>
        <v>8</v>
      </c>
      <c r="J289" s="45">
        <v>330</v>
      </c>
      <c r="K289" s="37" t="str">
        <f>D289&amp;-3</f>
        <v>13-3</v>
      </c>
      <c r="L289" s="44">
        <f t="shared" ref="L289:P289" si="805">L288</f>
        <v>0.2</v>
      </c>
      <c r="M289" s="49">
        <f>M288</f>
        <v>60</v>
      </c>
      <c r="N289" s="44">
        <f t="shared" si="744"/>
        <v>150</v>
      </c>
      <c r="O289" s="44">
        <f t="shared" si="805"/>
        <v>750</v>
      </c>
      <c r="P289" s="44" t="str">
        <f t="shared" si="805"/>
        <v>on</v>
      </c>
    </row>
    <row r="290" spans="1:16" ht="15.75" thickBot="1" x14ac:dyDescent="0.3">
      <c r="A290" s="229">
        <f t="shared" ref="A290:B290" si="806">A289+1</f>
        <v>4385</v>
      </c>
      <c r="B290" s="230">
        <f t="shared" si="806"/>
        <v>280</v>
      </c>
      <c r="C290" s="218" t="str">
        <f t="shared" si="738"/>
        <v>81aX13_330_060#04</v>
      </c>
      <c r="D290" s="43">
        <f t="shared" ref="D290:F290" si="807">D289</f>
        <v>13</v>
      </c>
      <c r="E290" s="61">
        <f t="shared" si="807"/>
        <v>2.149</v>
      </c>
      <c r="F290" s="44">
        <f t="shared" si="807"/>
        <v>16.530769230769231</v>
      </c>
      <c r="G290" s="44">
        <f t="shared" si="685"/>
        <v>13.224615384615385</v>
      </c>
      <c r="H290" s="44">
        <f t="shared" si="686"/>
        <v>8.2653846153846153</v>
      </c>
      <c r="I290" s="44">
        <f t="shared" si="640"/>
        <v>8</v>
      </c>
      <c r="J290" s="45">
        <v>330</v>
      </c>
      <c r="K290" s="37" t="str">
        <f>D290&amp;-4</f>
        <v>13-4</v>
      </c>
      <c r="L290" s="44">
        <f t="shared" ref="L290:P290" si="808">L289</f>
        <v>0.2</v>
      </c>
      <c r="M290" s="49">
        <f>M289</f>
        <v>60</v>
      </c>
      <c r="N290" s="44">
        <f t="shared" si="744"/>
        <v>150</v>
      </c>
      <c r="O290" s="44">
        <f t="shared" si="808"/>
        <v>750</v>
      </c>
      <c r="P290" s="44" t="str">
        <f t="shared" si="808"/>
        <v>on</v>
      </c>
    </row>
    <row r="291" spans="1:16" ht="15.75" thickBot="1" x14ac:dyDescent="0.3">
      <c r="A291" s="229">
        <f t="shared" ref="A291:B291" si="809">A290+1</f>
        <v>4386</v>
      </c>
      <c r="B291" s="230">
        <f t="shared" si="809"/>
        <v>281</v>
      </c>
      <c r="C291" s="218" t="str">
        <f t="shared" si="738"/>
        <v>81aX13_330_060#05</v>
      </c>
      <c r="D291" s="43">
        <f t="shared" ref="D291:F291" si="810">D290</f>
        <v>13</v>
      </c>
      <c r="E291" s="61">
        <f t="shared" si="810"/>
        <v>2.149</v>
      </c>
      <c r="F291" s="44">
        <f t="shared" si="810"/>
        <v>16.530769230769231</v>
      </c>
      <c r="G291" s="44">
        <f t="shared" si="685"/>
        <v>13.224615384615385</v>
      </c>
      <c r="H291" s="44">
        <f t="shared" si="686"/>
        <v>8.2653846153846153</v>
      </c>
      <c r="I291" s="44">
        <f t="shared" si="640"/>
        <v>8</v>
      </c>
      <c r="J291" s="45">
        <v>330</v>
      </c>
      <c r="K291" s="37" t="str">
        <f>D291&amp;-5</f>
        <v>13-5</v>
      </c>
      <c r="L291" s="44">
        <f t="shared" ref="L291:P291" si="811">L290</f>
        <v>0.2</v>
      </c>
      <c r="M291" s="49">
        <f>M290</f>
        <v>60</v>
      </c>
      <c r="N291" s="44">
        <f t="shared" si="744"/>
        <v>150</v>
      </c>
      <c r="O291" s="44">
        <f t="shared" si="811"/>
        <v>750</v>
      </c>
      <c r="P291" s="44" t="str">
        <f t="shared" si="811"/>
        <v>on</v>
      </c>
    </row>
    <row r="292" spans="1:16" ht="15.75" thickBot="1" x14ac:dyDescent="0.3">
      <c r="A292" s="229">
        <f t="shared" ref="A292:B292" si="812">A291+1</f>
        <v>4387</v>
      </c>
      <c r="B292" s="230">
        <f t="shared" si="812"/>
        <v>282</v>
      </c>
      <c r="C292" s="218" t="str">
        <f t="shared" si="738"/>
        <v>81aX13_330_060#06</v>
      </c>
      <c r="D292" s="43">
        <f t="shared" ref="D292:F292" si="813">D291</f>
        <v>13</v>
      </c>
      <c r="E292" s="61">
        <f t="shared" si="813"/>
        <v>2.149</v>
      </c>
      <c r="F292" s="44">
        <f t="shared" si="813"/>
        <v>16.530769230769231</v>
      </c>
      <c r="G292" s="44">
        <f t="shared" si="685"/>
        <v>13.224615384615385</v>
      </c>
      <c r="H292" s="44">
        <f t="shared" si="686"/>
        <v>8.2653846153846153</v>
      </c>
      <c r="I292" s="44">
        <f t="shared" si="640"/>
        <v>8</v>
      </c>
      <c r="J292" s="45">
        <v>330</v>
      </c>
      <c r="K292" s="37" t="str">
        <f>D292&amp;-6</f>
        <v>13-6</v>
      </c>
      <c r="L292" s="44">
        <f t="shared" ref="L292:P292" si="814">L291</f>
        <v>0.2</v>
      </c>
      <c r="M292" s="49">
        <f>M291</f>
        <v>60</v>
      </c>
      <c r="N292" s="44">
        <f t="shared" si="744"/>
        <v>150</v>
      </c>
      <c r="O292" s="44">
        <f t="shared" si="814"/>
        <v>750</v>
      </c>
      <c r="P292" s="44" t="str">
        <f t="shared" si="814"/>
        <v>on</v>
      </c>
    </row>
    <row r="293" spans="1:16" ht="15.75" thickBot="1" x14ac:dyDescent="0.3">
      <c r="A293" s="229">
        <f t="shared" ref="A293:B293" si="815">A292+1</f>
        <v>4388</v>
      </c>
      <c r="B293" s="230">
        <f t="shared" si="815"/>
        <v>283</v>
      </c>
      <c r="C293" s="218" t="str">
        <f t="shared" si="738"/>
        <v>81aX13_330_090#01</v>
      </c>
      <c r="D293" s="43">
        <f t="shared" ref="D293:F293" si="816">D292</f>
        <v>13</v>
      </c>
      <c r="E293" s="61">
        <f t="shared" si="816"/>
        <v>2.149</v>
      </c>
      <c r="F293" s="44">
        <f t="shared" si="816"/>
        <v>16.530769230769231</v>
      </c>
      <c r="G293" s="44">
        <f t="shared" si="685"/>
        <v>13.224615384615385</v>
      </c>
      <c r="H293" s="44">
        <f t="shared" si="686"/>
        <v>8.2653846153846153</v>
      </c>
      <c r="I293" s="44">
        <f t="shared" si="640"/>
        <v>8</v>
      </c>
      <c r="J293" s="45">
        <v>330</v>
      </c>
      <c r="K293" s="37" t="str">
        <f>D293&amp;-1</f>
        <v>13-1</v>
      </c>
      <c r="L293" s="44">
        <f t="shared" ref="L293:P293" si="817">L292</f>
        <v>0.2</v>
      </c>
      <c r="M293" s="49">
        <v>90</v>
      </c>
      <c r="N293" s="44">
        <f t="shared" si="744"/>
        <v>150</v>
      </c>
      <c r="O293" s="44">
        <f t="shared" si="817"/>
        <v>750</v>
      </c>
      <c r="P293" s="44" t="str">
        <f t="shared" si="817"/>
        <v>on</v>
      </c>
    </row>
    <row r="294" spans="1:16" ht="15.75" thickBot="1" x14ac:dyDescent="0.3">
      <c r="A294" s="229">
        <f t="shared" ref="A294:B294" si="818">A293+1</f>
        <v>4389</v>
      </c>
      <c r="B294" s="230">
        <f t="shared" si="818"/>
        <v>284</v>
      </c>
      <c r="C294" s="218" t="str">
        <f t="shared" si="738"/>
        <v>81aX13_330_090#02</v>
      </c>
      <c r="D294" s="43">
        <f t="shared" ref="D294:F294" si="819">D293</f>
        <v>13</v>
      </c>
      <c r="E294" s="61">
        <f t="shared" si="819"/>
        <v>2.149</v>
      </c>
      <c r="F294" s="44">
        <f t="shared" si="819"/>
        <v>16.530769230769231</v>
      </c>
      <c r="G294" s="44">
        <f t="shared" si="685"/>
        <v>13.224615384615385</v>
      </c>
      <c r="H294" s="44">
        <f t="shared" si="686"/>
        <v>8.2653846153846153</v>
      </c>
      <c r="I294" s="44">
        <f t="shared" si="640"/>
        <v>8</v>
      </c>
      <c r="J294" s="45">
        <v>330</v>
      </c>
      <c r="K294" s="37" t="str">
        <f>D294&amp;-2</f>
        <v>13-2</v>
      </c>
      <c r="L294" s="44">
        <f t="shared" ref="L294:P294" si="820">L293</f>
        <v>0.2</v>
      </c>
      <c r="M294" s="49">
        <f>M293</f>
        <v>90</v>
      </c>
      <c r="N294" s="44">
        <f t="shared" si="744"/>
        <v>150</v>
      </c>
      <c r="O294" s="44">
        <f t="shared" si="820"/>
        <v>750</v>
      </c>
      <c r="P294" s="44" t="str">
        <f t="shared" si="820"/>
        <v>on</v>
      </c>
    </row>
    <row r="295" spans="1:16" ht="15.75" thickBot="1" x14ac:dyDescent="0.3">
      <c r="A295" s="229">
        <f t="shared" ref="A295:B295" si="821">A294+1</f>
        <v>4390</v>
      </c>
      <c r="B295" s="230">
        <f t="shared" si="821"/>
        <v>285</v>
      </c>
      <c r="C295" s="218" t="str">
        <f t="shared" si="738"/>
        <v>81aX13_330_090#03</v>
      </c>
      <c r="D295" s="43">
        <f t="shared" ref="D295:F295" si="822">D294</f>
        <v>13</v>
      </c>
      <c r="E295" s="61">
        <f t="shared" si="822"/>
        <v>2.149</v>
      </c>
      <c r="F295" s="44">
        <f t="shared" si="822"/>
        <v>16.530769230769231</v>
      </c>
      <c r="G295" s="44">
        <f t="shared" si="685"/>
        <v>13.224615384615385</v>
      </c>
      <c r="H295" s="44">
        <f t="shared" si="686"/>
        <v>8.2653846153846153</v>
      </c>
      <c r="I295" s="44">
        <f t="shared" si="640"/>
        <v>8</v>
      </c>
      <c r="J295" s="45">
        <v>330</v>
      </c>
      <c r="K295" s="37" t="str">
        <f>D295&amp;-3</f>
        <v>13-3</v>
      </c>
      <c r="L295" s="44">
        <f t="shared" ref="L295:P295" si="823">L294</f>
        <v>0.2</v>
      </c>
      <c r="M295" s="49">
        <f>M294</f>
        <v>90</v>
      </c>
      <c r="N295" s="44">
        <f t="shared" si="706"/>
        <v>150</v>
      </c>
      <c r="O295" s="44">
        <f t="shared" si="823"/>
        <v>750</v>
      </c>
      <c r="P295" s="44" t="str">
        <f t="shared" si="823"/>
        <v>on</v>
      </c>
    </row>
    <row r="296" spans="1:16" ht="15.75" thickBot="1" x14ac:dyDescent="0.3">
      <c r="A296" s="229">
        <f t="shared" ref="A296:B296" si="824">A295+1</f>
        <v>4391</v>
      </c>
      <c r="B296" s="230">
        <f t="shared" si="824"/>
        <v>286</v>
      </c>
      <c r="C296" s="218" t="str">
        <f t="shared" si="738"/>
        <v>81aX13_330_090#04</v>
      </c>
      <c r="D296" s="43">
        <f t="shared" ref="D296:F296" si="825">D295</f>
        <v>13</v>
      </c>
      <c r="E296" s="61">
        <f t="shared" si="825"/>
        <v>2.149</v>
      </c>
      <c r="F296" s="44">
        <f t="shared" si="825"/>
        <v>16.530769230769231</v>
      </c>
      <c r="G296" s="44">
        <f t="shared" si="685"/>
        <v>13.224615384615385</v>
      </c>
      <c r="H296" s="44">
        <f t="shared" si="686"/>
        <v>8.2653846153846153</v>
      </c>
      <c r="I296" s="44">
        <f t="shared" si="640"/>
        <v>8</v>
      </c>
      <c r="J296" s="45">
        <v>330</v>
      </c>
      <c r="K296" s="37" t="str">
        <f>D296&amp;-4</f>
        <v>13-4</v>
      </c>
      <c r="L296" s="44">
        <f t="shared" ref="L296:P296" si="826">L295</f>
        <v>0.2</v>
      </c>
      <c r="M296" s="49">
        <f>M295</f>
        <v>90</v>
      </c>
      <c r="N296" s="44">
        <f t="shared" si="706"/>
        <v>150</v>
      </c>
      <c r="O296" s="44">
        <f t="shared" si="826"/>
        <v>750</v>
      </c>
      <c r="P296" s="44" t="str">
        <f t="shared" si="826"/>
        <v>on</v>
      </c>
    </row>
    <row r="297" spans="1:16" ht="15.75" thickBot="1" x14ac:dyDescent="0.3">
      <c r="A297" s="229">
        <f t="shared" ref="A297:B297" si="827">A296+1</f>
        <v>4392</v>
      </c>
      <c r="B297" s="230">
        <f t="shared" si="827"/>
        <v>287</v>
      </c>
      <c r="C297" s="218" t="str">
        <f t="shared" si="738"/>
        <v>81aX13_330_090#05</v>
      </c>
      <c r="D297" s="43">
        <f t="shared" ref="D297:F297" si="828">D296</f>
        <v>13</v>
      </c>
      <c r="E297" s="61">
        <f t="shared" si="828"/>
        <v>2.149</v>
      </c>
      <c r="F297" s="44">
        <f t="shared" si="828"/>
        <v>16.530769230769231</v>
      </c>
      <c r="G297" s="44">
        <f t="shared" si="685"/>
        <v>13.224615384615385</v>
      </c>
      <c r="H297" s="44">
        <f t="shared" si="686"/>
        <v>8.2653846153846153</v>
      </c>
      <c r="I297" s="44">
        <f t="shared" si="640"/>
        <v>8</v>
      </c>
      <c r="J297" s="45">
        <v>330</v>
      </c>
      <c r="K297" s="37" t="str">
        <f>D297&amp;-5</f>
        <v>13-5</v>
      </c>
      <c r="L297" s="44">
        <f t="shared" ref="L297:P297" si="829">L296</f>
        <v>0.2</v>
      </c>
      <c r="M297" s="49">
        <f>M296</f>
        <v>90</v>
      </c>
      <c r="N297" s="44">
        <f t="shared" si="706"/>
        <v>150</v>
      </c>
      <c r="O297" s="44">
        <f t="shared" si="829"/>
        <v>750</v>
      </c>
      <c r="P297" s="44" t="str">
        <f t="shared" si="829"/>
        <v>on</v>
      </c>
    </row>
    <row r="298" spans="1:16" x14ac:dyDescent="0.25">
      <c r="A298" s="229">
        <f t="shared" ref="A298:B298" si="830">A297+1</f>
        <v>4393</v>
      </c>
      <c r="B298" s="230">
        <f t="shared" si="830"/>
        <v>288</v>
      </c>
      <c r="C298" s="218" t="str">
        <f t="shared" si="738"/>
        <v>81aX13_330_090#06</v>
      </c>
      <c r="D298" s="43">
        <f t="shared" ref="D298:F298" si="831">D297</f>
        <v>13</v>
      </c>
      <c r="E298" s="61">
        <f t="shared" si="831"/>
        <v>2.149</v>
      </c>
      <c r="F298" s="44">
        <f t="shared" si="831"/>
        <v>16.530769230769231</v>
      </c>
      <c r="G298" s="44">
        <f t="shared" si="685"/>
        <v>13.224615384615385</v>
      </c>
      <c r="H298" s="44">
        <f t="shared" si="686"/>
        <v>8.2653846153846153</v>
      </c>
      <c r="I298" s="44">
        <f t="shared" si="640"/>
        <v>8</v>
      </c>
      <c r="J298" s="45">
        <v>330</v>
      </c>
      <c r="K298" s="37" t="str">
        <f>D298&amp;-6</f>
        <v>13-6</v>
      </c>
      <c r="L298" s="44">
        <f t="shared" ref="L298:P298" si="832">L297</f>
        <v>0.2</v>
      </c>
      <c r="M298" s="49">
        <f>M297</f>
        <v>90</v>
      </c>
      <c r="N298" s="44">
        <f t="shared" si="706"/>
        <v>150</v>
      </c>
      <c r="O298" s="44">
        <f t="shared" si="832"/>
        <v>750</v>
      </c>
      <c r="P298" s="44" t="str">
        <f t="shared" si="832"/>
        <v>on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S34"/>
  <sheetViews>
    <sheetView zoomScale="85" zoomScaleNormal="85" workbookViewId="0">
      <selection activeCell="M41" sqref="M41"/>
    </sheetView>
  </sheetViews>
  <sheetFormatPr defaultColWidth="9" defaultRowHeight="15" x14ac:dyDescent="0.15"/>
  <cols>
    <col min="1" max="1" width="7.25" style="23" customWidth="1"/>
    <col min="2" max="2" width="8" style="23" customWidth="1"/>
    <col min="3" max="3" width="9.25" style="23" customWidth="1"/>
    <col min="4" max="4" width="7.625" style="23" customWidth="1"/>
    <col min="5" max="5" width="7.25" style="23" customWidth="1"/>
    <col min="6" max="7" width="6.75" style="23" customWidth="1"/>
    <col min="8" max="8" width="7.375" style="23" customWidth="1"/>
    <col min="9" max="9" width="7.125" style="23" customWidth="1"/>
    <col min="10" max="10" width="7.375" style="23" customWidth="1"/>
    <col min="11" max="11" width="9" style="23" customWidth="1"/>
    <col min="12" max="12" width="6.75" style="23" customWidth="1"/>
    <col min="13" max="15" width="8.25" style="23" customWidth="1"/>
    <col min="16" max="17" width="9" style="23"/>
    <col min="18" max="19" width="9" style="23" customWidth="1"/>
    <col min="20" max="16384" width="9" style="23"/>
  </cols>
  <sheetData>
    <row r="1" spans="1:19" x14ac:dyDescent="0.15">
      <c r="H1" s="22" t="s">
        <v>135</v>
      </c>
      <c r="I1" s="22" t="s">
        <v>167</v>
      </c>
    </row>
    <row r="2" spans="1:19" x14ac:dyDescent="0.15">
      <c r="B2" s="22" t="s">
        <v>128</v>
      </c>
      <c r="C2" s="22"/>
      <c r="D2" s="22"/>
      <c r="E2" s="22"/>
      <c r="H2" s="22"/>
      <c r="I2" s="22" t="s">
        <v>909</v>
      </c>
    </row>
    <row r="3" spans="1:19" x14ac:dyDescent="0.15">
      <c r="B3" s="22" t="s">
        <v>88</v>
      </c>
      <c r="C3" s="22"/>
      <c r="D3" s="22"/>
      <c r="E3" s="93" t="s">
        <v>928</v>
      </c>
      <c r="H3" s="22"/>
      <c r="I3" s="22" t="s">
        <v>898</v>
      </c>
    </row>
    <row r="4" spans="1:19" x14ac:dyDescent="0.15">
      <c r="B4" s="22" t="s">
        <v>89</v>
      </c>
      <c r="C4" s="22"/>
      <c r="D4" s="22"/>
      <c r="E4" s="93" t="s">
        <v>908</v>
      </c>
      <c r="H4" s="22"/>
      <c r="I4" s="22" t="s">
        <v>166</v>
      </c>
    </row>
    <row r="5" spans="1:19" x14ac:dyDescent="0.15">
      <c r="B5" s="22" t="s">
        <v>91</v>
      </c>
      <c r="C5" s="22"/>
      <c r="D5" s="22"/>
      <c r="E5" s="22" t="s">
        <v>99</v>
      </c>
    </row>
    <row r="6" spans="1:19" x14ac:dyDescent="0.15">
      <c r="B6" s="22" t="s">
        <v>93</v>
      </c>
      <c r="C6" s="22"/>
      <c r="D6" s="22"/>
      <c r="E6" s="22" t="s">
        <v>21</v>
      </c>
      <c r="I6" s="22"/>
    </row>
    <row r="8" spans="1:19" ht="15.75" thickBot="1" x14ac:dyDescent="0.2">
      <c r="B8" s="22" t="s">
        <v>929</v>
      </c>
    </row>
    <row r="9" spans="1:19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2</v>
      </c>
      <c r="K9" s="26" t="s">
        <v>3</v>
      </c>
      <c r="L9" s="25" t="s">
        <v>141</v>
      </c>
      <c r="M9" s="25" t="s">
        <v>13</v>
      </c>
      <c r="N9" s="27" t="s">
        <v>138</v>
      </c>
      <c r="O9" s="27" t="s">
        <v>139</v>
      </c>
      <c r="P9" s="91" t="s">
        <v>905</v>
      </c>
      <c r="R9" s="22"/>
    </row>
    <row r="10" spans="1:19" ht="15.75" thickBot="1" x14ac:dyDescent="0.3">
      <c r="A10" s="29" t="s">
        <v>76</v>
      </c>
      <c r="B10" s="30" t="str">
        <f>B2</f>
        <v>DLC81b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32"/>
      <c r="N10" s="32" t="s">
        <v>7</v>
      </c>
      <c r="O10" s="32" t="s">
        <v>7</v>
      </c>
      <c r="P10" s="5"/>
      <c r="R10" s="22"/>
    </row>
    <row r="11" spans="1:19" hidden="1" x14ac:dyDescent="0.25">
      <c r="A11" s="24">
        <f>DLC81a!A298+1</f>
        <v>4394</v>
      </c>
      <c r="B11" s="27">
        <v>1</v>
      </c>
      <c r="C11" s="24" t="s">
        <v>442</v>
      </c>
      <c r="D11" s="34">
        <f>v_m+5</f>
        <v>13</v>
      </c>
      <c r="E11" s="60">
        <f>I_ref*(0.75*D11+5.6)</f>
        <v>2.149</v>
      </c>
      <c r="F11" s="35">
        <f>E11/D11*100</f>
        <v>16.530769230769231</v>
      </c>
      <c r="G11" s="35">
        <f t="shared" ref="G11:G16" si="0">m_ty*F11</f>
        <v>13.224615384615385</v>
      </c>
      <c r="H11" s="35">
        <f t="shared" ref="H11:H16" si="1">m_tz*F11</f>
        <v>8.2653846153846153</v>
      </c>
      <c r="I11" s="35">
        <f t="shared" ref="I11:I34" si="2">inflow</f>
        <v>8</v>
      </c>
      <c r="J11" s="36">
        <f>yaw_min</f>
        <v>-8</v>
      </c>
      <c r="K11" s="37" t="str">
        <f>D11&amp;-1</f>
        <v>13-1</v>
      </c>
      <c r="L11" s="36">
        <f>alpha_n</f>
        <v>0.2</v>
      </c>
      <c r="M11" s="49">
        <v>0</v>
      </c>
      <c r="N11" s="53">
        <f>t_out</f>
        <v>150</v>
      </c>
      <c r="O11" s="35">
        <f>N11+T_s1</f>
        <v>750</v>
      </c>
      <c r="P11" s="69" t="s">
        <v>168</v>
      </c>
      <c r="R11" s="22"/>
    </row>
    <row r="12" spans="1:19" hidden="1" x14ac:dyDescent="0.25">
      <c r="A12" s="41">
        <f t="shared" ref="A12:B16" si="3">A11+1</f>
        <v>4395</v>
      </c>
      <c r="B12" s="42">
        <f t="shared" si="3"/>
        <v>2</v>
      </c>
      <c r="C12" s="41" t="s">
        <v>443</v>
      </c>
      <c r="D12" s="43">
        <f>D11</f>
        <v>13</v>
      </c>
      <c r="E12" s="61">
        <f>E11</f>
        <v>2.149</v>
      </c>
      <c r="F12" s="44">
        <f>F11</f>
        <v>16.530769230769231</v>
      </c>
      <c r="G12" s="44">
        <f t="shared" si="0"/>
        <v>13.224615384615385</v>
      </c>
      <c r="H12" s="44">
        <f t="shared" si="1"/>
        <v>8.2653846153846153</v>
      </c>
      <c r="I12" s="44">
        <f t="shared" si="2"/>
        <v>8</v>
      </c>
      <c r="J12" s="45">
        <f>yaw_min</f>
        <v>-8</v>
      </c>
      <c r="K12" s="37" t="str">
        <f>D12&amp;-2</f>
        <v>13-2</v>
      </c>
      <c r="L12" s="45">
        <f t="shared" ref="L12:O16" si="4">L11</f>
        <v>0.2</v>
      </c>
      <c r="M12" s="49">
        <f>M11</f>
        <v>0</v>
      </c>
      <c r="N12" s="53">
        <f>N11</f>
        <v>150</v>
      </c>
      <c r="O12" s="44">
        <f>O11</f>
        <v>750</v>
      </c>
      <c r="P12" s="45" t="str">
        <f>P11</f>
        <v>on</v>
      </c>
      <c r="R12" s="22"/>
    </row>
    <row r="13" spans="1:19" hidden="1" x14ac:dyDescent="0.25">
      <c r="A13" s="41">
        <f t="shared" si="3"/>
        <v>4396</v>
      </c>
      <c r="B13" s="42">
        <f t="shared" si="3"/>
        <v>3</v>
      </c>
      <c r="C13" s="41" t="s">
        <v>444</v>
      </c>
      <c r="D13" s="43">
        <f t="shared" ref="D13:F16" si="5">D12</f>
        <v>13</v>
      </c>
      <c r="E13" s="61">
        <f t="shared" si="5"/>
        <v>2.149</v>
      </c>
      <c r="F13" s="44">
        <f t="shared" si="5"/>
        <v>16.530769230769231</v>
      </c>
      <c r="G13" s="44">
        <f t="shared" si="0"/>
        <v>13.224615384615385</v>
      </c>
      <c r="H13" s="44">
        <f t="shared" si="1"/>
        <v>8.2653846153846153</v>
      </c>
      <c r="I13" s="44">
        <f t="shared" si="2"/>
        <v>8</v>
      </c>
      <c r="J13" s="45">
        <f>yaw_null</f>
        <v>0</v>
      </c>
      <c r="K13" s="37" t="str">
        <f>D13&amp;-3</f>
        <v>13-3</v>
      </c>
      <c r="L13" s="45">
        <f t="shared" si="4"/>
        <v>0.2</v>
      </c>
      <c r="M13" s="49">
        <f t="shared" si="4"/>
        <v>0</v>
      </c>
      <c r="N13" s="53">
        <f t="shared" si="4"/>
        <v>150</v>
      </c>
      <c r="O13" s="44">
        <f t="shared" si="4"/>
        <v>750</v>
      </c>
      <c r="P13" s="45" t="str">
        <f>P12</f>
        <v>on</v>
      </c>
    </row>
    <row r="14" spans="1:19" hidden="1" x14ac:dyDescent="0.25">
      <c r="A14" s="41">
        <f t="shared" si="3"/>
        <v>4397</v>
      </c>
      <c r="B14" s="42">
        <f t="shared" si="3"/>
        <v>4</v>
      </c>
      <c r="C14" s="41" t="s">
        <v>445</v>
      </c>
      <c r="D14" s="43">
        <f t="shared" si="5"/>
        <v>13</v>
      </c>
      <c r="E14" s="61">
        <f t="shared" si="5"/>
        <v>2.149</v>
      </c>
      <c r="F14" s="44">
        <f t="shared" si="5"/>
        <v>16.530769230769231</v>
      </c>
      <c r="G14" s="44">
        <f t="shared" si="0"/>
        <v>13.224615384615385</v>
      </c>
      <c r="H14" s="44">
        <f t="shared" si="1"/>
        <v>8.2653846153846153</v>
      </c>
      <c r="I14" s="44">
        <f t="shared" si="2"/>
        <v>8</v>
      </c>
      <c r="J14" s="45">
        <f>yaw_null</f>
        <v>0</v>
      </c>
      <c r="K14" s="37" t="str">
        <f>D14&amp;-4</f>
        <v>13-4</v>
      </c>
      <c r="L14" s="45">
        <f t="shared" si="4"/>
        <v>0.2</v>
      </c>
      <c r="M14" s="49">
        <f t="shared" si="4"/>
        <v>0</v>
      </c>
      <c r="N14" s="53">
        <f t="shared" si="4"/>
        <v>150</v>
      </c>
      <c r="O14" s="44">
        <f t="shared" si="4"/>
        <v>750</v>
      </c>
      <c r="P14" s="45" t="str">
        <f>P13</f>
        <v>on</v>
      </c>
    </row>
    <row r="15" spans="1:19" hidden="1" x14ac:dyDescent="0.25">
      <c r="A15" s="41">
        <f t="shared" si="3"/>
        <v>4398</v>
      </c>
      <c r="B15" s="42">
        <f t="shared" si="3"/>
        <v>5</v>
      </c>
      <c r="C15" s="41" t="s">
        <v>446</v>
      </c>
      <c r="D15" s="43">
        <f t="shared" si="5"/>
        <v>13</v>
      </c>
      <c r="E15" s="61">
        <f t="shared" si="5"/>
        <v>2.149</v>
      </c>
      <c r="F15" s="44">
        <f t="shared" si="5"/>
        <v>16.530769230769231</v>
      </c>
      <c r="G15" s="44">
        <f t="shared" si="0"/>
        <v>13.224615384615385</v>
      </c>
      <c r="H15" s="44">
        <f t="shared" si="1"/>
        <v>8.2653846153846153</v>
      </c>
      <c r="I15" s="44">
        <f t="shared" si="2"/>
        <v>8</v>
      </c>
      <c r="J15" s="45">
        <f>yaw_max</f>
        <v>8</v>
      </c>
      <c r="K15" s="37" t="str">
        <f>D15&amp;-5</f>
        <v>13-5</v>
      </c>
      <c r="L15" s="45">
        <f t="shared" si="4"/>
        <v>0.2</v>
      </c>
      <c r="M15" s="49">
        <f t="shared" si="4"/>
        <v>0</v>
      </c>
      <c r="N15" s="53">
        <f t="shared" si="4"/>
        <v>150</v>
      </c>
      <c r="O15" s="44">
        <f t="shared" si="4"/>
        <v>750</v>
      </c>
      <c r="P15" s="45" t="str">
        <f t="shared" ref="P15:P34" si="6">P14</f>
        <v>on</v>
      </c>
    </row>
    <row r="16" spans="1:19" hidden="1" x14ac:dyDescent="0.25">
      <c r="A16" s="41">
        <f t="shared" si="3"/>
        <v>4399</v>
      </c>
      <c r="B16" s="42">
        <f t="shared" si="3"/>
        <v>6</v>
      </c>
      <c r="C16" s="41" t="s">
        <v>447</v>
      </c>
      <c r="D16" s="43">
        <f t="shared" si="5"/>
        <v>13</v>
      </c>
      <c r="E16" s="61">
        <f t="shared" si="5"/>
        <v>2.149</v>
      </c>
      <c r="F16" s="44">
        <f t="shared" si="5"/>
        <v>16.530769230769231</v>
      </c>
      <c r="G16" s="44">
        <f t="shared" si="0"/>
        <v>13.224615384615385</v>
      </c>
      <c r="H16" s="44">
        <f t="shared" si="1"/>
        <v>8.2653846153846153</v>
      </c>
      <c r="I16" s="44">
        <f t="shared" si="2"/>
        <v>8</v>
      </c>
      <c r="J16" s="45">
        <f>yaw_max</f>
        <v>8</v>
      </c>
      <c r="K16" s="37" t="str">
        <f>D16&amp;-6</f>
        <v>13-6</v>
      </c>
      <c r="L16" s="45">
        <f t="shared" si="4"/>
        <v>0.2</v>
      </c>
      <c r="M16" s="49">
        <f t="shared" ref="M16" si="7">M15</f>
        <v>0</v>
      </c>
      <c r="N16" s="53">
        <f t="shared" si="4"/>
        <v>150</v>
      </c>
      <c r="O16" s="44">
        <f t="shared" si="4"/>
        <v>750</v>
      </c>
      <c r="P16" s="45" t="str">
        <f t="shared" si="6"/>
        <v>on</v>
      </c>
      <c r="R16" s="22"/>
      <c r="S16" s="22"/>
    </row>
    <row r="17" spans="1:19" hidden="1" x14ac:dyDescent="0.25">
      <c r="A17" s="41">
        <f t="shared" ref="A17:B17" si="8">A16+1</f>
        <v>4400</v>
      </c>
      <c r="B17" s="42">
        <f t="shared" si="8"/>
        <v>7</v>
      </c>
      <c r="C17" s="41" t="s">
        <v>448</v>
      </c>
      <c r="D17" s="43">
        <f t="shared" ref="D17:F17" si="9">D16</f>
        <v>13</v>
      </c>
      <c r="E17" s="61">
        <f t="shared" si="9"/>
        <v>2.149</v>
      </c>
      <c r="F17" s="44">
        <f t="shared" si="9"/>
        <v>16.530769230769231</v>
      </c>
      <c r="G17" s="44">
        <f t="shared" ref="G17:G34" si="10">m_ty*F17</f>
        <v>13.224615384615385</v>
      </c>
      <c r="H17" s="44">
        <f t="shared" ref="H17:H34" si="11">m_tz*F17</f>
        <v>8.2653846153846153</v>
      </c>
      <c r="I17" s="44">
        <f t="shared" si="2"/>
        <v>8</v>
      </c>
      <c r="J17" s="45">
        <f>yaw_min</f>
        <v>-8</v>
      </c>
      <c r="K17" s="37" t="str">
        <f>D17&amp;-1</f>
        <v>13-1</v>
      </c>
      <c r="L17" s="45">
        <f t="shared" ref="L17:O17" si="12">L16</f>
        <v>0.2</v>
      </c>
      <c r="M17" s="49">
        <v>30</v>
      </c>
      <c r="N17" s="53">
        <f t="shared" si="12"/>
        <v>150</v>
      </c>
      <c r="O17" s="44">
        <f t="shared" si="12"/>
        <v>750</v>
      </c>
      <c r="P17" s="45" t="str">
        <f t="shared" si="6"/>
        <v>on</v>
      </c>
      <c r="S17" s="22"/>
    </row>
    <row r="18" spans="1:19" hidden="1" x14ac:dyDescent="0.25">
      <c r="A18" s="41">
        <f t="shared" ref="A18:B18" si="13">A17+1</f>
        <v>4401</v>
      </c>
      <c r="B18" s="42">
        <f t="shared" si="13"/>
        <v>8</v>
      </c>
      <c r="C18" s="41" t="s">
        <v>449</v>
      </c>
      <c r="D18" s="43">
        <f t="shared" ref="D18:F18" si="14">D17</f>
        <v>13</v>
      </c>
      <c r="E18" s="61">
        <f t="shared" si="14"/>
        <v>2.149</v>
      </c>
      <c r="F18" s="44">
        <f t="shared" si="14"/>
        <v>16.530769230769231</v>
      </c>
      <c r="G18" s="44">
        <f t="shared" si="10"/>
        <v>13.224615384615385</v>
      </c>
      <c r="H18" s="44">
        <f t="shared" si="11"/>
        <v>8.2653846153846153</v>
      </c>
      <c r="I18" s="44">
        <f t="shared" si="2"/>
        <v>8</v>
      </c>
      <c r="J18" s="45">
        <f>yaw_min</f>
        <v>-8</v>
      </c>
      <c r="K18" s="37" t="str">
        <f>D18&amp;-2</f>
        <v>13-2</v>
      </c>
      <c r="L18" s="45">
        <f t="shared" ref="L18:O18" si="15">L17</f>
        <v>0.2</v>
      </c>
      <c r="M18" s="49">
        <f>M17</f>
        <v>30</v>
      </c>
      <c r="N18" s="53">
        <f t="shared" si="15"/>
        <v>150</v>
      </c>
      <c r="O18" s="44">
        <f t="shared" si="15"/>
        <v>750</v>
      </c>
      <c r="P18" s="45" t="str">
        <f t="shared" si="6"/>
        <v>on</v>
      </c>
      <c r="S18" s="22"/>
    </row>
    <row r="19" spans="1:19" hidden="1" x14ac:dyDescent="0.25">
      <c r="A19" s="41">
        <f t="shared" ref="A19:B19" si="16">A18+1</f>
        <v>4402</v>
      </c>
      <c r="B19" s="42">
        <f t="shared" si="16"/>
        <v>9</v>
      </c>
      <c r="C19" s="41" t="s">
        <v>450</v>
      </c>
      <c r="D19" s="43">
        <f t="shared" ref="D19:F19" si="17">D18</f>
        <v>13</v>
      </c>
      <c r="E19" s="61">
        <f t="shared" si="17"/>
        <v>2.149</v>
      </c>
      <c r="F19" s="44">
        <f t="shared" si="17"/>
        <v>16.530769230769231</v>
      </c>
      <c r="G19" s="44">
        <f t="shared" si="10"/>
        <v>13.224615384615385</v>
      </c>
      <c r="H19" s="44">
        <f t="shared" si="11"/>
        <v>8.2653846153846153</v>
      </c>
      <c r="I19" s="44">
        <f t="shared" si="2"/>
        <v>8</v>
      </c>
      <c r="J19" s="45">
        <f>yaw_null</f>
        <v>0</v>
      </c>
      <c r="K19" s="37" t="str">
        <f>D19&amp;-3</f>
        <v>13-3</v>
      </c>
      <c r="L19" s="45">
        <f t="shared" ref="L19:O19" si="18">L18</f>
        <v>0.2</v>
      </c>
      <c r="M19" s="49">
        <f t="shared" si="18"/>
        <v>30</v>
      </c>
      <c r="N19" s="53">
        <f t="shared" si="18"/>
        <v>150</v>
      </c>
      <c r="O19" s="44">
        <f t="shared" si="18"/>
        <v>750</v>
      </c>
      <c r="P19" s="45" t="str">
        <f t="shared" si="6"/>
        <v>on</v>
      </c>
      <c r="S19" s="22"/>
    </row>
    <row r="20" spans="1:19" hidden="1" x14ac:dyDescent="0.25">
      <c r="A20" s="41">
        <f t="shared" ref="A20:B20" si="19">A19+1</f>
        <v>4403</v>
      </c>
      <c r="B20" s="42">
        <f t="shared" si="19"/>
        <v>10</v>
      </c>
      <c r="C20" s="41" t="s">
        <v>451</v>
      </c>
      <c r="D20" s="43">
        <f t="shared" ref="D20:F20" si="20">D19</f>
        <v>13</v>
      </c>
      <c r="E20" s="61">
        <f t="shared" si="20"/>
        <v>2.149</v>
      </c>
      <c r="F20" s="44">
        <f t="shared" si="20"/>
        <v>16.530769230769231</v>
      </c>
      <c r="G20" s="44">
        <f t="shared" si="10"/>
        <v>13.224615384615385</v>
      </c>
      <c r="H20" s="44">
        <f t="shared" si="11"/>
        <v>8.2653846153846153</v>
      </c>
      <c r="I20" s="44">
        <f t="shared" si="2"/>
        <v>8</v>
      </c>
      <c r="J20" s="45">
        <f>yaw_null</f>
        <v>0</v>
      </c>
      <c r="K20" s="37" t="str">
        <f>D20&amp;-4</f>
        <v>13-4</v>
      </c>
      <c r="L20" s="45">
        <f t="shared" ref="L20:O20" si="21">L19</f>
        <v>0.2</v>
      </c>
      <c r="M20" s="49">
        <f t="shared" si="21"/>
        <v>30</v>
      </c>
      <c r="N20" s="53">
        <f t="shared" si="21"/>
        <v>150</v>
      </c>
      <c r="O20" s="44">
        <f t="shared" si="21"/>
        <v>750</v>
      </c>
      <c r="P20" s="45" t="str">
        <f t="shared" si="6"/>
        <v>on</v>
      </c>
      <c r="S20" s="22"/>
    </row>
    <row r="21" spans="1:19" hidden="1" x14ac:dyDescent="0.25">
      <c r="A21" s="41">
        <f t="shared" ref="A21:B21" si="22">A20+1</f>
        <v>4404</v>
      </c>
      <c r="B21" s="42">
        <f t="shared" si="22"/>
        <v>11</v>
      </c>
      <c r="C21" s="41" t="s">
        <v>452</v>
      </c>
      <c r="D21" s="43">
        <f t="shared" ref="D21:F21" si="23">D20</f>
        <v>13</v>
      </c>
      <c r="E21" s="61">
        <f t="shared" si="23"/>
        <v>2.149</v>
      </c>
      <c r="F21" s="44">
        <f t="shared" si="23"/>
        <v>16.530769230769231</v>
      </c>
      <c r="G21" s="44">
        <f t="shared" si="10"/>
        <v>13.224615384615385</v>
      </c>
      <c r="H21" s="44">
        <f t="shared" si="11"/>
        <v>8.2653846153846153</v>
      </c>
      <c r="I21" s="44">
        <f t="shared" si="2"/>
        <v>8</v>
      </c>
      <c r="J21" s="45">
        <f>yaw_max</f>
        <v>8</v>
      </c>
      <c r="K21" s="37" t="str">
        <f>D21&amp;-5</f>
        <v>13-5</v>
      </c>
      <c r="L21" s="45">
        <f t="shared" ref="L21:O21" si="24">L20</f>
        <v>0.2</v>
      </c>
      <c r="M21" s="49">
        <f t="shared" si="24"/>
        <v>30</v>
      </c>
      <c r="N21" s="53">
        <f t="shared" si="24"/>
        <v>150</v>
      </c>
      <c r="O21" s="44">
        <f t="shared" si="24"/>
        <v>750</v>
      </c>
      <c r="P21" s="45" t="str">
        <f t="shared" si="6"/>
        <v>on</v>
      </c>
      <c r="R21" s="22"/>
      <c r="S21" s="22"/>
    </row>
    <row r="22" spans="1:19" hidden="1" x14ac:dyDescent="0.25">
      <c r="A22" s="41">
        <f t="shared" ref="A22:B22" si="25">A21+1</f>
        <v>4405</v>
      </c>
      <c r="B22" s="42">
        <f t="shared" si="25"/>
        <v>12</v>
      </c>
      <c r="C22" s="41" t="s">
        <v>453</v>
      </c>
      <c r="D22" s="43">
        <f t="shared" ref="D22:F22" si="26">D21</f>
        <v>13</v>
      </c>
      <c r="E22" s="61">
        <f t="shared" si="26"/>
        <v>2.149</v>
      </c>
      <c r="F22" s="44">
        <f t="shared" si="26"/>
        <v>16.530769230769231</v>
      </c>
      <c r="G22" s="44">
        <f t="shared" si="10"/>
        <v>13.224615384615385</v>
      </c>
      <c r="H22" s="44">
        <f t="shared" si="11"/>
        <v>8.2653846153846153</v>
      </c>
      <c r="I22" s="44">
        <f t="shared" si="2"/>
        <v>8</v>
      </c>
      <c r="J22" s="45">
        <f>yaw_max</f>
        <v>8</v>
      </c>
      <c r="K22" s="37" t="str">
        <f>D22&amp;-6</f>
        <v>13-6</v>
      </c>
      <c r="L22" s="45">
        <f t="shared" ref="L22:O22" si="27">L21</f>
        <v>0.2</v>
      </c>
      <c r="M22" s="49">
        <f t="shared" si="27"/>
        <v>30</v>
      </c>
      <c r="N22" s="53">
        <f t="shared" si="27"/>
        <v>150</v>
      </c>
      <c r="O22" s="44">
        <f t="shared" si="27"/>
        <v>750</v>
      </c>
      <c r="P22" s="45" t="str">
        <f t="shared" si="6"/>
        <v>on</v>
      </c>
      <c r="R22" s="22"/>
      <c r="S22" s="22"/>
    </row>
    <row r="23" spans="1:19" hidden="1" x14ac:dyDescent="0.25">
      <c r="A23" s="41">
        <f t="shared" ref="A23:B23" si="28">A22+1</f>
        <v>4406</v>
      </c>
      <c r="B23" s="42">
        <f t="shared" si="28"/>
        <v>13</v>
      </c>
      <c r="C23" s="41" t="s">
        <v>454</v>
      </c>
      <c r="D23" s="43">
        <f t="shared" ref="D23:F23" si="29">D22</f>
        <v>13</v>
      </c>
      <c r="E23" s="61">
        <f t="shared" si="29"/>
        <v>2.149</v>
      </c>
      <c r="F23" s="44">
        <f t="shared" si="29"/>
        <v>16.530769230769231</v>
      </c>
      <c r="G23" s="44">
        <f t="shared" si="10"/>
        <v>13.224615384615385</v>
      </c>
      <c r="H23" s="44">
        <f t="shared" si="11"/>
        <v>8.2653846153846153</v>
      </c>
      <c r="I23" s="44">
        <f t="shared" si="2"/>
        <v>8</v>
      </c>
      <c r="J23" s="45">
        <f>yaw_min</f>
        <v>-8</v>
      </c>
      <c r="K23" s="37" t="str">
        <f>D23&amp;-1</f>
        <v>13-1</v>
      </c>
      <c r="L23" s="45">
        <f t="shared" ref="L23:O23" si="30">L22</f>
        <v>0.2</v>
      </c>
      <c r="M23" s="49">
        <v>60</v>
      </c>
      <c r="N23" s="53">
        <f t="shared" si="30"/>
        <v>150</v>
      </c>
      <c r="O23" s="44">
        <f t="shared" si="30"/>
        <v>750</v>
      </c>
      <c r="P23" s="45" t="str">
        <f t="shared" si="6"/>
        <v>on</v>
      </c>
    </row>
    <row r="24" spans="1:19" hidden="1" x14ac:dyDescent="0.25">
      <c r="A24" s="41">
        <f t="shared" ref="A24:B24" si="31">A23+1</f>
        <v>4407</v>
      </c>
      <c r="B24" s="42">
        <f t="shared" si="31"/>
        <v>14</v>
      </c>
      <c r="C24" s="41" t="s">
        <v>455</v>
      </c>
      <c r="D24" s="43">
        <f t="shared" ref="D24:F24" si="32">D23</f>
        <v>13</v>
      </c>
      <c r="E24" s="61">
        <f t="shared" si="32"/>
        <v>2.149</v>
      </c>
      <c r="F24" s="44">
        <f t="shared" si="32"/>
        <v>16.530769230769231</v>
      </c>
      <c r="G24" s="44">
        <f t="shared" si="10"/>
        <v>13.224615384615385</v>
      </c>
      <c r="H24" s="44">
        <f t="shared" si="11"/>
        <v>8.2653846153846153</v>
      </c>
      <c r="I24" s="44">
        <f t="shared" si="2"/>
        <v>8</v>
      </c>
      <c r="J24" s="45">
        <f>yaw_min</f>
        <v>-8</v>
      </c>
      <c r="K24" s="37" t="str">
        <f>D24&amp;-2</f>
        <v>13-2</v>
      </c>
      <c r="L24" s="45">
        <f t="shared" ref="L24:O24" si="33">L23</f>
        <v>0.2</v>
      </c>
      <c r="M24" s="49">
        <f>M23</f>
        <v>60</v>
      </c>
      <c r="N24" s="53">
        <f t="shared" si="33"/>
        <v>150</v>
      </c>
      <c r="O24" s="44">
        <f t="shared" si="33"/>
        <v>750</v>
      </c>
      <c r="P24" s="45" t="str">
        <f t="shared" si="6"/>
        <v>on</v>
      </c>
    </row>
    <row r="25" spans="1:19" hidden="1" x14ac:dyDescent="0.25">
      <c r="A25" s="41">
        <f t="shared" ref="A25:B25" si="34">A24+1</f>
        <v>4408</v>
      </c>
      <c r="B25" s="42">
        <f t="shared" si="34"/>
        <v>15</v>
      </c>
      <c r="C25" s="41" t="s">
        <v>456</v>
      </c>
      <c r="D25" s="43">
        <f t="shared" ref="D25:F25" si="35">D24</f>
        <v>13</v>
      </c>
      <c r="E25" s="61">
        <f t="shared" si="35"/>
        <v>2.149</v>
      </c>
      <c r="F25" s="44">
        <f t="shared" si="35"/>
        <v>16.530769230769231</v>
      </c>
      <c r="G25" s="44">
        <f t="shared" si="10"/>
        <v>13.224615384615385</v>
      </c>
      <c r="H25" s="44">
        <f t="shared" si="11"/>
        <v>8.2653846153846153</v>
      </c>
      <c r="I25" s="44">
        <f t="shared" si="2"/>
        <v>8</v>
      </c>
      <c r="J25" s="45">
        <f>yaw_null</f>
        <v>0</v>
      </c>
      <c r="K25" s="37" t="str">
        <f>D25&amp;-3</f>
        <v>13-3</v>
      </c>
      <c r="L25" s="45">
        <f t="shared" ref="L25:O25" si="36">L24</f>
        <v>0.2</v>
      </c>
      <c r="M25" s="49">
        <f t="shared" si="36"/>
        <v>60</v>
      </c>
      <c r="N25" s="53">
        <f t="shared" si="36"/>
        <v>150</v>
      </c>
      <c r="O25" s="44">
        <f t="shared" si="36"/>
        <v>750</v>
      </c>
      <c r="P25" s="45" t="str">
        <f t="shared" si="6"/>
        <v>on</v>
      </c>
    </row>
    <row r="26" spans="1:19" hidden="1" x14ac:dyDescent="0.25">
      <c r="A26" s="41">
        <f t="shared" ref="A26:B26" si="37">A25+1</f>
        <v>4409</v>
      </c>
      <c r="B26" s="42">
        <f t="shared" si="37"/>
        <v>16</v>
      </c>
      <c r="C26" s="41" t="s">
        <v>457</v>
      </c>
      <c r="D26" s="43">
        <f t="shared" ref="D26:F26" si="38">D25</f>
        <v>13</v>
      </c>
      <c r="E26" s="61">
        <f t="shared" si="38"/>
        <v>2.149</v>
      </c>
      <c r="F26" s="44">
        <f t="shared" si="38"/>
        <v>16.530769230769231</v>
      </c>
      <c r="G26" s="44">
        <f t="shared" si="10"/>
        <v>13.224615384615385</v>
      </c>
      <c r="H26" s="44">
        <f t="shared" si="11"/>
        <v>8.2653846153846153</v>
      </c>
      <c r="I26" s="44">
        <f t="shared" si="2"/>
        <v>8</v>
      </c>
      <c r="J26" s="45">
        <f>yaw_null</f>
        <v>0</v>
      </c>
      <c r="K26" s="37" t="str">
        <f>D26&amp;-4</f>
        <v>13-4</v>
      </c>
      <c r="L26" s="45">
        <f t="shared" ref="L26:O26" si="39">L25</f>
        <v>0.2</v>
      </c>
      <c r="M26" s="49">
        <f t="shared" si="39"/>
        <v>60</v>
      </c>
      <c r="N26" s="53">
        <f t="shared" si="39"/>
        <v>150</v>
      </c>
      <c r="O26" s="44">
        <f t="shared" si="39"/>
        <v>750</v>
      </c>
      <c r="P26" s="45" t="str">
        <f t="shared" si="6"/>
        <v>on</v>
      </c>
    </row>
    <row r="27" spans="1:19" hidden="1" x14ac:dyDescent="0.25">
      <c r="A27" s="41">
        <f t="shared" ref="A27:B27" si="40">A26+1</f>
        <v>4410</v>
      </c>
      <c r="B27" s="42">
        <f t="shared" si="40"/>
        <v>17</v>
      </c>
      <c r="C27" s="41" t="s">
        <v>458</v>
      </c>
      <c r="D27" s="43">
        <f t="shared" ref="D27:F27" si="41">D26</f>
        <v>13</v>
      </c>
      <c r="E27" s="61">
        <f t="shared" si="41"/>
        <v>2.149</v>
      </c>
      <c r="F27" s="44">
        <f t="shared" si="41"/>
        <v>16.530769230769231</v>
      </c>
      <c r="G27" s="44">
        <f t="shared" si="10"/>
        <v>13.224615384615385</v>
      </c>
      <c r="H27" s="44">
        <f t="shared" si="11"/>
        <v>8.2653846153846153</v>
      </c>
      <c r="I27" s="44">
        <f t="shared" si="2"/>
        <v>8</v>
      </c>
      <c r="J27" s="45">
        <f>yaw_max</f>
        <v>8</v>
      </c>
      <c r="K27" s="37" t="str">
        <f>D27&amp;-5</f>
        <v>13-5</v>
      </c>
      <c r="L27" s="45">
        <f t="shared" ref="L27:O27" si="42">L26</f>
        <v>0.2</v>
      </c>
      <c r="M27" s="49">
        <f t="shared" si="42"/>
        <v>60</v>
      </c>
      <c r="N27" s="53">
        <f t="shared" si="42"/>
        <v>150</v>
      </c>
      <c r="O27" s="44">
        <f t="shared" si="42"/>
        <v>750</v>
      </c>
      <c r="P27" s="45" t="str">
        <f t="shared" si="6"/>
        <v>on</v>
      </c>
    </row>
    <row r="28" spans="1:19" hidden="1" x14ac:dyDescent="0.25">
      <c r="A28" s="41">
        <f t="shared" ref="A28:B28" si="43">A27+1</f>
        <v>4411</v>
      </c>
      <c r="B28" s="42">
        <f t="shared" si="43"/>
        <v>18</v>
      </c>
      <c r="C28" s="41" t="s">
        <v>459</v>
      </c>
      <c r="D28" s="43">
        <f t="shared" ref="D28:F28" si="44">D27</f>
        <v>13</v>
      </c>
      <c r="E28" s="61">
        <f t="shared" si="44"/>
        <v>2.149</v>
      </c>
      <c r="F28" s="44">
        <f t="shared" si="44"/>
        <v>16.530769230769231</v>
      </c>
      <c r="G28" s="44">
        <f t="shared" si="10"/>
        <v>13.224615384615385</v>
      </c>
      <c r="H28" s="44">
        <f t="shared" si="11"/>
        <v>8.2653846153846153</v>
      </c>
      <c r="I28" s="44">
        <f t="shared" si="2"/>
        <v>8</v>
      </c>
      <c r="J28" s="45">
        <f>yaw_max</f>
        <v>8</v>
      </c>
      <c r="K28" s="37" t="str">
        <f>D28&amp;-6</f>
        <v>13-6</v>
      </c>
      <c r="L28" s="45">
        <f t="shared" ref="L28:O28" si="45">L27</f>
        <v>0.2</v>
      </c>
      <c r="M28" s="49">
        <f t="shared" si="45"/>
        <v>60</v>
      </c>
      <c r="N28" s="53">
        <f t="shared" si="45"/>
        <v>150</v>
      </c>
      <c r="O28" s="44">
        <f t="shared" si="45"/>
        <v>750</v>
      </c>
      <c r="P28" s="45" t="str">
        <f t="shared" si="6"/>
        <v>on</v>
      </c>
    </row>
    <row r="29" spans="1:19" hidden="1" x14ac:dyDescent="0.25">
      <c r="A29" s="41">
        <f t="shared" ref="A29:B29" si="46">A28+1</f>
        <v>4412</v>
      </c>
      <c r="B29" s="42">
        <f t="shared" si="46"/>
        <v>19</v>
      </c>
      <c r="C29" s="41" t="s">
        <v>460</v>
      </c>
      <c r="D29" s="43">
        <f t="shared" ref="D29:F29" si="47">D28</f>
        <v>13</v>
      </c>
      <c r="E29" s="61">
        <f t="shared" si="47"/>
        <v>2.149</v>
      </c>
      <c r="F29" s="44">
        <f t="shared" si="47"/>
        <v>16.530769230769231</v>
      </c>
      <c r="G29" s="44">
        <f t="shared" si="10"/>
        <v>13.224615384615385</v>
      </c>
      <c r="H29" s="44">
        <f t="shared" si="11"/>
        <v>8.2653846153846153</v>
      </c>
      <c r="I29" s="44">
        <f t="shared" si="2"/>
        <v>8</v>
      </c>
      <c r="J29" s="45">
        <f>yaw_min</f>
        <v>-8</v>
      </c>
      <c r="K29" s="37" t="str">
        <f>D29&amp;-1</f>
        <v>13-1</v>
      </c>
      <c r="L29" s="45">
        <f t="shared" ref="L29:O29" si="48">L28</f>
        <v>0.2</v>
      </c>
      <c r="M29" s="49">
        <v>90</v>
      </c>
      <c r="N29" s="53">
        <f t="shared" si="48"/>
        <v>150</v>
      </c>
      <c r="O29" s="44">
        <f t="shared" si="48"/>
        <v>750</v>
      </c>
      <c r="P29" s="45" t="str">
        <f t="shared" si="6"/>
        <v>on</v>
      </c>
    </row>
    <row r="30" spans="1:19" hidden="1" x14ac:dyDescent="0.25">
      <c r="A30" s="41">
        <f t="shared" ref="A30:B30" si="49">A29+1</f>
        <v>4413</v>
      </c>
      <c r="B30" s="42">
        <f t="shared" si="49"/>
        <v>20</v>
      </c>
      <c r="C30" s="41" t="s">
        <v>461</v>
      </c>
      <c r="D30" s="43">
        <f t="shared" ref="D30:F30" si="50">D29</f>
        <v>13</v>
      </c>
      <c r="E30" s="61">
        <f t="shared" si="50"/>
        <v>2.149</v>
      </c>
      <c r="F30" s="44">
        <f t="shared" si="50"/>
        <v>16.530769230769231</v>
      </c>
      <c r="G30" s="44">
        <f t="shared" si="10"/>
        <v>13.224615384615385</v>
      </c>
      <c r="H30" s="44">
        <f t="shared" si="11"/>
        <v>8.2653846153846153</v>
      </c>
      <c r="I30" s="44">
        <f t="shared" si="2"/>
        <v>8</v>
      </c>
      <c r="J30" s="45">
        <f>yaw_min</f>
        <v>-8</v>
      </c>
      <c r="K30" s="37" t="str">
        <f>D30&amp;-2</f>
        <v>13-2</v>
      </c>
      <c r="L30" s="45">
        <f t="shared" ref="L30:O30" si="51">L29</f>
        <v>0.2</v>
      </c>
      <c r="M30" s="49">
        <f>M29</f>
        <v>90</v>
      </c>
      <c r="N30" s="53">
        <f t="shared" si="51"/>
        <v>150</v>
      </c>
      <c r="O30" s="44">
        <f t="shared" si="51"/>
        <v>750</v>
      </c>
      <c r="P30" s="45" t="str">
        <f t="shared" si="6"/>
        <v>on</v>
      </c>
    </row>
    <row r="31" spans="1:19" hidden="1" x14ac:dyDescent="0.25">
      <c r="A31" s="41">
        <f t="shared" ref="A31:B31" si="52">A30+1</f>
        <v>4414</v>
      </c>
      <c r="B31" s="42">
        <f t="shared" si="52"/>
        <v>21</v>
      </c>
      <c r="C31" s="41" t="s">
        <v>462</v>
      </c>
      <c r="D31" s="43">
        <f t="shared" ref="D31:F31" si="53">D30</f>
        <v>13</v>
      </c>
      <c r="E31" s="61">
        <f t="shared" si="53"/>
        <v>2.149</v>
      </c>
      <c r="F31" s="44">
        <f t="shared" si="53"/>
        <v>16.530769230769231</v>
      </c>
      <c r="G31" s="44">
        <f t="shared" si="10"/>
        <v>13.224615384615385</v>
      </c>
      <c r="H31" s="44">
        <f t="shared" si="11"/>
        <v>8.2653846153846153</v>
      </c>
      <c r="I31" s="44">
        <f t="shared" si="2"/>
        <v>8</v>
      </c>
      <c r="J31" s="45">
        <f>yaw_null</f>
        <v>0</v>
      </c>
      <c r="K31" s="37" t="str">
        <f>D31&amp;-3</f>
        <v>13-3</v>
      </c>
      <c r="L31" s="45">
        <f t="shared" ref="L31:O31" si="54">L30</f>
        <v>0.2</v>
      </c>
      <c r="M31" s="49">
        <f t="shared" si="54"/>
        <v>90</v>
      </c>
      <c r="N31" s="53">
        <f t="shared" si="54"/>
        <v>150</v>
      </c>
      <c r="O31" s="44">
        <f t="shared" si="54"/>
        <v>750</v>
      </c>
      <c r="P31" s="45" t="str">
        <f t="shared" si="6"/>
        <v>on</v>
      </c>
    </row>
    <row r="32" spans="1:19" hidden="1" x14ac:dyDescent="0.25">
      <c r="A32" s="41">
        <f t="shared" ref="A32:B32" si="55">A31+1</f>
        <v>4415</v>
      </c>
      <c r="B32" s="42">
        <f t="shared" si="55"/>
        <v>22</v>
      </c>
      <c r="C32" s="41" t="s">
        <v>463</v>
      </c>
      <c r="D32" s="43">
        <f t="shared" ref="D32:F32" si="56">D31</f>
        <v>13</v>
      </c>
      <c r="E32" s="61">
        <f t="shared" si="56"/>
        <v>2.149</v>
      </c>
      <c r="F32" s="44">
        <f t="shared" si="56"/>
        <v>16.530769230769231</v>
      </c>
      <c r="G32" s="44">
        <f t="shared" si="10"/>
        <v>13.224615384615385</v>
      </c>
      <c r="H32" s="44">
        <f t="shared" si="11"/>
        <v>8.2653846153846153</v>
      </c>
      <c r="I32" s="44">
        <f t="shared" si="2"/>
        <v>8</v>
      </c>
      <c r="J32" s="45">
        <f>yaw_null</f>
        <v>0</v>
      </c>
      <c r="K32" s="37" t="str">
        <f>D32&amp;-4</f>
        <v>13-4</v>
      </c>
      <c r="L32" s="45">
        <f t="shared" ref="L32:O32" si="57">L31</f>
        <v>0.2</v>
      </c>
      <c r="M32" s="49">
        <f t="shared" si="57"/>
        <v>90</v>
      </c>
      <c r="N32" s="53">
        <f t="shared" si="57"/>
        <v>150</v>
      </c>
      <c r="O32" s="44">
        <f t="shared" si="57"/>
        <v>750</v>
      </c>
      <c r="P32" s="45" t="str">
        <f t="shared" si="6"/>
        <v>on</v>
      </c>
    </row>
    <row r="33" spans="1:16" hidden="1" x14ac:dyDescent="0.25">
      <c r="A33" s="41">
        <f t="shared" ref="A33:B33" si="58">A32+1</f>
        <v>4416</v>
      </c>
      <c r="B33" s="42">
        <f t="shared" si="58"/>
        <v>23</v>
      </c>
      <c r="C33" s="41" t="s">
        <v>464</v>
      </c>
      <c r="D33" s="43">
        <f t="shared" ref="D33:F33" si="59">D32</f>
        <v>13</v>
      </c>
      <c r="E33" s="61">
        <f t="shared" si="59"/>
        <v>2.149</v>
      </c>
      <c r="F33" s="44">
        <f t="shared" si="59"/>
        <v>16.530769230769231</v>
      </c>
      <c r="G33" s="44">
        <f t="shared" si="10"/>
        <v>13.224615384615385</v>
      </c>
      <c r="H33" s="44">
        <f t="shared" si="11"/>
        <v>8.2653846153846153</v>
      </c>
      <c r="I33" s="44">
        <f t="shared" si="2"/>
        <v>8</v>
      </c>
      <c r="J33" s="45">
        <f>yaw_max</f>
        <v>8</v>
      </c>
      <c r="K33" s="37" t="str">
        <f>D33&amp;-5</f>
        <v>13-5</v>
      </c>
      <c r="L33" s="45">
        <f t="shared" ref="L33:O33" si="60">L32</f>
        <v>0.2</v>
      </c>
      <c r="M33" s="49">
        <f t="shared" si="60"/>
        <v>90</v>
      </c>
      <c r="N33" s="53">
        <f t="shared" si="60"/>
        <v>150</v>
      </c>
      <c r="O33" s="44">
        <f t="shared" si="60"/>
        <v>750</v>
      </c>
      <c r="P33" s="45" t="str">
        <f t="shared" si="6"/>
        <v>on</v>
      </c>
    </row>
    <row r="34" spans="1:16" hidden="1" x14ac:dyDescent="0.25">
      <c r="A34" s="41">
        <f t="shared" ref="A34:B34" si="61">A33+1</f>
        <v>4417</v>
      </c>
      <c r="B34" s="42">
        <f t="shared" si="61"/>
        <v>24</v>
      </c>
      <c r="C34" s="41" t="s">
        <v>465</v>
      </c>
      <c r="D34" s="43">
        <f t="shared" ref="D34:F34" si="62">D33</f>
        <v>13</v>
      </c>
      <c r="E34" s="61">
        <f t="shared" si="62"/>
        <v>2.149</v>
      </c>
      <c r="F34" s="44">
        <f t="shared" si="62"/>
        <v>16.530769230769231</v>
      </c>
      <c r="G34" s="44">
        <f t="shared" si="10"/>
        <v>13.224615384615385</v>
      </c>
      <c r="H34" s="44">
        <f t="shared" si="11"/>
        <v>8.2653846153846153</v>
      </c>
      <c r="I34" s="44">
        <f t="shared" si="2"/>
        <v>8</v>
      </c>
      <c r="J34" s="45">
        <f>yaw_max</f>
        <v>8</v>
      </c>
      <c r="K34" s="37" t="str">
        <f>D34&amp;-6</f>
        <v>13-6</v>
      </c>
      <c r="L34" s="45">
        <f t="shared" ref="L34:O34" si="63">L33</f>
        <v>0.2</v>
      </c>
      <c r="M34" s="49">
        <f t="shared" si="63"/>
        <v>90</v>
      </c>
      <c r="N34" s="53">
        <f t="shared" si="63"/>
        <v>150</v>
      </c>
      <c r="O34" s="44">
        <f t="shared" si="63"/>
        <v>750</v>
      </c>
      <c r="P34" s="45" t="str">
        <f t="shared" si="6"/>
        <v>on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X334"/>
  <sheetViews>
    <sheetView topLeftCell="B1" zoomScaleNormal="100" workbookViewId="0">
      <selection activeCell="I1" sqref="I1:I7"/>
    </sheetView>
  </sheetViews>
  <sheetFormatPr defaultColWidth="9" defaultRowHeight="15" x14ac:dyDescent="0.15"/>
  <cols>
    <col min="1" max="1" width="7.25" style="23" customWidth="1"/>
    <col min="2" max="2" width="8" style="23" customWidth="1"/>
    <col min="3" max="3" width="18.625" style="23" customWidth="1"/>
    <col min="4" max="4" width="7.625" style="23" customWidth="1"/>
    <col min="5" max="5" width="7.25" style="23" customWidth="1"/>
    <col min="6" max="7" width="6.75" style="23" customWidth="1"/>
    <col min="8" max="8" width="7.375" style="23" customWidth="1"/>
    <col min="9" max="9" width="7.125" style="23" customWidth="1"/>
    <col min="10" max="10" width="7.375" style="23" customWidth="1"/>
    <col min="11" max="11" width="9" style="23" customWidth="1"/>
    <col min="12" max="12" width="6.75" style="23" customWidth="1"/>
    <col min="13" max="13" width="8.25" style="23" customWidth="1"/>
    <col min="14" max="14" width="8.75" style="23" customWidth="1"/>
    <col min="15" max="16" width="8.25" style="23" customWidth="1"/>
    <col min="17" max="18" width="9" style="23"/>
    <col min="19" max="20" width="9" style="23" customWidth="1"/>
    <col min="21" max="16384" width="9" style="23"/>
  </cols>
  <sheetData>
    <row r="1" spans="1:24" x14ac:dyDescent="0.15">
      <c r="H1" s="22" t="s">
        <v>135</v>
      </c>
      <c r="I1" s="216" t="s">
        <v>3979</v>
      </c>
    </row>
    <row r="2" spans="1:24" x14ac:dyDescent="0.15">
      <c r="B2" s="22" t="s">
        <v>466</v>
      </c>
      <c r="C2" s="22"/>
      <c r="D2" s="22"/>
      <c r="E2" s="22"/>
      <c r="H2" s="22"/>
      <c r="I2" s="216" t="s">
        <v>3980</v>
      </c>
    </row>
    <row r="3" spans="1:24" x14ac:dyDescent="0.15">
      <c r="B3" s="22" t="s">
        <v>88</v>
      </c>
      <c r="C3" s="22"/>
      <c r="D3" s="22"/>
      <c r="E3" s="93" t="s">
        <v>906</v>
      </c>
      <c r="H3" s="22"/>
      <c r="I3" s="240" t="s">
        <v>3939</v>
      </c>
    </row>
    <row r="4" spans="1:24" x14ac:dyDescent="0.15">
      <c r="B4" s="22" t="s">
        <v>89</v>
      </c>
      <c r="C4" s="22"/>
      <c r="D4" s="22"/>
      <c r="E4" s="93" t="s">
        <v>907</v>
      </c>
      <c r="H4" s="22"/>
      <c r="I4" s="216" t="s">
        <v>3938</v>
      </c>
    </row>
    <row r="5" spans="1:24" x14ac:dyDescent="0.15">
      <c r="B5" s="22" t="s">
        <v>91</v>
      </c>
      <c r="C5" s="22"/>
      <c r="D5" s="22"/>
      <c r="E5" s="22" t="s">
        <v>99</v>
      </c>
      <c r="I5" s="240" t="s">
        <v>3940</v>
      </c>
    </row>
    <row r="6" spans="1:24" x14ac:dyDescent="0.15">
      <c r="B6" s="22" t="s">
        <v>93</v>
      </c>
      <c r="C6" s="22"/>
      <c r="D6" s="22"/>
      <c r="E6" s="22" t="s">
        <v>100</v>
      </c>
      <c r="I6" s="216" t="s">
        <v>3932</v>
      </c>
      <c r="T6" s="23" t="str">
        <f>IF(N11=0,"A",IF(N11=15,"B",IF(N11=30,"C",IF(N11=45,"D",IF(N11=60,"E","F")))))</f>
        <v>A</v>
      </c>
    </row>
    <row r="7" spans="1:24" x14ac:dyDescent="0.15">
      <c r="I7" s="216" t="s">
        <v>3930</v>
      </c>
      <c r="N7" s="46"/>
    </row>
    <row r="8" spans="1:24" ht="15.75" thickBot="1" x14ac:dyDescent="0.2">
      <c r="N8" s="46"/>
    </row>
    <row r="9" spans="1:24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2</v>
      </c>
      <c r="K9" s="26" t="s">
        <v>3</v>
      </c>
      <c r="L9" s="25" t="s">
        <v>141</v>
      </c>
      <c r="M9" s="25" t="s">
        <v>13</v>
      </c>
      <c r="N9" s="47" t="s">
        <v>22</v>
      </c>
      <c r="O9" s="27" t="s">
        <v>138</v>
      </c>
      <c r="P9" s="27" t="s">
        <v>139</v>
      </c>
      <c r="Q9" s="104" t="s">
        <v>930</v>
      </c>
      <c r="S9" s="22"/>
    </row>
    <row r="10" spans="1:24" ht="15.75" thickBot="1" x14ac:dyDescent="0.3">
      <c r="A10" s="29" t="s">
        <v>76</v>
      </c>
      <c r="B10" s="30" t="str">
        <f>B2</f>
        <v>DLC81c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32"/>
      <c r="N10" s="48"/>
      <c r="O10" s="32" t="s">
        <v>7</v>
      </c>
      <c r="P10" s="32" t="s">
        <v>7</v>
      </c>
      <c r="Q10" s="5"/>
      <c r="S10" s="22"/>
    </row>
    <row r="11" spans="1:24" ht="15.75" thickBot="1" x14ac:dyDescent="0.3">
      <c r="A11" s="24">
        <f>DLC81a!A298+1</f>
        <v>4394</v>
      </c>
      <c r="B11" s="27">
        <v>1</v>
      </c>
      <c r="C11" s="24" t="str">
        <f>TEXT(RIGHT($B$2,LEN($B$2)-3),"000")&amp;IF(N11=0,"A",IF(N11=15,"B",IF(N11=30,"C",IF(N11=45,"D",IF(N11=60,"E","F")))))&amp;TEXT(D11,"00")&amp;"_"&amp;IF(J11&lt;0,TEXT(360+J11,"000"),TEXT(J11,"000"))&amp;"_"&amp;TEXT(M11,"000")&amp;"#"&amp;TEXT(RIGHT(K11,LEN(K11)-FIND("-",K11)),"00")</f>
        <v>81cA13_330_090#01</v>
      </c>
      <c r="D11" s="34">
        <f>v_m+5</f>
        <v>13</v>
      </c>
      <c r="E11" s="60">
        <f>I_ref*(0.75*D11+5.6)</f>
        <v>2.149</v>
      </c>
      <c r="F11" s="35">
        <f>E11/D11*100</f>
        <v>16.530769230769231</v>
      </c>
      <c r="G11" s="35">
        <f t="shared" ref="G11:G46" si="0">m_ty*F11</f>
        <v>13.224615384615385</v>
      </c>
      <c r="H11" s="35">
        <f t="shared" ref="H11:H46" si="1">m_tz*F11</f>
        <v>8.2653846153846153</v>
      </c>
      <c r="I11" s="35">
        <f t="shared" ref="I11:I42" si="2">inflow</f>
        <v>8</v>
      </c>
      <c r="J11" s="36">
        <f t="shared" ref="J11:J42" si="3">dlc81c_y1</f>
        <v>-30</v>
      </c>
      <c r="K11" s="37" t="str">
        <f>D11&amp;-1</f>
        <v>13-1</v>
      </c>
      <c r="L11" s="36">
        <f t="shared" ref="L11:L74" si="4">alpha_n</f>
        <v>0.2</v>
      </c>
      <c r="M11" s="49">
        <f t="shared" ref="M11:M46" si="5">dlc81c_r1</f>
        <v>90</v>
      </c>
      <c r="N11" s="57">
        <v>0</v>
      </c>
      <c r="O11" s="53">
        <f>t_out</f>
        <v>150</v>
      </c>
      <c r="P11" s="35">
        <f>O11+T_s1</f>
        <v>750</v>
      </c>
      <c r="Q11" s="69" t="s">
        <v>168</v>
      </c>
      <c r="S11" s="22"/>
    </row>
    <row r="12" spans="1:24" ht="15.75" thickBot="1" x14ac:dyDescent="0.3">
      <c r="A12" s="41">
        <f t="shared" ref="A12:B12" si="6">A11+1</f>
        <v>4395</v>
      </c>
      <c r="B12" s="42">
        <f t="shared" si="6"/>
        <v>2</v>
      </c>
      <c r="C12" s="218" t="str">
        <f t="shared" ref="C12:C75" si="7">TEXT(RIGHT($B$2,LEN($B$2)-3),"000")&amp;IF(N12=0,"A",IF(N12=15,"B",IF(N12=30,"C",IF(N12=45,"D",IF(N12=60,"E","F")))))&amp;TEXT(D12,"00")&amp;"_"&amp;IF(J12&lt;0,TEXT(360+J12,"000"),TEXT(J12,"000"))&amp;"_"&amp;TEXT(M12,"000")&amp;"#"&amp;TEXT(RIGHT(K12,LEN(K12)-FIND("-",K12)),"00")</f>
        <v>81cA13_330_090#02</v>
      </c>
      <c r="D12" s="43">
        <f>D11</f>
        <v>13</v>
      </c>
      <c r="E12" s="61">
        <f>E11</f>
        <v>2.149</v>
      </c>
      <c r="F12" s="44">
        <f>F11</f>
        <v>16.530769230769231</v>
      </c>
      <c r="G12" s="44">
        <f t="shared" si="0"/>
        <v>13.224615384615385</v>
      </c>
      <c r="H12" s="44">
        <f t="shared" si="1"/>
        <v>8.2653846153846153</v>
      </c>
      <c r="I12" s="44">
        <f t="shared" si="2"/>
        <v>8</v>
      </c>
      <c r="J12" s="45">
        <f t="shared" si="3"/>
        <v>-30</v>
      </c>
      <c r="K12" s="37" t="str">
        <f>D12&amp;-2</f>
        <v>13-2</v>
      </c>
      <c r="L12" s="45">
        <f t="shared" si="4"/>
        <v>0.2</v>
      </c>
      <c r="M12" s="49">
        <f t="shared" si="5"/>
        <v>90</v>
      </c>
      <c r="N12" s="53">
        <f>N11</f>
        <v>0</v>
      </c>
      <c r="O12" s="53">
        <f>O11</f>
        <v>150</v>
      </c>
      <c r="P12" s="44">
        <f>P11</f>
        <v>750</v>
      </c>
      <c r="Q12" s="45" t="str">
        <f>Q11</f>
        <v>on</v>
      </c>
      <c r="S12" s="22"/>
    </row>
    <row r="13" spans="1:24" ht="15.75" thickBot="1" x14ac:dyDescent="0.3">
      <c r="A13" s="229">
        <f t="shared" ref="A13:B13" si="8">A12+1</f>
        <v>4396</v>
      </c>
      <c r="B13" s="230">
        <f t="shared" si="8"/>
        <v>3</v>
      </c>
      <c r="C13" s="218" t="str">
        <f t="shared" si="7"/>
        <v>81cA13_330_090#03</v>
      </c>
      <c r="D13" s="43">
        <f t="shared" ref="D13:F28" si="9">D12</f>
        <v>13</v>
      </c>
      <c r="E13" s="61">
        <f t="shared" si="9"/>
        <v>2.149</v>
      </c>
      <c r="F13" s="44">
        <f t="shared" si="9"/>
        <v>16.530769230769231</v>
      </c>
      <c r="G13" s="44">
        <f t="shared" si="0"/>
        <v>13.224615384615385</v>
      </c>
      <c r="H13" s="44">
        <f t="shared" si="1"/>
        <v>8.2653846153846153</v>
      </c>
      <c r="I13" s="44">
        <f t="shared" si="2"/>
        <v>8</v>
      </c>
      <c r="J13" s="45">
        <f t="shared" si="3"/>
        <v>-30</v>
      </c>
      <c r="K13" s="37" t="str">
        <f>D13&amp;-3</f>
        <v>13-3</v>
      </c>
      <c r="L13" s="45">
        <f t="shared" si="4"/>
        <v>0.2</v>
      </c>
      <c r="M13" s="49">
        <f t="shared" si="5"/>
        <v>90</v>
      </c>
      <c r="N13" s="53">
        <f t="shared" ref="N13:Q27" si="10">N12</f>
        <v>0</v>
      </c>
      <c r="O13" s="53">
        <f t="shared" si="10"/>
        <v>150</v>
      </c>
      <c r="P13" s="44">
        <f t="shared" si="10"/>
        <v>750</v>
      </c>
      <c r="Q13" s="45" t="str">
        <f>Q12</f>
        <v>on</v>
      </c>
    </row>
    <row r="14" spans="1:24" ht="15.75" thickBot="1" x14ac:dyDescent="0.3">
      <c r="A14" s="229">
        <f t="shared" ref="A14:B14" si="11">A13+1</f>
        <v>4397</v>
      </c>
      <c r="B14" s="230">
        <f t="shared" si="11"/>
        <v>4</v>
      </c>
      <c r="C14" s="218" t="str">
        <f t="shared" si="7"/>
        <v>81cA13_330_090#04</v>
      </c>
      <c r="D14" s="43">
        <f t="shared" si="9"/>
        <v>13</v>
      </c>
      <c r="E14" s="61">
        <f t="shared" si="9"/>
        <v>2.149</v>
      </c>
      <c r="F14" s="44">
        <f t="shared" si="9"/>
        <v>16.530769230769231</v>
      </c>
      <c r="G14" s="44">
        <f t="shared" si="0"/>
        <v>13.224615384615385</v>
      </c>
      <c r="H14" s="44">
        <f t="shared" si="1"/>
        <v>8.2653846153846153</v>
      </c>
      <c r="I14" s="44">
        <f t="shared" si="2"/>
        <v>8</v>
      </c>
      <c r="J14" s="45">
        <f t="shared" si="3"/>
        <v>-30</v>
      </c>
      <c r="K14" s="37" t="str">
        <f>D14&amp;-4</f>
        <v>13-4</v>
      </c>
      <c r="L14" s="45">
        <f t="shared" si="4"/>
        <v>0.2</v>
      </c>
      <c r="M14" s="49">
        <f t="shared" si="5"/>
        <v>90</v>
      </c>
      <c r="N14" s="53">
        <f t="shared" si="10"/>
        <v>0</v>
      </c>
      <c r="O14" s="53">
        <f t="shared" si="10"/>
        <v>150</v>
      </c>
      <c r="P14" s="44">
        <f t="shared" si="10"/>
        <v>750</v>
      </c>
      <c r="Q14" s="45" t="str">
        <f>Q13</f>
        <v>on</v>
      </c>
      <c r="X14" s="23" t="s">
        <v>3861</v>
      </c>
    </row>
    <row r="15" spans="1:24" ht="15.75" thickBot="1" x14ac:dyDescent="0.3">
      <c r="A15" s="229">
        <f t="shared" ref="A15:B15" si="12">A14+1</f>
        <v>4398</v>
      </c>
      <c r="B15" s="230">
        <f t="shared" si="12"/>
        <v>5</v>
      </c>
      <c r="C15" s="218" t="str">
        <f t="shared" si="7"/>
        <v>81cA13_330_090#05</v>
      </c>
      <c r="D15" s="43">
        <f t="shared" si="9"/>
        <v>13</v>
      </c>
      <c r="E15" s="61">
        <f t="shared" si="9"/>
        <v>2.149</v>
      </c>
      <c r="F15" s="44">
        <f t="shared" si="9"/>
        <v>16.530769230769231</v>
      </c>
      <c r="G15" s="44">
        <f t="shared" si="0"/>
        <v>13.224615384615385</v>
      </c>
      <c r="H15" s="44">
        <f t="shared" si="1"/>
        <v>8.2653846153846153</v>
      </c>
      <c r="I15" s="44">
        <f t="shared" si="2"/>
        <v>8</v>
      </c>
      <c r="J15" s="45">
        <f t="shared" si="3"/>
        <v>-30</v>
      </c>
      <c r="K15" s="37" t="str">
        <f>D15&amp;-5</f>
        <v>13-5</v>
      </c>
      <c r="L15" s="45">
        <f t="shared" si="4"/>
        <v>0.2</v>
      </c>
      <c r="M15" s="49">
        <f t="shared" si="5"/>
        <v>90</v>
      </c>
      <c r="N15" s="53">
        <f t="shared" si="10"/>
        <v>0</v>
      </c>
      <c r="O15" s="53">
        <f t="shared" si="10"/>
        <v>150</v>
      </c>
      <c r="P15" s="44">
        <f t="shared" si="10"/>
        <v>750</v>
      </c>
      <c r="Q15" s="45" t="str">
        <f t="shared" si="10"/>
        <v>on</v>
      </c>
    </row>
    <row r="16" spans="1:24" ht="15.75" thickBot="1" x14ac:dyDescent="0.3">
      <c r="A16" s="229">
        <f t="shared" ref="A16:B16" si="13">A15+1</f>
        <v>4399</v>
      </c>
      <c r="B16" s="230">
        <f t="shared" si="13"/>
        <v>6</v>
      </c>
      <c r="C16" s="218" t="str">
        <f t="shared" si="7"/>
        <v>81cA13_330_090#06</v>
      </c>
      <c r="D16" s="43">
        <f t="shared" si="9"/>
        <v>13</v>
      </c>
      <c r="E16" s="61">
        <f t="shared" si="9"/>
        <v>2.149</v>
      </c>
      <c r="F16" s="44">
        <f t="shared" si="9"/>
        <v>16.530769230769231</v>
      </c>
      <c r="G16" s="44">
        <f t="shared" si="0"/>
        <v>13.224615384615385</v>
      </c>
      <c r="H16" s="44">
        <f t="shared" si="1"/>
        <v>8.2653846153846153</v>
      </c>
      <c r="I16" s="44">
        <f t="shared" si="2"/>
        <v>8</v>
      </c>
      <c r="J16" s="45">
        <f t="shared" si="3"/>
        <v>-30</v>
      </c>
      <c r="K16" s="37" t="str">
        <f>D16&amp;-6</f>
        <v>13-6</v>
      </c>
      <c r="L16" s="45">
        <f t="shared" si="4"/>
        <v>0.2</v>
      </c>
      <c r="M16" s="49">
        <f t="shared" si="5"/>
        <v>90</v>
      </c>
      <c r="N16" s="53">
        <f t="shared" si="10"/>
        <v>0</v>
      </c>
      <c r="O16" s="53">
        <f t="shared" si="10"/>
        <v>150</v>
      </c>
      <c r="P16" s="44">
        <f t="shared" si="10"/>
        <v>750</v>
      </c>
      <c r="Q16" s="45" t="str">
        <f t="shared" si="10"/>
        <v>on</v>
      </c>
      <c r="S16" s="22"/>
      <c r="T16" s="22"/>
    </row>
    <row r="17" spans="1:20" ht="15.75" thickBot="1" x14ac:dyDescent="0.3">
      <c r="A17" s="229">
        <f t="shared" ref="A17:B17" si="14">A16+1</f>
        <v>4400</v>
      </c>
      <c r="B17" s="230">
        <f t="shared" si="14"/>
        <v>7</v>
      </c>
      <c r="C17" s="218" t="str">
        <f t="shared" si="7"/>
        <v>81cB13_330_090#01</v>
      </c>
      <c r="D17" s="43">
        <f t="shared" si="9"/>
        <v>13</v>
      </c>
      <c r="E17" s="61">
        <f t="shared" si="9"/>
        <v>2.149</v>
      </c>
      <c r="F17" s="44">
        <f t="shared" si="9"/>
        <v>16.530769230769231</v>
      </c>
      <c r="G17" s="44">
        <f t="shared" si="0"/>
        <v>13.224615384615385</v>
      </c>
      <c r="H17" s="44">
        <f t="shared" si="1"/>
        <v>8.2653846153846153</v>
      </c>
      <c r="I17" s="44">
        <f t="shared" si="2"/>
        <v>8</v>
      </c>
      <c r="J17" s="45">
        <f t="shared" si="3"/>
        <v>-30</v>
      </c>
      <c r="K17" s="37" t="str">
        <f>D17&amp;-1</f>
        <v>13-1</v>
      </c>
      <c r="L17" s="45">
        <f t="shared" si="4"/>
        <v>0.2</v>
      </c>
      <c r="M17" s="49">
        <f t="shared" si="5"/>
        <v>90</v>
      </c>
      <c r="N17" s="53">
        <v>15</v>
      </c>
      <c r="O17" s="53">
        <f t="shared" si="10"/>
        <v>150</v>
      </c>
      <c r="P17" s="44">
        <f t="shared" si="10"/>
        <v>750</v>
      </c>
      <c r="Q17" s="45" t="str">
        <f t="shared" si="10"/>
        <v>on</v>
      </c>
      <c r="T17" s="22"/>
    </row>
    <row r="18" spans="1:20" ht="15.75" thickBot="1" x14ac:dyDescent="0.3">
      <c r="A18" s="229">
        <f t="shared" ref="A18:B18" si="15">A17+1</f>
        <v>4401</v>
      </c>
      <c r="B18" s="230">
        <f t="shared" si="15"/>
        <v>8</v>
      </c>
      <c r="C18" s="218" t="str">
        <f t="shared" si="7"/>
        <v>81cB13_330_090#02</v>
      </c>
      <c r="D18" s="43">
        <f t="shared" si="9"/>
        <v>13</v>
      </c>
      <c r="E18" s="61">
        <f t="shared" si="9"/>
        <v>2.149</v>
      </c>
      <c r="F18" s="44">
        <f t="shared" si="9"/>
        <v>16.530769230769231</v>
      </c>
      <c r="G18" s="44">
        <f t="shared" si="0"/>
        <v>13.224615384615385</v>
      </c>
      <c r="H18" s="44">
        <f t="shared" si="1"/>
        <v>8.2653846153846153</v>
      </c>
      <c r="I18" s="44">
        <f t="shared" si="2"/>
        <v>8</v>
      </c>
      <c r="J18" s="45">
        <f t="shared" si="3"/>
        <v>-30</v>
      </c>
      <c r="K18" s="37" t="str">
        <f>D18&amp;-2</f>
        <v>13-2</v>
      </c>
      <c r="L18" s="45">
        <f t="shared" si="4"/>
        <v>0.2</v>
      </c>
      <c r="M18" s="49">
        <f t="shared" si="5"/>
        <v>90</v>
      </c>
      <c r="N18" s="53">
        <f>N17</f>
        <v>15</v>
      </c>
      <c r="O18" s="53">
        <f t="shared" si="10"/>
        <v>150</v>
      </c>
      <c r="P18" s="44">
        <f t="shared" si="10"/>
        <v>750</v>
      </c>
      <c r="Q18" s="45" t="str">
        <f t="shared" si="10"/>
        <v>on</v>
      </c>
      <c r="T18" s="22"/>
    </row>
    <row r="19" spans="1:20" ht="15.75" thickBot="1" x14ac:dyDescent="0.3">
      <c r="A19" s="229">
        <f t="shared" ref="A19:B19" si="16">A18+1</f>
        <v>4402</v>
      </c>
      <c r="B19" s="230">
        <f t="shared" si="16"/>
        <v>9</v>
      </c>
      <c r="C19" s="218" t="str">
        <f t="shared" si="7"/>
        <v>81cB13_330_090#03</v>
      </c>
      <c r="D19" s="43">
        <f t="shared" si="9"/>
        <v>13</v>
      </c>
      <c r="E19" s="61">
        <f t="shared" si="9"/>
        <v>2.149</v>
      </c>
      <c r="F19" s="44">
        <f t="shared" si="9"/>
        <v>16.530769230769231</v>
      </c>
      <c r="G19" s="44">
        <f t="shared" si="0"/>
        <v>13.224615384615385</v>
      </c>
      <c r="H19" s="44">
        <f t="shared" si="1"/>
        <v>8.2653846153846153</v>
      </c>
      <c r="I19" s="44">
        <f t="shared" si="2"/>
        <v>8</v>
      </c>
      <c r="J19" s="45">
        <f t="shared" si="3"/>
        <v>-30</v>
      </c>
      <c r="K19" s="37" t="str">
        <f>D19&amp;-3</f>
        <v>13-3</v>
      </c>
      <c r="L19" s="45">
        <f t="shared" si="4"/>
        <v>0.2</v>
      </c>
      <c r="M19" s="49">
        <f t="shared" si="5"/>
        <v>90</v>
      </c>
      <c r="N19" s="53">
        <f t="shared" ref="N19" si="17">N18</f>
        <v>15</v>
      </c>
      <c r="O19" s="53">
        <f t="shared" si="10"/>
        <v>150</v>
      </c>
      <c r="P19" s="44">
        <f t="shared" si="10"/>
        <v>750</v>
      </c>
      <c r="Q19" s="45" t="str">
        <f t="shared" si="10"/>
        <v>on</v>
      </c>
      <c r="T19" s="22"/>
    </row>
    <row r="20" spans="1:20" ht="15.75" thickBot="1" x14ac:dyDescent="0.3">
      <c r="A20" s="229">
        <f t="shared" ref="A20:B20" si="18">A19+1</f>
        <v>4403</v>
      </c>
      <c r="B20" s="230">
        <f t="shared" si="18"/>
        <v>10</v>
      </c>
      <c r="C20" s="218" t="str">
        <f t="shared" si="7"/>
        <v>81cB13_330_090#04</v>
      </c>
      <c r="D20" s="43">
        <f t="shared" si="9"/>
        <v>13</v>
      </c>
      <c r="E20" s="61">
        <f t="shared" si="9"/>
        <v>2.149</v>
      </c>
      <c r="F20" s="44">
        <f t="shared" si="9"/>
        <v>16.530769230769231</v>
      </c>
      <c r="G20" s="44">
        <f t="shared" si="0"/>
        <v>13.224615384615385</v>
      </c>
      <c r="H20" s="44">
        <f t="shared" si="1"/>
        <v>8.2653846153846153</v>
      </c>
      <c r="I20" s="44">
        <f t="shared" si="2"/>
        <v>8</v>
      </c>
      <c r="J20" s="45">
        <f t="shared" si="3"/>
        <v>-30</v>
      </c>
      <c r="K20" s="37" t="str">
        <f>D20&amp;-4</f>
        <v>13-4</v>
      </c>
      <c r="L20" s="45">
        <f t="shared" si="4"/>
        <v>0.2</v>
      </c>
      <c r="M20" s="49">
        <f t="shared" si="5"/>
        <v>90</v>
      </c>
      <c r="N20" s="53">
        <f t="shared" ref="N20" si="19">N19</f>
        <v>15</v>
      </c>
      <c r="O20" s="53">
        <f t="shared" si="10"/>
        <v>150</v>
      </c>
      <c r="P20" s="44">
        <f t="shared" si="10"/>
        <v>750</v>
      </c>
      <c r="Q20" s="45" t="str">
        <f t="shared" si="10"/>
        <v>on</v>
      </c>
      <c r="T20" s="22"/>
    </row>
    <row r="21" spans="1:20" ht="15.75" thickBot="1" x14ac:dyDescent="0.3">
      <c r="A21" s="229">
        <f t="shared" ref="A21:B21" si="20">A20+1</f>
        <v>4404</v>
      </c>
      <c r="B21" s="230">
        <f t="shared" si="20"/>
        <v>11</v>
      </c>
      <c r="C21" s="218" t="str">
        <f t="shared" si="7"/>
        <v>81cB13_330_090#05</v>
      </c>
      <c r="D21" s="43">
        <f t="shared" si="9"/>
        <v>13</v>
      </c>
      <c r="E21" s="61">
        <f t="shared" si="9"/>
        <v>2.149</v>
      </c>
      <c r="F21" s="44">
        <f t="shared" si="9"/>
        <v>16.530769230769231</v>
      </c>
      <c r="G21" s="44">
        <f t="shared" si="0"/>
        <v>13.224615384615385</v>
      </c>
      <c r="H21" s="44">
        <f t="shared" si="1"/>
        <v>8.2653846153846153</v>
      </c>
      <c r="I21" s="44">
        <f t="shared" si="2"/>
        <v>8</v>
      </c>
      <c r="J21" s="45">
        <f t="shared" si="3"/>
        <v>-30</v>
      </c>
      <c r="K21" s="37" t="str">
        <f>D21&amp;-5</f>
        <v>13-5</v>
      </c>
      <c r="L21" s="45">
        <f t="shared" si="4"/>
        <v>0.2</v>
      </c>
      <c r="M21" s="49">
        <f t="shared" si="5"/>
        <v>90</v>
      </c>
      <c r="N21" s="53">
        <f t="shared" ref="N21" si="21">N20</f>
        <v>15</v>
      </c>
      <c r="O21" s="53">
        <f t="shared" si="10"/>
        <v>150</v>
      </c>
      <c r="P21" s="44">
        <f t="shared" si="10"/>
        <v>750</v>
      </c>
      <c r="Q21" s="45" t="str">
        <f t="shared" si="10"/>
        <v>on</v>
      </c>
      <c r="S21" s="22"/>
      <c r="T21" s="22"/>
    </row>
    <row r="22" spans="1:20" ht="15.75" thickBot="1" x14ac:dyDescent="0.3">
      <c r="A22" s="229">
        <f t="shared" ref="A22:B22" si="22">A21+1</f>
        <v>4405</v>
      </c>
      <c r="B22" s="230">
        <f t="shared" si="22"/>
        <v>12</v>
      </c>
      <c r="C22" s="218" t="str">
        <f t="shared" si="7"/>
        <v>81cB13_330_090#06</v>
      </c>
      <c r="D22" s="43">
        <f t="shared" si="9"/>
        <v>13</v>
      </c>
      <c r="E22" s="61">
        <f t="shared" si="9"/>
        <v>2.149</v>
      </c>
      <c r="F22" s="44">
        <f t="shared" si="9"/>
        <v>16.530769230769231</v>
      </c>
      <c r="G22" s="44">
        <f t="shared" si="0"/>
        <v>13.224615384615385</v>
      </c>
      <c r="H22" s="44">
        <f t="shared" si="1"/>
        <v>8.2653846153846153</v>
      </c>
      <c r="I22" s="44">
        <f t="shared" si="2"/>
        <v>8</v>
      </c>
      <c r="J22" s="45">
        <f t="shared" si="3"/>
        <v>-30</v>
      </c>
      <c r="K22" s="37" t="str">
        <f>D22&amp;-6</f>
        <v>13-6</v>
      </c>
      <c r="L22" s="45">
        <f t="shared" si="4"/>
        <v>0.2</v>
      </c>
      <c r="M22" s="49">
        <f t="shared" si="5"/>
        <v>90</v>
      </c>
      <c r="N22" s="53">
        <f t="shared" ref="N22" si="23">N21</f>
        <v>15</v>
      </c>
      <c r="O22" s="53">
        <f t="shared" si="10"/>
        <v>150</v>
      </c>
      <c r="P22" s="44">
        <f t="shared" si="10"/>
        <v>750</v>
      </c>
      <c r="Q22" s="45" t="str">
        <f t="shared" si="10"/>
        <v>on</v>
      </c>
      <c r="S22" s="22"/>
      <c r="T22" s="22"/>
    </row>
    <row r="23" spans="1:20" ht="15.75" thickBot="1" x14ac:dyDescent="0.3">
      <c r="A23" s="229">
        <f t="shared" ref="A23:B23" si="24">A22+1</f>
        <v>4406</v>
      </c>
      <c r="B23" s="230">
        <f t="shared" si="24"/>
        <v>13</v>
      </c>
      <c r="C23" s="218" t="str">
        <f t="shared" si="7"/>
        <v>81cC13_330_090#01</v>
      </c>
      <c r="D23" s="43">
        <f t="shared" si="9"/>
        <v>13</v>
      </c>
      <c r="E23" s="61">
        <f t="shared" si="9"/>
        <v>2.149</v>
      </c>
      <c r="F23" s="44">
        <f t="shared" si="9"/>
        <v>16.530769230769231</v>
      </c>
      <c r="G23" s="44">
        <f t="shared" si="0"/>
        <v>13.224615384615385</v>
      </c>
      <c r="H23" s="44">
        <f t="shared" si="1"/>
        <v>8.2653846153846153</v>
      </c>
      <c r="I23" s="44">
        <f t="shared" si="2"/>
        <v>8</v>
      </c>
      <c r="J23" s="45">
        <f t="shared" si="3"/>
        <v>-30</v>
      </c>
      <c r="K23" s="37" t="str">
        <f>D23&amp;-1</f>
        <v>13-1</v>
      </c>
      <c r="L23" s="45">
        <f t="shared" si="4"/>
        <v>0.2</v>
      </c>
      <c r="M23" s="49">
        <f t="shared" si="5"/>
        <v>90</v>
      </c>
      <c r="N23" s="53">
        <v>30</v>
      </c>
      <c r="O23" s="53">
        <f t="shared" si="10"/>
        <v>150</v>
      </c>
      <c r="P23" s="44">
        <f t="shared" si="10"/>
        <v>750</v>
      </c>
      <c r="Q23" s="45" t="str">
        <f t="shared" si="10"/>
        <v>on</v>
      </c>
    </row>
    <row r="24" spans="1:20" ht="15.75" thickBot="1" x14ac:dyDescent="0.3">
      <c r="A24" s="229">
        <f t="shared" ref="A24:B24" si="25">A23+1</f>
        <v>4407</v>
      </c>
      <c r="B24" s="230">
        <f t="shared" si="25"/>
        <v>14</v>
      </c>
      <c r="C24" s="218" t="str">
        <f t="shared" si="7"/>
        <v>81cC13_330_090#02</v>
      </c>
      <c r="D24" s="43">
        <f t="shared" si="9"/>
        <v>13</v>
      </c>
      <c r="E24" s="61">
        <f t="shared" si="9"/>
        <v>2.149</v>
      </c>
      <c r="F24" s="44">
        <f t="shared" si="9"/>
        <v>16.530769230769231</v>
      </c>
      <c r="G24" s="44">
        <f t="shared" si="0"/>
        <v>13.224615384615385</v>
      </c>
      <c r="H24" s="44">
        <f t="shared" si="1"/>
        <v>8.2653846153846153</v>
      </c>
      <c r="I24" s="44">
        <f t="shared" si="2"/>
        <v>8</v>
      </c>
      <c r="J24" s="45">
        <f t="shared" si="3"/>
        <v>-30</v>
      </c>
      <c r="K24" s="37" t="str">
        <f>D24&amp;-2</f>
        <v>13-2</v>
      </c>
      <c r="L24" s="45">
        <f t="shared" si="4"/>
        <v>0.2</v>
      </c>
      <c r="M24" s="49">
        <f t="shared" si="5"/>
        <v>90</v>
      </c>
      <c r="N24" s="53">
        <f>N23</f>
        <v>30</v>
      </c>
      <c r="O24" s="53">
        <f t="shared" si="10"/>
        <v>150</v>
      </c>
      <c r="P24" s="44">
        <f t="shared" si="10"/>
        <v>750</v>
      </c>
      <c r="Q24" s="45" t="str">
        <f t="shared" si="10"/>
        <v>on</v>
      </c>
    </row>
    <row r="25" spans="1:20" ht="15.75" thickBot="1" x14ac:dyDescent="0.3">
      <c r="A25" s="229">
        <f t="shared" ref="A25:B25" si="26">A24+1</f>
        <v>4408</v>
      </c>
      <c r="B25" s="230">
        <f t="shared" si="26"/>
        <v>15</v>
      </c>
      <c r="C25" s="218" t="str">
        <f t="shared" si="7"/>
        <v>81cC13_330_090#03</v>
      </c>
      <c r="D25" s="43">
        <f t="shared" si="9"/>
        <v>13</v>
      </c>
      <c r="E25" s="61">
        <f t="shared" si="9"/>
        <v>2.149</v>
      </c>
      <c r="F25" s="44">
        <f t="shared" si="9"/>
        <v>16.530769230769231</v>
      </c>
      <c r="G25" s="44">
        <f t="shared" si="0"/>
        <v>13.224615384615385</v>
      </c>
      <c r="H25" s="44">
        <f t="shared" si="1"/>
        <v>8.2653846153846153</v>
      </c>
      <c r="I25" s="44">
        <f t="shared" si="2"/>
        <v>8</v>
      </c>
      <c r="J25" s="45">
        <f t="shared" si="3"/>
        <v>-30</v>
      </c>
      <c r="K25" s="37" t="str">
        <f>D25&amp;-3</f>
        <v>13-3</v>
      </c>
      <c r="L25" s="45">
        <f t="shared" si="4"/>
        <v>0.2</v>
      </c>
      <c r="M25" s="49">
        <f t="shared" si="5"/>
        <v>90</v>
      </c>
      <c r="N25" s="53">
        <f t="shared" ref="N25" si="27">N24</f>
        <v>30</v>
      </c>
      <c r="O25" s="53">
        <f t="shared" si="10"/>
        <v>150</v>
      </c>
      <c r="P25" s="44">
        <f t="shared" si="10"/>
        <v>750</v>
      </c>
      <c r="Q25" s="45" t="str">
        <f t="shared" si="10"/>
        <v>on</v>
      </c>
    </row>
    <row r="26" spans="1:20" ht="15.75" thickBot="1" x14ac:dyDescent="0.3">
      <c r="A26" s="229">
        <f t="shared" ref="A26:B26" si="28">A25+1</f>
        <v>4409</v>
      </c>
      <c r="B26" s="230">
        <f t="shared" si="28"/>
        <v>16</v>
      </c>
      <c r="C26" s="218" t="str">
        <f t="shared" si="7"/>
        <v>81cC13_330_090#04</v>
      </c>
      <c r="D26" s="43">
        <f t="shared" si="9"/>
        <v>13</v>
      </c>
      <c r="E26" s="61">
        <f t="shared" si="9"/>
        <v>2.149</v>
      </c>
      <c r="F26" s="44">
        <f t="shared" si="9"/>
        <v>16.530769230769231</v>
      </c>
      <c r="G26" s="44">
        <f t="shared" si="0"/>
        <v>13.224615384615385</v>
      </c>
      <c r="H26" s="44">
        <f t="shared" si="1"/>
        <v>8.2653846153846153</v>
      </c>
      <c r="I26" s="44">
        <f t="shared" si="2"/>
        <v>8</v>
      </c>
      <c r="J26" s="45">
        <f t="shared" si="3"/>
        <v>-30</v>
      </c>
      <c r="K26" s="37" t="str">
        <f>D26&amp;-4</f>
        <v>13-4</v>
      </c>
      <c r="L26" s="45">
        <f t="shared" si="4"/>
        <v>0.2</v>
      </c>
      <c r="M26" s="49">
        <f t="shared" si="5"/>
        <v>90</v>
      </c>
      <c r="N26" s="53">
        <f t="shared" ref="N26" si="29">N25</f>
        <v>30</v>
      </c>
      <c r="O26" s="53">
        <f t="shared" si="10"/>
        <v>150</v>
      </c>
      <c r="P26" s="44">
        <f t="shared" si="10"/>
        <v>750</v>
      </c>
      <c r="Q26" s="45" t="str">
        <f t="shared" si="10"/>
        <v>on</v>
      </c>
    </row>
    <row r="27" spans="1:20" ht="15.75" thickBot="1" x14ac:dyDescent="0.3">
      <c r="A27" s="229">
        <f t="shared" ref="A27:B27" si="30">A26+1</f>
        <v>4410</v>
      </c>
      <c r="B27" s="230">
        <f t="shared" si="30"/>
        <v>17</v>
      </c>
      <c r="C27" s="218" t="str">
        <f t="shared" si="7"/>
        <v>81cC13_330_090#05</v>
      </c>
      <c r="D27" s="43">
        <f t="shared" si="9"/>
        <v>13</v>
      </c>
      <c r="E27" s="61">
        <f t="shared" si="9"/>
        <v>2.149</v>
      </c>
      <c r="F27" s="44">
        <f t="shared" si="9"/>
        <v>16.530769230769231</v>
      </c>
      <c r="G27" s="44">
        <f t="shared" si="0"/>
        <v>13.224615384615385</v>
      </c>
      <c r="H27" s="44">
        <f t="shared" si="1"/>
        <v>8.2653846153846153</v>
      </c>
      <c r="I27" s="44">
        <f t="shared" si="2"/>
        <v>8</v>
      </c>
      <c r="J27" s="45">
        <f t="shared" si="3"/>
        <v>-30</v>
      </c>
      <c r="K27" s="37" t="str">
        <f>D27&amp;-5</f>
        <v>13-5</v>
      </c>
      <c r="L27" s="45">
        <f t="shared" si="4"/>
        <v>0.2</v>
      </c>
      <c r="M27" s="49">
        <f t="shared" si="5"/>
        <v>90</v>
      </c>
      <c r="N27" s="53">
        <f t="shared" ref="N27" si="31">N26</f>
        <v>30</v>
      </c>
      <c r="O27" s="53">
        <f t="shared" si="10"/>
        <v>150</v>
      </c>
      <c r="P27" s="44">
        <f t="shared" si="10"/>
        <v>750</v>
      </c>
      <c r="Q27" s="45" t="str">
        <f t="shared" si="10"/>
        <v>on</v>
      </c>
    </row>
    <row r="28" spans="1:20" ht="15.75" thickBot="1" x14ac:dyDescent="0.3">
      <c r="A28" s="229">
        <f t="shared" ref="A28:B28" si="32">A27+1</f>
        <v>4411</v>
      </c>
      <c r="B28" s="230">
        <f t="shared" si="32"/>
        <v>18</v>
      </c>
      <c r="C28" s="218" t="str">
        <f t="shared" si="7"/>
        <v>81cC13_330_090#06</v>
      </c>
      <c r="D28" s="43">
        <f t="shared" si="9"/>
        <v>13</v>
      </c>
      <c r="E28" s="61">
        <f t="shared" si="9"/>
        <v>2.149</v>
      </c>
      <c r="F28" s="44">
        <f t="shared" si="9"/>
        <v>16.530769230769231</v>
      </c>
      <c r="G28" s="44">
        <f t="shared" si="0"/>
        <v>13.224615384615385</v>
      </c>
      <c r="H28" s="44">
        <f t="shared" si="1"/>
        <v>8.2653846153846153</v>
      </c>
      <c r="I28" s="44">
        <f t="shared" si="2"/>
        <v>8</v>
      </c>
      <c r="J28" s="45">
        <f t="shared" si="3"/>
        <v>-30</v>
      </c>
      <c r="K28" s="37" t="str">
        <f>D28&amp;-6</f>
        <v>13-6</v>
      </c>
      <c r="L28" s="45">
        <f t="shared" si="4"/>
        <v>0.2</v>
      </c>
      <c r="M28" s="49">
        <f t="shared" si="5"/>
        <v>90</v>
      </c>
      <c r="N28" s="53">
        <f t="shared" ref="N28:Q43" si="33">N27</f>
        <v>30</v>
      </c>
      <c r="O28" s="53">
        <f t="shared" si="33"/>
        <v>150</v>
      </c>
      <c r="P28" s="44">
        <f t="shared" si="33"/>
        <v>750</v>
      </c>
      <c r="Q28" s="45" t="str">
        <f t="shared" si="33"/>
        <v>on</v>
      </c>
    </row>
    <row r="29" spans="1:20" ht="15.75" thickBot="1" x14ac:dyDescent="0.3">
      <c r="A29" s="229">
        <f t="shared" ref="A29:B29" si="34">A28+1</f>
        <v>4412</v>
      </c>
      <c r="B29" s="230">
        <f t="shared" si="34"/>
        <v>19</v>
      </c>
      <c r="C29" s="218" t="str">
        <f t="shared" si="7"/>
        <v>81cD13_330_090#01</v>
      </c>
      <c r="D29" s="43">
        <f t="shared" ref="D29:F44" si="35">D28</f>
        <v>13</v>
      </c>
      <c r="E29" s="61">
        <f t="shared" si="35"/>
        <v>2.149</v>
      </c>
      <c r="F29" s="44">
        <f t="shared" si="35"/>
        <v>16.530769230769231</v>
      </c>
      <c r="G29" s="44">
        <f t="shared" si="0"/>
        <v>13.224615384615385</v>
      </c>
      <c r="H29" s="44">
        <f t="shared" si="1"/>
        <v>8.2653846153846153</v>
      </c>
      <c r="I29" s="44">
        <f t="shared" si="2"/>
        <v>8</v>
      </c>
      <c r="J29" s="45">
        <f t="shared" si="3"/>
        <v>-30</v>
      </c>
      <c r="K29" s="37" t="str">
        <f>D29&amp;-1</f>
        <v>13-1</v>
      </c>
      <c r="L29" s="45">
        <f t="shared" si="4"/>
        <v>0.2</v>
      </c>
      <c r="M29" s="49">
        <f t="shared" si="5"/>
        <v>90</v>
      </c>
      <c r="N29" s="53">
        <v>45</v>
      </c>
      <c r="O29" s="53">
        <f t="shared" si="33"/>
        <v>150</v>
      </c>
      <c r="P29" s="44">
        <f t="shared" si="33"/>
        <v>750</v>
      </c>
      <c r="Q29" s="45" t="str">
        <f t="shared" si="33"/>
        <v>on</v>
      </c>
    </row>
    <row r="30" spans="1:20" ht="15.75" thickBot="1" x14ac:dyDescent="0.3">
      <c r="A30" s="229">
        <f t="shared" ref="A30:B30" si="36">A29+1</f>
        <v>4413</v>
      </c>
      <c r="B30" s="230">
        <f t="shared" si="36"/>
        <v>20</v>
      </c>
      <c r="C30" s="218" t="str">
        <f t="shared" si="7"/>
        <v>81cD13_330_090#02</v>
      </c>
      <c r="D30" s="43">
        <f t="shared" si="35"/>
        <v>13</v>
      </c>
      <c r="E30" s="61">
        <f t="shared" si="35"/>
        <v>2.149</v>
      </c>
      <c r="F30" s="44">
        <f t="shared" si="35"/>
        <v>16.530769230769231</v>
      </c>
      <c r="G30" s="44">
        <f t="shared" si="0"/>
        <v>13.224615384615385</v>
      </c>
      <c r="H30" s="44">
        <f t="shared" si="1"/>
        <v>8.2653846153846153</v>
      </c>
      <c r="I30" s="44">
        <f t="shared" si="2"/>
        <v>8</v>
      </c>
      <c r="J30" s="45">
        <f t="shared" si="3"/>
        <v>-30</v>
      </c>
      <c r="K30" s="37" t="str">
        <f>D30&amp;-2</f>
        <v>13-2</v>
      </c>
      <c r="L30" s="45">
        <f t="shared" si="4"/>
        <v>0.2</v>
      </c>
      <c r="M30" s="49">
        <f t="shared" si="5"/>
        <v>90</v>
      </c>
      <c r="N30" s="53">
        <f>N29</f>
        <v>45</v>
      </c>
      <c r="O30" s="53">
        <f t="shared" si="33"/>
        <v>150</v>
      </c>
      <c r="P30" s="44">
        <f t="shared" si="33"/>
        <v>750</v>
      </c>
      <c r="Q30" s="45" t="str">
        <f t="shared" si="33"/>
        <v>on</v>
      </c>
    </row>
    <row r="31" spans="1:20" ht="15.75" thickBot="1" x14ac:dyDescent="0.3">
      <c r="A31" s="229">
        <f t="shared" ref="A31:B31" si="37">A30+1</f>
        <v>4414</v>
      </c>
      <c r="B31" s="230">
        <f t="shared" si="37"/>
        <v>21</v>
      </c>
      <c r="C31" s="218" t="str">
        <f t="shared" si="7"/>
        <v>81cD13_330_090#03</v>
      </c>
      <c r="D31" s="43">
        <f t="shared" si="35"/>
        <v>13</v>
      </c>
      <c r="E31" s="61">
        <f t="shared" si="35"/>
        <v>2.149</v>
      </c>
      <c r="F31" s="44">
        <f t="shared" si="35"/>
        <v>16.530769230769231</v>
      </c>
      <c r="G31" s="44">
        <f t="shared" si="0"/>
        <v>13.224615384615385</v>
      </c>
      <c r="H31" s="44">
        <f t="shared" si="1"/>
        <v>8.2653846153846153</v>
      </c>
      <c r="I31" s="44">
        <f t="shared" si="2"/>
        <v>8</v>
      </c>
      <c r="J31" s="45">
        <f t="shared" si="3"/>
        <v>-30</v>
      </c>
      <c r="K31" s="37" t="str">
        <f>D31&amp;-3</f>
        <v>13-3</v>
      </c>
      <c r="L31" s="45">
        <f t="shared" si="4"/>
        <v>0.2</v>
      </c>
      <c r="M31" s="49">
        <f t="shared" si="5"/>
        <v>90</v>
      </c>
      <c r="N31" s="53">
        <f t="shared" si="33"/>
        <v>45</v>
      </c>
      <c r="O31" s="53">
        <f t="shared" si="33"/>
        <v>150</v>
      </c>
      <c r="P31" s="44">
        <f t="shared" si="33"/>
        <v>750</v>
      </c>
      <c r="Q31" s="45" t="str">
        <f t="shared" si="33"/>
        <v>on</v>
      </c>
    </row>
    <row r="32" spans="1:20" ht="15.75" thickBot="1" x14ac:dyDescent="0.3">
      <c r="A32" s="229">
        <f t="shared" ref="A32:B32" si="38">A31+1</f>
        <v>4415</v>
      </c>
      <c r="B32" s="230">
        <f t="shared" si="38"/>
        <v>22</v>
      </c>
      <c r="C32" s="218" t="str">
        <f t="shared" si="7"/>
        <v>81cD13_330_090#04</v>
      </c>
      <c r="D32" s="43">
        <f t="shared" si="35"/>
        <v>13</v>
      </c>
      <c r="E32" s="61">
        <f t="shared" si="35"/>
        <v>2.149</v>
      </c>
      <c r="F32" s="44">
        <f t="shared" si="35"/>
        <v>16.530769230769231</v>
      </c>
      <c r="G32" s="44">
        <f t="shared" si="0"/>
        <v>13.224615384615385</v>
      </c>
      <c r="H32" s="44">
        <f t="shared" si="1"/>
        <v>8.2653846153846153</v>
      </c>
      <c r="I32" s="44">
        <f t="shared" si="2"/>
        <v>8</v>
      </c>
      <c r="J32" s="45">
        <f t="shared" si="3"/>
        <v>-30</v>
      </c>
      <c r="K32" s="37" t="str">
        <f>D32&amp;-4</f>
        <v>13-4</v>
      </c>
      <c r="L32" s="45">
        <f t="shared" si="4"/>
        <v>0.2</v>
      </c>
      <c r="M32" s="49">
        <f t="shared" si="5"/>
        <v>90</v>
      </c>
      <c r="N32" s="53">
        <f t="shared" si="33"/>
        <v>45</v>
      </c>
      <c r="O32" s="53">
        <f t="shared" si="33"/>
        <v>150</v>
      </c>
      <c r="P32" s="44">
        <f t="shared" si="33"/>
        <v>750</v>
      </c>
      <c r="Q32" s="45" t="str">
        <f t="shared" si="33"/>
        <v>on</v>
      </c>
    </row>
    <row r="33" spans="1:17" ht="15.75" thickBot="1" x14ac:dyDescent="0.3">
      <c r="A33" s="229">
        <f t="shared" ref="A33:B33" si="39">A32+1</f>
        <v>4416</v>
      </c>
      <c r="B33" s="230">
        <f t="shared" si="39"/>
        <v>23</v>
      </c>
      <c r="C33" s="218" t="str">
        <f t="shared" si="7"/>
        <v>81cD13_330_090#05</v>
      </c>
      <c r="D33" s="43">
        <f t="shared" si="35"/>
        <v>13</v>
      </c>
      <c r="E33" s="61">
        <f t="shared" si="35"/>
        <v>2.149</v>
      </c>
      <c r="F33" s="44">
        <f t="shared" si="35"/>
        <v>16.530769230769231</v>
      </c>
      <c r="G33" s="44">
        <f t="shared" si="0"/>
        <v>13.224615384615385</v>
      </c>
      <c r="H33" s="44">
        <f t="shared" si="1"/>
        <v>8.2653846153846153</v>
      </c>
      <c r="I33" s="44">
        <f t="shared" si="2"/>
        <v>8</v>
      </c>
      <c r="J33" s="45">
        <f t="shared" si="3"/>
        <v>-30</v>
      </c>
      <c r="K33" s="37" t="str">
        <f>D33&amp;-5</f>
        <v>13-5</v>
      </c>
      <c r="L33" s="45">
        <f t="shared" si="4"/>
        <v>0.2</v>
      </c>
      <c r="M33" s="49">
        <f t="shared" si="5"/>
        <v>90</v>
      </c>
      <c r="N33" s="53">
        <f t="shared" si="33"/>
        <v>45</v>
      </c>
      <c r="O33" s="53">
        <f t="shared" si="33"/>
        <v>150</v>
      </c>
      <c r="P33" s="44">
        <f t="shared" si="33"/>
        <v>750</v>
      </c>
      <c r="Q33" s="45" t="str">
        <f t="shared" si="33"/>
        <v>on</v>
      </c>
    </row>
    <row r="34" spans="1:17" ht="15.75" thickBot="1" x14ac:dyDescent="0.3">
      <c r="A34" s="229">
        <f t="shared" ref="A34:B34" si="40">A33+1</f>
        <v>4417</v>
      </c>
      <c r="B34" s="230">
        <f t="shared" si="40"/>
        <v>24</v>
      </c>
      <c r="C34" s="218" t="str">
        <f t="shared" si="7"/>
        <v>81cD13_330_090#06</v>
      </c>
      <c r="D34" s="43">
        <f t="shared" si="35"/>
        <v>13</v>
      </c>
      <c r="E34" s="61">
        <f t="shared" si="35"/>
        <v>2.149</v>
      </c>
      <c r="F34" s="44">
        <f t="shared" si="35"/>
        <v>16.530769230769231</v>
      </c>
      <c r="G34" s="44">
        <f t="shared" si="0"/>
        <v>13.224615384615385</v>
      </c>
      <c r="H34" s="44">
        <f t="shared" si="1"/>
        <v>8.2653846153846153</v>
      </c>
      <c r="I34" s="44">
        <f t="shared" si="2"/>
        <v>8</v>
      </c>
      <c r="J34" s="45">
        <f t="shared" si="3"/>
        <v>-30</v>
      </c>
      <c r="K34" s="37" t="str">
        <f>D34&amp;-6</f>
        <v>13-6</v>
      </c>
      <c r="L34" s="45">
        <f t="shared" si="4"/>
        <v>0.2</v>
      </c>
      <c r="M34" s="49">
        <f t="shared" si="5"/>
        <v>90</v>
      </c>
      <c r="N34" s="53">
        <f t="shared" si="33"/>
        <v>45</v>
      </c>
      <c r="O34" s="53">
        <f t="shared" si="33"/>
        <v>150</v>
      </c>
      <c r="P34" s="44">
        <f t="shared" si="33"/>
        <v>750</v>
      </c>
      <c r="Q34" s="45" t="str">
        <f t="shared" si="33"/>
        <v>on</v>
      </c>
    </row>
    <row r="35" spans="1:17" ht="15.75" thickBot="1" x14ac:dyDescent="0.3">
      <c r="A35" s="229">
        <f t="shared" ref="A35:B35" si="41">A34+1</f>
        <v>4418</v>
      </c>
      <c r="B35" s="230">
        <f t="shared" si="41"/>
        <v>25</v>
      </c>
      <c r="C35" s="218" t="str">
        <f t="shared" si="7"/>
        <v>81cE13_330_090#01</v>
      </c>
      <c r="D35" s="43">
        <f t="shared" si="35"/>
        <v>13</v>
      </c>
      <c r="E35" s="61">
        <f t="shared" si="35"/>
        <v>2.149</v>
      </c>
      <c r="F35" s="44">
        <f t="shared" si="35"/>
        <v>16.530769230769231</v>
      </c>
      <c r="G35" s="44">
        <f t="shared" si="0"/>
        <v>13.224615384615385</v>
      </c>
      <c r="H35" s="44">
        <f t="shared" si="1"/>
        <v>8.2653846153846153</v>
      </c>
      <c r="I35" s="44">
        <f t="shared" si="2"/>
        <v>8</v>
      </c>
      <c r="J35" s="45">
        <f t="shared" si="3"/>
        <v>-30</v>
      </c>
      <c r="K35" s="37" t="str">
        <f>D35&amp;-1</f>
        <v>13-1</v>
      </c>
      <c r="L35" s="45">
        <f t="shared" si="4"/>
        <v>0.2</v>
      </c>
      <c r="M35" s="49">
        <f t="shared" si="5"/>
        <v>90</v>
      </c>
      <c r="N35" s="53">
        <v>60</v>
      </c>
      <c r="O35" s="53">
        <f t="shared" si="33"/>
        <v>150</v>
      </c>
      <c r="P35" s="44">
        <f t="shared" si="33"/>
        <v>750</v>
      </c>
      <c r="Q35" s="45" t="str">
        <f t="shared" si="33"/>
        <v>on</v>
      </c>
    </row>
    <row r="36" spans="1:17" ht="15.75" thickBot="1" x14ac:dyDescent="0.3">
      <c r="A36" s="229">
        <f t="shared" ref="A36:B36" si="42">A35+1</f>
        <v>4419</v>
      </c>
      <c r="B36" s="230">
        <f t="shared" si="42"/>
        <v>26</v>
      </c>
      <c r="C36" s="218" t="str">
        <f t="shared" si="7"/>
        <v>81cE13_330_090#02</v>
      </c>
      <c r="D36" s="43">
        <f t="shared" si="35"/>
        <v>13</v>
      </c>
      <c r="E36" s="61">
        <f t="shared" si="35"/>
        <v>2.149</v>
      </c>
      <c r="F36" s="44">
        <f t="shared" si="35"/>
        <v>16.530769230769231</v>
      </c>
      <c r="G36" s="44">
        <f t="shared" si="0"/>
        <v>13.224615384615385</v>
      </c>
      <c r="H36" s="44">
        <f t="shared" si="1"/>
        <v>8.2653846153846153</v>
      </c>
      <c r="I36" s="44">
        <f t="shared" si="2"/>
        <v>8</v>
      </c>
      <c r="J36" s="45">
        <f t="shared" si="3"/>
        <v>-30</v>
      </c>
      <c r="K36" s="37" t="str">
        <f>D36&amp;-2</f>
        <v>13-2</v>
      </c>
      <c r="L36" s="45">
        <f t="shared" si="4"/>
        <v>0.2</v>
      </c>
      <c r="M36" s="49">
        <f t="shared" si="5"/>
        <v>90</v>
      </c>
      <c r="N36" s="53">
        <f>N35</f>
        <v>60</v>
      </c>
      <c r="O36" s="53">
        <f t="shared" si="33"/>
        <v>150</v>
      </c>
      <c r="P36" s="44">
        <f t="shared" si="33"/>
        <v>750</v>
      </c>
      <c r="Q36" s="45" t="str">
        <f t="shared" si="33"/>
        <v>on</v>
      </c>
    </row>
    <row r="37" spans="1:17" ht="15.75" thickBot="1" x14ac:dyDescent="0.3">
      <c r="A37" s="229">
        <f t="shared" ref="A37:B37" si="43">A36+1</f>
        <v>4420</v>
      </c>
      <c r="B37" s="230">
        <f t="shared" si="43"/>
        <v>27</v>
      </c>
      <c r="C37" s="218" t="str">
        <f t="shared" si="7"/>
        <v>81cE13_330_090#03</v>
      </c>
      <c r="D37" s="43">
        <f t="shared" si="35"/>
        <v>13</v>
      </c>
      <c r="E37" s="61">
        <f t="shared" si="35"/>
        <v>2.149</v>
      </c>
      <c r="F37" s="44">
        <f t="shared" si="35"/>
        <v>16.530769230769231</v>
      </c>
      <c r="G37" s="44">
        <f t="shared" si="0"/>
        <v>13.224615384615385</v>
      </c>
      <c r="H37" s="44">
        <f t="shared" si="1"/>
        <v>8.2653846153846153</v>
      </c>
      <c r="I37" s="44">
        <f t="shared" si="2"/>
        <v>8</v>
      </c>
      <c r="J37" s="45">
        <f t="shared" si="3"/>
        <v>-30</v>
      </c>
      <c r="K37" s="37" t="str">
        <f>D37&amp;-3</f>
        <v>13-3</v>
      </c>
      <c r="L37" s="45">
        <f t="shared" si="4"/>
        <v>0.2</v>
      </c>
      <c r="M37" s="49">
        <f t="shared" si="5"/>
        <v>90</v>
      </c>
      <c r="N37" s="53">
        <f t="shared" si="33"/>
        <v>60</v>
      </c>
      <c r="O37" s="53">
        <f t="shared" si="33"/>
        <v>150</v>
      </c>
      <c r="P37" s="44">
        <f t="shared" si="33"/>
        <v>750</v>
      </c>
      <c r="Q37" s="45" t="str">
        <f t="shared" si="33"/>
        <v>on</v>
      </c>
    </row>
    <row r="38" spans="1:17" ht="15.75" thickBot="1" x14ac:dyDescent="0.3">
      <c r="A38" s="229">
        <f t="shared" ref="A38:B38" si="44">A37+1</f>
        <v>4421</v>
      </c>
      <c r="B38" s="230">
        <f t="shared" si="44"/>
        <v>28</v>
      </c>
      <c r="C38" s="218" t="str">
        <f t="shared" si="7"/>
        <v>81cE13_330_090#04</v>
      </c>
      <c r="D38" s="43">
        <f t="shared" si="35"/>
        <v>13</v>
      </c>
      <c r="E38" s="61">
        <f t="shared" si="35"/>
        <v>2.149</v>
      </c>
      <c r="F38" s="44">
        <f t="shared" si="35"/>
        <v>16.530769230769231</v>
      </c>
      <c r="G38" s="44">
        <f t="shared" si="0"/>
        <v>13.224615384615385</v>
      </c>
      <c r="H38" s="44">
        <f t="shared" si="1"/>
        <v>8.2653846153846153</v>
      </c>
      <c r="I38" s="44">
        <f t="shared" si="2"/>
        <v>8</v>
      </c>
      <c r="J38" s="45">
        <f t="shared" si="3"/>
        <v>-30</v>
      </c>
      <c r="K38" s="37" t="str">
        <f>D38&amp;-4</f>
        <v>13-4</v>
      </c>
      <c r="L38" s="45">
        <f t="shared" si="4"/>
        <v>0.2</v>
      </c>
      <c r="M38" s="49">
        <f t="shared" si="5"/>
        <v>90</v>
      </c>
      <c r="N38" s="53">
        <f t="shared" si="33"/>
        <v>60</v>
      </c>
      <c r="O38" s="53">
        <f t="shared" si="33"/>
        <v>150</v>
      </c>
      <c r="P38" s="44">
        <f t="shared" si="33"/>
        <v>750</v>
      </c>
      <c r="Q38" s="45" t="str">
        <f t="shared" si="33"/>
        <v>on</v>
      </c>
    </row>
    <row r="39" spans="1:17" ht="15.75" thickBot="1" x14ac:dyDescent="0.3">
      <c r="A39" s="229">
        <f t="shared" ref="A39:B39" si="45">A38+1</f>
        <v>4422</v>
      </c>
      <c r="B39" s="230">
        <f t="shared" si="45"/>
        <v>29</v>
      </c>
      <c r="C39" s="218" t="str">
        <f t="shared" si="7"/>
        <v>81cE13_330_090#05</v>
      </c>
      <c r="D39" s="43">
        <f t="shared" si="35"/>
        <v>13</v>
      </c>
      <c r="E39" s="61">
        <f t="shared" si="35"/>
        <v>2.149</v>
      </c>
      <c r="F39" s="44">
        <f t="shared" si="35"/>
        <v>16.530769230769231</v>
      </c>
      <c r="G39" s="44">
        <f t="shared" si="0"/>
        <v>13.224615384615385</v>
      </c>
      <c r="H39" s="44">
        <f t="shared" si="1"/>
        <v>8.2653846153846153</v>
      </c>
      <c r="I39" s="44">
        <f t="shared" si="2"/>
        <v>8</v>
      </c>
      <c r="J39" s="45">
        <f t="shared" si="3"/>
        <v>-30</v>
      </c>
      <c r="K39" s="37" t="str">
        <f>D39&amp;-5</f>
        <v>13-5</v>
      </c>
      <c r="L39" s="45">
        <f t="shared" si="4"/>
        <v>0.2</v>
      </c>
      <c r="M39" s="49">
        <f t="shared" si="5"/>
        <v>90</v>
      </c>
      <c r="N39" s="53">
        <f t="shared" si="33"/>
        <v>60</v>
      </c>
      <c r="O39" s="53">
        <f t="shared" si="33"/>
        <v>150</v>
      </c>
      <c r="P39" s="44">
        <f t="shared" si="33"/>
        <v>750</v>
      </c>
      <c r="Q39" s="45" t="str">
        <f t="shared" si="33"/>
        <v>on</v>
      </c>
    </row>
    <row r="40" spans="1:17" ht="15.75" thickBot="1" x14ac:dyDescent="0.3">
      <c r="A40" s="229">
        <f t="shared" ref="A40:B40" si="46">A39+1</f>
        <v>4423</v>
      </c>
      <c r="B40" s="230">
        <f t="shared" si="46"/>
        <v>30</v>
      </c>
      <c r="C40" s="218" t="str">
        <f t="shared" si="7"/>
        <v>81cE13_330_090#06</v>
      </c>
      <c r="D40" s="43">
        <f t="shared" si="35"/>
        <v>13</v>
      </c>
      <c r="E40" s="61">
        <f t="shared" si="35"/>
        <v>2.149</v>
      </c>
      <c r="F40" s="44">
        <f t="shared" si="35"/>
        <v>16.530769230769231</v>
      </c>
      <c r="G40" s="44">
        <f t="shared" si="0"/>
        <v>13.224615384615385</v>
      </c>
      <c r="H40" s="44">
        <f t="shared" si="1"/>
        <v>8.2653846153846153</v>
      </c>
      <c r="I40" s="44">
        <f t="shared" si="2"/>
        <v>8</v>
      </c>
      <c r="J40" s="45">
        <f t="shared" si="3"/>
        <v>-30</v>
      </c>
      <c r="K40" s="37" t="str">
        <f>D40&amp;-6</f>
        <v>13-6</v>
      </c>
      <c r="L40" s="45">
        <f t="shared" si="4"/>
        <v>0.2</v>
      </c>
      <c r="M40" s="49">
        <f t="shared" si="5"/>
        <v>90</v>
      </c>
      <c r="N40" s="53">
        <f t="shared" si="33"/>
        <v>60</v>
      </c>
      <c r="O40" s="53">
        <f t="shared" si="33"/>
        <v>150</v>
      </c>
      <c r="P40" s="44">
        <f t="shared" si="33"/>
        <v>750</v>
      </c>
      <c r="Q40" s="45" t="str">
        <f t="shared" si="33"/>
        <v>on</v>
      </c>
    </row>
    <row r="41" spans="1:17" ht="15.75" thickBot="1" x14ac:dyDescent="0.3">
      <c r="A41" s="229">
        <f t="shared" ref="A41:B41" si="47">A40+1</f>
        <v>4424</v>
      </c>
      <c r="B41" s="230">
        <f t="shared" si="47"/>
        <v>31</v>
      </c>
      <c r="C41" s="218" t="str">
        <f t="shared" si="7"/>
        <v>81cF13_330_090#01</v>
      </c>
      <c r="D41" s="43">
        <f t="shared" si="35"/>
        <v>13</v>
      </c>
      <c r="E41" s="61">
        <f t="shared" si="35"/>
        <v>2.149</v>
      </c>
      <c r="F41" s="44">
        <f t="shared" si="35"/>
        <v>16.530769230769231</v>
      </c>
      <c r="G41" s="44">
        <f t="shared" si="0"/>
        <v>13.224615384615385</v>
      </c>
      <c r="H41" s="44">
        <f t="shared" si="1"/>
        <v>8.2653846153846153</v>
      </c>
      <c r="I41" s="44">
        <f t="shared" si="2"/>
        <v>8</v>
      </c>
      <c r="J41" s="45">
        <f t="shared" si="3"/>
        <v>-30</v>
      </c>
      <c r="K41" s="37" t="str">
        <f>D41&amp;-1</f>
        <v>13-1</v>
      </c>
      <c r="L41" s="45">
        <f t="shared" si="4"/>
        <v>0.2</v>
      </c>
      <c r="M41" s="49">
        <f t="shared" si="5"/>
        <v>90</v>
      </c>
      <c r="N41" s="53">
        <v>75</v>
      </c>
      <c r="O41" s="53">
        <f t="shared" si="33"/>
        <v>150</v>
      </c>
      <c r="P41" s="44">
        <f t="shared" si="33"/>
        <v>750</v>
      </c>
      <c r="Q41" s="45" t="str">
        <f t="shared" si="33"/>
        <v>on</v>
      </c>
    </row>
    <row r="42" spans="1:17" ht="15.75" thickBot="1" x14ac:dyDescent="0.3">
      <c r="A42" s="229">
        <f t="shared" ref="A42:B42" si="48">A41+1</f>
        <v>4425</v>
      </c>
      <c r="B42" s="230">
        <f t="shared" si="48"/>
        <v>32</v>
      </c>
      <c r="C42" s="218" t="str">
        <f t="shared" si="7"/>
        <v>81cF13_330_090#02</v>
      </c>
      <c r="D42" s="43">
        <f t="shared" si="35"/>
        <v>13</v>
      </c>
      <c r="E42" s="61">
        <f t="shared" si="35"/>
        <v>2.149</v>
      </c>
      <c r="F42" s="44">
        <f t="shared" si="35"/>
        <v>16.530769230769231</v>
      </c>
      <c r="G42" s="44">
        <f t="shared" si="0"/>
        <v>13.224615384615385</v>
      </c>
      <c r="H42" s="44">
        <f t="shared" si="1"/>
        <v>8.2653846153846153</v>
      </c>
      <c r="I42" s="44">
        <f t="shared" si="2"/>
        <v>8</v>
      </c>
      <c r="J42" s="45">
        <f t="shared" si="3"/>
        <v>-30</v>
      </c>
      <c r="K42" s="37" t="str">
        <f>D42&amp;-2</f>
        <v>13-2</v>
      </c>
      <c r="L42" s="45">
        <f t="shared" si="4"/>
        <v>0.2</v>
      </c>
      <c r="M42" s="49">
        <f t="shared" si="5"/>
        <v>90</v>
      </c>
      <c r="N42" s="53">
        <f>N41</f>
        <v>75</v>
      </c>
      <c r="O42" s="53">
        <f t="shared" si="33"/>
        <v>150</v>
      </c>
      <c r="P42" s="44">
        <f t="shared" si="33"/>
        <v>750</v>
      </c>
      <c r="Q42" s="45" t="str">
        <f t="shared" si="33"/>
        <v>on</v>
      </c>
    </row>
    <row r="43" spans="1:17" ht="15.75" thickBot="1" x14ac:dyDescent="0.3">
      <c r="A43" s="229">
        <f t="shared" ref="A43:B43" si="49">A42+1</f>
        <v>4426</v>
      </c>
      <c r="B43" s="230">
        <f t="shared" si="49"/>
        <v>33</v>
      </c>
      <c r="C43" s="218" t="str">
        <f t="shared" si="7"/>
        <v>81cF13_330_090#03</v>
      </c>
      <c r="D43" s="43">
        <f t="shared" si="35"/>
        <v>13</v>
      </c>
      <c r="E43" s="61">
        <f t="shared" si="35"/>
        <v>2.149</v>
      </c>
      <c r="F43" s="44">
        <f t="shared" si="35"/>
        <v>16.530769230769231</v>
      </c>
      <c r="G43" s="44">
        <f t="shared" si="0"/>
        <v>13.224615384615385</v>
      </c>
      <c r="H43" s="44">
        <f t="shared" si="1"/>
        <v>8.2653846153846153</v>
      </c>
      <c r="I43" s="44">
        <f t="shared" ref="I43:I106" si="50">inflow</f>
        <v>8</v>
      </c>
      <c r="J43" s="45">
        <f t="shared" ref="J43:J74" si="51">dlc81c_y1</f>
        <v>-30</v>
      </c>
      <c r="K43" s="37" t="str">
        <f>D43&amp;-3</f>
        <v>13-3</v>
      </c>
      <c r="L43" s="45">
        <f t="shared" si="4"/>
        <v>0.2</v>
      </c>
      <c r="M43" s="49">
        <f t="shared" si="5"/>
        <v>90</v>
      </c>
      <c r="N43" s="53">
        <f t="shared" si="33"/>
        <v>75</v>
      </c>
      <c r="O43" s="53">
        <f t="shared" si="33"/>
        <v>150</v>
      </c>
      <c r="P43" s="44">
        <f t="shared" si="33"/>
        <v>750</v>
      </c>
      <c r="Q43" s="45" t="str">
        <f t="shared" si="33"/>
        <v>on</v>
      </c>
    </row>
    <row r="44" spans="1:17" ht="15.75" thickBot="1" x14ac:dyDescent="0.3">
      <c r="A44" s="229">
        <f t="shared" ref="A44:B44" si="52">A43+1</f>
        <v>4427</v>
      </c>
      <c r="B44" s="230">
        <f t="shared" si="52"/>
        <v>34</v>
      </c>
      <c r="C44" s="218" t="str">
        <f t="shared" si="7"/>
        <v>81cF13_330_090#04</v>
      </c>
      <c r="D44" s="43">
        <f t="shared" si="35"/>
        <v>13</v>
      </c>
      <c r="E44" s="61">
        <f t="shared" si="35"/>
        <v>2.149</v>
      </c>
      <c r="F44" s="44">
        <f t="shared" si="35"/>
        <v>16.530769230769231</v>
      </c>
      <c r="G44" s="44">
        <f t="shared" si="0"/>
        <v>13.224615384615385</v>
      </c>
      <c r="H44" s="44">
        <f t="shared" si="1"/>
        <v>8.2653846153846153</v>
      </c>
      <c r="I44" s="44">
        <f t="shared" si="50"/>
        <v>8</v>
      </c>
      <c r="J44" s="45">
        <f t="shared" si="51"/>
        <v>-30</v>
      </c>
      <c r="K44" s="37" t="str">
        <f>D44&amp;-4</f>
        <v>13-4</v>
      </c>
      <c r="L44" s="45">
        <f t="shared" si="4"/>
        <v>0.2</v>
      </c>
      <c r="M44" s="49">
        <f t="shared" si="5"/>
        <v>90</v>
      </c>
      <c r="N44" s="53">
        <f t="shared" ref="N44:Q46" si="53">N43</f>
        <v>75</v>
      </c>
      <c r="O44" s="53">
        <f t="shared" si="53"/>
        <v>150</v>
      </c>
      <c r="P44" s="44">
        <f t="shared" si="53"/>
        <v>750</v>
      </c>
      <c r="Q44" s="45" t="str">
        <f t="shared" si="53"/>
        <v>on</v>
      </c>
    </row>
    <row r="45" spans="1:17" ht="15.75" thickBot="1" x14ac:dyDescent="0.3">
      <c r="A45" s="229">
        <f t="shared" ref="A45:B45" si="54">A44+1</f>
        <v>4428</v>
      </c>
      <c r="B45" s="230">
        <f t="shared" si="54"/>
        <v>35</v>
      </c>
      <c r="C45" s="218" t="str">
        <f t="shared" si="7"/>
        <v>81cF13_330_090#05</v>
      </c>
      <c r="D45" s="43">
        <f t="shared" ref="D45:F46" si="55">D44</f>
        <v>13</v>
      </c>
      <c r="E45" s="61">
        <f t="shared" si="55"/>
        <v>2.149</v>
      </c>
      <c r="F45" s="44">
        <f t="shared" si="55"/>
        <v>16.530769230769231</v>
      </c>
      <c r="G45" s="44">
        <f t="shared" si="0"/>
        <v>13.224615384615385</v>
      </c>
      <c r="H45" s="44">
        <f t="shared" si="1"/>
        <v>8.2653846153846153</v>
      </c>
      <c r="I45" s="44">
        <f t="shared" si="50"/>
        <v>8</v>
      </c>
      <c r="J45" s="45">
        <f t="shared" si="51"/>
        <v>-30</v>
      </c>
      <c r="K45" s="37" t="str">
        <f>D45&amp;-5</f>
        <v>13-5</v>
      </c>
      <c r="L45" s="45">
        <f t="shared" si="4"/>
        <v>0.2</v>
      </c>
      <c r="M45" s="49">
        <f t="shared" si="5"/>
        <v>90</v>
      </c>
      <c r="N45" s="53">
        <f t="shared" si="53"/>
        <v>75</v>
      </c>
      <c r="O45" s="53">
        <f t="shared" si="53"/>
        <v>150</v>
      </c>
      <c r="P45" s="44">
        <f t="shared" si="53"/>
        <v>750</v>
      </c>
      <c r="Q45" s="45" t="str">
        <f t="shared" si="53"/>
        <v>on</v>
      </c>
    </row>
    <row r="46" spans="1:17" ht="15.75" thickBot="1" x14ac:dyDescent="0.3">
      <c r="A46" s="229">
        <f t="shared" ref="A46:B46" si="56">A45+1</f>
        <v>4429</v>
      </c>
      <c r="B46" s="230">
        <f t="shared" si="56"/>
        <v>36</v>
      </c>
      <c r="C46" s="218" t="str">
        <f t="shared" si="7"/>
        <v>81cF13_330_090#06</v>
      </c>
      <c r="D46" s="43">
        <f t="shared" si="55"/>
        <v>13</v>
      </c>
      <c r="E46" s="61">
        <f t="shared" si="55"/>
        <v>2.149</v>
      </c>
      <c r="F46" s="44">
        <f t="shared" si="55"/>
        <v>16.530769230769231</v>
      </c>
      <c r="G46" s="44">
        <f t="shared" si="0"/>
        <v>13.224615384615385</v>
      </c>
      <c r="H46" s="44">
        <f t="shared" si="1"/>
        <v>8.2653846153846153</v>
      </c>
      <c r="I46" s="44">
        <f t="shared" si="50"/>
        <v>8</v>
      </c>
      <c r="J46" s="45">
        <f t="shared" si="51"/>
        <v>-30</v>
      </c>
      <c r="K46" s="37" t="str">
        <f>D46&amp;-6</f>
        <v>13-6</v>
      </c>
      <c r="L46" s="45">
        <f t="shared" si="4"/>
        <v>0.2</v>
      </c>
      <c r="M46" s="49">
        <f t="shared" si="5"/>
        <v>90</v>
      </c>
      <c r="N46" s="53">
        <f t="shared" si="53"/>
        <v>75</v>
      </c>
      <c r="O46" s="53">
        <f t="shared" si="53"/>
        <v>150</v>
      </c>
      <c r="P46" s="44">
        <f t="shared" si="53"/>
        <v>750</v>
      </c>
      <c r="Q46" s="45" t="str">
        <f t="shared" si="53"/>
        <v>on</v>
      </c>
    </row>
    <row r="47" spans="1:17" ht="15.75" thickBot="1" x14ac:dyDescent="0.3">
      <c r="A47" s="229">
        <f t="shared" ref="A47:B47" si="57">A46+1</f>
        <v>4430</v>
      </c>
      <c r="B47" s="230">
        <f t="shared" si="57"/>
        <v>37</v>
      </c>
      <c r="C47" s="218" t="str">
        <f t="shared" si="7"/>
        <v>81cA13_330_180#01</v>
      </c>
      <c r="D47" s="43">
        <f t="shared" ref="D47:F47" si="58">D46</f>
        <v>13</v>
      </c>
      <c r="E47" s="61">
        <f t="shared" si="58"/>
        <v>2.149</v>
      </c>
      <c r="F47" s="44">
        <f t="shared" si="58"/>
        <v>16.530769230769231</v>
      </c>
      <c r="G47" s="44">
        <f t="shared" ref="G47:G82" si="59">m_ty*F47</f>
        <v>13.224615384615385</v>
      </c>
      <c r="H47" s="44">
        <f t="shared" ref="H47:H82" si="60">m_tz*F47</f>
        <v>8.2653846153846153</v>
      </c>
      <c r="I47" s="44">
        <f t="shared" si="50"/>
        <v>8</v>
      </c>
      <c r="J47" s="45">
        <f t="shared" si="51"/>
        <v>-30</v>
      </c>
      <c r="K47" s="37" t="str">
        <f>D47&amp;-1</f>
        <v>13-1</v>
      </c>
      <c r="L47" s="45">
        <f t="shared" si="4"/>
        <v>0.2</v>
      </c>
      <c r="M47" s="49">
        <f t="shared" ref="M47:M82" si="61">dlc81c_r2</f>
        <v>180</v>
      </c>
      <c r="N47" s="53">
        <v>0</v>
      </c>
      <c r="O47" s="53">
        <f t="shared" ref="O47:Q47" si="62">O46</f>
        <v>150</v>
      </c>
      <c r="P47" s="44">
        <f t="shared" si="62"/>
        <v>750</v>
      </c>
      <c r="Q47" s="45" t="str">
        <f t="shared" si="62"/>
        <v>on</v>
      </c>
    </row>
    <row r="48" spans="1:17" ht="15.75" thickBot="1" x14ac:dyDescent="0.3">
      <c r="A48" s="229">
        <f t="shared" ref="A48:B48" si="63">A47+1</f>
        <v>4431</v>
      </c>
      <c r="B48" s="230">
        <f t="shared" si="63"/>
        <v>38</v>
      </c>
      <c r="C48" s="218" t="str">
        <f t="shared" si="7"/>
        <v>81cA13_330_180#02</v>
      </c>
      <c r="D48" s="43">
        <f t="shared" ref="D48:F48" si="64">D47</f>
        <v>13</v>
      </c>
      <c r="E48" s="61">
        <f t="shared" si="64"/>
        <v>2.149</v>
      </c>
      <c r="F48" s="44">
        <f t="shared" si="64"/>
        <v>16.530769230769231</v>
      </c>
      <c r="G48" s="44">
        <f t="shared" si="59"/>
        <v>13.224615384615385</v>
      </c>
      <c r="H48" s="44">
        <f t="shared" si="60"/>
        <v>8.2653846153846153</v>
      </c>
      <c r="I48" s="44">
        <f t="shared" si="50"/>
        <v>8</v>
      </c>
      <c r="J48" s="45">
        <f t="shared" si="51"/>
        <v>-30</v>
      </c>
      <c r="K48" s="37" t="str">
        <f>D48&amp;-2</f>
        <v>13-2</v>
      </c>
      <c r="L48" s="45">
        <f t="shared" si="4"/>
        <v>0.2</v>
      </c>
      <c r="M48" s="49">
        <f t="shared" si="61"/>
        <v>180</v>
      </c>
      <c r="N48" s="53">
        <f>N47</f>
        <v>0</v>
      </c>
      <c r="O48" s="53">
        <f t="shared" ref="O48:Q48" si="65">O47</f>
        <v>150</v>
      </c>
      <c r="P48" s="44">
        <f t="shared" si="65"/>
        <v>750</v>
      </c>
      <c r="Q48" s="45" t="str">
        <f t="shared" si="65"/>
        <v>on</v>
      </c>
    </row>
    <row r="49" spans="1:17" ht="15.75" thickBot="1" x14ac:dyDescent="0.3">
      <c r="A49" s="229">
        <f t="shared" ref="A49:B49" si="66">A48+1</f>
        <v>4432</v>
      </c>
      <c r="B49" s="230">
        <f t="shared" si="66"/>
        <v>39</v>
      </c>
      <c r="C49" s="218" t="str">
        <f t="shared" si="7"/>
        <v>81cA13_330_180#03</v>
      </c>
      <c r="D49" s="43">
        <f t="shared" ref="D49:F49" si="67">D48</f>
        <v>13</v>
      </c>
      <c r="E49" s="61">
        <f t="shared" si="67"/>
        <v>2.149</v>
      </c>
      <c r="F49" s="44">
        <f t="shared" si="67"/>
        <v>16.530769230769231</v>
      </c>
      <c r="G49" s="44">
        <f t="shared" si="59"/>
        <v>13.224615384615385</v>
      </c>
      <c r="H49" s="44">
        <f t="shared" si="60"/>
        <v>8.2653846153846153</v>
      </c>
      <c r="I49" s="44">
        <f t="shared" si="50"/>
        <v>8</v>
      </c>
      <c r="J49" s="45">
        <f t="shared" si="51"/>
        <v>-30</v>
      </c>
      <c r="K49" s="37" t="str">
        <f>D49&amp;-3</f>
        <v>13-3</v>
      </c>
      <c r="L49" s="45">
        <f t="shared" si="4"/>
        <v>0.2</v>
      </c>
      <c r="M49" s="49">
        <f t="shared" si="61"/>
        <v>180</v>
      </c>
      <c r="N49" s="53">
        <f t="shared" ref="N49:Q49" si="68">N48</f>
        <v>0</v>
      </c>
      <c r="O49" s="53">
        <f t="shared" si="68"/>
        <v>150</v>
      </c>
      <c r="P49" s="44">
        <f t="shared" si="68"/>
        <v>750</v>
      </c>
      <c r="Q49" s="45" t="str">
        <f t="shared" si="68"/>
        <v>on</v>
      </c>
    </row>
    <row r="50" spans="1:17" ht="15.75" thickBot="1" x14ac:dyDescent="0.3">
      <c r="A50" s="229">
        <f t="shared" ref="A50:B50" si="69">A49+1</f>
        <v>4433</v>
      </c>
      <c r="B50" s="230">
        <f t="shared" si="69"/>
        <v>40</v>
      </c>
      <c r="C50" s="218" t="str">
        <f t="shared" si="7"/>
        <v>81cA13_330_180#04</v>
      </c>
      <c r="D50" s="43">
        <f t="shared" ref="D50:F50" si="70">D49</f>
        <v>13</v>
      </c>
      <c r="E50" s="61">
        <f t="shared" si="70"/>
        <v>2.149</v>
      </c>
      <c r="F50" s="44">
        <f t="shared" si="70"/>
        <v>16.530769230769231</v>
      </c>
      <c r="G50" s="44">
        <f t="shared" si="59"/>
        <v>13.224615384615385</v>
      </c>
      <c r="H50" s="44">
        <f t="shared" si="60"/>
        <v>8.2653846153846153</v>
      </c>
      <c r="I50" s="44">
        <f t="shared" si="50"/>
        <v>8</v>
      </c>
      <c r="J50" s="45">
        <f t="shared" si="51"/>
        <v>-30</v>
      </c>
      <c r="K50" s="37" t="str">
        <f>D50&amp;-4</f>
        <v>13-4</v>
      </c>
      <c r="L50" s="45">
        <f t="shared" si="4"/>
        <v>0.2</v>
      </c>
      <c r="M50" s="49">
        <f t="shared" si="61"/>
        <v>180</v>
      </c>
      <c r="N50" s="53">
        <f t="shared" ref="N50:Q50" si="71">N49</f>
        <v>0</v>
      </c>
      <c r="O50" s="53">
        <f t="shared" si="71"/>
        <v>150</v>
      </c>
      <c r="P50" s="44">
        <f t="shared" si="71"/>
        <v>750</v>
      </c>
      <c r="Q50" s="45" t="str">
        <f t="shared" si="71"/>
        <v>on</v>
      </c>
    </row>
    <row r="51" spans="1:17" ht="15.75" thickBot="1" x14ac:dyDescent="0.3">
      <c r="A51" s="229">
        <f t="shared" ref="A51:B51" si="72">A50+1</f>
        <v>4434</v>
      </c>
      <c r="B51" s="230">
        <f t="shared" si="72"/>
        <v>41</v>
      </c>
      <c r="C51" s="218" t="str">
        <f t="shared" si="7"/>
        <v>81cA13_330_180#05</v>
      </c>
      <c r="D51" s="43">
        <f t="shared" ref="D51:F51" si="73">D50</f>
        <v>13</v>
      </c>
      <c r="E51" s="61">
        <f t="shared" si="73"/>
        <v>2.149</v>
      </c>
      <c r="F51" s="44">
        <f t="shared" si="73"/>
        <v>16.530769230769231</v>
      </c>
      <c r="G51" s="44">
        <f t="shared" si="59"/>
        <v>13.224615384615385</v>
      </c>
      <c r="H51" s="44">
        <f t="shared" si="60"/>
        <v>8.2653846153846153</v>
      </c>
      <c r="I51" s="44">
        <f t="shared" si="50"/>
        <v>8</v>
      </c>
      <c r="J51" s="45">
        <f t="shared" si="51"/>
        <v>-30</v>
      </c>
      <c r="K51" s="37" t="str">
        <f>D51&amp;-5</f>
        <v>13-5</v>
      </c>
      <c r="L51" s="45">
        <f t="shared" si="4"/>
        <v>0.2</v>
      </c>
      <c r="M51" s="49">
        <f t="shared" si="61"/>
        <v>180</v>
      </c>
      <c r="N51" s="53">
        <f t="shared" ref="N51:Q51" si="74">N50</f>
        <v>0</v>
      </c>
      <c r="O51" s="53">
        <f t="shared" si="74"/>
        <v>150</v>
      </c>
      <c r="P51" s="44">
        <f t="shared" si="74"/>
        <v>750</v>
      </c>
      <c r="Q51" s="45" t="str">
        <f t="shared" si="74"/>
        <v>on</v>
      </c>
    </row>
    <row r="52" spans="1:17" ht="15.75" thickBot="1" x14ac:dyDescent="0.3">
      <c r="A52" s="229">
        <f t="shared" ref="A52:B52" si="75">A51+1</f>
        <v>4435</v>
      </c>
      <c r="B52" s="230">
        <f t="shared" si="75"/>
        <v>42</v>
      </c>
      <c r="C52" s="218" t="str">
        <f t="shared" si="7"/>
        <v>81cA13_330_180#06</v>
      </c>
      <c r="D52" s="43">
        <f t="shared" ref="D52:F52" si="76">D51</f>
        <v>13</v>
      </c>
      <c r="E52" s="61">
        <f t="shared" si="76"/>
        <v>2.149</v>
      </c>
      <c r="F52" s="44">
        <f t="shared" si="76"/>
        <v>16.530769230769231</v>
      </c>
      <c r="G52" s="44">
        <f t="shared" si="59"/>
        <v>13.224615384615385</v>
      </c>
      <c r="H52" s="44">
        <f t="shared" si="60"/>
        <v>8.2653846153846153</v>
      </c>
      <c r="I52" s="44">
        <f t="shared" si="50"/>
        <v>8</v>
      </c>
      <c r="J52" s="45">
        <f t="shared" si="51"/>
        <v>-30</v>
      </c>
      <c r="K52" s="37" t="str">
        <f>D52&amp;-6</f>
        <v>13-6</v>
      </c>
      <c r="L52" s="45">
        <f t="shared" si="4"/>
        <v>0.2</v>
      </c>
      <c r="M52" s="49">
        <f t="shared" si="61"/>
        <v>180</v>
      </c>
      <c r="N52" s="53">
        <f t="shared" ref="N52:Q52" si="77">N51</f>
        <v>0</v>
      </c>
      <c r="O52" s="53">
        <f t="shared" si="77"/>
        <v>150</v>
      </c>
      <c r="P52" s="44">
        <f t="shared" si="77"/>
        <v>750</v>
      </c>
      <c r="Q52" s="45" t="str">
        <f t="shared" si="77"/>
        <v>on</v>
      </c>
    </row>
    <row r="53" spans="1:17" ht="15.75" thickBot="1" x14ac:dyDescent="0.3">
      <c r="A53" s="229">
        <f t="shared" ref="A53:B53" si="78">A52+1</f>
        <v>4436</v>
      </c>
      <c r="B53" s="230">
        <f t="shared" si="78"/>
        <v>43</v>
      </c>
      <c r="C53" s="218" t="str">
        <f t="shared" si="7"/>
        <v>81cB13_330_180#01</v>
      </c>
      <c r="D53" s="43">
        <f t="shared" ref="D53:F53" si="79">D52</f>
        <v>13</v>
      </c>
      <c r="E53" s="61">
        <f t="shared" si="79"/>
        <v>2.149</v>
      </c>
      <c r="F53" s="44">
        <f t="shared" si="79"/>
        <v>16.530769230769231</v>
      </c>
      <c r="G53" s="44">
        <f t="shared" si="59"/>
        <v>13.224615384615385</v>
      </c>
      <c r="H53" s="44">
        <f t="shared" si="60"/>
        <v>8.2653846153846153</v>
      </c>
      <c r="I53" s="44">
        <f t="shared" si="50"/>
        <v>8</v>
      </c>
      <c r="J53" s="45">
        <f t="shared" si="51"/>
        <v>-30</v>
      </c>
      <c r="K53" s="37" t="str">
        <f>D53&amp;-1</f>
        <v>13-1</v>
      </c>
      <c r="L53" s="45">
        <f t="shared" si="4"/>
        <v>0.2</v>
      </c>
      <c r="M53" s="49">
        <f t="shared" si="61"/>
        <v>180</v>
      </c>
      <c r="N53" s="53">
        <v>15</v>
      </c>
      <c r="O53" s="53">
        <f t="shared" ref="O53:Q53" si="80">O52</f>
        <v>150</v>
      </c>
      <c r="P53" s="44">
        <f t="shared" si="80"/>
        <v>750</v>
      </c>
      <c r="Q53" s="45" t="str">
        <f t="shared" si="80"/>
        <v>on</v>
      </c>
    </row>
    <row r="54" spans="1:17" ht="15.75" thickBot="1" x14ac:dyDescent="0.3">
      <c r="A54" s="229">
        <f t="shared" ref="A54:B54" si="81">A53+1</f>
        <v>4437</v>
      </c>
      <c r="B54" s="230">
        <f t="shared" si="81"/>
        <v>44</v>
      </c>
      <c r="C54" s="218" t="str">
        <f t="shared" si="7"/>
        <v>81cB13_330_180#02</v>
      </c>
      <c r="D54" s="43">
        <f t="shared" ref="D54:F54" si="82">D53</f>
        <v>13</v>
      </c>
      <c r="E54" s="61">
        <f t="shared" si="82"/>
        <v>2.149</v>
      </c>
      <c r="F54" s="44">
        <f t="shared" si="82"/>
        <v>16.530769230769231</v>
      </c>
      <c r="G54" s="44">
        <f t="shared" si="59"/>
        <v>13.224615384615385</v>
      </c>
      <c r="H54" s="44">
        <f t="shared" si="60"/>
        <v>8.2653846153846153</v>
      </c>
      <c r="I54" s="44">
        <f t="shared" si="50"/>
        <v>8</v>
      </c>
      <c r="J54" s="45">
        <f t="shared" si="51"/>
        <v>-30</v>
      </c>
      <c r="K54" s="37" t="str">
        <f>D54&amp;-2</f>
        <v>13-2</v>
      </c>
      <c r="L54" s="45">
        <f t="shared" si="4"/>
        <v>0.2</v>
      </c>
      <c r="M54" s="49">
        <f t="shared" si="61"/>
        <v>180</v>
      </c>
      <c r="N54" s="53">
        <f>N53</f>
        <v>15</v>
      </c>
      <c r="O54" s="53">
        <f t="shared" ref="O54:Q54" si="83">O53</f>
        <v>150</v>
      </c>
      <c r="P54" s="44">
        <f t="shared" si="83"/>
        <v>750</v>
      </c>
      <c r="Q54" s="45" t="str">
        <f t="shared" si="83"/>
        <v>on</v>
      </c>
    </row>
    <row r="55" spans="1:17" ht="15.75" thickBot="1" x14ac:dyDescent="0.3">
      <c r="A55" s="229">
        <f t="shared" ref="A55:B55" si="84">A54+1</f>
        <v>4438</v>
      </c>
      <c r="B55" s="230">
        <f t="shared" si="84"/>
        <v>45</v>
      </c>
      <c r="C55" s="218" t="str">
        <f t="shared" si="7"/>
        <v>81cB13_330_180#03</v>
      </c>
      <c r="D55" s="43">
        <f t="shared" ref="D55:F55" si="85">D54</f>
        <v>13</v>
      </c>
      <c r="E55" s="61">
        <f t="shared" si="85"/>
        <v>2.149</v>
      </c>
      <c r="F55" s="44">
        <f t="shared" si="85"/>
        <v>16.530769230769231</v>
      </c>
      <c r="G55" s="44">
        <f t="shared" si="59"/>
        <v>13.224615384615385</v>
      </c>
      <c r="H55" s="44">
        <f t="shared" si="60"/>
        <v>8.2653846153846153</v>
      </c>
      <c r="I55" s="44">
        <f t="shared" si="50"/>
        <v>8</v>
      </c>
      <c r="J55" s="45">
        <f t="shared" si="51"/>
        <v>-30</v>
      </c>
      <c r="K55" s="37" t="str">
        <f>D55&amp;-3</f>
        <v>13-3</v>
      </c>
      <c r="L55" s="45">
        <f t="shared" si="4"/>
        <v>0.2</v>
      </c>
      <c r="M55" s="49">
        <f t="shared" si="61"/>
        <v>180</v>
      </c>
      <c r="N55" s="53">
        <f t="shared" ref="N55:Q55" si="86">N54</f>
        <v>15</v>
      </c>
      <c r="O55" s="53">
        <f t="shared" si="86"/>
        <v>150</v>
      </c>
      <c r="P55" s="44">
        <f t="shared" si="86"/>
        <v>750</v>
      </c>
      <c r="Q55" s="45" t="str">
        <f t="shared" si="86"/>
        <v>on</v>
      </c>
    </row>
    <row r="56" spans="1:17" ht="15.75" thickBot="1" x14ac:dyDescent="0.3">
      <c r="A56" s="229">
        <f t="shared" ref="A56:B56" si="87">A55+1</f>
        <v>4439</v>
      </c>
      <c r="B56" s="230">
        <f t="shared" si="87"/>
        <v>46</v>
      </c>
      <c r="C56" s="218" t="str">
        <f t="shared" si="7"/>
        <v>81cB13_330_180#04</v>
      </c>
      <c r="D56" s="43">
        <f t="shared" ref="D56:F56" si="88">D55</f>
        <v>13</v>
      </c>
      <c r="E56" s="61">
        <f t="shared" si="88"/>
        <v>2.149</v>
      </c>
      <c r="F56" s="44">
        <f t="shared" si="88"/>
        <v>16.530769230769231</v>
      </c>
      <c r="G56" s="44">
        <f t="shared" si="59"/>
        <v>13.224615384615385</v>
      </c>
      <c r="H56" s="44">
        <f t="shared" si="60"/>
        <v>8.2653846153846153</v>
      </c>
      <c r="I56" s="44">
        <f t="shared" si="50"/>
        <v>8</v>
      </c>
      <c r="J56" s="45">
        <f t="shared" si="51"/>
        <v>-30</v>
      </c>
      <c r="K56" s="37" t="str">
        <f>D56&amp;-4</f>
        <v>13-4</v>
      </c>
      <c r="L56" s="45">
        <f t="shared" si="4"/>
        <v>0.2</v>
      </c>
      <c r="M56" s="49">
        <f t="shared" si="61"/>
        <v>180</v>
      </c>
      <c r="N56" s="53">
        <f t="shared" ref="N56:Q56" si="89">N55</f>
        <v>15</v>
      </c>
      <c r="O56" s="53">
        <f t="shared" si="89"/>
        <v>150</v>
      </c>
      <c r="P56" s="44">
        <f t="shared" si="89"/>
        <v>750</v>
      </c>
      <c r="Q56" s="45" t="str">
        <f t="shared" si="89"/>
        <v>on</v>
      </c>
    </row>
    <row r="57" spans="1:17" ht="15.75" thickBot="1" x14ac:dyDescent="0.3">
      <c r="A57" s="229">
        <f t="shared" ref="A57:B57" si="90">A56+1</f>
        <v>4440</v>
      </c>
      <c r="B57" s="230">
        <f t="shared" si="90"/>
        <v>47</v>
      </c>
      <c r="C57" s="218" t="str">
        <f t="shared" si="7"/>
        <v>81cB13_330_180#05</v>
      </c>
      <c r="D57" s="43">
        <f t="shared" ref="D57:F57" si="91">D56</f>
        <v>13</v>
      </c>
      <c r="E57" s="61">
        <f t="shared" si="91"/>
        <v>2.149</v>
      </c>
      <c r="F57" s="44">
        <f t="shared" si="91"/>
        <v>16.530769230769231</v>
      </c>
      <c r="G57" s="44">
        <f t="shared" si="59"/>
        <v>13.224615384615385</v>
      </c>
      <c r="H57" s="44">
        <f t="shared" si="60"/>
        <v>8.2653846153846153</v>
      </c>
      <c r="I57" s="44">
        <f t="shared" si="50"/>
        <v>8</v>
      </c>
      <c r="J57" s="45">
        <f t="shared" si="51"/>
        <v>-30</v>
      </c>
      <c r="K57" s="37" t="str">
        <f>D57&amp;-5</f>
        <v>13-5</v>
      </c>
      <c r="L57" s="45">
        <f t="shared" si="4"/>
        <v>0.2</v>
      </c>
      <c r="M57" s="49">
        <f t="shared" si="61"/>
        <v>180</v>
      </c>
      <c r="N57" s="53">
        <f t="shared" ref="N57:Q57" si="92">N56</f>
        <v>15</v>
      </c>
      <c r="O57" s="53">
        <f t="shared" si="92"/>
        <v>150</v>
      </c>
      <c r="P57" s="44">
        <f t="shared" si="92"/>
        <v>750</v>
      </c>
      <c r="Q57" s="45" t="str">
        <f t="shared" si="92"/>
        <v>on</v>
      </c>
    </row>
    <row r="58" spans="1:17" ht="15.75" thickBot="1" x14ac:dyDescent="0.3">
      <c r="A58" s="229">
        <f t="shared" ref="A58:B58" si="93">A57+1</f>
        <v>4441</v>
      </c>
      <c r="B58" s="230">
        <f t="shared" si="93"/>
        <v>48</v>
      </c>
      <c r="C58" s="218" t="str">
        <f t="shared" si="7"/>
        <v>81cB13_330_180#06</v>
      </c>
      <c r="D58" s="43">
        <f t="shared" ref="D58:F58" si="94">D57</f>
        <v>13</v>
      </c>
      <c r="E58" s="61">
        <f t="shared" si="94"/>
        <v>2.149</v>
      </c>
      <c r="F58" s="44">
        <f t="shared" si="94"/>
        <v>16.530769230769231</v>
      </c>
      <c r="G58" s="44">
        <f t="shared" si="59"/>
        <v>13.224615384615385</v>
      </c>
      <c r="H58" s="44">
        <f t="shared" si="60"/>
        <v>8.2653846153846153</v>
      </c>
      <c r="I58" s="44">
        <f t="shared" si="50"/>
        <v>8</v>
      </c>
      <c r="J58" s="45">
        <f t="shared" si="51"/>
        <v>-30</v>
      </c>
      <c r="K58" s="37" t="str">
        <f>D58&amp;-6</f>
        <v>13-6</v>
      </c>
      <c r="L58" s="45">
        <f t="shared" si="4"/>
        <v>0.2</v>
      </c>
      <c r="M58" s="49">
        <f t="shared" si="61"/>
        <v>180</v>
      </c>
      <c r="N58" s="53">
        <f t="shared" ref="N58:Q58" si="95">N57</f>
        <v>15</v>
      </c>
      <c r="O58" s="53">
        <f t="shared" si="95"/>
        <v>150</v>
      </c>
      <c r="P58" s="44">
        <f t="shared" si="95"/>
        <v>750</v>
      </c>
      <c r="Q58" s="45" t="str">
        <f t="shared" si="95"/>
        <v>on</v>
      </c>
    </row>
    <row r="59" spans="1:17" ht="15.75" thickBot="1" x14ac:dyDescent="0.3">
      <c r="A59" s="229">
        <f t="shared" ref="A59:B59" si="96">A58+1</f>
        <v>4442</v>
      </c>
      <c r="B59" s="230">
        <f t="shared" si="96"/>
        <v>49</v>
      </c>
      <c r="C59" s="218" t="str">
        <f t="shared" si="7"/>
        <v>81cC13_330_180#01</v>
      </c>
      <c r="D59" s="43">
        <f t="shared" ref="D59:F59" si="97">D58</f>
        <v>13</v>
      </c>
      <c r="E59" s="61">
        <f t="shared" si="97"/>
        <v>2.149</v>
      </c>
      <c r="F59" s="44">
        <f t="shared" si="97"/>
        <v>16.530769230769231</v>
      </c>
      <c r="G59" s="44">
        <f t="shared" si="59"/>
        <v>13.224615384615385</v>
      </c>
      <c r="H59" s="44">
        <f t="shared" si="60"/>
        <v>8.2653846153846153</v>
      </c>
      <c r="I59" s="44">
        <f t="shared" si="50"/>
        <v>8</v>
      </c>
      <c r="J59" s="45">
        <f t="shared" si="51"/>
        <v>-30</v>
      </c>
      <c r="K59" s="37" t="str">
        <f>D59&amp;-1</f>
        <v>13-1</v>
      </c>
      <c r="L59" s="45">
        <f t="shared" si="4"/>
        <v>0.2</v>
      </c>
      <c r="M59" s="49">
        <f t="shared" si="61"/>
        <v>180</v>
      </c>
      <c r="N59" s="53">
        <v>30</v>
      </c>
      <c r="O59" s="53">
        <f t="shared" ref="O59:Q59" si="98">O58</f>
        <v>150</v>
      </c>
      <c r="P59" s="44">
        <f t="shared" si="98"/>
        <v>750</v>
      </c>
      <c r="Q59" s="45" t="str">
        <f t="shared" si="98"/>
        <v>on</v>
      </c>
    </row>
    <row r="60" spans="1:17" ht="15.75" thickBot="1" x14ac:dyDescent="0.3">
      <c r="A60" s="229">
        <f t="shared" ref="A60:B60" si="99">A59+1</f>
        <v>4443</v>
      </c>
      <c r="B60" s="230">
        <f t="shared" si="99"/>
        <v>50</v>
      </c>
      <c r="C60" s="218" t="str">
        <f t="shared" si="7"/>
        <v>81cC13_330_180#02</v>
      </c>
      <c r="D60" s="43">
        <f t="shared" ref="D60:F60" si="100">D59</f>
        <v>13</v>
      </c>
      <c r="E60" s="61">
        <f t="shared" si="100"/>
        <v>2.149</v>
      </c>
      <c r="F60" s="44">
        <f t="shared" si="100"/>
        <v>16.530769230769231</v>
      </c>
      <c r="G60" s="44">
        <f t="shared" si="59"/>
        <v>13.224615384615385</v>
      </c>
      <c r="H60" s="44">
        <f t="shared" si="60"/>
        <v>8.2653846153846153</v>
      </c>
      <c r="I60" s="44">
        <f t="shared" si="50"/>
        <v>8</v>
      </c>
      <c r="J60" s="45">
        <f t="shared" si="51"/>
        <v>-30</v>
      </c>
      <c r="K60" s="37" t="str">
        <f>D60&amp;-2</f>
        <v>13-2</v>
      </c>
      <c r="L60" s="45">
        <f t="shared" si="4"/>
        <v>0.2</v>
      </c>
      <c r="M60" s="49">
        <f t="shared" si="61"/>
        <v>180</v>
      </c>
      <c r="N60" s="53">
        <f>N59</f>
        <v>30</v>
      </c>
      <c r="O60" s="53">
        <f t="shared" ref="O60:Q60" si="101">O59</f>
        <v>150</v>
      </c>
      <c r="P60" s="44">
        <f t="shared" si="101"/>
        <v>750</v>
      </c>
      <c r="Q60" s="45" t="str">
        <f t="shared" si="101"/>
        <v>on</v>
      </c>
    </row>
    <row r="61" spans="1:17" ht="15.75" thickBot="1" x14ac:dyDescent="0.3">
      <c r="A61" s="229">
        <f t="shared" ref="A61:B61" si="102">A60+1</f>
        <v>4444</v>
      </c>
      <c r="B61" s="230">
        <f t="shared" si="102"/>
        <v>51</v>
      </c>
      <c r="C61" s="218" t="str">
        <f t="shared" si="7"/>
        <v>81cC13_330_180#03</v>
      </c>
      <c r="D61" s="43">
        <f t="shared" ref="D61:F61" si="103">D60</f>
        <v>13</v>
      </c>
      <c r="E61" s="61">
        <f t="shared" si="103"/>
        <v>2.149</v>
      </c>
      <c r="F61" s="44">
        <f t="shared" si="103"/>
        <v>16.530769230769231</v>
      </c>
      <c r="G61" s="44">
        <f t="shared" si="59"/>
        <v>13.224615384615385</v>
      </c>
      <c r="H61" s="44">
        <f t="shared" si="60"/>
        <v>8.2653846153846153</v>
      </c>
      <c r="I61" s="44">
        <f t="shared" si="50"/>
        <v>8</v>
      </c>
      <c r="J61" s="45">
        <f t="shared" si="51"/>
        <v>-30</v>
      </c>
      <c r="K61" s="37" t="str">
        <f>D61&amp;-3</f>
        <v>13-3</v>
      </c>
      <c r="L61" s="45">
        <f t="shared" si="4"/>
        <v>0.2</v>
      </c>
      <c r="M61" s="49">
        <f t="shared" si="61"/>
        <v>180</v>
      </c>
      <c r="N61" s="53">
        <f t="shared" ref="N61:Q61" si="104">N60</f>
        <v>30</v>
      </c>
      <c r="O61" s="53">
        <f t="shared" si="104"/>
        <v>150</v>
      </c>
      <c r="P61" s="44">
        <f t="shared" si="104"/>
        <v>750</v>
      </c>
      <c r="Q61" s="45" t="str">
        <f t="shared" si="104"/>
        <v>on</v>
      </c>
    </row>
    <row r="62" spans="1:17" ht="15.75" thickBot="1" x14ac:dyDescent="0.3">
      <c r="A62" s="229">
        <f t="shared" ref="A62:B62" si="105">A61+1</f>
        <v>4445</v>
      </c>
      <c r="B62" s="230">
        <f t="shared" si="105"/>
        <v>52</v>
      </c>
      <c r="C62" s="218" t="str">
        <f t="shared" si="7"/>
        <v>81cC13_330_180#04</v>
      </c>
      <c r="D62" s="43">
        <f t="shared" ref="D62:F62" si="106">D61</f>
        <v>13</v>
      </c>
      <c r="E62" s="61">
        <f t="shared" si="106"/>
        <v>2.149</v>
      </c>
      <c r="F62" s="44">
        <f t="shared" si="106"/>
        <v>16.530769230769231</v>
      </c>
      <c r="G62" s="44">
        <f t="shared" si="59"/>
        <v>13.224615384615385</v>
      </c>
      <c r="H62" s="44">
        <f t="shared" si="60"/>
        <v>8.2653846153846153</v>
      </c>
      <c r="I62" s="44">
        <f t="shared" si="50"/>
        <v>8</v>
      </c>
      <c r="J62" s="45">
        <f t="shared" si="51"/>
        <v>-30</v>
      </c>
      <c r="K62" s="37" t="str">
        <f>D62&amp;-4</f>
        <v>13-4</v>
      </c>
      <c r="L62" s="45">
        <f t="shared" si="4"/>
        <v>0.2</v>
      </c>
      <c r="M62" s="49">
        <f t="shared" si="61"/>
        <v>180</v>
      </c>
      <c r="N62" s="53">
        <f t="shared" ref="N62:Q62" si="107">N61</f>
        <v>30</v>
      </c>
      <c r="O62" s="53">
        <f t="shared" si="107"/>
        <v>150</v>
      </c>
      <c r="P62" s="44">
        <f t="shared" si="107"/>
        <v>750</v>
      </c>
      <c r="Q62" s="45" t="str">
        <f t="shared" si="107"/>
        <v>on</v>
      </c>
    </row>
    <row r="63" spans="1:17" ht="15.75" thickBot="1" x14ac:dyDescent="0.3">
      <c r="A63" s="229">
        <f t="shared" ref="A63:B63" si="108">A62+1</f>
        <v>4446</v>
      </c>
      <c r="B63" s="230">
        <f t="shared" si="108"/>
        <v>53</v>
      </c>
      <c r="C63" s="218" t="str">
        <f t="shared" si="7"/>
        <v>81cC13_330_180#05</v>
      </c>
      <c r="D63" s="43">
        <f t="shared" ref="D63:F63" si="109">D62</f>
        <v>13</v>
      </c>
      <c r="E63" s="61">
        <f t="shared" si="109"/>
        <v>2.149</v>
      </c>
      <c r="F63" s="44">
        <f t="shared" si="109"/>
        <v>16.530769230769231</v>
      </c>
      <c r="G63" s="44">
        <f t="shared" si="59"/>
        <v>13.224615384615385</v>
      </c>
      <c r="H63" s="44">
        <f t="shared" si="60"/>
        <v>8.2653846153846153</v>
      </c>
      <c r="I63" s="44">
        <f t="shared" si="50"/>
        <v>8</v>
      </c>
      <c r="J63" s="45">
        <f t="shared" si="51"/>
        <v>-30</v>
      </c>
      <c r="K63" s="37" t="str">
        <f>D63&amp;-5</f>
        <v>13-5</v>
      </c>
      <c r="L63" s="45">
        <f t="shared" si="4"/>
        <v>0.2</v>
      </c>
      <c r="M63" s="49">
        <f t="shared" si="61"/>
        <v>180</v>
      </c>
      <c r="N63" s="53">
        <f t="shared" ref="N63:Q63" si="110">N62</f>
        <v>30</v>
      </c>
      <c r="O63" s="53">
        <f t="shared" si="110"/>
        <v>150</v>
      </c>
      <c r="P63" s="44">
        <f t="shared" si="110"/>
        <v>750</v>
      </c>
      <c r="Q63" s="45" t="str">
        <f t="shared" si="110"/>
        <v>on</v>
      </c>
    </row>
    <row r="64" spans="1:17" ht="15.75" thickBot="1" x14ac:dyDescent="0.3">
      <c r="A64" s="229">
        <f t="shared" ref="A64:B64" si="111">A63+1</f>
        <v>4447</v>
      </c>
      <c r="B64" s="230">
        <f t="shared" si="111"/>
        <v>54</v>
      </c>
      <c r="C64" s="218" t="str">
        <f t="shared" si="7"/>
        <v>81cC13_330_180#06</v>
      </c>
      <c r="D64" s="43">
        <f t="shared" ref="D64:F64" si="112">D63</f>
        <v>13</v>
      </c>
      <c r="E64" s="61">
        <f t="shared" si="112"/>
        <v>2.149</v>
      </c>
      <c r="F64" s="44">
        <f t="shared" si="112"/>
        <v>16.530769230769231</v>
      </c>
      <c r="G64" s="44">
        <f t="shared" si="59"/>
        <v>13.224615384615385</v>
      </c>
      <c r="H64" s="44">
        <f t="shared" si="60"/>
        <v>8.2653846153846153</v>
      </c>
      <c r="I64" s="44">
        <f t="shared" si="50"/>
        <v>8</v>
      </c>
      <c r="J64" s="45">
        <f t="shared" si="51"/>
        <v>-30</v>
      </c>
      <c r="K64" s="37" t="str">
        <f>D64&amp;-6</f>
        <v>13-6</v>
      </c>
      <c r="L64" s="45">
        <f t="shared" si="4"/>
        <v>0.2</v>
      </c>
      <c r="M64" s="49">
        <f t="shared" si="61"/>
        <v>180</v>
      </c>
      <c r="N64" s="53">
        <f t="shared" ref="N64:Q64" si="113">N63</f>
        <v>30</v>
      </c>
      <c r="O64" s="53">
        <f t="shared" si="113"/>
        <v>150</v>
      </c>
      <c r="P64" s="44">
        <f t="shared" si="113"/>
        <v>750</v>
      </c>
      <c r="Q64" s="45" t="str">
        <f t="shared" si="113"/>
        <v>on</v>
      </c>
    </row>
    <row r="65" spans="1:17" ht="15.75" thickBot="1" x14ac:dyDescent="0.3">
      <c r="A65" s="229">
        <f t="shared" ref="A65:B65" si="114">A64+1</f>
        <v>4448</v>
      </c>
      <c r="B65" s="230">
        <f t="shared" si="114"/>
        <v>55</v>
      </c>
      <c r="C65" s="218" t="str">
        <f t="shared" si="7"/>
        <v>81cD13_330_180#01</v>
      </c>
      <c r="D65" s="43">
        <f t="shared" ref="D65:F65" si="115">D64</f>
        <v>13</v>
      </c>
      <c r="E65" s="61">
        <f t="shared" si="115"/>
        <v>2.149</v>
      </c>
      <c r="F65" s="44">
        <f t="shared" si="115"/>
        <v>16.530769230769231</v>
      </c>
      <c r="G65" s="44">
        <f t="shared" si="59"/>
        <v>13.224615384615385</v>
      </c>
      <c r="H65" s="44">
        <f t="shared" si="60"/>
        <v>8.2653846153846153</v>
      </c>
      <c r="I65" s="44">
        <f t="shared" si="50"/>
        <v>8</v>
      </c>
      <c r="J65" s="45">
        <f t="shared" si="51"/>
        <v>-30</v>
      </c>
      <c r="K65" s="37" t="str">
        <f>D65&amp;-1</f>
        <v>13-1</v>
      </c>
      <c r="L65" s="45">
        <f t="shared" si="4"/>
        <v>0.2</v>
      </c>
      <c r="M65" s="49">
        <f t="shared" si="61"/>
        <v>180</v>
      </c>
      <c r="N65" s="53">
        <v>45</v>
      </c>
      <c r="O65" s="53">
        <f t="shared" ref="O65:Q65" si="116">O64</f>
        <v>150</v>
      </c>
      <c r="P65" s="44">
        <f t="shared" si="116"/>
        <v>750</v>
      </c>
      <c r="Q65" s="45" t="str">
        <f t="shared" si="116"/>
        <v>on</v>
      </c>
    </row>
    <row r="66" spans="1:17" ht="15.75" thickBot="1" x14ac:dyDescent="0.3">
      <c r="A66" s="229">
        <f t="shared" ref="A66:B66" si="117">A65+1</f>
        <v>4449</v>
      </c>
      <c r="B66" s="230">
        <f t="shared" si="117"/>
        <v>56</v>
      </c>
      <c r="C66" s="218" t="str">
        <f t="shared" si="7"/>
        <v>81cD13_330_180#02</v>
      </c>
      <c r="D66" s="43">
        <f t="shared" ref="D66:F66" si="118">D65</f>
        <v>13</v>
      </c>
      <c r="E66" s="61">
        <f t="shared" si="118"/>
        <v>2.149</v>
      </c>
      <c r="F66" s="44">
        <f t="shared" si="118"/>
        <v>16.530769230769231</v>
      </c>
      <c r="G66" s="44">
        <f t="shared" si="59"/>
        <v>13.224615384615385</v>
      </c>
      <c r="H66" s="44">
        <f t="shared" si="60"/>
        <v>8.2653846153846153</v>
      </c>
      <c r="I66" s="44">
        <f t="shared" si="50"/>
        <v>8</v>
      </c>
      <c r="J66" s="45">
        <f t="shared" si="51"/>
        <v>-30</v>
      </c>
      <c r="K66" s="37" t="str">
        <f>D66&amp;-2</f>
        <v>13-2</v>
      </c>
      <c r="L66" s="45">
        <f t="shared" si="4"/>
        <v>0.2</v>
      </c>
      <c r="M66" s="49">
        <f t="shared" si="61"/>
        <v>180</v>
      </c>
      <c r="N66" s="53">
        <f>N65</f>
        <v>45</v>
      </c>
      <c r="O66" s="53">
        <f t="shared" ref="O66:Q66" si="119">O65</f>
        <v>150</v>
      </c>
      <c r="P66" s="44">
        <f t="shared" si="119"/>
        <v>750</v>
      </c>
      <c r="Q66" s="45" t="str">
        <f t="shared" si="119"/>
        <v>on</v>
      </c>
    </row>
    <row r="67" spans="1:17" ht="15.75" thickBot="1" x14ac:dyDescent="0.3">
      <c r="A67" s="229">
        <f t="shared" ref="A67:B67" si="120">A66+1</f>
        <v>4450</v>
      </c>
      <c r="B67" s="230">
        <f t="shared" si="120"/>
        <v>57</v>
      </c>
      <c r="C67" s="218" t="str">
        <f t="shared" si="7"/>
        <v>81cD13_330_180#03</v>
      </c>
      <c r="D67" s="43">
        <f t="shared" ref="D67:F67" si="121">D66</f>
        <v>13</v>
      </c>
      <c r="E67" s="61">
        <f t="shared" si="121"/>
        <v>2.149</v>
      </c>
      <c r="F67" s="44">
        <f t="shared" si="121"/>
        <v>16.530769230769231</v>
      </c>
      <c r="G67" s="44">
        <f t="shared" si="59"/>
        <v>13.224615384615385</v>
      </c>
      <c r="H67" s="44">
        <f t="shared" si="60"/>
        <v>8.2653846153846153</v>
      </c>
      <c r="I67" s="44">
        <f t="shared" si="50"/>
        <v>8</v>
      </c>
      <c r="J67" s="45">
        <f t="shared" si="51"/>
        <v>-30</v>
      </c>
      <c r="K67" s="37" t="str">
        <f>D67&amp;-3</f>
        <v>13-3</v>
      </c>
      <c r="L67" s="45">
        <f t="shared" si="4"/>
        <v>0.2</v>
      </c>
      <c r="M67" s="49">
        <f t="shared" si="61"/>
        <v>180</v>
      </c>
      <c r="N67" s="53">
        <f t="shared" ref="N67:Q67" si="122">N66</f>
        <v>45</v>
      </c>
      <c r="O67" s="53">
        <f t="shared" si="122"/>
        <v>150</v>
      </c>
      <c r="P67" s="44">
        <f t="shared" si="122"/>
        <v>750</v>
      </c>
      <c r="Q67" s="45" t="str">
        <f t="shared" si="122"/>
        <v>on</v>
      </c>
    </row>
    <row r="68" spans="1:17" ht="15.75" thickBot="1" x14ac:dyDescent="0.3">
      <c r="A68" s="229">
        <f t="shared" ref="A68:B68" si="123">A67+1</f>
        <v>4451</v>
      </c>
      <c r="B68" s="230">
        <f t="shared" si="123"/>
        <v>58</v>
      </c>
      <c r="C68" s="218" t="str">
        <f t="shared" si="7"/>
        <v>81cD13_330_180#04</v>
      </c>
      <c r="D68" s="43">
        <f t="shared" ref="D68:F68" si="124">D67</f>
        <v>13</v>
      </c>
      <c r="E68" s="61">
        <f t="shared" si="124"/>
        <v>2.149</v>
      </c>
      <c r="F68" s="44">
        <f t="shared" si="124"/>
        <v>16.530769230769231</v>
      </c>
      <c r="G68" s="44">
        <f t="shared" si="59"/>
        <v>13.224615384615385</v>
      </c>
      <c r="H68" s="44">
        <f t="shared" si="60"/>
        <v>8.2653846153846153</v>
      </c>
      <c r="I68" s="44">
        <f t="shared" si="50"/>
        <v>8</v>
      </c>
      <c r="J68" s="45">
        <f t="shared" si="51"/>
        <v>-30</v>
      </c>
      <c r="K68" s="37" t="str">
        <f>D68&amp;-4</f>
        <v>13-4</v>
      </c>
      <c r="L68" s="45">
        <f t="shared" si="4"/>
        <v>0.2</v>
      </c>
      <c r="M68" s="49">
        <f t="shared" si="61"/>
        <v>180</v>
      </c>
      <c r="N68" s="53">
        <f t="shared" ref="N68:Q68" si="125">N67</f>
        <v>45</v>
      </c>
      <c r="O68" s="53">
        <f t="shared" si="125"/>
        <v>150</v>
      </c>
      <c r="P68" s="44">
        <f t="shared" si="125"/>
        <v>750</v>
      </c>
      <c r="Q68" s="45" t="str">
        <f t="shared" si="125"/>
        <v>on</v>
      </c>
    </row>
    <row r="69" spans="1:17" ht="15.75" thickBot="1" x14ac:dyDescent="0.3">
      <c r="A69" s="229">
        <f t="shared" ref="A69:B69" si="126">A68+1</f>
        <v>4452</v>
      </c>
      <c r="B69" s="230">
        <f t="shared" si="126"/>
        <v>59</v>
      </c>
      <c r="C69" s="218" t="str">
        <f t="shared" si="7"/>
        <v>81cD13_330_180#05</v>
      </c>
      <c r="D69" s="43">
        <f t="shared" ref="D69:F69" si="127">D68</f>
        <v>13</v>
      </c>
      <c r="E69" s="61">
        <f t="shared" si="127"/>
        <v>2.149</v>
      </c>
      <c r="F69" s="44">
        <f t="shared" si="127"/>
        <v>16.530769230769231</v>
      </c>
      <c r="G69" s="44">
        <f t="shared" si="59"/>
        <v>13.224615384615385</v>
      </c>
      <c r="H69" s="44">
        <f t="shared" si="60"/>
        <v>8.2653846153846153</v>
      </c>
      <c r="I69" s="44">
        <f t="shared" si="50"/>
        <v>8</v>
      </c>
      <c r="J69" s="45">
        <f t="shared" si="51"/>
        <v>-30</v>
      </c>
      <c r="K69" s="37" t="str">
        <f>D69&amp;-5</f>
        <v>13-5</v>
      </c>
      <c r="L69" s="45">
        <f t="shared" si="4"/>
        <v>0.2</v>
      </c>
      <c r="M69" s="49">
        <f t="shared" si="61"/>
        <v>180</v>
      </c>
      <c r="N69" s="53">
        <f t="shared" ref="N69:Q69" si="128">N68</f>
        <v>45</v>
      </c>
      <c r="O69" s="53">
        <f t="shared" si="128"/>
        <v>150</v>
      </c>
      <c r="P69" s="44">
        <f t="shared" si="128"/>
        <v>750</v>
      </c>
      <c r="Q69" s="45" t="str">
        <f t="shared" si="128"/>
        <v>on</v>
      </c>
    </row>
    <row r="70" spans="1:17" ht="15.75" thickBot="1" x14ac:dyDescent="0.3">
      <c r="A70" s="229">
        <f t="shared" ref="A70:B70" si="129">A69+1</f>
        <v>4453</v>
      </c>
      <c r="B70" s="230">
        <f t="shared" si="129"/>
        <v>60</v>
      </c>
      <c r="C70" s="218" t="str">
        <f t="shared" si="7"/>
        <v>81cD13_330_180#06</v>
      </c>
      <c r="D70" s="43">
        <f t="shared" ref="D70:F70" si="130">D69</f>
        <v>13</v>
      </c>
      <c r="E70" s="61">
        <f t="shared" si="130"/>
        <v>2.149</v>
      </c>
      <c r="F70" s="44">
        <f t="shared" si="130"/>
        <v>16.530769230769231</v>
      </c>
      <c r="G70" s="44">
        <f t="shared" si="59"/>
        <v>13.224615384615385</v>
      </c>
      <c r="H70" s="44">
        <f t="shared" si="60"/>
        <v>8.2653846153846153</v>
      </c>
      <c r="I70" s="44">
        <f t="shared" si="50"/>
        <v>8</v>
      </c>
      <c r="J70" s="45">
        <f t="shared" si="51"/>
        <v>-30</v>
      </c>
      <c r="K70" s="37" t="str">
        <f>D70&amp;-6</f>
        <v>13-6</v>
      </c>
      <c r="L70" s="45">
        <f t="shared" si="4"/>
        <v>0.2</v>
      </c>
      <c r="M70" s="49">
        <f t="shared" si="61"/>
        <v>180</v>
      </c>
      <c r="N70" s="53">
        <f t="shared" ref="N70:Q70" si="131">N69</f>
        <v>45</v>
      </c>
      <c r="O70" s="53">
        <f t="shared" si="131"/>
        <v>150</v>
      </c>
      <c r="P70" s="44">
        <f t="shared" si="131"/>
        <v>750</v>
      </c>
      <c r="Q70" s="45" t="str">
        <f t="shared" si="131"/>
        <v>on</v>
      </c>
    </row>
    <row r="71" spans="1:17" ht="15.75" thickBot="1" x14ac:dyDescent="0.3">
      <c r="A71" s="229">
        <f t="shared" ref="A71:B71" si="132">A70+1</f>
        <v>4454</v>
      </c>
      <c r="B71" s="230">
        <f t="shared" si="132"/>
        <v>61</v>
      </c>
      <c r="C71" s="218" t="str">
        <f t="shared" si="7"/>
        <v>81cE13_330_180#01</v>
      </c>
      <c r="D71" s="43">
        <f t="shared" ref="D71:F71" si="133">D70</f>
        <v>13</v>
      </c>
      <c r="E71" s="61">
        <f t="shared" si="133"/>
        <v>2.149</v>
      </c>
      <c r="F71" s="44">
        <f t="shared" si="133"/>
        <v>16.530769230769231</v>
      </c>
      <c r="G71" s="44">
        <f t="shared" si="59"/>
        <v>13.224615384615385</v>
      </c>
      <c r="H71" s="44">
        <f t="shared" si="60"/>
        <v>8.2653846153846153</v>
      </c>
      <c r="I71" s="44">
        <f t="shared" si="50"/>
        <v>8</v>
      </c>
      <c r="J71" s="45">
        <f t="shared" si="51"/>
        <v>-30</v>
      </c>
      <c r="K71" s="37" t="str">
        <f>D71&amp;-1</f>
        <v>13-1</v>
      </c>
      <c r="L71" s="45">
        <f t="shared" si="4"/>
        <v>0.2</v>
      </c>
      <c r="M71" s="49">
        <f t="shared" si="61"/>
        <v>180</v>
      </c>
      <c r="N71" s="53">
        <v>60</v>
      </c>
      <c r="O71" s="53">
        <f t="shared" ref="O71:Q71" si="134">O70</f>
        <v>150</v>
      </c>
      <c r="P71" s="44">
        <f t="shared" si="134"/>
        <v>750</v>
      </c>
      <c r="Q71" s="45" t="str">
        <f t="shared" si="134"/>
        <v>on</v>
      </c>
    </row>
    <row r="72" spans="1:17" ht="15.75" thickBot="1" x14ac:dyDescent="0.3">
      <c r="A72" s="229">
        <f t="shared" ref="A72:B72" si="135">A71+1</f>
        <v>4455</v>
      </c>
      <c r="B72" s="230">
        <f t="shared" si="135"/>
        <v>62</v>
      </c>
      <c r="C72" s="218" t="str">
        <f t="shared" si="7"/>
        <v>81cE13_330_180#02</v>
      </c>
      <c r="D72" s="43">
        <f t="shared" ref="D72:F72" si="136">D71</f>
        <v>13</v>
      </c>
      <c r="E72" s="61">
        <f t="shared" si="136"/>
        <v>2.149</v>
      </c>
      <c r="F72" s="44">
        <f t="shared" si="136"/>
        <v>16.530769230769231</v>
      </c>
      <c r="G72" s="44">
        <f t="shared" si="59"/>
        <v>13.224615384615385</v>
      </c>
      <c r="H72" s="44">
        <f t="shared" si="60"/>
        <v>8.2653846153846153</v>
      </c>
      <c r="I72" s="44">
        <f t="shared" si="50"/>
        <v>8</v>
      </c>
      <c r="J72" s="45">
        <f t="shared" si="51"/>
        <v>-30</v>
      </c>
      <c r="K72" s="37" t="str">
        <f>D72&amp;-2</f>
        <v>13-2</v>
      </c>
      <c r="L72" s="45">
        <f t="shared" si="4"/>
        <v>0.2</v>
      </c>
      <c r="M72" s="49">
        <f t="shared" si="61"/>
        <v>180</v>
      </c>
      <c r="N72" s="53">
        <f>N71</f>
        <v>60</v>
      </c>
      <c r="O72" s="53">
        <f t="shared" ref="O72:Q72" si="137">O71</f>
        <v>150</v>
      </c>
      <c r="P72" s="44">
        <f t="shared" si="137"/>
        <v>750</v>
      </c>
      <c r="Q72" s="45" t="str">
        <f t="shared" si="137"/>
        <v>on</v>
      </c>
    </row>
    <row r="73" spans="1:17" ht="15.75" thickBot="1" x14ac:dyDescent="0.3">
      <c r="A73" s="229">
        <f t="shared" ref="A73:B73" si="138">A72+1</f>
        <v>4456</v>
      </c>
      <c r="B73" s="230">
        <f t="shared" si="138"/>
        <v>63</v>
      </c>
      <c r="C73" s="218" t="str">
        <f t="shared" si="7"/>
        <v>81cE13_330_180#03</v>
      </c>
      <c r="D73" s="43">
        <f t="shared" ref="D73:F73" si="139">D72</f>
        <v>13</v>
      </c>
      <c r="E73" s="61">
        <f t="shared" si="139"/>
        <v>2.149</v>
      </c>
      <c r="F73" s="44">
        <f t="shared" si="139"/>
        <v>16.530769230769231</v>
      </c>
      <c r="G73" s="44">
        <f t="shared" si="59"/>
        <v>13.224615384615385</v>
      </c>
      <c r="H73" s="44">
        <f t="shared" si="60"/>
        <v>8.2653846153846153</v>
      </c>
      <c r="I73" s="44">
        <f t="shared" si="50"/>
        <v>8</v>
      </c>
      <c r="J73" s="45">
        <f t="shared" si="51"/>
        <v>-30</v>
      </c>
      <c r="K73" s="37" t="str">
        <f>D73&amp;-3</f>
        <v>13-3</v>
      </c>
      <c r="L73" s="45">
        <f t="shared" si="4"/>
        <v>0.2</v>
      </c>
      <c r="M73" s="49">
        <f t="shared" si="61"/>
        <v>180</v>
      </c>
      <c r="N73" s="53">
        <f t="shared" ref="N73:Q73" si="140">N72</f>
        <v>60</v>
      </c>
      <c r="O73" s="53">
        <f t="shared" si="140"/>
        <v>150</v>
      </c>
      <c r="P73" s="44">
        <f t="shared" si="140"/>
        <v>750</v>
      </c>
      <c r="Q73" s="45" t="str">
        <f t="shared" si="140"/>
        <v>on</v>
      </c>
    </row>
    <row r="74" spans="1:17" ht="15.75" thickBot="1" x14ac:dyDescent="0.3">
      <c r="A74" s="229">
        <f t="shared" ref="A74:B74" si="141">A73+1</f>
        <v>4457</v>
      </c>
      <c r="B74" s="230">
        <f t="shared" si="141"/>
        <v>64</v>
      </c>
      <c r="C74" s="218" t="str">
        <f t="shared" si="7"/>
        <v>81cE13_330_180#04</v>
      </c>
      <c r="D74" s="43">
        <f t="shared" ref="D74:F74" si="142">D73</f>
        <v>13</v>
      </c>
      <c r="E74" s="61">
        <f t="shared" si="142"/>
        <v>2.149</v>
      </c>
      <c r="F74" s="44">
        <f t="shared" si="142"/>
        <v>16.530769230769231</v>
      </c>
      <c r="G74" s="44">
        <f t="shared" si="59"/>
        <v>13.224615384615385</v>
      </c>
      <c r="H74" s="44">
        <f t="shared" si="60"/>
        <v>8.2653846153846153</v>
      </c>
      <c r="I74" s="44">
        <f t="shared" si="50"/>
        <v>8</v>
      </c>
      <c r="J74" s="45">
        <f t="shared" si="51"/>
        <v>-30</v>
      </c>
      <c r="K74" s="37" t="str">
        <f>D74&amp;-4</f>
        <v>13-4</v>
      </c>
      <c r="L74" s="45">
        <f t="shared" si="4"/>
        <v>0.2</v>
      </c>
      <c r="M74" s="49">
        <f t="shared" si="61"/>
        <v>180</v>
      </c>
      <c r="N74" s="53">
        <f t="shared" ref="N74:Q74" si="143">N73</f>
        <v>60</v>
      </c>
      <c r="O74" s="53">
        <f t="shared" si="143"/>
        <v>150</v>
      </c>
      <c r="P74" s="44">
        <f t="shared" si="143"/>
        <v>750</v>
      </c>
      <c r="Q74" s="45" t="str">
        <f t="shared" si="143"/>
        <v>on</v>
      </c>
    </row>
    <row r="75" spans="1:17" ht="15.75" thickBot="1" x14ac:dyDescent="0.3">
      <c r="A75" s="229">
        <f t="shared" ref="A75:B75" si="144">A74+1</f>
        <v>4458</v>
      </c>
      <c r="B75" s="230">
        <f t="shared" si="144"/>
        <v>65</v>
      </c>
      <c r="C75" s="218" t="str">
        <f t="shared" si="7"/>
        <v>81cE13_330_180#05</v>
      </c>
      <c r="D75" s="43">
        <f t="shared" ref="D75:F75" si="145">D74</f>
        <v>13</v>
      </c>
      <c r="E75" s="61">
        <f t="shared" si="145"/>
        <v>2.149</v>
      </c>
      <c r="F75" s="44">
        <f t="shared" si="145"/>
        <v>16.530769230769231</v>
      </c>
      <c r="G75" s="44">
        <f t="shared" si="59"/>
        <v>13.224615384615385</v>
      </c>
      <c r="H75" s="44">
        <f t="shared" si="60"/>
        <v>8.2653846153846153</v>
      </c>
      <c r="I75" s="44">
        <f t="shared" si="50"/>
        <v>8</v>
      </c>
      <c r="J75" s="45">
        <f t="shared" ref="J75:J106" si="146">dlc81c_y1</f>
        <v>-30</v>
      </c>
      <c r="K75" s="37" t="str">
        <f>D75&amp;-5</f>
        <v>13-5</v>
      </c>
      <c r="L75" s="45">
        <f t="shared" ref="L75:L138" si="147">alpha_n</f>
        <v>0.2</v>
      </c>
      <c r="M75" s="49">
        <f t="shared" si="61"/>
        <v>180</v>
      </c>
      <c r="N75" s="53">
        <f t="shared" ref="N75:Q75" si="148">N74</f>
        <v>60</v>
      </c>
      <c r="O75" s="53">
        <f t="shared" si="148"/>
        <v>150</v>
      </c>
      <c r="P75" s="44">
        <f t="shared" si="148"/>
        <v>750</v>
      </c>
      <c r="Q75" s="45" t="str">
        <f t="shared" si="148"/>
        <v>on</v>
      </c>
    </row>
    <row r="76" spans="1:17" ht="15.75" thickBot="1" x14ac:dyDescent="0.3">
      <c r="A76" s="229">
        <f t="shared" ref="A76:B76" si="149">A75+1</f>
        <v>4459</v>
      </c>
      <c r="B76" s="230">
        <f t="shared" si="149"/>
        <v>66</v>
      </c>
      <c r="C76" s="218" t="str">
        <f t="shared" ref="C76:C139" si="150">TEXT(RIGHT($B$2,LEN($B$2)-3),"000")&amp;IF(N76=0,"A",IF(N76=15,"B",IF(N76=30,"C",IF(N76=45,"D",IF(N76=60,"E","F")))))&amp;TEXT(D76,"00")&amp;"_"&amp;IF(J76&lt;0,TEXT(360+J76,"000"),TEXT(J76,"000"))&amp;"_"&amp;TEXT(M76,"000")&amp;"#"&amp;TEXT(RIGHT(K76,LEN(K76)-FIND("-",K76)),"00")</f>
        <v>81cE13_330_180#06</v>
      </c>
      <c r="D76" s="43">
        <f t="shared" ref="D76:F76" si="151">D75</f>
        <v>13</v>
      </c>
      <c r="E76" s="61">
        <f t="shared" si="151"/>
        <v>2.149</v>
      </c>
      <c r="F76" s="44">
        <f t="shared" si="151"/>
        <v>16.530769230769231</v>
      </c>
      <c r="G76" s="44">
        <f t="shared" si="59"/>
        <v>13.224615384615385</v>
      </c>
      <c r="H76" s="44">
        <f t="shared" si="60"/>
        <v>8.2653846153846153</v>
      </c>
      <c r="I76" s="44">
        <f t="shared" si="50"/>
        <v>8</v>
      </c>
      <c r="J76" s="45">
        <f t="shared" si="146"/>
        <v>-30</v>
      </c>
      <c r="K76" s="37" t="str">
        <f>D76&amp;-6</f>
        <v>13-6</v>
      </c>
      <c r="L76" s="45">
        <f t="shared" si="147"/>
        <v>0.2</v>
      </c>
      <c r="M76" s="49">
        <f t="shared" si="61"/>
        <v>180</v>
      </c>
      <c r="N76" s="53">
        <f t="shared" ref="N76:Q76" si="152">N75</f>
        <v>60</v>
      </c>
      <c r="O76" s="53">
        <f t="shared" si="152"/>
        <v>150</v>
      </c>
      <c r="P76" s="44">
        <f t="shared" si="152"/>
        <v>750</v>
      </c>
      <c r="Q76" s="45" t="str">
        <f t="shared" si="152"/>
        <v>on</v>
      </c>
    </row>
    <row r="77" spans="1:17" ht="15.75" thickBot="1" x14ac:dyDescent="0.3">
      <c r="A77" s="229">
        <f t="shared" ref="A77:B77" si="153">A76+1</f>
        <v>4460</v>
      </c>
      <c r="B77" s="230">
        <f t="shared" si="153"/>
        <v>67</v>
      </c>
      <c r="C77" s="218" t="str">
        <f t="shared" si="150"/>
        <v>81cF13_330_180#01</v>
      </c>
      <c r="D77" s="43">
        <f t="shared" ref="D77:F77" si="154">D76</f>
        <v>13</v>
      </c>
      <c r="E77" s="61">
        <f t="shared" si="154"/>
        <v>2.149</v>
      </c>
      <c r="F77" s="44">
        <f t="shared" si="154"/>
        <v>16.530769230769231</v>
      </c>
      <c r="G77" s="44">
        <f t="shared" si="59"/>
        <v>13.224615384615385</v>
      </c>
      <c r="H77" s="44">
        <f t="shared" si="60"/>
        <v>8.2653846153846153</v>
      </c>
      <c r="I77" s="44">
        <f t="shared" si="50"/>
        <v>8</v>
      </c>
      <c r="J77" s="45">
        <f t="shared" si="146"/>
        <v>-30</v>
      </c>
      <c r="K77" s="37" t="str">
        <f>D77&amp;-1</f>
        <v>13-1</v>
      </c>
      <c r="L77" s="45">
        <f t="shared" si="147"/>
        <v>0.2</v>
      </c>
      <c r="M77" s="49">
        <f t="shared" si="61"/>
        <v>180</v>
      </c>
      <c r="N77" s="53">
        <v>75</v>
      </c>
      <c r="O77" s="53">
        <f t="shared" ref="O77:Q77" si="155">O76</f>
        <v>150</v>
      </c>
      <c r="P77" s="44">
        <f t="shared" si="155"/>
        <v>750</v>
      </c>
      <c r="Q77" s="45" t="str">
        <f t="shared" si="155"/>
        <v>on</v>
      </c>
    </row>
    <row r="78" spans="1:17" ht="15.75" thickBot="1" x14ac:dyDescent="0.3">
      <c r="A78" s="229">
        <f t="shared" ref="A78:B78" si="156">A77+1</f>
        <v>4461</v>
      </c>
      <c r="B78" s="230">
        <f t="shared" si="156"/>
        <v>68</v>
      </c>
      <c r="C78" s="218" t="str">
        <f t="shared" si="150"/>
        <v>81cF13_330_180#02</v>
      </c>
      <c r="D78" s="43">
        <f t="shared" ref="D78:F78" si="157">D77</f>
        <v>13</v>
      </c>
      <c r="E78" s="61">
        <f t="shared" si="157"/>
        <v>2.149</v>
      </c>
      <c r="F78" s="44">
        <f t="shared" si="157"/>
        <v>16.530769230769231</v>
      </c>
      <c r="G78" s="44">
        <f t="shared" si="59"/>
        <v>13.224615384615385</v>
      </c>
      <c r="H78" s="44">
        <f t="shared" si="60"/>
        <v>8.2653846153846153</v>
      </c>
      <c r="I78" s="44">
        <f t="shared" si="50"/>
        <v>8</v>
      </c>
      <c r="J78" s="45">
        <f t="shared" si="146"/>
        <v>-30</v>
      </c>
      <c r="K78" s="37" t="str">
        <f>D78&amp;-2</f>
        <v>13-2</v>
      </c>
      <c r="L78" s="45">
        <f t="shared" si="147"/>
        <v>0.2</v>
      </c>
      <c r="M78" s="49">
        <f t="shared" si="61"/>
        <v>180</v>
      </c>
      <c r="N78" s="53">
        <f>N77</f>
        <v>75</v>
      </c>
      <c r="O78" s="53">
        <f t="shared" ref="O78:Q78" si="158">O77</f>
        <v>150</v>
      </c>
      <c r="P78" s="44">
        <f t="shared" si="158"/>
        <v>750</v>
      </c>
      <c r="Q78" s="45" t="str">
        <f t="shared" si="158"/>
        <v>on</v>
      </c>
    </row>
    <row r="79" spans="1:17" ht="15.75" thickBot="1" x14ac:dyDescent="0.3">
      <c r="A79" s="229">
        <f t="shared" ref="A79:B79" si="159">A78+1</f>
        <v>4462</v>
      </c>
      <c r="B79" s="230">
        <f t="shared" si="159"/>
        <v>69</v>
      </c>
      <c r="C79" s="218" t="str">
        <f t="shared" si="150"/>
        <v>81cF13_330_180#03</v>
      </c>
      <c r="D79" s="43">
        <f t="shared" ref="D79:F79" si="160">D78</f>
        <v>13</v>
      </c>
      <c r="E79" s="61">
        <f t="shared" si="160"/>
        <v>2.149</v>
      </c>
      <c r="F79" s="44">
        <f t="shared" si="160"/>
        <v>16.530769230769231</v>
      </c>
      <c r="G79" s="44">
        <f t="shared" si="59"/>
        <v>13.224615384615385</v>
      </c>
      <c r="H79" s="44">
        <f t="shared" si="60"/>
        <v>8.2653846153846153</v>
      </c>
      <c r="I79" s="44">
        <f t="shared" si="50"/>
        <v>8</v>
      </c>
      <c r="J79" s="45">
        <f t="shared" si="146"/>
        <v>-30</v>
      </c>
      <c r="K79" s="37" t="str">
        <f>D79&amp;-3</f>
        <v>13-3</v>
      </c>
      <c r="L79" s="45">
        <f t="shared" si="147"/>
        <v>0.2</v>
      </c>
      <c r="M79" s="49">
        <f t="shared" si="61"/>
        <v>180</v>
      </c>
      <c r="N79" s="53">
        <f t="shared" ref="N79:Q79" si="161">N78</f>
        <v>75</v>
      </c>
      <c r="O79" s="53">
        <f t="shared" si="161"/>
        <v>150</v>
      </c>
      <c r="P79" s="44">
        <f t="shared" si="161"/>
        <v>750</v>
      </c>
      <c r="Q79" s="45" t="str">
        <f t="shared" si="161"/>
        <v>on</v>
      </c>
    </row>
    <row r="80" spans="1:17" ht="15.75" thickBot="1" x14ac:dyDescent="0.3">
      <c r="A80" s="229">
        <f t="shared" ref="A80:B80" si="162">A79+1</f>
        <v>4463</v>
      </c>
      <c r="B80" s="230">
        <f t="shared" si="162"/>
        <v>70</v>
      </c>
      <c r="C80" s="218" t="str">
        <f t="shared" si="150"/>
        <v>81cF13_330_180#04</v>
      </c>
      <c r="D80" s="43">
        <f t="shared" ref="D80:F80" si="163">D79</f>
        <v>13</v>
      </c>
      <c r="E80" s="61">
        <f t="shared" si="163"/>
        <v>2.149</v>
      </c>
      <c r="F80" s="44">
        <f t="shared" si="163"/>
        <v>16.530769230769231</v>
      </c>
      <c r="G80" s="44">
        <f t="shared" si="59"/>
        <v>13.224615384615385</v>
      </c>
      <c r="H80" s="44">
        <f t="shared" si="60"/>
        <v>8.2653846153846153</v>
      </c>
      <c r="I80" s="44">
        <f t="shared" si="50"/>
        <v>8</v>
      </c>
      <c r="J80" s="45">
        <f t="shared" si="146"/>
        <v>-30</v>
      </c>
      <c r="K80" s="37" t="str">
        <f>D80&amp;-4</f>
        <v>13-4</v>
      </c>
      <c r="L80" s="45">
        <f t="shared" si="147"/>
        <v>0.2</v>
      </c>
      <c r="M80" s="49">
        <f t="shared" si="61"/>
        <v>180</v>
      </c>
      <c r="N80" s="53">
        <f t="shared" ref="N80:Q80" si="164">N79</f>
        <v>75</v>
      </c>
      <c r="O80" s="53">
        <f t="shared" si="164"/>
        <v>150</v>
      </c>
      <c r="P80" s="44">
        <f t="shared" si="164"/>
        <v>750</v>
      </c>
      <c r="Q80" s="45" t="str">
        <f t="shared" si="164"/>
        <v>on</v>
      </c>
    </row>
    <row r="81" spans="1:17" ht="15.75" thickBot="1" x14ac:dyDescent="0.3">
      <c r="A81" s="229">
        <f t="shared" ref="A81:B81" si="165">A80+1</f>
        <v>4464</v>
      </c>
      <c r="B81" s="230">
        <f t="shared" si="165"/>
        <v>71</v>
      </c>
      <c r="C81" s="218" t="str">
        <f t="shared" si="150"/>
        <v>81cF13_330_180#05</v>
      </c>
      <c r="D81" s="43">
        <f t="shared" ref="D81:F81" si="166">D80</f>
        <v>13</v>
      </c>
      <c r="E81" s="61">
        <f t="shared" si="166"/>
        <v>2.149</v>
      </c>
      <c r="F81" s="44">
        <f t="shared" si="166"/>
        <v>16.530769230769231</v>
      </c>
      <c r="G81" s="44">
        <f t="shared" si="59"/>
        <v>13.224615384615385</v>
      </c>
      <c r="H81" s="44">
        <f t="shared" si="60"/>
        <v>8.2653846153846153</v>
      </c>
      <c r="I81" s="44">
        <f t="shared" si="50"/>
        <v>8</v>
      </c>
      <c r="J81" s="45">
        <f t="shared" si="146"/>
        <v>-30</v>
      </c>
      <c r="K81" s="37" t="str">
        <f>D81&amp;-5</f>
        <v>13-5</v>
      </c>
      <c r="L81" s="45">
        <f t="shared" si="147"/>
        <v>0.2</v>
      </c>
      <c r="M81" s="49">
        <f t="shared" si="61"/>
        <v>180</v>
      </c>
      <c r="N81" s="53">
        <f t="shared" ref="N81:Q81" si="167">N80</f>
        <v>75</v>
      </c>
      <c r="O81" s="53">
        <f t="shared" si="167"/>
        <v>150</v>
      </c>
      <c r="P81" s="44">
        <f t="shared" si="167"/>
        <v>750</v>
      </c>
      <c r="Q81" s="45" t="str">
        <f t="shared" si="167"/>
        <v>on</v>
      </c>
    </row>
    <row r="82" spans="1:17" ht="15.75" thickBot="1" x14ac:dyDescent="0.3">
      <c r="A82" s="229">
        <f t="shared" ref="A82:B82" si="168">A81+1</f>
        <v>4465</v>
      </c>
      <c r="B82" s="230">
        <f t="shared" si="168"/>
        <v>72</v>
      </c>
      <c r="C82" s="218" t="str">
        <f t="shared" si="150"/>
        <v>81cF13_330_180#06</v>
      </c>
      <c r="D82" s="43">
        <f t="shared" ref="D82:F82" si="169">D81</f>
        <v>13</v>
      </c>
      <c r="E82" s="61">
        <f t="shared" si="169"/>
        <v>2.149</v>
      </c>
      <c r="F82" s="44">
        <f t="shared" si="169"/>
        <v>16.530769230769231</v>
      </c>
      <c r="G82" s="44">
        <f t="shared" si="59"/>
        <v>13.224615384615385</v>
      </c>
      <c r="H82" s="44">
        <f t="shared" si="60"/>
        <v>8.2653846153846153</v>
      </c>
      <c r="I82" s="44">
        <f t="shared" si="50"/>
        <v>8</v>
      </c>
      <c r="J82" s="45">
        <f t="shared" si="146"/>
        <v>-30</v>
      </c>
      <c r="K82" s="37" t="str">
        <f>D82&amp;-6</f>
        <v>13-6</v>
      </c>
      <c r="L82" s="45">
        <f t="shared" si="147"/>
        <v>0.2</v>
      </c>
      <c r="M82" s="49">
        <f t="shared" si="61"/>
        <v>180</v>
      </c>
      <c r="N82" s="53">
        <f t="shared" ref="N82:Q82" si="170">N81</f>
        <v>75</v>
      </c>
      <c r="O82" s="53">
        <f t="shared" si="170"/>
        <v>150</v>
      </c>
      <c r="P82" s="44">
        <f t="shared" si="170"/>
        <v>750</v>
      </c>
      <c r="Q82" s="45" t="str">
        <f t="shared" si="170"/>
        <v>on</v>
      </c>
    </row>
    <row r="83" spans="1:17" ht="15.75" thickBot="1" x14ac:dyDescent="0.3">
      <c r="A83" s="229">
        <f t="shared" ref="A83:B83" si="171">A82+1</f>
        <v>4466</v>
      </c>
      <c r="B83" s="230">
        <f t="shared" si="171"/>
        <v>73</v>
      </c>
      <c r="C83" s="218" t="str">
        <f t="shared" si="150"/>
        <v>81cA13_330_270#01</v>
      </c>
      <c r="D83" s="43">
        <f t="shared" ref="D83:F83" si="172">D82</f>
        <v>13</v>
      </c>
      <c r="E83" s="61">
        <f t="shared" si="172"/>
        <v>2.149</v>
      </c>
      <c r="F83" s="44">
        <f t="shared" si="172"/>
        <v>16.530769230769231</v>
      </c>
      <c r="G83" s="44">
        <f t="shared" ref="G83:G146" si="173">m_ty*F83</f>
        <v>13.224615384615385</v>
      </c>
      <c r="H83" s="44">
        <f t="shared" ref="H83:H146" si="174">m_tz*F83</f>
        <v>8.2653846153846153</v>
      </c>
      <c r="I83" s="44">
        <f t="shared" si="50"/>
        <v>8</v>
      </c>
      <c r="J83" s="45">
        <f t="shared" si="146"/>
        <v>-30</v>
      </c>
      <c r="K83" s="37" t="str">
        <f>D83&amp;-1</f>
        <v>13-1</v>
      </c>
      <c r="L83" s="45">
        <f t="shared" si="147"/>
        <v>0.2</v>
      </c>
      <c r="M83" s="49">
        <f t="shared" ref="M83:M118" si="175">dlc81c_r3</f>
        <v>270</v>
      </c>
      <c r="N83" s="53">
        <v>0</v>
      </c>
      <c r="O83" s="53">
        <f t="shared" ref="O83:Q83" si="176">O82</f>
        <v>150</v>
      </c>
      <c r="P83" s="44">
        <f t="shared" si="176"/>
        <v>750</v>
      </c>
      <c r="Q83" s="45" t="str">
        <f t="shared" si="176"/>
        <v>on</v>
      </c>
    </row>
    <row r="84" spans="1:17" ht="15.75" thickBot="1" x14ac:dyDescent="0.3">
      <c r="A84" s="229">
        <f t="shared" ref="A84:B84" si="177">A83+1</f>
        <v>4467</v>
      </c>
      <c r="B84" s="230">
        <f t="shared" si="177"/>
        <v>74</v>
      </c>
      <c r="C84" s="218" t="str">
        <f t="shared" si="150"/>
        <v>81cA13_330_270#02</v>
      </c>
      <c r="D84" s="43">
        <f t="shared" ref="D84:F84" si="178">D83</f>
        <v>13</v>
      </c>
      <c r="E84" s="61">
        <f t="shared" si="178"/>
        <v>2.149</v>
      </c>
      <c r="F84" s="44">
        <f t="shared" si="178"/>
        <v>16.530769230769231</v>
      </c>
      <c r="G84" s="44">
        <f t="shared" si="173"/>
        <v>13.224615384615385</v>
      </c>
      <c r="H84" s="44">
        <f t="shared" si="174"/>
        <v>8.2653846153846153</v>
      </c>
      <c r="I84" s="44">
        <f t="shared" si="50"/>
        <v>8</v>
      </c>
      <c r="J84" s="45">
        <f t="shared" si="146"/>
        <v>-30</v>
      </c>
      <c r="K84" s="37" t="str">
        <f>D84&amp;-2</f>
        <v>13-2</v>
      </c>
      <c r="L84" s="45">
        <f t="shared" si="147"/>
        <v>0.2</v>
      </c>
      <c r="M84" s="49">
        <f t="shared" si="175"/>
        <v>270</v>
      </c>
      <c r="N84" s="53">
        <f>N83</f>
        <v>0</v>
      </c>
      <c r="O84" s="53">
        <f t="shared" ref="O84:Q84" si="179">O83</f>
        <v>150</v>
      </c>
      <c r="P84" s="44">
        <f t="shared" si="179"/>
        <v>750</v>
      </c>
      <c r="Q84" s="45" t="str">
        <f t="shared" si="179"/>
        <v>on</v>
      </c>
    </row>
    <row r="85" spans="1:17" ht="15.75" thickBot="1" x14ac:dyDescent="0.3">
      <c r="A85" s="229">
        <f t="shared" ref="A85:B85" si="180">A84+1</f>
        <v>4468</v>
      </c>
      <c r="B85" s="230">
        <f t="shared" si="180"/>
        <v>75</v>
      </c>
      <c r="C85" s="218" t="str">
        <f t="shared" si="150"/>
        <v>81cA13_330_270#03</v>
      </c>
      <c r="D85" s="43">
        <f t="shared" ref="D85:F85" si="181">D84</f>
        <v>13</v>
      </c>
      <c r="E85" s="61">
        <f t="shared" si="181"/>
        <v>2.149</v>
      </c>
      <c r="F85" s="44">
        <f t="shared" si="181"/>
        <v>16.530769230769231</v>
      </c>
      <c r="G85" s="44">
        <f t="shared" si="173"/>
        <v>13.224615384615385</v>
      </c>
      <c r="H85" s="44">
        <f t="shared" si="174"/>
        <v>8.2653846153846153</v>
      </c>
      <c r="I85" s="44">
        <f t="shared" si="50"/>
        <v>8</v>
      </c>
      <c r="J85" s="45">
        <f t="shared" si="146"/>
        <v>-30</v>
      </c>
      <c r="K85" s="37" t="str">
        <f>D85&amp;-3</f>
        <v>13-3</v>
      </c>
      <c r="L85" s="45">
        <f t="shared" si="147"/>
        <v>0.2</v>
      </c>
      <c r="M85" s="49">
        <f t="shared" si="175"/>
        <v>270</v>
      </c>
      <c r="N85" s="53">
        <f t="shared" ref="N85:Q85" si="182">N84</f>
        <v>0</v>
      </c>
      <c r="O85" s="53">
        <f t="shared" si="182"/>
        <v>150</v>
      </c>
      <c r="P85" s="44">
        <f t="shared" si="182"/>
        <v>750</v>
      </c>
      <c r="Q85" s="45" t="str">
        <f t="shared" si="182"/>
        <v>on</v>
      </c>
    </row>
    <row r="86" spans="1:17" ht="15.75" thickBot="1" x14ac:dyDescent="0.3">
      <c r="A86" s="229">
        <f t="shared" ref="A86:B86" si="183">A85+1</f>
        <v>4469</v>
      </c>
      <c r="B86" s="230">
        <f t="shared" si="183"/>
        <v>76</v>
      </c>
      <c r="C86" s="218" t="str">
        <f t="shared" si="150"/>
        <v>81cA13_330_270#04</v>
      </c>
      <c r="D86" s="43">
        <f t="shared" ref="D86:F86" si="184">D85</f>
        <v>13</v>
      </c>
      <c r="E86" s="61">
        <f t="shared" si="184"/>
        <v>2.149</v>
      </c>
      <c r="F86" s="44">
        <f t="shared" si="184"/>
        <v>16.530769230769231</v>
      </c>
      <c r="G86" s="44">
        <f t="shared" si="173"/>
        <v>13.224615384615385</v>
      </c>
      <c r="H86" s="44">
        <f t="shared" si="174"/>
        <v>8.2653846153846153</v>
      </c>
      <c r="I86" s="44">
        <f t="shared" si="50"/>
        <v>8</v>
      </c>
      <c r="J86" s="45">
        <f t="shared" si="146"/>
        <v>-30</v>
      </c>
      <c r="K86" s="37" t="str">
        <f>D86&amp;-4</f>
        <v>13-4</v>
      </c>
      <c r="L86" s="45">
        <f t="shared" si="147"/>
        <v>0.2</v>
      </c>
      <c r="M86" s="49">
        <f t="shared" si="175"/>
        <v>270</v>
      </c>
      <c r="N86" s="53">
        <f t="shared" ref="N86:Q86" si="185">N85</f>
        <v>0</v>
      </c>
      <c r="O86" s="53">
        <f t="shared" si="185"/>
        <v>150</v>
      </c>
      <c r="P86" s="44">
        <f t="shared" si="185"/>
        <v>750</v>
      </c>
      <c r="Q86" s="45" t="str">
        <f t="shared" si="185"/>
        <v>on</v>
      </c>
    </row>
    <row r="87" spans="1:17" ht="15.75" thickBot="1" x14ac:dyDescent="0.3">
      <c r="A87" s="229">
        <f t="shared" ref="A87:B87" si="186">A86+1</f>
        <v>4470</v>
      </c>
      <c r="B87" s="230">
        <f t="shared" si="186"/>
        <v>77</v>
      </c>
      <c r="C87" s="218" t="str">
        <f t="shared" si="150"/>
        <v>81cA13_330_270#05</v>
      </c>
      <c r="D87" s="43">
        <f t="shared" ref="D87:F87" si="187">D86</f>
        <v>13</v>
      </c>
      <c r="E87" s="61">
        <f t="shared" si="187"/>
        <v>2.149</v>
      </c>
      <c r="F87" s="44">
        <f t="shared" si="187"/>
        <v>16.530769230769231</v>
      </c>
      <c r="G87" s="44">
        <f t="shared" si="173"/>
        <v>13.224615384615385</v>
      </c>
      <c r="H87" s="44">
        <f t="shared" si="174"/>
        <v>8.2653846153846153</v>
      </c>
      <c r="I87" s="44">
        <f t="shared" si="50"/>
        <v>8</v>
      </c>
      <c r="J87" s="45">
        <f t="shared" si="146"/>
        <v>-30</v>
      </c>
      <c r="K87" s="37" t="str">
        <f>D87&amp;-5</f>
        <v>13-5</v>
      </c>
      <c r="L87" s="45">
        <f t="shared" si="147"/>
        <v>0.2</v>
      </c>
      <c r="M87" s="49">
        <f t="shared" si="175"/>
        <v>270</v>
      </c>
      <c r="N87" s="53">
        <f t="shared" ref="N87:Q87" si="188">N86</f>
        <v>0</v>
      </c>
      <c r="O87" s="53">
        <f t="shared" si="188"/>
        <v>150</v>
      </c>
      <c r="P87" s="44">
        <f t="shared" si="188"/>
        <v>750</v>
      </c>
      <c r="Q87" s="45" t="str">
        <f t="shared" si="188"/>
        <v>on</v>
      </c>
    </row>
    <row r="88" spans="1:17" ht="15.75" thickBot="1" x14ac:dyDescent="0.3">
      <c r="A88" s="229">
        <f t="shared" ref="A88:B88" si="189">A87+1</f>
        <v>4471</v>
      </c>
      <c r="B88" s="230">
        <f t="shared" si="189"/>
        <v>78</v>
      </c>
      <c r="C88" s="218" t="str">
        <f t="shared" si="150"/>
        <v>81cA13_330_270#06</v>
      </c>
      <c r="D88" s="43">
        <f t="shared" ref="D88:F88" si="190">D87</f>
        <v>13</v>
      </c>
      <c r="E88" s="61">
        <f t="shared" si="190"/>
        <v>2.149</v>
      </c>
      <c r="F88" s="44">
        <f t="shared" si="190"/>
        <v>16.530769230769231</v>
      </c>
      <c r="G88" s="44">
        <f t="shared" si="173"/>
        <v>13.224615384615385</v>
      </c>
      <c r="H88" s="44">
        <f t="shared" si="174"/>
        <v>8.2653846153846153</v>
      </c>
      <c r="I88" s="44">
        <f t="shared" si="50"/>
        <v>8</v>
      </c>
      <c r="J88" s="45">
        <f t="shared" si="146"/>
        <v>-30</v>
      </c>
      <c r="K88" s="37" t="str">
        <f>D88&amp;-6</f>
        <v>13-6</v>
      </c>
      <c r="L88" s="45">
        <f t="shared" si="147"/>
        <v>0.2</v>
      </c>
      <c r="M88" s="49">
        <f t="shared" si="175"/>
        <v>270</v>
      </c>
      <c r="N88" s="53">
        <f t="shared" ref="N88:Q88" si="191">N87</f>
        <v>0</v>
      </c>
      <c r="O88" s="53">
        <f t="shared" si="191"/>
        <v>150</v>
      </c>
      <c r="P88" s="44">
        <f t="shared" si="191"/>
        <v>750</v>
      </c>
      <c r="Q88" s="45" t="str">
        <f t="shared" si="191"/>
        <v>on</v>
      </c>
    </row>
    <row r="89" spans="1:17" ht="15.75" thickBot="1" x14ac:dyDescent="0.3">
      <c r="A89" s="229">
        <f t="shared" ref="A89:B89" si="192">A88+1</f>
        <v>4472</v>
      </c>
      <c r="B89" s="230">
        <f t="shared" si="192"/>
        <v>79</v>
      </c>
      <c r="C89" s="218" t="str">
        <f t="shared" si="150"/>
        <v>81cB13_330_270#01</v>
      </c>
      <c r="D89" s="43">
        <f t="shared" ref="D89:F89" si="193">D88</f>
        <v>13</v>
      </c>
      <c r="E89" s="61">
        <f t="shared" si="193"/>
        <v>2.149</v>
      </c>
      <c r="F89" s="44">
        <f t="shared" si="193"/>
        <v>16.530769230769231</v>
      </c>
      <c r="G89" s="44">
        <f t="shared" si="173"/>
        <v>13.224615384615385</v>
      </c>
      <c r="H89" s="44">
        <f t="shared" si="174"/>
        <v>8.2653846153846153</v>
      </c>
      <c r="I89" s="44">
        <f t="shared" si="50"/>
        <v>8</v>
      </c>
      <c r="J89" s="45">
        <f t="shared" si="146"/>
        <v>-30</v>
      </c>
      <c r="K89" s="37" t="str">
        <f>D89&amp;-1</f>
        <v>13-1</v>
      </c>
      <c r="L89" s="45">
        <f t="shared" si="147"/>
        <v>0.2</v>
      </c>
      <c r="M89" s="49">
        <f t="shared" si="175"/>
        <v>270</v>
      </c>
      <c r="N89" s="53">
        <v>15</v>
      </c>
      <c r="O89" s="53">
        <f t="shared" ref="O89:Q89" si="194">O88</f>
        <v>150</v>
      </c>
      <c r="P89" s="44">
        <f t="shared" si="194"/>
        <v>750</v>
      </c>
      <c r="Q89" s="45" t="str">
        <f t="shared" si="194"/>
        <v>on</v>
      </c>
    </row>
    <row r="90" spans="1:17" ht="15.75" thickBot="1" x14ac:dyDescent="0.3">
      <c r="A90" s="229">
        <f t="shared" ref="A90:B90" si="195">A89+1</f>
        <v>4473</v>
      </c>
      <c r="B90" s="230">
        <f t="shared" si="195"/>
        <v>80</v>
      </c>
      <c r="C90" s="218" t="str">
        <f t="shared" si="150"/>
        <v>81cB13_330_270#02</v>
      </c>
      <c r="D90" s="43">
        <f t="shared" ref="D90:F90" si="196">D89</f>
        <v>13</v>
      </c>
      <c r="E90" s="61">
        <f t="shared" si="196"/>
        <v>2.149</v>
      </c>
      <c r="F90" s="44">
        <f t="shared" si="196"/>
        <v>16.530769230769231</v>
      </c>
      <c r="G90" s="44">
        <f t="shared" si="173"/>
        <v>13.224615384615385</v>
      </c>
      <c r="H90" s="44">
        <f t="shared" si="174"/>
        <v>8.2653846153846153</v>
      </c>
      <c r="I90" s="44">
        <f t="shared" si="50"/>
        <v>8</v>
      </c>
      <c r="J90" s="45">
        <f t="shared" si="146"/>
        <v>-30</v>
      </c>
      <c r="K90" s="37" t="str">
        <f>D90&amp;-2</f>
        <v>13-2</v>
      </c>
      <c r="L90" s="45">
        <f t="shared" si="147"/>
        <v>0.2</v>
      </c>
      <c r="M90" s="49">
        <f t="shared" si="175"/>
        <v>270</v>
      </c>
      <c r="N90" s="53">
        <f>N89</f>
        <v>15</v>
      </c>
      <c r="O90" s="53">
        <f t="shared" ref="O90:Q90" si="197">O89</f>
        <v>150</v>
      </c>
      <c r="P90" s="44">
        <f t="shared" si="197"/>
        <v>750</v>
      </c>
      <c r="Q90" s="45" t="str">
        <f t="shared" si="197"/>
        <v>on</v>
      </c>
    </row>
    <row r="91" spans="1:17" ht="15.75" thickBot="1" x14ac:dyDescent="0.3">
      <c r="A91" s="229">
        <f t="shared" ref="A91:B91" si="198">A90+1</f>
        <v>4474</v>
      </c>
      <c r="B91" s="230">
        <f t="shared" si="198"/>
        <v>81</v>
      </c>
      <c r="C91" s="218" t="str">
        <f t="shared" si="150"/>
        <v>81cB13_330_270#03</v>
      </c>
      <c r="D91" s="43">
        <f t="shared" ref="D91:F91" si="199">D90</f>
        <v>13</v>
      </c>
      <c r="E91" s="61">
        <f t="shared" si="199"/>
        <v>2.149</v>
      </c>
      <c r="F91" s="44">
        <f t="shared" si="199"/>
        <v>16.530769230769231</v>
      </c>
      <c r="G91" s="44">
        <f t="shared" si="173"/>
        <v>13.224615384615385</v>
      </c>
      <c r="H91" s="44">
        <f t="shared" si="174"/>
        <v>8.2653846153846153</v>
      </c>
      <c r="I91" s="44">
        <f t="shared" si="50"/>
        <v>8</v>
      </c>
      <c r="J91" s="45">
        <f t="shared" si="146"/>
        <v>-30</v>
      </c>
      <c r="K91" s="37" t="str">
        <f>D91&amp;-3</f>
        <v>13-3</v>
      </c>
      <c r="L91" s="45">
        <f t="shared" si="147"/>
        <v>0.2</v>
      </c>
      <c r="M91" s="49">
        <f t="shared" si="175"/>
        <v>270</v>
      </c>
      <c r="N91" s="53">
        <f t="shared" ref="N91:Q91" si="200">N90</f>
        <v>15</v>
      </c>
      <c r="O91" s="53">
        <f t="shared" si="200"/>
        <v>150</v>
      </c>
      <c r="P91" s="44">
        <f t="shared" si="200"/>
        <v>750</v>
      </c>
      <c r="Q91" s="45" t="str">
        <f t="shared" si="200"/>
        <v>on</v>
      </c>
    </row>
    <row r="92" spans="1:17" ht="15.75" thickBot="1" x14ac:dyDescent="0.3">
      <c r="A92" s="229">
        <f t="shared" ref="A92:B92" si="201">A91+1</f>
        <v>4475</v>
      </c>
      <c r="B92" s="230">
        <f t="shared" si="201"/>
        <v>82</v>
      </c>
      <c r="C92" s="218" t="str">
        <f t="shared" si="150"/>
        <v>81cB13_330_270#04</v>
      </c>
      <c r="D92" s="43">
        <f t="shared" ref="D92:F92" si="202">D91</f>
        <v>13</v>
      </c>
      <c r="E92" s="61">
        <f t="shared" si="202"/>
        <v>2.149</v>
      </c>
      <c r="F92" s="44">
        <f t="shared" si="202"/>
        <v>16.530769230769231</v>
      </c>
      <c r="G92" s="44">
        <f t="shared" si="173"/>
        <v>13.224615384615385</v>
      </c>
      <c r="H92" s="44">
        <f t="shared" si="174"/>
        <v>8.2653846153846153</v>
      </c>
      <c r="I92" s="44">
        <f t="shared" si="50"/>
        <v>8</v>
      </c>
      <c r="J92" s="45">
        <f t="shared" si="146"/>
        <v>-30</v>
      </c>
      <c r="K92" s="37" t="str">
        <f>D92&amp;-4</f>
        <v>13-4</v>
      </c>
      <c r="L92" s="45">
        <f t="shared" si="147"/>
        <v>0.2</v>
      </c>
      <c r="M92" s="49">
        <f t="shared" si="175"/>
        <v>270</v>
      </c>
      <c r="N92" s="53">
        <f t="shared" ref="N92:Q92" si="203">N91</f>
        <v>15</v>
      </c>
      <c r="O92" s="53">
        <f t="shared" si="203"/>
        <v>150</v>
      </c>
      <c r="P92" s="44">
        <f t="shared" si="203"/>
        <v>750</v>
      </c>
      <c r="Q92" s="45" t="str">
        <f t="shared" si="203"/>
        <v>on</v>
      </c>
    </row>
    <row r="93" spans="1:17" ht="15.75" thickBot="1" x14ac:dyDescent="0.3">
      <c r="A93" s="229">
        <f t="shared" ref="A93:B93" si="204">A92+1</f>
        <v>4476</v>
      </c>
      <c r="B93" s="230">
        <f t="shared" si="204"/>
        <v>83</v>
      </c>
      <c r="C93" s="218" t="str">
        <f t="shared" si="150"/>
        <v>81cB13_330_270#05</v>
      </c>
      <c r="D93" s="43">
        <f t="shared" ref="D93:F93" si="205">D92</f>
        <v>13</v>
      </c>
      <c r="E93" s="61">
        <f t="shared" si="205"/>
        <v>2.149</v>
      </c>
      <c r="F93" s="44">
        <f t="shared" si="205"/>
        <v>16.530769230769231</v>
      </c>
      <c r="G93" s="44">
        <f t="shared" si="173"/>
        <v>13.224615384615385</v>
      </c>
      <c r="H93" s="44">
        <f t="shared" si="174"/>
        <v>8.2653846153846153</v>
      </c>
      <c r="I93" s="44">
        <f t="shared" si="50"/>
        <v>8</v>
      </c>
      <c r="J93" s="45">
        <f t="shared" si="146"/>
        <v>-30</v>
      </c>
      <c r="K93" s="37" t="str">
        <f>D93&amp;-5</f>
        <v>13-5</v>
      </c>
      <c r="L93" s="45">
        <f t="shared" si="147"/>
        <v>0.2</v>
      </c>
      <c r="M93" s="49">
        <f t="shared" si="175"/>
        <v>270</v>
      </c>
      <c r="N93" s="53">
        <f t="shared" ref="N93:Q93" si="206">N92</f>
        <v>15</v>
      </c>
      <c r="O93" s="53">
        <f t="shared" si="206"/>
        <v>150</v>
      </c>
      <c r="P93" s="44">
        <f t="shared" si="206"/>
        <v>750</v>
      </c>
      <c r="Q93" s="45" t="str">
        <f t="shared" si="206"/>
        <v>on</v>
      </c>
    </row>
    <row r="94" spans="1:17" ht="15.75" thickBot="1" x14ac:dyDescent="0.3">
      <c r="A94" s="229">
        <f t="shared" ref="A94:B94" si="207">A93+1</f>
        <v>4477</v>
      </c>
      <c r="B94" s="230">
        <f t="shared" si="207"/>
        <v>84</v>
      </c>
      <c r="C94" s="218" t="str">
        <f t="shared" si="150"/>
        <v>81cB13_330_270#06</v>
      </c>
      <c r="D94" s="43">
        <f t="shared" ref="D94:F94" si="208">D93</f>
        <v>13</v>
      </c>
      <c r="E94" s="61">
        <f t="shared" si="208"/>
        <v>2.149</v>
      </c>
      <c r="F94" s="44">
        <f t="shared" si="208"/>
        <v>16.530769230769231</v>
      </c>
      <c r="G94" s="44">
        <f t="shared" si="173"/>
        <v>13.224615384615385</v>
      </c>
      <c r="H94" s="44">
        <f t="shared" si="174"/>
        <v>8.2653846153846153</v>
      </c>
      <c r="I94" s="44">
        <f t="shared" si="50"/>
        <v>8</v>
      </c>
      <c r="J94" s="45">
        <f t="shared" si="146"/>
        <v>-30</v>
      </c>
      <c r="K94" s="37" t="str">
        <f>D94&amp;-6</f>
        <v>13-6</v>
      </c>
      <c r="L94" s="45">
        <f t="shared" si="147"/>
        <v>0.2</v>
      </c>
      <c r="M94" s="49">
        <f t="shared" si="175"/>
        <v>270</v>
      </c>
      <c r="N94" s="53">
        <f t="shared" ref="N94:Q94" si="209">N93</f>
        <v>15</v>
      </c>
      <c r="O94" s="53">
        <f t="shared" si="209"/>
        <v>150</v>
      </c>
      <c r="P94" s="44">
        <f t="shared" si="209"/>
        <v>750</v>
      </c>
      <c r="Q94" s="45" t="str">
        <f t="shared" si="209"/>
        <v>on</v>
      </c>
    </row>
    <row r="95" spans="1:17" ht="15.75" thickBot="1" x14ac:dyDescent="0.3">
      <c r="A95" s="229">
        <f t="shared" ref="A95:B95" si="210">A94+1</f>
        <v>4478</v>
      </c>
      <c r="B95" s="230">
        <f t="shared" si="210"/>
        <v>85</v>
      </c>
      <c r="C95" s="218" t="str">
        <f t="shared" si="150"/>
        <v>81cC13_330_270#01</v>
      </c>
      <c r="D95" s="43">
        <f t="shared" ref="D95:F95" si="211">D94</f>
        <v>13</v>
      </c>
      <c r="E95" s="61">
        <f t="shared" si="211"/>
        <v>2.149</v>
      </c>
      <c r="F95" s="44">
        <f t="shared" si="211"/>
        <v>16.530769230769231</v>
      </c>
      <c r="G95" s="44">
        <f t="shared" si="173"/>
        <v>13.224615384615385</v>
      </c>
      <c r="H95" s="44">
        <f t="shared" si="174"/>
        <v>8.2653846153846153</v>
      </c>
      <c r="I95" s="44">
        <f t="shared" si="50"/>
        <v>8</v>
      </c>
      <c r="J95" s="45">
        <f t="shared" si="146"/>
        <v>-30</v>
      </c>
      <c r="K95" s="37" t="str">
        <f>D95&amp;-1</f>
        <v>13-1</v>
      </c>
      <c r="L95" s="45">
        <f t="shared" si="147"/>
        <v>0.2</v>
      </c>
      <c r="M95" s="49">
        <f t="shared" si="175"/>
        <v>270</v>
      </c>
      <c r="N95" s="53">
        <v>30</v>
      </c>
      <c r="O95" s="53">
        <f t="shared" ref="O95:Q95" si="212">O94</f>
        <v>150</v>
      </c>
      <c r="P95" s="44">
        <f t="shared" si="212"/>
        <v>750</v>
      </c>
      <c r="Q95" s="45" t="str">
        <f t="shared" si="212"/>
        <v>on</v>
      </c>
    </row>
    <row r="96" spans="1:17" ht="15.75" thickBot="1" x14ac:dyDescent="0.3">
      <c r="A96" s="229">
        <f t="shared" ref="A96:B96" si="213">A95+1</f>
        <v>4479</v>
      </c>
      <c r="B96" s="230">
        <f t="shared" si="213"/>
        <v>86</v>
      </c>
      <c r="C96" s="218" t="str">
        <f t="shared" si="150"/>
        <v>81cC13_330_270#02</v>
      </c>
      <c r="D96" s="43">
        <f t="shared" ref="D96:F96" si="214">D95</f>
        <v>13</v>
      </c>
      <c r="E96" s="61">
        <f t="shared" si="214"/>
        <v>2.149</v>
      </c>
      <c r="F96" s="44">
        <f t="shared" si="214"/>
        <v>16.530769230769231</v>
      </c>
      <c r="G96" s="44">
        <f t="shared" si="173"/>
        <v>13.224615384615385</v>
      </c>
      <c r="H96" s="44">
        <f t="shared" si="174"/>
        <v>8.2653846153846153</v>
      </c>
      <c r="I96" s="44">
        <f t="shared" si="50"/>
        <v>8</v>
      </c>
      <c r="J96" s="45">
        <f t="shared" si="146"/>
        <v>-30</v>
      </c>
      <c r="K96" s="37" t="str">
        <f>D96&amp;-2</f>
        <v>13-2</v>
      </c>
      <c r="L96" s="45">
        <f t="shared" si="147"/>
        <v>0.2</v>
      </c>
      <c r="M96" s="49">
        <f t="shared" si="175"/>
        <v>270</v>
      </c>
      <c r="N96" s="53">
        <f>N95</f>
        <v>30</v>
      </c>
      <c r="O96" s="53">
        <f t="shared" ref="O96:Q96" si="215">O95</f>
        <v>150</v>
      </c>
      <c r="P96" s="44">
        <f t="shared" si="215"/>
        <v>750</v>
      </c>
      <c r="Q96" s="45" t="str">
        <f t="shared" si="215"/>
        <v>on</v>
      </c>
    </row>
    <row r="97" spans="1:17" ht="15.75" thickBot="1" x14ac:dyDescent="0.3">
      <c r="A97" s="229">
        <f t="shared" ref="A97:B97" si="216">A96+1</f>
        <v>4480</v>
      </c>
      <c r="B97" s="230">
        <f t="shared" si="216"/>
        <v>87</v>
      </c>
      <c r="C97" s="218" t="str">
        <f t="shared" si="150"/>
        <v>81cC13_330_270#03</v>
      </c>
      <c r="D97" s="43">
        <f t="shared" ref="D97:F97" si="217">D96</f>
        <v>13</v>
      </c>
      <c r="E97" s="61">
        <f t="shared" si="217"/>
        <v>2.149</v>
      </c>
      <c r="F97" s="44">
        <f t="shared" si="217"/>
        <v>16.530769230769231</v>
      </c>
      <c r="G97" s="44">
        <f t="shared" si="173"/>
        <v>13.224615384615385</v>
      </c>
      <c r="H97" s="44">
        <f t="shared" si="174"/>
        <v>8.2653846153846153</v>
      </c>
      <c r="I97" s="44">
        <f t="shared" si="50"/>
        <v>8</v>
      </c>
      <c r="J97" s="45">
        <f t="shared" si="146"/>
        <v>-30</v>
      </c>
      <c r="K97" s="37" t="str">
        <f>D97&amp;-3</f>
        <v>13-3</v>
      </c>
      <c r="L97" s="45">
        <f t="shared" si="147"/>
        <v>0.2</v>
      </c>
      <c r="M97" s="49">
        <f t="shared" si="175"/>
        <v>270</v>
      </c>
      <c r="N97" s="53">
        <f t="shared" ref="N97:Q97" si="218">N96</f>
        <v>30</v>
      </c>
      <c r="O97" s="53">
        <f t="shared" si="218"/>
        <v>150</v>
      </c>
      <c r="P97" s="44">
        <f t="shared" si="218"/>
        <v>750</v>
      </c>
      <c r="Q97" s="45" t="str">
        <f t="shared" si="218"/>
        <v>on</v>
      </c>
    </row>
    <row r="98" spans="1:17" ht="15.75" thickBot="1" x14ac:dyDescent="0.3">
      <c r="A98" s="229">
        <f t="shared" ref="A98:B98" si="219">A97+1</f>
        <v>4481</v>
      </c>
      <c r="B98" s="230">
        <f t="shared" si="219"/>
        <v>88</v>
      </c>
      <c r="C98" s="218" t="str">
        <f t="shared" si="150"/>
        <v>81cC13_330_270#04</v>
      </c>
      <c r="D98" s="43">
        <f t="shared" ref="D98:F98" si="220">D97</f>
        <v>13</v>
      </c>
      <c r="E98" s="61">
        <f t="shared" si="220"/>
        <v>2.149</v>
      </c>
      <c r="F98" s="44">
        <f t="shared" si="220"/>
        <v>16.530769230769231</v>
      </c>
      <c r="G98" s="44">
        <f t="shared" si="173"/>
        <v>13.224615384615385</v>
      </c>
      <c r="H98" s="44">
        <f t="shared" si="174"/>
        <v>8.2653846153846153</v>
      </c>
      <c r="I98" s="44">
        <f t="shared" si="50"/>
        <v>8</v>
      </c>
      <c r="J98" s="45">
        <f t="shared" si="146"/>
        <v>-30</v>
      </c>
      <c r="K98" s="37" t="str">
        <f>D98&amp;-4</f>
        <v>13-4</v>
      </c>
      <c r="L98" s="45">
        <f t="shared" si="147"/>
        <v>0.2</v>
      </c>
      <c r="M98" s="49">
        <f t="shared" si="175"/>
        <v>270</v>
      </c>
      <c r="N98" s="53">
        <f t="shared" ref="N98:Q98" si="221">N97</f>
        <v>30</v>
      </c>
      <c r="O98" s="53">
        <f t="shared" si="221"/>
        <v>150</v>
      </c>
      <c r="P98" s="44">
        <f t="shared" si="221"/>
        <v>750</v>
      </c>
      <c r="Q98" s="45" t="str">
        <f t="shared" si="221"/>
        <v>on</v>
      </c>
    </row>
    <row r="99" spans="1:17" ht="15.75" thickBot="1" x14ac:dyDescent="0.3">
      <c r="A99" s="229">
        <f t="shared" ref="A99:B99" si="222">A98+1</f>
        <v>4482</v>
      </c>
      <c r="B99" s="230">
        <f t="shared" si="222"/>
        <v>89</v>
      </c>
      <c r="C99" s="218" t="str">
        <f t="shared" si="150"/>
        <v>81cC13_330_270#05</v>
      </c>
      <c r="D99" s="43">
        <f t="shared" ref="D99:F99" si="223">D98</f>
        <v>13</v>
      </c>
      <c r="E99" s="61">
        <f t="shared" si="223"/>
        <v>2.149</v>
      </c>
      <c r="F99" s="44">
        <f t="shared" si="223"/>
        <v>16.530769230769231</v>
      </c>
      <c r="G99" s="44">
        <f t="shared" si="173"/>
        <v>13.224615384615385</v>
      </c>
      <c r="H99" s="44">
        <f t="shared" si="174"/>
        <v>8.2653846153846153</v>
      </c>
      <c r="I99" s="44">
        <f t="shared" si="50"/>
        <v>8</v>
      </c>
      <c r="J99" s="45">
        <f t="shared" si="146"/>
        <v>-30</v>
      </c>
      <c r="K99" s="37" t="str">
        <f>D99&amp;-5</f>
        <v>13-5</v>
      </c>
      <c r="L99" s="45">
        <f t="shared" si="147"/>
        <v>0.2</v>
      </c>
      <c r="M99" s="49">
        <f t="shared" si="175"/>
        <v>270</v>
      </c>
      <c r="N99" s="53">
        <f t="shared" ref="N99:Q99" si="224">N98</f>
        <v>30</v>
      </c>
      <c r="O99" s="53">
        <f t="shared" si="224"/>
        <v>150</v>
      </c>
      <c r="P99" s="44">
        <f t="shared" si="224"/>
        <v>750</v>
      </c>
      <c r="Q99" s="45" t="str">
        <f t="shared" si="224"/>
        <v>on</v>
      </c>
    </row>
    <row r="100" spans="1:17" ht="15.75" thickBot="1" x14ac:dyDescent="0.3">
      <c r="A100" s="229">
        <f t="shared" ref="A100:B100" si="225">A99+1</f>
        <v>4483</v>
      </c>
      <c r="B100" s="230">
        <f t="shared" si="225"/>
        <v>90</v>
      </c>
      <c r="C100" s="218" t="str">
        <f t="shared" si="150"/>
        <v>81cC13_330_270#06</v>
      </c>
      <c r="D100" s="43">
        <f t="shared" ref="D100:F100" si="226">D99</f>
        <v>13</v>
      </c>
      <c r="E100" s="61">
        <f t="shared" si="226"/>
        <v>2.149</v>
      </c>
      <c r="F100" s="44">
        <f t="shared" si="226"/>
        <v>16.530769230769231</v>
      </c>
      <c r="G100" s="44">
        <f t="shared" si="173"/>
        <v>13.224615384615385</v>
      </c>
      <c r="H100" s="44">
        <f t="shared" si="174"/>
        <v>8.2653846153846153</v>
      </c>
      <c r="I100" s="44">
        <f t="shared" si="50"/>
        <v>8</v>
      </c>
      <c r="J100" s="45">
        <f t="shared" si="146"/>
        <v>-30</v>
      </c>
      <c r="K100" s="37" t="str">
        <f>D100&amp;-6</f>
        <v>13-6</v>
      </c>
      <c r="L100" s="45">
        <f t="shared" si="147"/>
        <v>0.2</v>
      </c>
      <c r="M100" s="49">
        <f t="shared" si="175"/>
        <v>270</v>
      </c>
      <c r="N100" s="53">
        <f t="shared" ref="N100:Q100" si="227">N99</f>
        <v>30</v>
      </c>
      <c r="O100" s="53">
        <f t="shared" si="227"/>
        <v>150</v>
      </c>
      <c r="P100" s="44">
        <f t="shared" si="227"/>
        <v>750</v>
      </c>
      <c r="Q100" s="45" t="str">
        <f t="shared" si="227"/>
        <v>on</v>
      </c>
    </row>
    <row r="101" spans="1:17" ht="15.75" thickBot="1" x14ac:dyDescent="0.3">
      <c r="A101" s="229">
        <f t="shared" ref="A101:B101" si="228">A100+1</f>
        <v>4484</v>
      </c>
      <c r="B101" s="230">
        <f t="shared" si="228"/>
        <v>91</v>
      </c>
      <c r="C101" s="218" t="str">
        <f t="shared" si="150"/>
        <v>81cD13_330_270#01</v>
      </c>
      <c r="D101" s="43">
        <f t="shared" ref="D101:F101" si="229">D100</f>
        <v>13</v>
      </c>
      <c r="E101" s="61">
        <f t="shared" si="229"/>
        <v>2.149</v>
      </c>
      <c r="F101" s="44">
        <f t="shared" si="229"/>
        <v>16.530769230769231</v>
      </c>
      <c r="G101" s="44">
        <f t="shared" si="173"/>
        <v>13.224615384615385</v>
      </c>
      <c r="H101" s="44">
        <f t="shared" si="174"/>
        <v>8.2653846153846153</v>
      </c>
      <c r="I101" s="44">
        <f t="shared" si="50"/>
        <v>8</v>
      </c>
      <c r="J101" s="45">
        <f t="shared" si="146"/>
        <v>-30</v>
      </c>
      <c r="K101" s="37" t="str">
        <f>D101&amp;-1</f>
        <v>13-1</v>
      </c>
      <c r="L101" s="45">
        <f t="shared" si="147"/>
        <v>0.2</v>
      </c>
      <c r="M101" s="49">
        <f t="shared" si="175"/>
        <v>270</v>
      </c>
      <c r="N101" s="53">
        <v>45</v>
      </c>
      <c r="O101" s="53">
        <f t="shared" ref="O101:Q101" si="230">O100</f>
        <v>150</v>
      </c>
      <c r="P101" s="44">
        <f t="shared" si="230"/>
        <v>750</v>
      </c>
      <c r="Q101" s="45" t="str">
        <f t="shared" si="230"/>
        <v>on</v>
      </c>
    </row>
    <row r="102" spans="1:17" ht="15.75" thickBot="1" x14ac:dyDescent="0.3">
      <c r="A102" s="229">
        <f t="shared" ref="A102:B102" si="231">A101+1</f>
        <v>4485</v>
      </c>
      <c r="B102" s="230">
        <f t="shared" si="231"/>
        <v>92</v>
      </c>
      <c r="C102" s="218" t="str">
        <f t="shared" si="150"/>
        <v>81cD13_330_270#02</v>
      </c>
      <c r="D102" s="43">
        <f t="shared" ref="D102:F102" si="232">D101</f>
        <v>13</v>
      </c>
      <c r="E102" s="61">
        <f t="shared" si="232"/>
        <v>2.149</v>
      </c>
      <c r="F102" s="44">
        <f t="shared" si="232"/>
        <v>16.530769230769231</v>
      </c>
      <c r="G102" s="44">
        <f t="shared" si="173"/>
        <v>13.224615384615385</v>
      </c>
      <c r="H102" s="44">
        <f t="shared" si="174"/>
        <v>8.2653846153846153</v>
      </c>
      <c r="I102" s="44">
        <f t="shared" si="50"/>
        <v>8</v>
      </c>
      <c r="J102" s="45">
        <f t="shared" si="146"/>
        <v>-30</v>
      </c>
      <c r="K102" s="37" t="str">
        <f>D102&amp;-2</f>
        <v>13-2</v>
      </c>
      <c r="L102" s="45">
        <f t="shared" si="147"/>
        <v>0.2</v>
      </c>
      <c r="M102" s="49">
        <f t="shared" si="175"/>
        <v>270</v>
      </c>
      <c r="N102" s="53">
        <f>N101</f>
        <v>45</v>
      </c>
      <c r="O102" s="53">
        <f t="shared" ref="O102:Q102" si="233">O101</f>
        <v>150</v>
      </c>
      <c r="P102" s="44">
        <f t="shared" si="233"/>
        <v>750</v>
      </c>
      <c r="Q102" s="45" t="str">
        <f t="shared" si="233"/>
        <v>on</v>
      </c>
    </row>
    <row r="103" spans="1:17" ht="15.75" thickBot="1" x14ac:dyDescent="0.3">
      <c r="A103" s="229">
        <f t="shared" ref="A103:B103" si="234">A102+1</f>
        <v>4486</v>
      </c>
      <c r="B103" s="230">
        <f t="shared" si="234"/>
        <v>93</v>
      </c>
      <c r="C103" s="218" t="str">
        <f t="shared" si="150"/>
        <v>81cD13_330_270#03</v>
      </c>
      <c r="D103" s="43">
        <f t="shared" ref="D103:F103" si="235">D102</f>
        <v>13</v>
      </c>
      <c r="E103" s="61">
        <f t="shared" si="235"/>
        <v>2.149</v>
      </c>
      <c r="F103" s="44">
        <f t="shared" si="235"/>
        <v>16.530769230769231</v>
      </c>
      <c r="G103" s="44">
        <f t="shared" si="173"/>
        <v>13.224615384615385</v>
      </c>
      <c r="H103" s="44">
        <f t="shared" si="174"/>
        <v>8.2653846153846153</v>
      </c>
      <c r="I103" s="44">
        <f t="shared" si="50"/>
        <v>8</v>
      </c>
      <c r="J103" s="45">
        <f t="shared" si="146"/>
        <v>-30</v>
      </c>
      <c r="K103" s="37" t="str">
        <f>D103&amp;-3</f>
        <v>13-3</v>
      </c>
      <c r="L103" s="45">
        <f t="shared" si="147"/>
        <v>0.2</v>
      </c>
      <c r="M103" s="49">
        <f t="shared" si="175"/>
        <v>270</v>
      </c>
      <c r="N103" s="53">
        <f t="shared" ref="N103:Q103" si="236">N102</f>
        <v>45</v>
      </c>
      <c r="O103" s="53">
        <f t="shared" si="236"/>
        <v>150</v>
      </c>
      <c r="P103" s="44">
        <f t="shared" si="236"/>
        <v>750</v>
      </c>
      <c r="Q103" s="45" t="str">
        <f t="shared" si="236"/>
        <v>on</v>
      </c>
    </row>
    <row r="104" spans="1:17" ht="15.75" thickBot="1" x14ac:dyDescent="0.3">
      <c r="A104" s="229">
        <f t="shared" ref="A104:B104" si="237">A103+1</f>
        <v>4487</v>
      </c>
      <c r="B104" s="230">
        <f t="shared" si="237"/>
        <v>94</v>
      </c>
      <c r="C104" s="218" t="str">
        <f t="shared" si="150"/>
        <v>81cD13_330_270#04</v>
      </c>
      <c r="D104" s="43">
        <f t="shared" ref="D104:F104" si="238">D103</f>
        <v>13</v>
      </c>
      <c r="E104" s="61">
        <f t="shared" si="238"/>
        <v>2.149</v>
      </c>
      <c r="F104" s="44">
        <f t="shared" si="238"/>
        <v>16.530769230769231</v>
      </c>
      <c r="G104" s="44">
        <f t="shared" si="173"/>
        <v>13.224615384615385</v>
      </c>
      <c r="H104" s="44">
        <f t="shared" si="174"/>
        <v>8.2653846153846153</v>
      </c>
      <c r="I104" s="44">
        <f t="shared" si="50"/>
        <v>8</v>
      </c>
      <c r="J104" s="45">
        <f t="shared" si="146"/>
        <v>-30</v>
      </c>
      <c r="K104" s="37" t="str">
        <f>D104&amp;-4</f>
        <v>13-4</v>
      </c>
      <c r="L104" s="45">
        <f t="shared" si="147"/>
        <v>0.2</v>
      </c>
      <c r="M104" s="49">
        <f t="shared" si="175"/>
        <v>270</v>
      </c>
      <c r="N104" s="53">
        <f t="shared" ref="N104:Q104" si="239">N103</f>
        <v>45</v>
      </c>
      <c r="O104" s="53">
        <f t="shared" si="239"/>
        <v>150</v>
      </c>
      <c r="P104" s="44">
        <f t="shared" si="239"/>
        <v>750</v>
      </c>
      <c r="Q104" s="45" t="str">
        <f t="shared" si="239"/>
        <v>on</v>
      </c>
    </row>
    <row r="105" spans="1:17" ht="15.75" thickBot="1" x14ac:dyDescent="0.3">
      <c r="A105" s="229">
        <f t="shared" ref="A105:B105" si="240">A104+1</f>
        <v>4488</v>
      </c>
      <c r="B105" s="230">
        <f t="shared" si="240"/>
        <v>95</v>
      </c>
      <c r="C105" s="218" t="str">
        <f t="shared" si="150"/>
        <v>81cD13_330_270#05</v>
      </c>
      <c r="D105" s="43">
        <f t="shared" ref="D105:F105" si="241">D104</f>
        <v>13</v>
      </c>
      <c r="E105" s="61">
        <f t="shared" si="241"/>
        <v>2.149</v>
      </c>
      <c r="F105" s="44">
        <f t="shared" si="241"/>
        <v>16.530769230769231</v>
      </c>
      <c r="G105" s="44">
        <f t="shared" si="173"/>
        <v>13.224615384615385</v>
      </c>
      <c r="H105" s="44">
        <f t="shared" si="174"/>
        <v>8.2653846153846153</v>
      </c>
      <c r="I105" s="44">
        <f t="shared" si="50"/>
        <v>8</v>
      </c>
      <c r="J105" s="45">
        <f t="shared" si="146"/>
        <v>-30</v>
      </c>
      <c r="K105" s="37" t="str">
        <f>D105&amp;-5</f>
        <v>13-5</v>
      </c>
      <c r="L105" s="45">
        <f t="shared" si="147"/>
        <v>0.2</v>
      </c>
      <c r="M105" s="49">
        <f t="shared" si="175"/>
        <v>270</v>
      </c>
      <c r="N105" s="53">
        <f t="shared" ref="N105:Q105" si="242">N104</f>
        <v>45</v>
      </c>
      <c r="O105" s="53">
        <f t="shared" si="242"/>
        <v>150</v>
      </c>
      <c r="P105" s="44">
        <f t="shared" si="242"/>
        <v>750</v>
      </c>
      <c r="Q105" s="45" t="str">
        <f t="shared" si="242"/>
        <v>on</v>
      </c>
    </row>
    <row r="106" spans="1:17" ht="15.75" thickBot="1" x14ac:dyDescent="0.3">
      <c r="A106" s="229">
        <f t="shared" ref="A106:B106" si="243">A105+1</f>
        <v>4489</v>
      </c>
      <c r="B106" s="230">
        <f t="shared" si="243"/>
        <v>96</v>
      </c>
      <c r="C106" s="218" t="str">
        <f t="shared" si="150"/>
        <v>81cD13_330_270#06</v>
      </c>
      <c r="D106" s="43">
        <f t="shared" ref="D106:F106" si="244">D105</f>
        <v>13</v>
      </c>
      <c r="E106" s="61">
        <f t="shared" si="244"/>
        <v>2.149</v>
      </c>
      <c r="F106" s="44">
        <f t="shared" si="244"/>
        <v>16.530769230769231</v>
      </c>
      <c r="G106" s="44">
        <f t="shared" si="173"/>
        <v>13.224615384615385</v>
      </c>
      <c r="H106" s="44">
        <f t="shared" si="174"/>
        <v>8.2653846153846153</v>
      </c>
      <c r="I106" s="44">
        <f t="shared" si="50"/>
        <v>8</v>
      </c>
      <c r="J106" s="45">
        <f t="shared" si="146"/>
        <v>-30</v>
      </c>
      <c r="K106" s="37" t="str">
        <f>D106&amp;-6</f>
        <v>13-6</v>
      </c>
      <c r="L106" s="45">
        <f t="shared" si="147"/>
        <v>0.2</v>
      </c>
      <c r="M106" s="49">
        <f t="shared" si="175"/>
        <v>270</v>
      </c>
      <c r="N106" s="53">
        <f t="shared" ref="N106:Q106" si="245">N105</f>
        <v>45</v>
      </c>
      <c r="O106" s="53">
        <f t="shared" si="245"/>
        <v>150</v>
      </c>
      <c r="P106" s="44">
        <f t="shared" si="245"/>
        <v>750</v>
      </c>
      <c r="Q106" s="45" t="str">
        <f t="shared" si="245"/>
        <v>on</v>
      </c>
    </row>
    <row r="107" spans="1:17" ht="15.75" thickBot="1" x14ac:dyDescent="0.3">
      <c r="A107" s="229">
        <f t="shared" ref="A107:B107" si="246">A106+1</f>
        <v>4490</v>
      </c>
      <c r="B107" s="230">
        <f t="shared" si="246"/>
        <v>97</v>
      </c>
      <c r="C107" s="218" t="str">
        <f t="shared" si="150"/>
        <v>81cE13_330_270#01</v>
      </c>
      <c r="D107" s="43">
        <f t="shared" ref="D107:F107" si="247">D106</f>
        <v>13</v>
      </c>
      <c r="E107" s="61">
        <f t="shared" si="247"/>
        <v>2.149</v>
      </c>
      <c r="F107" s="44">
        <f t="shared" si="247"/>
        <v>16.530769230769231</v>
      </c>
      <c r="G107" s="44">
        <f t="shared" si="173"/>
        <v>13.224615384615385</v>
      </c>
      <c r="H107" s="44">
        <f t="shared" si="174"/>
        <v>8.2653846153846153</v>
      </c>
      <c r="I107" s="44">
        <f t="shared" ref="I107:I170" si="248">inflow</f>
        <v>8</v>
      </c>
      <c r="J107" s="45">
        <f t="shared" ref="J107:J118" si="249">dlc81c_y1</f>
        <v>-30</v>
      </c>
      <c r="K107" s="37" t="str">
        <f>D107&amp;-1</f>
        <v>13-1</v>
      </c>
      <c r="L107" s="45">
        <f t="shared" si="147"/>
        <v>0.2</v>
      </c>
      <c r="M107" s="49">
        <f t="shared" si="175"/>
        <v>270</v>
      </c>
      <c r="N107" s="53">
        <v>60</v>
      </c>
      <c r="O107" s="53">
        <f t="shared" ref="O107:Q107" si="250">O106</f>
        <v>150</v>
      </c>
      <c r="P107" s="44">
        <f t="shared" si="250"/>
        <v>750</v>
      </c>
      <c r="Q107" s="45" t="str">
        <f t="shared" si="250"/>
        <v>on</v>
      </c>
    </row>
    <row r="108" spans="1:17" ht="15.75" thickBot="1" x14ac:dyDescent="0.3">
      <c r="A108" s="229">
        <f t="shared" ref="A108:B108" si="251">A107+1</f>
        <v>4491</v>
      </c>
      <c r="B108" s="230">
        <f t="shared" si="251"/>
        <v>98</v>
      </c>
      <c r="C108" s="218" t="str">
        <f t="shared" si="150"/>
        <v>81cE13_330_270#02</v>
      </c>
      <c r="D108" s="43">
        <f t="shared" ref="D108:F108" si="252">D107</f>
        <v>13</v>
      </c>
      <c r="E108" s="61">
        <f t="shared" si="252"/>
        <v>2.149</v>
      </c>
      <c r="F108" s="44">
        <f t="shared" si="252"/>
        <v>16.530769230769231</v>
      </c>
      <c r="G108" s="44">
        <f t="shared" si="173"/>
        <v>13.224615384615385</v>
      </c>
      <c r="H108" s="44">
        <f t="shared" si="174"/>
        <v>8.2653846153846153</v>
      </c>
      <c r="I108" s="44">
        <f t="shared" si="248"/>
        <v>8</v>
      </c>
      <c r="J108" s="45">
        <f t="shared" si="249"/>
        <v>-30</v>
      </c>
      <c r="K108" s="37" t="str">
        <f>D108&amp;-2</f>
        <v>13-2</v>
      </c>
      <c r="L108" s="45">
        <f t="shared" si="147"/>
        <v>0.2</v>
      </c>
      <c r="M108" s="49">
        <f t="shared" si="175"/>
        <v>270</v>
      </c>
      <c r="N108" s="53">
        <f>N107</f>
        <v>60</v>
      </c>
      <c r="O108" s="53">
        <f t="shared" ref="O108:Q108" si="253">O107</f>
        <v>150</v>
      </c>
      <c r="P108" s="44">
        <f t="shared" si="253"/>
        <v>750</v>
      </c>
      <c r="Q108" s="45" t="str">
        <f t="shared" si="253"/>
        <v>on</v>
      </c>
    </row>
    <row r="109" spans="1:17" ht="15.75" thickBot="1" x14ac:dyDescent="0.3">
      <c r="A109" s="229">
        <f t="shared" ref="A109:B109" si="254">A108+1</f>
        <v>4492</v>
      </c>
      <c r="B109" s="230">
        <f t="shared" si="254"/>
        <v>99</v>
      </c>
      <c r="C109" s="218" t="str">
        <f t="shared" si="150"/>
        <v>81cE13_330_270#03</v>
      </c>
      <c r="D109" s="43">
        <f t="shared" ref="D109:F109" si="255">D108</f>
        <v>13</v>
      </c>
      <c r="E109" s="61">
        <f t="shared" si="255"/>
        <v>2.149</v>
      </c>
      <c r="F109" s="44">
        <f t="shared" si="255"/>
        <v>16.530769230769231</v>
      </c>
      <c r="G109" s="44">
        <f t="shared" si="173"/>
        <v>13.224615384615385</v>
      </c>
      <c r="H109" s="44">
        <f t="shared" si="174"/>
        <v>8.2653846153846153</v>
      </c>
      <c r="I109" s="44">
        <f t="shared" si="248"/>
        <v>8</v>
      </c>
      <c r="J109" s="45">
        <f t="shared" si="249"/>
        <v>-30</v>
      </c>
      <c r="K109" s="37" t="str">
        <f>D109&amp;-3</f>
        <v>13-3</v>
      </c>
      <c r="L109" s="45">
        <f t="shared" si="147"/>
        <v>0.2</v>
      </c>
      <c r="M109" s="49">
        <f t="shared" si="175"/>
        <v>270</v>
      </c>
      <c r="N109" s="53">
        <f t="shared" ref="N109:Q109" si="256">N108</f>
        <v>60</v>
      </c>
      <c r="O109" s="53">
        <f t="shared" si="256"/>
        <v>150</v>
      </c>
      <c r="P109" s="44">
        <f t="shared" si="256"/>
        <v>750</v>
      </c>
      <c r="Q109" s="45" t="str">
        <f t="shared" si="256"/>
        <v>on</v>
      </c>
    </row>
    <row r="110" spans="1:17" ht="15.75" thickBot="1" x14ac:dyDescent="0.3">
      <c r="A110" s="229">
        <f t="shared" ref="A110:B110" si="257">A109+1</f>
        <v>4493</v>
      </c>
      <c r="B110" s="230">
        <f t="shared" si="257"/>
        <v>100</v>
      </c>
      <c r="C110" s="218" t="str">
        <f t="shared" si="150"/>
        <v>81cE13_330_270#04</v>
      </c>
      <c r="D110" s="43">
        <f t="shared" ref="D110:F110" si="258">D109</f>
        <v>13</v>
      </c>
      <c r="E110" s="61">
        <f t="shared" si="258"/>
        <v>2.149</v>
      </c>
      <c r="F110" s="44">
        <f t="shared" si="258"/>
        <v>16.530769230769231</v>
      </c>
      <c r="G110" s="44">
        <f t="shared" si="173"/>
        <v>13.224615384615385</v>
      </c>
      <c r="H110" s="44">
        <f t="shared" si="174"/>
        <v>8.2653846153846153</v>
      </c>
      <c r="I110" s="44">
        <f t="shared" si="248"/>
        <v>8</v>
      </c>
      <c r="J110" s="45">
        <f t="shared" si="249"/>
        <v>-30</v>
      </c>
      <c r="K110" s="37" t="str">
        <f>D110&amp;-4</f>
        <v>13-4</v>
      </c>
      <c r="L110" s="45">
        <f t="shared" si="147"/>
        <v>0.2</v>
      </c>
      <c r="M110" s="49">
        <f t="shared" si="175"/>
        <v>270</v>
      </c>
      <c r="N110" s="53">
        <f t="shared" ref="N110:Q110" si="259">N109</f>
        <v>60</v>
      </c>
      <c r="O110" s="53">
        <f t="shared" si="259"/>
        <v>150</v>
      </c>
      <c r="P110" s="44">
        <f t="shared" si="259"/>
        <v>750</v>
      </c>
      <c r="Q110" s="45" t="str">
        <f t="shared" si="259"/>
        <v>on</v>
      </c>
    </row>
    <row r="111" spans="1:17" ht="15.75" thickBot="1" x14ac:dyDescent="0.3">
      <c r="A111" s="229">
        <f t="shared" ref="A111:B111" si="260">A110+1</f>
        <v>4494</v>
      </c>
      <c r="B111" s="230">
        <f t="shared" si="260"/>
        <v>101</v>
      </c>
      <c r="C111" s="218" t="str">
        <f t="shared" si="150"/>
        <v>81cE13_330_270#05</v>
      </c>
      <c r="D111" s="43">
        <f t="shared" ref="D111:F111" si="261">D110</f>
        <v>13</v>
      </c>
      <c r="E111" s="61">
        <f t="shared" si="261"/>
        <v>2.149</v>
      </c>
      <c r="F111" s="44">
        <f t="shared" si="261"/>
        <v>16.530769230769231</v>
      </c>
      <c r="G111" s="44">
        <f t="shared" si="173"/>
        <v>13.224615384615385</v>
      </c>
      <c r="H111" s="44">
        <f t="shared" si="174"/>
        <v>8.2653846153846153</v>
      </c>
      <c r="I111" s="44">
        <f t="shared" si="248"/>
        <v>8</v>
      </c>
      <c r="J111" s="45">
        <f t="shared" si="249"/>
        <v>-30</v>
      </c>
      <c r="K111" s="37" t="str">
        <f>D111&amp;-5</f>
        <v>13-5</v>
      </c>
      <c r="L111" s="45">
        <f t="shared" si="147"/>
        <v>0.2</v>
      </c>
      <c r="M111" s="49">
        <f t="shared" si="175"/>
        <v>270</v>
      </c>
      <c r="N111" s="53">
        <f t="shared" ref="N111:Q111" si="262">N110</f>
        <v>60</v>
      </c>
      <c r="O111" s="53">
        <f t="shared" si="262"/>
        <v>150</v>
      </c>
      <c r="P111" s="44">
        <f t="shared" si="262"/>
        <v>750</v>
      </c>
      <c r="Q111" s="45" t="str">
        <f t="shared" si="262"/>
        <v>on</v>
      </c>
    </row>
    <row r="112" spans="1:17" ht="15.75" thickBot="1" x14ac:dyDescent="0.3">
      <c r="A112" s="229">
        <f t="shared" ref="A112:B112" si="263">A111+1</f>
        <v>4495</v>
      </c>
      <c r="B112" s="230">
        <f t="shared" si="263"/>
        <v>102</v>
      </c>
      <c r="C112" s="218" t="str">
        <f t="shared" si="150"/>
        <v>81cE13_330_270#06</v>
      </c>
      <c r="D112" s="43">
        <f t="shared" ref="D112:F112" si="264">D111</f>
        <v>13</v>
      </c>
      <c r="E112" s="61">
        <f t="shared" si="264"/>
        <v>2.149</v>
      </c>
      <c r="F112" s="44">
        <f t="shared" si="264"/>
        <v>16.530769230769231</v>
      </c>
      <c r="G112" s="44">
        <f t="shared" si="173"/>
        <v>13.224615384615385</v>
      </c>
      <c r="H112" s="44">
        <f t="shared" si="174"/>
        <v>8.2653846153846153</v>
      </c>
      <c r="I112" s="44">
        <f t="shared" si="248"/>
        <v>8</v>
      </c>
      <c r="J112" s="45">
        <f t="shared" si="249"/>
        <v>-30</v>
      </c>
      <c r="K112" s="37" t="str">
        <f>D112&amp;-6</f>
        <v>13-6</v>
      </c>
      <c r="L112" s="45">
        <f t="shared" si="147"/>
        <v>0.2</v>
      </c>
      <c r="M112" s="49">
        <f t="shared" si="175"/>
        <v>270</v>
      </c>
      <c r="N112" s="53">
        <f t="shared" ref="N112:Q112" si="265">N111</f>
        <v>60</v>
      </c>
      <c r="O112" s="53">
        <f t="shared" si="265"/>
        <v>150</v>
      </c>
      <c r="P112" s="44">
        <f t="shared" si="265"/>
        <v>750</v>
      </c>
      <c r="Q112" s="45" t="str">
        <f t="shared" si="265"/>
        <v>on</v>
      </c>
    </row>
    <row r="113" spans="1:17" ht="15.75" thickBot="1" x14ac:dyDescent="0.3">
      <c r="A113" s="229">
        <f t="shared" ref="A113:B113" si="266">A112+1</f>
        <v>4496</v>
      </c>
      <c r="B113" s="230">
        <f t="shared" si="266"/>
        <v>103</v>
      </c>
      <c r="C113" s="218" t="str">
        <f t="shared" si="150"/>
        <v>81cF13_330_270#01</v>
      </c>
      <c r="D113" s="43">
        <f t="shared" ref="D113:F113" si="267">D112</f>
        <v>13</v>
      </c>
      <c r="E113" s="61">
        <f t="shared" si="267"/>
        <v>2.149</v>
      </c>
      <c r="F113" s="44">
        <f t="shared" si="267"/>
        <v>16.530769230769231</v>
      </c>
      <c r="G113" s="44">
        <f t="shared" si="173"/>
        <v>13.224615384615385</v>
      </c>
      <c r="H113" s="44">
        <f t="shared" si="174"/>
        <v>8.2653846153846153</v>
      </c>
      <c r="I113" s="44">
        <f t="shared" si="248"/>
        <v>8</v>
      </c>
      <c r="J113" s="45">
        <f t="shared" si="249"/>
        <v>-30</v>
      </c>
      <c r="K113" s="37" t="str">
        <f>D113&amp;-1</f>
        <v>13-1</v>
      </c>
      <c r="L113" s="45">
        <f t="shared" si="147"/>
        <v>0.2</v>
      </c>
      <c r="M113" s="49">
        <f t="shared" si="175"/>
        <v>270</v>
      </c>
      <c r="N113" s="53">
        <v>75</v>
      </c>
      <c r="O113" s="53">
        <f t="shared" ref="O113:Q113" si="268">O112</f>
        <v>150</v>
      </c>
      <c r="P113" s="44">
        <f t="shared" si="268"/>
        <v>750</v>
      </c>
      <c r="Q113" s="45" t="str">
        <f t="shared" si="268"/>
        <v>on</v>
      </c>
    </row>
    <row r="114" spans="1:17" ht="15.75" thickBot="1" x14ac:dyDescent="0.3">
      <c r="A114" s="229">
        <f t="shared" ref="A114:B114" si="269">A113+1</f>
        <v>4497</v>
      </c>
      <c r="B114" s="230">
        <f t="shared" si="269"/>
        <v>104</v>
      </c>
      <c r="C114" s="218" t="str">
        <f t="shared" si="150"/>
        <v>81cF13_330_270#02</v>
      </c>
      <c r="D114" s="43">
        <f t="shared" ref="D114:F114" si="270">D113</f>
        <v>13</v>
      </c>
      <c r="E114" s="61">
        <f t="shared" si="270"/>
        <v>2.149</v>
      </c>
      <c r="F114" s="44">
        <f t="shared" si="270"/>
        <v>16.530769230769231</v>
      </c>
      <c r="G114" s="44">
        <f t="shared" si="173"/>
        <v>13.224615384615385</v>
      </c>
      <c r="H114" s="44">
        <f t="shared" si="174"/>
        <v>8.2653846153846153</v>
      </c>
      <c r="I114" s="44">
        <f t="shared" si="248"/>
        <v>8</v>
      </c>
      <c r="J114" s="45">
        <f t="shared" si="249"/>
        <v>-30</v>
      </c>
      <c r="K114" s="37" t="str">
        <f>D114&amp;-2</f>
        <v>13-2</v>
      </c>
      <c r="L114" s="45">
        <f t="shared" si="147"/>
        <v>0.2</v>
      </c>
      <c r="M114" s="49">
        <f t="shared" si="175"/>
        <v>270</v>
      </c>
      <c r="N114" s="53">
        <f>N113</f>
        <v>75</v>
      </c>
      <c r="O114" s="53">
        <f t="shared" ref="O114:Q114" si="271">O113</f>
        <v>150</v>
      </c>
      <c r="P114" s="44">
        <f t="shared" si="271"/>
        <v>750</v>
      </c>
      <c r="Q114" s="45" t="str">
        <f t="shared" si="271"/>
        <v>on</v>
      </c>
    </row>
    <row r="115" spans="1:17" ht="15.75" thickBot="1" x14ac:dyDescent="0.3">
      <c r="A115" s="229">
        <f t="shared" ref="A115:B115" si="272">A114+1</f>
        <v>4498</v>
      </c>
      <c r="B115" s="230">
        <f t="shared" si="272"/>
        <v>105</v>
      </c>
      <c r="C115" s="218" t="str">
        <f t="shared" si="150"/>
        <v>81cF13_330_270#03</v>
      </c>
      <c r="D115" s="43">
        <f t="shared" ref="D115:F115" si="273">D114</f>
        <v>13</v>
      </c>
      <c r="E115" s="61">
        <f t="shared" si="273"/>
        <v>2.149</v>
      </c>
      <c r="F115" s="44">
        <f t="shared" si="273"/>
        <v>16.530769230769231</v>
      </c>
      <c r="G115" s="44">
        <f t="shared" si="173"/>
        <v>13.224615384615385</v>
      </c>
      <c r="H115" s="44">
        <f t="shared" si="174"/>
        <v>8.2653846153846153</v>
      </c>
      <c r="I115" s="44">
        <f t="shared" si="248"/>
        <v>8</v>
      </c>
      <c r="J115" s="45">
        <f t="shared" si="249"/>
        <v>-30</v>
      </c>
      <c r="K115" s="37" t="str">
        <f>D115&amp;-3</f>
        <v>13-3</v>
      </c>
      <c r="L115" s="45">
        <f t="shared" si="147"/>
        <v>0.2</v>
      </c>
      <c r="M115" s="49">
        <f t="shared" si="175"/>
        <v>270</v>
      </c>
      <c r="N115" s="53">
        <f t="shared" ref="N115:Q115" si="274">N114</f>
        <v>75</v>
      </c>
      <c r="O115" s="53">
        <f t="shared" si="274"/>
        <v>150</v>
      </c>
      <c r="P115" s="44">
        <f t="shared" si="274"/>
        <v>750</v>
      </c>
      <c r="Q115" s="45" t="str">
        <f t="shared" si="274"/>
        <v>on</v>
      </c>
    </row>
    <row r="116" spans="1:17" ht="15.75" thickBot="1" x14ac:dyDescent="0.3">
      <c r="A116" s="229">
        <f t="shared" ref="A116:B116" si="275">A115+1</f>
        <v>4499</v>
      </c>
      <c r="B116" s="230">
        <f t="shared" si="275"/>
        <v>106</v>
      </c>
      <c r="C116" s="218" t="str">
        <f t="shared" si="150"/>
        <v>81cF13_330_270#04</v>
      </c>
      <c r="D116" s="43">
        <f t="shared" ref="D116:F116" si="276">D115</f>
        <v>13</v>
      </c>
      <c r="E116" s="61">
        <f t="shared" si="276"/>
        <v>2.149</v>
      </c>
      <c r="F116" s="44">
        <f t="shared" si="276"/>
        <v>16.530769230769231</v>
      </c>
      <c r="G116" s="44">
        <f t="shared" si="173"/>
        <v>13.224615384615385</v>
      </c>
      <c r="H116" s="44">
        <f t="shared" si="174"/>
        <v>8.2653846153846153</v>
      </c>
      <c r="I116" s="44">
        <f t="shared" si="248"/>
        <v>8</v>
      </c>
      <c r="J116" s="45">
        <f t="shared" si="249"/>
        <v>-30</v>
      </c>
      <c r="K116" s="37" t="str">
        <f>D116&amp;-4</f>
        <v>13-4</v>
      </c>
      <c r="L116" s="45">
        <f t="shared" si="147"/>
        <v>0.2</v>
      </c>
      <c r="M116" s="49">
        <f t="shared" si="175"/>
        <v>270</v>
      </c>
      <c r="N116" s="53">
        <f t="shared" ref="N116:Q116" si="277">N115</f>
        <v>75</v>
      </c>
      <c r="O116" s="53">
        <f t="shared" si="277"/>
        <v>150</v>
      </c>
      <c r="P116" s="44">
        <f t="shared" si="277"/>
        <v>750</v>
      </c>
      <c r="Q116" s="45" t="str">
        <f t="shared" si="277"/>
        <v>on</v>
      </c>
    </row>
    <row r="117" spans="1:17" ht="15.75" thickBot="1" x14ac:dyDescent="0.3">
      <c r="A117" s="229">
        <f t="shared" ref="A117:B117" si="278">A116+1</f>
        <v>4500</v>
      </c>
      <c r="B117" s="230">
        <f t="shared" si="278"/>
        <v>107</v>
      </c>
      <c r="C117" s="218" t="str">
        <f t="shared" si="150"/>
        <v>81cF13_330_270#05</v>
      </c>
      <c r="D117" s="43">
        <f t="shared" ref="D117:F117" si="279">D116</f>
        <v>13</v>
      </c>
      <c r="E117" s="61">
        <f t="shared" si="279"/>
        <v>2.149</v>
      </c>
      <c r="F117" s="44">
        <f t="shared" si="279"/>
        <v>16.530769230769231</v>
      </c>
      <c r="G117" s="44">
        <f t="shared" si="173"/>
        <v>13.224615384615385</v>
      </c>
      <c r="H117" s="44">
        <f t="shared" si="174"/>
        <v>8.2653846153846153</v>
      </c>
      <c r="I117" s="44">
        <f t="shared" si="248"/>
        <v>8</v>
      </c>
      <c r="J117" s="45">
        <f t="shared" si="249"/>
        <v>-30</v>
      </c>
      <c r="K117" s="37" t="str">
        <f>D117&amp;-5</f>
        <v>13-5</v>
      </c>
      <c r="L117" s="45">
        <f t="shared" si="147"/>
        <v>0.2</v>
      </c>
      <c r="M117" s="49">
        <f t="shared" si="175"/>
        <v>270</v>
      </c>
      <c r="N117" s="53">
        <f t="shared" ref="N117:Q117" si="280">N116</f>
        <v>75</v>
      </c>
      <c r="O117" s="53">
        <f t="shared" si="280"/>
        <v>150</v>
      </c>
      <c r="P117" s="44">
        <f t="shared" si="280"/>
        <v>750</v>
      </c>
      <c r="Q117" s="45" t="str">
        <f t="shared" si="280"/>
        <v>on</v>
      </c>
    </row>
    <row r="118" spans="1:17" ht="15.75" thickBot="1" x14ac:dyDescent="0.3">
      <c r="A118" s="229">
        <f t="shared" ref="A118:B118" si="281">A117+1</f>
        <v>4501</v>
      </c>
      <c r="B118" s="230">
        <f t="shared" si="281"/>
        <v>108</v>
      </c>
      <c r="C118" s="218" t="str">
        <f t="shared" si="150"/>
        <v>81cF13_330_270#06</v>
      </c>
      <c r="D118" s="43">
        <f t="shared" ref="D118:F118" si="282">D117</f>
        <v>13</v>
      </c>
      <c r="E118" s="61">
        <f t="shared" si="282"/>
        <v>2.149</v>
      </c>
      <c r="F118" s="44">
        <f t="shared" si="282"/>
        <v>16.530769230769231</v>
      </c>
      <c r="G118" s="44">
        <f t="shared" si="173"/>
        <v>13.224615384615385</v>
      </c>
      <c r="H118" s="44">
        <f t="shared" si="174"/>
        <v>8.2653846153846153</v>
      </c>
      <c r="I118" s="44">
        <f t="shared" si="248"/>
        <v>8</v>
      </c>
      <c r="J118" s="45">
        <f t="shared" si="249"/>
        <v>-30</v>
      </c>
      <c r="K118" s="37" t="str">
        <f>D118&amp;-6</f>
        <v>13-6</v>
      </c>
      <c r="L118" s="45">
        <f t="shared" si="147"/>
        <v>0.2</v>
      </c>
      <c r="M118" s="49">
        <f t="shared" si="175"/>
        <v>270</v>
      </c>
      <c r="N118" s="53">
        <f t="shared" ref="N118:Q118" si="283">N117</f>
        <v>75</v>
      </c>
      <c r="O118" s="53">
        <f t="shared" si="283"/>
        <v>150</v>
      </c>
      <c r="P118" s="44">
        <f t="shared" si="283"/>
        <v>750</v>
      </c>
      <c r="Q118" s="45" t="str">
        <f t="shared" si="283"/>
        <v>on</v>
      </c>
    </row>
    <row r="119" spans="1:17" ht="15.75" thickBot="1" x14ac:dyDescent="0.3">
      <c r="A119" s="229">
        <f t="shared" ref="A119:B119" si="284">A118+1</f>
        <v>4502</v>
      </c>
      <c r="B119" s="230">
        <f t="shared" si="284"/>
        <v>109</v>
      </c>
      <c r="C119" s="218" t="str">
        <f t="shared" si="150"/>
        <v>81cA13_000_090#01</v>
      </c>
      <c r="D119" s="43">
        <f t="shared" ref="D119:F119" si="285">D118</f>
        <v>13</v>
      </c>
      <c r="E119" s="61">
        <f t="shared" si="285"/>
        <v>2.149</v>
      </c>
      <c r="F119" s="44">
        <f t="shared" si="285"/>
        <v>16.530769230769231</v>
      </c>
      <c r="G119" s="44">
        <f t="shared" si="173"/>
        <v>13.224615384615385</v>
      </c>
      <c r="H119" s="44">
        <f t="shared" si="174"/>
        <v>8.2653846153846153</v>
      </c>
      <c r="I119" s="44">
        <f t="shared" si="248"/>
        <v>8</v>
      </c>
      <c r="J119" s="45">
        <f t="shared" ref="J119:J150" si="286">dlc81c_y2</f>
        <v>0</v>
      </c>
      <c r="K119" s="37" t="str">
        <f>D119&amp;-1</f>
        <v>13-1</v>
      </c>
      <c r="L119" s="45">
        <f t="shared" si="147"/>
        <v>0.2</v>
      </c>
      <c r="M119" s="49">
        <f t="shared" ref="M119:M154" si="287">dlc81c_r1</f>
        <v>90</v>
      </c>
      <c r="N119" s="53">
        <v>0</v>
      </c>
      <c r="O119" s="53">
        <f t="shared" ref="O119:Q119" si="288">O118</f>
        <v>150</v>
      </c>
      <c r="P119" s="44">
        <f t="shared" si="288"/>
        <v>750</v>
      </c>
      <c r="Q119" s="45" t="str">
        <f t="shared" si="288"/>
        <v>on</v>
      </c>
    </row>
    <row r="120" spans="1:17" ht="15.75" thickBot="1" x14ac:dyDescent="0.3">
      <c r="A120" s="229">
        <f t="shared" ref="A120:B120" si="289">A119+1</f>
        <v>4503</v>
      </c>
      <c r="B120" s="230">
        <f t="shared" si="289"/>
        <v>110</v>
      </c>
      <c r="C120" s="218" t="str">
        <f t="shared" si="150"/>
        <v>81cA13_000_090#02</v>
      </c>
      <c r="D120" s="43">
        <f t="shared" ref="D120:F120" si="290">D119</f>
        <v>13</v>
      </c>
      <c r="E120" s="61">
        <f t="shared" si="290"/>
        <v>2.149</v>
      </c>
      <c r="F120" s="44">
        <f t="shared" si="290"/>
        <v>16.530769230769231</v>
      </c>
      <c r="G120" s="44">
        <f t="shared" si="173"/>
        <v>13.224615384615385</v>
      </c>
      <c r="H120" s="44">
        <f t="shared" si="174"/>
        <v>8.2653846153846153</v>
      </c>
      <c r="I120" s="44">
        <f t="shared" si="248"/>
        <v>8</v>
      </c>
      <c r="J120" s="45">
        <f t="shared" si="286"/>
        <v>0</v>
      </c>
      <c r="K120" s="37" t="str">
        <f>D120&amp;-2</f>
        <v>13-2</v>
      </c>
      <c r="L120" s="45">
        <f t="shared" si="147"/>
        <v>0.2</v>
      </c>
      <c r="M120" s="49">
        <f t="shared" si="287"/>
        <v>90</v>
      </c>
      <c r="N120" s="53">
        <f>N119</f>
        <v>0</v>
      </c>
      <c r="O120" s="53">
        <f t="shared" ref="O120:Q120" si="291">O119</f>
        <v>150</v>
      </c>
      <c r="P120" s="44">
        <f t="shared" si="291"/>
        <v>750</v>
      </c>
      <c r="Q120" s="45" t="str">
        <f t="shared" si="291"/>
        <v>on</v>
      </c>
    </row>
    <row r="121" spans="1:17" ht="15.75" thickBot="1" x14ac:dyDescent="0.3">
      <c r="A121" s="229">
        <f t="shared" ref="A121:B121" si="292">A120+1</f>
        <v>4504</v>
      </c>
      <c r="B121" s="230">
        <f t="shared" si="292"/>
        <v>111</v>
      </c>
      <c r="C121" s="218" t="str">
        <f t="shared" si="150"/>
        <v>81cA13_000_090#03</v>
      </c>
      <c r="D121" s="43">
        <f t="shared" ref="D121:F121" si="293">D120</f>
        <v>13</v>
      </c>
      <c r="E121" s="61">
        <f t="shared" si="293"/>
        <v>2.149</v>
      </c>
      <c r="F121" s="44">
        <f t="shared" si="293"/>
        <v>16.530769230769231</v>
      </c>
      <c r="G121" s="44">
        <f t="shared" si="173"/>
        <v>13.224615384615385</v>
      </c>
      <c r="H121" s="44">
        <f t="shared" si="174"/>
        <v>8.2653846153846153</v>
      </c>
      <c r="I121" s="44">
        <f t="shared" si="248"/>
        <v>8</v>
      </c>
      <c r="J121" s="45">
        <f t="shared" si="286"/>
        <v>0</v>
      </c>
      <c r="K121" s="37" t="str">
        <f>D121&amp;-3</f>
        <v>13-3</v>
      </c>
      <c r="L121" s="45">
        <f t="shared" si="147"/>
        <v>0.2</v>
      </c>
      <c r="M121" s="49">
        <f t="shared" si="287"/>
        <v>90</v>
      </c>
      <c r="N121" s="53">
        <f t="shared" ref="N121:Q121" si="294">N120</f>
        <v>0</v>
      </c>
      <c r="O121" s="53">
        <f t="shared" si="294"/>
        <v>150</v>
      </c>
      <c r="P121" s="44">
        <f t="shared" si="294"/>
        <v>750</v>
      </c>
      <c r="Q121" s="45" t="str">
        <f t="shared" si="294"/>
        <v>on</v>
      </c>
    </row>
    <row r="122" spans="1:17" ht="15.75" thickBot="1" x14ac:dyDescent="0.3">
      <c r="A122" s="229">
        <f t="shared" ref="A122:B122" si="295">A121+1</f>
        <v>4505</v>
      </c>
      <c r="B122" s="230">
        <f t="shared" si="295"/>
        <v>112</v>
      </c>
      <c r="C122" s="218" t="str">
        <f t="shared" si="150"/>
        <v>81cA13_000_090#04</v>
      </c>
      <c r="D122" s="43">
        <f t="shared" ref="D122:F122" si="296">D121</f>
        <v>13</v>
      </c>
      <c r="E122" s="61">
        <f t="shared" si="296"/>
        <v>2.149</v>
      </c>
      <c r="F122" s="44">
        <f t="shared" si="296"/>
        <v>16.530769230769231</v>
      </c>
      <c r="G122" s="44">
        <f t="shared" si="173"/>
        <v>13.224615384615385</v>
      </c>
      <c r="H122" s="44">
        <f t="shared" si="174"/>
        <v>8.2653846153846153</v>
      </c>
      <c r="I122" s="44">
        <f t="shared" si="248"/>
        <v>8</v>
      </c>
      <c r="J122" s="45">
        <f t="shared" si="286"/>
        <v>0</v>
      </c>
      <c r="K122" s="37" t="str">
        <f>D122&amp;-4</f>
        <v>13-4</v>
      </c>
      <c r="L122" s="45">
        <f t="shared" si="147"/>
        <v>0.2</v>
      </c>
      <c r="M122" s="49">
        <f t="shared" si="287"/>
        <v>90</v>
      </c>
      <c r="N122" s="53">
        <f t="shared" ref="N122:Q122" si="297">N121</f>
        <v>0</v>
      </c>
      <c r="O122" s="53">
        <f t="shared" si="297"/>
        <v>150</v>
      </c>
      <c r="P122" s="44">
        <f t="shared" si="297"/>
        <v>750</v>
      </c>
      <c r="Q122" s="45" t="str">
        <f t="shared" si="297"/>
        <v>on</v>
      </c>
    </row>
    <row r="123" spans="1:17" ht="15.75" thickBot="1" x14ac:dyDescent="0.3">
      <c r="A123" s="229">
        <f t="shared" ref="A123:B123" si="298">A122+1</f>
        <v>4506</v>
      </c>
      <c r="B123" s="230">
        <f t="shared" si="298"/>
        <v>113</v>
      </c>
      <c r="C123" s="218" t="str">
        <f t="shared" si="150"/>
        <v>81cA13_000_090#05</v>
      </c>
      <c r="D123" s="43">
        <f t="shared" ref="D123:F123" si="299">D122</f>
        <v>13</v>
      </c>
      <c r="E123" s="61">
        <f t="shared" si="299"/>
        <v>2.149</v>
      </c>
      <c r="F123" s="44">
        <f t="shared" si="299"/>
        <v>16.530769230769231</v>
      </c>
      <c r="G123" s="44">
        <f t="shared" si="173"/>
        <v>13.224615384615385</v>
      </c>
      <c r="H123" s="44">
        <f t="shared" si="174"/>
        <v>8.2653846153846153</v>
      </c>
      <c r="I123" s="44">
        <f t="shared" si="248"/>
        <v>8</v>
      </c>
      <c r="J123" s="45">
        <f t="shared" si="286"/>
        <v>0</v>
      </c>
      <c r="K123" s="37" t="str">
        <f>D123&amp;-5</f>
        <v>13-5</v>
      </c>
      <c r="L123" s="45">
        <f t="shared" si="147"/>
        <v>0.2</v>
      </c>
      <c r="M123" s="49">
        <f t="shared" si="287"/>
        <v>90</v>
      </c>
      <c r="N123" s="53">
        <f t="shared" ref="N123:Q123" si="300">N122</f>
        <v>0</v>
      </c>
      <c r="O123" s="53">
        <f t="shared" si="300"/>
        <v>150</v>
      </c>
      <c r="P123" s="44">
        <f t="shared" si="300"/>
        <v>750</v>
      </c>
      <c r="Q123" s="45" t="str">
        <f t="shared" si="300"/>
        <v>on</v>
      </c>
    </row>
    <row r="124" spans="1:17" ht="15.75" thickBot="1" x14ac:dyDescent="0.3">
      <c r="A124" s="229">
        <f t="shared" ref="A124:B124" si="301">A123+1</f>
        <v>4507</v>
      </c>
      <c r="B124" s="230">
        <f t="shared" si="301"/>
        <v>114</v>
      </c>
      <c r="C124" s="218" t="str">
        <f t="shared" si="150"/>
        <v>81cA13_000_090#06</v>
      </c>
      <c r="D124" s="43">
        <f t="shared" ref="D124:F124" si="302">D123</f>
        <v>13</v>
      </c>
      <c r="E124" s="61">
        <f t="shared" si="302"/>
        <v>2.149</v>
      </c>
      <c r="F124" s="44">
        <f t="shared" si="302"/>
        <v>16.530769230769231</v>
      </c>
      <c r="G124" s="44">
        <f t="shared" si="173"/>
        <v>13.224615384615385</v>
      </c>
      <c r="H124" s="44">
        <f t="shared" si="174"/>
        <v>8.2653846153846153</v>
      </c>
      <c r="I124" s="44">
        <f t="shared" si="248"/>
        <v>8</v>
      </c>
      <c r="J124" s="45">
        <f t="shared" si="286"/>
        <v>0</v>
      </c>
      <c r="K124" s="37" t="str">
        <f>D124&amp;-6</f>
        <v>13-6</v>
      </c>
      <c r="L124" s="45">
        <f t="shared" si="147"/>
        <v>0.2</v>
      </c>
      <c r="M124" s="49">
        <f t="shared" si="287"/>
        <v>90</v>
      </c>
      <c r="N124" s="53">
        <f t="shared" ref="N124:Q124" si="303">N123</f>
        <v>0</v>
      </c>
      <c r="O124" s="53">
        <f t="shared" si="303"/>
        <v>150</v>
      </c>
      <c r="P124" s="44">
        <f t="shared" si="303"/>
        <v>750</v>
      </c>
      <c r="Q124" s="45" t="str">
        <f t="shared" si="303"/>
        <v>on</v>
      </c>
    </row>
    <row r="125" spans="1:17" ht="15.75" thickBot="1" x14ac:dyDescent="0.3">
      <c r="A125" s="229">
        <f t="shared" ref="A125:B125" si="304">A124+1</f>
        <v>4508</v>
      </c>
      <c r="B125" s="230">
        <f t="shared" si="304"/>
        <v>115</v>
      </c>
      <c r="C125" s="218" t="str">
        <f t="shared" si="150"/>
        <v>81cB13_000_090#01</v>
      </c>
      <c r="D125" s="43">
        <f t="shared" ref="D125:F125" si="305">D124</f>
        <v>13</v>
      </c>
      <c r="E125" s="61">
        <f t="shared" si="305"/>
        <v>2.149</v>
      </c>
      <c r="F125" s="44">
        <f t="shared" si="305"/>
        <v>16.530769230769231</v>
      </c>
      <c r="G125" s="44">
        <f t="shared" si="173"/>
        <v>13.224615384615385</v>
      </c>
      <c r="H125" s="44">
        <f t="shared" si="174"/>
        <v>8.2653846153846153</v>
      </c>
      <c r="I125" s="44">
        <f t="shared" si="248"/>
        <v>8</v>
      </c>
      <c r="J125" s="45">
        <f t="shared" si="286"/>
        <v>0</v>
      </c>
      <c r="K125" s="37" t="str">
        <f>D125&amp;-1</f>
        <v>13-1</v>
      </c>
      <c r="L125" s="45">
        <f t="shared" si="147"/>
        <v>0.2</v>
      </c>
      <c r="M125" s="49">
        <f t="shared" si="287"/>
        <v>90</v>
      </c>
      <c r="N125" s="53">
        <v>15</v>
      </c>
      <c r="O125" s="53">
        <f t="shared" ref="O125:Q125" si="306">O124</f>
        <v>150</v>
      </c>
      <c r="P125" s="44">
        <f t="shared" si="306"/>
        <v>750</v>
      </c>
      <c r="Q125" s="45" t="str">
        <f t="shared" si="306"/>
        <v>on</v>
      </c>
    </row>
    <row r="126" spans="1:17" ht="15.75" thickBot="1" x14ac:dyDescent="0.3">
      <c r="A126" s="229">
        <f t="shared" ref="A126:B126" si="307">A125+1</f>
        <v>4509</v>
      </c>
      <c r="B126" s="230">
        <f t="shared" si="307"/>
        <v>116</v>
      </c>
      <c r="C126" s="218" t="str">
        <f t="shared" si="150"/>
        <v>81cB13_000_090#02</v>
      </c>
      <c r="D126" s="43">
        <f t="shared" ref="D126:F126" si="308">D125</f>
        <v>13</v>
      </c>
      <c r="E126" s="61">
        <f t="shared" si="308"/>
        <v>2.149</v>
      </c>
      <c r="F126" s="44">
        <f t="shared" si="308"/>
        <v>16.530769230769231</v>
      </c>
      <c r="G126" s="44">
        <f t="shared" si="173"/>
        <v>13.224615384615385</v>
      </c>
      <c r="H126" s="44">
        <f t="shared" si="174"/>
        <v>8.2653846153846153</v>
      </c>
      <c r="I126" s="44">
        <f t="shared" si="248"/>
        <v>8</v>
      </c>
      <c r="J126" s="45">
        <f t="shared" si="286"/>
        <v>0</v>
      </c>
      <c r="K126" s="37" t="str">
        <f>D126&amp;-2</f>
        <v>13-2</v>
      </c>
      <c r="L126" s="45">
        <f t="shared" si="147"/>
        <v>0.2</v>
      </c>
      <c r="M126" s="49">
        <f t="shared" si="287"/>
        <v>90</v>
      </c>
      <c r="N126" s="53">
        <f>N125</f>
        <v>15</v>
      </c>
      <c r="O126" s="53">
        <f t="shared" ref="O126:Q126" si="309">O125</f>
        <v>150</v>
      </c>
      <c r="P126" s="44">
        <f t="shared" si="309"/>
        <v>750</v>
      </c>
      <c r="Q126" s="45" t="str">
        <f t="shared" si="309"/>
        <v>on</v>
      </c>
    </row>
    <row r="127" spans="1:17" ht="15.75" thickBot="1" x14ac:dyDescent="0.3">
      <c r="A127" s="229">
        <f t="shared" ref="A127:B127" si="310">A126+1</f>
        <v>4510</v>
      </c>
      <c r="B127" s="230">
        <f t="shared" si="310"/>
        <v>117</v>
      </c>
      <c r="C127" s="218" t="str">
        <f t="shared" si="150"/>
        <v>81cB13_000_090#03</v>
      </c>
      <c r="D127" s="43">
        <f t="shared" ref="D127:F127" si="311">D126</f>
        <v>13</v>
      </c>
      <c r="E127" s="61">
        <f t="shared" si="311"/>
        <v>2.149</v>
      </c>
      <c r="F127" s="44">
        <f t="shared" si="311"/>
        <v>16.530769230769231</v>
      </c>
      <c r="G127" s="44">
        <f t="shared" si="173"/>
        <v>13.224615384615385</v>
      </c>
      <c r="H127" s="44">
        <f t="shared" si="174"/>
        <v>8.2653846153846153</v>
      </c>
      <c r="I127" s="44">
        <f t="shared" si="248"/>
        <v>8</v>
      </c>
      <c r="J127" s="45">
        <f t="shared" si="286"/>
        <v>0</v>
      </c>
      <c r="K127" s="37" t="str">
        <f>D127&amp;-3</f>
        <v>13-3</v>
      </c>
      <c r="L127" s="45">
        <f t="shared" si="147"/>
        <v>0.2</v>
      </c>
      <c r="M127" s="49">
        <f t="shared" si="287"/>
        <v>90</v>
      </c>
      <c r="N127" s="53">
        <f t="shared" ref="N127:Q127" si="312">N126</f>
        <v>15</v>
      </c>
      <c r="O127" s="53">
        <f t="shared" si="312"/>
        <v>150</v>
      </c>
      <c r="P127" s="44">
        <f t="shared" si="312"/>
        <v>750</v>
      </c>
      <c r="Q127" s="45" t="str">
        <f t="shared" si="312"/>
        <v>on</v>
      </c>
    </row>
    <row r="128" spans="1:17" ht="15.75" thickBot="1" x14ac:dyDescent="0.3">
      <c r="A128" s="229">
        <f t="shared" ref="A128:B128" si="313">A127+1</f>
        <v>4511</v>
      </c>
      <c r="B128" s="230">
        <f t="shared" si="313"/>
        <v>118</v>
      </c>
      <c r="C128" s="218" t="str">
        <f t="shared" si="150"/>
        <v>81cB13_000_090#04</v>
      </c>
      <c r="D128" s="43">
        <f t="shared" ref="D128:F128" si="314">D127</f>
        <v>13</v>
      </c>
      <c r="E128" s="61">
        <f t="shared" si="314"/>
        <v>2.149</v>
      </c>
      <c r="F128" s="44">
        <f t="shared" si="314"/>
        <v>16.530769230769231</v>
      </c>
      <c r="G128" s="44">
        <f t="shared" si="173"/>
        <v>13.224615384615385</v>
      </c>
      <c r="H128" s="44">
        <f t="shared" si="174"/>
        <v>8.2653846153846153</v>
      </c>
      <c r="I128" s="44">
        <f t="shared" si="248"/>
        <v>8</v>
      </c>
      <c r="J128" s="45">
        <f t="shared" si="286"/>
        <v>0</v>
      </c>
      <c r="K128" s="37" t="str">
        <f>D128&amp;-4</f>
        <v>13-4</v>
      </c>
      <c r="L128" s="45">
        <f t="shared" si="147"/>
        <v>0.2</v>
      </c>
      <c r="M128" s="49">
        <f t="shared" si="287"/>
        <v>90</v>
      </c>
      <c r="N128" s="53">
        <f t="shared" ref="N128:Q128" si="315">N127</f>
        <v>15</v>
      </c>
      <c r="O128" s="53">
        <f t="shared" si="315"/>
        <v>150</v>
      </c>
      <c r="P128" s="44">
        <f t="shared" si="315"/>
        <v>750</v>
      </c>
      <c r="Q128" s="45" t="str">
        <f t="shared" si="315"/>
        <v>on</v>
      </c>
    </row>
    <row r="129" spans="1:17" ht="15.75" thickBot="1" x14ac:dyDescent="0.3">
      <c r="A129" s="229">
        <f t="shared" ref="A129:B129" si="316">A128+1</f>
        <v>4512</v>
      </c>
      <c r="B129" s="230">
        <f t="shared" si="316"/>
        <v>119</v>
      </c>
      <c r="C129" s="218" t="str">
        <f t="shared" si="150"/>
        <v>81cB13_000_090#05</v>
      </c>
      <c r="D129" s="43">
        <f t="shared" ref="D129:F129" si="317">D128</f>
        <v>13</v>
      </c>
      <c r="E129" s="61">
        <f t="shared" si="317"/>
        <v>2.149</v>
      </c>
      <c r="F129" s="44">
        <f t="shared" si="317"/>
        <v>16.530769230769231</v>
      </c>
      <c r="G129" s="44">
        <f t="shared" si="173"/>
        <v>13.224615384615385</v>
      </c>
      <c r="H129" s="44">
        <f t="shared" si="174"/>
        <v>8.2653846153846153</v>
      </c>
      <c r="I129" s="44">
        <f t="shared" si="248"/>
        <v>8</v>
      </c>
      <c r="J129" s="45">
        <f t="shared" si="286"/>
        <v>0</v>
      </c>
      <c r="K129" s="37" t="str">
        <f>D129&amp;-5</f>
        <v>13-5</v>
      </c>
      <c r="L129" s="45">
        <f t="shared" si="147"/>
        <v>0.2</v>
      </c>
      <c r="M129" s="49">
        <f t="shared" si="287"/>
        <v>90</v>
      </c>
      <c r="N129" s="53">
        <f t="shared" ref="N129:Q129" si="318">N128</f>
        <v>15</v>
      </c>
      <c r="O129" s="53">
        <f t="shared" si="318"/>
        <v>150</v>
      </c>
      <c r="P129" s="44">
        <f t="shared" si="318"/>
        <v>750</v>
      </c>
      <c r="Q129" s="45" t="str">
        <f t="shared" si="318"/>
        <v>on</v>
      </c>
    </row>
    <row r="130" spans="1:17" ht="15.75" thickBot="1" x14ac:dyDescent="0.3">
      <c r="A130" s="229">
        <f t="shared" ref="A130:B130" si="319">A129+1</f>
        <v>4513</v>
      </c>
      <c r="B130" s="230">
        <f t="shared" si="319"/>
        <v>120</v>
      </c>
      <c r="C130" s="218" t="str">
        <f t="shared" si="150"/>
        <v>81cB13_000_090#06</v>
      </c>
      <c r="D130" s="43">
        <f t="shared" ref="D130:F130" si="320">D129</f>
        <v>13</v>
      </c>
      <c r="E130" s="61">
        <f t="shared" si="320"/>
        <v>2.149</v>
      </c>
      <c r="F130" s="44">
        <f t="shared" si="320"/>
        <v>16.530769230769231</v>
      </c>
      <c r="G130" s="44">
        <f t="shared" si="173"/>
        <v>13.224615384615385</v>
      </c>
      <c r="H130" s="44">
        <f t="shared" si="174"/>
        <v>8.2653846153846153</v>
      </c>
      <c r="I130" s="44">
        <f t="shared" si="248"/>
        <v>8</v>
      </c>
      <c r="J130" s="45">
        <f t="shared" si="286"/>
        <v>0</v>
      </c>
      <c r="K130" s="37" t="str">
        <f>D130&amp;-6</f>
        <v>13-6</v>
      </c>
      <c r="L130" s="45">
        <f t="shared" si="147"/>
        <v>0.2</v>
      </c>
      <c r="M130" s="49">
        <f t="shared" si="287"/>
        <v>90</v>
      </c>
      <c r="N130" s="53">
        <f t="shared" ref="N130:Q130" si="321">N129</f>
        <v>15</v>
      </c>
      <c r="O130" s="53">
        <f t="shared" si="321"/>
        <v>150</v>
      </c>
      <c r="P130" s="44">
        <f t="shared" si="321"/>
        <v>750</v>
      </c>
      <c r="Q130" s="45" t="str">
        <f t="shared" si="321"/>
        <v>on</v>
      </c>
    </row>
    <row r="131" spans="1:17" ht="15.75" thickBot="1" x14ac:dyDescent="0.3">
      <c r="A131" s="229">
        <f t="shared" ref="A131:B131" si="322">A130+1</f>
        <v>4514</v>
      </c>
      <c r="B131" s="230">
        <f t="shared" si="322"/>
        <v>121</v>
      </c>
      <c r="C131" s="218" t="str">
        <f t="shared" si="150"/>
        <v>81cC13_000_090#01</v>
      </c>
      <c r="D131" s="43">
        <f t="shared" ref="D131:F131" si="323">D130</f>
        <v>13</v>
      </c>
      <c r="E131" s="61">
        <f t="shared" si="323"/>
        <v>2.149</v>
      </c>
      <c r="F131" s="44">
        <f t="shared" si="323"/>
        <v>16.530769230769231</v>
      </c>
      <c r="G131" s="44">
        <f t="shared" si="173"/>
        <v>13.224615384615385</v>
      </c>
      <c r="H131" s="44">
        <f t="shared" si="174"/>
        <v>8.2653846153846153</v>
      </c>
      <c r="I131" s="44">
        <f t="shared" si="248"/>
        <v>8</v>
      </c>
      <c r="J131" s="45">
        <f t="shared" si="286"/>
        <v>0</v>
      </c>
      <c r="K131" s="37" t="str">
        <f>D131&amp;-1</f>
        <v>13-1</v>
      </c>
      <c r="L131" s="45">
        <f t="shared" si="147"/>
        <v>0.2</v>
      </c>
      <c r="M131" s="49">
        <f t="shared" si="287"/>
        <v>90</v>
      </c>
      <c r="N131" s="53">
        <v>30</v>
      </c>
      <c r="O131" s="53">
        <f t="shared" ref="O131:Q131" si="324">O130</f>
        <v>150</v>
      </c>
      <c r="P131" s="44">
        <f t="shared" si="324"/>
        <v>750</v>
      </c>
      <c r="Q131" s="45" t="str">
        <f t="shared" si="324"/>
        <v>on</v>
      </c>
    </row>
    <row r="132" spans="1:17" ht="15.75" thickBot="1" x14ac:dyDescent="0.3">
      <c r="A132" s="229">
        <f t="shared" ref="A132:B132" si="325">A131+1</f>
        <v>4515</v>
      </c>
      <c r="B132" s="230">
        <f t="shared" si="325"/>
        <v>122</v>
      </c>
      <c r="C132" s="218" t="str">
        <f t="shared" si="150"/>
        <v>81cC13_000_090#02</v>
      </c>
      <c r="D132" s="43">
        <f t="shared" ref="D132:F132" si="326">D131</f>
        <v>13</v>
      </c>
      <c r="E132" s="61">
        <f t="shared" si="326"/>
        <v>2.149</v>
      </c>
      <c r="F132" s="44">
        <f t="shared" si="326"/>
        <v>16.530769230769231</v>
      </c>
      <c r="G132" s="44">
        <f t="shared" si="173"/>
        <v>13.224615384615385</v>
      </c>
      <c r="H132" s="44">
        <f t="shared" si="174"/>
        <v>8.2653846153846153</v>
      </c>
      <c r="I132" s="44">
        <f t="shared" si="248"/>
        <v>8</v>
      </c>
      <c r="J132" s="45">
        <f t="shared" si="286"/>
        <v>0</v>
      </c>
      <c r="K132" s="37" t="str">
        <f>D132&amp;-2</f>
        <v>13-2</v>
      </c>
      <c r="L132" s="45">
        <f t="shared" si="147"/>
        <v>0.2</v>
      </c>
      <c r="M132" s="49">
        <f t="shared" si="287"/>
        <v>90</v>
      </c>
      <c r="N132" s="53">
        <f>N131</f>
        <v>30</v>
      </c>
      <c r="O132" s="53">
        <f t="shared" ref="O132:Q132" si="327">O131</f>
        <v>150</v>
      </c>
      <c r="P132" s="44">
        <f t="shared" si="327"/>
        <v>750</v>
      </c>
      <c r="Q132" s="45" t="str">
        <f t="shared" si="327"/>
        <v>on</v>
      </c>
    </row>
    <row r="133" spans="1:17" ht="15.75" thickBot="1" x14ac:dyDescent="0.3">
      <c r="A133" s="229">
        <f t="shared" ref="A133:B133" si="328">A132+1</f>
        <v>4516</v>
      </c>
      <c r="B133" s="230">
        <f t="shared" si="328"/>
        <v>123</v>
      </c>
      <c r="C133" s="218" t="str">
        <f t="shared" si="150"/>
        <v>81cC13_000_090#03</v>
      </c>
      <c r="D133" s="43">
        <f t="shared" ref="D133:F133" si="329">D132</f>
        <v>13</v>
      </c>
      <c r="E133" s="61">
        <f t="shared" si="329"/>
        <v>2.149</v>
      </c>
      <c r="F133" s="44">
        <f t="shared" si="329"/>
        <v>16.530769230769231</v>
      </c>
      <c r="G133" s="44">
        <f t="shared" si="173"/>
        <v>13.224615384615385</v>
      </c>
      <c r="H133" s="44">
        <f t="shared" si="174"/>
        <v>8.2653846153846153</v>
      </c>
      <c r="I133" s="44">
        <f t="shared" si="248"/>
        <v>8</v>
      </c>
      <c r="J133" s="45">
        <f t="shared" si="286"/>
        <v>0</v>
      </c>
      <c r="K133" s="37" t="str">
        <f>D133&amp;-3</f>
        <v>13-3</v>
      </c>
      <c r="L133" s="45">
        <f t="shared" si="147"/>
        <v>0.2</v>
      </c>
      <c r="M133" s="49">
        <f t="shared" si="287"/>
        <v>90</v>
      </c>
      <c r="N133" s="53">
        <f t="shared" ref="N133:Q133" si="330">N132</f>
        <v>30</v>
      </c>
      <c r="O133" s="53">
        <f t="shared" si="330"/>
        <v>150</v>
      </c>
      <c r="P133" s="44">
        <f t="shared" si="330"/>
        <v>750</v>
      </c>
      <c r="Q133" s="45" t="str">
        <f t="shared" si="330"/>
        <v>on</v>
      </c>
    </row>
    <row r="134" spans="1:17" ht="15.75" thickBot="1" x14ac:dyDescent="0.3">
      <c r="A134" s="229">
        <f t="shared" ref="A134:B134" si="331">A133+1</f>
        <v>4517</v>
      </c>
      <c r="B134" s="230">
        <f t="shared" si="331"/>
        <v>124</v>
      </c>
      <c r="C134" s="218" t="str">
        <f t="shared" si="150"/>
        <v>81cC13_000_090#04</v>
      </c>
      <c r="D134" s="43">
        <f t="shared" ref="D134:F134" si="332">D133</f>
        <v>13</v>
      </c>
      <c r="E134" s="61">
        <f t="shared" si="332"/>
        <v>2.149</v>
      </c>
      <c r="F134" s="44">
        <f t="shared" si="332"/>
        <v>16.530769230769231</v>
      </c>
      <c r="G134" s="44">
        <f t="shared" si="173"/>
        <v>13.224615384615385</v>
      </c>
      <c r="H134" s="44">
        <f t="shared" si="174"/>
        <v>8.2653846153846153</v>
      </c>
      <c r="I134" s="44">
        <f t="shared" si="248"/>
        <v>8</v>
      </c>
      <c r="J134" s="45">
        <f t="shared" si="286"/>
        <v>0</v>
      </c>
      <c r="K134" s="37" t="str">
        <f>D134&amp;-4</f>
        <v>13-4</v>
      </c>
      <c r="L134" s="45">
        <f t="shared" si="147"/>
        <v>0.2</v>
      </c>
      <c r="M134" s="49">
        <f t="shared" si="287"/>
        <v>90</v>
      </c>
      <c r="N134" s="53">
        <f t="shared" ref="N134:Q134" si="333">N133</f>
        <v>30</v>
      </c>
      <c r="O134" s="53">
        <f t="shared" si="333"/>
        <v>150</v>
      </c>
      <c r="P134" s="44">
        <f t="shared" si="333"/>
        <v>750</v>
      </c>
      <c r="Q134" s="45" t="str">
        <f t="shared" si="333"/>
        <v>on</v>
      </c>
    </row>
    <row r="135" spans="1:17" ht="15.75" thickBot="1" x14ac:dyDescent="0.3">
      <c r="A135" s="229">
        <f t="shared" ref="A135:B135" si="334">A134+1</f>
        <v>4518</v>
      </c>
      <c r="B135" s="230">
        <f t="shared" si="334"/>
        <v>125</v>
      </c>
      <c r="C135" s="218" t="str">
        <f t="shared" si="150"/>
        <v>81cC13_000_090#05</v>
      </c>
      <c r="D135" s="43">
        <f t="shared" ref="D135:F135" si="335">D134</f>
        <v>13</v>
      </c>
      <c r="E135" s="61">
        <f t="shared" si="335"/>
        <v>2.149</v>
      </c>
      <c r="F135" s="44">
        <f t="shared" si="335"/>
        <v>16.530769230769231</v>
      </c>
      <c r="G135" s="44">
        <f t="shared" si="173"/>
        <v>13.224615384615385</v>
      </c>
      <c r="H135" s="44">
        <f t="shared" si="174"/>
        <v>8.2653846153846153</v>
      </c>
      <c r="I135" s="44">
        <f t="shared" si="248"/>
        <v>8</v>
      </c>
      <c r="J135" s="45">
        <f t="shared" si="286"/>
        <v>0</v>
      </c>
      <c r="K135" s="37" t="str">
        <f>D135&amp;-5</f>
        <v>13-5</v>
      </c>
      <c r="L135" s="45">
        <f t="shared" si="147"/>
        <v>0.2</v>
      </c>
      <c r="M135" s="49">
        <f t="shared" si="287"/>
        <v>90</v>
      </c>
      <c r="N135" s="53">
        <f t="shared" ref="N135:Q135" si="336">N134</f>
        <v>30</v>
      </c>
      <c r="O135" s="53">
        <f t="shared" si="336"/>
        <v>150</v>
      </c>
      <c r="P135" s="44">
        <f t="shared" si="336"/>
        <v>750</v>
      </c>
      <c r="Q135" s="45" t="str">
        <f t="shared" si="336"/>
        <v>on</v>
      </c>
    </row>
    <row r="136" spans="1:17" ht="15.75" thickBot="1" x14ac:dyDescent="0.3">
      <c r="A136" s="229">
        <f t="shared" ref="A136:B136" si="337">A135+1</f>
        <v>4519</v>
      </c>
      <c r="B136" s="230">
        <f t="shared" si="337"/>
        <v>126</v>
      </c>
      <c r="C136" s="218" t="str">
        <f t="shared" si="150"/>
        <v>81cC13_000_090#06</v>
      </c>
      <c r="D136" s="43">
        <f t="shared" ref="D136:F136" si="338">D135</f>
        <v>13</v>
      </c>
      <c r="E136" s="61">
        <f t="shared" si="338"/>
        <v>2.149</v>
      </c>
      <c r="F136" s="44">
        <f t="shared" si="338"/>
        <v>16.530769230769231</v>
      </c>
      <c r="G136" s="44">
        <f t="shared" si="173"/>
        <v>13.224615384615385</v>
      </c>
      <c r="H136" s="44">
        <f t="shared" si="174"/>
        <v>8.2653846153846153</v>
      </c>
      <c r="I136" s="44">
        <f t="shared" si="248"/>
        <v>8</v>
      </c>
      <c r="J136" s="45">
        <f t="shared" si="286"/>
        <v>0</v>
      </c>
      <c r="K136" s="37" t="str">
        <f>D136&amp;-6</f>
        <v>13-6</v>
      </c>
      <c r="L136" s="45">
        <f t="shared" si="147"/>
        <v>0.2</v>
      </c>
      <c r="M136" s="49">
        <f t="shared" si="287"/>
        <v>90</v>
      </c>
      <c r="N136" s="53">
        <f t="shared" ref="N136:Q136" si="339">N135</f>
        <v>30</v>
      </c>
      <c r="O136" s="53">
        <f t="shared" si="339"/>
        <v>150</v>
      </c>
      <c r="P136" s="44">
        <f t="shared" si="339"/>
        <v>750</v>
      </c>
      <c r="Q136" s="45" t="str">
        <f t="shared" si="339"/>
        <v>on</v>
      </c>
    </row>
    <row r="137" spans="1:17" ht="15.75" thickBot="1" x14ac:dyDescent="0.3">
      <c r="A137" s="229">
        <f t="shared" ref="A137:B137" si="340">A136+1</f>
        <v>4520</v>
      </c>
      <c r="B137" s="230">
        <f t="shared" si="340"/>
        <v>127</v>
      </c>
      <c r="C137" s="218" t="str">
        <f t="shared" si="150"/>
        <v>81cD13_000_090#01</v>
      </c>
      <c r="D137" s="43">
        <f t="shared" ref="D137:F137" si="341">D136</f>
        <v>13</v>
      </c>
      <c r="E137" s="61">
        <f t="shared" si="341"/>
        <v>2.149</v>
      </c>
      <c r="F137" s="44">
        <f t="shared" si="341"/>
        <v>16.530769230769231</v>
      </c>
      <c r="G137" s="44">
        <f t="shared" si="173"/>
        <v>13.224615384615385</v>
      </c>
      <c r="H137" s="44">
        <f t="shared" si="174"/>
        <v>8.2653846153846153</v>
      </c>
      <c r="I137" s="44">
        <f t="shared" si="248"/>
        <v>8</v>
      </c>
      <c r="J137" s="45">
        <f t="shared" si="286"/>
        <v>0</v>
      </c>
      <c r="K137" s="37" t="str">
        <f>D137&amp;-1</f>
        <v>13-1</v>
      </c>
      <c r="L137" s="45">
        <f t="shared" si="147"/>
        <v>0.2</v>
      </c>
      <c r="M137" s="49">
        <f t="shared" si="287"/>
        <v>90</v>
      </c>
      <c r="N137" s="53">
        <v>45</v>
      </c>
      <c r="O137" s="53">
        <f t="shared" ref="O137:Q137" si="342">O136</f>
        <v>150</v>
      </c>
      <c r="P137" s="44">
        <f t="shared" si="342"/>
        <v>750</v>
      </c>
      <c r="Q137" s="45" t="str">
        <f t="shared" si="342"/>
        <v>on</v>
      </c>
    </row>
    <row r="138" spans="1:17" ht="15.75" thickBot="1" x14ac:dyDescent="0.3">
      <c r="A138" s="229">
        <f t="shared" ref="A138:B138" si="343">A137+1</f>
        <v>4521</v>
      </c>
      <c r="B138" s="230">
        <f t="shared" si="343"/>
        <v>128</v>
      </c>
      <c r="C138" s="218" t="str">
        <f t="shared" si="150"/>
        <v>81cD13_000_090#02</v>
      </c>
      <c r="D138" s="43">
        <f t="shared" ref="D138:F138" si="344">D137</f>
        <v>13</v>
      </c>
      <c r="E138" s="61">
        <f t="shared" si="344"/>
        <v>2.149</v>
      </c>
      <c r="F138" s="44">
        <f t="shared" si="344"/>
        <v>16.530769230769231</v>
      </c>
      <c r="G138" s="44">
        <f t="shared" si="173"/>
        <v>13.224615384615385</v>
      </c>
      <c r="H138" s="44">
        <f t="shared" si="174"/>
        <v>8.2653846153846153</v>
      </c>
      <c r="I138" s="44">
        <f t="shared" si="248"/>
        <v>8</v>
      </c>
      <c r="J138" s="45">
        <f t="shared" si="286"/>
        <v>0</v>
      </c>
      <c r="K138" s="37" t="str">
        <f>D138&amp;-2</f>
        <v>13-2</v>
      </c>
      <c r="L138" s="45">
        <f t="shared" si="147"/>
        <v>0.2</v>
      </c>
      <c r="M138" s="49">
        <f t="shared" si="287"/>
        <v>90</v>
      </c>
      <c r="N138" s="53">
        <f>N137</f>
        <v>45</v>
      </c>
      <c r="O138" s="53">
        <f t="shared" ref="O138:Q138" si="345">O137</f>
        <v>150</v>
      </c>
      <c r="P138" s="44">
        <f t="shared" si="345"/>
        <v>750</v>
      </c>
      <c r="Q138" s="45" t="str">
        <f t="shared" si="345"/>
        <v>on</v>
      </c>
    </row>
    <row r="139" spans="1:17" ht="15.75" thickBot="1" x14ac:dyDescent="0.3">
      <c r="A139" s="229">
        <f t="shared" ref="A139:B139" si="346">A138+1</f>
        <v>4522</v>
      </c>
      <c r="B139" s="230">
        <f t="shared" si="346"/>
        <v>129</v>
      </c>
      <c r="C139" s="218" t="str">
        <f t="shared" si="150"/>
        <v>81cD13_000_090#03</v>
      </c>
      <c r="D139" s="43">
        <f t="shared" ref="D139:F139" si="347">D138</f>
        <v>13</v>
      </c>
      <c r="E139" s="61">
        <f t="shared" si="347"/>
        <v>2.149</v>
      </c>
      <c r="F139" s="44">
        <f t="shared" si="347"/>
        <v>16.530769230769231</v>
      </c>
      <c r="G139" s="44">
        <f t="shared" si="173"/>
        <v>13.224615384615385</v>
      </c>
      <c r="H139" s="44">
        <f t="shared" si="174"/>
        <v>8.2653846153846153</v>
      </c>
      <c r="I139" s="44">
        <f t="shared" si="248"/>
        <v>8</v>
      </c>
      <c r="J139" s="45">
        <f t="shared" si="286"/>
        <v>0</v>
      </c>
      <c r="K139" s="37" t="str">
        <f>D139&amp;-3</f>
        <v>13-3</v>
      </c>
      <c r="L139" s="45">
        <f t="shared" ref="L139:L202" si="348">alpha_n</f>
        <v>0.2</v>
      </c>
      <c r="M139" s="49">
        <f t="shared" si="287"/>
        <v>90</v>
      </c>
      <c r="N139" s="53">
        <f t="shared" ref="N139:Q139" si="349">N138</f>
        <v>45</v>
      </c>
      <c r="O139" s="53">
        <f t="shared" si="349"/>
        <v>150</v>
      </c>
      <c r="P139" s="44">
        <f t="shared" si="349"/>
        <v>750</v>
      </c>
      <c r="Q139" s="45" t="str">
        <f t="shared" si="349"/>
        <v>on</v>
      </c>
    </row>
    <row r="140" spans="1:17" ht="15.75" thickBot="1" x14ac:dyDescent="0.3">
      <c r="A140" s="229">
        <f t="shared" ref="A140:B140" si="350">A139+1</f>
        <v>4523</v>
      </c>
      <c r="B140" s="230">
        <f t="shared" si="350"/>
        <v>130</v>
      </c>
      <c r="C140" s="218" t="str">
        <f t="shared" ref="C140:C203" si="351">TEXT(RIGHT($B$2,LEN($B$2)-3),"000")&amp;IF(N140=0,"A",IF(N140=15,"B",IF(N140=30,"C",IF(N140=45,"D",IF(N140=60,"E","F")))))&amp;TEXT(D140,"00")&amp;"_"&amp;IF(J140&lt;0,TEXT(360+J140,"000"),TEXT(J140,"000"))&amp;"_"&amp;TEXT(M140,"000")&amp;"#"&amp;TEXT(RIGHT(K140,LEN(K140)-FIND("-",K140)),"00")</f>
        <v>81cD13_000_090#04</v>
      </c>
      <c r="D140" s="43">
        <f t="shared" ref="D140:F140" si="352">D139</f>
        <v>13</v>
      </c>
      <c r="E140" s="61">
        <f t="shared" si="352"/>
        <v>2.149</v>
      </c>
      <c r="F140" s="44">
        <f t="shared" si="352"/>
        <v>16.530769230769231</v>
      </c>
      <c r="G140" s="44">
        <f t="shared" si="173"/>
        <v>13.224615384615385</v>
      </c>
      <c r="H140" s="44">
        <f t="shared" si="174"/>
        <v>8.2653846153846153</v>
      </c>
      <c r="I140" s="44">
        <f t="shared" si="248"/>
        <v>8</v>
      </c>
      <c r="J140" s="45">
        <f t="shared" si="286"/>
        <v>0</v>
      </c>
      <c r="K140" s="37" t="str">
        <f>D140&amp;-4</f>
        <v>13-4</v>
      </c>
      <c r="L140" s="45">
        <f t="shared" si="348"/>
        <v>0.2</v>
      </c>
      <c r="M140" s="49">
        <f t="shared" si="287"/>
        <v>90</v>
      </c>
      <c r="N140" s="53">
        <f t="shared" ref="N140:Q140" si="353">N139</f>
        <v>45</v>
      </c>
      <c r="O140" s="53">
        <f t="shared" si="353"/>
        <v>150</v>
      </c>
      <c r="P140" s="44">
        <f t="shared" si="353"/>
        <v>750</v>
      </c>
      <c r="Q140" s="45" t="str">
        <f t="shared" si="353"/>
        <v>on</v>
      </c>
    </row>
    <row r="141" spans="1:17" ht="15.75" thickBot="1" x14ac:dyDescent="0.3">
      <c r="A141" s="229">
        <f t="shared" ref="A141:B141" si="354">A140+1</f>
        <v>4524</v>
      </c>
      <c r="B141" s="230">
        <f t="shared" si="354"/>
        <v>131</v>
      </c>
      <c r="C141" s="218" t="str">
        <f t="shared" si="351"/>
        <v>81cD13_000_090#05</v>
      </c>
      <c r="D141" s="43">
        <f t="shared" ref="D141:F141" si="355">D140</f>
        <v>13</v>
      </c>
      <c r="E141" s="61">
        <f t="shared" si="355"/>
        <v>2.149</v>
      </c>
      <c r="F141" s="44">
        <f t="shared" si="355"/>
        <v>16.530769230769231</v>
      </c>
      <c r="G141" s="44">
        <f t="shared" si="173"/>
        <v>13.224615384615385</v>
      </c>
      <c r="H141" s="44">
        <f t="shared" si="174"/>
        <v>8.2653846153846153</v>
      </c>
      <c r="I141" s="44">
        <f t="shared" si="248"/>
        <v>8</v>
      </c>
      <c r="J141" s="45">
        <f t="shared" si="286"/>
        <v>0</v>
      </c>
      <c r="K141" s="37" t="str">
        <f>D141&amp;-5</f>
        <v>13-5</v>
      </c>
      <c r="L141" s="45">
        <f t="shared" si="348"/>
        <v>0.2</v>
      </c>
      <c r="M141" s="49">
        <f t="shared" si="287"/>
        <v>90</v>
      </c>
      <c r="N141" s="53">
        <f t="shared" ref="N141:Q141" si="356">N140</f>
        <v>45</v>
      </c>
      <c r="O141" s="53">
        <f t="shared" si="356"/>
        <v>150</v>
      </c>
      <c r="P141" s="44">
        <f t="shared" si="356"/>
        <v>750</v>
      </c>
      <c r="Q141" s="45" t="str">
        <f t="shared" si="356"/>
        <v>on</v>
      </c>
    </row>
    <row r="142" spans="1:17" ht="15.75" thickBot="1" x14ac:dyDescent="0.3">
      <c r="A142" s="229">
        <f t="shared" ref="A142:B142" si="357">A141+1</f>
        <v>4525</v>
      </c>
      <c r="B142" s="230">
        <f t="shared" si="357"/>
        <v>132</v>
      </c>
      <c r="C142" s="218" t="str">
        <f t="shared" si="351"/>
        <v>81cD13_000_090#06</v>
      </c>
      <c r="D142" s="43">
        <f t="shared" ref="D142:F142" si="358">D141</f>
        <v>13</v>
      </c>
      <c r="E142" s="61">
        <f t="shared" si="358"/>
        <v>2.149</v>
      </c>
      <c r="F142" s="44">
        <f t="shared" si="358"/>
        <v>16.530769230769231</v>
      </c>
      <c r="G142" s="44">
        <f t="shared" si="173"/>
        <v>13.224615384615385</v>
      </c>
      <c r="H142" s="44">
        <f t="shared" si="174"/>
        <v>8.2653846153846153</v>
      </c>
      <c r="I142" s="44">
        <f t="shared" si="248"/>
        <v>8</v>
      </c>
      <c r="J142" s="45">
        <f t="shared" si="286"/>
        <v>0</v>
      </c>
      <c r="K142" s="37" t="str">
        <f>D142&amp;-6</f>
        <v>13-6</v>
      </c>
      <c r="L142" s="45">
        <f t="shared" si="348"/>
        <v>0.2</v>
      </c>
      <c r="M142" s="49">
        <f t="shared" si="287"/>
        <v>90</v>
      </c>
      <c r="N142" s="53">
        <f t="shared" ref="N142:Q142" si="359">N141</f>
        <v>45</v>
      </c>
      <c r="O142" s="53">
        <f t="shared" si="359"/>
        <v>150</v>
      </c>
      <c r="P142" s="44">
        <f t="shared" si="359"/>
        <v>750</v>
      </c>
      <c r="Q142" s="45" t="str">
        <f t="shared" si="359"/>
        <v>on</v>
      </c>
    </row>
    <row r="143" spans="1:17" ht="15.75" thickBot="1" x14ac:dyDescent="0.3">
      <c r="A143" s="229">
        <f t="shared" ref="A143:B143" si="360">A142+1</f>
        <v>4526</v>
      </c>
      <c r="B143" s="230">
        <f t="shared" si="360"/>
        <v>133</v>
      </c>
      <c r="C143" s="218" t="str">
        <f t="shared" si="351"/>
        <v>81cE13_000_090#01</v>
      </c>
      <c r="D143" s="43">
        <f t="shared" ref="D143:F143" si="361">D142</f>
        <v>13</v>
      </c>
      <c r="E143" s="61">
        <f t="shared" si="361"/>
        <v>2.149</v>
      </c>
      <c r="F143" s="44">
        <f t="shared" si="361"/>
        <v>16.530769230769231</v>
      </c>
      <c r="G143" s="44">
        <f t="shared" si="173"/>
        <v>13.224615384615385</v>
      </c>
      <c r="H143" s="44">
        <f t="shared" si="174"/>
        <v>8.2653846153846153</v>
      </c>
      <c r="I143" s="44">
        <f t="shared" si="248"/>
        <v>8</v>
      </c>
      <c r="J143" s="45">
        <f t="shared" si="286"/>
        <v>0</v>
      </c>
      <c r="K143" s="37" t="str">
        <f>D143&amp;-1</f>
        <v>13-1</v>
      </c>
      <c r="L143" s="45">
        <f t="shared" si="348"/>
        <v>0.2</v>
      </c>
      <c r="M143" s="49">
        <f t="shared" si="287"/>
        <v>90</v>
      </c>
      <c r="N143" s="53">
        <v>60</v>
      </c>
      <c r="O143" s="53">
        <f t="shared" ref="O143:Q143" si="362">O142</f>
        <v>150</v>
      </c>
      <c r="P143" s="44">
        <f t="shared" si="362"/>
        <v>750</v>
      </c>
      <c r="Q143" s="45" t="str">
        <f t="shared" si="362"/>
        <v>on</v>
      </c>
    </row>
    <row r="144" spans="1:17" ht="15.75" thickBot="1" x14ac:dyDescent="0.3">
      <c r="A144" s="229">
        <f t="shared" ref="A144:B144" si="363">A143+1</f>
        <v>4527</v>
      </c>
      <c r="B144" s="230">
        <f t="shared" si="363"/>
        <v>134</v>
      </c>
      <c r="C144" s="218" t="str">
        <f t="shared" si="351"/>
        <v>81cE13_000_090#02</v>
      </c>
      <c r="D144" s="43">
        <f t="shared" ref="D144:F144" si="364">D143</f>
        <v>13</v>
      </c>
      <c r="E144" s="61">
        <f t="shared" si="364"/>
        <v>2.149</v>
      </c>
      <c r="F144" s="44">
        <f t="shared" si="364"/>
        <v>16.530769230769231</v>
      </c>
      <c r="G144" s="44">
        <f t="shared" si="173"/>
        <v>13.224615384615385</v>
      </c>
      <c r="H144" s="44">
        <f t="shared" si="174"/>
        <v>8.2653846153846153</v>
      </c>
      <c r="I144" s="44">
        <f t="shared" si="248"/>
        <v>8</v>
      </c>
      <c r="J144" s="45">
        <f t="shared" si="286"/>
        <v>0</v>
      </c>
      <c r="K144" s="37" t="str">
        <f>D144&amp;-2</f>
        <v>13-2</v>
      </c>
      <c r="L144" s="45">
        <f t="shared" si="348"/>
        <v>0.2</v>
      </c>
      <c r="M144" s="49">
        <f t="shared" si="287"/>
        <v>90</v>
      </c>
      <c r="N144" s="53">
        <f>N143</f>
        <v>60</v>
      </c>
      <c r="O144" s="53">
        <f t="shared" ref="O144:Q144" si="365">O143</f>
        <v>150</v>
      </c>
      <c r="P144" s="44">
        <f t="shared" si="365"/>
        <v>750</v>
      </c>
      <c r="Q144" s="45" t="str">
        <f t="shared" si="365"/>
        <v>on</v>
      </c>
    </row>
    <row r="145" spans="1:17" ht="15.75" thickBot="1" x14ac:dyDescent="0.3">
      <c r="A145" s="229">
        <f t="shared" ref="A145:B145" si="366">A144+1</f>
        <v>4528</v>
      </c>
      <c r="B145" s="230">
        <f t="shared" si="366"/>
        <v>135</v>
      </c>
      <c r="C145" s="218" t="str">
        <f t="shared" si="351"/>
        <v>81cE13_000_090#03</v>
      </c>
      <c r="D145" s="43">
        <f t="shared" ref="D145:F145" si="367">D144</f>
        <v>13</v>
      </c>
      <c r="E145" s="61">
        <f t="shared" si="367"/>
        <v>2.149</v>
      </c>
      <c r="F145" s="44">
        <f t="shared" si="367"/>
        <v>16.530769230769231</v>
      </c>
      <c r="G145" s="44">
        <f t="shared" si="173"/>
        <v>13.224615384615385</v>
      </c>
      <c r="H145" s="44">
        <f t="shared" si="174"/>
        <v>8.2653846153846153</v>
      </c>
      <c r="I145" s="44">
        <f t="shared" si="248"/>
        <v>8</v>
      </c>
      <c r="J145" s="45">
        <f t="shared" si="286"/>
        <v>0</v>
      </c>
      <c r="K145" s="37" t="str">
        <f>D145&amp;-3</f>
        <v>13-3</v>
      </c>
      <c r="L145" s="45">
        <f t="shared" si="348"/>
        <v>0.2</v>
      </c>
      <c r="M145" s="49">
        <f t="shared" si="287"/>
        <v>90</v>
      </c>
      <c r="N145" s="53">
        <f t="shared" ref="N145:Q145" si="368">N144</f>
        <v>60</v>
      </c>
      <c r="O145" s="53">
        <f t="shared" si="368"/>
        <v>150</v>
      </c>
      <c r="P145" s="44">
        <f t="shared" si="368"/>
        <v>750</v>
      </c>
      <c r="Q145" s="45" t="str">
        <f t="shared" si="368"/>
        <v>on</v>
      </c>
    </row>
    <row r="146" spans="1:17" ht="15.75" thickBot="1" x14ac:dyDescent="0.3">
      <c r="A146" s="229">
        <f t="shared" ref="A146:B146" si="369">A145+1</f>
        <v>4529</v>
      </c>
      <c r="B146" s="230">
        <f t="shared" si="369"/>
        <v>136</v>
      </c>
      <c r="C146" s="218" t="str">
        <f t="shared" si="351"/>
        <v>81cE13_000_090#04</v>
      </c>
      <c r="D146" s="43">
        <f t="shared" ref="D146:F146" si="370">D145</f>
        <v>13</v>
      </c>
      <c r="E146" s="61">
        <f t="shared" si="370"/>
        <v>2.149</v>
      </c>
      <c r="F146" s="44">
        <f t="shared" si="370"/>
        <v>16.530769230769231</v>
      </c>
      <c r="G146" s="44">
        <f t="shared" si="173"/>
        <v>13.224615384615385</v>
      </c>
      <c r="H146" s="44">
        <f t="shared" si="174"/>
        <v>8.2653846153846153</v>
      </c>
      <c r="I146" s="44">
        <f t="shared" si="248"/>
        <v>8</v>
      </c>
      <c r="J146" s="45">
        <f t="shared" si="286"/>
        <v>0</v>
      </c>
      <c r="K146" s="37" t="str">
        <f>D146&amp;-4</f>
        <v>13-4</v>
      </c>
      <c r="L146" s="45">
        <f t="shared" si="348"/>
        <v>0.2</v>
      </c>
      <c r="M146" s="49">
        <f t="shared" si="287"/>
        <v>90</v>
      </c>
      <c r="N146" s="53">
        <f t="shared" ref="N146:Q146" si="371">N145</f>
        <v>60</v>
      </c>
      <c r="O146" s="53">
        <f t="shared" si="371"/>
        <v>150</v>
      </c>
      <c r="P146" s="44">
        <f t="shared" si="371"/>
        <v>750</v>
      </c>
      <c r="Q146" s="45" t="str">
        <f t="shared" si="371"/>
        <v>on</v>
      </c>
    </row>
    <row r="147" spans="1:17" ht="15.75" thickBot="1" x14ac:dyDescent="0.3">
      <c r="A147" s="229">
        <f t="shared" ref="A147:B147" si="372">A146+1</f>
        <v>4530</v>
      </c>
      <c r="B147" s="230">
        <f t="shared" si="372"/>
        <v>137</v>
      </c>
      <c r="C147" s="218" t="str">
        <f t="shared" si="351"/>
        <v>81cE13_000_090#05</v>
      </c>
      <c r="D147" s="43">
        <f t="shared" ref="D147:F147" si="373">D146</f>
        <v>13</v>
      </c>
      <c r="E147" s="61">
        <f t="shared" si="373"/>
        <v>2.149</v>
      </c>
      <c r="F147" s="44">
        <f t="shared" si="373"/>
        <v>16.530769230769231</v>
      </c>
      <c r="G147" s="44">
        <f t="shared" ref="G147:G210" si="374">m_ty*F147</f>
        <v>13.224615384615385</v>
      </c>
      <c r="H147" s="44">
        <f t="shared" ref="H147:H210" si="375">m_tz*F147</f>
        <v>8.2653846153846153</v>
      </c>
      <c r="I147" s="44">
        <f t="shared" si="248"/>
        <v>8</v>
      </c>
      <c r="J147" s="45">
        <f t="shared" si="286"/>
        <v>0</v>
      </c>
      <c r="K147" s="37" t="str">
        <f>D147&amp;-5</f>
        <v>13-5</v>
      </c>
      <c r="L147" s="45">
        <f t="shared" si="348"/>
        <v>0.2</v>
      </c>
      <c r="M147" s="49">
        <f t="shared" si="287"/>
        <v>90</v>
      </c>
      <c r="N147" s="53">
        <f t="shared" ref="N147:Q147" si="376">N146</f>
        <v>60</v>
      </c>
      <c r="O147" s="53">
        <f t="shared" si="376"/>
        <v>150</v>
      </c>
      <c r="P147" s="44">
        <f t="shared" si="376"/>
        <v>750</v>
      </c>
      <c r="Q147" s="45" t="str">
        <f t="shared" si="376"/>
        <v>on</v>
      </c>
    </row>
    <row r="148" spans="1:17" ht="15.75" thickBot="1" x14ac:dyDescent="0.3">
      <c r="A148" s="229">
        <f t="shared" ref="A148:B148" si="377">A147+1</f>
        <v>4531</v>
      </c>
      <c r="B148" s="230">
        <f t="shared" si="377"/>
        <v>138</v>
      </c>
      <c r="C148" s="218" t="str">
        <f t="shared" si="351"/>
        <v>81cE13_000_090#06</v>
      </c>
      <c r="D148" s="43">
        <f t="shared" ref="D148:F148" si="378">D147</f>
        <v>13</v>
      </c>
      <c r="E148" s="61">
        <f t="shared" si="378"/>
        <v>2.149</v>
      </c>
      <c r="F148" s="44">
        <f t="shared" si="378"/>
        <v>16.530769230769231</v>
      </c>
      <c r="G148" s="44">
        <f t="shared" si="374"/>
        <v>13.224615384615385</v>
      </c>
      <c r="H148" s="44">
        <f t="shared" si="375"/>
        <v>8.2653846153846153</v>
      </c>
      <c r="I148" s="44">
        <f t="shared" si="248"/>
        <v>8</v>
      </c>
      <c r="J148" s="45">
        <f t="shared" si="286"/>
        <v>0</v>
      </c>
      <c r="K148" s="37" t="str">
        <f>D148&amp;-6</f>
        <v>13-6</v>
      </c>
      <c r="L148" s="45">
        <f t="shared" si="348"/>
        <v>0.2</v>
      </c>
      <c r="M148" s="49">
        <f t="shared" si="287"/>
        <v>90</v>
      </c>
      <c r="N148" s="53">
        <f t="shared" ref="N148:Q148" si="379">N147</f>
        <v>60</v>
      </c>
      <c r="O148" s="53">
        <f t="shared" si="379"/>
        <v>150</v>
      </c>
      <c r="P148" s="44">
        <f t="shared" si="379"/>
        <v>750</v>
      </c>
      <c r="Q148" s="45" t="str">
        <f t="shared" si="379"/>
        <v>on</v>
      </c>
    </row>
    <row r="149" spans="1:17" ht="15.75" thickBot="1" x14ac:dyDescent="0.3">
      <c r="A149" s="229">
        <f t="shared" ref="A149:B149" si="380">A148+1</f>
        <v>4532</v>
      </c>
      <c r="B149" s="230">
        <f t="shared" si="380"/>
        <v>139</v>
      </c>
      <c r="C149" s="218" t="str">
        <f t="shared" si="351"/>
        <v>81cF13_000_090#01</v>
      </c>
      <c r="D149" s="43">
        <f t="shared" ref="D149:F149" si="381">D148</f>
        <v>13</v>
      </c>
      <c r="E149" s="61">
        <f t="shared" si="381"/>
        <v>2.149</v>
      </c>
      <c r="F149" s="44">
        <f t="shared" si="381"/>
        <v>16.530769230769231</v>
      </c>
      <c r="G149" s="44">
        <f t="shared" si="374"/>
        <v>13.224615384615385</v>
      </c>
      <c r="H149" s="44">
        <f t="shared" si="375"/>
        <v>8.2653846153846153</v>
      </c>
      <c r="I149" s="44">
        <f t="shared" si="248"/>
        <v>8</v>
      </c>
      <c r="J149" s="45">
        <f t="shared" si="286"/>
        <v>0</v>
      </c>
      <c r="K149" s="37" t="str">
        <f>D149&amp;-1</f>
        <v>13-1</v>
      </c>
      <c r="L149" s="45">
        <f t="shared" si="348"/>
        <v>0.2</v>
      </c>
      <c r="M149" s="49">
        <f t="shared" si="287"/>
        <v>90</v>
      </c>
      <c r="N149" s="53">
        <v>75</v>
      </c>
      <c r="O149" s="53">
        <f t="shared" ref="O149:Q149" si="382">O148</f>
        <v>150</v>
      </c>
      <c r="P149" s="44">
        <f t="shared" si="382"/>
        <v>750</v>
      </c>
      <c r="Q149" s="45" t="str">
        <f t="shared" si="382"/>
        <v>on</v>
      </c>
    </row>
    <row r="150" spans="1:17" ht="15.75" thickBot="1" x14ac:dyDescent="0.3">
      <c r="A150" s="229">
        <f t="shared" ref="A150:B150" si="383">A149+1</f>
        <v>4533</v>
      </c>
      <c r="B150" s="230">
        <f t="shared" si="383"/>
        <v>140</v>
      </c>
      <c r="C150" s="218" t="str">
        <f t="shared" si="351"/>
        <v>81cF13_000_090#02</v>
      </c>
      <c r="D150" s="43">
        <f t="shared" ref="D150:F150" si="384">D149</f>
        <v>13</v>
      </c>
      <c r="E150" s="61">
        <f t="shared" si="384"/>
        <v>2.149</v>
      </c>
      <c r="F150" s="44">
        <f t="shared" si="384"/>
        <v>16.530769230769231</v>
      </c>
      <c r="G150" s="44">
        <f t="shared" si="374"/>
        <v>13.224615384615385</v>
      </c>
      <c r="H150" s="44">
        <f t="shared" si="375"/>
        <v>8.2653846153846153</v>
      </c>
      <c r="I150" s="44">
        <f t="shared" si="248"/>
        <v>8</v>
      </c>
      <c r="J150" s="45">
        <f t="shared" si="286"/>
        <v>0</v>
      </c>
      <c r="K150" s="37" t="str">
        <f>D150&amp;-2</f>
        <v>13-2</v>
      </c>
      <c r="L150" s="45">
        <f t="shared" si="348"/>
        <v>0.2</v>
      </c>
      <c r="M150" s="49">
        <f t="shared" si="287"/>
        <v>90</v>
      </c>
      <c r="N150" s="53">
        <f>N149</f>
        <v>75</v>
      </c>
      <c r="O150" s="53">
        <f t="shared" ref="O150:Q150" si="385">O149</f>
        <v>150</v>
      </c>
      <c r="P150" s="44">
        <f t="shared" si="385"/>
        <v>750</v>
      </c>
      <c r="Q150" s="45" t="str">
        <f t="shared" si="385"/>
        <v>on</v>
      </c>
    </row>
    <row r="151" spans="1:17" ht="15.75" thickBot="1" x14ac:dyDescent="0.3">
      <c r="A151" s="229">
        <f t="shared" ref="A151:B151" si="386">A150+1</f>
        <v>4534</v>
      </c>
      <c r="B151" s="230">
        <f t="shared" si="386"/>
        <v>141</v>
      </c>
      <c r="C151" s="218" t="str">
        <f t="shared" si="351"/>
        <v>81cF13_000_090#03</v>
      </c>
      <c r="D151" s="43">
        <f t="shared" ref="D151:F151" si="387">D150</f>
        <v>13</v>
      </c>
      <c r="E151" s="61">
        <f t="shared" si="387"/>
        <v>2.149</v>
      </c>
      <c r="F151" s="44">
        <f t="shared" si="387"/>
        <v>16.530769230769231</v>
      </c>
      <c r="G151" s="44">
        <f t="shared" si="374"/>
        <v>13.224615384615385</v>
      </c>
      <c r="H151" s="44">
        <f t="shared" si="375"/>
        <v>8.2653846153846153</v>
      </c>
      <c r="I151" s="44">
        <f t="shared" si="248"/>
        <v>8</v>
      </c>
      <c r="J151" s="45">
        <f t="shared" ref="J151:J182" si="388">dlc81c_y2</f>
        <v>0</v>
      </c>
      <c r="K151" s="37" t="str">
        <f>D151&amp;-3</f>
        <v>13-3</v>
      </c>
      <c r="L151" s="45">
        <f t="shared" si="348"/>
        <v>0.2</v>
      </c>
      <c r="M151" s="49">
        <f t="shared" si="287"/>
        <v>90</v>
      </c>
      <c r="N151" s="53">
        <f t="shared" ref="N151:Q151" si="389">N150</f>
        <v>75</v>
      </c>
      <c r="O151" s="53">
        <f t="shared" si="389"/>
        <v>150</v>
      </c>
      <c r="P151" s="44">
        <f t="shared" si="389"/>
        <v>750</v>
      </c>
      <c r="Q151" s="45" t="str">
        <f t="shared" si="389"/>
        <v>on</v>
      </c>
    </row>
    <row r="152" spans="1:17" ht="15.75" thickBot="1" x14ac:dyDescent="0.3">
      <c r="A152" s="229">
        <f t="shared" ref="A152:B152" si="390">A151+1</f>
        <v>4535</v>
      </c>
      <c r="B152" s="230">
        <f t="shared" si="390"/>
        <v>142</v>
      </c>
      <c r="C152" s="218" t="str">
        <f t="shared" si="351"/>
        <v>81cF13_000_090#04</v>
      </c>
      <c r="D152" s="43">
        <f t="shared" ref="D152:F152" si="391">D151</f>
        <v>13</v>
      </c>
      <c r="E152" s="61">
        <f t="shared" si="391"/>
        <v>2.149</v>
      </c>
      <c r="F152" s="44">
        <f t="shared" si="391"/>
        <v>16.530769230769231</v>
      </c>
      <c r="G152" s="44">
        <f t="shared" si="374"/>
        <v>13.224615384615385</v>
      </c>
      <c r="H152" s="44">
        <f t="shared" si="375"/>
        <v>8.2653846153846153</v>
      </c>
      <c r="I152" s="44">
        <f t="shared" si="248"/>
        <v>8</v>
      </c>
      <c r="J152" s="45">
        <f t="shared" si="388"/>
        <v>0</v>
      </c>
      <c r="K152" s="37" t="str">
        <f>D152&amp;-4</f>
        <v>13-4</v>
      </c>
      <c r="L152" s="45">
        <f t="shared" si="348"/>
        <v>0.2</v>
      </c>
      <c r="M152" s="49">
        <f t="shared" si="287"/>
        <v>90</v>
      </c>
      <c r="N152" s="53">
        <f t="shared" ref="N152:Q152" si="392">N151</f>
        <v>75</v>
      </c>
      <c r="O152" s="53">
        <f t="shared" si="392"/>
        <v>150</v>
      </c>
      <c r="P152" s="44">
        <f t="shared" si="392"/>
        <v>750</v>
      </c>
      <c r="Q152" s="45" t="str">
        <f t="shared" si="392"/>
        <v>on</v>
      </c>
    </row>
    <row r="153" spans="1:17" ht="15.75" thickBot="1" x14ac:dyDescent="0.3">
      <c r="A153" s="229">
        <f t="shared" ref="A153:B153" si="393">A152+1</f>
        <v>4536</v>
      </c>
      <c r="B153" s="230">
        <f t="shared" si="393"/>
        <v>143</v>
      </c>
      <c r="C153" s="218" t="str">
        <f t="shared" si="351"/>
        <v>81cF13_000_090#05</v>
      </c>
      <c r="D153" s="43">
        <f t="shared" ref="D153:F153" si="394">D152</f>
        <v>13</v>
      </c>
      <c r="E153" s="61">
        <f t="shared" si="394"/>
        <v>2.149</v>
      </c>
      <c r="F153" s="44">
        <f t="shared" si="394"/>
        <v>16.530769230769231</v>
      </c>
      <c r="G153" s="44">
        <f t="shared" si="374"/>
        <v>13.224615384615385</v>
      </c>
      <c r="H153" s="44">
        <f t="shared" si="375"/>
        <v>8.2653846153846153</v>
      </c>
      <c r="I153" s="44">
        <f t="shared" si="248"/>
        <v>8</v>
      </c>
      <c r="J153" s="45">
        <f t="shared" si="388"/>
        <v>0</v>
      </c>
      <c r="K153" s="37" t="str">
        <f>D153&amp;-5</f>
        <v>13-5</v>
      </c>
      <c r="L153" s="45">
        <f t="shared" si="348"/>
        <v>0.2</v>
      </c>
      <c r="M153" s="49">
        <f t="shared" si="287"/>
        <v>90</v>
      </c>
      <c r="N153" s="53">
        <f t="shared" ref="N153:Q153" si="395">N152</f>
        <v>75</v>
      </c>
      <c r="O153" s="53">
        <f t="shared" si="395"/>
        <v>150</v>
      </c>
      <c r="P153" s="44">
        <f t="shared" si="395"/>
        <v>750</v>
      </c>
      <c r="Q153" s="45" t="str">
        <f t="shared" si="395"/>
        <v>on</v>
      </c>
    </row>
    <row r="154" spans="1:17" ht="15.75" thickBot="1" x14ac:dyDescent="0.3">
      <c r="A154" s="229">
        <f t="shared" ref="A154:B154" si="396">A153+1</f>
        <v>4537</v>
      </c>
      <c r="B154" s="230">
        <f t="shared" si="396"/>
        <v>144</v>
      </c>
      <c r="C154" s="218" t="str">
        <f t="shared" si="351"/>
        <v>81cF13_000_090#06</v>
      </c>
      <c r="D154" s="43">
        <f t="shared" ref="D154:F154" si="397">D153</f>
        <v>13</v>
      </c>
      <c r="E154" s="61">
        <f t="shared" si="397"/>
        <v>2.149</v>
      </c>
      <c r="F154" s="44">
        <f t="shared" si="397"/>
        <v>16.530769230769231</v>
      </c>
      <c r="G154" s="44">
        <f t="shared" si="374"/>
        <v>13.224615384615385</v>
      </c>
      <c r="H154" s="44">
        <f t="shared" si="375"/>
        <v>8.2653846153846153</v>
      </c>
      <c r="I154" s="44">
        <f t="shared" si="248"/>
        <v>8</v>
      </c>
      <c r="J154" s="45">
        <f t="shared" si="388"/>
        <v>0</v>
      </c>
      <c r="K154" s="37" t="str">
        <f>D154&amp;-6</f>
        <v>13-6</v>
      </c>
      <c r="L154" s="45">
        <f t="shared" si="348"/>
        <v>0.2</v>
      </c>
      <c r="M154" s="49">
        <f t="shared" si="287"/>
        <v>90</v>
      </c>
      <c r="N154" s="53">
        <f t="shared" ref="N154:Q154" si="398">N153</f>
        <v>75</v>
      </c>
      <c r="O154" s="53">
        <f t="shared" si="398"/>
        <v>150</v>
      </c>
      <c r="P154" s="44">
        <f t="shared" si="398"/>
        <v>750</v>
      </c>
      <c r="Q154" s="45" t="str">
        <f t="shared" si="398"/>
        <v>on</v>
      </c>
    </row>
    <row r="155" spans="1:17" ht="15.75" thickBot="1" x14ac:dyDescent="0.3">
      <c r="A155" s="229">
        <f t="shared" ref="A155:B155" si="399">A154+1</f>
        <v>4538</v>
      </c>
      <c r="B155" s="230">
        <f t="shared" si="399"/>
        <v>145</v>
      </c>
      <c r="C155" s="218" t="str">
        <f t="shared" si="351"/>
        <v>81cA13_000_180#01</v>
      </c>
      <c r="D155" s="43">
        <f t="shared" ref="D155:F155" si="400">D154</f>
        <v>13</v>
      </c>
      <c r="E155" s="61">
        <f t="shared" si="400"/>
        <v>2.149</v>
      </c>
      <c r="F155" s="44">
        <f t="shared" si="400"/>
        <v>16.530769230769231</v>
      </c>
      <c r="G155" s="44">
        <f t="shared" si="374"/>
        <v>13.224615384615385</v>
      </c>
      <c r="H155" s="44">
        <f t="shared" si="375"/>
        <v>8.2653846153846153</v>
      </c>
      <c r="I155" s="44">
        <f t="shared" si="248"/>
        <v>8</v>
      </c>
      <c r="J155" s="45">
        <f t="shared" si="388"/>
        <v>0</v>
      </c>
      <c r="K155" s="37" t="str">
        <f>D155&amp;-1</f>
        <v>13-1</v>
      </c>
      <c r="L155" s="45">
        <f t="shared" si="348"/>
        <v>0.2</v>
      </c>
      <c r="M155" s="49">
        <f t="shared" ref="M155:M190" si="401">dlc81c_r2</f>
        <v>180</v>
      </c>
      <c r="N155" s="53">
        <v>0</v>
      </c>
      <c r="O155" s="53">
        <f t="shared" ref="O155:Q155" si="402">O154</f>
        <v>150</v>
      </c>
      <c r="P155" s="44">
        <f t="shared" si="402"/>
        <v>750</v>
      </c>
      <c r="Q155" s="45" t="str">
        <f t="shared" si="402"/>
        <v>on</v>
      </c>
    </row>
    <row r="156" spans="1:17" ht="15.75" thickBot="1" x14ac:dyDescent="0.3">
      <c r="A156" s="229">
        <f t="shared" ref="A156:B156" si="403">A155+1</f>
        <v>4539</v>
      </c>
      <c r="B156" s="230">
        <f t="shared" si="403"/>
        <v>146</v>
      </c>
      <c r="C156" s="218" t="str">
        <f t="shared" si="351"/>
        <v>81cA13_000_180#02</v>
      </c>
      <c r="D156" s="43">
        <f t="shared" ref="D156:F156" si="404">D155</f>
        <v>13</v>
      </c>
      <c r="E156" s="61">
        <f t="shared" si="404"/>
        <v>2.149</v>
      </c>
      <c r="F156" s="44">
        <f t="shared" si="404"/>
        <v>16.530769230769231</v>
      </c>
      <c r="G156" s="44">
        <f t="shared" si="374"/>
        <v>13.224615384615385</v>
      </c>
      <c r="H156" s="44">
        <f t="shared" si="375"/>
        <v>8.2653846153846153</v>
      </c>
      <c r="I156" s="44">
        <f t="shared" si="248"/>
        <v>8</v>
      </c>
      <c r="J156" s="45">
        <f t="shared" si="388"/>
        <v>0</v>
      </c>
      <c r="K156" s="37" t="str">
        <f>D156&amp;-2</f>
        <v>13-2</v>
      </c>
      <c r="L156" s="45">
        <f t="shared" si="348"/>
        <v>0.2</v>
      </c>
      <c r="M156" s="49">
        <f t="shared" si="401"/>
        <v>180</v>
      </c>
      <c r="N156" s="53">
        <f>N155</f>
        <v>0</v>
      </c>
      <c r="O156" s="53">
        <f t="shared" ref="O156:Q156" si="405">O155</f>
        <v>150</v>
      </c>
      <c r="P156" s="44">
        <f t="shared" si="405"/>
        <v>750</v>
      </c>
      <c r="Q156" s="45" t="str">
        <f t="shared" si="405"/>
        <v>on</v>
      </c>
    </row>
    <row r="157" spans="1:17" ht="15.75" thickBot="1" x14ac:dyDescent="0.3">
      <c r="A157" s="229">
        <f t="shared" ref="A157:B157" si="406">A156+1</f>
        <v>4540</v>
      </c>
      <c r="B157" s="230">
        <f t="shared" si="406"/>
        <v>147</v>
      </c>
      <c r="C157" s="218" t="str">
        <f t="shared" si="351"/>
        <v>81cA13_000_180#03</v>
      </c>
      <c r="D157" s="43">
        <f t="shared" ref="D157:F157" si="407">D156</f>
        <v>13</v>
      </c>
      <c r="E157" s="61">
        <f t="shared" si="407"/>
        <v>2.149</v>
      </c>
      <c r="F157" s="44">
        <f t="shared" si="407"/>
        <v>16.530769230769231</v>
      </c>
      <c r="G157" s="44">
        <f t="shared" si="374"/>
        <v>13.224615384615385</v>
      </c>
      <c r="H157" s="44">
        <f t="shared" si="375"/>
        <v>8.2653846153846153</v>
      </c>
      <c r="I157" s="44">
        <f t="shared" si="248"/>
        <v>8</v>
      </c>
      <c r="J157" s="45">
        <f t="shared" si="388"/>
        <v>0</v>
      </c>
      <c r="K157" s="37" t="str">
        <f>D157&amp;-3</f>
        <v>13-3</v>
      </c>
      <c r="L157" s="45">
        <f t="shared" si="348"/>
        <v>0.2</v>
      </c>
      <c r="M157" s="49">
        <f t="shared" si="401"/>
        <v>180</v>
      </c>
      <c r="N157" s="53">
        <f t="shared" ref="N157:Q157" si="408">N156</f>
        <v>0</v>
      </c>
      <c r="O157" s="53">
        <f t="shared" si="408"/>
        <v>150</v>
      </c>
      <c r="P157" s="44">
        <f t="shared" si="408"/>
        <v>750</v>
      </c>
      <c r="Q157" s="45" t="str">
        <f t="shared" si="408"/>
        <v>on</v>
      </c>
    </row>
    <row r="158" spans="1:17" ht="15.75" thickBot="1" x14ac:dyDescent="0.3">
      <c r="A158" s="229">
        <f t="shared" ref="A158:B158" si="409">A157+1</f>
        <v>4541</v>
      </c>
      <c r="B158" s="230">
        <f t="shared" si="409"/>
        <v>148</v>
      </c>
      <c r="C158" s="218" t="str">
        <f t="shared" si="351"/>
        <v>81cA13_000_180#04</v>
      </c>
      <c r="D158" s="43">
        <f t="shared" ref="D158:F158" si="410">D157</f>
        <v>13</v>
      </c>
      <c r="E158" s="61">
        <f t="shared" si="410"/>
        <v>2.149</v>
      </c>
      <c r="F158" s="44">
        <f t="shared" si="410"/>
        <v>16.530769230769231</v>
      </c>
      <c r="G158" s="44">
        <f t="shared" si="374"/>
        <v>13.224615384615385</v>
      </c>
      <c r="H158" s="44">
        <f t="shared" si="375"/>
        <v>8.2653846153846153</v>
      </c>
      <c r="I158" s="44">
        <f t="shared" si="248"/>
        <v>8</v>
      </c>
      <c r="J158" s="45">
        <f t="shared" si="388"/>
        <v>0</v>
      </c>
      <c r="K158" s="37" t="str">
        <f>D158&amp;-4</f>
        <v>13-4</v>
      </c>
      <c r="L158" s="45">
        <f t="shared" si="348"/>
        <v>0.2</v>
      </c>
      <c r="M158" s="49">
        <f t="shared" si="401"/>
        <v>180</v>
      </c>
      <c r="N158" s="53">
        <f t="shared" ref="N158:Q158" si="411">N157</f>
        <v>0</v>
      </c>
      <c r="O158" s="53">
        <f t="shared" si="411"/>
        <v>150</v>
      </c>
      <c r="P158" s="44">
        <f t="shared" si="411"/>
        <v>750</v>
      </c>
      <c r="Q158" s="45" t="str">
        <f t="shared" si="411"/>
        <v>on</v>
      </c>
    </row>
    <row r="159" spans="1:17" ht="15.75" thickBot="1" x14ac:dyDescent="0.3">
      <c r="A159" s="229">
        <f t="shared" ref="A159:B159" si="412">A158+1</f>
        <v>4542</v>
      </c>
      <c r="B159" s="230">
        <f t="shared" si="412"/>
        <v>149</v>
      </c>
      <c r="C159" s="218" t="str">
        <f t="shared" si="351"/>
        <v>81cA13_000_180#05</v>
      </c>
      <c r="D159" s="43">
        <f t="shared" ref="D159:F159" si="413">D158</f>
        <v>13</v>
      </c>
      <c r="E159" s="61">
        <f t="shared" si="413"/>
        <v>2.149</v>
      </c>
      <c r="F159" s="44">
        <f t="shared" si="413"/>
        <v>16.530769230769231</v>
      </c>
      <c r="G159" s="44">
        <f t="shared" si="374"/>
        <v>13.224615384615385</v>
      </c>
      <c r="H159" s="44">
        <f t="shared" si="375"/>
        <v>8.2653846153846153</v>
      </c>
      <c r="I159" s="44">
        <f t="shared" si="248"/>
        <v>8</v>
      </c>
      <c r="J159" s="45">
        <f t="shared" si="388"/>
        <v>0</v>
      </c>
      <c r="K159" s="37" t="str">
        <f>D159&amp;-5</f>
        <v>13-5</v>
      </c>
      <c r="L159" s="45">
        <f t="shared" si="348"/>
        <v>0.2</v>
      </c>
      <c r="M159" s="49">
        <f t="shared" si="401"/>
        <v>180</v>
      </c>
      <c r="N159" s="53">
        <f t="shared" ref="N159:Q159" si="414">N158</f>
        <v>0</v>
      </c>
      <c r="O159" s="53">
        <f t="shared" si="414"/>
        <v>150</v>
      </c>
      <c r="P159" s="44">
        <f t="shared" si="414"/>
        <v>750</v>
      </c>
      <c r="Q159" s="45" t="str">
        <f t="shared" si="414"/>
        <v>on</v>
      </c>
    </row>
    <row r="160" spans="1:17" ht="15.75" thickBot="1" x14ac:dyDescent="0.3">
      <c r="A160" s="229">
        <f t="shared" ref="A160:B160" si="415">A159+1</f>
        <v>4543</v>
      </c>
      <c r="B160" s="230">
        <f t="shared" si="415"/>
        <v>150</v>
      </c>
      <c r="C160" s="218" t="str">
        <f t="shared" si="351"/>
        <v>81cA13_000_180#06</v>
      </c>
      <c r="D160" s="43">
        <f t="shared" ref="D160:F160" si="416">D159</f>
        <v>13</v>
      </c>
      <c r="E160" s="61">
        <f t="shared" si="416"/>
        <v>2.149</v>
      </c>
      <c r="F160" s="44">
        <f t="shared" si="416"/>
        <v>16.530769230769231</v>
      </c>
      <c r="G160" s="44">
        <f t="shared" si="374"/>
        <v>13.224615384615385</v>
      </c>
      <c r="H160" s="44">
        <f t="shared" si="375"/>
        <v>8.2653846153846153</v>
      </c>
      <c r="I160" s="44">
        <f t="shared" si="248"/>
        <v>8</v>
      </c>
      <c r="J160" s="45">
        <f t="shared" si="388"/>
        <v>0</v>
      </c>
      <c r="K160" s="37" t="str">
        <f>D160&amp;-6</f>
        <v>13-6</v>
      </c>
      <c r="L160" s="45">
        <f t="shared" si="348"/>
        <v>0.2</v>
      </c>
      <c r="M160" s="49">
        <f t="shared" si="401"/>
        <v>180</v>
      </c>
      <c r="N160" s="53">
        <f t="shared" ref="N160:Q160" si="417">N159</f>
        <v>0</v>
      </c>
      <c r="O160" s="53">
        <f t="shared" si="417"/>
        <v>150</v>
      </c>
      <c r="P160" s="44">
        <f t="shared" si="417"/>
        <v>750</v>
      </c>
      <c r="Q160" s="45" t="str">
        <f t="shared" si="417"/>
        <v>on</v>
      </c>
    </row>
    <row r="161" spans="1:17" ht="15.75" thickBot="1" x14ac:dyDescent="0.3">
      <c r="A161" s="229">
        <f t="shared" ref="A161:B161" si="418">A160+1</f>
        <v>4544</v>
      </c>
      <c r="B161" s="230">
        <f t="shared" si="418"/>
        <v>151</v>
      </c>
      <c r="C161" s="218" t="str">
        <f t="shared" si="351"/>
        <v>81cB13_000_180#01</v>
      </c>
      <c r="D161" s="43">
        <f t="shared" ref="D161:F161" si="419">D160</f>
        <v>13</v>
      </c>
      <c r="E161" s="61">
        <f t="shared" si="419"/>
        <v>2.149</v>
      </c>
      <c r="F161" s="44">
        <f t="shared" si="419"/>
        <v>16.530769230769231</v>
      </c>
      <c r="G161" s="44">
        <f t="shared" si="374"/>
        <v>13.224615384615385</v>
      </c>
      <c r="H161" s="44">
        <f t="shared" si="375"/>
        <v>8.2653846153846153</v>
      </c>
      <c r="I161" s="44">
        <f t="shared" si="248"/>
        <v>8</v>
      </c>
      <c r="J161" s="45">
        <f t="shared" si="388"/>
        <v>0</v>
      </c>
      <c r="K161" s="37" t="str">
        <f>D161&amp;-1</f>
        <v>13-1</v>
      </c>
      <c r="L161" s="45">
        <f t="shared" si="348"/>
        <v>0.2</v>
      </c>
      <c r="M161" s="49">
        <f t="shared" si="401"/>
        <v>180</v>
      </c>
      <c r="N161" s="53">
        <v>15</v>
      </c>
      <c r="O161" s="53">
        <f t="shared" ref="O161:Q161" si="420">O160</f>
        <v>150</v>
      </c>
      <c r="P161" s="44">
        <f t="shared" si="420"/>
        <v>750</v>
      </c>
      <c r="Q161" s="45" t="str">
        <f t="shared" si="420"/>
        <v>on</v>
      </c>
    </row>
    <row r="162" spans="1:17" ht="15.75" thickBot="1" x14ac:dyDescent="0.3">
      <c r="A162" s="229">
        <f t="shared" ref="A162:B162" si="421">A161+1</f>
        <v>4545</v>
      </c>
      <c r="B162" s="230">
        <f t="shared" si="421"/>
        <v>152</v>
      </c>
      <c r="C162" s="218" t="str">
        <f t="shared" si="351"/>
        <v>81cB13_000_180#02</v>
      </c>
      <c r="D162" s="43">
        <f t="shared" ref="D162:F162" si="422">D161</f>
        <v>13</v>
      </c>
      <c r="E162" s="61">
        <f t="shared" si="422"/>
        <v>2.149</v>
      </c>
      <c r="F162" s="44">
        <f t="shared" si="422"/>
        <v>16.530769230769231</v>
      </c>
      <c r="G162" s="44">
        <f t="shared" si="374"/>
        <v>13.224615384615385</v>
      </c>
      <c r="H162" s="44">
        <f t="shared" si="375"/>
        <v>8.2653846153846153</v>
      </c>
      <c r="I162" s="44">
        <f t="shared" si="248"/>
        <v>8</v>
      </c>
      <c r="J162" s="45">
        <f t="shared" si="388"/>
        <v>0</v>
      </c>
      <c r="K162" s="37" t="str">
        <f>D162&amp;-2</f>
        <v>13-2</v>
      </c>
      <c r="L162" s="45">
        <f t="shared" si="348"/>
        <v>0.2</v>
      </c>
      <c r="M162" s="49">
        <f t="shared" si="401"/>
        <v>180</v>
      </c>
      <c r="N162" s="53">
        <f>N161</f>
        <v>15</v>
      </c>
      <c r="O162" s="53">
        <f t="shared" ref="O162:Q162" si="423">O161</f>
        <v>150</v>
      </c>
      <c r="P162" s="44">
        <f t="shared" si="423"/>
        <v>750</v>
      </c>
      <c r="Q162" s="45" t="str">
        <f t="shared" si="423"/>
        <v>on</v>
      </c>
    </row>
    <row r="163" spans="1:17" ht="15.75" thickBot="1" x14ac:dyDescent="0.3">
      <c r="A163" s="229">
        <f t="shared" ref="A163:B163" si="424">A162+1</f>
        <v>4546</v>
      </c>
      <c r="B163" s="230">
        <f t="shared" si="424"/>
        <v>153</v>
      </c>
      <c r="C163" s="218" t="str">
        <f t="shared" si="351"/>
        <v>81cB13_000_180#03</v>
      </c>
      <c r="D163" s="43">
        <f t="shared" ref="D163:F163" si="425">D162</f>
        <v>13</v>
      </c>
      <c r="E163" s="61">
        <f t="shared" si="425"/>
        <v>2.149</v>
      </c>
      <c r="F163" s="44">
        <f t="shared" si="425"/>
        <v>16.530769230769231</v>
      </c>
      <c r="G163" s="44">
        <f t="shared" si="374"/>
        <v>13.224615384615385</v>
      </c>
      <c r="H163" s="44">
        <f t="shared" si="375"/>
        <v>8.2653846153846153</v>
      </c>
      <c r="I163" s="44">
        <f t="shared" si="248"/>
        <v>8</v>
      </c>
      <c r="J163" s="45">
        <f t="shared" si="388"/>
        <v>0</v>
      </c>
      <c r="K163" s="37" t="str">
        <f>D163&amp;-3</f>
        <v>13-3</v>
      </c>
      <c r="L163" s="45">
        <f t="shared" si="348"/>
        <v>0.2</v>
      </c>
      <c r="M163" s="49">
        <f t="shared" si="401"/>
        <v>180</v>
      </c>
      <c r="N163" s="53">
        <f t="shared" ref="N163:Q163" si="426">N162</f>
        <v>15</v>
      </c>
      <c r="O163" s="53">
        <f t="shared" si="426"/>
        <v>150</v>
      </c>
      <c r="P163" s="44">
        <f t="shared" si="426"/>
        <v>750</v>
      </c>
      <c r="Q163" s="45" t="str">
        <f t="shared" si="426"/>
        <v>on</v>
      </c>
    </row>
    <row r="164" spans="1:17" ht="15.75" thickBot="1" x14ac:dyDescent="0.3">
      <c r="A164" s="229">
        <f t="shared" ref="A164:B164" si="427">A163+1</f>
        <v>4547</v>
      </c>
      <c r="B164" s="230">
        <f t="shared" si="427"/>
        <v>154</v>
      </c>
      <c r="C164" s="218" t="str">
        <f t="shared" si="351"/>
        <v>81cB13_000_180#04</v>
      </c>
      <c r="D164" s="43">
        <f t="shared" ref="D164:F164" si="428">D163</f>
        <v>13</v>
      </c>
      <c r="E164" s="61">
        <f t="shared" si="428"/>
        <v>2.149</v>
      </c>
      <c r="F164" s="44">
        <f t="shared" si="428"/>
        <v>16.530769230769231</v>
      </c>
      <c r="G164" s="44">
        <f t="shared" si="374"/>
        <v>13.224615384615385</v>
      </c>
      <c r="H164" s="44">
        <f t="shared" si="375"/>
        <v>8.2653846153846153</v>
      </c>
      <c r="I164" s="44">
        <f t="shared" si="248"/>
        <v>8</v>
      </c>
      <c r="J164" s="45">
        <f t="shared" si="388"/>
        <v>0</v>
      </c>
      <c r="K164" s="37" t="str">
        <f>D164&amp;-4</f>
        <v>13-4</v>
      </c>
      <c r="L164" s="45">
        <f t="shared" si="348"/>
        <v>0.2</v>
      </c>
      <c r="M164" s="49">
        <f t="shared" si="401"/>
        <v>180</v>
      </c>
      <c r="N164" s="53">
        <f t="shared" ref="N164:Q164" si="429">N163</f>
        <v>15</v>
      </c>
      <c r="O164" s="53">
        <f t="shared" si="429"/>
        <v>150</v>
      </c>
      <c r="P164" s="44">
        <f t="shared" si="429"/>
        <v>750</v>
      </c>
      <c r="Q164" s="45" t="str">
        <f t="shared" si="429"/>
        <v>on</v>
      </c>
    </row>
    <row r="165" spans="1:17" ht="15.75" thickBot="1" x14ac:dyDescent="0.3">
      <c r="A165" s="229">
        <f t="shared" ref="A165:B165" si="430">A164+1</f>
        <v>4548</v>
      </c>
      <c r="B165" s="230">
        <f t="shared" si="430"/>
        <v>155</v>
      </c>
      <c r="C165" s="218" t="str">
        <f t="shared" si="351"/>
        <v>81cB13_000_180#05</v>
      </c>
      <c r="D165" s="43">
        <f t="shared" ref="D165:F165" si="431">D164</f>
        <v>13</v>
      </c>
      <c r="E165" s="61">
        <f t="shared" si="431"/>
        <v>2.149</v>
      </c>
      <c r="F165" s="44">
        <f t="shared" si="431"/>
        <v>16.530769230769231</v>
      </c>
      <c r="G165" s="44">
        <f t="shared" si="374"/>
        <v>13.224615384615385</v>
      </c>
      <c r="H165" s="44">
        <f t="shared" si="375"/>
        <v>8.2653846153846153</v>
      </c>
      <c r="I165" s="44">
        <f t="shared" si="248"/>
        <v>8</v>
      </c>
      <c r="J165" s="45">
        <f t="shared" si="388"/>
        <v>0</v>
      </c>
      <c r="K165" s="37" t="str">
        <f>D165&amp;-5</f>
        <v>13-5</v>
      </c>
      <c r="L165" s="45">
        <f t="shared" si="348"/>
        <v>0.2</v>
      </c>
      <c r="M165" s="49">
        <f t="shared" si="401"/>
        <v>180</v>
      </c>
      <c r="N165" s="53">
        <f t="shared" ref="N165:Q165" si="432">N164</f>
        <v>15</v>
      </c>
      <c r="O165" s="53">
        <f t="shared" si="432"/>
        <v>150</v>
      </c>
      <c r="P165" s="44">
        <f t="shared" si="432"/>
        <v>750</v>
      </c>
      <c r="Q165" s="45" t="str">
        <f t="shared" si="432"/>
        <v>on</v>
      </c>
    </row>
    <row r="166" spans="1:17" ht="15.75" thickBot="1" x14ac:dyDescent="0.3">
      <c r="A166" s="229">
        <f t="shared" ref="A166:B166" si="433">A165+1</f>
        <v>4549</v>
      </c>
      <c r="B166" s="230">
        <f t="shared" si="433"/>
        <v>156</v>
      </c>
      <c r="C166" s="218" t="str">
        <f t="shared" si="351"/>
        <v>81cB13_000_180#06</v>
      </c>
      <c r="D166" s="43">
        <f t="shared" ref="D166:F166" si="434">D165</f>
        <v>13</v>
      </c>
      <c r="E166" s="61">
        <f t="shared" si="434"/>
        <v>2.149</v>
      </c>
      <c r="F166" s="44">
        <f t="shared" si="434"/>
        <v>16.530769230769231</v>
      </c>
      <c r="G166" s="44">
        <f t="shared" si="374"/>
        <v>13.224615384615385</v>
      </c>
      <c r="H166" s="44">
        <f t="shared" si="375"/>
        <v>8.2653846153846153</v>
      </c>
      <c r="I166" s="44">
        <f t="shared" si="248"/>
        <v>8</v>
      </c>
      <c r="J166" s="45">
        <f t="shared" si="388"/>
        <v>0</v>
      </c>
      <c r="K166" s="37" t="str">
        <f>D166&amp;-6</f>
        <v>13-6</v>
      </c>
      <c r="L166" s="45">
        <f t="shared" si="348"/>
        <v>0.2</v>
      </c>
      <c r="M166" s="49">
        <f t="shared" si="401"/>
        <v>180</v>
      </c>
      <c r="N166" s="53">
        <f t="shared" ref="N166:Q166" si="435">N165</f>
        <v>15</v>
      </c>
      <c r="O166" s="53">
        <f t="shared" si="435"/>
        <v>150</v>
      </c>
      <c r="P166" s="44">
        <f t="shared" si="435"/>
        <v>750</v>
      </c>
      <c r="Q166" s="45" t="str">
        <f t="shared" si="435"/>
        <v>on</v>
      </c>
    </row>
    <row r="167" spans="1:17" ht="15.75" thickBot="1" x14ac:dyDescent="0.3">
      <c r="A167" s="229">
        <f t="shared" ref="A167:B167" si="436">A166+1</f>
        <v>4550</v>
      </c>
      <c r="B167" s="230">
        <f t="shared" si="436"/>
        <v>157</v>
      </c>
      <c r="C167" s="218" t="str">
        <f t="shared" si="351"/>
        <v>81cC13_000_180#01</v>
      </c>
      <c r="D167" s="43">
        <f t="shared" ref="D167:F167" si="437">D166</f>
        <v>13</v>
      </c>
      <c r="E167" s="61">
        <f t="shared" si="437"/>
        <v>2.149</v>
      </c>
      <c r="F167" s="44">
        <f t="shared" si="437"/>
        <v>16.530769230769231</v>
      </c>
      <c r="G167" s="44">
        <f t="shared" si="374"/>
        <v>13.224615384615385</v>
      </c>
      <c r="H167" s="44">
        <f t="shared" si="375"/>
        <v>8.2653846153846153</v>
      </c>
      <c r="I167" s="44">
        <f t="shared" si="248"/>
        <v>8</v>
      </c>
      <c r="J167" s="45">
        <f t="shared" si="388"/>
        <v>0</v>
      </c>
      <c r="K167" s="37" t="str">
        <f>D167&amp;-1</f>
        <v>13-1</v>
      </c>
      <c r="L167" s="45">
        <f t="shared" si="348"/>
        <v>0.2</v>
      </c>
      <c r="M167" s="49">
        <f t="shared" si="401"/>
        <v>180</v>
      </c>
      <c r="N167" s="53">
        <v>30</v>
      </c>
      <c r="O167" s="53">
        <f t="shared" ref="O167:Q167" si="438">O166</f>
        <v>150</v>
      </c>
      <c r="P167" s="44">
        <f t="shared" si="438"/>
        <v>750</v>
      </c>
      <c r="Q167" s="45" t="str">
        <f t="shared" si="438"/>
        <v>on</v>
      </c>
    </row>
    <row r="168" spans="1:17" ht="15.75" thickBot="1" x14ac:dyDescent="0.3">
      <c r="A168" s="229">
        <f t="shared" ref="A168:B168" si="439">A167+1</f>
        <v>4551</v>
      </c>
      <c r="B168" s="230">
        <f t="shared" si="439"/>
        <v>158</v>
      </c>
      <c r="C168" s="218" t="str">
        <f t="shared" si="351"/>
        <v>81cC13_000_180#02</v>
      </c>
      <c r="D168" s="43">
        <f t="shared" ref="D168:F168" si="440">D167</f>
        <v>13</v>
      </c>
      <c r="E168" s="61">
        <f t="shared" si="440"/>
        <v>2.149</v>
      </c>
      <c r="F168" s="44">
        <f t="shared" si="440"/>
        <v>16.530769230769231</v>
      </c>
      <c r="G168" s="44">
        <f t="shared" si="374"/>
        <v>13.224615384615385</v>
      </c>
      <c r="H168" s="44">
        <f t="shared" si="375"/>
        <v>8.2653846153846153</v>
      </c>
      <c r="I168" s="44">
        <f t="shared" si="248"/>
        <v>8</v>
      </c>
      <c r="J168" s="45">
        <f t="shared" si="388"/>
        <v>0</v>
      </c>
      <c r="K168" s="37" t="str">
        <f>D168&amp;-2</f>
        <v>13-2</v>
      </c>
      <c r="L168" s="45">
        <f t="shared" si="348"/>
        <v>0.2</v>
      </c>
      <c r="M168" s="49">
        <f t="shared" si="401"/>
        <v>180</v>
      </c>
      <c r="N168" s="53">
        <f>N167</f>
        <v>30</v>
      </c>
      <c r="O168" s="53">
        <f t="shared" ref="O168:Q168" si="441">O167</f>
        <v>150</v>
      </c>
      <c r="P168" s="44">
        <f t="shared" si="441"/>
        <v>750</v>
      </c>
      <c r="Q168" s="45" t="str">
        <f t="shared" si="441"/>
        <v>on</v>
      </c>
    </row>
    <row r="169" spans="1:17" ht="15.75" thickBot="1" x14ac:dyDescent="0.3">
      <c r="A169" s="229">
        <f t="shared" ref="A169:B169" si="442">A168+1</f>
        <v>4552</v>
      </c>
      <c r="B169" s="230">
        <f t="shared" si="442"/>
        <v>159</v>
      </c>
      <c r="C169" s="218" t="str">
        <f t="shared" si="351"/>
        <v>81cC13_000_180#03</v>
      </c>
      <c r="D169" s="43">
        <f t="shared" ref="D169:F169" si="443">D168</f>
        <v>13</v>
      </c>
      <c r="E169" s="61">
        <f t="shared" si="443"/>
        <v>2.149</v>
      </c>
      <c r="F169" s="44">
        <f t="shared" si="443"/>
        <v>16.530769230769231</v>
      </c>
      <c r="G169" s="44">
        <f t="shared" si="374"/>
        <v>13.224615384615385</v>
      </c>
      <c r="H169" s="44">
        <f t="shared" si="375"/>
        <v>8.2653846153846153</v>
      </c>
      <c r="I169" s="44">
        <f t="shared" si="248"/>
        <v>8</v>
      </c>
      <c r="J169" s="45">
        <f t="shared" si="388"/>
        <v>0</v>
      </c>
      <c r="K169" s="37" t="str">
        <f>D169&amp;-3</f>
        <v>13-3</v>
      </c>
      <c r="L169" s="45">
        <f t="shared" si="348"/>
        <v>0.2</v>
      </c>
      <c r="M169" s="49">
        <f t="shared" si="401"/>
        <v>180</v>
      </c>
      <c r="N169" s="53">
        <f t="shared" ref="N169:Q169" si="444">N168</f>
        <v>30</v>
      </c>
      <c r="O169" s="53">
        <f t="shared" si="444"/>
        <v>150</v>
      </c>
      <c r="P169" s="44">
        <f t="shared" si="444"/>
        <v>750</v>
      </c>
      <c r="Q169" s="45" t="str">
        <f t="shared" si="444"/>
        <v>on</v>
      </c>
    </row>
    <row r="170" spans="1:17" ht="15.75" thickBot="1" x14ac:dyDescent="0.3">
      <c r="A170" s="229">
        <f t="shared" ref="A170:B170" si="445">A169+1</f>
        <v>4553</v>
      </c>
      <c r="B170" s="230">
        <f t="shared" si="445"/>
        <v>160</v>
      </c>
      <c r="C170" s="218" t="str">
        <f t="shared" si="351"/>
        <v>81cC13_000_180#04</v>
      </c>
      <c r="D170" s="43">
        <f t="shared" ref="D170:F170" si="446">D169</f>
        <v>13</v>
      </c>
      <c r="E170" s="61">
        <f t="shared" si="446"/>
        <v>2.149</v>
      </c>
      <c r="F170" s="44">
        <f t="shared" si="446"/>
        <v>16.530769230769231</v>
      </c>
      <c r="G170" s="44">
        <f t="shared" si="374"/>
        <v>13.224615384615385</v>
      </c>
      <c r="H170" s="44">
        <f t="shared" si="375"/>
        <v>8.2653846153846153</v>
      </c>
      <c r="I170" s="44">
        <f t="shared" si="248"/>
        <v>8</v>
      </c>
      <c r="J170" s="45">
        <f t="shared" si="388"/>
        <v>0</v>
      </c>
      <c r="K170" s="37" t="str">
        <f>D170&amp;-4</f>
        <v>13-4</v>
      </c>
      <c r="L170" s="45">
        <f t="shared" si="348"/>
        <v>0.2</v>
      </c>
      <c r="M170" s="49">
        <f t="shared" si="401"/>
        <v>180</v>
      </c>
      <c r="N170" s="53">
        <f t="shared" ref="N170:Q170" si="447">N169</f>
        <v>30</v>
      </c>
      <c r="O170" s="53">
        <f t="shared" si="447"/>
        <v>150</v>
      </c>
      <c r="P170" s="44">
        <f t="shared" si="447"/>
        <v>750</v>
      </c>
      <c r="Q170" s="45" t="str">
        <f t="shared" si="447"/>
        <v>on</v>
      </c>
    </row>
    <row r="171" spans="1:17" ht="15.75" thickBot="1" x14ac:dyDescent="0.3">
      <c r="A171" s="229">
        <f t="shared" ref="A171:B171" si="448">A170+1</f>
        <v>4554</v>
      </c>
      <c r="B171" s="230">
        <f t="shared" si="448"/>
        <v>161</v>
      </c>
      <c r="C171" s="218" t="str">
        <f t="shared" si="351"/>
        <v>81cC13_000_180#05</v>
      </c>
      <c r="D171" s="43">
        <f t="shared" ref="D171:F171" si="449">D170</f>
        <v>13</v>
      </c>
      <c r="E171" s="61">
        <f t="shared" si="449"/>
        <v>2.149</v>
      </c>
      <c r="F171" s="44">
        <f t="shared" si="449"/>
        <v>16.530769230769231</v>
      </c>
      <c r="G171" s="44">
        <f t="shared" si="374"/>
        <v>13.224615384615385</v>
      </c>
      <c r="H171" s="44">
        <f t="shared" si="375"/>
        <v>8.2653846153846153</v>
      </c>
      <c r="I171" s="44">
        <f t="shared" ref="I171:I234" si="450">inflow</f>
        <v>8</v>
      </c>
      <c r="J171" s="45">
        <f t="shared" si="388"/>
        <v>0</v>
      </c>
      <c r="K171" s="37" t="str">
        <f>D171&amp;-5</f>
        <v>13-5</v>
      </c>
      <c r="L171" s="45">
        <f t="shared" si="348"/>
        <v>0.2</v>
      </c>
      <c r="M171" s="49">
        <f t="shared" si="401"/>
        <v>180</v>
      </c>
      <c r="N171" s="53">
        <f t="shared" ref="N171:Q171" si="451">N170</f>
        <v>30</v>
      </c>
      <c r="O171" s="53">
        <f t="shared" si="451"/>
        <v>150</v>
      </c>
      <c r="P171" s="44">
        <f t="shared" si="451"/>
        <v>750</v>
      </c>
      <c r="Q171" s="45" t="str">
        <f t="shared" si="451"/>
        <v>on</v>
      </c>
    </row>
    <row r="172" spans="1:17" ht="15.75" thickBot="1" x14ac:dyDescent="0.3">
      <c r="A172" s="229">
        <f t="shared" ref="A172:B172" si="452">A171+1</f>
        <v>4555</v>
      </c>
      <c r="B172" s="230">
        <f t="shared" si="452"/>
        <v>162</v>
      </c>
      <c r="C172" s="218" t="str">
        <f t="shared" si="351"/>
        <v>81cC13_000_180#06</v>
      </c>
      <c r="D172" s="43">
        <f t="shared" ref="D172:F172" si="453">D171</f>
        <v>13</v>
      </c>
      <c r="E172" s="61">
        <f t="shared" si="453"/>
        <v>2.149</v>
      </c>
      <c r="F172" s="44">
        <f t="shared" si="453"/>
        <v>16.530769230769231</v>
      </c>
      <c r="G172" s="44">
        <f t="shared" si="374"/>
        <v>13.224615384615385</v>
      </c>
      <c r="H172" s="44">
        <f t="shared" si="375"/>
        <v>8.2653846153846153</v>
      </c>
      <c r="I172" s="44">
        <f t="shared" si="450"/>
        <v>8</v>
      </c>
      <c r="J172" s="45">
        <f t="shared" si="388"/>
        <v>0</v>
      </c>
      <c r="K172" s="37" t="str">
        <f>D172&amp;-6</f>
        <v>13-6</v>
      </c>
      <c r="L172" s="45">
        <f t="shared" si="348"/>
        <v>0.2</v>
      </c>
      <c r="M172" s="49">
        <f t="shared" si="401"/>
        <v>180</v>
      </c>
      <c r="N172" s="53">
        <f t="shared" ref="N172:Q172" si="454">N171</f>
        <v>30</v>
      </c>
      <c r="O172" s="53">
        <f t="shared" si="454"/>
        <v>150</v>
      </c>
      <c r="P172" s="44">
        <f t="shared" si="454"/>
        <v>750</v>
      </c>
      <c r="Q172" s="45" t="str">
        <f t="shared" si="454"/>
        <v>on</v>
      </c>
    </row>
    <row r="173" spans="1:17" ht="15.75" thickBot="1" x14ac:dyDescent="0.3">
      <c r="A173" s="229">
        <f t="shared" ref="A173:B173" si="455">A172+1</f>
        <v>4556</v>
      </c>
      <c r="B173" s="230">
        <f t="shared" si="455"/>
        <v>163</v>
      </c>
      <c r="C173" s="218" t="str">
        <f t="shared" si="351"/>
        <v>81cD13_000_180#01</v>
      </c>
      <c r="D173" s="43">
        <f t="shared" ref="D173:F173" si="456">D172</f>
        <v>13</v>
      </c>
      <c r="E173" s="61">
        <f t="shared" si="456"/>
        <v>2.149</v>
      </c>
      <c r="F173" s="44">
        <f t="shared" si="456"/>
        <v>16.530769230769231</v>
      </c>
      <c r="G173" s="44">
        <f t="shared" si="374"/>
        <v>13.224615384615385</v>
      </c>
      <c r="H173" s="44">
        <f t="shared" si="375"/>
        <v>8.2653846153846153</v>
      </c>
      <c r="I173" s="44">
        <f t="shared" si="450"/>
        <v>8</v>
      </c>
      <c r="J173" s="45">
        <f t="shared" si="388"/>
        <v>0</v>
      </c>
      <c r="K173" s="37" t="str">
        <f>D173&amp;-1</f>
        <v>13-1</v>
      </c>
      <c r="L173" s="45">
        <f t="shared" si="348"/>
        <v>0.2</v>
      </c>
      <c r="M173" s="49">
        <f t="shared" si="401"/>
        <v>180</v>
      </c>
      <c r="N173" s="53">
        <v>45</v>
      </c>
      <c r="O173" s="53">
        <f t="shared" ref="O173:Q173" si="457">O172</f>
        <v>150</v>
      </c>
      <c r="P173" s="44">
        <f t="shared" si="457"/>
        <v>750</v>
      </c>
      <c r="Q173" s="45" t="str">
        <f t="shared" si="457"/>
        <v>on</v>
      </c>
    </row>
    <row r="174" spans="1:17" ht="15.75" thickBot="1" x14ac:dyDescent="0.3">
      <c r="A174" s="229">
        <f t="shared" ref="A174:B174" si="458">A173+1</f>
        <v>4557</v>
      </c>
      <c r="B174" s="230">
        <f t="shared" si="458"/>
        <v>164</v>
      </c>
      <c r="C174" s="218" t="str">
        <f t="shared" si="351"/>
        <v>81cD13_000_180#02</v>
      </c>
      <c r="D174" s="43">
        <f t="shared" ref="D174:F174" si="459">D173</f>
        <v>13</v>
      </c>
      <c r="E174" s="61">
        <f t="shared" si="459"/>
        <v>2.149</v>
      </c>
      <c r="F174" s="44">
        <f t="shared" si="459"/>
        <v>16.530769230769231</v>
      </c>
      <c r="G174" s="44">
        <f t="shared" si="374"/>
        <v>13.224615384615385</v>
      </c>
      <c r="H174" s="44">
        <f t="shared" si="375"/>
        <v>8.2653846153846153</v>
      </c>
      <c r="I174" s="44">
        <f t="shared" si="450"/>
        <v>8</v>
      </c>
      <c r="J174" s="45">
        <f t="shared" si="388"/>
        <v>0</v>
      </c>
      <c r="K174" s="37" t="str">
        <f>D174&amp;-2</f>
        <v>13-2</v>
      </c>
      <c r="L174" s="45">
        <f t="shared" si="348"/>
        <v>0.2</v>
      </c>
      <c r="M174" s="49">
        <f t="shared" si="401"/>
        <v>180</v>
      </c>
      <c r="N174" s="53">
        <f>N173</f>
        <v>45</v>
      </c>
      <c r="O174" s="53">
        <f t="shared" ref="O174:Q174" si="460">O173</f>
        <v>150</v>
      </c>
      <c r="P174" s="44">
        <f t="shared" si="460"/>
        <v>750</v>
      </c>
      <c r="Q174" s="45" t="str">
        <f t="shared" si="460"/>
        <v>on</v>
      </c>
    </row>
    <row r="175" spans="1:17" ht="15.75" thickBot="1" x14ac:dyDescent="0.3">
      <c r="A175" s="229">
        <f t="shared" ref="A175:B175" si="461">A174+1</f>
        <v>4558</v>
      </c>
      <c r="B175" s="230">
        <f t="shared" si="461"/>
        <v>165</v>
      </c>
      <c r="C175" s="218" t="str">
        <f t="shared" si="351"/>
        <v>81cD13_000_180#03</v>
      </c>
      <c r="D175" s="43">
        <f t="shared" ref="D175:F175" si="462">D174</f>
        <v>13</v>
      </c>
      <c r="E175" s="61">
        <f t="shared" si="462"/>
        <v>2.149</v>
      </c>
      <c r="F175" s="44">
        <f t="shared" si="462"/>
        <v>16.530769230769231</v>
      </c>
      <c r="G175" s="44">
        <f t="shared" si="374"/>
        <v>13.224615384615385</v>
      </c>
      <c r="H175" s="44">
        <f t="shared" si="375"/>
        <v>8.2653846153846153</v>
      </c>
      <c r="I175" s="44">
        <f t="shared" si="450"/>
        <v>8</v>
      </c>
      <c r="J175" s="45">
        <f t="shared" si="388"/>
        <v>0</v>
      </c>
      <c r="K175" s="37" t="str">
        <f>D175&amp;-3</f>
        <v>13-3</v>
      </c>
      <c r="L175" s="45">
        <f t="shared" si="348"/>
        <v>0.2</v>
      </c>
      <c r="M175" s="49">
        <f t="shared" si="401"/>
        <v>180</v>
      </c>
      <c r="N175" s="53">
        <f t="shared" ref="N175:Q175" si="463">N174</f>
        <v>45</v>
      </c>
      <c r="O175" s="53">
        <f t="shared" si="463"/>
        <v>150</v>
      </c>
      <c r="P175" s="44">
        <f t="shared" si="463"/>
        <v>750</v>
      </c>
      <c r="Q175" s="45" t="str">
        <f t="shared" si="463"/>
        <v>on</v>
      </c>
    </row>
    <row r="176" spans="1:17" ht="15.75" thickBot="1" x14ac:dyDescent="0.3">
      <c r="A176" s="229">
        <f t="shared" ref="A176:B176" si="464">A175+1</f>
        <v>4559</v>
      </c>
      <c r="B176" s="230">
        <f t="shared" si="464"/>
        <v>166</v>
      </c>
      <c r="C176" s="218" t="str">
        <f t="shared" si="351"/>
        <v>81cD13_000_180#04</v>
      </c>
      <c r="D176" s="43">
        <f t="shared" ref="D176:F176" si="465">D175</f>
        <v>13</v>
      </c>
      <c r="E176" s="61">
        <f t="shared" si="465"/>
        <v>2.149</v>
      </c>
      <c r="F176" s="44">
        <f t="shared" si="465"/>
        <v>16.530769230769231</v>
      </c>
      <c r="G176" s="44">
        <f t="shared" si="374"/>
        <v>13.224615384615385</v>
      </c>
      <c r="H176" s="44">
        <f t="shared" si="375"/>
        <v>8.2653846153846153</v>
      </c>
      <c r="I176" s="44">
        <f t="shared" si="450"/>
        <v>8</v>
      </c>
      <c r="J176" s="45">
        <f t="shared" si="388"/>
        <v>0</v>
      </c>
      <c r="K176" s="37" t="str">
        <f>D176&amp;-4</f>
        <v>13-4</v>
      </c>
      <c r="L176" s="45">
        <f t="shared" si="348"/>
        <v>0.2</v>
      </c>
      <c r="M176" s="49">
        <f t="shared" si="401"/>
        <v>180</v>
      </c>
      <c r="N176" s="53">
        <f t="shared" ref="N176:Q176" si="466">N175</f>
        <v>45</v>
      </c>
      <c r="O176" s="53">
        <f t="shared" si="466"/>
        <v>150</v>
      </c>
      <c r="P176" s="44">
        <f t="shared" si="466"/>
        <v>750</v>
      </c>
      <c r="Q176" s="45" t="str">
        <f t="shared" si="466"/>
        <v>on</v>
      </c>
    </row>
    <row r="177" spans="1:17" ht="15.75" thickBot="1" x14ac:dyDescent="0.3">
      <c r="A177" s="229">
        <f t="shared" ref="A177:B177" si="467">A176+1</f>
        <v>4560</v>
      </c>
      <c r="B177" s="230">
        <f t="shared" si="467"/>
        <v>167</v>
      </c>
      <c r="C177" s="218" t="str">
        <f t="shared" si="351"/>
        <v>81cD13_000_180#05</v>
      </c>
      <c r="D177" s="43">
        <f t="shared" ref="D177:F177" si="468">D176</f>
        <v>13</v>
      </c>
      <c r="E177" s="61">
        <f t="shared" si="468"/>
        <v>2.149</v>
      </c>
      <c r="F177" s="44">
        <f t="shared" si="468"/>
        <v>16.530769230769231</v>
      </c>
      <c r="G177" s="44">
        <f t="shared" si="374"/>
        <v>13.224615384615385</v>
      </c>
      <c r="H177" s="44">
        <f t="shared" si="375"/>
        <v>8.2653846153846153</v>
      </c>
      <c r="I177" s="44">
        <f t="shared" si="450"/>
        <v>8</v>
      </c>
      <c r="J177" s="45">
        <f t="shared" si="388"/>
        <v>0</v>
      </c>
      <c r="K177" s="37" t="str">
        <f>D177&amp;-5</f>
        <v>13-5</v>
      </c>
      <c r="L177" s="45">
        <f t="shared" si="348"/>
        <v>0.2</v>
      </c>
      <c r="M177" s="49">
        <f t="shared" si="401"/>
        <v>180</v>
      </c>
      <c r="N177" s="53">
        <f t="shared" ref="N177:Q177" si="469">N176</f>
        <v>45</v>
      </c>
      <c r="O177" s="53">
        <f t="shared" si="469"/>
        <v>150</v>
      </c>
      <c r="P177" s="44">
        <f t="shared" si="469"/>
        <v>750</v>
      </c>
      <c r="Q177" s="45" t="str">
        <f t="shared" si="469"/>
        <v>on</v>
      </c>
    </row>
    <row r="178" spans="1:17" ht="15.75" thickBot="1" x14ac:dyDescent="0.3">
      <c r="A178" s="229">
        <f t="shared" ref="A178:B178" si="470">A177+1</f>
        <v>4561</v>
      </c>
      <c r="B178" s="230">
        <f t="shared" si="470"/>
        <v>168</v>
      </c>
      <c r="C178" s="218" t="str">
        <f t="shared" si="351"/>
        <v>81cD13_000_180#06</v>
      </c>
      <c r="D178" s="43">
        <f t="shared" ref="D178:F178" si="471">D177</f>
        <v>13</v>
      </c>
      <c r="E178" s="61">
        <f t="shared" si="471"/>
        <v>2.149</v>
      </c>
      <c r="F178" s="44">
        <f t="shared" si="471"/>
        <v>16.530769230769231</v>
      </c>
      <c r="G178" s="44">
        <f t="shared" si="374"/>
        <v>13.224615384615385</v>
      </c>
      <c r="H178" s="44">
        <f t="shared" si="375"/>
        <v>8.2653846153846153</v>
      </c>
      <c r="I178" s="44">
        <f t="shared" si="450"/>
        <v>8</v>
      </c>
      <c r="J178" s="45">
        <f t="shared" si="388"/>
        <v>0</v>
      </c>
      <c r="K178" s="37" t="str">
        <f>D178&amp;-6</f>
        <v>13-6</v>
      </c>
      <c r="L178" s="45">
        <f t="shared" si="348"/>
        <v>0.2</v>
      </c>
      <c r="M178" s="49">
        <f t="shared" si="401"/>
        <v>180</v>
      </c>
      <c r="N178" s="53">
        <f t="shared" ref="N178:Q178" si="472">N177</f>
        <v>45</v>
      </c>
      <c r="O178" s="53">
        <f t="shared" si="472"/>
        <v>150</v>
      </c>
      <c r="P178" s="44">
        <f t="shared" si="472"/>
        <v>750</v>
      </c>
      <c r="Q178" s="45" t="str">
        <f t="shared" si="472"/>
        <v>on</v>
      </c>
    </row>
    <row r="179" spans="1:17" ht="15.75" thickBot="1" x14ac:dyDescent="0.3">
      <c r="A179" s="229">
        <f t="shared" ref="A179:B179" si="473">A178+1</f>
        <v>4562</v>
      </c>
      <c r="B179" s="230">
        <f t="shared" si="473"/>
        <v>169</v>
      </c>
      <c r="C179" s="218" t="str">
        <f t="shared" si="351"/>
        <v>81cE13_000_180#01</v>
      </c>
      <c r="D179" s="43">
        <f t="shared" ref="D179:F179" si="474">D178</f>
        <v>13</v>
      </c>
      <c r="E179" s="61">
        <f t="shared" si="474"/>
        <v>2.149</v>
      </c>
      <c r="F179" s="44">
        <f t="shared" si="474"/>
        <v>16.530769230769231</v>
      </c>
      <c r="G179" s="44">
        <f t="shared" si="374"/>
        <v>13.224615384615385</v>
      </c>
      <c r="H179" s="44">
        <f t="shared" si="375"/>
        <v>8.2653846153846153</v>
      </c>
      <c r="I179" s="44">
        <f t="shared" si="450"/>
        <v>8</v>
      </c>
      <c r="J179" s="45">
        <f t="shared" si="388"/>
        <v>0</v>
      </c>
      <c r="K179" s="37" t="str">
        <f>D179&amp;-1</f>
        <v>13-1</v>
      </c>
      <c r="L179" s="45">
        <f t="shared" si="348"/>
        <v>0.2</v>
      </c>
      <c r="M179" s="49">
        <f t="shared" si="401"/>
        <v>180</v>
      </c>
      <c r="N179" s="53">
        <v>60</v>
      </c>
      <c r="O179" s="53">
        <f t="shared" ref="O179:Q179" si="475">O178</f>
        <v>150</v>
      </c>
      <c r="P179" s="44">
        <f t="shared" si="475"/>
        <v>750</v>
      </c>
      <c r="Q179" s="45" t="str">
        <f t="shared" si="475"/>
        <v>on</v>
      </c>
    </row>
    <row r="180" spans="1:17" ht="15.75" thickBot="1" x14ac:dyDescent="0.3">
      <c r="A180" s="229">
        <f t="shared" ref="A180:B180" si="476">A179+1</f>
        <v>4563</v>
      </c>
      <c r="B180" s="230">
        <f t="shared" si="476"/>
        <v>170</v>
      </c>
      <c r="C180" s="218" t="str">
        <f t="shared" si="351"/>
        <v>81cE13_000_180#02</v>
      </c>
      <c r="D180" s="43">
        <f t="shared" ref="D180:F180" si="477">D179</f>
        <v>13</v>
      </c>
      <c r="E180" s="61">
        <f t="shared" si="477"/>
        <v>2.149</v>
      </c>
      <c r="F180" s="44">
        <f t="shared" si="477"/>
        <v>16.530769230769231</v>
      </c>
      <c r="G180" s="44">
        <f t="shared" si="374"/>
        <v>13.224615384615385</v>
      </c>
      <c r="H180" s="44">
        <f t="shared" si="375"/>
        <v>8.2653846153846153</v>
      </c>
      <c r="I180" s="44">
        <f t="shared" si="450"/>
        <v>8</v>
      </c>
      <c r="J180" s="45">
        <f t="shared" si="388"/>
        <v>0</v>
      </c>
      <c r="K180" s="37" t="str">
        <f>D180&amp;-2</f>
        <v>13-2</v>
      </c>
      <c r="L180" s="45">
        <f t="shared" si="348"/>
        <v>0.2</v>
      </c>
      <c r="M180" s="49">
        <f t="shared" si="401"/>
        <v>180</v>
      </c>
      <c r="N180" s="53">
        <f>N179</f>
        <v>60</v>
      </c>
      <c r="O180" s="53">
        <f t="shared" ref="O180:Q180" si="478">O179</f>
        <v>150</v>
      </c>
      <c r="P180" s="44">
        <f t="shared" si="478"/>
        <v>750</v>
      </c>
      <c r="Q180" s="45" t="str">
        <f t="shared" si="478"/>
        <v>on</v>
      </c>
    </row>
    <row r="181" spans="1:17" ht="15.75" thickBot="1" x14ac:dyDescent="0.3">
      <c r="A181" s="229">
        <f t="shared" ref="A181:B181" si="479">A180+1</f>
        <v>4564</v>
      </c>
      <c r="B181" s="230">
        <f t="shared" si="479"/>
        <v>171</v>
      </c>
      <c r="C181" s="218" t="str">
        <f t="shared" si="351"/>
        <v>81cE13_000_180#03</v>
      </c>
      <c r="D181" s="43">
        <f t="shared" ref="D181:F181" si="480">D180</f>
        <v>13</v>
      </c>
      <c r="E181" s="61">
        <f t="shared" si="480"/>
        <v>2.149</v>
      </c>
      <c r="F181" s="44">
        <f t="shared" si="480"/>
        <v>16.530769230769231</v>
      </c>
      <c r="G181" s="44">
        <f t="shared" si="374"/>
        <v>13.224615384615385</v>
      </c>
      <c r="H181" s="44">
        <f t="shared" si="375"/>
        <v>8.2653846153846153</v>
      </c>
      <c r="I181" s="44">
        <f t="shared" si="450"/>
        <v>8</v>
      </c>
      <c r="J181" s="45">
        <f t="shared" si="388"/>
        <v>0</v>
      </c>
      <c r="K181" s="37" t="str">
        <f>D181&amp;-3</f>
        <v>13-3</v>
      </c>
      <c r="L181" s="45">
        <f t="shared" si="348"/>
        <v>0.2</v>
      </c>
      <c r="M181" s="49">
        <f t="shared" si="401"/>
        <v>180</v>
      </c>
      <c r="N181" s="53">
        <f t="shared" ref="N181:Q181" si="481">N180</f>
        <v>60</v>
      </c>
      <c r="O181" s="53">
        <f t="shared" si="481"/>
        <v>150</v>
      </c>
      <c r="P181" s="44">
        <f t="shared" si="481"/>
        <v>750</v>
      </c>
      <c r="Q181" s="45" t="str">
        <f t="shared" si="481"/>
        <v>on</v>
      </c>
    </row>
    <row r="182" spans="1:17" ht="15.75" thickBot="1" x14ac:dyDescent="0.3">
      <c r="A182" s="229">
        <f t="shared" ref="A182:B182" si="482">A181+1</f>
        <v>4565</v>
      </c>
      <c r="B182" s="230">
        <f t="shared" si="482"/>
        <v>172</v>
      </c>
      <c r="C182" s="218" t="str">
        <f t="shared" si="351"/>
        <v>81cE13_000_180#04</v>
      </c>
      <c r="D182" s="43">
        <f t="shared" ref="D182:F182" si="483">D181</f>
        <v>13</v>
      </c>
      <c r="E182" s="61">
        <f t="shared" si="483"/>
        <v>2.149</v>
      </c>
      <c r="F182" s="44">
        <f t="shared" si="483"/>
        <v>16.530769230769231</v>
      </c>
      <c r="G182" s="44">
        <f t="shared" si="374"/>
        <v>13.224615384615385</v>
      </c>
      <c r="H182" s="44">
        <f t="shared" si="375"/>
        <v>8.2653846153846153</v>
      </c>
      <c r="I182" s="44">
        <f t="shared" si="450"/>
        <v>8</v>
      </c>
      <c r="J182" s="45">
        <f t="shared" si="388"/>
        <v>0</v>
      </c>
      <c r="K182" s="37" t="str">
        <f>D182&amp;-4</f>
        <v>13-4</v>
      </c>
      <c r="L182" s="45">
        <f t="shared" si="348"/>
        <v>0.2</v>
      </c>
      <c r="M182" s="49">
        <f t="shared" si="401"/>
        <v>180</v>
      </c>
      <c r="N182" s="53">
        <f t="shared" ref="N182:Q182" si="484">N181</f>
        <v>60</v>
      </c>
      <c r="O182" s="53">
        <f t="shared" si="484"/>
        <v>150</v>
      </c>
      <c r="P182" s="44">
        <f t="shared" si="484"/>
        <v>750</v>
      </c>
      <c r="Q182" s="45" t="str">
        <f t="shared" si="484"/>
        <v>on</v>
      </c>
    </row>
    <row r="183" spans="1:17" ht="15.75" thickBot="1" x14ac:dyDescent="0.3">
      <c r="A183" s="229">
        <f t="shared" ref="A183:B183" si="485">A182+1</f>
        <v>4566</v>
      </c>
      <c r="B183" s="230">
        <f t="shared" si="485"/>
        <v>173</v>
      </c>
      <c r="C183" s="218" t="str">
        <f t="shared" si="351"/>
        <v>81cE13_000_180#05</v>
      </c>
      <c r="D183" s="43">
        <f t="shared" ref="D183:F183" si="486">D182</f>
        <v>13</v>
      </c>
      <c r="E183" s="61">
        <f t="shared" si="486"/>
        <v>2.149</v>
      </c>
      <c r="F183" s="44">
        <f t="shared" si="486"/>
        <v>16.530769230769231</v>
      </c>
      <c r="G183" s="44">
        <f t="shared" si="374"/>
        <v>13.224615384615385</v>
      </c>
      <c r="H183" s="44">
        <f t="shared" si="375"/>
        <v>8.2653846153846153</v>
      </c>
      <c r="I183" s="44">
        <f t="shared" si="450"/>
        <v>8</v>
      </c>
      <c r="J183" s="45">
        <f t="shared" ref="J183:J214" si="487">dlc81c_y2</f>
        <v>0</v>
      </c>
      <c r="K183" s="37" t="str">
        <f>D183&amp;-5</f>
        <v>13-5</v>
      </c>
      <c r="L183" s="45">
        <f t="shared" si="348"/>
        <v>0.2</v>
      </c>
      <c r="M183" s="49">
        <f t="shared" si="401"/>
        <v>180</v>
      </c>
      <c r="N183" s="53">
        <f t="shared" ref="N183:Q183" si="488">N182</f>
        <v>60</v>
      </c>
      <c r="O183" s="53">
        <f t="shared" si="488"/>
        <v>150</v>
      </c>
      <c r="P183" s="44">
        <f t="shared" si="488"/>
        <v>750</v>
      </c>
      <c r="Q183" s="45" t="str">
        <f t="shared" si="488"/>
        <v>on</v>
      </c>
    </row>
    <row r="184" spans="1:17" ht="15.75" thickBot="1" x14ac:dyDescent="0.3">
      <c r="A184" s="229">
        <f t="shared" ref="A184:B184" si="489">A183+1</f>
        <v>4567</v>
      </c>
      <c r="B184" s="230">
        <f t="shared" si="489"/>
        <v>174</v>
      </c>
      <c r="C184" s="218" t="str">
        <f t="shared" si="351"/>
        <v>81cE13_000_180#06</v>
      </c>
      <c r="D184" s="43">
        <f t="shared" ref="D184:F184" si="490">D183</f>
        <v>13</v>
      </c>
      <c r="E184" s="61">
        <f t="shared" si="490"/>
        <v>2.149</v>
      </c>
      <c r="F184" s="44">
        <f t="shared" si="490"/>
        <v>16.530769230769231</v>
      </c>
      <c r="G184" s="44">
        <f t="shared" si="374"/>
        <v>13.224615384615385</v>
      </c>
      <c r="H184" s="44">
        <f t="shared" si="375"/>
        <v>8.2653846153846153</v>
      </c>
      <c r="I184" s="44">
        <f t="shared" si="450"/>
        <v>8</v>
      </c>
      <c r="J184" s="45">
        <f t="shared" si="487"/>
        <v>0</v>
      </c>
      <c r="K184" s="37" t="str">
        <f>D184&amp;-6</f>
        <v>13-6</v>
      </c>
      <c r="L184" s="45">
        <f t="shared" si="348"/>
        <v>0.2</v>
      </c>
      <c r="M184" s="49">
        <f t="shared" si="401"/>
        <v>180</v>
      </c>
      <c r="N184" s="53">
        <f t="shared" ref="N184:Q184" si="491">N183</f>
        <v>60</v>
      </c>
      <c r="O184" s="53">
        <f t="shared" si="491"/>
        <v>150</v>
      </c>
      <c r="P184" s="44">
        <f t="shared" si="491"/>
        <v>750</v>
      </c>
      <c r="Q184" s="45" t="str">
        <f t="shared" si="491"/>
        <v>on</v>
      </c>
    </row>
    <row r="185" spans="1:17" ht="15.75" thickBot="1" x14ac:dyDescent="0.3">
      <c r="A185" s="229">
        <f t="shared" ref="A185:B185" si="492">A184+1</f>
        <v>4568</v>
      </c>
      <c r="B185" s="230">
        <f t="shared" si="492"/>
        <v>175</v>
      </c>
      <c r="C185" s="218" t="str">
        <f t="shared" si="351"/>
        <v>81cF13_000_180#01</v>
      </c>
      <c r="D185" s="43">
        <f t="shared" ref="D185:F185" si="493">D184</f>
        <v>13</v>
      </c>
      <c r="E185" s="61">
        <f t="shared" si="493"/>
        <v>2.149</v>
      </c>
      <c r="F185" s="44">
        <f t="shared" si="493"/>
        <v>16.530769230769231</v>
      </c>
      <c r="G185" s="44">
        <f t="shared" si="374"/>
        <v>13.224615384615385</v>
      </c>
      <c r="H185" s="44">
        <f t="shared" si="375"/>
        <v>8.2653846153846153</v>
      </c>
      <c r="I185" s="44">
        <f t="shared" si="450"/>
        <v>8</v>
      </c>
      <c r="J185" s="45">
        <f t="shared" si="487"/>
        <v>0</v>
      </c>
      <c r="K185" s="37" t="str">
        <f>D185&amp;-1</f>
        <v>13-1</v>
      </c>
      <c r="L185" s="45">
        <f t="shared" si="348"/>
        <v>0.2</v>
      </c>
      <c r="M185" s="49">
        <f t="shared" si="401"/>
        <v>180</v>
      </c>
      <c r="N185" s="53">
        <v>75</v>
      </c>
      <c r="O185" s="53">
        <f t="shared" ref="O185:Q185" si="494">O184</f>
        <v>150</v>
      </c>
      <c r="P185" s="44">
        <f t="shared" si="494"/>
        <v>750</v>
      </c>
      <c r="Q185" s="45" t="str">
        <f t="shared" si="494"/>
        <v>on</v>
      </c>
    </row>
    <row r="186" spans="1:17" ht="15.75" thickBot="1" x14ac:dyDescent="0.3">
      <c r="A186" s="229">
        <f t="shared" ref="A186:B186" si="495">A185+1</f>
        <v>4569</v>
      </c>
      <c r="B186" s="230">
        <f t="shared" si="495"/>
        <v>176</v>
      </c>
      <c r="C186" s="218" t="str">
        <f t="shared" si="351"/>
        <v>81cF13_000_180#02</v>
      </c>
      <c r="D186" s="43">
        <f t="shared" ref="D186:F186" si="496">D185</f>
        <v>13</v>
      </c>
      <c r="E186" s="61">
        <f t="shared" si="496"/>
        <v>2.149</v>
      </c>
      <c r="F186" s="44">
        <f t="shared" si="496"/>
        <v>16.530769230769231</v>
      </c>
      <c r="G186" s="44">
        <f t="shared" si="374"/>
        <v>13.224615384615385</v>
      </c>
      <c r="H186" s="44">
        <f t="shared" si="375"/>
        <v>8.2653846153846153</v>
      </c>
      <c r="I186" s="44">
        <f t="shared" si="450"/>
        <v>8</v>
      </c>
      <c r="J186" s="45">
        <f t="shared" si="487"/>
        <v>0</v>
      </c>
      <c r="K186" s="37" t="str">
        <f>D186&amp;-2</f>
        <v>13-2</v>
      </c>
      <c r="L186" s="45">
        <f t="shared" si="348"/>
        <v>0.2</v>
      </c>
      <c r="M186" s="49">
        <f t="shared" si="401"/>
        <v>180</v>
      </c>
      <c r="N186" s="53">
        <f>N185</f>
        <v>75</v>
      </c>
      <c r="O186" s="53">
        <f t="shared" ref="O186:Q186" si="497">O185</f>
        <v>150</v>
      </c>
      <c r="P186" s="44">
        <f t="shared" si="497"/>
        <v>750</v>
      </c>
      <c r="Q186" s="45" t="str">
        <f t="shared" si="497"/>
        <v>on</v>
      </c>
    </row>
    <row r="187" spans="1:17" ht="15.75" thickBot="1" x14ac:dyDescent="0.3">
      <c r="A187" s="229">
        <f t="shared" ref="A187:B187" si="498">A186+1</f>
        <v>4570</v>
      </c>
      <c r="B187" s="230">
        <f t="shared" si="498"/>
        <v>177</v>
      </c>
      <c r="C187" s="218" t="str">
        <f t="shared" si="351"/>
        <v>81cF13_000_180#03</v>
      </c>
      <c r="D187" s="43">
        <f t="shared" ref="D187:F187" si="499">D186</f>
        <v>13</v>
      </c>
      <c r="E187" s="61">
        <f t="shared" si="499"/>
        <v>2.149</v>
      </c>
      <c r="F187" s="44">
        <f t="shared" si="499"/>
        <v>16.530769230769231</v>
      </c>
      <c r="G187" s="44">
        <f t="shared" si="374"/>
        <v>13.224615384615385</v>
      </c>
      <c r="H187" s="44">
        <f t="shared" si="375"/>
        <v>8.2653846153846153</v>
      </c>
      <c r="I187" s="44">
        <f t="shared" si="450"/>
        <v>8</v>
      </c>
      <c r="J187" s="45">
        <f t="shared" si="487"/>
        <v>0</v>
      </c>
      <c r="K187" s="37" t="str">
        <f>D187&amp;-3</f>
        <v>13-3</v>
      </c>
      <c r="L187" s="45">
        <f t="shared" si="348"/>
        <v>0.2</v>
      </c>
      <c r="M187" s="49">
        <f t="shared" si="401"/>
        <v>180</v>
      </c>
      <c r="N187" s="53">
        <f t="shared" ref="N187:Q187" si="500">N186</f>
        <v>75</v>
      </c>
      <c r="O187" s="53">
        <f t="shared" si="500"/>
        <v>150</v>
      </c>
      <c r="P187" s="44">
        <f t="shared" si="500"/>
        <v>750</v>
      </c>
      <c r="Q187" s="45" t="str">
        <f t="shared" si="500"/>
        <v>on</v>
      </c>
    </row>
    <row r="188" spans="1:17" ht="15.75" thickBot="1" x14ac:dyDescent="0.3">
      <c r="A188" s="229">
        <f t="shared" ref="A188:B188" si="501">A187+1</f>
        <v>4571</v>
      </c>
      <c r="B188" s="230">
        <f t="shared" si="501"/>
        <v>178</v>
      </c>
      <c r="C188" s="218" t="str">
        <f t="shared" si="351"/>
        <v>81cF13_000_180#04</v>
      </c>
      <c r="D188" s="43">
        <f t="shared" ref="D188:F188" si="502">D187</f>
        <v>13</v>
      </c>
      <c r="E188" s="61">
        <f t="shared" si="502"/>
        <v>2.149</v>
      </c>
      <c r="F188" s="44">
        <f t="shared" si="502"/>
        <v>16.530769230769231</v>
      </c>
      <c r="G188" s="44">
        <f t="shared" si="374"/>
        <v>13.224615384615385</v>
      </c>
      <c r="H188" s="44">
        <f t="shared" si="375"/>
        <v>8.2653846153846153</v>
      </c>
      <c r="I188" s="44">
        <f t="shared" si="450"/>
        <v>8</v>
      </c>
      <c r="J188" s="45">
        <f t="shared" si="487"/>
        <v>0</v>
      </c>
      <c r="K188" s="37" t="str">
        <f>D188&amp;-4</f>
        <v>13-4</v>
      </c>
      <c r="L188" s="45">
        <f t="shared" si="348"/>
        <v>0.2</v>
      </c>
      <c r="M188" s="49">
        <f t="shared" si="401"/>
        <v>180</v>
      </c>
      <c r="N188" s="53">
        <f t="shared" ref="N188:Q188" si="503">N187</f>
        <v>75</v>
      </c>
      <c r="O188" s="53">
        <f t="shared" si="503"/>
        <v>150</v>
      </c>
      <c r="P188" s="44">
        <f t="shared" si="503"/>
        <v>750</v>
      </c>
      <c r="Q188" s="45" t="str">
        <f t="shared" si="503"/>
        <v>on</v>
      </c>
    </row>
    <row r="189" spans="1:17" ht="15.75" thickBot="1" x14ac:dyDescent="0.3">
      <c r="A189" s="229">
        <f t="shared" ref="A189:B189" si="504">A188+1</f>
        <v>4572</v>
      </c>
      <c r="B189" s="230">
        <f t="shared" si="504"/>
        <v>179</v>
      </c>
      <c r="C189" s="218" t="str">
        <f t="shared" si="351"/>
        <v>81cF13_000_180#05</v>
      </c>
      <c r="D189" s="43">
        <f t="shared" ref="D189:F189" si="505">D188</f>
        <v>13</v>
      </c>
      <c r="E189" s="61">
        <f t="shared" si="505"/>
        <v>2.149</v>
      </c>
      <c r="F189" s="44">
        <f t="shared" si="505"/>
        <v>16.530769230769231</v>
      </c>
      <c r="G189" s="44">
        <f t="shared" si="374"/>
        <v>13.224615384615385</v>
      </c>
      <c r="H189" s="44">
        <f t="shared" si="375"/>
        <v>8.2653846153846153</v>
      </c>
      <c r="I189" s="44">
        <f t="shared" si="450"/>
        <v>8</v>
      </c>
      <c r="J189" s="45">
        <f t="shared" si="487"/>
        <v>0</v>
      </c>
      <c r="K189" s="37" t="str">
        <f>D189&amp;-5</f>
        <v>13-5</v>
      </c>
      <c r="L189" s="45">
        <f t="shared" si="348"/>
        <v>0.2</v>
      </c>
      <c r="M189" s="49">
        <f t="shared" si="401"/>
        <v>180</v>
      </c>
      <c r="N189" s="53">
        <f t="shared" ref="N189:Q189" si="506">N188</f>
        <v>75</v>
      </c>
      <c r="O189" s="53">
        <f t="shared" si="506"/>
        <v>150</v>
      </c>
      <c r="P189" s="44">
        <f t="shared" si="506"/>
        <v>750</v>
      </c>
      <c r="Q189" s="45" t="str">
        <f t="shared" si="506"/>
        <v>on</v>
      </c>
    </row>
    <row r="190" spans="1:17" ht="15.75" thickBot="1" x14ac:dyDescent="0.3">
      <c r="A190" s="229">
        <f t="shared" ref="A190:B190" si="507">A189+1</f>
        <v>4573</v>
      </c>
      <c r="B190" s="230">
        <f t="shared" si="507"/>
        <v>180</v>
      </c>
      <c r="C190" s="218" t="str">
        <f t="shared" si="351"/>
        <v>81cF13_000_180#06</v>
      </c>
      <c r="D190" s="43">
        <f t="shared" ref="D190:F190" si="508">D189</f>
        <v>13</v>
      </c>
      <c r="E190" s="61">
        <f t="shared" si="508"/>
        <v>2.149</v>
      </c>
      <c r="F190" s="44">
        <f t="shared" si="508"/>
        <v>16.530769230769231</v>
      </c>
      <c r="G190" s="44">
        <f t="shared" si="374"/>
        <v>13.224615384615385</v>
      </c>
      <c r="H190" s="44">
        <f t="shared" si="375"/>
        <v>8.2653846153846153</v>
      </c>
      <c r="I190" s="44">
        <f t="shared" si="450"/>
        <v>8</v>
      </c>
      <c r="J190" s="45">
        <f t="shared" si="487"/>
        <v>0</v>
      </c>
      <c r="K190" s="37" t="str">
        <f>D190&amp;-6</f>
        <v>13-6</v>
      </c>
      <c r="L190" s="45">
        <f t="shared" si="348"/>
        <v>0.2</v>
      </c>
      <c r="M190" s="49">
        <f t="shared" si="401"/>
        <v>180</v>
      </c>
      <c r="N190" s="53">
        <f t="shared" ref="N190:Q190" si="509">N189</f>
        <v>75</v>
      </c>
      <c r="O190" s="53">
        <f t="shared" si="509"/>
        <v>150</v>
      </c>
      <c r="P190" s="44">
        <f t="shared" si="509"/>
        <v>750</v>
      </c>
      <c r="Q190" s="45" t="str">
        <f t="shared" si="509"/>
        <v>on</v>
      </c>
    </row>
    <row r="191" spans="1:17" ht="15.75" thickBot="1" x14ac:dyDescent="0.3">
      <c r="A191" s="229">
        <f t="shared" ref="A191:B191" si="510">A190+1</f>
        <v>4574</v>
      </c>
      <c r="B191" s="230">
        <f t="shared" si="510"/>
        <v>181</v>
      </c>
      <c r="C191" s="218" t="str">
        <f t="shared" si="351"/>
        <v>81cA13_000_270#01</v>
      </c>
      <c r="D191" s="43">
        <f t="shared" ref="D191:F191" si="511">D190</f>
        <v>13</v>
      </c>
      <c r="E191" s="61">
        <f t="shared" si="511"/>
        <v>2.149</v>
      </c>
      <c r="F191" s="44">
        <f t="shared" si="511"/>
        <v>16.530769230769231</v>
      </c>
      <c r="G191" s="44">
        <f t="shared" si="374"/>
        <v>13.224615384615385</v>
      </c>
      <c r="H191" s="44">
        <f t="shared" si="375"/>
        <v>8.2653846153846153</v>
      </c>
      <c r="I191" s="44">
        <f t="shared" si="450"/>
        <v>8</v>
      </c>
      <c r="J191" s="45">
        <f t="shared" si="487"/>
        <v>0</v>
      </c>
      <c r="K191" s="37" t="str">
        <f>D191&amp;-1</f>
        <v>13-1</v>
      </c>
      <c r="L191" s="45">
        <f t="shared" si="348"/>
        <v>0.2</v>
      </c>
      <c r="M191" s="49">
        <f t="shared" ref="M191:M226" si="512">dlc81c_r3</f>
        <v>270</v>
      </c>
      <c r="N191" s="53">
        <v>0</v>
      </c>
      <c r="O191" s="53">
        <f t="shared" ref="O191:Q191" si="513">O190</f>
        <v>150</v>
      </c>
      <c r="P191" s="44">
        <f t="shared" si="513"/>
        <v>750</v>
      </c>
      <c r="Q191" s="45" t="str">
        <f t="shared" si="513"/>
        <v>on</v>
      </c>
    </row>
    <row r="192" spans="1:17" ht="15.75" thickBot="1" x14ac:dyDescent="0.3">
      <c r="A192" s="229">
        <f t="shared" ref="A192:B192" si="514">A191+1</f>
        <v>4575</v>
      </c>
      <c r="B192" s="230">
        <f t="shared" si="514"/>
        <v>182</v>
      </c>
      <c r="C192" s="218" t="str">
        <f t="shared" si="351"/>
        <v>81cA13_000_270#02</v>
      </c>
      <c r="D192" s="43">
        <f t="shared" ref="D192:F192" si="515">D191</f>
        <v>13</v>
      </c>
      <c r="E192" s="61">
        <f t="shared" si="515"/>
        <v>2.149</v>
      </c>
      <c r="F192" s="44">
        <f t="shared" si="515"/>
        <v>16.530769230769231</v>
      </c>
      <c r="G192" s="44">
        <f t="shared" si="374"/>
        <v>13.224615384615385</v>
      </c>
      <c r="H192" s="44">
        <f t="shared" si="375"/>
        <v>8.2653846153846153</v>
      </c>
      <c r="I192" s="44">
        <f t="shared" si="450"/>
        <v>8</v>
      </c>
      <c r="J192" s="45">
        <f t="shared" si="487"/>
        <v>0</v>
      </c>
      <c r="K192" s="37" t="str">
        <f>D192&amp;-2</f>
        <v>13-2</v>
      </c>
      <c r="L192" s="45">
        <f t="shared" si="348"/>
        <v>0.2</v>
      </c>
      <c r="M192" s="49">
        <f t="shared" si="512"/>
        <v>270</v>
      </c>
      <c r="N192" s="53">
        <f>N191</f>
        <v>0</v>
      </c>
      <c r="O192" s="53">
        <f t="shared" ref="O192:Q192" si="516">O191</f>
        <v>150</v>
      </c>
      <c r="P192" s="44">
        <f t="shared" si="516"/>
        <v>750</v>
      </c>
      <c r="Q192" s="45" t="str">
        <f t="shared" si="516"/>
        <v>on</v>
      </c>
    </row>
    <row r="193" spans="1:17" ht="15.75" thickBot="1" x14ac:dyDescent="0.3">
      <c r="A193" s="229">
        <f t="shared" ref="A193:B193" si="517">A192+1</f>
        <v>4576</v>
      </c>
      <c r="B193" s="230">
        <f t="shared" si="517"/>
        <v>183</v>
      </c>
      <c r="C193" s="218" t="str">
        <f t="shared" si="351"/>
        <v>81cA13_000_270#03</v>
      </c>
      <c r="D193" s="43">
        <f t="shared" ref="D193:F193" si="518">D192</f>
        <v>13</v>
      </c>
      <c r="E193" s="61">
        <f t="shared" si="518"/>
        <v>2.149</v>
      </c>
      <c r="F193" s="44">
        <f t="shared" si="518"/>
        <v>16.530769230769231</v>
      </c>
      <c r="G193" s="44">
        <f t="shared" si="374"/>
        <v>13.224615384615385</v>
      </c>
      <c r="H193" s="44">
        <f t="shared" si="375"/>
        <v>8.2653846153846153</v>
      </c>
      <c r="I193" s="44">
        <f t="shared" si="450"/>
        <v>8</v>
      </c>
      <c r="J193" s="45">
        <f t="shared" si="487"/>
        <v>0</v>
      </c>
      <c r="K193" s="37" t="str">
        <f>D193&amp;-3</f>
        <v>13-3</v>
      </c>
      <c r="L193" s="45">
        <f t="shared" si="348"/>
        <v>0.2</v>
      </c>
      <c r="M193" s="49">
        <f t="shared" si="512"/>
        <v>270</v>
      </c>
      <c r="N193" s="53">
        <f t="shared" ref="N193:Q193" si="519">N192</f>
        <v>0</v>
      </c>
      <c r="O193" s="53">
        <f t="shared" si="519"/>
        <v>150</v>
      </c>
      <c r="P193" s="44">
        <f t="shared" si="519"/>
        <v>750</v>
      </c>
      <c r="Q193" s="45" t="str">
        <f t="shared" si="519"/>
        <v>on</v>
      </c>
    </row>
    <row r="194" spans="1:17" ht="15.75" thickBot="1" x14ac:dyDescent="0.3">
      <c r="A194" s="229">
        <f t="shared" ref="A194:B194" si="520">A193+1</f>
        <v>4577</v>
      </c>
      <c r="B194" s="230">
        <f t="shared" si="520"/>
        <v>184</v>
      </c>
      <c r="C194" s="218" t="str">
        <f t="shared" si="351"/>
        <v>81cA13_000_270#04</v>
      </c>
      <c r="D194" s="43">
        <f t="shared" ref="D194:F194" si="521">D193</f>
        <v>13</v>
      </c>
      <c r="E194" s="61">
        <f t="shared" si="521"/>
        <v>2.149</v>
      </c>
      <c r="F194" s="44">
        <f t="shared" si="521"/>
        <v>16.530769230769231</v>
      </c>
      <c r="G194" s="44">
        <f t="shared" si="374"/>
        <v>13.224615384615385</v>
      </c>
      <c r="H194" s="44">
        <f t="shared" si="375"/>
        <v>8.2653846153846153</v>
      </c>
      <c r="I194" s="44">
        <f t="shared" si="450"/>
        <v>8</v>
      </c>
      <c r="J194" s="45">
        <f t="shared" si="487"/>
        <v>0</v>
      </c>
      <c r="K194" s="37" t="str">
        <f>D194&amp;-4</f>
        <v>13-4</v>
      </c>
      <c r="L194" s="45">
        <f t="shared" si="348"/>
        <v>0.2</v>
      </c>
      <c r="M194" s="49">
        <f t="shared" si="512"/>
        <v>270</v>
      </c>
      <c r="N194" s="53">
        <f t="shared" ref="N194:Q194" si="522">N193</f>
        <v>0</v>
      </c>
      <c r="O194" s="53">
        <f t="shared" si="522"/>
        <v>150</v>
      </c>
      <c r="P194" s="44">
        <f t="shared" si="522"/>
        <v>750</v>
      </c>
      <c r="Q194" s="45" t="str">
        <f t="shared" si="522"/>
        <v>on</v>
      </c>
    </row>
    <row r="195" spans="1:17" ht="15.75" thickBot="1" x14ac:dyDescent="0.3">
      <c r="A195" s="229">
        <f t="shared" ref="A195:B195" si="523">A194+1</f>
        <v>4578</v>
      </c>
      <c r="B195" s="230">
        <f t="shared" si="523"/>
        <v>185</v>
      </c>
      <c r="C195" s="218" t="str">
        <f t="shared" si="351"/>
        <v>81cA13_000_270#05</v>
      </c>
      <c r="D195" s="43">
        <f t="shared" ref="D195:F195" si="524">D194</f>
        <v>13</v>
      </c>
      <c r="E195" s="61">
        <f t="shared" si="524"/>
        <v>2.149</v>
      </c>
      <c r="F195" s="44">
        <f t="shared" si="524"/>
        <v>16.530769230769231</v>
      </c>
      <c r="G195" s="44">
        <f t="shared" si="374"/>
        <v>13.224615384615385</v>
      </c>
      <c r="H195" s="44">
        <f t="shared" si="375"/>
        <v>8.2653846153846153</v>
      </c>
      <c r="I195" s="44">
        <f t="shared" si="450"/>
        <v>8</v>
      </c>
      <c r="J195" s="45">
        <f t="shared" si="487"/>
        <v>0</v>
      </c>
      <c r="K195" s="37" t="str">
        <f>D195&amp;-5</f>
        <v>13-5</v>
      </c>
      <c r="L195" s="45">
        <f t="shared" si="348"/>
        <v>0.2</v>
      </c>
      <c r="M195" s="49">
        <f t="shared" si="512"/>
        <v>270</v>
      </c>
      <c r="N195" s="53">
        <f t="shared" ref="N195:Q195" si="525">N194</f>
        <v>0</v>
      </c>
      <c r="O195" s="53">
        <f t="shared" si="525"/>
        <v>150</v>
      </c>
      <c r="P195" s="44">
        <f t="shared" si="525"/>
        <v>750</v>
      </c>
      <c r="Q195" s="45" t="str">
        <f t="shared" si="525"/>
        <v>on</v>
      </c>
    </row>
    <row r="196" spans="1:17" ht="15.75" thickBot="1" x14ac:dyDescent="0.3">
      <c r="A196" s="229">
        <f t="shared" ref="A196:B196" si="526">A195+1</f>
        <v>4579</v>
      </c>
      <c r="B196" s="230">
        <f t="shared" si="526"/>
        <v>186</v>
      </c>
      <c r="C196" s="218" t="str">
        <f t="shared" si="351"/>
        <v>81cA13_000_270#06</v>
      </c>
      <c r="D196" s="43">
        <f t="shared" ref="D196:F196" si="527">D195</f>
        <v>13</v>
      </c>
      <c r="E196" s="61">
        <f t="shared" si="527"/>
        <v>2.149</v>
      </c>
      <c r="F196" s="44">
        <f t="shared" si="527"/>
        <v>16.530769230769231</v>
      </c>
      <c r="G196" s="44">
        <f t="shared" si="374"/>
        <v>13.224615384615385</v>
      </c>
      <c r="H196" s="44">
        <f t="shared" si="375"/>
        <v>8.2653846153846153</v>
      </c>
      <c r="I196" s="44">
        <f t="shared" si="450"/>
        <v>8</v>
      </c>
      <c r="J196" s="45">
        <f t="shared" si="487"/>
        <v>0</v>
      </c>
      <c r="K196" s="37" t="str">
        <f>D196&amp;-6</f>
        <v>13-6</v>
      </c>
      <c r="L196" s="45">
        <f t="shared" si="348"/>
        <v>0.2</v>
      </c>
      <c r="M196" s="49">
        <f t="shared" si="512"/>
        <v>270</v>
      </c>
      <c r="N196" s="53">
        <f t="shared" ref="N196:Q196" si="528">N195</f>
        <v>0</v>
      </c>
      <c r="O196" s="53">
        <f t="shared" si="528"/>
        <v>150</v>
      </c>
      <c r="P196" s="44">
        <f t="shared" si="528"/>
        <v>750</v>
      </c>
      <c r="Q196" s="45" t="str">
        <f t="shared" si="528"/>
        <v>on</v>
      </c>
    </row>
    <row r="197" spans="1:17" ht="15.75" thickBot="1" x14ac:dyDescent="0.3">
      <c r="A197" s="229">
        <f t="shared" ref="A197:B197" si="529">A196+1</f>
        <v>4580</v>
      </c>
      <c r="B197" s="230">
        <f t="shared" si="529"/>
        <v>187</v>
      </c>
      <c r="C197" s="218" t="str">
        <f t="shared" si="351"/>
        <v>81cB13_000_270#01</v>
      </c>
      <c r="D197" s="43">
        <f t="shared" ref="D197:F197" si="530">D196</f>
        <v>13</v>
      </c>
      <c r="E197" s="61">
        <f t="shared" si="530"/>
        <v>2.149</v>
      </c>
      <c r="F197" s="44">
        <f t="shared" si="530"/>
        <v>16.530769230769231</v>
      </c>
      <c r="G197" s="44">
        <f t="shared" si="374"/>
        <v>13.224615384615385</v>
      </c>
      <c r="H197" s="44">
        <f t="shared" si="375"/>
        <v>8.2653846153846153</v>
      </c>
      <c r="I197" s="44">
        <f t="shared" si="450"/>
        <v>8</v>
      </c>
      <c r="J197" s="45">
        <f t="shared" si="487"/>
        <v>0</v>
      </c>
      <c r="K197" s="37" t="str">
        <f>D197&amp;-1</f>
        <v>13-1</v>
      </c>
      <c r="L197" s="45">
        <f t="shared" si="348"/>
        <v>0.2</v>
      </c>
      <c r="M197" s="49">
        <f t="shared" si="512"/>
        <v>270</v>
      </c>
      <c r="N197" s="53">
        <v>15</v>
      </c>
      <c r="O197" s="53">
        <f t="shared" ref="O197:Q197" si="531">O196</f>
        <v>150</v>
      </c>
      <c r="P197" s="44">
        <f t="shared" si="531"/>
        <v>750</v>
      </c>
      <c r="Q197" s="45" t="str">
        <f t="shared" si="531"/>
        <v>on</v>
      </c>
    </row>
    <row r="198" spans="1:17" ht="15.75" thickBot="1" x14ac:dyDescent="0.3">
      <c r="A198" s="229">
        <f t="shared" ref="A198:B198" si="532">A197+1</f>
        <v>4581</v>
      </c>
      <c r="B198" s="230">
        <f t="shared" si="532"/>
        <v>188</v>
      </c>
      <c r="C198" s="218" t="str">
        <f t="shared" si="351"/>
        <v>81cB13_000_270#02</v>
      </c>
      <c r="D198" s="43">
        <f t="shared" ref="D198:F198" si="533">D197</f>
        <v>13</v>
      </c>
      <c r="E198" s="61">
        <f t="shared" si="533"/>
        <v>2.149</v>
      </c>
      <c r="F198" s="44">
        <f t="shared" si="533"/>
        <v>16.530769230769231</v>
      </c>
      <c r="G198" s="44">
        <f t="shared" si="374"/>
        <v>13.224615384615385</v>
      </c>
      <c r="H198" s="44">
        <f t="shared" si="375"/>
        <v>8.2653846153846153</v>
      </c>
      <c r="I198" s="44">
        <f t="shared" si="450"/>
        <v>8</v>
      </c>
      <c r="J198" s="45">
        <f t="shared" si="487"/>
        <v>0</v>
      </c>
      <c r="K198" s="37" t="str">
        <f>D198&amp;-2</f>
        <v>13-2</v>
      </c>
      <c r="L198" s="45">
        <f t="shared" si="348"/>
        <v>0.2</v>
      </c>
      <c r="M198" s="49">
        <f t="shared" si="512"/>
        <v>270</v>
      </c>
      <c r="N198" s="53">
        <f>N197</f>
        <v>15</v>
      </c>
      <c r="O198" s="53">
        <f t="shared" ref="O198:Q198" si="534">O197</f>
        <v>150</v>
      </c>
      <c r="P198" s="44">
        <f t="shared" si="534"/>
        <v>750</v>
      </c>
      <c r="Q198" s="45" t="str">
        <f t="shared" si="534"/>
        <v>on</v>
      </c>
    </row>
    <row r="199" spans="1:17" ht="15.75" thickBot="1" x14ac:dyDescent="0.3">
      <c r="A199" s="229">
        <f t="shared" ref="A199:B199" si="535">A198+1</f>
        <v>4582</v>
      </c>
      <c r="B199" s="230">
        <f t="shared" si="535"/>
        <v>189</v>
      </c>
      <c r="C199" s="218" t="str">
        <f t="shared" si="351"/>
        <v>81cB13_000_270#03</v>
      </c>
      <c r="D199" s="43">
        <f t="shared" ref="D199:F199" si="536">D198</f>
        <v>13</v>
      </c>
      <c r="E199" s="61">
        <f t="shared" si="536"/>
        <v>2.149</v>
      </c>
      <c r="F199" s="44">
        <f t="shared" si="536"/>
        <v>16.530769230769231</v>
      </c>
      <c r="G199" s="44">
        <f t="shared" si="374"/>
        <v>13.224615384615385</v>
      </c>
      <c r="H199" s="44">
        <f t="shared" si="375"/>
        <v>8.2653846153846153</v>
      </c>
      <c r="I199" s="44">
        <f t="shared" si="450"/>
        <v>8</v>
      </c>
      <c r="J199" s="45">
        <f t="shared" si="487"/>
        <v>0</v>
      </c>
      <c r="K199" s="37" t="str">
        <f>D199&amp;-3</f>
        <v>13-3</v>
      </c>
      <c r="L199" s="45">
        <f t="shared" si="348"/>
        <v>0.2</v>
      </c>
      <c r="M199" s="49">
        <f t="shared" si="512"/>
        <v>270</v>
      </c>
      <c r="N199" s="53">
        <f t="shared" ref="N199:Q199" si="537">N198</f>
        <v>15</v>
      </c>
      <c r="O199" s="53">
        <f t="shared" si="537"/>
        <v>150</v>
      </c>
      <c r="P199" s="44">
        <f t="shared" si="537"/>
        <v>750</v>
      </c>
      <c r="Q199" s="45" t="str">
        <f t="shared" si="537"/>
        <v>on</v>
      </c>
    </row>
    <row r="200" spans="1:17" ht="15.75" thickBot="1" x14ac:dyDescent="0.3">
      <c r="A200" s="229">
        <f t="shared" ref="A200:B200" si="538">A199+1</f>
        <v>4583</v>
      </c>
      <c r="B200" s="230">
        <f t="shared" si="538"/>
        <v>190</v>
      </c>
      <c r="C200" s="218" t="str">
        <f t="shared" si="351"/>
        <v>81cB13_000_270#04</v>
      </c>
      <c r="D200" s="43">
        <f t="shared" ref="D200:F200" si="539">D199</f>
        <v>13</v>
      </c>
      <c r="E200" s="61">
        <f t="shared" si="539"/>
        <v>2.149</v>
      </c>
      <c r="F200" s="44">
        <f t="shared" si="539"/>
        <v>16.530769230769231</v>
      </c>
      <c r="G200" s="44">
        <f t="shared" si="374"/>
        <v>13.224615384615385</v>
      </c>
      <c r="H200" s="44">
        <f t="shared" si="375"/>
        <v>8.2653846153846153</v>
      </c>
      <c r="I200" s="44">
        <f t="shared" si="450"/>
        <v>8</v>
      </c>
      <c r="J200" s="45">
        <f t="shared" si="487"/>
        <v>0</v>
      </c>
      <c r="K200" s="37" t="str">
        <f>D200&amp;-4</f>
        <v>13-4</v>
      </c>
      <c r="L200" s="45">
        <f t="shared" si="348"/>
        <v>0.2</v>
      </c>
      <c r="M200" s="49">
        <f t="shared" si="512"/>
        <v>270</v>
      </c>
      <c r="N200" s="53">
        <f t="shared" ref="N200:Q200" si="540">N199</f>
        <v>15</v>
      </c>
      <c r="O200" s="53">
        <f t="shared" si="540"/>
        <v>150</v>
      </c>
      <c r="P200" s="44">
        <f t="shared" si="540"/>
        <v>750</v>
      </c>
      <c r="Q200" s="45" t="str">
        <f t="shared" si="540"/>
        <v>on</v>
      </c>
    </row>
    <row r="201" spans="1:17" ht="15.75" thickBot="1" x14ac:dyDescent="0.3">
      <c r="A201" s="229">
        <f t="shared" ref="A201:B201" si="541">A200+1</f>
        <v>4584</v>
      </c>
      <c r="B201" s="230">
        <f t="shared" si="541"/>
        <v>191</v>
      </c>
      <c r="C201" s="218" t="str">
        <f t="shared" si="351"/>
        <v>81cB13_000_270#05</v>
      </c>
      <c r="D201" s="43">
        <f t="shared" ref="D201:F201" si="542">D200</f>
        <v>13</v>
      </c>
      <c r="E201" s="61">
        <f t="shared" si="542"/>
        <v>2.149</v>
      </c>
      <c r="F201" s="44">
        <f t="shared" si="542"/>
        <v>16.530769230769231</v>
      </c>
      <c r="G201" s="44">
        <f t="shared" si="374"/>
        <v>13.224615384615385</v>
      </c>
      <c r="H201" s="44">
        <f t="shared" si="375"/>
        <v>8.2653846153846153</v>
      </c>
      <c r="I201" s="44">
        <f t="shared" si="450"/>
        <v>8</v>
      </c>
      <c r="J201" s="45">
        <f t="shared" si="487"/>
        <v>0</v>
      </c>
      <c r="K201" s="37" t="str">
        <f>D201&amp;-5</f>
        <v>13-5</v>
      </c>
      <c r="L201" s="45">
        <f t="shared" si="348"/>
        <v>0.2</v>
      </c>
      <c r="M201" s="49">
        <f t="shared" si="512"/>
        <v>270</v>
      </c>
      <c r="N201" s="53">
        <f t="shared" ref="N201:Q201" si="543">N200</f>
        <v>15</v>
      </c>
      <c r="O201" s="53">
        <f t="shared" si="543"/>
        <v>150</v>
      </c>
      <c r="P201" s="44">
        <f t="shared" si="543"/>
        <v>750</v>
      </c>
      <c r="Q201" s="45" t="str">
        <f t="shared" si="543"/>
        <v>on</v>
      </c>
    </row>
    <row r="202" spans="1:17" ht="15.75" thickBot="1" x14ac:dyDescent="0.3">
      <c r="A202" s="229">
        <f t="shared" ref="A202:B202" si="544">A201+1</f>
        <v>4585</v>
      </c>
      <c r="B202" s="230">
        <f t="shared" si="544"/>
        <v>192</v>
      </c>
      <c r="C202" s="218" t="str">
        <f t="shared" si="351"/>
        <v>81cB13_000_270#06</v>
      </c>
      <c r="D202" s="43">
        <f t="shared" ref="D202:F202" si="545">D201</f>
        <v>13</v>
      </c>
      <c r="E202" s="61">
        <f t="shared" si="545"/>
        <v>2.149</v>
      </c>
      <c r="F202" s="44">
        <f t="shared" si="545"/>
        <v>16.530769230769231</v>
      </c>
      <c r="G202" s="44">
        <f t="shared" si="374"/>
        <v>13.224615384615385</v>
      </c>
      <c r="H202" s="44">
        <f t="shared" si="375"/>
        <v>8.2653846153846153</v>
      </c>
      <c r="I202" s="44">
        <f t="shared" si="450"/>
        <v>8</v>
      </c>
      <c r="J202" s="45">
        <f t="shared" si="487"/>
        <v>0</v>
      </c>
      <c r="K202" s="37" t="str">
        <f>D202&amp;-6</f>
        <v>13-6</v>
      </c>
      <c r="L202" s="45">
        <f t="shared" si="348"/>
        <v>0.2</v>
      </c>
      <c r="M202" s="49">
        <f t="shared" si="512"/>
        <v>270</v>
      </c>
      <c r="N202" s="53">
        <f t="shared" ref="N202:Q202" si="546">N201</f>
        <v>15</v>
      </c>
      <c r="O202" s="53">
        <f t="shared" si="546"/>
        <v>150</v>
      </c>
      <c r="P202" s="44">
        <f t="shared" si="546"/>
        <v>750</v>
      </c>
      <c r="Q202" s="45" t="str">
        <f t="shared" si="546"/>
        <v>on</v>
      </c>
    </row>
    <row r="203" spans="1:17" ht="15.75" thickBot="1" x14ac:dyDescent="0.3">
      <c r="A203" s="229">
        <f t="shared" ref="A203:B203" si="547">A202+1</f>
        <v>4586</v>
      </c>
      <c r="B203" s="230">
        <f t="shared" si="547"/>
        <v>193</v>
      </c>
      <c r="C203" s="218" t="str">
        <f t="shared" si="351"/>
        <v>81cC13_000_270#01</v>
      </c>
      <c r="D203" s="43">
        <f t="shared" ref="D203:F203" si="548">D202</f>
        <v>13</v>
      </c>
      <c r="E203" s="61">
        <f t="shared" si="548"/>
        <v>2.149</v>
      </c>
      <c r="F203" s="44">
        <f t="shared" si="548"/>
        <v>16.530769230769231</v>
      </c>
      <c r="G203" s="44">
        <f t="shared" si="374"/>
        <v>13.224615384615385</v>
      </c>
      <c r="H203" s="44">
        <f t="shared" si="375"/>
        <v>8.2653846153846153</v>
      </c>
      <c r="I203" s="44">
        <f t="shared" si="450"/>
        <v>8</v>
      </c>
      <c r="J203" s="45">
        <f t="shared" si="487"/>
        <v>0</v>
      </c>
      <c r="K203" s="37" t="str">
        <f>D203&amp;-1</f>
        <v>13-1</v>
      </c>
      <c r="L203" s="45">
        <f t="shared" ref="L203:L266" si="549">alpha_n</f>
        <v>0.2</v>
      </c>
      <c r="M203" s="49">
        <f t="shared" si="512"/>
        <v>270</v>
      </c>
      <c r="N203" s="53">
        <v>30</v>
      </c>
      <c r="O203" s="53">
        <f t="shared" ref="O203:Q203" si="550">O202</f>
        <v>150</v>
      </c>
      <c r="P203" s="44">
        <f t="shared" si="550"/>
        <v>750</v>
      </c>
      <c r="Q203" s="45" t="str">
        <f t="shared" si="550"/>
        <v>on</v>
      </c>
    </row>
    <row r="204" spans="1:17" ht="15.75" thickBot="1" x14ac:dyDescent="0.3">
      <c r="A204" s="229">
        <f t="shared" ref="A204:B204" si="551">A203+1</f>
        <v>4587</v>
      </c>
      <c r="B204" s="230">
        <f t="shared" si="551"/>
        <v>194</v>
      </c>
      <c r="C204" s="218" t="str">
        <f t="shared" ref="C204:C267" si="552">TEXT(RIGHT($B$2,LEN($B$2)-3),"000")&amp;IF(N204=0,"A",IF(N204=15,"B",IF(N204=30,"C",IF(N204=45,"D",IF(N204=60,"E","F")))))&amp;TEXT(D204,"00")&amp;"_"&amp;IF(J204&lt;0,TEXT(360+J204,"000"),TEXT(J204,"000"))&amp;"_"&amp;TEXT(M204,"000")&amp;"#"&amp;TEXT(RIGHT(K204,LEN(K204)-FIND("-",K204)),"00")</f>
        <v>81cC13_000_270#02</v>
      </c>
      <c r="D204" s="43">
        <f t="shared" ref="D204:F204" si="553">D203</f>
        <v>13</v>
      </c>
      <c r="E204" s="61">
        <f t="shared" si="553"/>
        <v>2.149</v>
      </c>
      <c r="F204" s="44">
        <f t="shared" si="553"/>
        <v>16.530769230769231</v>
      </c>
      <c r="G204" s="44">
        <f t="shared" si="374"/>
        <v>13.224615384615385</v>
      </c>
      <c r="H204" s="44">
        <f t="shared" si="375"/>
        <v>8.2653846153846153</v>
      </c>
      <c r="I204" s="44">
        <f t="shared" si="450"/>
        <v>8</v>
      </c>
      <c r="J204" s="45">
        <f t="shared" si="487"/>
        <v>0</v>
      </c>
      <c r="K204" s="37" t="str">
        <f>D204&amp;-2</f>
        <v>13-2</v>
      </c>
      <c r="L204" s="45">
        <f t="shared" si="549"/>
        <v>0.2</v>
      </c>
      <c r="M204" s="49">
        <f t="shared" si="512"/>
        <v>270</v>
      </c>
      <c r="N204" s="53">
        <f>N203</f>
        <v>30</v>
      </c>
      <c r="O204" s="53">
        <f t="shared" ref="O204:Q204" si="554">O203</f>
        <v>150</v>
      </c>
      <c r="P204" s="44">
        <f t="shared" si="554"/>
        <v>750</v>
      </c>
      <c r="Q204" s="45" t="str">
        <f t="shared" si="554"/>
        <v>on</v>
      </c>
    </row>
    <row r="205" spans="1:17" ht="15.75" thickBot="1" x14ac:dyDescent="0.3">
      <c r="A205" s="229">
        <f t="shared" ref="A205:B205" si="555">A204+1</f>
        <v>4588</v>
      </c>
      <c r="B205" s="230">
        <f t="shared" si="555"/>
        <v>195</v>
      </c>
      <c r="C205" s="218" t="str">
        <f t="shared" si="552"/>
        <v>81cC13_000_270#03</v>
      </c>
      <c r="D205" s="43">
        <f t="shared" ref="D205:F205" si="556">D204</f>
        <v>13</v>
      </c>
      <c r="E205" s="61">
        <f t="shared" si="556"/>
        <v>2.149</v>
      </c>
      <c r="F205" s="44">
        <f t="shared" si="556"/>
        <v>16.530769230769231</v>
      </c>
      <c r="G205" s="44">
        <f t="shared" si="374"/>
        <v>13.224615384615385</v>
      </c>
      <c r="H205" s="44">
        <f t="shared" si="375"/>
        <v>8.2653846153846153</v>
      </c>
      <c r="I205" s="44">
        <f t="shared" si="450"/>
        <v>8</v>
      </c>
      <c r="J205" s="45">
        <f t="shared" si="487"/>
        <v>0</v>
      </c>
      <c r="K205" s="37" t="str">
        <f>D205&amp;-3</f>
        <v>13-3</v>
      </c>
      <c r="L205" s="45">
        <f t="shared" si="549"/>
        <v>0.2</v>
      </c>
      <c r="M205" s="49">
        <f t="shared" si="512"/>
        <v>270</v>
      </c>
      <c r="N205" s="53">
        <f t="shared" ref="N205:Q205" si="557">N204</f>
        <v>30</v>
      </c>
      <c r="O205" s="53">
        <f t="shared" si="557"/>
        <v>150</v>
      </c>
      <c r="P205" s="44">
        <f t="shared" si="557"/>
        <v>750</v>
      </c>
      <c r="Q205" s="45" t="str">
        <f t="shared" si="557"/>
        <v>on</v>
      </c>
    </row>
    <row r="206" spans="1:17" ht="15.75" thickBot="1" x14ac:dyDescent="0.3">
      <c r="A206" s="229">
        <f t="shared" ref="A206:B206" si="558">A205+1</f>
        <v>4589</v>
      </c>
      <c r="B206" s="230">
        <f t="shared" si="558"/>
        <v>196</v>
      </c>
      <c r="C206" s="218" t="str">
        <f t="shared" si="552"/>
        <v>81cC13_000_270#04</v>
      </c>
      <c r="D206" s="43">
        <f t="shared" ref="D206:F206" si="559">D205</f>
        <v>13</v>
      </c>
      <c r="E206" s="61">
        <f t="shared" si="559"/>
        <v>2.149</v>
      </c>
      <c r="F206" s="44">
        <f t="shared" si="559"/>
        <v>16.530769230769231</v>
      </c>
      <c r="G206" s="44">
        <f t="shared" si="374"/>
        <v>13.224615384615385</v>
      </c>
      <c r="H206" s="44">
        <f t="shared" si="375"/>
        <v>8.2653846153846153</v>
      </c>
      <c r="I206" s="44">
        <f t="shared" si="450"/>
        <v>8</v>
      </c>
      <c r="J206" s="45">
        <f t="shared" si="487"/>
        <v>0</v>
      </c>
      <c r="K206" s="37" t="str">
        <f>D206&amp;-4</f>
        <v>13-4</v>
      </c>
      <c r="L206" s="45">
        <f t="shared" si="549"/>
        <v>0.2</v>
      </c>
      <c r="M206" s="49">
        <f t="shared" si="512"/>
        <v>270</v>
      </c>
      <c r="N206" s="53">
        <f t="shared" ref="N206:Q206" si="560">N205</f>
        <v>30</v>
      </c>
      <c r="O206" s="53">
        <f t="shared" si="560"/>
        <v>150</v>
      </c>
      <c r="P206" s="44">
        <f t="shared" si="560"/>
        <v>750</v>
      </c>
      <c r="Q206" s="45" t="str">
        <f t="shared" si="560"/>
        <v>on</v>
      </c>
    </row>
    <row r="207" spans="1:17" ht="15.75" thickBot="1" x14ac:dyDescent="0.3">
      <c r="A207" s="229">
        <f t="shared" ref="A207:B207" si="561">A206+1</f>
        <v>4590</v>
      </c>
      <c r="B207" s="230">
        <f t="shared" si="561"/>
        <v>197</v>
      </c>
      <c r="C207" s="218" t="str">
        <f t="shared" si="552"/>
        <v>81cC13_000_270#05</v>
      </c>
      <c r="D207" s="43">
        <f t="shared" ref="D207:F207" si="562">D206</f>
        <v>13</v>
      </c>
      <c r="E207" s="61">
        <f t="shared" si="562"/>
        <v>2.149</v>
      </c>
      <c r="F207" s="44">
        <f t="shared" si="562"/>
        <v>16.530769230769231</v>
      </c>
      <c r="G207" s="44">
        <f t="shared" si="374"/>
        <v>13.224615384615385</v>
      </c>
      <c r="H207" s="44">
        <f t="shared" si="375"/>
        <v>8.2653846153846153</v>
      </c>
      <c r="I207" s="44">
        <f t="shared" si="450"/>
        <v>8</v>
      </c>
      <c r="J207" s="45">
        <f t="shared" si="487"/>
        <v>0</v>
      </c>
      <c r="K207" s="37" t="str">
        <f>D207&amp;-5</f>
        <v>13-5</v>
      </c>
      <c r="L207" s="45">
        <f t="shared" si="549"/>
        <v>0.2</v>
      </c>
      <c r="M207" s="49">
        <f t="shared" si="512"/>
        <v>270</v>
      </c>
      <c r="N207" s="53">
        <f t="shared" ref="N207:Q207" si="563">N206</f>
        <v>30</v>
      </c>
      <c r="O207" s="53">
        <f t="shared" si="563"/>
        <v>150</v>
      </c>
      <c r="P207" s="44">
        <f t="shared" si="563"/>
        <v>750</v>
      </c>
      <c r="Q207" s="45" t="str">
        <f t="shared" si="563"/>
        <v>on</v>
      </c>
    </row>
    <row r="208" spans="1:17" ht="15.75" thickBot="1" x14ac:dyDescent="0.3">
      <c r="A208" s="229">
        <f t="shared" ref="A208:B208" si="564">A207+1</f>
        <v>4591</v>
      </c>
      <c r="B208" s="230">
        <f t="shared" si="564"/>
        <v>198</v>
      </c>
      <c r="C208" s="218" t="str">
        <f t="shared" si="552"/>
        <v>81cC13_000_270#06</v>
      </c>
      <c r="D208" s="43">
        <f t="shared" ref="D208:F208" si="565">D207</f>
        <v>13</v>
      </c>
      <c r="E208" s="61">
        <f t="shared" si="565"/>
        <v>2.149</v>
      </c>
      <c r="F208" s="44">
        <f t="shared" si="565"/>
        <v>16.530769230769231</v>
      </c>
      <c r="G208" s="44">
        <f t="shared" si="374"/>
        <v>13.224615384615385</v>
      </c>
      <c r="H208" s="44">
        <f t="shared" si="375"/>
        <v>8.2653846153846153</v>
      </c>
      <c r="I208" s="44">
        <f t="shared" si="450"/>
        <v>8</v>
      </c>
      <c r="J208" s="45">
        <f t="shared" si="487"/>
        <v>0</v>
      </c>
      <c r="K208" s="37" t="str">
        <f>D208&amp;-6</f>
        <v>13-6</v>
      </c>
      <c r="L208" s="45">
        <f t="shared" si="549"/>
        <v>0.2</v>
      </c>
      <c r="M208" s="49">
        <f t="shared" si="512"/>
        <v>270</v>
      </c>
      <c r="N208" s="53">
        <f t="shared" ref="N208:Q208" si="566">N207</f>
        <v>30</v>
      </c>
      <c r="O208" s="53">
        <f t="shared" si="566"/>
        <v>150</v>
      </c>
      <c r="P208" s="44">
        <f t="shared" si="566"/>
        <v>750</v>
      </c>
      <c r="Q208" s="45" t="str">
        <f t="shared" si="566"/>
        <v>on</v>
      </c>
    </row>
    <row r="209" spans="1:17" ht="15.75" thickBot="1" x14ac:dyDescent="0.3">
      <c r="A209" s="229">
        <f t="shared" ref="A209:B209" si="567">A208+1</f>
        <v>4592</v>
      </c>
      <c r="B209" s="230">
        <f t="shared" si="567"/>
        <v>199</v>
      </c>
      <c r="C209" s="218" t="str">
        <f t="shared" si="552"/>
        <v>81cD13_000_270#01</v>
      </c>
      <c r="D209" s="43">
        <f t="shared" ref="D209:F209" si="568">D208</f>
        <v>13</v>
      </c>
      <c r="E209" s="61">
        <f t="shared" si="568"/>
        <v>2.149</v>
      </c>
      <c r="F209" s="44">
        <f t="shared" si="568"/>
        <v>16.530769230769231</v>
      </c>
      <c r="G209" s="44">
        <f t="shared" si="374"/>
        <v>13.224615384615385</v>
      </c>
      <c r="H209" s="44">
        <f t="shared" si="375"/>
        <v>8.2653846153846153</v>
      </c>
      <c r="I209" s="44">
        <f t="shared" si="450"/>
        <v>8</v>
      </c>
      <c r="J209" s="45">
        <f t="shared" si="487"/>
        <v>0</v>
      </c>
      <c r="K209" s="37" t="str">
        <f>D209&amp;-1</f>
        <v>13-1</v>
      </c>
      <c r="L209" s="45">
        <f t="shared" si="549"/>
        <v>0.2</v>
      </c>
      <c r="M209" s="49">
        <f t="shared" si="512"/>
        <v>270</v>
      </c>
      <c r="N209" s="53">
        <v>45</v>
      </c>
      <c r="O209" s="53">
        <f t="shared" ref="O209:Q209" si="569">O208</f>
        <v>150</v>
      </c>
      <c r="P209" s="44">
        <f t="shared" si="569"/>
        <v>750</v>
      </c>
      <c r="Q209" s="45" t="str">
        <f t="shared" si="569"/>
        <v>on</v>
      </c>
    </row>
    <row r="210" spans="1:17" ht="15.75" thickBot="1" x14ac:dyDescent="0.3">
      <c r="A210" s="229">
        <f t="shared" ref="A210:B210" si="570">A209+1</f>
        <v>4593</v>
      </c>
      <c r="B210" s="230">
        <f t="shared" si="570"/>
        <v>200</v>
      </c>
      <c r="C210" s="218" t="str">
        <f t="shared" si="552"/>
        <v>81cD13_000_270#02</v>
      </c>
      <c r="D210" s="43">
        <f t="shared" ref="D210:F210" si="571">D209</f>
        <v>13</v>
      </c>
      <c r="E210" s="61">
        <f t="shared" si="571"/>
        <v>2.149</v>
      </c>
      <c r="F210" s="44">
        <f t="shared" si="571"/>
        <v>16.530769230769231</v>
      </c>
      <c r="G210" s="44">
        <f t="shared" si="374"/>
        <v>13.224615384615385</v>
      </c>
      <c r="H210" s="44">
        <f t="shared" si="375"/>
        <v>8.2653846153846153</v>
      </c>
      <c r="I210" s="44">
        <f t="shared" si="450"/>
        <v>8</v>
      </c>
      <c r="J210" s="45">
        <f t="shared" si="487"/>
        <v>0</v>
      </c>
      <c r="K210" s="37" t="str">
        <f>D210&amp;-2</f>
        <v>13-2</v>
      </c>
      <c r="L210" s="45">
        <f t="shared" si="549"/>
        <v>0.2</v>
      </c>
      <c r="M210" s="49">
        <f t="shared" si="512"/>
        <v>270</v>
      </c>
      <c r="N210" s="53">
        <f>N209</f>
        <v>45</v>
      </c>
      <c r="O210" s="53">
        <f t="shared" ref="O210:Q210" si="572">O209</f>
        <v>150</v>
      </c>
      <c r="P210" s="44">
        <f t="shared" si="572"/>
        <v>750</v>
      </c>
      <c r="Q210" s="45" t="str">
        <f t="shared" si="572"/>
        <v>on</v>
      </c>
    </row>
    <row r="211" spans="1:17" ht="15.75" thickBot="1" x14ac:dyDescent="0.3">
      <c r="A211" s="229">
        <f t="shared" ref="A211:B211" si="573">A210+1</f>
        <v>4594</v>
      </c>
      <c r="B211" s="230">
        <f t="shared" si="573"/>
        <v>201</v>
      </c>
      <c r="C211" s="218" t="str">
        <f t="shared" si="552"/>
        <v>81cD13_000_270#03</v>
      </c>
      <c r="D211" s="43">
        <f t="shared" ref="D211:F211" si="574">D210</f>
        <v>13</v>
      </c>
      <c r="E211" s="61">
        <f t="shared" si="574"/>
        <v>2.149</v>
      </c>
      <c r="F211" s="44">
        <f t="shared" si="574"/>
        <v>16.530769230769231</v>
      </c>
      <c r="G211" s="44">
        <f t="shared" ref="G211:G274" si="575">m_ty*F211</f>
        <v>13.224615384615385</v>
      </c>
      <c r="H211" s="44">
        <f t="shared" ref="H211:H274" si="576">m_tz*F211</f>
        <v>8.2653846153846153</v>
      </c>
      <c r="I211" s="44">
        <f t="shared" si="450"/>
        <v>8</v>
      </c>
      <c r="J211" s="45">
        <f t="shared" si="487"/>
        <v>0</v>
      </c>
      <c r="K211" s="37" t="str">
        <f>D211&amp;-3</f>
        <v>13-3</v>
      </c>
      <c r="L211" s="45">
        <f t="shared" si="549"/>
        <v>0.2</v>
      </c>
      <c r="M211" s="49">
        <f t="shared" si="512"/>
        <v>270</v>
      </c>
      <c r="N211" s="53">
        <f t="shared" ref="N211:Q211" si="577">N210</f>
        <v>45</v>
      </c>
      <c r="O211" s="53">
        <f t="shared" si="577"/>
        <v>150</v>
      </c>
      <c r="P211" s="44">
        <f t="shared" si="577"/>
        <v>750</v>
      </c>
      <c r="Q211" s="45" t="str">
        <f t="shared" si="577"/>
        <v>on</v>
      </c>
    </row>
    <row r="212" spans="1:17" ht="15.75" thickBot="1" x14ac:dyDescent="0.3">
      <c r="A212" s="229">
        <f t="shared" ref="A212:B212" si="578">A211+1</f>
        <v>4595</v>
      </c>
      <c r="B212" s="230">
        <f t="shared" si="578"/>
        <v>202</v>
      </c>
      <c r="C212" s="218" t="str">
        <f t="shared" si="552"/>
        <v>81cD13_000_270#04</v>
      </c>
      <c r="D212" s="43">
        <f t="shared" ref="D212:F212" si="579">D211</f>
        <v>13</v>
      </c>
      <c r="E212" s="61">
        <f t="shared" si="579"/>
        <v>2.149</v>
      </c>
      <c r="F212" s="44">
        <f t="shared" si="579"/>
        <v>16.530769230769231</v>
      </c>
      <c r="G212" s="44">
        <f t="shared" si="575"/>
        <v>13.224615384615385</v>
      </c>
      <c r="H212" s="44">
        <f t="shared" si="576"/>
        <v>8.2653846153846153</v>
      </c>
      <c r="I212" s="44">
        <f t="shared" si="450"/>
        <v>8</v>
      </c>
      <c r="J212" s="45">
        <f t="shared" si="487"/>
        <v>0</v>
      </c>
      <c r="K212" s="37" t="str">
        <f>D212&amp;-4</f>
        <v>13-4</v>
      </c>
      <c r="L212" s="45">
        <f t="shared" si="549"/>
        <v>0.2</v>
      </c>
      <c r="M212" s="49">
        <f t="shared" si="512"/>
        <v>270</v>
      </c>
      <c r="N212" s="53">
        <f t="shared" ref="N212:Q212" si="580">N211</f>
        <v>45</v>
      </c>
      <c r="O212" s="53">
        <f t="shared" si="580"/>
        <v>150</v>
      </c>
      <c r="P212" s="44">
        <f t="shared" si="580"/>
        <v>750</v>
      </c>
      <c r="Q212" s="45" t="str">
        <f t="shared" si="580"/>
        <v>on</v>
      </c>
    </row>
    <row r="213" spans="1:17" ht="15.75" thickBot="1" x14ac:dyDescent="0.3">
      <c r="A213" s="229">
        <f t="shared" ref="A213:B213" si="581">A212+1</f>
        <v>4596</v>
      </c>
      <c r="B213" s="230">
        <f t="shared" si="581"/>
        <v>203</v>
      </c>
      <c r="C213" s="218" t="str">
        <f t="shared" si="552"/>
        <v>81cD13_000_270#05</v>
      </c>
      <c r="D213" s="43">
        <f t="shared" ref="D213:F213" si="582">D212</f>
        <v>13</v>
      </c>
      <c r="E213" s="61">
        <f t="shared" si="582"/>
        <v>2.149</v>
      </c>
      <c r="F213" s="44">
        <f t="shared" si="582"/>
        <v>16.530769230769231</v>
      </c>
      <c r="G213" s="44">
        <f t="shared" si="575"/>
        <v>13.224615384615385</v>
      </c>
      <c r="H213" s="44">
        <f t="shared" si="576"/>
        <v>8.2653846153846153</v>
      </c>
      <c r="I213" s="44">
        <f t="shared" si="450"/>
        <v>8</v>
      </c>
      <c r="J213" s="45">
        <f t="shared" si="487"/>
        <v>0</v>
      </c>
      <c r="K213" s="37" t="str">
        <f>D213&amp;-5</f>
        <v>13-5</v>
      </c>
      <c r="L213" s="45">
        <f t="shared" si="549"/>
        <v>0.2</v>
      </c>
      <c r="M213" s="49">
        <f t="shared" si="512"/>
        <v>270</v>
      </c>
      <c r="N213" s="53">
        <f t="shared" ref="N213:Q213" si="583">N212</f>
        <v>45</v>
      </c>
      <c r="O213" s="53">
        <f t="shared" si="583"/>
        <v>150</v>
      </c>
      <c r="P213" s="44">
        <f t="shared" si="583"/>
        <v>750</v>
      </c>
      <c r="Q213" s="45" t="str">
        <f t="shared" si="583"/>
        <v>on</v>
      </c>
    </row>
    <row r="214" spans="1:17" ht="15.75" thickBot="1" x14ac:dyDescent="0.3">
      <c r="A214" s="229">
        <f t="shared" ref="A214:B214" si="584">A213+1</f>
        <v>4597</v>
      </c>
      <c r="B214" s="230">
        <f t="shared" si="584"/>
        <v>204</v>
      </c>
      <c r="C214" s="218" t="str">
        <f t="shared" si="552"/>
        <v>81cD13_000_270#06</v>
      </c>
      <c r="D214" s="43">
        <f t="shared" ref="D214:F214" si="585">D213</f>
        <v>13</v>
      </c>
      <c r="E214" s="61">
        <f t="shared" si="585"/>
        <v>2.149</v>
      </c>
      <c r="F214" s="44">
        <f t="shared" si="585"/>
        <v>16.530769230769231</v>
      </c>
      <c r="G214" s="44">
        <f t="shared" si="575"/>
        <v>13.224615384615385</v>
      </c>
      <c r="H214" s="44">
        <f t="shared" si="576"/>
        <v>8.2653846153846153</v>
      </c>
      <c r="I214" s="44">
        <f t="shared" si="450"/>
        <v>8</v>
      </c>
      <c r="J214" s="45">
        <f t="shared" si="487"/>
        <v>0</v>
      </c>
      <c r="K214" s="37" t="str">
        <f>D214&amp;-6</f>
        <v>13-6</v>
      </c>
      <c r="L214" s="45">
        <f t="shared" si="549"/>
        <v>0.2</v>
      </c>
      <c r="M214" s="49">
        <f t="shared" si="512"/>
        <v>270</v>
      </c>
      <c r="N214" s="53">
        <f t="shared" ref="N214:Q214" si="586">N213</f>
        <v>45</v>
      </c>
      <c r="O214" s="53">
        <f t="shared" si="586"/>
        <v>150</v>
      </c>
      <c r="P214" s="44">
        <f t="shared" si="586"/>
        <v>750</v>
      </c>
      <c r="Q214" s="45" t="str">
        <f t="shared" si="586"/>
        <v>on</v>
      </c>
    </row>
    <row r="215" spans="1:17" ht="15.75" thickBot="1" x14ac:dyDescent="0.3">
      <c r="A215" s="229">
        <f t="shared" ref="A215:B215" si="587">A214+1</f>
        <v>4598</v>
      </c>
      <c r="B215" s="230">
        <f t="shared" si="587"/>
        <v>205</v>
      </c>
      <c r="C215" s="218" t="str">
        <f t="shared" si="552"/>
        <v>81cE13_000_270#01</v>
      </c>
      <c r="D215" s="43">
        <f t="shared" ref="D215:F215" si="588">D214</f>
        <v>13</v>
      </c>
      <c r="E215" s="61">
        <f t="shared" si="588"/>
        <v>2.149</v>
      </c>
      <c r="F215" s="44">
        <f t="shared" si="588"/>
        <v>16.530769230769231</v>
      </c>
      <c r="G215" s="44">
        <f t="shared" si="575"/>
        <v>13.224615384615385</v>
      </c>
      <c r="H215" s="44">
        <f t="shared" si="576"/>
        <v>8.2653846153846153</v>
      </c>
      <c r="I215" s="44">
        <f t="shared" si="450"/>
        <v>8</v>
      </c>
      <c r="J215" s="45">
        <f t="shared" ref="J215:J226" si="589">dlc81c_y2</f>
        <v>0</v>
      </c>
      <c r="K215" s="37" t="str">
        <f>D215&amp;-1</f>
        <v>13-1</v>
      </c>
      <c r="L215" s="45">
        <f t="shared" si="549"/>
        <v>0.2</v>
      </c>
      <c r="M215" s="49">
        <f t="shared" si="512"/>
        <v>270</v>
      </c>
      <c r="N215" s="53">
        <v>60</v>
      </c>
      <c r="O215" s="53">
        <f t="shared" ref="O215:Q215" si="590">O214</f>
        <v>150</v>
      </c>
      <c r="P215" s="44">
        <f t="shared" si="590"/>
        <v>750</v>
      </c>
      <c r="Q215" s="45" t="str">
        <f t="shared" si="590"/>
        <v>on</v>
      </c>
    </row>
    <row r="216" spans="1:17" ht="15.75" thickBot="1" x14ac:dyDescent="0.3">
      <c r="A216" s="229">
        <f t="shared" ref="A216:B216" si="591">A215+1</f>
        <v>4599</v>
      </c>
      <c r="B216" s="230">
        <f t="shared" si="591"/>
        <v>206</v>
      </c>
      <c r="C216" s="218" t="str">
        <f t="shared" si="552"/>
        <v>81cE13_000_270#02</v>
      </c>
      <c r="D216" s="43">
        <f t="shared" ref="D216:F216" si="592">D215</f>
        <v>13</v>
      </c>
      <c r="E216" s="61">
        <f t="shared" si="592"/>
        <v>2.149</v>
      </c>
      <c r="F216" s="44">
        <f t="shared" si="592"/>
        <v>16.530769230769231</v>
      </c>
      <c r="G216" s="44">
        <f t="shared" si="575"/>
        <v>13.224615384615385</v>
      </c>
      <c r="H216" s="44">
        <f t="shared" si="576"/>
        <v>8.2653846153846153</v>
      </c>
      <c r="I216" s="44">
        <f t="shared" si="450"/>
        <v>8</v>
      </c>
      <c r="J216" s="45">
        <f t="shared" si="589"/>
        <v>0</v>
      </c>
      <c r="K216" s="37" t="str">
        <f>D216&amp;-2</f>
        <v>13-2</v>
      </c>
      <c r="L216" s="45">
        <f t="shared" si="549"/>
        <v>0.2</v>
      </c>
      <c r="M216" s="49">
        <f t="shared" si="512"/>
        <v>270</v>
      </c>
      <c r="N216" s="53">
        <f>N215</f>
        <v>60</v>
      </c>
      <c r="O216" s="53">
        <f t="shared" ref="O216:Q216" si="593">O215</f>
        <v>150</v>
      </c>
      <c r="P216" s="44">
        <f t="shared" si="593"/>
        <v>750</v>
      </c>
      <c r="Q216" s="45" t="str">
        <f t="shared" si="593"/>
        <v>on</v>
      </c>
    </row>
    <row r="217" spans="1:17" ht="15.75" thickBot="1" x14ac:dyDescent="0.3">
      <c r="A217" s="229">
        <f t="shared" ref="A217:B217" si="594">A216+1</f>
        <v>4600</v>
      </c>
      <c r="B217" s="230">
        <f t="shared" si="594"/>
        <v>207</v>
      </c>
      <c r="C217" s="218" t="str">
        <f t="shared" si="552"/>
        <v>81cE13_000_270#03</v>
      </c>
      <c r="D217" s="43">
        <f t="shared" ref="D217:F217" si="595">D216</f>
        <v>13</v>
      </c>
      <c r="E217" s="61">
        <f t="shared" si="595"/>
        <v>2.149</v>
      </c>
      <c r="F217" s="44">
        <f t="shared" si="595"/>
        <v>16.530769230769231</v>
      </c>
      <c r="G217" s="44">
        <f t="shared" si="575"/>
        <v>13.224615384615385</v>
      </c>
      <c r="H217" s="44">
        <f t="shared" si="576"/>
        <v>8.2653846153846153</v>
      </c>
      <c r="I217" s="44">
        <f t="shared" si="450"/>
        <v>8</v>
      </c>
      <c r="J217" s="45">
        <f t="shared" si="589"/>
        <v>0</v>
      </c>
      <c r="K217" s="37" t="str">
        <f>D217&amp;-3</f>
        <v>13-3</v>
      </c>
      <c r="L217" s="45">
        <f t="shared" si="549"/>
        <v>0.2</v>
      </c>
      <c r="M217" s="49">
        <f t="shared" si="512"/>
        <v>270</v>
      </c>
      <c r="N217" s="53">
        <f t="shared" ref="N217:Q217" si="596">N216</f>
        <v>60</v>
      </c>
      <c r="O217" s="53">
        <f t="shared" si="596"/>
        <v>150</v>
      </c>
      <c r="P217" s="44">
        <f t="shared" si="596"/>
        <v>750</v>
      </c>
      <c r="Q217" s="45" t="str">
        <f t="shared" si="596"/>
        <v>on</v>
      </c>
    </row>
    <row r="218" spans="1:17" ht="15.75" thickBot="1" x14ac:dyDescent="0.3">
      <c r="A218" s="229">
        <f t="shared" ref="A218:B218" si="597">A217+1</f>
        <v>4601</v>
      </c>
      <c r="B218" s="230">
        <f t="shared" si="597"/>
        <v>208</v>
      </c>
      <c r="C218" s="218" t="str">
        <f t="shared" si="552"/>
        <v>81cE13_000_270#04</v>
      </c>
      <c r="D218" s="43">
        <f t="shared" ref="D218:F218" si="598">D217</f>
        <v>13</v>
      </c>
      <c r="E218" s="61">
        <f t="shared" si="598"/>
        <v>2.149</v>
      </c>
      <c r="F218" s="44">
        <f t="shared" si="598"/>
        <v>16.530769230769231</v>
      </c>
      <c r="G218" s="44">
        <f t="shared" si="575"/>
        <v>13.224615384615385</v>
      </c>
      <c r="H218" s="44">
        <f t="shared" si="576"/>
        <v>8.2653846153846153</v>
      </c>
      <c r="I218" s="44">
        <f t="shared" si="450"/>
        <v>8</v>
      </c>
      <c r="J218" s="45">
        <f t="shared" si="589"/>
        <v>0</v>
      </c>
      <c r="K218" s="37" t="str">
        <f>D218&amp;-4</f>
        <v>13-4</v>
      </c>
      <c r="L218" s="45">
        <f t="shared" si="549"/>
        <v>0.2</v>
      </c>
      <c r="M218" s="49">
        <f t="shared" si="512"/>
        <v>270</v>
      </c>
      <c r="N218" s="53">
        <f t="shared" ref="N218:Q218" si="599">N217</f>
        <v>60</v>
      </c>
      <c r="O218" s="53">
        <f t="shared" si="599"/>
        <v>150</v>
      </c>
      <c r="P218" s="44">
        <f t="shared" si="599"/>
        <v>750</v>
      </c>
      <c r="Q218" s="45" t="str">
        <f t="shared" si="599"/>
        <v>on</v>
      </c>
    </row>
    <row r="219" spans="1:17" ht="15.75" thickBot="1" x14ac:dyDescent="0.3">
      <c r="A219" s="229">
        <f t="shared" ref="A219:B219" si="600">A218+1</f>
        <v>4602</v>
      </c>
      <c r="B219" s="230">
        <f t="shared" si="600"/>
        <v>209</v>
      </c>
      <c r="C219" s="218" t="str">
        <f t="shared" si="552"/>
        <v>81cE13_000_270#05</v>
      </c>
      <c r="D219" s="43">
        <f t="shared" ref="D219:F219" si="601">D218</f>
        <v>13</v>
      </c>
      <c r="E219" s="61">
        <f t="shared" si="601"/>
        <v>2.149</v>
      </c>
      <c r="F219" s="44">
        <f t="shared" si="601"/>
        <v>16.530769230769231</v>
      </c>
      <c r="G219" s="44">
        <f t="shared" si="575"/>
        <v>13.224615384615385</v>
      </c>
      <c r="H219" s="44">
        <f t="shared" si="576"/>
        <v>8.2653846153846153</v>
      </c>
      <c r="I219" s="44">
        <f t="shared" si="450"/>
        <v>8</v>
      </c>
      <c r="J219" s="45">
        <f t="shared" si="589"/>
        <v>0</v>
      </c>
      <c r="K219" s="37" t="str">
        <f>D219&amp;-5</f>
        <v>13-5</v>
      </c>
      <c r="L219" s="45">
        <f t="shared" si="549"/>
        <v>0.2</v>
      </c>
      <c r="M219" s="49">
        <f t="shared" si="512"/>
        <v>270</v>
      </c>
      <c r="N219" s="53">
        <f t="shared" ref="N219:Q219" si="602">N218</f>
        <v>60</v>
      </c>
      <c r="O219" s="53">
        <f t="shared" si="602"/>
        <v>150</v>
      </c>
      <c r="P219" s="44">
        <f t="shared" si="602"/>
        <v>750</v>
      </c>
      <c r="Q219" s="45" t="str">
        <f t="shared" si="602"/>
        <v>on</v>
      </c>
    </row>
    <row r="220" spans="1:17" ht="15.75" thickBot="1" x14ac:dyDescent="0.3">
      <c r="A220" s="229">
        <f t="shared" ref="A220:B220" si="603">A219+1</f>
        <v>4603</v>
      </c>
      <c r="B220" s="230">
        <f t="shared" si="603"/>
        <v>210</v>
      </c>
      <c r="C220" s="218" t="str">
        <f t="shared" si="552"/>
        <v>81cE13_000_270#06</v>
      </c>
      <c r="D220" s="43">
        <f t="shared" ref="D220:F220" si="604">D219</f>
        <v>13</v>
      </c>
      <c r="E220" s="61">
        <f t="shared" si="604"/>
        <v>2.149</v>
      </c>
      <c r="F220" s="44">
        <f t="shared" si="604"/>
        <v>16.530769230769231</v>
      </c>
      <c r="G220" s="44">
        <f t="shared" si="575"/>
        <v>13.224615384615385</v>
      </c>
      <c r="H220" s="44">
        <f t="shared" si="576"/>
        <v>8.2653846153846153</v>
      </c>
      <c r="I220" s="44">
        <f t="shared" si="450"/>
        <v>8</v>
      </c>
      <c r="J220" s="45">
        <f t="shared" si="589"/>
        <v>0</v>
      </c>
      <c r="K220" s="37" t="str">
        <f>D220&amp;-6</f>
        <v>13-6</v>
      </c>
      <c r="L220" s="45">
        <f t="shared" si="549"/>
        <v>0.2</v>
      </c>
      <c r="M220" s="49">
        <f t="shared" si="512"/>
        <v>270</v>
      </c>
      <c r="N220" s="53">
        <f t="shared" ref="N220:Q220" si="605">N219</f>
        <v>60</v>
      </c>
      <c r="O220" s="53">
        <f t="shared" si="605"/>
        <v>150</v>
      </c>
      <c r="P220" s="44">
        <f t="shared" si="605"/>
        <v>750</v>
      </c>
      <c r="Q220" s="45" t="str">
        <f t="shared" si="605"/>
        <v>on</v>
      </c>
    </row>
    <row r="221" spans="1:17" ht="15.75" thickBot="1" x14ac:dyDescent="0.3">
      <c r="A221" s="229">
        <f t="shared" ref="A221:B221" si="606">A220+1</f>
        <v>4604</v>
      </c>
      <c r="B221" s="230">
        <f t="shared" si="606"/>
        <v>211</v>
      </c>
      <c r="C221" s="218" t="str">
        <f t="shared" si="552"/>
        <v>81cF13_000_270#01</v>
      </c>
      <c r="D221" s="43">
        <f t="shared" ref="D221:F221" si="607">D220</f>
        <v>13</v>
      </c>
      <c r="E221" s="61">
        <f t="shared" si="607"/>
        <v>2.149</v>
      </c>
      <c r="F221" s="44">
        <f t="shared" si="607"/>
        <v>16.530769230769231</v>
      </c>
      <c r="G221" s="44">
        <f t="shared" si="575"/>
        <v>13.224615384615385</v>
      </c>
      <c r="H221" s="44">
        <f t="shared" si="576"/>
        <v>8.2653846153846153</v>
      </c>
      <c r="I221" s="44">
        <f t="shared" si="450"/>
        <v>8</v>
      </c>
      <c r="J221" s="45">
        <f t="shared" si="589"/>
        <v>0</v>
      </c>
      <c r="K221" s="37" t="str">
        <f>D221&amp;-1</f>
        <v>13-1</v>
      </c>
      <c r="L221" s="45">
        <f t="shared" si="549"/>
        <v>0.2</v>
      </c>
      <c r="M221" s="49">
        <f t="shared" si="512"/>
        <v>270</v>
      </c>
      <c r="N221" s="53">
        <v>75</v>
      </c>
      <c r="O221" s="53">
        <f t="shared" ref="O221:Q221" si="608">O220</f>
        <v>150</v>
      </c>
      <c r="P221" s="44">
        <f t="shared" si="608"/>
        <v>750</v>
      </c>
      <c r="Q221" s="45" t="str">
        <f t="shared" si="608"/>
        <v>on</v>
      </c>
    </row>
    <row r="222" spans="1:17" ht="15.75" thickBot="1" x14ac:dyDescent="0.3">
      <c r="A222" s="229">
        <f t="shared" ref="A222:B222" si="609">A221+1</f>
        <v>4605</v>
      </c>
      <c r="B222" s="230">
        <f t="shared" si="609"/>
        <v>212</v>
      </c>
      <c r="C222" s="218" t="str">
        <f t="shared" si="552"/>
        <v>81cF13_000_270#02</v>
      </c>
      <c r="D222" s="43">
        <f t="shared" ref="D222:F222" si="610">D221</f>
        <v>13</v>
      </c>
      <c r="E222" s="61">
        <f t="shared" si="610"/>
        <v>2.149</v>
      </c>
      <c r="F222" s="44">
        <f t="shared" si="610"/>
        <v>16.530769230769231</v>
      </c>
      <c r="G222" s="44">
        <f t="shared" si="575"/>
        <v>13.224615384615385</v>
      </c>
      <c r="H222" s="44">
        <f t="shared" si="576"/>
        <v>8.2653846153846153</v>
      </c>
      <c r="I222" s="44">
        <f t="shared" si="450"/>
        <v>8</v>
      </c>
      <c r="J222" s="45">
        <f t="shared" si="589"/>
        <v>0</v>
      </c>
      <c r="K222" s="37" t="str">
        <f>D222&amp;-2</f>
        <v>13-2</v>
      </c>
      <c r="L222" s="45">
        <f t="shared" si="549"/>
        <v>0.2</v>
      </c>
      <c r="M222" s="49">
        <f t="shared" si="512"/>
        <v>270</v>
      </c>
      <c r="N222" s="53">
        <f>N221</f>
        <v>75</v>
      </c>
      <c r="O222" s="53">
        <f t="shared" ref="O222:Q222" si="611">O221</f>
        <v>150</v>
      </c>
      <c r="P222" s="44">
        <f t="shared" si="611"/>
        <v>750</v>
      </c>
      <c r="Q222" s="45" t="str">
        <f t="shared" si="611"/>
        <v>on</v>
      </c>
    </row>
    <row r="223" spans="1:17" ht="15.75" thickBot="1" x14ac:dyDescent="0.3">
      <c r="A223" s="229">
        <f t="shared" ref="A223:B223" si="612">A222+1</f>
        <v>4606</v>
      </c>
      <c r="B223" s="230">
        <f t="shared" si="612"/>
        <v>213</v>
      </c>
      <c r="C223" s="218" t="str">
        <f t="shared" si="552"/>
        <v>81cF13_000_270#03</v>
      </c>
      <c r="D223" s="43">
        <f t="shared" ref="D223:F223" si="613">D222</f>
        <v>13</v>
      </c>
      <c r="E223" s="61">
        <f t="shared" si="613"/>
        <v>2.149</v>
      </c>
      <c r="F223" s="44">
        <f t="shared" si="613"/>
        <v>16.530769230769231</v>
      </c>
      <c r="G223" s="44">
        <f t="shared" si="575"/>
        <v>13.224615384615385</v>
      </c>
      <c r="H223" s="44">
        <f t="shared" si="576"/>
        <v>8.2653846153846153</v>
      </c>
      <c r="I223" s="44">
        <f t="shared" si="450"/>
        <v>8</v>
      </c>
      <c r="J223" s="45">
        <f t="shared" si="589"/>
        <v>0</v>
      </c>
      <c r="K223" s="37" t="str">
        <f>D223&amp;-3</f>
        <v>13-3</v>
      </c>
      <c r="L223" s="45">
        <f t="shared" si="549"/>
        <v>0.2</v>
      </c>
      <c r="M223" s="49">
        <f t="shared" si="512"/>
        <v>270</v>
      </c>
      <c r="N223" s="53">
        <f t="shared" ref="N223:Q223" si="614">N222</f>
        <v>75</v>
      </c>
      <c r="O223" s="53">
        <f t="shared" si="614"/>
        <v>150</v>
      </c>
      <c r="P223" s="44">
        <f t="shared" si="614"/>
        <v>750</v>
      </c>
      <c r="Q223" s="45" t="str">
        <f t="shared" si="614"/>
        <v>on</v>
      </c>
    </row>
    <row r="224" spans="1:17" ht="15.75" thickBot="1" x14ac:dyDescent="0.3">
      <c r="A224" s="229">
        <f t="shared" ref="A224:B224" si="615">A223+1</f>
        <v>4607</v>
      </c>
      <c r="B224" s="230">
        <f t="shared" si="615"/>
        <v>214</v>
      </c>
      <c r="C224" s="218" t="str">
        <f t="shared" si="552"/>
        <v>81cF13_000_270#04</v>
      </c>
      <c r="D224" s="43">
        <f t="shared" ref="D224:F224" si="616">D223</f>
        <v>13</v>
      </c>
      <c r="E224" s="61">
        <f t="shared" si="616"/>
        <v>2.149</v>
      </c>
      <c r="F224" s="44">
        <f t="shared" si="616"/>
        <v>16.530769230769231</v>
      </c>
      <c r="G224" s="44">
        <f t="shared" si="575"/>
        <v>13.224615384615385</v>
      </c>
      <c r="H224" s="44">
        <f t="shared" si="576"/>
        <v>8.2653846153846153</v>
      </c>
      <c r="I224" s="44">
        <f t="shared" si="450"/>
        <v>8</v>
      </c>
      <c r="J224" s="45">
        <f t="shared" si="589"/>
        <v>0</v>
      </c>
      <c r="K224" s="37" t="str">
        <f>D224&amp;-4</f>
        <v>13-4</v>
      </c>
      <c r="L224" s="45">
        <f t="shared" si="549"/>
        <v>0.2</v>
      </c>
      <c r="M224" s="49">
        <f t="shared" si="512"/>
        <v>270</v>
      </c>
      <c r="N224" s="53">
        <f t="shared" ref="N224:Q224" si="617">N223</f>
        <v>75</v>
      </c>
      <c r="O224" s="53">
        <f t="shared" si="617"/>
        <v>150</v>
      </c>
      <c r="P224" s="44">
        <f t="shared" si="617"/>
        <v>750</v>
      </c>
      <c r="Q224" s="45" t="str">
        <f t="shared" si="617"/>
        <v>on</v>
      </c>
    </row>
    <row r="225" spans="1:17" ht="15.75" thickBot="1" x14ac:dyDescent="0.3">
      <c r="A225" s="229">
        <f t="shared" ref="A225:B225" si="618">A224+1</f>
        <v>4608</v>
      </c>
      <c r="B225" s="230">
        <f t="shared" si="618"/>
        <v>215</v>
      </c>
      <c r="C225" s="218" t="str">
        <f t="shared" si="552"/>
        <v>81cF13_000_270#05</v>
      </c>
      <c r="D225" s="43">
        <f t="shared" ref="D225:F225" si="619">D224</f>
        <v>13</v>
      </c>
      <c r="E225" s="61">
        <f t="shared" si="619"/>
        <v>2.149</v>
      </c>
      <c r="F225" s="44">
        <f t="shared" si="619"/>
        <v>16.530769230769231</v>
      </c>
      <c r="G225" s="44">
        <f t="shared" si="575"/>
        <v>13.224615384615385</v>
      </c>
      <c r="H225" s="44">
        <f t="shared" si="576"/>
        <v>8.2653846153846153</v>
      </c>
      <c r="I225" s="44">
        <f t="shared" si="450"/>
        <v>8</v>
      </c>
      <c r="J225" s="45">
        <f t="shared" si="589"/>
        <v>0</v>
      </c>
      <c r="K225" s="37" t="str">
        <f>D225&amp;-5</f>
        <v>13-5</v>
      </c>
      <c r="L225" s="45">
        <f t="shared" si="549"/>
        <v>0.2</v>
      </c>
      <c r="M225" s="49">
        <f t="shared" si="512"/>
        <v>270</v>
      </c>
      <c r="N225" s="53">
        <f t="shared" ref="N225:Q225" si="620">N224</f>
        <v>75</v>
      </c>
      <c r="O225" s="53">
        <f t="shared" si="620"/>
        <v>150</v>
      </c>
      <c r="P225" s="44">
        <f t="shared" si="620"/>
        <v>750</v>
      </c>
      <c r="Q225" s="45" t="str">
        <f t="shared" si="620"/>
        <v>on</v>
      </c>
    </row>
    <row r="226" spans="1:17" ht="15.75" thickBot="1" x14ac:dyDescent="0.3">
      <c r="A226" s="229">
        <f t="shared" ref="A226:B226" si="621">A225+1</f>
        <v>4609</v>
      </c>
      <c r="B226" s="230">
        <f t="shared" si="621"/>
        <v>216</v>
      </c>
      <c r="C226" s="218" t="str">
        <f t="shared" si="552"/>
        <v>81cF13_000_270#06</v>
      </c>
      <c r="D226" s="43">
        <f t="shared" ref="D226:F226" si="622">D225</f>
        <v>13</v>
      </c>
      <c r="E226" s="61">
        <f t="shared" si="622"/>
        <v>2.149</v>
      </c>
      <c r="F226" s="44">
        <f t="shared" si="622"/>
        <v>16.530769230769231</v>
      </c>
      <c r="G226" s="44">
        <f t="shared" si="575"/>
        <v>13.224615384615385</v>
      </c>
      <c r="H226" s="44">
        <f t="shared" si="576"/>
        <v>8.2653846153846153</v>
      </c>
      <c r="I226" s="44">
        <f t="shared" si="450"/>
        <v>8</v>
      </c>
      <c r="J226" s="45">
        <f t="shared" si="589"/>
        <v>0</v>
      </c>
      <c r="K226" s="37" t="str">
        <f>D226&amp;-6</f>
        <v>13-6</v>
      </c>
      <c r="L226" s="45">
        <f t="shared" si="549"/>
        <v>0.2</v>
      </c>
      <c r="M226" s="49">
        <f t="shared" si="512"/>
        <v>270</v>
      </c>
      <c r="N226" s="53">
        <f t="shared" ref="N226:Q226" si="623">N225</f>
        <v>75</v>
      </c>
      <c r="O226" s="53">
        <f t="shared" si="623"/>
        <v>150</v>
      </c>
      <c r="P226" s="44">
        <f t="shared" si="623"/>
        <v>750</v>
      </c>
      <c r="Q226" s="45" t="str">
        <f t="shared" si="623"/>
        <v>on</v>
      </c>
    </row>
    <row r="227" spans="1:17" ht="15.75" thickBot="1" x14ac:dyDescent="0.3">
      <c r="A227" s="229">
        <f t="shared" ref="A227:B227" si="624">A226+1</f>
        <v>4610</v>
      </c>
      <c r="B227" s="230">
        <f t="shared" si="624"/>
        <v>217</v>
      </c>
      <c r="C227" s="218" t="str">
        <f t="shared" si="552"/>
        <v>81cA13_030_090#01</v>
      </c>
      <c r="D227" s="43">
        <f t="shared" ref="D227:F227" si="625">D226</f>
        <v>13</v>
      </c>
      <c r="E227" s="61">
        <f t="shared" si="625"/>
        <v>2.149</v>
      </c>
      <c r="F227" s="44">
        <f t="shared" si="625"/>
        <v>16.530769230769231</v>
      </c>
      <c r="G227" s="44">
        <f t="shared" si="575"/>
        <v>13.224615384615385</v>
      </c>
      <c r="H227" s="44">
        <f t="shared" si="576"/>
        <v>8.2653846153846153</v>
      </c>
      <c r="I227" s="44">
        <f t="shared" si="450"/>
        <v>8</v>
      </c>
      <c r="J227" s="45">
        <f t="shared" ref="J227:J258" si="626">dlc81c_y3</f>
        <v>30</v>
      </c>
      <c r="K227" s="37" t="str">
        <f>D227&amp;-1</f>
        <v>13-1</v>
      </c>
      <c r="L227" s="45">
        <f t="shared" si="549"/>
        <v>0.2</v>
      </c>
      <c r="M227" s="49">
        <f t="shared" ref="M227:M262" si="627">dlc81c_r1</f>
        <v>90</v>
      </c>
      <c r="N227" s="53">
        <v>0</v>
      </c>
      <c r="O227" s="53">
        <f t="shared" ref="O227:Q227" si="628">O226</f>
        <v>150</v>
      </c>
      <c r="P227" s="44">
        <f t="shared" si="628"/>
        <v>750</v>
      </c>
      <c r="Q227" s="45" t="str">
        <f t="shared" si="628"/>
        <v>on</v>
      </c>
    </row>
    <row r="228" spans="1:17" ht="15.75" thickBot="1" x14ac:dyDescent="0.3">
      <c r="A228" s="229">
        <f t="shared" ref="A228:B228" si="629">A227+1</f>
        <v>4611</v>
      </c>
      <c r="B228" s="230">
        <f t="shared" si="629"/>
        <v>218</v>
      </c>
      <c r="C228" s="218" t="str">
        <f t="shared" si="552"/>
        <v>81cA13_030_090#02</v>
      </c>
      <c r="D228" s="43">
        <f t="shared" ref="D228:F228" si="630">D227</f>
        <v>13</v>
      </c>
      <c r="E228" s="61">
        <f t="shared" si="630"/>
        <v>2.149</v>
      </c>
      <c r="F228" s="44">
        <f t="shared" si="630"/>
        <v>16.530769230769231</v>
      </c>
      <c r="G228" s="44">
        <f t="shared" si="575"/>
        <v>13.224615384615385</v>
      </c>
      <c r="H228" s="44">
        <f t="shared" si="576"/>
        <v>8.2653846153846153</v>
      </c>
      <c r="I228" s="44">
        <f t="shared" si="450"/>
        <v>8</v>
      </c>
      <c r="J228" s="45">
        <f t="shared" si="626"/>
        <v>30</v>
      </c>
      <c r="K228" s="37" t="str">
        <f>D228&amp;-2</f>
        <v>13-2</v>
      </c>
      <c r="L228" s="45">
        <f t="shared" si="549"/>
        <v>0.2</v>
      </c>
      <c r="M228" s="49">
        <f t="shared" si="627"/>
        <v>90</v>
      </c>
      <c r="N228" s="53">
        <f>N227</f>
        <v>0</v>
      </c>
      <c r="O228" s="53">
        <f t="shared" ref="O228:Q228" si="631">O227</f>
        <v>150</v>
      </c>
      <c r="P228" s="44">
        <f t="shared" si="631"/>
        <v>750</v>
      </c>
      <c r="Q228" s="45" t="str">
        <f t="shared" si="631"/>
        <v>on</v>
      </c>
    </row>
    <row r="229" spans="1:17" ht="15.75" thickBot="1" x14ac:dyDescent="0.3">
      <c r="A229" s="229">
        <f t="shared" ref="A229:B229" si="632">A228+1</f>
        <v>4612</v>
      </c>
      <c r="B229" s="230">
        <f t="shared" si="632"/>
        <v>219</v>
      </c>
      <c r="C229" s="218" t="str">
        <f t="shared" si="552"/>
        <v>81cA13_030_090#03</v>
      </c>
      <c r="D229" s="43">
        <f t="shared" ref="D229:F229" si="633">D228</f>
        <v>13</v>
      </c>
      <c r="E229" s="61">
        <f t="shared" si="633"/>
        <v>2.149</v>
      </c>
      <c r="F229" s="44">
        <f t="shared" si="633"/>
        <v>16.530769230769231</v>
      </c>
      <c r="G229" s="44">
        <f t="shared" si="575"/>
        <v>13.224615384615385</v>
      </c>
      <c r="H229" s="44">
        <f t="shared" si="576"/>
        <v>8.2653846153846153</v>
      </c>
      <c r="I229" s="44">
        <f t="shared" si="450"/>
        <v>8</v>
      </c>
      <c r="J229" s="45">
        <f t="shared" si="626"/>
        <v>30</v>
      </c>
      <c r="K229" s="37" t="str">
        <f>D229&amp;-3</f>
        <v>13-3</v>
      </c>
      <c r="L229" s="45">
        <f t="shared" si="549"/>
        <v>0.2</v>
      </c>
      <c r="M229" s="49">
        <f t="shared" si="627"/>
        <v>90</v>
      </c>
      <c r="N229" s="53">
        <f t="shared" ref="N229:Q229" si="634">N228</f>
        <v>0</v>
      </c>
      <c r="O229" s="53">
        <f t="shared" si="634"/>
        <v>150</v>
      </c>
      <c r="P229" s="44">
        <f t="shared" si="634"/>
        <v>750</v>
      </c>
      <c r="Q229" s="45" t="str">
        <f t="shared" si="634"/>
        <v>on</v>
      </c>
    </row>
    <row r="230" spans="1:17" ht="15.75" thickBot="1" x14ac:dyDescent="0.3">
      <c r="A230" s="229">
        <f t="shared" ref="A230:B230" si="635">A229+1</f>
        <v>4613</v>
      </c>
      <c r="B230" s="230">
        <f t="shared" si="635"/>
        <v>220</v>
      </c>
      <c r="C230" s="218" t="str">
        <f t="shared" si="552"/>
        <v>81cA13_030_090#04</v>
      </c>
      <c r="D230" s="43">
        <f t="shared" ref="D230:F230" si="636">D229</f>
        <v>13</v>
      </c>
      <c r="E230" s="61">
        <f t="shared" si="636"/>
        <v>2.149</v>
      </c>
      <c r="F230" s="44">
        <f t="shared" si="636"/>
        <v>16.530769230769231</v>
      </c>
      <c r="G230" s="44">
        <f t="shared" si="575"/>
        <v>13.224615384615385</v>
      </c>
      <c r="H230" s="44">
        <f t="shared" si="576"/>
        <v>8.2653846153846153</v>
      </c>
      <c r="I230" s="44">
        <f t="shared" si="450"/>
        <v>8</v>
      </c>
      <c r="J230" s="45">
        <f t="shared" si="626"/>
        <v>30</v>
      </c>
      <c r="K230" s="37" t="str">
        <f>D230&amp;-4</f>
        <v>13-4</v>
      </c>
      <c r="L230" s="45">
        <f t="shared" si="549"/>
        <v>0.2</v>
      </c>
      <c r="M230" s="49">
        <f t="shared" si="627"/>
        <v>90</v>
      </c>
      <c r="N230" s="53">
        <f t="shared" ref="N230:Q230" si="637">N229</f>
        <v>0</v>
      </c>
      <c r="O230" s="53">
        <f t="shared" si="637"/>
        <v>150</v>
      </c>
      <c r="P230" s="44">
        <f t="shared" si="637"/>
        <v>750</v>
      </c>
      <c r="Q230" s="45" t="str">
        <f t="shared" si="637"/>
        <v>on</v>
      </c>
    </row>
    <row r="231" spans="1:17" ht="15.75" thickBot="1" x14ac:dyDescent="0.3">
      <c r="A231" s="229">
        <f t="shared" ref="A231:B231" si="638">A230+1</f>
        <v>4614</v>
      </c>
      <c r="B231" s="230">
        <f t="shared" si="638"/>
        <v>221</v>
      </c>
      <c r="C231" s="218" t="str">
        <f t="shared" si="552"/>
        <v>81cA13_030_090#05</v>
      </c>
      <c r="D231" s="43">
        <f t="shared" ref="D231:F231" si="639">D230</f>
        <v>13</v>
      </c>
      <c r="E231" s="61">
        <f t="shared" si="639"/>
        <v>2.149</v>
      </c>
      <c r="F231" s="44">
        <f t="shared" si="639"/>
        <v>16.530769230769231</v>
      </c>
      <c r="G231" s="44">
        <f t="shared" si="575"/>
        <v>13.224615384615385</v>
      </c>
      <c r="H231" s="44">
        <f t="shared" si="576"/>
        <v>8.2653846153846153</v>
      </c>
      <c r="I231" s="44">
        <f t="shared" si="450"/>
        <v>8</v>
      </c>
      <c r="J231" s="45">
        <f t="shared" si="626"/>
        <v>30</v>
      </c>
      <c r="K231" s="37" t="str">
        <f>D231&amp;-5</f>
        <v>13-5</v>
      </c>
      <c r="L231" s="45">
        <f t="shared" si="549"/>
        <v>0.2</v>
      </c>
      <c r="M231" s="49">
        <f t="shared" si="627"/>
        <v>90</v>
      </c>
      <c r="N231" s="53">
        <f t="shared" ref="N231:Q231" si="640">N230</f>
        <v>0</v>
      </c>
      <c r="O231" s="53">
        <f t="shared" si="640"/>
        <v>150</v>
      </c>
      <c r="P231" s="44">
        <f t="shared" si="640"/>
        <v>750</v>
      </c>
      <c r="Q231" s="45" t="str">
        <f t="shared" si="640"/>
        <v>on</v>
      </c>
    </row>
    <row r="232" spans="1:17" ht="15.75" thickBot="1" x14ac:dyDescent="0.3">
      <c r="A232" s="229">
        <f t="shared" ref="A232:B232" si="641">A231+1</f>
        <v>4615</v>
      </c>
      <c r="B232" s="230">
        <f t="shared" si="641"/>
        <v>222</v>
      </c>
      <c r="C232" s="218" t="str">
        <f t="shared" si="552"/>
        <v>81cA13_030_090#06</v>
      </c>
      <c r="D232" s="43">
        <f t="shared" ref="D232:F232" si="642">D231</f>
        <v>13</v>
      </c>
      <c r="E232" s="61">
        <f t="shared" si="642"/>
        <v>2.149</v>
      </c>
      <c r="F232" s="44">
        <f t="shared" si="642"/>
        <v>16.530769230769231</v>
      </c>
      <c r="G232" s="44">
        <f t="shared" si="575"/>
        <v>13.224615384615385</v>
      </c>
      <c r="H232" s="44">
        <f t="shared" si="576"/>
        <v>8.2653846153846153</v>
      </c>
      <c r="I232" s="44">
        <f t="shared" si="450"/>
        <v>8</v>
      </c>
      <c r="J232" s="45">
        <f t="shared" si="626"/>
        <v>30</v>
      </c>
      <c r="K232" s="37" t="str">
        <f>D232&amp;-6</f>
        <v>13-6</v>
      </c>
      <c r="L232" s="45">
        <f t="shared" si="549"/>
        <v>0.2</v>
      </c>
      <c r="M232" s="49">
        <f t="shared" si="627"/>
        <v>90</v>
      </c>
      <c r="N232" s="53">
        <f t="shared" ref="N232:Q232" si="643">N231</f>
        <v>0</v>
      </c>
      <c r="O232" s="53">
        <f t="shared" si="643"/>
        <v>150</v>
      </c>
      <c r="P232" s="44">
        <f t="shared" si="643"/>
        <v>750</v>
      </c>
      <c r="Q232" s="45" t="str">
        <f t="shared" si="643"/>
        <v>on</v>
      </c>
    </row>
    <row r="233" spans="1:17" ht="15.75" thickBot="1" x14ac:dyDescent="0.3">
      <c r="A233" s="229">
        <f t="shared" ref="A233:B233" si="644">A232+1</f>
        <v>4616</v>
      </c>
      <c r="B233" s="230">
        <f t="shared" si="644"/>
        <v>223</v>
      </c>
      <c r="C233" s="218" t="str">
        <f t="shared" si="552"/>
        <v>81cB13_030_090#01</v>
      </c>
      <c r="D233" s="43">
        <f t="shared" ref="D233:F233" si="645">D232</f>
        <v>13</v>
      </c>
      <c r="E233" s="61">
        <f t="shared" si="645"/>
        <v>2.149</v>
      </c>
      <c r="F233" s="44">
        <f t="shared" si="645"/>
        <v>16.530769230769231</v>
      </c>
      <c r="G233" s="44">
        <f t="shared" si="575"/>
        <v>13.224615384615385</v>
      </c>
      <c r="H233" s="44">
        <f t="shared" si="576"/>
        <v>8.2653846153846153</v>
      </c>
      <c r="I233" s="44">
        <f t="shared" si="450"/>
        <v>8</v>
      </c>
      <c r="J233" s="45">
        <f t="shared" si="626"/>
        <v>30</v>
      </c>
      <c r="K233" s="37" t="str">
        <f>D233&amp;-1</f>
        <v>13-1</v>
      </c>
      <c r="L233" s="45">
        <f t="shared" si="549"/>
        <v>0.2</v>
      </c>
      <c r="M233" s="49">
        <f t="shared" si="627"/>
        <v>90</v>
      </c>
      <c r="N233" s="53">
        <v>15</v>
      </c>
      <c r="O233" s="53">
        <f t="shared" ref="O233:Q233" si="646">O232</f>
        <v>150</v>
      </c>
      <c r="P233" s="44">
        <f t="shared" si="646"/>
        <v>750</v>
      </c>
      <c r="Q233" s="45" t="str">
        <f t="shared" si="646"/>
        <v>on</v>
      </c>
    </row>
    <row r="234" spans="1:17" ht="15.75" thickBot="1" x14ac:dyDescent="0.3">
      <c r="A234" s="229">
        <f t="shared" ref="A234:B234" si="647">A233+1</f>
        <v>4617</v>
      </c>
      <c r="B234" s="230">
        <f t="shared" si="647"/>
        <v>224</v>
      </c>
      <c r="C234" s="218" t="str">
        <f t="shared" si="552"/>
        <v>81cB13_030_090#02</v>
      </c>
      <c r="D234" s="43">
        <f t="shared" ref="D234:F234" si="648">D233</f>
        <v>13</v>
      </c>
      <c r="E234" s="61">
        <f t="shared" si="648"/>
        <v>2.149</v>
      </c>
      <c r="F234" s="44">
        <f t="shared" si="648"/>
        <v>16.530769230769231</v>
      </c>
      <c r="G234" s="44">
        <f t="shared" si="575"/>
        <v>13.224615384615385</v>
      </c>
      <c r="H234" s="44">
        <f t="shared" si="576"/>
        <v>8.2653846153846153</v>
      </c>
      <c r="I234" s="44">
        <f t="shared" si="450"/>
        <v>8</v>
      </c>
      <c r="J234" s="45">
        <f t="shared" si="626"/>
        <v>30</v>
      </c>
      <c r="K234" s="37" t="str">
        <f>D234&amp;-2</f>
        <v>13-2</v>
      </c>
      <c r="L234" s="45">
        <f t="shared" si="549"/>
        <v>0.2</v>
      </c>
      <c r="M234" s="49">
        <f t="shared" si="627"/>
        <v>90</v>
      </c>
      <c r="N234" s="53">
        <f>N233</f>
        <v>15</v>
      </c>
      <c r="O234" s="53">
        <f t="shared" ref="O234:Q234" si="649">O233</f>
        <v>150</v>
      </c>
      <c r="P234" s="44">
        <f t="shared" si="649"/>
        <v>750</v>
      </c>
      <c r="Q234" s="45" t="str">
        <f t="shared" si="649"/>
        <v>on</v>
      </c>
    </row>
    <row r="235" spans="1:17" ht="15.75" thickBot="1" x14ac:dyDescent="0.3">
      <c r="A235" s="229">
        <f t="shared" ref="A235:B235" si="650">A234+1</f>
        <v>4618</v>
      </c>
      <c r="B235" s="230">
        <f t="shared" si="650"/>
        <v>225</v>
      </c>
      <c r="C235" s="218" t="str">
        <f t="shared" si="552"/>
        <v>81cB13_030_090#03</v>
      </c>
      <c r="D235" s="43">
        <f t="shared" ref="D235:F235" si="651">D234</f>
        <v>13</v>
      </c>
      <c r="E235" s="61">
        <f t="shared" si="651"/>
        <v>2.149</v>
      </c>
      <c r="F235" s="44">
        <f t="shared" si="651"/>
        <v>16.530769230769231</v>
      </c>
      <c r="G235" s="44">
        <f t="shared" si="575"/>
        <v>13.224615384615385</v>
      </c>
      <c r="H235" s="44">
        <f t="shared" si="576"/>
        <v>8.2653846153846153</v>
      </c>
      <c r="I235" s="44">
        <f t="shared" ref="I235:I298" si="652">inflow</f>
        <v>8</v>
      </c>
      <c r="J235" s="45">
        <f t="shared" si="626"/>
        <v>30</v>
      </c>
      <c r="K235" s="37" t="str">
        <f>D235&amp;-3</f>
        <v>13-3</v>
      </c>
      <c r="L235" s="45">
        <f t="shared" si="549"/>
        <v>0.2</v>
      </c>
      <c r="M235" s="49">
        <f t="shared" si="627"/>
        <v>90</v>
      </c>
      <c r="N235" s="53">
        <f t="shared" ref="N235:Q235" si="653">N234</f>
        <v>15</v>
      </c>
      <c r="O235" s="53">
        <f t="shared" si="653"/>
        <v>150</v>
      </c>
      <c r="P235" s="44">
        <f t="shared" si="653"/>
        <v>750</v>
      </c>
      <c r="Q235" s="45" t="str">
        <f t="shared" si="653"/>
        <v>on</v>
      </c>
    </row>
    <row r="236" spans="1:17" ht="15.75" thickBot="1" x14ac:dyDescent="0.3">
      <c r="A236" s="229">
        <f t="shared" ref="A236:B236" si="654">A235+1</f>
        <v>4619</v>
      </c>
      <c r="B236" s="230">
        <f t="shared" si="654"/>
        <v>226</v>
      </c>
      <c r="C236" s="218" t="str">
        <f t="shared" si="552"/>
        <v>81cB13_030_090#04</v>
      </c>
      <c r="D236" s="43">
        <f t="shared" ref="D236:F236" si="655">D235</f>
        <v>13</v>
      </c>
      <c r="E236" s="61">
        <f t="shared" si="655"/>
        <v>2.149</v>
      </c>
      <c r="F236" s="44">
        <f t="shared" si="655"/>
        <v>16.530769230769231</v>
      </c>
      <c r="G236" s="44">
        <f t="shared" si="575"/>
        <v>13.224615384615385</v>
      </c>
      <c r="H236" s="44">
        <f t="shared" si="576"/>
        <v>8.2653846153846153</v>
      </c>
      <c r="I236" s="44">
        <f t="shared" si="652"/>
        <v>8</v>
      </c>
      <c r="J236" s="45">
        <f t="shared" si="626"/>
        <v>30</v>
      </c>
      <c r="K236" s="37" t="str">
        <f>D236&amp;-4</f>
        <v>13-4</v>
      </c>
      <c r="L236" s="45">
        <f t="shared" si="549"/>
        <v>0.2</v>
      </c>
      <c r="M236" s="49">
        <f t="shared" si="627"/>
        <v>90</v>
      </c>
      <c r="N236" s="53">
        <f t="shared" ref="N236:Q236" si="656">N235</f>
        <v>15</v>
      </c>
      <c r="O236" s="53">
        <f t="shared" si="656"/>
        <v>150</v>
      </c>
      <c r="P236" s="44">
        <f t="shared" si="656"/>
        <v>750</v>
      </c>
      <c r="Q236" s="45" t="str">
        <f t="shared" si="656"/>
        <v>on</v>
      </c>
    </row>
    <row r="237" spans="1:17" ht="15.75" thickBot="1" x14ac:dyDescent="0.3">
      <c r="A237" s="229">
        <f t="shared" ref="A237:B237" si="657">A236+1</f>
        <v>4620</v>
      </c>
      <c r="B237" s="230">
        <f t="shared" si="657"/>
        <v>227</v>
      </c>
      <c r="C237" s="218" t="str">
        <f t="shared" si="552"/>
        <v>81cB13_030_090#05</v>
      </c>
      <c r="D237" s="43">
        <f t="shared" ref="D237:F237" si="658">D236</f>
        <v>13</v>
      </c>
      <c r="E237" s="61">
        <f t="shared" si="658"/>
        <v>2.149</v>
      </c>
      <c r="F237" s="44">
        <f t="shared" si="658"/>
        <v>16.530769230769231</v>
      </c>
      <c r="G237" s="44">
        <f t="shared" si="575"/>
        <v>13.224615384615385</v>
      </c>
      <c r="H237" s="44">
        <f t="shared" si="576"/>
        <v>8.2653846153846153</v>
      </c>
      <c r="I237" s="44">
        <f t="shared" si="652"/>
        <v>8</v>
      </c>
      <c r="J237" s="45">
        <f t="shared" si="626"/>
        <v>30</v>
      </c>
      <c r="K237" s="37" t="str">
        <f>D237&amp;-5</f>
        <v>13-5</v>
      </c>
      <c r="L237" s="45">
        <f t="shared" si="549"/>
        <v>0.2</v>
      </c>
      <c r="M237" s="49">
        <f t="shared" si="627"/>
        <v>90</v>
      </c>
      <c r="N237" s="53">
        <f t="shared" ref="N237:Q237" si="659">N236</f>
        <v>15</v>
      </c>
      <c r="O237" s="53">
        <f t="shared" si="659"/>
        <v>150</v>
      </c>
      <c r="P237" s="44">
        <f t="shared" si="659"/>
        <v>750</v>
      </c>
      <c r="Q237" s="45" t="str">
        <f t="shared" si="659"/>
        <v>on</v>
      </c>
    </row>
    <row r="238" spans="1:17" ht="15.75" thickBot="1" x14ac:dyDescent="0.3">
      <c r="A238" s="229">
        <f t="shared" ref="A238:B238" si="660">A237+1</f>
        <v>4621</v>
      </c>
      <c r="B238" s="230">
        <f t="shared" si="660"/>
        <v>228</v>
      </c>
      <c r="C238" s="218" t="str">
        <f t="shared" si="552"/>
        <v>81cB13_030_090#06</v>
      </c>
      <c r="D238" s="43">
        <f t="shared" ref="D238:F238" si="661">D237</f>
        <v>13</v>
      </c>
      <c r="E238" s="61">
        <f t="shared" si="661"/>
        <v>2.149</v>
      </c>
      <c r="F238" s="44">
        <f t="shared" si="661"/>
        <v>16.530769230769231</v>
      </c>
      <c r="G238" s="44">
        <f t="shared" si="575"/>
        <v>13.224615384615385</v>
      </c>
      <c r="H238" s="44">
        <f t="shared" si="576"/>
        <v>8.2653846153846153</v>
      </c>
      <c r="I238" s="44">
        <f t="shared" si="652"/>
        <v>8</v>
      </c>
      <c r="J238" s="45">
        <f t="shared" si="626"/>
        <v>30</v>
      </c>
      <c r="K238" s="37" t="str">
        <f>D238&amp;-6</f>
        <v>13-6</v>
      </c>
      <c r="L238" s="45">
        <f t="shared" si="549"/>
        <v>0.2</v>
      </c>
      <c r="M238" s="49">
        <f t="shared" si="627"/>
        <v>90</v>
      </c>
      <c r="N238" s="53">
        <f t="shared" ref="N238:Q238" si="662">N237</f>
        <v>15</v>
      </c>
      <c r="O238" s="53">
        <f t="shared" si="662"/>
        <v>150</v>
      </c>
      <c r="P238" s="44">
        <f t="shared" si="662"/>
        <v>750</v>
      </c>
      <c r="Q238" s="45" t="str">
        <f t="shared" si="662"/>
        <v>on</v>
      </c>
    </row>
    <row r="239" spans="1:17" ht="15.75" thickBot="1" x14ac:dyDescent="0.3">
      <c r="A239" s="229">
        <f t="shared" ref="A239:B239" si="663">A238+1</f>
        <v>4622</v>
      </c>
      <c r="B239" s="230">
        <f t="shared" si="663"/>
        <v>229</v>
      </c>
      <c r="C239" s="218" t="str">
        <f t="shared" si="552"/>
        <v>81cC13_030_090#01</v>
      </c>
      <c r="D239" s="43">
        <f t="shared" ref="D239:F239" si="664">D238</f>
        <v>13</v>
      </c>
      <c r="E239" s="61">
        <f t="shared" si="664"/>
        <v>2.149</v>
      </c>
      <c r="F239" s="44">
        <f t="shared" si="664"/>
        <v>16.530769230769231</v>
      </c>
      <c r="G239" s="44">
        <f t="shared" si="575"/>
        <v>13.224615384615385</v>
      </c>
      <c r="H239" s="44">
        <f t="shared" si="576"/>
        <v>8.2653846153846153</v>
      </c>
      <c r="I239" s="44">
        <f t="shared" si="652"/>
        <v>8</v>
      </c>
      <c r="J239" s="45">
        <f t="shared" si="626"/>
        <v>30</v>
      </c>
      <c r="K239" s="37" t="str">
        <f>D239&amp;-1</f>
        <v>13-1</v>
      </c>
      <c r="L239" s="45">
        <f t="shared" si="549"/>
        <v>0.2</v>
      </c>
      <c r="M239" s="49">
        <f t="shared" si="627"/>
        <v>90</v>
      </c>
      <c r="N239" s="53">
        <v>30</v>
      </c>
      <c r="O239" s="53">
        <f t="shared" ref="O239:Q239" si="665">O238</f>
        <v>150</v>
      </c>
      <c r="P239" s="44">
        <f t="shared" si="665"/>
        <v>750</v>
      </c>
      <c r="Q239" s="45" t="str">
        <f t="shared" si="665"/>
        <v>on</v>
      </c>
    </row>
    <row r="240" spans="1:17" ht="15.75" thickBot="1" x14ac:dyDescent="0.3">
      <c r="A240" s="229">
        <f t="shared" ref="A240:B240" si="666">A239+1</f>
        <v>4623</v>
      </c>
      <c r="B240" s="230">
        <f t="shared" si="666"/>
        <v>230</v>
      </c>
      <c r="C240" s="218" t="str">
        <f t="shared" si="552"/>
        <v>81cC13_030_090#02</v>
      </c>
      <c r="D240" s="43">
        <f t="shared" ref="D240:F240" si="667">D239</f>
        <v>13</v>
      </c>
      <c r="E240" s="61">
        <f t="shared" si="667"/>
        <v>2.149</v>
      </c>
      <c r="F240" s="44">
        <f t="shared" si="667"/>
        <v>16.530769230769231</v>
      </c>
      <c r="G240" s="44">
        <f t="shared" si="575"/>
        <v>13.224615384615385</v>
      </c>
      <c r="H240" s="44">
        <f t="shared" si="576"/>
        <v>8.2653846153846153</v>
      </c>
      <c r="I240" s="44">
        <f t="shared" si="652"/>
        <v>8</v>
      </c>
      <c r="J240" s="45">
        <f t="shared" si="626"/>
        <v>30</v>
      </c>
      <c r="K240" s="37" t="str">
        <f>D240&amp;-2</f>
        <v>13-2</v>
      </c>
      <c r="L240" s="45">
        <f t="shared" si="549"/>
        <v>0.2</v>
      </c>
      <c r="M240" s="49">
        <f t="shared" si="627"/>
        <v>90</v>
      </c>
      <c r="N240" s="53">
        <f>N239</f>
        <v>30</v>
      </c>
      <c r="O240" s="53">
        <f t="shared" ref="O240:Q240" si="668">O239</f>
        <v>150</v>
      </c>
      <c r="P240" s="44">
        <f t="shared" si="668"/>
        <v>750</v>
      </c>
      <c r="Q240" s="45" t="str">
        <f t="shared" si="668"/>
        <v>on</v>
      </c>
    </row>
    <row r="241" spans="1:17" ht="15.75" thickBot="1" x14ac:dyDescent="0.3">
      <c r="A241" s="229">
        <f t="shared" ref="A241:B241" si="669">A240+1</f>
        <v>4624</v>
      </c>
      <c r="B241" s="230">
        <f t="shared" si="669"/>
        <v>231</v>
      </c>
      <c r="C241" s="218" t="str">
        <f t="shared" si="552"/>
        <v>81cC13_030_090#03</v>
      </c>
      <c r="D241" s="43">
        <f t="shared" ref="D241:F241" si="670">D240</f>
        <v>13</v>
      </c>
      <c r="E241" s="61">
        <f t="shared" si="670"/>
        <v>2.149</v>
      </c>
      <c r="F241" s="44">
        <f t="shared" si="670"/>
        <v>16.530769230769231</v>
      </c>
      <c r="G241" s="44">
        <f t="shared" si="575"/>
        <v>13.224615384615385</v>
      </c>
      <c r="H241" s="44">
        <f t="shared" si="576"/>
        <v>8.2653846153846153</v>
      </c>
      <c r="I241" s="44">
        <f t="shared" si="652"/>
        <v>8</v>
      </c>
      <c r="J241" s="45">
        <f t="shared" si="626"/>
        <v>30</v>
      </c>
      <c r="K241" s="37" t="str">
        <f>D241&amp;-3</f>
        <v>13-3</v>
      </c>
      <c r="L241" s="45">
        <f t="shared" si="549"/>
        <v>0.2</v>
      </c>
      <c r="M241" s="49">
        <f t="shared" si="627"/>
        <v>90</v>
      </c>
      <c r="N241" s="53">
        <f t="shared" ref="N241:Q241" si="671">N240</f>
        <v>30</v>
      </c>
      <c r="O241" s="53">
        <f t="shared" si="671"/>
        <v>150</v>
      </c>
      <c r="P241" s="44">
        <f t="shared" si="671"/>
        <v>750</v>
      </c>
      <c r="Q241" s="45" t="str">
        <f t="shared" si="671"/>
        <v>on</v>
      </c>
    </row>
    <row r="242" spans="1:17" ht="15.75" thickBot="1" x14ac:dyDescent="0.3">
      <c r="A242" s="229">
        <f t="shared" ref="A242:B242" si="672">A241+1</f>
        <v>4625</v>
      </c>
      <c r="B242" s="230">
        <f t="shared" si="672"/>
        <v>232</v>
      </c>
      <c r="C242" s="218" t="str">
        <f t="shared" si="552"/>
        <v>81cC13_030_090#04</v>
      </c>
      <c r="D242" s="43">
        <f t="shared" ref="D242:F242" si="673">D241</f>
        <v>13</v>
      </c>
      <c r="E242" s="61">
        <f t="shared" si="673"/>
        <v>2.149</v>
      </c>
      <c r="F242" s="44">
        <f t="shared" si="673"/>
        <v>16.530769230769231</v>
      </c>
      <c r="G242" s="44">
        <f t="shared" si="575"/>
        <v>13.224615384615385</v>
      </c>
      <c r="H242" s="44">
        <f t="shared" si="576"/>
        <v>8.2653846153846153</v>
      </c>
      <c r="I242" s="44">
        <f t="shared" si="652"/>
        <v>8</v>
      </c>
      <c r="J242" s="45">
        <f t="shared" si="626"/>
        <v>30</v>
      </c>
      <c r="K242" s="37" t="str">
        <f>D242&amp;-4</f>
        <v>13-4</v>
      </c>
      <c r="L242" s="45">
        <f t="shared" si="549"/>
        <v>0.2</v>
      </c>
      <c r="M242" s="49">
        <f t="shared" si="627"/>
        <v>90</v>
      </c>
      <c r="N242" s="53">
        <f t="shared" ref="N242:Q242" si="674">N241</f>
        <v>30</v>
      </c>
      <c r="O242" s="53">
        <f t="shared" si="674"/>
        <v>150</v>
      </c>
      <c r="P242" s="44">
        <f t="shared" si="674"/>
        <v>750</v>
      </c>
      <c r="Q242" s="45" t="str">
        <f t="shared" si="674"/>
        <v>on</v>
      </c>
    </row>
    <row r="243" spans="1:17" ht="15.75" thickBot="1" x14ac:dyDescent="0.3">
      <c r="A243" s="229">
        <f t="shared" ref="A243:B243" si="675">A242+1</f>
        <v>4626</v>
      </c>
      <c r="B243" s="230">
        <f t="shared" si="675"/>
        <v>233</v>
      </c>
      <c r="C243" s="218" t="str">
        <f t="shared" si="552"/>
        <v>81cC13_030_090#05</v>
      </c>
      <c r="D243" s="43">
        <f t="shared" ref="D243:F243" si="676">D242</f>
        <v>13</v>
      </c>
      <c r="E243" s="61">
        <f t="shared" si="676"/>
        <v>2.149</v>
      </c>
      <c r="F243" s="44">
        <f t="shared" si="676"/>
        <v>16.530769230769231</v>
      </c>
      <c r="G243" s="44">
        <f t="shared" si="575"/>
        <v>13.224615384615385</v>
      </c>
      <c r="H243" s="44">
        <f t="shared" si="576"/>
        <v>8.2653846153846153</v>
      </c>
      <c r="I243" s="44">
        <f t="shared" si="652"/>
        <v>8</v>
      </c>
      <c r="J243" s="45">
        <f t="shared" si="626"/>
        <v>30</v>
      </c>
      <c r="K243" s="37" t="str">
        <f>D243&amp;-5</f>
        <v>13-5</v>
      </c>
      <c r="L243" s="45">
        <f t="shared" si="549"/>
        <v>0.2</v>
      </c>
      <c r="M243" s="49">
        <f t="shared" si="627"/>
        <v>90</v>
      </c>
      <c r="N243" s="53">
        <f t="shared" ref="N243:Q243" si="677">N242</f>
        <v>30</v>
      </c>
      <c r="O243" s="53">
        <f t="shared" si="677"/>
        <v>150</v>
      </c>
      <c r="P243" s="44">
        <f t="shared" si="677"/>
        <v>750</v>
      </c>
      <c r="Q243" s="45" t="str">
        <f t="shared" si="677"/>
        <v>on</v>
      </c>
    </row>
    <row r="244" spans="1:17" ht="15.75" thickBot="1" x14ac:dyDescent="0.3">
      <c r="A244" s="229">
        <f t="shared" ref="A244:B244" si="678">A243+1</f>
        <v>4627</v>
      </c>
      <c r="B244" s="230">
        <f t="shared" si="678"/>
        <v>234</v>
      </c>
      <c r="C244" s="218" t="str">
        <f t="shared" si="552"/>
        <v>81cC13_030_090#06</v>
      </c>
      <c r="D244" s="43">
        <f t="shared" ref="D244:F244" si="679">D243</f>
        <v>13</v>
      </c>
      <c r="E244" s="61">
        <f t="shared" si="679"/>
        <v>2.149</v>
      </c>
      <c r="F244" s="44">
        <f t="shared" si="679"/>
        <v>16.530769230769231</v>
      </c>
      <c r="G244" s="44">
        <f t="shared" si="575"/>
        <v>13.224615384615385</v>
      </c>
      <c r="H244" s="44">
        <f t="shared" si="576"/>
        <v>8.2653846153846153</v>
      </c>
      <c r="I244" s="44">
        <f t="shared" si="652"/>
        <v>8</v>
      </c>
      <c r="J244" s="45">
        <f t="shared" si="626"/>
        <v>30</v>
      </c>
      <c r="K244" s="37" t="str">
        <f>D244&amp;-6</f>
        <v>13-6</v>
      </c>
      <c r="L244" s="45">
        <f t="shared" si="549"/>
        <v>0.2</v>
      </c>
      <c r="M244" s="49">
        <f t="shared" si="627"/>
        <v>90</v>
      </c>
      <c r="N244" s="53">
        <f t="shared" ref="N244:Q244" si="680">N243</f>
        <v>30</v>
      </c>
      <c r="O244" s="53">
        <f t="shared" si="680"/>
        <v>150</v>
      </c>
      <c r="P244" s="44">
        <f t="shared" si="680"/>
        <v>750</v>
      </c>
      <c r="Q244" s="45" t="str">
        <f t="shared" si="680"/>
        <v>on</v>
      </c>
    </row>
    <row r="245" spans="1:17" ht="15.75" thickBot="1" x14ac:dyDescent="0.3">
      <c r="A245" s="229">
        <f t="shared" ref="A245:B245" si="681">A244+1</f>
        <v>4628</v>
      </c>
      <c r="B245" s="230">
        <f t="shared" si="681"/>
        <v>235</v>
      </c>
      <c r="C245" s="218" t="str">
        <f t="shared" si="552"/>
        <v>81cD13_030_090#01</v>
      </c>
      <c r="D245" s="43">
        <f t="shared" ref="D245:F245" si="682">D244</f>
        <v>13</v>
      </c>
      <c r="E245" s="61">
        <f t="shared" si="682"/>
        <v>2.149</v>
      </c>
      <c r="F245" s="44">
        <f t="shared" si="682"/>
        <v>16.530769230769231</v>
      </c>
      <c r="G245" s="44">
        <f t="shared" si="575"/>
        <v>13.224615384615385</v>
      </c>
      <c r="H245" s="44">
        <f t="shared" si="576"/>
        <v>8.2653846153846153</v>
      </c>
      <c r="I245" s="44">
        <f t="shared" si="652"/>
        <v>8</v>
      </c>
      <c r="J245" s="45">
        <f t="shared" si="626"/>
        <v>30</v>
      </c>
      <c r="K245" s="37" t="str">
        <f>D245&amp;-1</f>
        <v>13-1</v>
      </c>
      <c r="L245" s="45">
        <f t="shared" si="549"/>
        <v>0.2</v>
      </c>
      <c r="M245" s="49">
        <f t="shared" si="627"/>
        <v>90</v>
      </c>
      <c r="N245" s="53">
        <v>45</v>
      </c>
      <c r="O245" s="53">
        <f t="shared" ref="O245:Q245" si="683">O244</f>
        <v>150</v>
      </c>
      <c r="P245" s="44">
        <f t="shared" si="683"/>
        <v>750</v>
      </c>
      <c r="Q245" s="45" t="str">
        <f t="shared" si="683"/>
        <v>on</v>
      </c>
    </row>
    <row r="246" spans="1:17" ht="15.75" thickBot="1" x14ac:dyDescent="0.3">
      <c r="A246" s="229">
        <f t="shared" ref="A246:B246" si="684">A245+1</f>
        <v>4629</v>
      </c>
      <c r="B246" s="230">
        <f t="shared" si="684"/>
        <v>236</v>
      </c>
      <c r="C246" s="218" t="str">
        <f t="shared" si="552"/>
        <v>81cD13_030_090#02</v>
      </c>
      <c r="D246" s="43">
        <f t="shared" ref="D246:F246" si="685">D245</f>
        <v>13</v>
      </c>
      <c r="E246" s="61">
        <f t="shared" si="685"/>
        <v>2.149</v>
      </c>
      <c r="F246" s="44">
        <f t="shared" si="685"/>
        <v>16.530769230769231</v>
      </c>
      <c r="G246" s="44">
        <f t="shared" si="575"/>
        <v>13.224615384615385</v>
      </c>
      <c r="H246" s="44">
        <f t="shared" si="576"/>
        <v>8.2653846153846153</v>
      </c>
      <c r="I246" s="44">
        <f t="shared" si="652"/>
        <v>8</v>
      </c>
      <c r="J246" s="45">
        <f t="shared" si="626"/>
        <v>30</v>
      </c>
      <c r="K246" s="37" t="str">
        <f>D246&amp;-2</f>
        <v>13-2</v>
      </c>
      <c r="L246" s="45">
        <f t="shared" si="549"/>
        <v>0.2</v>
      </c>
      <c r="M246" s="49">
        <f t="shared" si="627"/>
        <v>90</v>
      </c>
      <c r="N246" s="53">
        <f>N245</f>
        <v>45</v>
      </c>
      <c r="O246" s="53">
        <f t="shared" ref="O246:Q246" si="686">O245</f>
        <v>150</v>
      </c>
      <c r="P246" s="44">
        <f t="shared" si="686"/>
        <v>750</v>
      </c>
      <c r="Q246" s="45" t="str">
        <f t="shared" si="686"/>
        <v>on</v>
      </c>
    </row>
    <row r="247" spans="1:17" ht="15.75" thickBot="1" x14ac:dyDescent="0.3">
      <c r="A247" s="229">
        <f t="shared" ref="A247:B247" si="687">A246+1</f>
        <v>4630</v>
      </c>
      <c r="B247" s="230">
        <f t="shared" si="687"/>
        <v>237</v>
      </c>
      <c r="C247" s="218" t="str">
        <f t="shared" si="552"/>
        <v>81cD13_030_090#03</v>
      </c>
      <c r="D247" s="43">
        <f t="shared" ref="D247:F247" si="688">D246</f>
        <v>13</v>
      </c>
      <c r="E247" s="61">
        <f t="shared" si="688"/>
        <v>2.149</v>
      </c>
      <c r="F247" s="44">
        <f t="shared" si="688"/>
        <v>16.530769230769231</v>
      </c>
      <c r="G247" s="44">
        <f t="shared" si="575"/>
        <v>13.224615384615385</v>
      </c>
      <c r="H247" s="44">
        <f t="shared" si="576"/>
        <v>8.2653846153846153</v>
      </c>
      <c r="I247" s="44">
        <f t="shared" si="652"/>
        <v>8</v>
      </c>
      <c r="J247" s="45">
        <f t="shared" si="626"/>
        <v>30</v>
      </c>
      <c r="K247" s="37" t="str">
        <f>D247&amp;-3</f>
        <v>13-3</v>
      </c>
      <c r="L247" s="45">
        <f t="shared" si="549"/>
        <v>0.2</v>
      </c>
      <c r="M247" s="49">
        <f t="shared" si="627"/>
        <v>90</v>
      </c>
      <c r="N247" s="53">
        <f t="shared" ref="N247:Q247" si="689">N246</f>
        <v>45</v>
      </c>
      <c r="O247" s="53">
        <f t="shared" si="689"/>
        <v>150</v>
      </c>
      <c r="P247" s="44">
        <f t="shared" si="689"/>
        <v>750</v>
      </c>
      <c r="Q247" s="45" t="str">
        <f t="shared" si="689"/>
        <v>on</v>
      </c>
    </row>
    <row r="248" spans="1:17" ht="15.75" thickBot="1" x14ac:dyDescent="0.3">
      <c r="A248" s="229">
        <f t="shared" ref="A248:B248" si="690">A247+1</f>
        <v>4631</v>
      </c>
      <c r="B248" s="230">
        <f t="shared" si="690"/>
        <v>238</v>
      </c>
      <c r="C248" s="218" t="str">
        <f t="shared" si="552"/>
        <v>81cD13_030_090#04</v>
      </c>
      <c r="D248" s="43">
        <f t="shared" ref="D248:F248" si="691">D247</f>
        <v>13</v>
      </c>
      <c r="E248" s="61">
        <f t="shared" si="691"/>
        <v>2.149</v>
      </c>
      <c r="F248" s="44">
        <f t="shared" si="691"/>
        <v>16.530769230769231</v>
      </c>
      <c r="G248" s="44">
        <f t="shared" si="575"/>
        <v>13.224615384615385</v>
      </c>
      <c r="H248" s="44">
        <f t="shared" si="576"/>
        <v>8.2653846153846153</v>
      </c>
      <c r="I248" s="44">
        <f t="shared" si="652"/>
        <v>8</v>
      </c>
      <c r="J248" s="45">
        <f t="shared" si="626"/>
        <v>30</v>
      </c>
      <c r="K248" s="37" t="str">
        <f>D248&amp;-4</f>
        <v>13-4</v>
      </c>
      <c r="L248" s="45">
        <f t="shared" si="549"/>
        <v>0.2</v>
      </c>
      <c r="M248" s="49">
        <f t="shared" si="627"/>
        <v>90</v>
      </c>
      <c r="N248" s="53">
        <f t="shared" ref="N248:Q248" si="692">N247</f>
        <v>45</v>
      </c>
      <c r="O248" s="53">
        <f t="shared" si="692"/>
        <v>150</v>
      </c>
      <c r="P248" s="44">
        <f t="shared" si="692"/>
        <v>750</v>
      </c>
      <c r="Q248" s="45" t="str">
        <f t="shared" si="692"/>
        <v>on</v>
      </c>
    </row>
    <row r="249" spans="1:17" ht="15.75" thickBot="1" x14ac:dyDescent="0.3">
      <c r="A249" s="229">
        <f t="shared" ref="A249:B249" si="693">A248+1</f>
        <v>4632</v>
      </c>
      <c r="B249" s="230">
        <f t="shared" si="693"/>
        <v>239</v>
      </c>
      <c r="C249" s="218" t="str">
        <f t="shared" si="552"/>
        <v>81cD13_030_090#05</v>
      </c>
      <c r="D249" s="43">
        <f t="shared" ref="D249:F249" si="694">D248</f>
        <v>13</v>
      </c>
      <c r="E249" s="61">
        <f t="shared" si="694"/>
        <v>2.149</v>
      </c>
      <c r="F249" s="44">
        <f t="shared" si="694"/>
        <v>16.530769230769231</v>
      </c>
      <c r="G249" s="44">
        <f t="shared" si="575"/>
        <v>13.224615384615385</v>
      </c>
      <c r="H249" s="44">
        <f t="shared" si="576"/>
        <v>8.2653846153846153</v>
      </c>
      <c r="I249" s="44">
        <f t="shared" si="652"/>
        <v>8</v>
      </c>
      <c r="J249" s="45">
        <f t="shared" si="626"/>
        <v>30</v>
      </c>
      <c r="K249" s="37" t="str">
        <f>D249&amp;-5</f>
        <v>13-5</v>
      </c>
      <c r="L249" s="45">
        <f t="shared" si="549"/>
        <v>0.2</v>
      </c>
      <c r="M249" s="49">
        <f t="shared" si="627"/>
        <v>90</v>
      </c>
      <c r="N249" s="53">
        <f t="shared" ref="N249:Q249" si="695">N248</f>
        <v>45</v>
      </c>
      <c r="O249" s="53">
        <f t="shared" si="695"/>
        <v>150</v>
      </c>
      <c r="P249" s="44">
        <f t="shared" si="695"/>
        <v>750</v>
      </c>
      <c r="Q249" s="45" t="str">
        <f t="shared" si="695"/>
        <v>on</v>
      </c>
    </row>
    <row r="250" spans="1:17" ht="15.75" thickBot="1" x14ac:dyDescent="0.3">
      <c r="A250" s="229">
        <f t="shared" ref="A250:B250" si="696">A249+1</f>
        <v>4633</v>
      </c>
      <c r="B250" s="230">
        <f t="shared" si="696"/>
        <v>240</v>
      </c>
      <c r="C250" s="218" t="str">
        <f t="shared" si="552"/>
        <v>81cD13_030_090#06</v>
      </c>
      <c r="D250" s="43">
        <f t="shared" ref="D250:F250" si="697">D249</f>
        <v>13</v>
      </c>
      <c r="E250" s="61">
        <f t="shared" si="697"/>
        <v>2.149</v>
      </c>
      <c r="F250" s="44">
        <f t="shared" si="697"/>
        <v>16.530769230769231</v>
      </c>
      <c r="G250" s="44">
        <f t="shared" si="575"/>
        <v>13.224615384615385</v>
      </c>
      <c r="H250" s="44">
        <f t="shared" si="576"/>
        <v>8.2653846153846153</v>
      </c>
      <c r="I250" s="44">
        <f t="shared" si="652"/>
        <v>8</v>
      </c>
      <c r="J250" s="45">
        <f t="shared" si="626"/>
        <v>30</v>
      </c>
      <c r="K250" s="37" t="str">
        <f>D250&amp;-6</f>
        <v>13-6</v>
      </c>
      <c r="L250" s="45">
        <f t="shared" si="549"/>
        <v>0.2</v>
      </c>
      <c r="M250" s="49">
        <f t="shared" si="627"/>
        <v>90</v>
      </c>
      <c r="N250" s="53">
        <f t="shared" ref="N250:Q250" si="698">N249</f>
        <v>45</v>
      </c>
      <c r="O250" s="53">
        <f t="shared" si="698"/>
        <v>150</v>
      </c>
      <c r="P250" s="44">
        <f t="shared" si="698"/>
        <v>750</v>
      </c>
      <c r="Q250" s="45" t="str">
        <f t="shared" si="698"/>
        <v>on</v>
      </c>
    </row>
    <row r="251" spans="1:17" ht="15.75" thickBot="1" x14ac:dyDescent="0.3">
      <c r="A251" s="229">
        <f t="shared" ref="A251:B251" si="699">A250+1</f>
        <v>4634</v>
      </c>
      <c r="B251" s="230">
        <f t="shared" si="699"/>
        <v>241</v>
      </c>
      <c r="C251" s="218" t="str">
        <f t="shared" si="552"/>
        <v>81cE13_030_090#01</v>
      </c>
      <c r="D251" s="43">
        <f t="shared" ref="D251:F251" si="700">D250</f>
        <v>13</v>
      </c>
      <c r="E251" s="61">
        <f t="shared" si="700"/>
        <v>2.149</v>
      </c>
      <c r="F251" s="44">
        <f t="shared" si="700"/>
        <v>16.530769230769231</v>
      </c>
      <c r="G251" s="44">
        <f t="shared" si="575"/>
        <v>13.224615384615385</v>
      </c>
      <c r="H251" s="44">
        <f t="shared" si="576"/>
        <v>8.2653846153846153</v>
      </c>
      <c r="I251" s="44">
        <f t="shared" si="652"/>
        <v>8</v>
      </c>
      <c r="J251" s="45">
        <f t="shared" si="626"/>
        <v>30</v>
      </c>
      <c r="K251" s="37" t="str">
        <f>D251&amp;-1</f>
        <v>13-1</v>
      </c>
      <c r="L251" s="45">
        <f t="shared" si="549"/>
        <v>0.2</v>
      </c>
      <c r="M251" s="49">
        <f t="shared" si="627"/>
        <v>90</v>
      </c>
      <c r="N251" s="53">
        <v>60</v>
      </c>
      <c r="O251" s="53">
        <f t="shared" ref="O251:Q251" si="701">O250</f>
        <v>150</v>
      </c>
      <c r="P251" s="44">
        <f t="shared" si="701"/>
        <v>750</v>
      </c>
      <c r="Q251" s="45" t="str">
        <f t="shared" si="701"/>
        <v>on</v>
      </c>
    </row>
    <row r="252" spans="1:17" ht="15.75" thickBot="1" x14ac:dyDescent="0.3">
      <c r="A252" s="229">
        <f t="shared" ref="A252:B252" si="702">A251+1</f>
        <v>4635</v>
      </c>
      <c r="B252" s="230">
        <f t="shared" si="702"/>
        <v>242</v>
      </c>
      <c r="C252" s="218" t="str">
        <f t="shared" si="552"/>
        <v>81cE13_030_090#02</v>
      </c>
      <c r="D252" s="43">
        <f t="shared" ref="D252:F252" si="703">D251</f>
        <v>13</v>
      </c>
      <c r="E252" s="61">
        <f t="shared" si="703"/>
        <v>2.149</v>
      </c>
      <c r="F252" s="44">
        <f t="shared" si="703"/>
        <v>16.530769230769231</v>
      </c>
      <c r="G252" s="44">
        <f t="shared" si="575"/>
        <v>13.224615384615385</v>
      </c>
      <c r="H252" s="44">
        <f t="shared" si="576"/>
        <v>8.2653846153846153</v>
      </c>
      <c r="I252" s="44">
        <f t="shared" si="652"/>
        <v>8</v>
      </c>
      <c r="J252" s="45">
        <f t="shared" si="626"/>
        <v>30</v>
      </c>
      <c r="K252" s="37" t="str">
        <f>D252&amp;-2</f>
        <v>13-2</v>
      </c>
      <c r="L252" s="45">
        <f t="shared" si="549"/>
        <v>0.2</v>
      </c>
      <c r="M252" s="49">
        <f t="shared" si="627"/>
        <v>90</v>
      </c>
      <c r="N252" s="53">
        <f>N251</f>
        <v>60</v>
      </c>
      <c r="O252" s="53">
        <f t="shared" ref="O252:Q252" si="704">O251</f>
        <v>150</v>
      </c>
      <c r="P252" s="44">
        <f t="shared" si="704"/>
        <v>750</v>
      </c>
      <c r="Q252" s="45" t="str">
        <f t="shared" si="704"/>
        <v>on</v>
      </c>
    </row>
    <row r="253" spans="1:17" ht="15.75" thickBot="1" x14ac:dyDescent="0.3">
      <c r="A253" s="229">
        <f t="shared" ref="A253:B253" si="705">A252+1</f>
        <v>4636</v>
      </c>
      <c r="B253" s="230">
        <f t="shared" si="705"/>
        <v>243</v>
      </c>
      <c r="C253" s="218" t="str">
        <f t="shared" si="552"/>
        <v>81cE13_030_090#03</v>
      </c>
      <c r="D253" s="43">
        <f t="shared" ref="D253:F253" si="706">D252</f>
        <v>13</v>
      </c>
      <c r="E253" s="61">
        <f t="shared" si="706"/>
        <v>2.149</v>
      </c>
      <c r="F253" s="44">
        <f t="shared" si="706"/>
        <v>16.530769230769231</v>
      </c>
      <c r="G253" s="44">
        <f t="shared" si="575"/>
        <v>13.224615384615385</v>
      </c>
      <c r="H253" s="44">
        <f t="shared" si="576"/>
        <v>8.2653846153846153</v>
      </c>
      <c r="I253" s="44">
        <f t="shared" si="652"/>
        <v>8</v>
      </c>
      <c r="J253" s="45">
        <f t="shared" si="626"/>
        <v>30</v>
      </c>
      <c r="K253" s="37" t="str">
        <f>D253&amp;-3</f>
        <v>13-3</v>
      </c>
      <c r="L253" s="45">
        <f t="shared" si="549"/>
        <v>0.2</v>
      </c>
      <c r="M253" s="49">
        <f t="shared" si="627"/>
        <v>90</v>
      </c>
      <c r="N253" s="53">
        <f t="shared" ref="N253:Q253" si="707">N252</f>
        <v>60</v>
      </c>
      <c r="O253" s="53">
        <f t="shared" si="707"/>
        <v>150</v>
      </c>
      <c r="P253" s="44">
        <f t="shared" si="707"/>
        <v>750</v>
      </c>
      <c r="Q253" s="45" t="str">
        <f t="shared" si="707"/>
        <v>on</v>
      </c>
    </row>
    <row r="254" spans="1:17" ht="15.75" thickBot="1" x14ac:dyDescent="0.3">
      <c r="A254" s="229">
        <f t="shared" ref="A254:B254" si="708">A253+1</f>
        <v>4637</v>
      </c>
      <c r="B254" s="230">
        <f t="shared" si="708"/>
        <v>244</v>
      </c>
      <c r="C254" s="218" t="str">
        <f t="shared" si="552"/>
        <v>81cE13_030_090#04</v>
      </c>
      <c r="D254" s="43">
        <f t="shared" ref="D254:F254" si="709">D253</f>
        <v>13</v>
      </c>
      <c r="E254" s="61">
        <f t="shared" si="709"/>
        <v>2.149</v>
      </c>
      <c r="F254" s="44">
        <f t="shared" si="709"/>
        <v>16.530769230769231</v>
      </c>
      <c r="G254" s="44">
        <f t="shared" si="575"/>
        <v>13.224615384615385</v>
      </c>
      <c r="H254" s="44">
        <f t="shared" si="576"/>
        <v>8.2653846153846153</v>
      </c>
      <c r="I254" s="44">
        <f t="shared" si="652"/>
        <v>8</v>
      </c>
      <c r="J254" s="45">
        <f t="shared" si="626"/>
        <v>30</v>
      </c>
      <c r="K254" s="37" t="str">
        <f>D254&amp;-4</f>
        <v>13-4</v>
      </c>
      <c r="L254" s="45">
        <f t="shared" si="549"/>
        <v>0.2</v>
      </c>
      <c r="M254" s="49">
        <f t="shared" si="627"/>
        <v>90</v>
      </c>
      <c r="N254" s="53">
        <f t="shared" ref="N254:Q254" si="710">N253</f>
        <v>60</v>
      </c>
      <c r="O254" s="53">
        <f t="shared" si="710"/>
        <v>150</v>
      </c>
      <c r="P254" s="44">
        <f t="shared" si="710"/>
        <v>750</v>
      </c>
      <c r="Q254" s="45" t="str">
        <f t="shared" si="710"/>
        <v>on</v>
      </c>
    </row>
    <row r="255" spans="1:17" ht="15.75" thickBot="1" x14ac:dyDescent="0.3">
      <c r="A255" s="229">
        <f t="shared" ref="A255:B255" si="711">A254+1</f>
        <v>4638</v>
      </c>
      <c r="B255" s="230">
        <f t="shared" si="711"/>
        <v>245</v>
      </c>
      <c r="C255" s="218" t="str">
        <f t="shared" si="552"/>
        <v>81cE13_030_090#05</v>
      </c>
      <c r="D255" s="43">
        <f t="shared" ref="D255:F255" si="712">D254</f>
        <v>13</v>
      </c>
      <c r="E255" s="61">
        <f t="shared" si="712"/>
        <v>2.149</v>
      </c>
      <c r="F255" s="44">
        <f t="shared" si="712"/>
        <v>16.530769230769231</v>
      </c>
      <c r="G255" s="44">
        <f t="shared" si="575"/>
        <v>13.224615384615385</v>
      </c>
      <c r="H255" s="44">
        <f t="shared" si="576"/>
        <v>8.2653846153846153</v>
      </c>
      <c r="I255" s="44">
        <f t="shared" si="652"/>
        <v>8</v>
      </c>
      <c r="J255" s="45">
        <f t="shared" si="626"/>
        <v>30</v>
      </c>
      <c r="K255" s="37" t="str">
        <f>D255&amp;-5</f>
        <v>13-5</v>
      </c>
      <c r="L255" s="45">
        <f t="shared" si="549"/>
        <v>0.2</v>
      </c>
      <c r="M255" s="49">
        <f t="shared" si="627"/>
        <v>90</v>
      </c>
      <c r="N255" s="53">
        <f t="shared" ref="N255:Q255" si="713">N254</f>
        <v>60</v>
      </c>
      <c r="O255" s="53">
        <f t="shared" si="713"/>
        <v>150</v>
      </c>
      <c r="P255" s="44">
        <f t="shared" si="713"/>
        <v>750</v>
      </c>
      <c r="Q255" s="45" t="str">
        <f t="shared" si="713"/>
        <v>on</v>
      </c>
    </row>
    <row r="256" spans="1:17" ht="15.75" thickBot="1" x14ac:dyDescent="0.3">
      <c r="A256" s="229">
        <f t="shared" ref="A256:B256" si="714">A255+1</f>
        <v>4639</v>
      </c>
      <c r="B256" s="230">
        <f t="shared" si="714"/>
        <v>246</v>
      </c>
      <c r="C256" s="218" t="str">
        <f t="shared" si="552"/>
        <v>81cE13_030_090#06</v>
      </c>
      <c r="D256" s="43">
        <f t="shared" ref="D256:F256" si="715">D255</f>
        <v>13</v>
      </c>
      <c r="E256" s="61">
        <f t="shared" si="715"/>
        <v>2.149</v>
      </c>
      <c r="F256" s="44">
        <f t="shared" si="715"/>
        <v>16.530769230769231</v>
      </c>
      <c r="G256" s="44">
        <f t="shared" si="575"/>
        <v>13.224615384615385</v>
      </c>
      <c r="H256" s="44">
        <f t="shared" si="576"/>
        <v>8.2653846153846153</v>
      </c>
      <c r="I256" s="44">
        <f t="shared" si="652"/>
        <v>8</v>
      </c>
      <c r="J256" s="45">
        <f t="shared" si="626"/>
        <v>30</v>
      </c>
      <c r="K256" s="37" t="str">
        <f>D256&amp;-6</f>
        <v>13-6</v>
      </c>
      <c r="L256" s="45">
        <f t="shared" si="549"/>
        <v>0.2</v>
      </c>
      <c r="M256" s="49">
        <f t="shared" si="627"/>
        <v>90</v>
      </c>
      <c r="N256" s="53">
        <f t="shared" ref="N256:Q256" si="716">N255</f>
        <v>60</v>
      </c>
      <c r="O256" s="53">
        <f t="shared" si="716"/>
        <v>150</v>
      </c>
      <c r="P256" s="44">
        <f t="shared" si="716"/>
        <v>750</v>
      </c>
      <c r="Q256" s="45" t="str">
        <f t="shared" si="716"/>
        <v>on</v>
      </c>
    </row>
    <row r="257" spans="1:17" ht="15.75" thickBot="1" x14ac:dyDescent="0.3">
      <c r="A257" s="229">
        <f t="shared" ref="A257:B257" si="717">A256+1</f>
        <v>4640</v>
      </c>
      <c r="B257" s="230">
        <f t="shared" si="717"/>
        <v>247</v>
      </c>
      <c r="C257" s="218" t="str">
        <f t="shared" si="552"/>
        <v>81cF13_030_090#01</v>
      </c>
      <c r="D257" s="43">
        <f t="shared" ref="D257:F257" si="718">D256</f>
        <v>13</v>
      </c>
      <c r="E257" s="61">
        <f t="shared" si="718"/>
        <v>2.149</v>
      </c>
      <c r="F257" s="44">
        <f t="shared" si="718"/>
        <v>16.530769230769231</v>
      </c>
      <c r="G257" s="44">
        <f t="shared" si="575"/>
        <v>13.224615384615385</v>
      </c>
      <c r="H257" s="44">
        <f t="shared" si="576"/>
        <v>8.2653846153846153</v>
      </c>
      <c r="I257" s="44">
        <f t="shared" si="652"/>
        <v>8</v>
      </c>
      <c r="J257" s="45">
        <f t="shared" si="626"/>
        <v>30</v>
      </c>
      <c r="K257" s="37" t="str">
        <f>D257&amp;-1</f>
        <v>13-1</v>
      </c>
      <c r="L257" s="45">
        <f t="shared" si="549"/>
        <v>0.2</v>
      </c>
      <c r="M257" s="49">
        <f t="shared" si="627"/>
        <v>90</v>
      </c>
      <c r="N257" s="53">
        <v>75</v>
      </c>
      <c r="O257" s="53">
        <f t="shared" ref="O257:Q257" si="719">O256</f>
        <v>150</v>
      </c>
      <c r="P257" s="44">
        <f t="shared" si="719"/>
        <v>750</v>
      </c>
      <c r="Q257" s="45" t="str">
        <f t="shared" si="719"/>
        <v>on</v>
      </c>
    </row>
    <row r="258" spans="1:17" ht="15.75" thickBot="1" x14ac:dyDescent="0.3">
      <c r="A258" s="229">
        <f t="shared" ref="A258:B258" si="720">A257+1</f>
        <v>4641</v>
      </c>
      <c r="B258" s="230">
        <f t="shared" si="720"/>
        <v>248</v>
      </c>
      <c r="C258" s="218" t="str">
        <f t="shared" si="552"/>
        <v>81cF13_030_090#02</v>
      </c>
      <c r="D258" s="43">
        <f t="shared" ref="D258:F258" si="721">D257</f>
        <v>13</v>
      </c>
      <c r="E258" s="61">
        <f t="shared" si="721"/>
        <v>2.149</v>
      </c>
      <c r="F258" s="44">
        <f t="shared" si="721"/>
        <v>16.530769230769231</v>
      </c>
      <c r="G258" s="44">
        <f t="shared" si="575"/>
        <v>13.224615384615385</v>
      </c>
      <c r="H258" s="44">
        <f t="shared" si="576"/>
        <v>8.2653846153846153</v>
      </c>
      <c r="I258" s="44">
        <f t="shared" si="652"/>
        <v>8</v>
      </c>
      <c r="J258" s="45">
        <f t="shared" si="626"/>
        <v>30</v>
      </c>
      <c r="K258" s="37" t="str">
        <f>D258&amp;-2</f>
        <v>13-2</v>
      </c>
      <c r="L258" s="45">
        <f t="shared" si="549"/>
        <v>0.2</v>
      </c>
      <c r="M258" s="49">
        <f t="shared" si="627"/>
        <v>90</v>
      </c>
      <c r="N258" s="53">
        <f>N257</f>
        <v>75</v>
      </c>
      <c r="O258" s="53">
        <f t="shared" ref="O258:Q258" si="722">O257</f>
        <v>150</v>
      </c>
      <c r="P258" s="44">
        <f t="shared" si="722"/>
        <v>750</v>
      </c>
      <c r="Q258" s="45" t="str">
        <f t="shared" si="722"/>
        <v>on</v>
      </c>
    </row>
    <row r="259" spans="1:17" ht="15.75" thickBot="1" x14ac:dyDescent="0.3">
      <c r="A259" s="229">
        <f t="shared" ref="A259:B259" si="723">A258+1</f>
        <v>4642</v>
      </c>
      <c r="B259" s="230">
        <f t="shared" si="723"/>
        <v>249</v>
      </c>
      <c r="C259" s="218" t="str">
        <f t="shared" si="552"/>
        <v>81cF13_030_090#03</v>
      </c>
      <c r="D259" s="43">
        <f t="shared" ref="D259:F259" si="724">D258</f>
        <v>13</v>
      </c>
      <c r="E259" s="61">
        <f t="shared" si="724"/>
        <v>2.149</v>
      </c>
      <c r="F259" s="44">
        <f t="shared" si="724"/>
        <v>16.530769230769231</v>
      </c>
      <c r="G259" s="44">
        <f t="shared" si="575"/>
        <v>13.224615384615385</v>
      </c>
      <c r="H259" s="44">
        <f t="shared" si="576"/>
        <v>8.2653846153846153</v>
      </c>
      <c r="I259" s="44">
        <f t="shared" si="652"/>
        <v>8</v>
      </c>
      <c r="J259" s="45">
        <f t="shared" ref="J259:J290" si="725">dlc81c_y3</f>
        <v>30</v>
      </c>
      <c r="K259" s="37" t="str">
        <f>D259&amp;-3</f>
        <v>13-3</v>
      </c>
      <c r="L259" s="45">
        <f t="shared" si="549"/>
        <v>0.2</v>
      </c>
      <c r="M259" s="49">
        <f t="shared" si="627"/>
        <v>90</v>
      </c>
      <c r="N259" s="53">
        <f t="shared" ref="N259:Q259" si="726">N258</f>
        <v>75</v>
      </c>
      <c r="O259" s="53">
        <f t="shared" si="726"/>
        <v>150</v>
      </c>
      <c r="P259" s="44">
        <f t="shared" si="726"/>
        <v>750</v>
      </c>
      <c r="Q259" s="45" t="str">
        <f t="shared" si="726"/>
        <v>on</v>
      </c>
    </row>
    <row r="260" spans="1:17" ht="15.75" thickBot="1" x14ac:dyDescent="0.3">
      <c r="A260" s="229">
        <f t="shared" ref="A260:B260" si="727">A259+1</f>
        <v>4643</v>
      </c>
      <c r="B260" s="230">
        <f t="shared" si="727"/>
        <v>250</v>
      </c>
      <c r="C260" s="218" t="str">
        <f t="shared" si="552"/>
        <v>81cF13_030_090#04</v>
      </c>
      <c r="D260" s="43">
        <f t="shared" ref="D260:F260" si="728">D259</f>
        <v>13</v>
      </c>
      <c r="E260" s="61">
        <f t="shared" si="728"/>
        <v>2.149</v>
      </c>
      <c r="F260" s="44">
        <f t="shared" si="728"/>
        <v>16.530769230769231</v>
      </c>
      <c r="G260" s="44">
        <f t="shared" si="575"/>
        <v>13.224615384615385</v>
      </c>
      <c r="H260" s="44">
        <f t="shared" si="576"/>
        <v>8.2653846153846153</v>
      </c>
      <c r="I260" s="44">
        <f t="shared" si="652"/>
        <v>8</v>
      </c>
      <c r="J260" s="45">
        <f t="shared" si="725"/>
        <v>30</v>
      </c>
      <c r="K260" s="37" t="str">
        <f>D260&amp;-4</f>
        <v>13-4</v>
      </c>
      <c r="L260" s="45">
        <f t="shared" si="549"/>
        <v>0.2</v>
      </c>
      <c r="M260" s="49">
        <f t="shared" si="627"/>
        <v>90</v>
      </c>
      <c r="N260" s="53">
        <f t="shared" ref="N260:Q260" si="729">N259</f>
        <v>75</v>
      </c>
      <c r="O260" s="53">
        <f t="shared" si="729"/>
        <v>150</v>
      </c>
      <c r="P260" s="44">
        <f t="shared" si="729"/>
        <v>750</v>
      </c>
      <c r="Q260" s="45" t="str">
        <f t="shared" si="729"/>
        <v>on</v>
      </c>
    </row>
    <row r="261" spans="1:17" ht="15.75" thickBot="1" x14ac:dyDescent="0.3">
      <c r="A261" s="229">
        <f t="shared" ref="A261:B261" si="730">A260+1</f>
        <v>4644</v>
      </c>
      <c r="B261" s="230">
        <f t="shared" si="730"/>
        <v>251</v>
      </c>
      <c r="C261" s="218" t="str">
        <f t="shared" si="552"/>
        <v>81cF13_030_090#05</v>
      </c>
      <c r="D261" s="43">
        <f t="shared" ref="D261:F261" si="731">D260</f>
        <v>13</v>
      </c>
      <c r="E261" s="61">
        <f t="shared" si="731"/>
        <v>2.149</v>
      </c>
      <c r="F261" s="44">
        <f t="shared" si="731"/>
        <v>16.530769230769231</v>
      </c>
      <c r="G261" s="44">
        <f t="shared" si="575"/>
        <v>13.224615384615385</v>
      </c>
      <c r="H261" s="44">
        <f t="shared" si="576"/>
        <v>8.2653846153846153</v>
      </c>
      <c r="I261" s="44">
        <f t="shared" si="652"/>
        <v>8</v>
      </c>
      <c r="J261" s="45">
        <f t="shared" si="725"/>
        <v>30</v>
      </c>
      <c r="K261" s="37" t="str">
        <f>D261&amp;-5</f>
        <v>13-5</v>
      </c>
      <c r="L261" s="45">
        <f t="shared" si="549"/>
        <v>0.2</v>
      </c>
      <c r="M261" s="49">
        <f t="shared" si="627"/>
        <v>90</v>
      </c>
      <c r="N261" s="53">
        <f t="shared" ref="N261:Q261" si="732">N260</f>
        <v>75</v>
      </c>
      <c r="O261" s="53">
        <f t="shared" si="732"/>
        <v>150</v>
      </c>
      <c r="P261" s="44">
        <f t="shared" si="732"/>
        <v>750</v>
      </c>
      <c r="Q261" s="45" t="str">
        <f t="shared" si="732"/>
        <v>on</v>
      </c>
    </row>
    <row r="262" spans="1:17" ht="15.75" thickBot="1" x14ac:dyDescent="0.3">
      <c r="A262" s="229">
        <f t="shared" ref="A262:B262" si="733">A261+1</f>
        <v>4645</v>
      </c>
      <c r="B262" s="230">
        <f t="shared" si="733"/>
        <v>252</v>
      </c>
      <c r="C262" s="218" t="str">
        <f t="shared" si="552"/>
        <v>81cF13_030_090#06</v>
      </c>
      <c r="D262" s="43">
        <f t="shared" ref="D262:F262" si="734">D261</f>
        <v>13</v>
      </c>
      <c r="E262" s="61">
        <f t="shared" si="734"/>
        <v>2.149</v>
      </c>
      <c r="F262" s="44">
        <f t="shared" si="734"/>
        <v>16.530769230769231</v>
      </c>
      <c r="G262" s="44">
        <f t="shared" si="575"/>
        <v>13.224615384615385</v>
      </c>
      <c r="H262" s="44">
        <f t="shared" si="576"/>
        <v>8.2653846153846153</v>
      </c>
      <c r="I262" s="44">
        <f t="shared" si="652"/>
        <v>8</v>
      </c>
      <c r="J262" s="45">
        <f t="shared" si="725"/>
        <v>30</v>
      </c>
      <c r="K262" s="37" t="str">
        <f>D262&amp;-6</f>
        <v>13-6</v>
      </c>
      <c r="L262" s="45">
        <f t="shared" si="549"/>
        <v>0.2</v>
      </c>
      <c r="M262" s="49">
        <f t="shared" si="627"/>
        <v>90</v>
      </c>
      <c r="N262" s="53">
        <f t="shared" ref="N262:Q262" si="735">N261</f>
        <v>75</v>
      </c>
      <c r="O262" s="53">
        <f t="shared" si="735"/>
        <v>150</v>
      </c>
      <c r="P262" s="44">
        <f t="shared" si="735"/>
        <v>750</v>
      </c>
      <c r="Q262" s="45" t="str">
        <f t="shared" si="735"/>
        <v>on</v>
      </c>
    </row>
    <row r="263" spans="1:17" ht="15.75" thickBot="1" x14ac:dyDescent="0.3">
      <c r="A263" s="229">
        <f t="shared" ref="A263:B263" si="736">A262+1</f>
        <v>4646</v>
      </c>
      <c r="B263" s="230">
        <f t="shared" si="736"/>
        <v>253</v>
      </c>
      <c r="C263" s="218" t="str">
        <f t="shared" si="552"/>
        <v>81cA13_030_180#01</v>
      </c>
      <c r="D263" s="43">
        <f t="shared" ref="D263:F263" si="737">D262</f>
        <v>13</v>
      </c>
      <c r="E263" s="61">
        <f t="shared" si="737"/>
        <v>2.149</v>
      </c>
      <c r="F263" s="44">
        <f t="shared" si="737"/>
        <v>16.530769230769231</v>
      </c>
      <c r="G263" s="44">
        <f t="shared" si="575"/>
        <v>13.224615384615385</v>
      </c>
      <c r="H263" s="44">
        <f t="shared" si="576"/>
        <v>8.2653846153846153</v>
      </c>
      <c r="I263" s="44">
        <f t="shared" si="652"/>
        <v>8</v>
      </c>
      <c r="J263" s="45">
        <f t="shared" si="725"/>
        <v>30</v>
      </c>
      <c r="K263" s="37" t="str">
        <f>D263&amp;-1</f>
        <v>13-1</v>
      </c>
      <c r="L263" s="45">
        <f t="shared" si="549"/>
        <v>0.2</v>
      </c>
      <c r="M263" s="49">
        <f t="shared" ref="M263:M298" si="738">dlc81c_r2</f>
        <v>180</v>
      </c>
      <c r="N263" s="53">
        <v>0</v>
      </c>
      <c r="O263" s="53">
        <f t="shared" ref="O263:Q263" si="739">O262</f>
        <v>150</v>
      </c>
      <c r="P263" s="44">
        <f t="shared" si="739"/>
        <v>750</v>
      </c>
      <c r="Q263" s="45" t="str">
        <f t="shared" si="739"/>
        <v>on</v>
      </c>
    </row>
    <row r="264" spans="1:17" ht="15.75" thickBot="1" x14ac:dyDescent="0.3">
      <c r="A264" s="229">
        <f t="shared" ref="A264:B264" si="740">A263+1</f>
        <v>4647</v>
      </c>
      <c r="B264" s="230">
        <f t="shared" si="740"/>
        <v>254</v>
      </c>
      <c r="C264" s="218" t="str">
        <f t="shared" si="552"/>
        <v>81cA13_030_180#02</v>
      </c>
      <c r="D264" s="43">
        <f t="shared" ref="D264:F264" si="741">D263</f>
        <v>13</v>
      </c>
      <c r="E264" s="61">
        <f t="shared" si="741"/>
        <v>2.149</v>
      </c>
      <c r="F264" s="44">
        <f t="shared" si="741"/>
        <v>16.530769230769231</v>
      </c>
      <c r="G264" s="44">
        <f t="shared" si="575"/>
        <v>13.224615384615385</v>
      </c>
      <c r="H264" s="44">
        <f t="shared" si="576"/>
        <v>8.2653846153846153</v>
      </c>
      <c r="I264" s="44">
        <f t="shared" si="652"/>
        <v>8</v>
      </c>
      <c r="J264" s="45">
        <f t="shared" si="725"/>
        <v>30</v>
      </c>
      <c r="K264" s="37" t="str">
        <f>D264&amp;-2</f>
        <v>13-2</v>
      </c>
      <c r="L264" s="45">
        <f t="shared" si="549"/>
        <v>0.2</v>
      </c>
      <c r="M264" s="49">
        <f t="shared" si="738"/>
        <v>180</v>
      </c>
      <c r="N264" s="53">
        <f>N263</f>
        <v>0</v>
      </c>
      <c r="O264" s="53">
        <f t="shared" ref="O264:Q264" si="742">O263</f>
        <v>150</v>
      </c>
      <c r="P264" s="44">
        <f t="shared" si="742"/>
        <v>750</v>
      </c>
      <c r="Q264" s="45" t="str">
        <f t="shared" si="742"/>
        <v>on</v>
      </c>
    </row>
    <row r="265" spans="1:17" ht="15.75" thickBot="1" x14ac:dyDescent="0.3">
      <c r="A265" s="229">
        <f t="shared" ref="A265:B265" si="743">A264+1</f>
        <v>4648</v>
      </c>
      <c r="B265" s="230">
        <f t="shared" si="743"/>
        <v>255</v>
      </c>
      <c r="C265" s="218" t="str">
        <f t="shared" si="552"/>
        <v>81cA13_030_180#03</v>
      </c>
      <c r="D265" s="43">
        <f t="shared" ref="D265:F265" si="744">D264</f>
        <v>13</v>
      </c>
      <c r="E265" s="61">
        <f t="shared" si="744"/>
        <v>2.149</v>
      </c>
      <c r="F265" s="44">
        <f t="shared" si="744"/>
        <v>16.530769230769231</v>
      </c>
      <c r="G265" s="44">
        <f t="shared" si="575"/>
        <v>13.224615384615385</v>
      </c>
      <c r="H265" s="44">
        <f t="shared" si="576"/>
        <v>8.2653846153846153</v>
      </c>
      <c r="I265" s="44">
        <f t="shared" si="652"/>
        <v>8</v>
      </c>
      <c r="J265" s="45">
        <f t="shared" si="725"/>
        <v>30</v>
      </c>
      <c r="K265" s="37" t="str">
        <f>D265&amp;-3</f>
        <v>13-3</v>
      </c>
      <c r="L265" s="45">
        <f t="shared" si="549"/>
        <v>0.2</v>
      </c>
      <c r="M265" s="49">
        <f t="shared" si="738"/>
        <v>180</v>
      </c>
      <c r="N265" s="53">
        <f t="shared" ref="N265:Q265" si="745">N264</f>
        <v>0</v>
      </c>
      <c r="O265" s="53">
        <f t="shared" si="745"/>
        <v>150</v>
      </c>
      <c r="P265" s="44">
        <f t="shared" si="745"/>
        <v>750</v>
      </c>
      <c r="Q265" s="45" t="str">
        <f t="shared" si="745"/>
        <v>on</v>
      </c>
    </row>
    <row r="266" spans="1:17" ht="15.75" thickBot="1" x14ac:dyDescent="0.3">
      <c r="A266" s="229">
        <f t="shared" ref="A266:B266" si="746">A265+1</f>
        <v>4649</v>
      </c>
      <c r="B266" s="230">
        <f t="shared" si="746"/>
        <v>256</v>
      </c>
      <c r="C266" s="218" t="str">
        <f t="shared" si="552"/>
        <v>81cA13_030_180#04</v>
      </c>
      <c r="D266" s="43">
        <f t="shared" ref="D266:F266" si="747">D265</f>
        <v>13</v>
      </c>
      <c r="E266" s="61">
        <f t="shared" si="747"/>
        <v>2.149</v>
      </c>
      <c r="F266" s="44">
        <f t="shared" si="747"/>
        <v>16.530769230769231</v>
      </c>
      <c r="G266" s="44">
        <f t="shared" si="575"/>
        <v>13.224615384615385</v>
      </c>
      <c r="H266" s="44">
        <f t="shared" si="576"/>
        <v>8.2653846153846153</v>
      </c>
      <c r="I266" s="44">
        <f t="shared" si="652"/>
        <v>8</v>
      </c>
      <c r="J266" s="45">
        <f t="shared" si="725"/>
        <v>30</v>
      </c>
      <c r="K266" s="37" t="str">
        <f>D266&amp;-4</f>
        <v>13-4</v>
      </c>
      <c r="L266" s="45">
        <f t="shared" si="549"/>
        <v>0.2</v>
      </c>
      <c r="M266" s="49">
        <f t="shared" si="738"/>
        <v>180</v>
      </c>
      <c r="N266" s="53">
        <f t="shared" ref="N266:Q266" si="748">N265</f>
        <v>0</v>
      </c>
      <c r="O266" s="53">
        <f t="shared" si="748"/>
        <v>150</v>
      </c>
      <c r="P266" s="44">
        <f t="shared" si="748"/>
        <v>750</v>
      </c>
      <c r="Q266" s="45" t="str">
        <f t="shared" si="748"/>
        <v>on</v>
      </c>
    </row>
    <row r="267" spans="1:17" ht="15.75" thickBot="1" x14ac:dyDescent="0.3">
      <c r="A267" s="229">
        <f t="shared" ref="A267:B267" si="749">A266+1</f>
        <v>4650</v>
      </c>
      <c r="B267" s="230">
        <f t="shared" si="749"/>
        <v>257</v>
      </c>
      <c r="C267" s="218" t="str">
        <f t="shared" si="552"/>
        <v>81cA13_030_180#05</v>
      </c>
      <c r="D267" s="43">
        <f t="shared" ref="D267:F267" si="750">D266</f>
        <v>13</v>
      </c>
      <c r="E267" s="61">
        <f t="shared" si="750"/>
        <v>2.149</v>
      </c>
      <c r="F267" s="44">
        <f t="shared" si="750"/>
        <v>16.530769230769231</v>
      </c>
      <c r="G267" s="44">
        <f t="shared" si="575"/>
        <v>13.224615384615385</v>
      </c>
      <c r="H267" s="44">
        <f t="shared" si="576"/>
        <v>8.2653846153846153</v>
      </c>
      <c r="I267" s="44">
        <f t="shared" si="652"/>
        <v>8</v>
      </c>
      <c r="J267" s="45">
        <f t="shared" si="725"/>
        <v>30</v>
      </c>
      <c r="K267" s="37" t="str">
        <f>D267&amp;-5</f>
        <v>13-5</v>
      </c>
      <c r="L267" s="45">
        <f t="shared" ref="L267:L334" si="751">alpha_n</f>
        <v>0.2</v>
      </c>
      <c r="M267" s="49">
        <f t="shared" si="738"/>
        <v>180</v>
      </c>
      <c r="N267" s="53">
        <f t="shared" ref="N267:Q267" si="752">N266</f>
        <v>0</v>
      </c>
      <c r="O267" s="53">
        <f t="shared" si="752"/>
        <v>150</v>
      </c>
      <c r="P267" s="44">
        <f t="shared" si="752"/>
        <v>750</v>
      </c>
      <c r="Q267" s="45" t="str">
        <f t="shared" si="752"/>
        <v>on</v>
      </c>
    </row>
    <row r="268" spans="1:17" ht="15.75" thickBot="1" x14ac:dyDescent="0.3">
      <c r="A268" s="229">
        <f t="shared" ref="A268:B268" si="753">A267+1</f>
        <v>4651</v>
      </c>
      <c r="B268" s="230">
        <f t="shared" si="753"/>
        <v>258</v>
      </c>
      <c r="C268" s="218" t="str">
        <f t="shared" ref="C268:C331" si="754">TEXT(RIGHT($B$2,LEN($B$2)-3),"000")&amp;IF(N268=0,"A",IF(N268=15,"B",IF(N268=30,"C",IF(N268=45,"D",IF(N268=60,"E","F")))))&amp;TEXT(D268,"00")&amp;"_"&amp;IF(J268&lt;0,TEXT(360+J268,"000"),TEXT(J268,"000"))&amp;"_"&amp;TEXT(M268,"000")&amp;"#"&amp;TEXT(RIGHT(K268,LEN(K268)-FIND("-",K268)),"00")</f>
        <v>81cA13_030_180#06</v>
      </c>
      <c r="D268" s="43">
        <f t="shared" ref="D268:F268" si="755">D267</f>
        <v>13</v>
      </c>
      <c r="E268" s="61">
        <f t="shared" si="755"/>
        <v>2.149</v>
      </c>
      <c r="F268" s="44">
        <f t="shared" si="755"/>
        <v>16.530769230769231</v>
      </c>
      <c r="G268" s="44">
        <f t="shared" si="575"/>
        <v>13.224615384615385</v>
      </c>
      <c r="H268" s="44">
        <f t="shared" si="576"/>
        <v>8.2653846153846153</v>
      </c>
      <c r="I268" s="44">
        <f t="shared" si="652"/>
        <v>8</v>
      </c>
      <c r="J268" s="45">
        <f t="shared" si="725"/>
        <v>30</v>
      </c>
      <c r="K268" s="37" t="str">
        <f>D268&amp;-6</f>
        <v>13-6</v>
      </c>
      <c r="L268" s="45">
        <f t="shared" si="751"/>
        <v>0.2</v>
      </c>
      <c r="M268" s="49">
        <f t="shared" si="738"/>
        <v>180</v>
      </c>
      <c r="N268" s="53">
        <f t="shared" ref="N268:Q268" si="756">N267</f>
        <v>0</v>
      </c>
      <c r="O268" s="53">
        <f t="shared" si="756"/>
        <v>150</v>
      </c>
      <c r="P268" s="44">
        <f t="shared" si="756"/>
        <v>750</v>
      </c>
      <c r="Q268" s="45" t="str">
        <f t="shared" si="756"/>
        <v>on</v>
      </c>
    </row>
    <row r="269" spans="1:17" ht="15.75" thickBot="1" x14ac:dyDescent="0.3">
      <c r="A269" s="229">
        <f t="shared" ref="A269:B269" si="757">A268+1</f>
        <v>4652</v>
      </c>
      <c r="B269" s="230">
        <f t="shared" si="757"/>
        <v>259</v>
      </c>
      <c r="C269" s="218" t="str">
        <f t="shared" si="754"/>
        <v>81cB13_030_180#01</v>
      </c>
      <c r="D269" s="43">
        <f t="shared" ref="D269:F269" si="758">D268</f>
        <v>13</v>
      </c>
      <c r="E269" s="61">
        <f t="shared" si="758"/>
        <v>2.149</v>
      </c>
      <c r="F269" s="44">
        <f t="shared" si="758"/>
        <v>16.530769230769231</v>
      </c>
      <c r="G269" s="44">
        <f t="shared" si="575"/>
        <v>13.224615384615385</v>
      </c>
      <c r="H269" s="44">
        <f t="shared" si="576"/>
        <v>8.2653846153846153</v>
      </c>
      <c r="I269" s="44">
        <f t="shared" si="652"/>
        <v>8</v>
      </c>
      <c r="J269" s="45">
        <f t="shared" si="725"/>
        <v>30</v>
      </c>
      <c r="K269" s="37" t="str">
        <f>D269&amp;-1</f>
        <v>13-1</v>
      </c>
      <c r="L269" s="45">
        <f t="shared" si="751"/>
        <v>0.2</v>
      </c>
      <c r="M269" s="49">
        <f t="shared" si="738"/>
        <v>180</v>
      </c>
      <c r="N269" s="53">
        <v>15</v>
      </c>
      <c r="O269" s="53">
        <f t="shared" ref="O269:Q269" si="759">O268</f>
        <v>150</v>
      </c>
      <c r="P269" s="44">
        <f t="shared" si="759"/>
        <v>750</v>
      </c>
      <c r="Q269" s="45" t="str">
        <f t="shared" si="759"/>
        <v>on</v>
      </c>
    </row>
    <row r="270" spans="1:17" ht="15.75" thickBot="1" x14ac:dyDescent="0.3">
      <c r="A270" s="229">
        <f t="shared" ref="A270:B270" si="760">A269+1</f>
        <v>4653</v>
      </c>
      <c r="B270" s="230">
        <f t="shared" si="760"/>
        <v>260</v>
      </c>
      <c r="C270" s="218" t="str">
        <f t="shared" si="754"/>
        <v>81cB13_030_180#02</v>
      </c>
      <c r="D270" s="43">
        <f t="shared" ref="D270:F270" si="761">D269</f>
        <v>13</v>
      </c>
      <c r="E270" s="61">
        <f t="shared" si="761"/>
        <v>2.149</v>
      </c>
      <c r="F270" s="44">
        <f t="shared" si="761"/>
        <v>16.530769230769231</v>
      </c>
      <c r="G270" s="44">
        <f t="shared" si="575"/>
        <v>13.224615384615385</v>
      </c>
      <c r="H270" s="44">
        <f t="shared" si="576"/>
        <v>8.2653846153846153</v>
      </c>
      <c r="I270" s="44">
        <f t="shared" si="652"/>
        <v>8</v>
      </c>
      <c r="J270" s="45">
        <f t="shared" si="725"/>
        <v>30</v>
      </c>
      <c r="K270" s="37" t="str">
        <f>D270&amp;-2</f>
        <v>13-2</v>
      </c>
      <c r="L270" s="45">
        <f t="shared" si="751"/>
        <v>0.2</v>
      </c>
      <c r="M270" s="49">
        <f t="shared" si="738"/>
        <v>180</v>
      </c>
      <c r="N270" s="53">
        <f>N269</f>
        <v>15</v>
      </c>
      <c r="O270" s="53">
        <f t="shared" ref="O270:Q270" si="762">O269</f>
        <v>150</v>
      </c>
      <c r="P270" s="44">
        <f t="shared" si="762"/>
        <v>750</v>
      </c>
      <c r="Q270" s="45" t="str">
        <f t="shared" si="762"/>
        <v>on</v>
      </c>
    </row>
    <row r="271" spans="1:17" ht="15.75" thickBot="1" x14ac:dyDescent="0.3">
      <c r="A271" s="229">
        <f t="shared" ref="A271:B271" si="763">A270+1</f>
        <v>4654</v>
      </c>
      <c r="B271" s="230">
        <f t="shared" si="763"/>
        <v>261</v>
      </c>
      <c r="C271" s="218" t="str">
        <f t="shared" si="754"/>
        <v>81cB13_030_180#03</v>
      </c>
      <c r="D271" s="43">
        <f t="shared" ref="D271:F271" si="764">D270</f>
        <v>13</v>
      </c>
      <c r="E271" s="61">
        <f t="shared" si="764"/>
        <v>2.149</v>
      </c>
      <c r="F271" s="44">
        <f t="shared" si="764"/>
        <v>16.530769230769231</v>
      </c>
      <c r="G271" s="44">
        <f t="shared" si="575"/>
        <v>13.224615384615385</v>
      </c>
      <c r="H271" s="44">
        <f t="shared" si="576"/>
        <v>8.2653846153846153</v>
      </c>
      <c r="I271" s="44">
        <f t="shared" si="652"/>
        <v>8</v>
      </c>
      <c r="J271" s="45">
        <f t="shared" si="725"/>
        <v>30</v>
      </c>
      <c r="K271" s="37" t="str">
        <f>D271&amp;-3</f>
        <v>13-3</v>
      </c>
      <c r="L271" s="45">
        <f t="shared" si="751"/>
        <v>0.2</v>
      </c>
      <c r="M271" s="49">
        <f t="shared" si="738"/>
        <v>180</v>
      </c>
      <c r="N271" s="53">
        <f t="shared" ref="N271:Q271" si="765">N270</f>
        <v>15</v>
      </c>
      <c r="O271" s="53">
        <f t="shared" si="765"/>
        <v>150</v>
      </c>
      <c r="P271" s="44">
        <f t="shared" si="765"/>
        <v>750</v>
      </c>
      <c r="Q271" s="45" t="str">
        <f t="shared" si="765"/>
        <v>on</v>
      </c>
    </row>
    <row r="272" spans="1:17" ht="15.75" thickBot="1" x14ac:dyDescent="0.3">
      <c r="A272" s="229">
        <f t="shared" ref="A272:B272" si="766">A271+1</f>
        <v>4655</v>
      </c>
      <c r="B272" s="230">
        <f t="shared" si="766"/>
        <v>262</v>
      </c>
      <c r="C272" s="218" t="str">
        <f t="shared" si="754"/>
        <v>81cB13_030_180#04</v>
      </c>
      <c r="D272" s="43">
        <f t="shared" ref="D272:F272" si="767">D271</f>
        <v>13</v>
      </c>
      <c r="E272" s="61">
        <f t="shared" si="767"/>
        <v>2.149</v>
      </c>
      <c r="F272" s="44">
        <f t="shared" si="767"/>
        <v>16.530769230769231</v>
      </c>
      <c r="G272" s="44">
        <f t="shared" si="575"/>
        <v>13.224615384615385</v>
      </c>
      <c r="H272" s="44">
        <f t="shared" si="576"/>
        <v>8.2653846153846153</v>
      </c>
      <c r="I272" s="44">
        <f t="shared" si="652"/>
        <v>8</v>
      </c>
      <c r="J272" s="45">
        <f t="shared" si="725"/>
        <v>30</v>
      </c>
      <c r="K272" s="37" t="str">
        <f>D272&amp;-4</f>
        <v>13-4</v>
      </c>
      <c r="L272" s="45">
        <f t="shared" si="751"/>
        <v>0.2</v>
      </c>
      <c r="M272" s="49">
        <f t="shared" si="738"/>
        <v>180</v>
      </c>
      <c r="N272" s="53">
        <f t="shared" ref="N272:Q272" si="768">N271</f>
        <v>15</v>
      </c>
      <c r="O272" s="53">
        <f t="shared" si="768"/>
        <v>150</v>
      </c>
      <c r="P272" s="44">
        <f t="shared" si="768"/>
        <v>750</v>
      </c>
      <c r="Q272" s="45" t="str">
        <f t="shared" si="768"/>
        <v>on</v>
      </c>
    </row>
    <row r="273" spans="1:17" ht="15.75" thickBot="1" x14ac:dyDescent="0.3">
      <c r="A273" s="229">
        <f t="shared" ref="A273:B273" si="769">A272+1</f>
        <v>4656</v>
      </c>
      <c r="B273" s="230">
        <f t="shared" si="769"/>
        <v>263</v>
      </c>
      <c r="C273" s="218" t="str">
        <f t="shared" si="754"/>
        <v>81cB13_030_180#05</v>
      </c>
      <c r="D273" s="43">
        <f t="shared" ref="D273:F273" si="770">D272</f>
        <v>13</v>
      </c>
      <c r="E273" s="61">
        <f t="shared" si="770"/>
        <v>2.149</v>
      </c>
      <c r="F273" s="44">
        <f t="shared" si="770"/>
        <v>16.530769230769231</v>
      </c>
      <c r="G273" s="44">
        <f t="shared" si="575"/>
        <v>13.224615384615385</v>
      </c>
      <c r="H273" s="44">
        <f t="shared" si="576"/>
        <v>8.2653846153846153</v>
      </c>
      <c r="I273" s="44">
        <f t="shared" si="652"/>
        <v>8</v>
      </c>
      <c r="J273" s="45">
        <f t="shared" si="725"/>
        <v>30</v>
      </c>
      <c r="K273" s="37" t="str">
        <f>D273&amp;-5</f>
        <v>13-5</v>
      </c>
      <c r="L273" s="45">
        <f t="shared" si="751"/>
        <v>0.2</v>
      </c>
      <c r="M273" s="49">
        <f t="shared" si="738"/>
        <v>180</v>
      </c>
      <c r="N273" s="53">
        <f t="shared" ref="N273:Q273" si="771">N272</f>
        <v>15</v>
      </c>
      <c r="O273" s="53">
        <f t="shared" si="771"/>
        <v>150</v>
      </c>
      <c r="P273" s="44">
        <f t="shared" si="771"/>
        <v>750</v>
      </c>
      <c r="Q273" s="45" t="str">
        <f t="shared" si="771"/>
        <v>on</v>
      </c>
    </row>
    <row r="274" spans="1:17" ht="15.75" thickBot="1" x14ac:dyDescent="0.3">
      <c r="A274" s="229">
        <f t="shared" ref="A274:B274" si="772">A273+1</f>
        <v>4657</v>
      </c>
      <c r="B274" s="230">
        <f t="shared" si="772"/>
        <v>264</v>
      </c>
      <c r="C274" s="218" t="str">
        <f t="shared" si="754"/>
        <v>81cB13_030_180#06</v>
      </c>
      <c r="D274" s="43">
        <f t="shared" ref="D274:F274" si="773">D273</f>
        <v>13</v>
      </c>
      <c r="E274" s="61">
        <f t="shared" si="773"/>
        <v>2.149</v>
      </c>
      <c r="F274" s="44">
        <f t="shared" si="773"/>
        <v>16.530769230769231</v>
      </c>
      <c r="G274" s="44">
        <f t="shared" si="575"/>
        <v>13.224615384615385</v>
      </c>
      <c r="H274" s="44">
        <f t="shared" si="576"/>
        <v>8.2653846153846153</v>
      </c>
      <c r="I274" s="44">
        <f t="shared" si="652"/>
        <v>8</v>
      </c>
      <c r="J274" s="45">
        <f t="shared" si="725"/>
        <v>30</v>
      </c>
      <c r="K274" s="37" t="str">
        <f>D274&amp;-6</f>
        <v>13-6</v>
      </c>
      <c r="L274" s="45">
        <f t="shared" si="751"/>
        <v>0.2</v>
      </c>
      <c r="M274" s="49">
        <f t="shared" si="738"/>
        <v>180</v>
      </c>
      <c r="N274" s="53">
        <f t="shared" ref="N274:Q274" si="774">N273</f>
        <v>15</v>
      </c>
      <c r="O274" s="53">
        <f t="shared" si="774"/>
        <v>150</v>
      </c>
      <c r="P274" s="44">
        <f t="shared" si="774"/>
        <v>750</v>
      </c>
      <c r="Q274" s="45" t="str">
        <f t="shared" si="774"/>
        <v>on</v>
      </c>
    </row>
    <row r="275" spans="1:17" ht="15.75" thickBot="1" x14ac:dyDescent="0.3">
      <c r="A275" s="229">
        <f t="shared" ref="A275:B275" si="775">A274+1</f>
        <v>4658</v>
      </c>
      <c r="B275" s="230">
        <f t="shared" si="775"/>
        <v>265</v>
      </c>
      <c r="C275" s="218" t="str">
        <f t="shared" si="754"/>
        <v>81cC13_030_180#01</v>
      </c>
      <c r="D275" s="43">
        <f t="shared" ref="D275:F275" si="776">D274</f>
        <v>13</v>
      </c>
      <c r="E275" s="61">
        <f t="shared" si="776"/>
        <v>2.149</v>
      </c>
      <c r="F275" s="44">
        <f t="shared" si="776"/>
        <v>16.530769230769231</v>
      </c>
      <c r="G275" s="44">
        <f t="shared" ref="G275:G334" si="777">m_ty*F275</f>
        <v>13.224615384615385</v>
      </c>
      <c r="H275" s="44">
        <f t="shared" ref="H275:H334" si="778">m_tz*F275</f>
        <v>8.2653846153846153</v>
      </c>
      <c r="I275" s="44">
        <f t="shared" si="652"/>
        <v>8</v>
      </c>
      <c r="J275" s="45">
        <f t="shared" si="725"/>
        <v>30</v>
      </c>
      <c r="K275" s="37" t="str">
        <f>D275&amp;-1</f>
        <v>13-1</v>
      </c>
      <c r="L275" s="45">
        <f t="shared" si="751"/>
        <v>0.2</v>
      </c>
      <c r="M275" s="49">
        <f t="shared" si="738"/>
        <v>180</v>
      </c>
      <c r="N275" s="53">
        <v>30</v>
      </c>
      <c r="O275" s="53">
        <f t="shared" ref="O275:Q275" si="779">O274</f>
        <v>150</v>
      </c>
      <c r="P275" s="44">
        <f t="shared" si="779"/>
        <v>750</v>
      </c>
      <c r="Q275" s="45" t="str">
        <f t="shared" si="779"/>
        <v>on</v>
      </c>
    </row>
    <row r="276" spans="1:17" ht="15.75" thickBot="1" x14ac:dyDescent="0.3">
      <c r="A276" s="229">
        <f t="shared" ref="A276:B276" si="780">A275+1</f>
        <v>4659</v>
      </c>
      <c r="B276" s="230">
        <f t="shared" si="780"/>
        <v>266</v>
      </c>
      <c r="C276" s="218" t="str">
        <f t="shared" si="754"/>
        <v>81cC13_030_180#02</v>
      </c>
      <c r="D276" s="43">
        <f t="shared" ref="D276:F276" si="781">D275</f>
        <v>13</v>
      </c>
      <c r="E276" s="61">
        <f t="shared" si="781"/>
        <v>2.149</v>
      </c>
      <c r="F276" s="44">
        <f t="shared" si="781"/>
        <v>16.530769230769231</v>
      </c>
      <c r="G276" s="44">
        <f t="shared" si="777"/>
        <v>13.224615384615385</v>
      </c>
      <c r="H276" s="44">
        <f t="shared" si="778"/>
        <v>8.2653846153846153</v>
      </c>
      <c r="I276" s="44">
        <f t="shared" si="652"/>
        <v>8</v>
      </c>
      <c r="J276" s="45">
        <f t="shared" si="725"/>
        <v>30</v>
      </c>
      <c r="K276" s="37" t="str">
        <f>D276&amp;-2</f>
        <v>13-2</v>
      </c>
      <c r="L276" s="45">
        <f t="shared" si="751"/>
        <v>0.2</v>
      </c>
      <c r="M276" s="49">
        <f t="shared" si="738"/>
        <v>180</v>
      </c>
      <c r="N276" s="53">
        <f>N275</f>
        <v>30</v>
      </c>
      <c r="O276" s="53">
        <f t="shared" ref="O276:Q276" si="782">O275</f>
        <v>150</v>
      </c>
      <c r="P276" s="44">
        <f t="shared" si="782"/>
        <v>750</v>
      </c>
      <c r="Q276" s="45" t="str">
        <f t="shared" si="782"/>
        <v>on</v>
      </c>
    </row>
    <row r="277" spans="1:17" ht="15.75" thickBot="1" x14ac:dyDescent="0.3">
      <c r="A277" s="229">
        <f t="shared" ref="A277:B277" si="783">A276+1</f>
        <v>4660</v>
      </c>
      <c r="B277" s="230">
        <f t="shared" si="783"/>
        <v>267</v>
      </c>
      <c r="C277" s="218" t="str">
        <f t="shared" si="754"/>
        <v>81cC13_030_180#03</v>
      </c>
      <c r="D277" s="43">
        <f t="shared" ref="D277:F277" si="784">D276</f>
        <v>13</v>
      </c>
      <c r="E277" s="61">
        <f t="shared" si="784"/>
        <v>2.149</v>
      </c>
      <c r="F277" s="44">
        <f t="shared" si="784"/>
        <v>16.530769230769231</v>
      </c>
      <c r="G277" s="44">
        <f t="shared" si="777"/>
        <v>13.224615384615385</v>
      </c>
      <c r="H277" s="44">
        <f t="shared" si="778"/>
        <v>8.2653846153846153</v>
      </c>
      <c r="I277" s="44">
        <f t="shared" si="652"/>
        <v>8</v>
      </c>
      <c r="J277" s="45">
        <f t="shared" si="725"/>
        <v>30</v>
      </c>
      <c r="K277" s="37" t="str">
        <f>D277&amp;-3</f>
        <v>13-3</v>
      </c>
      <c r="L277" s="45">
        <f t="shared" si="751"/>
        <v>0.2</v>
      </c>
      <c r="M277" s="49">
        <f t="shared" si="738"/>
        <v>180</v>
      </c>
      <c r="N277" s="53">
        <f t="shared" ref="N277:Q277" si="785">N276</f>
        <v>30</v>
      </c>
      <c r="O277" s="53">
        <f t="shared" si="785"/>
        <v>150</v>
      </c>
      <c r="P277" s="44">
        <f t="shared" si="785"/>
        <v>750</v>
      </c>
      <c r="Q277" s="45" t="str">
        <f t="shared" si="785"/>
        <v>on</v>
      </c>
    </row>
    <row r="278" spans="1:17" ht="15.75" thickBot="1" x14ac:dyDescent="0.3">
      <c r="A278" s="229">
        <f t="shared" ref="A278:B278" si="786">A277+1</f>
        <v>4661</v>
      </c>
      <c r="B278" s="230">
        <f t="shared" si="786"/>
        <v>268</v>
      </c>
      <c r="C278" s="218" t="str">
        <f t="shared" si="754"/>
        <v>81cC13_030_180#04</v>
      </c>
      <c r="D278" s="43">
        <f t="shared" ref="D278:F278" si="787">D277</f>
        <v>13</v>
      </c>
      <c r="E278" s="61">
        <f t="shared" si="787"/>
        <v>2.149</v>
      </c>
      <c r="F278" s="44">
        <f t="shared" si="787"/>
        <v>16.530769230769231</v>
      </c>
      <c r="G278" s="44">
        <f t="shared" si="777"/>
        <v>13.224615384615385</v>
      </c>
      <c r="H278" s="44">
        <f t="shared" si="778"/>
        <v>8.2653846153846153</v>
      </c>
      <c r="I278" s="44">
        <f t="shared" si="652"/>
        <v>8</v>
      </c>
      <c r="J278" s="45">
        <f t="shared" si="725"/>
        <v>30</v>
      </c>
      <c r="K278" s="37" t="str">
        <f>D278&amp;-4</f>
        <v>13-4</v>
      </c>
      <c r="L278" s="45">
        <f t="shared" si="751"/>
        <v>0.2</v>
      </c>
      <c r="M278" s="49">
        <f t="shared" si="738"/>
        <v>180</v>
      </c>
      <c r="N278" s="53">
        <f t="shared" ref="N278:Q278" si="788">N277</f>
        <v>30</v>
      </c>
      <c r="O278" s="53">
        <f t="shared" si="788"/>
        <v>150</v>
      </c>
      <c r="P278" s="44">
        <f t="shared" si="788"/>
        <v>750</v>
      </c>
      <c r="Q278" s="45" t="str">
        <f t="shared" si="788"/>
        <v>on</v>
      </c>
    </row>
    <row r="279" spans="1:17" ht="15.75" thickBot="1" x14ac:dyDescent="0.3">
      <c r="A279" s="229">
        <f t="shared" ref="A279:B279" si="789">A278+1</f>
        <v>4662</v>
      </c>
      <c r="B279" s="230">
        <f t="shared" si="789"/>
        <v>269</v>
      </c>
      <c r="C279" s="218" t="str">
        <f t="shared" si="754"/>
        <v>81cC13_030_180#05</v>
      </c>
      <c r="D279" s="43">
        <f t="shared" ref="D279:F279" si="790">D278</f>
        <v>13</v>
      </c>
      <c r="E279" s="61">
        <f t="shared" si="790"/>
        <v>2.149</v>
      </c>
      <c r="F279" s="44">
        <f t="shared" si="790"/>
        <v>16.530769230769231</v>
      </c>
      <c r="G279" s="44">
        <f t="shared" si="777"/>
        <v>13.224615384615385</v>
      </c>
      <c r="H279" s="44">
        <f t="shared" si="778"/>
        <v>8.2653846153846153</v>
      </c>
      <c r="I279" s="44">
        <f t="shared" si="652"/>
        <v>8</v>
      </c>
      <c r="J279" s="45">
        <f t="shared" si="725"/>
        <v>30</v>
      </c>
      <c r="K279" s="37" t="str">
        <f>D279&amp;-5</f>
        <v>13-5</v>
      </c>
      <c r="L279" s="45">
        <f t="shared" si="751"/>
        <v>0.2</v>
      </c>
      <c r="M279" s="49">
        <f t="shared" si="738"/>
        <v>180</v>
      </c>
      <c r="N279" s="53">
        <f t="shared" ref="N279:Q279" si="791">N278</f>
        <v>30</v>
      </c>
      <c r="O279" s="53">
        <f t="shared" si="791"/>
        <v>150</v>
      </c>
      <c r="P279" s="44">
        <f t="shared" si="791"/>
        <v>750</v>
      </c>
      <c r="Q279" s="45" t="str">
        <f t="shared" si="791"/>
        <v>on</v>
      </c>
    </row>
    <row r="280" spans="1:17" ht="15.75" thickBot="1" x14ac:dyDescent="0.3">
      <c r="A280" s="229">
        <f t="shared" ref="A280:B280" si="792">A279+1</f>
        <v>4663</v>
      </c>
      <c r="B280" s="230">
        <f t="shared" si="792"/>
        <v>270</v>
      </c>
      <c r="C280" s="218" t="str">
        <f t="shared" si="754"/>
        <v>81cC13_030_180#06</v>
      </c>
      <c r="D280" s="43">
        <f t="shared" ref="D280:F280" si="793">D279</f>
        <v>13</v>
      </c>
      <c r="E280" s="61">
        <f t="shared" si="793"/>
        <v>2.149</v>
      </c>
      <c r="F280" s="44">
        <f t="shared" si="793"/>
        <v>16.530769230769231</v>
      </c>
      <c r="G280" s="44">
        <f t="shared" si="777"/>
        <v>13.224615384615385</v>
      </c>
      <c r="H280" s="44">
        <f t="shared" si="778"/>
        <v>8.2653846153846153</v>
      </c>
      <c r="I280" s="44">
        <f t="shared" si="652"/>
        <v>8</v>
      </c>
      <c r="J280" s="45">
        <f t="shared" si="725"/>
        <v>30</v>
      </c>
      <c r="K280" s="37" t="str">
        <f>D280&amp;-6</f>
        <v>13-6</v>
      </c>
      <c r="L280" s="45">
        <f t="shared" si="751"/>
        <v>0.2</v>
      </c>
      <c r="M280" s="49">
        <f t="shared" si="738"/>
        <v>180</v>
      </c>
      <c r="N280" s="53">
        <f t="shared" ref="N280:Q280" si="794">N279</f>
        <v>30</v>
      </c>
      <c r="O280" s="53">
        <f t="shared" si="794"/>
        <v>150</v>
      </c>
      <c r="P280" s="44">
        <f t="shared" si="794"/>
        <v>750</v>
      </c>
      <c r="Q280" s="45" t="str">
        <f t="shared" si="794"/>
        <v>on</v>
      </c>
    </row>
    <row r="281" spans="1:17" ht="15.75" thickBot="1" x14ac:dyDescent="0.3">
      <c r="A281" s="229">
        <f t="shared" ref="A281:B281" si="795">A280+1</f>
        <v>4664</v>
      </c>
      <c r="B281" s="230">
        <f t="shared" si="795"/>
        <v>271</v>
      </c>
      <c r="C281" s="218" t="str">
        <f t="shared" si="754"/>
        <v>81cD13_030_180#01</v>
      </c>
      <c r="D281" s="43">
        <f t="shared" ref="D281:F281" si="796">D280</f>
        <v>13</v>
      </c>
      <c r="E281" s="61">
        <f t="shared" si="796"/>
        <v>2.149</v>
      </c>
      <c r="F281" s="44">
        <f t="shared" si="796"/>
        <v>16.530769230769231</v>
      </c>
      <c r="G281" s="44">
        <f t="shared" si="777"/>
        <v>13.224615384615385</v>
      </c>
      <c r="H281" s="44">
        <f t="shared" si="778"/>
        <v>8.2653846153846153</v>
      </c>
      <c r="I281" s="44">
        <f t="shared" si="652"/>
        <v>8</v>
      </c>
      <c r="J281" s="45">
        <f t="shared" si="725"/>
        <v>30</v>
      </c>
      <c r="K281" s="37" t="str">
        <f>D281&amp;-1</f>
        <v>13-1</v>
      </c>
      <c r="L281" s="45">
        <f t="shared" si="751"/>
        <v>0.2</v>
      </c>
      <c r="M281" s="49">
        <f t="shared" si="738"/>
        <v>180</v>
      </c>
      <c r="N281" s="53">
        <v>45</v>
      </c>
      <c r="O281" s="53">
        <f t="shared" ref="O281:Q281" si="797">O280</f>
        <v>150</v>
      </c>
      <c r="P281" s="44">
        <f t="shared" si="797"/>
        <v>750</v>
      </c>
      <c r="Q281" s="45" t="str">
        <f t="shared" si="797"/>
        <v>on</v>
      </c>
    </row>
    <row r="282" spans="1:17" ht="15.75" thickBot="1" x14ac:dyDescent="0.3">
      <c r="A282" s="229">
        <f t="shared" ref="A282:B282" si="798">A281+1</f>
        <v>4665</v>
      </c>
      <c r="B282" s="230">
        <f t="shared" si="798"/>
        <v>272</v>
      </c>
      <c r="C282" s="218" t="str">
        <f t="shared" si="754"/>
        <v>81cD13_030_180#02</v>
      </c>
      <c r="D282" s="43">
        <f t="shared" ref="D282:F282" si="799">D281</f>
        <v>13</v>
      </c>
      <c r="E282" s="61">
        <f t="shared" si="799"/>
        <v>2.149</v>
      </c>
      <c r="F282" s="44">
        <f t="shared" si="799"/>
        <v>16.530769230769231</v>
      </c>
      <c r="G282" s="44">
        <f t="shared" si="777"/>
        <v>13.224615384615385</v>
      </c>
      <c r="H282" s="44">
        <f t="shared" si="778"/>
        <v>8.2653846153846153</v>
      </c>
      <c r="I282" s="44">
        <f t="shared" si="652"/>
        <v>8</v>
      </c>
      <c r="J282" s="45">
        <f t="shared" si="725"/>
        <v>30</v>
      </c>
      <c r="K282" s="37" t="str">
        <f>D282&amp;-2</f>
        <v>13-2</v>
      </c>
      <c r="L282" s="45">
        <f t="shared" si="751"/>
        <v>0.2</v>
      </c>
      <c r="M282" s="49">
        <f t="shared" si="738"/>
        <v>180</v>
      </c>
      <c r="N282" s="53">
        <f>N281</f>
        <v>45</v>
      </c>
      <c r="O282" s="53">
        <f t="shared" ref="O282:Q282" si="800">O281</f>
        <v>150</v>
      </c>
      <c r="P282" s="44">
        <f t="shared" si="800"/>
        <v>750</v>
      </c>
      <c r="Q282" s="45" t="str">
        <f t="shared" si="800"/>
        <v>on</v>
      </c>
    </row>
    <row r="283" spans="1:17" ht="15.75" thickBot="1" x14ac:dyDescent="0.3">
      <c r="A283" s="229">
        <f t="shared" ref="A283:B283" si="801">A282+1</f>
        <v>4666</v>
      </c>
      <c r="B283" s="230">
        <f t="shared" si="801"/>
        <v>273</v>
      </c>
      <c r="C283" s="218" t="str">
        <f t="shared" si="754"/>
        <v>81cD13_030_180#03</v>
      </c>
      <c r="D283" s="43">
        <f t="shared" ref="D283:F283" si="802">D282</f>
        <v>13</v>
      </c>
      <c r="E283" s="61">
        <f t="shared" si="802"/>
        <v>2.149</v>
      </c>
      <c r="F283" s="44">
        <f t="shared" si="802"/>
        <v>16.530769230769231</v>
      </c>
      <c r="G283" s="44">
        <f t="shared" si="777"/>
        <v>13.224615384615385</v>
      </c>
      <c r="H283" s="44">
        <f t="shared" si="778"/>
        <v>8.2653846153846153</v>
      </c>
      <c r="I283" s="44">
        <f t="shared" si="652"/>
        <v>8</v>
      </c>
      <c r="J283" s="45">
        <f t="shared" si="725"/>
        <v>30</v>
      </c>
      <c r="K283" s="37" t="str">
        <f>D283&amp;-3</f>
        <v>13-3</v>
      </c>
      <c r="L283" s="45">
        <f t="shared" si="751"/>
        <v>0.2</v>
      </c>
      <c r="M283" s="49">
        <f t="shared" si="738"/>
        <v>180</v>
      </c>
      <c r="N283" s="53">
        <f t="shared" ref="N283:Q283" si="803">N282</f>
        <v>45</v>
      </c>
      <c r="O283" s="53">
        <f t="shared" si="803"/>
        <v>150</v>
      </c>
      <c r="P283" s="44">
        <f t="shared" si="803"/>
        <v>750</v>
      </c>
      <c r="Q283" s="45" t="str">
        <f t="shared" si="803"/>
        <v>on</v>
      </c>
    </row>
    <row r="284" spans="1:17" ht="15.75" thickBot="1" x14ac:dyDescent="0.3">
      <c r="A284" s="229">
        <f t="shared" ref="A284:B284" si="804">A283+1</f>
        <v>4667</v>
      </c>
      <c r="B284" s="230">
        <f t="shared" si="804"/>
        <v>274</v>
      </c>
      <c r="C284" s="218" t="str">
        <f t="shared" si="754"/>
        <v>81cD13_030_180#04</v>
      </c>
      <c r="D284" s="43">
        <f t="shared" ref="D284:F284" si="805">D283</f>
        <v>13</v>
      </c>
      <c r="E284" s="61">
        <f t="shared" si="805"/>
        <v>2.149</v>
      </c>
      <c r="F284" s="44">
        <f t="shared" si="805"/>
        <v>16.530769230769231</v>
      </c>
      <c r="G284" s="44">
        <f t="shared" si="777"/>
        <v>13.224615384615385</v>
      </c>
      <c r="H284" s="44">
        <f t="shared" si="778"/>
        <v>8.2653846153846153</v>
      </c>
      <c r="I284" s="44">
        <f t="shared" si="652"/>
        <v>8</v>
      </c>
      <c r="J284" s="45">
        <f t="shared" si="725"/>
        <v>30</v>
      </c>
      <c r="K284" s="37" t="str">
        <f>D284&amp;-4</f>
        <v>13-4</v>
      </c>
      <c r="L284" s="45">
        <f t="shared" si="751"/>
        <v>0.2</v>
      </c>
      <c r="M284" s="49">
        <f t="shared" si="738"/>
        <v>180</v>
      </c>
      <c r="N284" s="53">
        <f t="shared" ref="N284:Q284" si="806">N283</f>
        <v>45</v>
      </c>
      <c r="O284" s="53">
        <f t="shared" si="806"/>
        <v>150</v>
      </c>
      <c r="P284" s="44">
        <f t="shared" si="806"/>
        <v>750</v>
      </c>
      <c r="Q284" s="45" t="str">
        <f t="shared" si="806"/>
        <v>on</v>
      </c>
    </row>
    <row r="285" spans="1:17" ht="15.75" thickBot="1" x14ac:dyDescent="0.3">
      <c r="A285" s="229">
        <f t="shared" ref="A285:B285" si="807">A284+1</f>
        <v>4668</v>
      </c>
      <c r="B285" s="230">
        <f t="shared" si="807"/>
        <v>275</v>
      </c>
      <c r="C285" s="218" t="str">
        <f t="shared" si="754"/>
        <v>81cD13_030_180#05</v>
      </c>
      <c r="D285" s="43">
        <f t="shared" ref="D285:F285" si="808">D284</f>
        <v>13</v>
      </c>
      <c r="E285" s="61">
        <f t="shared" si="808"/>
        <v>2.149</v>
      </c>
      <c r="F285" s="44">
        <f t="shared" si="808"/>
        <v>16.530769230769231</v>
      </c>
      <c r="G285" s="44">
        <f t="shared" si="777"/>
        <v>13.224615384615385</v>
      </c>
      <c r="H285" s="44">
        <f t="shared" si="778"/>
        <v>8.2653846153846153</v>
      </c>
      <c r="I285" s="44">
        <f t="shared" si="652"/>
        <v>8</v>
      </c>
      <c r="J285" s="45">
        <f t="shared" si="725"/>
        <v>30</v>
      </c>
      <c r="K285" s="37" t="str">
        <f>D285&amp;-5</f>
        <v>13-5</v>
      </c>
      <c r="L285" s="45">
        <f t="shared" si="751"/>
        <v>0.2</v>
      </c>
      <c r="M285" s="49">
        <f t="shared" si="738"/>
        <v>180</v>
      </c>
      <c r="N285" s="53">
        <f t="shared" ref="N285:Q285" si="809">N284</f>
        <v>45</v>
      </c>
      <c r="O285" s="53">
        <f t="shared" si="809"/>
        <v>150</v>
      </c>
      <c r="P285" s="44">
        <f t="shared" si="809"/>
        <v>750</v>
      </c>
      <c r="Q285" s="45" t="str">
        <f t="shared" si="809"/>
        <v>on</v>
      </c>
    </row>
    <row r="286" spans="1:17" ht="15.75" thickBot="1" x14ac:dyDescent="0.3">
      <c r="A286" s="229">
        <f t="shared" ref="A286:B286" si="810">A285+1</f>
        <v>4669</v>
      </c>
      <c r="B286" s="230">
        <f t="shared" si="810"/>
        <v>276</v>
      </c>
      <c r="C286" s="218" t="str">
        <f t="shared" si="754"/>
        <v>81cD13_030_180#06</v>
      </c>
      <c r="D286" s="43">
        <f t="shared" ref="D286:F286" si="811">D285</f>
        <v>13</v>
      </c>
      <c r="E286" s="61">
        <f t="shared" si="811"/>
        <v>2.149</v>
      </c>
      <c r="F286" s="44">
        <f t="shared" si="811"/>
        <v>16.530769230769231</v>
      </c>
      <c r="G286" s="44">
        <f t="shared" si="777"/>
        <v>13.224615384615385</v>
      </c>
      <c r="H286" s="44">
        <f t="shared" si="778"/>
        <v>8.2653846153846153</v>
      </c>
      <c r="I286" s="44">
        <f t="shared" si="652"/>
        <v>8</v>
      </c>
      <c r="J286" s="45">
        <f t="shared" si="725"/>
        <v>30</v>
      </c>
      <c r="K286" s="37" t="str">
        <f>D286&amp;-6</f>
        <v>13-6</v>
      </c>
      <c r="L286" s="45">
        <f t="shared" si="751"/>
        <v>0.2</v>
      </c>
      <c r="M286" s="49">
        <f t="shared" si="738"/>
        <v>180</v>
      </c>
      <c r="N286" s="53">
        <f t="shared" ref="N286:Q286" si="812">N285</f>
        <v>45</v>
      </c>
      <c r="O286" s="53">
        <f t="shared" si="812"/>
        <v>150</v>
      </c>
      <c r="P286" s="44">
        <f t="shared" si="812"/>
        <v>750</v>
      </c>
      <c r="Q286" s="45" t="str">
        <f t="shared" si="812"/>
        <v>on</v>
      </c>
    </row>
    <row r="287" spans="1:17" ht="15.75" thickBot="1" x14ac:dyDescent="0.3">
      <c r="A287" s="229">
        <f t="shared" ref="A287:B287" si="813">A286+1</f>
        <v>4670</v>
      </c>
      <c r="B287" s="230">
        <f t="shared" si="813"/>
        <v>277</v>
      </c>
      <c r="C287" s="218" t="str">
        <f t="shared" si="754"/>
        <v>81cE13_030_180#01</v>
      </c>
      <c r="D287" s="43">
        <f t="shared" ref="D287:F287" si="814">D286</f>
        <v>13</v>
      </c>
      <c r="E287" s="61">
        <f t="shared" si="814"/>
        <v>2.149</v>
      </c>
      <c r="F287" s="44">
        <f t="shared" si="814"/>
        <v>16.530769230769231</v>
      </c>
      <c r="G287" s="44">
        <f t="shared" si="777"/>
        <v>13.224615384615385</v>
      </c>
      <c r="H287" s="44">
        <f t="shared" si="778"/>
        <v>8.2653846153846153</v>
      </c>
      <c r="I287" s="44">
        <f t="shared" si="652"/>
        <v>8</v>
      </c>
      <c r="J287" s="45">
        <f t="shared" si="725"/>
        <v>30</v>
      </c>
      <c r="K287" s="37" t="str">
        <f>D287&amp;-1</f>
        <v>13-1</v>
      </c>
      <c r="L287" s="45">
        <f t="shared" si="751"/>
        <v>0.2</v>
      </c>
      <c r="M287" s="49">
        <f t="shared" si="738"/>
        <v>180</v>
      </c>
      <c r="N287" s="53">
        <v>60</v>
      </c>
      <c r="O287" s="53">
        <f t="shared" ref="O287:Q287" si="815">O286</f>
        <v>150</v>
      </c>
      <c r="P287" s="44">
        <f t="shared" si="815"/>
        <v>750</v>
      </c>
      <c r="Q287" s="45" t="str">
        <f t="shared" si="815"/>
        <v>on</v>
      </c>
    </row>
    <row r="288" spans="1:17" ht="15.75" thickBot="1" x14ac:dyDescent="0.3">
      <c r="A288" s="229">
        <f t="shared" ref="A288:B288" si="816">A287+1</f>
        <v>4671</v>
      </c>
      <c r="B288" s="230">
        <f t="shared" si="816"/>
        <v>278</v>
      </c>
      <c r="C288" s="218" t="str">
        <f t="shared" si="754"/>
        <v>81cE13_030_180#02</v>
      </c>
      <c r="D288" s="43">
        <f t="shared" ref="D288:F288" si="817">D287</f>
        <v>13</v>
      </c>
      <c r="E288" s="61">
        <f t="shared" si="817"/>
        <v>2.149</v>
      </c>
      <c r="F288" s="44">
        <f t="shared" si="817"/>
        <v>16.530769230769231</v>
      </c>
      <c r="G288" s="44">
        <f t="shared" si="777"/>
        <v>13.224615384615385</v>
      </c>
      <c r="H288" s="44">
        <f t="shared" si="778"/>
        <v>8.2653846153846153</v>
      </c>
      <c r="I288" s="44">
        <f t="shared" si="652"/>
        <v>8</v>
      </c>
      <c r="J288" s="45">
        <f t="shared" si="725"/>
        <v>30</v>
      </c>
      <c r="K288" s="37" t="str">
        <f>D288&amp;-2</f>
        <v>13-2</v>
      </c>
      <c r="L288" s="45">
        <f t="shared" si="751"/>
        <v>0.2</v>
      </c>
      <c r="M288" s="49">
        <f t="shared" si="738"/>
        <v>180</v>
      </c>
      <c r="N288" s="53">
        <f>N287</f>
        <v>60</v>
      </c>
      <c r="O288" s="53">
        <f t="shared" ref="O288:Q288" si="818">O287</f>
        <v>150</v>
      </c>
      <c r="P288" s="44">
        <f t="shared" si="818"/>
        <v>750</v>
      </c>
      <c r="Q288" s="45" t="str">
        <f t="shared" si="818"/>
        <v>on</v>
      </c>
    </row>
    <row r="289" spans="1:17" ht="15.75" thickBot="1" x14ac:dyDescent="0.3">
      <c r="A289" s="229">
        <f t="shared" ref="A289:B289" si="819">A288+1</f>
        <v>4672</v>
      </c>
      <c r="B289" s="230">
        <f t="shared" si="819"/>
        <v>279</v>
      </c>
      <c r="C289" s="218" t="str">
        <f t="shared" si="754"/>
        <v>81cE13_030_180#03</v>
      </c>
      <c r="D289" s="43">
        <f t="shared" ref="D289:F289" si="820">D288</f>
        <v>13</v>
      </c>
      <c r="E289" s="61">
        <f t="shared" si="820"/>
        <v>2.149</v>
      </c>
      <c r="F289" s="44">
        <f t="shared" si="820"/>
        <v>16.530769230769231</v>
      </c>
      <c r="G289" s="44">
        <f t="shared" si="777"/>
        <v>13.224615384615385</v>
      </c>
      <c r="H289" s="44">
        <f t="shared" si="778"/>
        <v>8.2653846153846153</v>
      </c>
      <c r="I289" s="44">
        <f t="shared" si="652"/>
        <v>8</v>
      </c>
      <c r="J289" s="45">
        <f t="shared" si="725"/>
        <v>30</v>
      </c>
      <c r="K289" s="37" t="str">
        <f>D289&amp;-3</f>
        <v>13-3</v>
      </c>
      <c r="L289" s="45">
        <f t="shared" si="751"/>
        <v>0.2</v>
      </c>
      <c r="M289" s="49">
        <f t="shared" si="738"/>
        <v>180</v>
      </c>
      <c r="N289" s="53">
        <f t="shared" ref="N289:Q289" si="821">N288</f>
        <v>60</v>
      </c>
      <c r="O289" s="53">
        <f t="shared" si="821"/>
        <v>150</v>
      </c>
      <c r="P289" s="44">
        <f t="shared" si="821"/>
        <v>750</v>
      </c>
      <c r="Q289" s="45" t="str">
        <f t="shared" si="821"/>
        <v>on</v>
      </c>
    </row>
    <row r="290" spans="1:17" ht="15.75" thickBot="1" x14ac:dyDescent="0.3">
      <c r="A290" s="229">
        <f t="shared" ref="A290:B290" si="822">A289+1</f>
        <v>4673</v>
      </c>
      <c r="B290" s="230">
        <f t="shared" si="822"/>
        <v>280</v>
      </c>
      <c r="C290" s="218" t="str">
        <f t="shared" si="754"/>
        <v>81cE13_030_180#04</v>
      </c>
      <c r="D290" s="43">
        <f t="shared" ref="D290:F290" si="823">D289</f>
        <v>13</v>
      </c>
      <c r="E290" s="61">
        <f t="shared" si="823"/>
        <v>2.149</v>
      </c>
      <c r="F290" s="44">
        <f t="shared" si="823"/>
        <v>16.530769230769231</v>
      </c>
      <c r="G290" s="44">
        <f t="shared" si="777"/>
        <v>13.224615384615385</v>
      </c>
      <c r="H290" s="44">
        <f t="shared" si="778"/>
        <v>8.2653846153846153</v>
      </c>
      <c r="I290" s="44">
        <f t="shared" si="652"/>
        <v>8</v>
      </c>
      <c r="J290" s="45">
        <f t="shared" si="725"/>
        <v>30</v>
      </c>
      <c r="K290" s="37" t="str">
        <f>D290&amp;-4</f>
        <v>13-4</v>
      </c>
      <c r="L290" s="45">
        <f t="shared" si="751"/>
        <v>0.2</v>
      </c>
      <c r="M290" s="49">
        <f t="shared" si="738"/>
        <v>180</v>
      </c>
      <c r="N290" s="53">
        <f t="shared" ref="N290:Q290" si="824">N289</f>
        <v>60</v>
      </c>
      <c r="O290" s="53">
        <f t="shared" si="824"/>
        <v>150</v>
      </c>
      <c r="P290" s="44">
        <f t="shared" si="824"/>
        <v>750</v>
      </c>
      <c r="Q290" s="45" t="str">
        <f t="shared" si="824"/>
        <v>on</v>
      </c>
    </row>
    <row r="291" spans="1:17" ht="15.75" thickBot="1" x14ac:dyDescent="0.3">
      <c r="A291" s="229">
        <f t="shared" ref="A291:B291" si="825">A290+1</f>
        <v>4674</v>
      </c>
      <c r="B291" s="230">
        <f t="shared" si="825"/>
        <v>281</v>
      </c>
      <c r="C291" s="218" t="str">
        <f t="shared" si="754"/>
        <v>81cE13_030_180#05</v>
      </c>
      <c r="D291" s="43">
        <f t="shared" ref="D291:F291" si="826">D290</f>
        <v>13</v>
      </c>
      <c r="E291" s="61">
        <f t="shared" si="826"/>
        <v>2.149</v>
      </c>
      <c r="F291" s="44">
        <f t="shared" si="826"/>
        <v>16.530769230769231</v>
      </c>
      <c r="G291" s="44">
        <f t="shared" si="777"/>
        <v>13.224615384615385</v>
      </c>
      <c r="H291" s="44">
        <f t="shared" si="778"/>
        <v>8.2653846153846153</v>
      </c>
      <c r="I291" s="44">
        <f t="shared" si="652"/>
        <v>8</v>
      </c>
      <c r="J291" s="45">
        <f t="shared" ref="J291:J322" si="827">dlc81c_y3</f>
        <v>30</v>
      </c>
      <c r="K291" s="37" t="str">
        <f>D291&amp;-5</f>
        <v>13-5</v>
      </c>
      <c r="L291" s="45">
        <f t="shared" si="751"/>
        <v>0.2</v>
      </c>
      <c r="M291" s="49">
        <f t="shared" si="738"/>
        <v>180</v>
      </c>
      <c r="N291" s="53">
        <f t="shared" ref="N291:Q291" si="828">N290</f>
        <v>60</v>
      </c>
      <c r="O291" s="53">
        <f t="shared" si="828"/>
        <v>150</v>
      </c>
      <c r="P291" s="44">
        <f t="shared" si="828"/>
        <v>750</v>
      </c>
      <c r="Q291" s="45" t="str">
        <f t="shared" si="828"/>
        <v>on</v>
      </c>
    </row>
    <row r="292" spans="1:17" ht="15.75" thickBot="1" x14ac:dyDescent="0.3">
      <c r="A292" s="229">
        <f t="shared" ref="A292:B292" si="829">A291+1</f>
        <v>4675</v>
      </c>
      <c r="B292" s="230">
        <f t="shared" si="829"/>
        <v>282</v>
      </c>
      <c r="C292" s="218" t="str">
        <f t="shared" si="754"/>
        <v>81cE13_030_180#06</v>
      </c>
      <c r="D292" s="43">
        <f t="shared" ref="D292:F292" si="830">D291</f>
        <v>13</v>
      </c>
      <c r="E292" s="61">
        <f t="shared" si="830"/>
        <v>2.149</v>
      </c>
      <c r="F292" s="44">
        <f t="shared" si="830"/>
        <v>16.530769230769231</v>
      </c>
      <c r="G292" s="44">
        <f t="shared" si="777"/>
        <v>13.224615384615385</v>
      </c>
      <c r="H292" s="44">
        <f t="shared" si="778"/>
        <v>8.2653846153846153</v>
      </c>
      <c r="I292" s="44">
        <f t="shared" si="652"/>
        <v>8</v>
      </c>
      <c r="J292" s="45">
        <f t="shared" si="827"/>
        <v>30</v>
      </c>
      <c r="K292" s="37" t="str">
        <f>D292&amp;-6</f>
        <v>13-6</v>
      </c>
      <c r="L292" s="45">
        <f t="shared" si="751"/>
        <v>0.2</v>
      </c>
      <c r="M292" s="49">
        <f t="shared" si="738"/>
        <v>180</v>
      </c>
      <c r="N292" s="53">
        <f t="shared" ref="N292:Q292" si="831">N291</f>
        <v>60</v>
      </c>
      <c r="O292" s="53">
        <f t="shared" si="831"/>
        <v>150</v>
      </c>
      <c r="P292" s="44">
        <f t="shared" si="831"/>
        <v>750</v>
      </c>
      <c r="Q292" s="45" t="str">
        <f t="shared" si="831"/>
        <v>on</v>
      </c>
    </row>
    <row r="293" spans="1:17" ht="15.75" thickBot="1" x14ac:dyDescent="0.3">
      <c r="A293" s="229">
        <f t="shared" ref="A293:B293" si="832">A292+1</f>
        <v>4676</v>
      </c>
      <c r="B293" s="230">
        <f t="shared" si="832"/>
        <v>283</v>
      </c>
      <c r="C293" s="218" t="str">
        <f t="shared" si="754"/>
        <v>81cF13_030_180#01</v>
      </c>
      <c r="D293" s="43">
        <f t="shared" ref="D293:F293" si="833">D292</f>
        <v>13</v>
      </c>
      <c r="E293" s="61">
        <f t="shared" si="833"/>
        <v>2.149</v>
      </c>
      <c r="F293" s="44">
        <f t="shared" si="833"/>
        <v>16.530769230769231</v>
      </c>
      <c r="G293" s="44">
        <f t="shared" si="777"/>
        <v>13.224615384615385</v>
      </c>
      <c r="H293" s="44">
        <f t="shared" si="778"/>
        <v>8.2653846153846153</v>
      </c>
      <c r="I293" s="44">
        <f t="shared" si="652"/>
        <v>8</v>
      </c>
      <c r="J293" s="45">
        <f t="shared" si="827"/>
        <v>30</v>
      </c>
      <c r="K293" s="37" t="str">
        <f>D293&amp;-1</f>
        <v>13-1</v>
      </c>
      <c r="L293" s="45">
        <f t="shared" si="751"/>
        <v>0.2</v>
      </c>
      <c r="M293" s="49">
        <f t="shared" si="738"/>
        <v>180</v>
      </c>
      <c r="N293" s="53">
        <v>75</v>
      </c>
      <c r="O293" s="53">
        <f t="shared" ref="O293:Q293" si="834">O292</f>
        <v>150</v>
      </c>
      <c r="P293" s="44">
        <f t="shared" si="834"/>
        <v>750</v>
      </c>
      <c r="Q293" s="45" t="str">
        <f t="shared" si="834"/>
        <v>on</v>
      </c>
    </row>
    <row r="294" spans="1:17" ht="15.75" thickBot="1" x14ac:dyDescent="0.3">
      <c r="A294" s="229">
        <f t="shared" ref="A294:B294" si="835">A293+1</f>
        <v>4677</v>
      </c>
      <c r="B294" s="230">
        <f t="shared" si="835"/>
        <v>284</v>
      </c>
      <c r="C294" s="218" t="str">
        <f t="shared" si="754"/>
        <v>81cF13_030_180#02</v>
      </c>
      <c r="D294" s="43">
        <f t="shared" ref="D294:F294" si="836">D293</f>
        <v>13</v>
      </c>
      <c r="E294" s="61">
        <f t="shared" si="836"/>
        <v>2.149</v>
      </c>
      <c r="F294" s="44">
        <f t="shared" si="836"/>
        <v>16.530769230769231</v>
      </c>
      <c r="G294" s="44">
        <f t="shared" si="777"/>
        <v>13.224615384615385</v>
      </c>
      <c r="H294" s="44">
        <f t="shared" si="778"/>
        <v>8.2653846153846153</v>
      </c>
      <c r="I294" s="44">
        <f t="shared" si="652"/>
        <v>8</v>
      </c>
      <c r="J294" s="45">
        <f t="shared" si="827"/>
        <v>30</v>
      </c>
      <c r="K294" s="37" t="str">
        <f>D294&amp;-2</f>
        <v>13-2</v>
      </c>
      <c r="L294" s="45">
        <f t="shared" si="751"/>
        <v>0.2</v>
      </c>
      <c r="M294" s="49">
        <f t="shared" si="738"/>
        <v>180</v>
      </c>
      <c r="N294" s="53">
        <f>N293</f>
        <v>75</v>
      </c>
      <c r="O294" s="53">
        <f t="shared" ref="O294:Q294" si="837">O293</f>
        <v>150</v>
      </c>
      <c r="P294" s="44">
        <f t="shared" si="837"/>
        <v>750</v>
      </c>
      <c r="Q294" s="45" t="str">
        <f t="shared" si="837"/>
        <v>on</v>
      </c>
    </row>
    <row r="295" spans="1:17" ht="15.75" thickBot="1" x14ac:dyDescent="0.3">
      <c r="A295" s="229">
        <f t="shared" ref="A295:B295" si="838">A294+1</f>
        <v>4678</v>
      </c>
      <c r="B295" s="230">
        <f t="shared" si="838"/>
        <v>285</v>
      </c>
      <c r="C295" s="218" t="str">
        <f t="shared" si="754"/>
        <v>81cF13_030_180#03</v>
      </c>
      <c r="D295" s="43">
        <f t="shared" ref="D295:F295" si="839">D294</f>
        <v>13</v>
      </c>
      <c r="E295" s="61">
        <f t="shared" si="839"/>
        <v>2.149</v>
      </c>
      <c r="F295" s="44">
        <f t="shared" si="839"/>
        <v>16.530769230769231</v>
      </c>
      <c r="G295" s="44">
        <f t="shared" si="777"/>
        <v>13.224615384615385</v>
      </c>
      <c r="H295" s="44">
        <f t="shared" si="778"/>
        <v>8.2653846153846153</v>
      </c>
      <c r="I295" s="44">
        <f t="shared" si="652"/>
        <v>8</v>
      </c>
      <c r="J295" s="45">
        <f t="shared" si="827"/>
        <v>30</v>
      </c>
      <c r="K295" s="37" t="str">
        <f>D295&amp;-3</f>
        <v>13-3</v>
      </c>
      <c r="L295" s="45">
        <f t="shared" si="751"/>
        <v>0.2</v>
      </c>
      <c r="M295" s="49">
        <f t="shared" si="738"/>
        <v>180</v>
      </c>
      <c r="N295" s="53">
        <f t="shared" ref="N295:Q295" si="840">N294</f>
        <v>75</v>
      </c>
      <c r="O295" s="53">
        <f t="shared" si="840"/>
        <v>150</v>
      </c>
      <c r="P295" s="44">
        <f t="shared" si="840"/>
        <v>750</v>
      </c>
      <c r="Q295" s="45" t="str">
        <f t="shared" si="840"/>
        <v>on</v>
      </c>
    </row>
    <row r="296" spans="1:17" ht="15.75" thickBot="1" x14ac:dyDescent="0.3">
      <c r="A296" s="229">
        <f t="shared" ref="A296:B296" si="841">A295+1</f>
        <v>4679</v>
      </c>
      <c r="B296" s="230">
        <f t="shared" si="841"/>
        <v>286</v>
      </c>
      <c r="C296" s="218" t="str">
        <f t="shared" si="754"/>
        <v>81cF13_030_180#04</v>
      </c>
      <c r="D296" s="43">
        <f t="shared" ref="D296:F296" si="842">D295</f>
        <v>13</v>
      </c>
      <c r="E296" s="61">
        <f t="shared" si="842"/>
        <v>2.149</v>
      </c>
      <c r="F296" s="44">
        <f t="shared" si="842"/>
        <v>16.530769230769231</v>
      </c>
      <c r="G296" s="44">
        <f t="shared" si="777"/>
        <v>13.224615384615385</v>
      </c>
      <c r="H296" s="44">
        <f t="shared" si="778"/>
        <v>8.2653846153846153</v>
      </c>
      <c r="I296" s="44">
        <f t="shared" si="652"/>
        <v>8</v>
      </c>
      <c r="J296" s="45">
        <f t="shared" si="827"/>
        <v>30</v>
      </c>
      <c r="K296" s="37" t="str">
        <f>D296&amp;-4</f>
        <v>13-4</v>
      </c>
      <c r="L296" s="45">
        <f t="shared" si="751"/>
        <v>0.2</v>
      </c>
      <c r="M296" s="49">
        <f t="shared" si="738"/>
        <v>180</v>
      </c>
      <c r="N296" s="53">
        <f t="shared" ref="N296:Q296" si="843">N295</f>
        <v>75</v>
      </c>
      <c r="O296" s="53">
        <f t="shared" si="843"/>
        <v>150</v>
      </c>
      <c r="P296" s="44">
        <f t="shared" si="843"/>
        <v>750</v>
      </c>
      <c r="Q296" s="45" t="str">
        <f t="shared" si="843"/>
        <v>on</v>
      </c>
    </row>
    <row r="297" spans="1:17" ht="15.75" thickBot="1" x14ac:dyDescent="0.3">
      <c r="A297" s="229">
        <f t="shared" ref="A297:B297" si="844">A296+1</f>
        <v>4680</v>
      </c>
      <c r="B297" s="230">
        <f t="shared" si="844"/>
        <v>287</v>
      </c>
      <c r="C297" s="218" t="str">
        <f t="shared" si="754"/>
        <v>81cF13_030_180#05</v>
      </c>
      <c r="D297" s="43">
        <f t="shared" ref="D297:F297" si="845">D296</f>
        <v>13</v>
      </c>
      <c r="E297" s="61">
        <f t="shared" si="845"/>
        <v>2.149</v>
      </c>
      <c r="F297" s="44">
        <f t="shared" si="845"/>
        <v>16.530769230769231</v>
      </c>
      <c r="G297" s="44">
        <f t="shared" si="777"/>
        <v>13.224615384615385</v>
      </c>
      <c r="H297" s="44">
        <f t="shared" si="778"/>
        <v>8.2653846153846153</v>
      </c>
      <c r="I297" s="44">
        <f t="shared" si="652"/>
        <v>8</v>
      </c>
      <c r="J297" s="45">
        <f t="shared" si="827"/>
        <v>30</v>
      </c>
      <c r="K297" s="37" t="str">
        <f>D297&amp;-5</f>
        <v>13-5</v>
      </c>
      <c r="L297" s="45">
        <f t="shared" si="751"/>
        <v>0.2</v>
      </c>
      <c r="M297" s="49">
        <f t="shared" si="738"/>
        <v>180</v>
      </c>
      <c r="N297" s="53">
        <f t="shared" ref="N297:Q297" si="846">N296</f>
        <v>75</v>
      </c>
      <c r="O297" s="53">
        <f t="shared" si="846"/>
        <v>150</v>
      </c>
      <c r="P297" s="44">
        <f t="shared" si="846"/>
        <v>750</v>
      </c>
      <c r="Q297" s="45" t="str">
        <f t="shared" si="846"/>
        <v>on</v>
      </c>
    </row>
    <row r="298" spans="1:17" ht="15.75" thickBot="1" x14ac:dyDescent="0.3">
      <c r="A298" s="229">
        <f t="shared" ref="A298:B298" si="847">A297+1</f>
        <v>4681</v>
      </c>
      <c r="B298" s="230">
        <f t="shared" si="847"/>
        <v>288</v>
      </c>
      <c r="C298" s="218" t="str">
        <f t="shared" si="754"/>
        <v>81cF13_030_180#06</v>
      </c>
      <c r="D298" s="43">
        <f t="shared" ref="D298:F298" si="848">D297</f>
        <v>13</v>
      </c>
      <c r="E298" s="61">
        <f t="shared" si="848"/>
        <v>2.149</v>
      </c>
      <c r="F298" s="44">
        <f t="shared" si="848"/>
        <v>16.530769230769231</v>
      </c>
      <c r="G298" s="44">
        <f t="shared" si="777"/>
        <v>13.224615384615385</v>
      </c>
      <c r="H298" s="44">
        <f t="shared" si="778"/>
        <v>8.2653846153846153</v>
      </c>
      <c r="I298" s="44">
        <f t="shared" si="652"/>
        <v>8</v>
      </c>
      <c r="J298" s="45">
        <f t="shared" si="827"/>
        <v>30</v>
      </c>
      <c r="K298" s="37" t="str">
        <f>D298&amp;-6</f>
        <v>13-6</v>
      </c>
      <c r="L298" s="45">
        <f t="shared" si="751"/>
        <v>0.2</v>
      </c>
      <c r="M298" s="49">
        <f t="shared" si="738"/>
        <v>180</v>
      </c>
      <c r="N298" s="53">
        <f t="shared" ref="N298:Q298" si="849">N297</f>
        <v>75</v>
      </c>
      <c r="O298" s="53">
        <f t="shared" si="849"/>
        <v>150</v>
      </c>
      <c r="P298" s="44">
        <f t="shared" si="849"/>
        <v>750</v>
      </c>
      <c r="Q298" s="45" t="str">
        <f t="shared" si="849"/>
        <v>on</v>
      </c>
    </row>
    <row r="299" spans="1:17" ht="15.75" thickBot="1" x14ac:dyDescent="0.3">
      <c r="A299" s="229">
        <f t="shared" ref="A299:B299" si="850">A298+1</f>
        <v>4682</v>
      </c>
      <c r="B299" s="230">
        <f t="shared" si="850"/>
        <v>289</v>
      </c>
      <c r="C299" s="218" t="str">
        <f t="shared" si="754"/>
        <v>81cA13_030_270#01</v>
      </c>
      <c r="D299" s="43">
        <f t="shared" ref="D299:F299" si="851">D298</f>
        <v>13</v>
      </c>
      <c r="E299" s="61">
        <f t="shared" si="851"/>
        <v>2.149</v>
      </c>
      <c r="F299" s="44">
        <f t="shared" si="851"/>
        <v>16.530769230769231</v>
      </c>
      <c r="G299" s="44">
        <f t="shared" si="777"/>
        <v>13.224615384615385</v>
      </c>
      <c r="H299" s="44">
        <f t="shared" si="778"/>
        <v>8.2653846153846153</v>
      </c>
      <c r="I299" s="44">
        <f t="shared" ref="I299:I334" si="852">inflow</f>
        <v>8</v>
      </c>
      <c r="J299" s="45">
        <f t="shared" si="827"/>
        <v>30</v>
      </c>
      <c r="K299" s="37" t="str">
        <f>D299&amp;-1</f>
        <v>13-1</v>
      </c>
      <c r="L299" s="45">
        <f t="shared" si="751"/>
        <v>0.2</v>
      </c>
      <c r="M299" s="49">
        <f t="shared" ref="M299:M334" si="853">dlc81c_r3</f>
        <v>270</v>
      </c>
      <c r="N299" s="53">
        <v>0</v>
      </c>
      <c r="O299" s="53">
        <f t="shared" ref="O299:Q299" si="854">O298</f>
        <v>150</v>
      </c>
      <c r="P299" s="44">
        <f t="shared" si="854"/>
        <v>750</v>
      </c>
      <c r="Q299" s="45" t="str">
        <f t="shared" si="854"/>
        <v>on</v>
      </c>
    </row>
    <row r="300" spans="1:17" ht="15.75" thickBot="1" x14ac:dyDescent="0.3">
      <c r="A300" s="229">
        <f t="shared" ref="A300:B300" si="855">A299+1</f>
        <v>4683</v>
      </c>
      <c r="B300" s="230">
        <f t="shared" si="855"/>
        <v>290</v>
      </c>
      <c r="C300" s="218" t="str">
        <f t="shared" si="754"/>
        <v>81cA13_030_270#02</v>
      </c>
      <c r="D300" s="43">
        <f t="shared" ref="D300:F300" si="856">D299</f>
        <v>13</v>
      </c>
      <c r="E300" s="61">
        <f t="shared" si="856"/>
        <v>2.149</v>
      </c>
      <c r="F300" s="44">
        <f t="shared" si="856"/>
        <v>16.530769230769231</v>
      </c>
      <c r="G300" s="44">
        <f t="shared" si="777"/>
        <v>13.224615384615385</v>
      </c>
      <c r="H300" s="44">
        <f t="shared" si="778"/>
        <v>8.2653846153846153</v>
      </c>
      <c r="I300" s="44">
        <f t="shared" si="852"/>
        <v>8</v>
      </c>
      <c r="J300" s="45">
        <f t="shared" si="827"/>
        <v>30</v>
      </c>
      <c r="K300" s="37" t="str">
        <f>D300&amp;-2</f>
        <v>13-2</v>
      </c>
      <c r="L300" s="45">
        <f t="shared" si="751"/>
        <v>0.2</v>
      </c>
      <c r="M300" s="49">
        <f t="shared" si="853"/>
        <v>270</v>
      </c>
      <c r="N300" s="53">
        <f>N299</f>
        <v>0</v>
      </c>
      <c r="O300" s="53">
        <f t="shared" ref="O300:Q300" si="857">O299</f>
        <v>150</v>
      </c>
      <c r="P300" s="44">
        <f t="shared" si="857"/>
        <v>750</v>
      </c>
      <c r="Q300" s="45" t="str">
        <f t="shared" si="857"/>
        <v>on</v>
      </c>
    </row>
    <row r="301" spans="1:17" ht="15.75" thickBot="1" x14ac:dyDescent="0.3">
      <c r="A301" s="229">
        <f t="shared" ref="A301:B301" si="858">A300+1</f>
        <v>4684</v>
      </c>
      <c r="B301" s="230">
        <f t="shared" si="858"/>
        <v>291</v>
      </c>
      <c r="C301" s="218" t="str">
        <f t="shared" si="754"/>
        <v>81cA13_030_270#03</v>
      </c>
      <c r="D301" s="43">
        <f t="shared" ref="D301:F301" si="859">D300</f>
        <v>13</v>
      </c>
      <c r="E301" s="61">
        <f t="shared" si="859"/>
        <v>2.149</v>
      </c>
      <c r="F301" s="44">
        <f t="shared" si="859"/>
        <v>16.530769230769231</v>
      </c>
      <c r="G301" s="44">
        <f t="shared" si="777"/>
        <v>13.224615384615385</v>
      </c>
      <c r="H301" s="44">
        <f t="shared" si="778"/>
        <v>8.2653846153846153</v>
      </c>
      <c r="I301" s="44">
        <f t="shared" si="852"/>
        <v>8</v>
      </c>
      <c r="J301" s="45">
        <f t="shared" si="827"/>
        <v>30</v>
      </c>
      <c r="K301" s="37" t="str">
        <f>D301&amp;-3</f>
        <v>13-3</v>
      </c>
      <c r="L301" s="45">
        <f t="shared" si="751"/>
        <v>0.2</v>
      </c>
      <c r="M301" s="49">
        <f t="shared" si="853"/>
        <v>270</v>
      </c>
      <c r="N301" s="53">
        <f t="shared" ref="N301:Q301" si="860">N300</f>
        <v>0</v>
      </c>
      <c r="O301" s="53">
        <f t="shared" si="860"/>
        <v>150</v>
      </c>
      <c r="P301" s="44">
        <f t="shared" si="860"/>
        <v>750</v>
      </c>
      <c r="Q301" s="45" t="str">
        <f t="shared" si="860"/>
        <v>on</v>
      </c>
    </row>
    <row r="302" spans="1:17" ht="15.75" thickBot="1" x14ac:dyDescent="0.3">
      <c r="A302" s="229">
        <f t="shared" ref="A302:B302" si="861">A301+1</f>
        <v>4685</v>
      </c>
      <c r="B302" s="230">
        <f t="shared" si="861"/>
        <v>292</v>
      </c>
      <c r="C302" s="218" t="str">
        <f t="shared" si="754"/>
        <v>81cA13_030_270#04</v>
      </c>
      <c r="D302" s="43">
        <f t="shared" ref="D302:F302" si="862">D301</f>
        <v>13</v>
      </c>
      <c r="E302" s="61">
        <f t="shared" si="862"/>
        <v>2.149</v>
      </c>
      <c r="F302" s="44">
        <f t="shared" si="862"/>
        <v>16.530769230769231</v>
      </c>
      <c r="G302" s="44">
        <f t="shared" si="777"/>
        <v>13.224615384615385</v>
      </c>
      <c r="H302" s="44">
        <f t="shared" si="778"/>
        <v>8.2653846153846153</v>
      </c>
      <c r="I302" s="44">
        <f t="shared" si="852"/>
        <v>8</v>
      </c>
      <c r="J302" s="45">
        <f t="shared" si="827"/>
        <v>30</v>
      </c>
      <c r="K302" s="37" t="str">
        <f>D302&amp;-4</f>
        <v>13-4</v>
      </c>
      <c r="L302" s="45">
        <f t="shared" si="751"/>
        <v>0.2</v>
      </c>
      <c r="M302" s="49">
        <f t="shared" si="853"/>
        <v>270</v>
      </c>
      <c r="N302" s="53">
        <f t="shared" ref="N302:Q302" si="863">N301</f>
        <v>0</v>
      </c>
      <c r="O302" s="53">
        <f t="shared" si="863"/>
        <v>150</v>
      </c>
      <c r="P302" s="44">
        <f t="shared" si="863"/>
        <v>750</v>
      </c>
      <c r="Q302" s="45" t="str">
        <f t="shared" si="863"/>
        <v>on</v>
      </c>
    </row>
    <row r="303" spans="1:17" ht="15.75" thickBot="1" x14ac:dyDescent="0.3">
      <c r="A303" s="229">
        <f t="shared" ref="A303:B303" si="864">A302+1</f>
        <v>4686</v>
      </c>
      <c r="B303" s="230">
        <f t="shared" si="864"/>
        <v>293</v>
      </c>
      <c r="C303" s="218" t="str">
        <f t="shared" si="754"/>
        <v>81cA13_030_270#05</v>
      </c>
      <c r="D303" s="43">
        <f t="shared" ref="D303:F303" si="865">D302</f>
        <v>13</v>
      </c>
      <c r="E303" s="61">
        <f t="shared" si="865"/>
        <v>2.149</v>
      </c>
      <c r="F303" s="44">
        <f t="shared" si="865"/>
        <v>16.530769230769231</v>
      </c>
      <c r="G303" s="44">
        <f t="shared" si="777"/>
        <v>13.224615384615385</v>
      </c>
      <c r="H303" s="44">
        <f t="shared" si="778"/>
        <v>8.2653846153846153</v>
      </c>
      <c r="I303" s="44">
        <f t="shared" si="852"/>
        <v>8</v>
      </c>
      <c r="J303" s="45">
        <f t="shared" si="827"/>
        <v>30</v>
      </c>
      <c r="K303" s="37" t="str">
        <f>D303&amp;-5</f>
        <v>13-5</v>
      </c>
      <c r="L303" s="45">
        <f t="shared" si="751"/>
        <v>0.2</v>
      </c>
      <c r="M303" s="49">
        <f t="shared" si="853"/>
        <v>270</v>
      </c>
      <c r="N303" s="53">
        <f t="shared" ref="N303:Q303" si="866">N302</f>
        <v>0</v>
      </c>
      <c r="O303" s="53">
        <f t="shared" si="866"/>
        <v>150</v>
      </c>
      <c r="P303" s="44">
        <f t="shared" si="866"/>
        <v>750</v>
      </c>
      <c r="Q303" s="45" t="str">
        <f t="shared" si="866"/>
        <v>on</v>
      </c>
    </row>
    <row r="304" spans="1:17" ht="15.75" thickBot="1" x14ac:dyDescent="0.3">
      <c r="A304" s="229">
        <f t="shared" ref="A304:B304" si="867">A303+1</f>
        <v>4687</v>
      </c>
      <c r="B304" s="230">
        <f t="shared" si="867"/>
        <v>294</v>
      </c>
      <c r="C304" s="218" t="str">
        <f t="shared" si="754"/>
        <v>81cA13_030_270#06</v>
      </c>
      <c r="D304" s="43">
        <f t="shared" ref="D304:F304" si="868">D303</f>
        <v>13</v>
      </c>
      <c r="E304" s="61">
        <f t="shared" si="868"/>
        <v>2.149</v>
      </c>
      <c r="F304" s="44">
        <f t="shared" si="868"/>
        <v>16.530769230769231</v>
      </c>
      <c r="G304" s="44">
        <f t="shared" si="777"/>
        <v>13.224615384615385</v>
      </c>
      <c r="H304" s="44">
        <f t="shared" si="778"/>
        <v>8.2653846153846153</v>
      </c>
      <c r="I304" s="44">
        <f t="shared" si="852"/>
        <v>8</v>
      </c>
      <c r="J304" s="45">
        <f t="shared" si="827"/>
        <v>30</v>
      </c>
      <c r="K304" s="37" t="str">
        <f>D304&amp;-6</f>
        <v>13-6</v>
      </c>
      <c r="L304" s="45">
        <f t="shared" si="751"/>
        <v>0.2</v>
      </c>
      <c r="M304" s="49">
        <f t="shared" si="853"/>
        <v>270</v>
      </c>
      <c r="N304" s="53">
        <f t="shared" ref="N304:Q304" si="869">N303</f>
        <v>0</v>
      </c>
      <c r="O304" s="53">
        <f t="shared" si="869"/>
        <v>150</v>
      </c>
      <c r="P304" s="44">
        <f t="shared" si="869"/>
        <v>750</v>
      </c>
      <c r="Q304" s="45" t="str">
        <f t="shared" si="869"/>
        <v>on</v>
      </c>
    </row>
    <row r="305" spans="1:17" ht="15.75" thickBot="1" x14ac:dyDescent="0.3">
      <c r="A305" s="229">
        <f t="shared" ref="A305:B305" si="870">A304+1</f>
        <v>4688</v>
      </c>
      <c r="B305" s="230">
        <f t="shared" si="870"/>
        <v>295</v>
      </c>
      <c r="C305" s="218" t="str">
        <f t="shared" si="754"/>
        <v>81cB13_030_270#01</v>
      </c>
      <c r="D305" s="43">
        <f t="shared" ref="D305:F305" si="871">D304</f>
        <v>13</v>
      </c>
      <c r="E305" s="61">
        <f t="shared" si="871"/>
        <v>2.149</v>
      </c>
      <c r="F305" s="44">
        <f t="shared" si="871"/>
        <v>16.530769230769231</v>
      </c>
      <c r="G305" s="44">
        <f t="shared" si="777"/>
        <v>13.224615384615385</v>
      </c>
      <c r="H305" s="44">
        <f t="shared" si="778"/>
        <v>8.2653846153846153</v>
      </c>
      <c r="I305" s="44">
        <f t="shared" si="852"/>
        <v>8</v>
      </c>
      <c r="J305" s="45">
        <f t="shared" si="827"/>
        <v>30</v>
      </c>
      <c r="K305" s="37" t="str">
        <f>D305&amp;-1</f>
        <v>13-1</v>
      </c>
      <c r="L305" s="45">
        <f t="shared" si="751"/>
        <v>0.2</v>
      </c>
      <c r="M305" s="49">
        <f t="shared" si="853"/>
        <v>270</v>
      </c>
      <c r="N305" s="53">
        <v>15</v>
      </c>
      <c r="O305" s="53">
        <f t="shared" ref="O305:Q305" si="872">O304</f>
        <v>150</v>
      </c>
      <c r="P305" s="44">
        <f t="shared" si="872"/>
        <v>750</v>
      </c>
      <c r="Q305" s="45" t="str">
        <f t="shared" si="872"/>
        <v>on</v>
      </c>
    </row>
    <row r="306" spans="1:17" ht="15.75" thickBot="1" x14ac:dyDescent="0.3">
      <c r="A306" s="229">
        <f t="shared" ref="A306:B306" si="873">A305+1</f>
        <v>4689</v>
      </c>
      <c r="B306" s="230">
        <f t="shared" si="873"/>
        <v>296</v>
      </c>
      <c r="C306" s="218" t="str">
        <f t="shared" si="754"/>
        <v>81cB13_030_270#02</v>
      </c>
      <c r="D306" s="43">
        <f t="shared" ref="D306:F306" si="874">D305</f>
        <v>13</v>
      </c>
      <c r="E306" s="61">
        <f t="shared" si="874"/>
        <v>2.149</v>
      </c>
      <c r="F306" s="44">
        <f t="shared" si="874"/>
        <v>16.530769230769231</v>
      </c>
      <c r="G306" s="44">
        <f t="shared" si="777"/>
        <v>13.224615384615385</v>
      </c>
      <c r="H306" s="44">
        <f t="shared" si="778"/>
        <v>8.2653846153846153</v>
      </c>
      <c r="I306" s="44">
        <f t="shared" si="852"/>
        <v>8</v>
      </c>
      <c r="J306" s="45">
        <f t="shared" si="827"/>
        <v>30</v>
      </c>
      <c r="K306" s="37" t="str">
        <f>D306&amp;-2</f>
        <v>13-2</v>
      </c>
      <c r="L306" s="45">
        <f t="shared" si="751"/>
        <v>0.2</v>
      </c>
      <c r="M306" s="49">
        <f t="shared" si="853"/>
        <v>270</v>
      </c>
      <c r="N306" s="53">
        <f>N305</f>
        <v>15</v>
      </c>
      <c r="O306" s="53">
        <f t="shared" ref="O306:Q306" si="875">O305</f>
        <v>150</v>
      </c>
      <c r="P306" s="44">
        <f t="shared" si="875"/>
        <v>750</v>
      </c>
      <c r="Q306" s="45" t="str">
        <f t="shared" si="875"/>
        <v>on</v>
      </c>
    </row>
    <row r="307" spans="1:17" ht="15.75" thickBot="1" x14ac:dyDescent="0.3">
      <c r="A307" s="229">
        <f t="shared" ref="A307:B307" si="876">A306+1</f>
        <v>4690</v>
      </c>
      <c r="B307" s="230">
        <f t="shared" si="876"/>
        <v>297</v>
      </c>
      <c r="C307" s="218" t="str">
        <f t="shared" si="754"/>
        <v>81cB13_030_270#03</v>
      </c>
      <c r="D307" s="43">
        <f t="shared" ref="D307:F307" si="877">D306</f>
        <v>13</v>
      </c>
      <c r="E307" s="61">
        <f t="shared" si="877"/>
        <v>2.149</v>
      </c>
      <c r="F307" s="44">
        <f t="shared" si="877"/>
        <v>16.530769230769231</v>
      </c>
      <c r="G307" s="44">
        <f t="shared" si="777"/>
        <v>13.224615384615385</v>
      </c>
      <c r="H307" s="44">
        <f t="shared" si="778"/>
        <v>8.2653846153846153</v>
      </c>
      <c r="I307" s="44">
        <f t="shared" si="852"/>
        <v>8</v>
      </c>
      <c r="J307" s="45">
        <f t="shared" si="827"/>
        <v>30</v>
      </c>
      <c r="K307" s="37" t="str">
        <f>D307&amp;-3</f>
        <v>13-3</v>
      </c>
      <c r="L307" s="45">
        <f t="shared" si="751"/>
        <v>0.2</v>
      </c>
      <c r="M307" s="49">
        <f t="shared" si="853"/>
        <v>270</v>
      </c>
      <c r="N307" s="53">
        <f t="shared" ref="N307:Q307" si="878">N306</f>
        <v>15</v>
      </c>
      <c r="O307" s="53">
        <f t="shared" si="878"/>
        <v>150</v>
      </c>
      <c r="P307" s="44">
        <f t="shared" si="878"/>
        <v>750</v>
      </c>
      <c r="Q307" s="45" t="str">
        <f t="shared" si="878"/>
        <v>on</v>
      </c>
    </row>
    <row r="308" spans="1:17" ht="15.75" thickBot="1" x14ac:dyDescent="0.3">
      <c r="A308" s="229">
        <f t="shared" ref="A308:B308" si="879">A307+1</f>
        <v>4691</v>
      </c>
      <c r="B308" s="230">
        <f t="shared" si="879"/>
        <v>298</v>
      </c>
      <c r="C308" s="218" t="str">
        <f t="shared" si="754"/>
        <v>81cB13_030_270#04</v>
      </c>
      <c r="D308" s="43">
        <f t="shared" ref="D308:F308" si="880">D307</f>
        <v>13</v>
      </c>
      <c r="E308" s="61">
        <f t="shared" si="880"/>
        <v>2.149</v>
      </c>
      <c r="F308" s="44">
        <f t="shared" si="880"/>
        <v>16.530769230769231</v>
      </c>
      <c r="G308" s="44">
        <f t="shared" si="777"/>
        <v>13.224615384615385</v>
      </c>
      <c r="H308" s="44">
        <f t="shared" si="778"/>
        <v>8.2653846153846153</v>
      </c>
      <c r="I308" s="44">
        <f t="shared" si="852"/>
        <v>8</v>
      </c>
      <c r="J308" s="45">
        <f t="shared" si="827"/>
        <v>30</v>
      </c>
      <c r="K308" s="37" t="str">
        <f>D308&amp;-4</f>
        <v>13-4</v>
      </c>
      <c r="L308" s="45">
        <f t="shared" si="751"/>
        <v>0.2</v>
      </c>
      <c r="M308" s="49">
        <f t="shared" si="853"/>
        <v>270</v>
      </c>
      <c r="N308" s="53">
        <f t="shared" ref="N308:Q308" si="881">N307</f>
        <v>15</v>
      </c>
      <c r="O308" s="53">
        <f t="shared" si="881"/>
        <v>150</v>
      </c>
      <c r="P308" s="44">
        <f t="shared" si="881"/>
        <v>750</v>
      </c>
      <c r="Q308" s="45" t="str">
        <f t="shared" si="881"/>
        <v>on</v>
      </c>
    </row>
    <row r="309" spans="1:17" ht="15.75" thickBot="1" x14ac:dyDescent="0.3">
      <c r="A309" s="229">
        <f t="shared" ref="A309:B309" si="882">A308+1</f>
        <v>4692</v>
      </c>
      <c r="B309" s="230">
        <f t="shared" si="882"/>
        <v>299</v>
      </c>
      <c r="C309" s="218" t="str">
        <f t="shared" si="754"/>
        <v>81cB13_030_270#05</v>
      </c>
      <c r="D309" s="43">
        <f t="shared" ref="D309:F309" si="883">D308</f>
        <v>13</v>
      </c>
      <c r="E309" s="61">
        <f t="shared" si="883"/>
        <v>2.149</v>
      </c>
      <c r="F309" s="44">
        <f t="shared" si="883"/>
        <v>16.530769230769231</v>
      </c>
      <c r="G309" s="44">
        <f t="shared" si="777"/>
        <v>13.224615384615385</v>
      </c>
      <c r="H309" s="44">
        <f t="shared" si="778"/>
        <v>8.2653846153846153</v>
      </c>
      <c r="I309" s="44">
        <f t="shared" si="852"/>
        <v>8</v>
      </c>
      <c r="J309" s="45">
        <f t="shared" si="827"/>
        <v>30</v>
      </c>
      <c r="K309" s="37" t="str">
        <f>D309&amp;-5</f>
        <v>13-5</v>
      </c>
      <c r="L309" s="45">
        <f t="shared" si="751"/>
        <v>0.2</v>
      </c>
      <c r="M309" s="49">
        <f t="shared" si="853"/>
        <v>270</v>
      </c>
      <c r="N309" s="53">
        <f t="shared" ref="N309:Q309" si="884">N308</f>
        <v>15</v>
      </c>
      <c r="O309" s="53">
        <f t="shared" si="884"/>
        <v>150</v>
      </c>
      <c r="P309" s="44">
        <f t="shared" si="884"/>
        <v>750</v>
      </c>
      <c r="Q309" s="45" t="str">
        <f t="shared" si="884"/>
        <v>on</v>
      </c>
    </row>
    <row r="310" spans="1:17" ht="15.75" thickBot="1" x14ac:dyDescent="0.3">
      <c r="A310" s="229">
        <f t="shared" ref="A310:B310" si="885">A309+1</f>
        <v>4693</v>
      </c>
      <c r="B310" s="230">
        <f t="shared" si="885"/>
        <v>300</v>
      </c>
      <c r="C310" s="218" t="str">
        <f t="shared" si="754"/>
        <v>81cB13_030_270#06</v>
      </c>
      <c r="D310" s="43">
        <f t="shared" ref="D310:F310" si="886">D309</f>
        <v>13</v>
      </c>
      <c r="E310" s="61">
        <f t="shared" si="886"/>
        <v>2.149</v>
      </c>
      <c r="F310" s="44">
        <f t="shared" si="886"/>
        <v>16.530769230769231</v>
      </c>
      <c r="G310" s="44">
        <f t="shared" si="777"/>
        <v>13.224615384615385</v>
      </c>
      <c r="H310" s="44">
        <f t="shared" si="778"/>
        <v>8.2653846153846153</v>
      </c>
      <c r="I310" s="44">
        <f t="shared" si="852"/>
        <v>8</v>
      </c>
      <c r="J310" s="45">
        <f t="shared" si="827"/>
        <v>30</v>
      </c>
      <c r="K310" s="37" t="str">
        <f>D310&amp;-6</f>
        <v>13-6</v>
      </c>
      <c r="L310" s="45">
        <f t="shared" si="751"/>
        <v>0.2</v>
      </c>
      <c r="M310" s="49">
        <f t="shared" si="853"/>
        <v>270</v>
      </c>
      <c r="N310" s="53">
        <f t="shared" ref="N310:Q310" si="887">N309</f>
        <v>15</v>
      </c>
      <c r="O310" s="53">
        <f t="shared" si="887"/>
        <v>150</v>
      </c>
      <c r="P310" s="44">
        <f t="shared" si="887"/>
        <v>750</v>
      </c>
      <c r="Q310" s="45" t="str">
        <f t="shared" si="887"/>
        <v>on</v>
      </c>
    </row>
    <row r="311" spans="1:17" ht="15.75" thickBot="1" x14ac:dyDescent="0.3">
      <c r="A311" s="229">
        <f t="shared" ref="A311:B311" si="888">A310+1</f>
        <v>4694</v>
      </c>
      <c r="B311" s="230">
        <f t="shared" si="888"/>
        <v>301</v>
      </c>
      <c r="C311" s="218" t="str">
        <f t="shared" si="754"/>
        <v>81cC13_030_270#01</v>
      </c>
      <c r="D311" s="43">
        <f t="shared" ref="D311:F311" si="889">D310</f>
        <v>13</v>
      </c>
      <c r="E311" s="61">
        <f t="shared" si="889"/>
        <v>2.149</v>
      </c>
      <c r="F311" s="44">
        <f t="shared" si="889"/>
        <v>16.530769230769231</v>
      </c>
      <c r="G311" s="44">
        <f t="shared" si="777"/>
        <v>13.224615384615385</v>
      </c>
      <c r="H311" s="44">
        <f t="shared" si="778"/>
        <v>8.2653846153846153</v>
      </c>
      <c r="I311" s="44">
        <f t="shared" si="852"/>
        <v>8</v>
      </c>
      <c r="J311" s="45">
        <f t="shared" si="827"/>
        <v>30</v>
      </c>
      <c r="K311" s="37" t="str">
        <f>D311&amp;-1</f>
        <v>13-1</v>
      </c>
      <c r="L311" s="45">
        <f t="shared" si="751"/>
        <v>0.2</v>
      </c>
      <c r="M311" s="49">
        <f t="shared" si="853"/>
        <v>270</v>
      </c>
      <c r="N311" s="53">
        <v>30</v>
      </c>
      <c r="O311" s="53">
        <f t="shared" ref="O311:Q311" si="890">O310</f>
        <v>150</v>
      </c>
      <c r="P311" s="44">
        <f t="shared" si="890"/>
        <v>750</v>
      </c>
      <c r="Q311" s="45" t="str">
        <f t="shared" si="890"/>
        <v>on</v>
      </c>
    </row>
    <row r="312" spans="1:17" ht="15.75" thickBot="1" x14ac:dyDescent="0.3">
      <c r="A312" s="229">
        <f t="shared" ref="A312:B312" si="891">A311+1</f>
        <v>4695</v>
      </c>
      <c r="B312" s="230">
        <f t="shared" si="891"/>
        <v>302</v>
      </c>
      <c r="C312" s="218" t="str">
        <f t="shared" si="754"/>
        <v>81cC13_030_270#02</v>
      </c>
      <c r="D312" s="43">
        <f t="shared" ref="D312:F312" si="892">D311</f>
        <v>13</v>
      </c>
      <c r="E312" s="61">
        <f t="shared" si="892"/>
        <v>2.149</v>
      </c>
      <c r="F312" s="44">
        <f t="shared" si="892"/>
        <v>16.530769230769231</v>
      </c>
      <c r="G312" s="44">
        <f t="shared" si="777"/>
        <v>13.224615384615385</v>
      </c>
      <c r="H312" s="44">
        <f t="shared" si="778"/>
        <v>8.2653846153846153</v>
      </c>
      <c r="I312" s="44">
        <f t="shared" si="852"/>
        <v>8</v>
      </c>
      <c r="J312" s="45">
        <f t="shared" si="827"/>
        <v>30</v>
      </c>
      <c r="K312" s="37" t="str">
        <f>D312&amp;-2</f>
        <v>13-2</v>
      </c>
      <c r="L312" s="45">
        <f t="shared" si="751"/>
        <v>0.2</v>
      </c>
      <c r="M312" s="49">
        <f t="shared" si="853"/>
        <v>270</v>
      </c>
      <c r="N312" s="53">
        <f>N311</f>
        <v>30</v>
      </c>
      <c r="O312" s="53">
        <f t="shared" ref="O312:Q312" si="893">O311</f>
        <v>150</v>
      </c>
      <c r="P312" s="44">
        <f t="shared" si="893"/>
        <v>750</v>
      </c>
      <c r="Q312" s="45" t="str">
        <f t="shared" si="893"/>
        <v>on</v>
      </c>
    </row>
    <row r="313" spans="1:17" ht="15.75" thickBot="1" x14ac:dyDescent="0.3">
      <c r="A313" s="229">
        <f t="shared" ref="A313:B313" si="894">A312+1</f>
        <v>4696</v>
      </c>
      <c r="B313" s="230">
        <f t="shared" si="894"/>
        <v>303</v>
      </c>
      <c r="C313" s="218" t="str">
        <f t="shared" si="754"/>
        <v>81cC13_030_270#03</v>
      </c>
      <c r="D313" s="43">
        <f t="shared" ref="D313:F313" si="895">D312</f>
        <v>13</v>
      </c>
      <c r="E313" s="61">
        <f t="shared" si="895"/>
        <v>2.149</v>
      </c>
      <c r="F313" s="44">
        <f t="shared" si="895"/>
        <v>16.530769230769231</v>
      </c>
      <c r="G313" s="44">
        <f t="shared" si="777"/>
        <v>13.224615384615385</v>
      </c>
      <c r="H313" s="44">
        <f t="shared" si="778"/>
        <v>8.2653846153846153</v>
      </c>
      <c r="I313" s="44">
        <f t="shared" si="852"/>
        <v>8</v>
      </c>
      <c r="J313" s="45">
        <f t="shared" si="827"/>
        <v>30</v>
      </c>
      <c r="K313" s="37" t="str">
        <f>D313&amp;-3</f>
        <v>13-3</v>
      </c>
      <c r="L313" s="45">
        <f t="shared" si="751"/>
        <v>0.2</v>
      </c>
      <c r="M313" s="49">
        <f t="shared" si="853"/>
        <v>270</v>
      </c>
      <c r="N313" s="53">
        <f t="shared" ref="N313:Q313" si="896">N312</f>
        <v>30</v>
      </c>
      <c r="O313" s="53">
        <f t="shared" si="896"/>
        <v>150</v>
      </c>
      <c r="P313" s="44">
        <f t="shared" si="896"/>
        <v>750</v>
      </c>
      <c r="Q313" s="45" t="str">
        <f t="shared" si="896"/>
        <v>on</v>
      </c>
    </row>
    <row r="314" spans="1:17" ht="15.75" thickBot="1" x14ac:dyDescent="0.3">
      <c r="A314" s="229">
        <f t="shared" ref="A314:B314" si="897">A313+1</f>
        <v>4697</v>
      </c>
      <c r="B314" s="230">
        <f t="shared" si="897"/>
        <v>304</v>
      </c>
      <c r="C314" s="218" t="str">
        <f t="shared" si="754"/>
        <v>81cC13_030_270#04</v>
      </c>
      <c r="D314" s="43">
        <f t="shared" ref="D314:F314" si="898">D313</f>
        <v>13</v>
      </c>
      <c r="E314" s="61">
        <f t="shared" si="898"/>
        <v>2.149</v>
      </c>
      <c r="F314" s="44">
        <f t="shared" si="898"/>
        <v>16.530769230769231</v>
      </c>
      <c r="G314" s="44">
        <f t="shared" si="777"/>
        <v>13.224615384615385</v>
      </c>
      <c r="H314" s="44">
        <f t="shared" si="778"/>
        <v>8.2653846153846153</v>
      </c>
      <c r="I314" s="44">
        <f t="shared" si="852"/>
        <v>8</v>
      </c>
      <c r="J314" s="45">
        <f t="shared" si="827"/>
        <v>30</v>
      </c>
      <c r="K314" s="37" t="str">
        <f>D314&amp;-4</f>
        <v>13-4</v>
      </c>
      <c r="L314" s="45">
        <f t="shared" si="751"/>
        <v>0.2</v>
      </c>
      <c r="M314" s="49">
        <f t="shared" si="853"/>
        <v>270</v>
      </c>
      <c r="N314" s="53">
        <f t="shared" ref="N314:Q314" si="899">N313</f>
        <v>30</v>
      </c>
      <c r="O314" s="53">
        <f t="shared" si="899"/>
        <v>150</v>
      </c>
      <c r="P314" s="44">
        <f t="shared" si="899"/>
        <v>750</v>
      </c>
      <c r="Q314" s="45" t="str">
        <f t="shared" si="899"/>
        <v>on</v>
      </c>
    </row>
    <row r="315" spans="1:17" ht="15.75" thickBot="1" x14ac:dyDescent="0.3">
      <c r="A315" s="229">
        <f t="shared" ref="A315:B315" si="900">A314+1</f>
        <v>4698</v>
      </c>
      <c r="B315" s="230">
        <f t="shared" si="900"/>
        <v>305</v>
      </c>
      <c r="C315" s="218" t="str">
        <f t="shared" si="754"/>
        <v>81cC13_030_270#05</v>
      </c>
      <c r="D315" s="43">
        <f t="shared" ref="D315:F315" si="901">D314</f>
        <v>13</v>
      </c>
      <c r="E315" s="61">
        <f t="shared" si="901"/>
        <v>2.149</v>
      </c>
      <c r="F315" s="44">
        <f t="shared" si="901"/>
        <v>16.530769230769231</v>
      </c>
      <c r="G315" s="44">
        <f t="shared" si="777"/>
        <v>13.224615384615385</v>
      </c>
      <c r="H315" s="44">
        <f t="shared" si="778"/>
        <v>8.2653846153846153</v>
      </c>
      <c r="I315" s="44">
        <f t="shared" si="852"/>
        <v>8</v>
      </c>
      <c r="J315" s="45">
        <f t="shared" si="827"/>
        <v>30</v>
      </c>
      <c r="K315" s="37" t="str">
        <f>D315&amp;-5</f>
        <v>13-5</v>
      </c>
      <c r="L315" s="45">
        <f t="shared" si="751"/>
        <v>0.2</v>
      </c>
      <c r="M315" s="49">
        <f t="shared" si="853"/>
        <v>270</v>
      </c>
      <c r="N315" s="53">
        <f t="shared" ref="N315:Q315" si="902">N314</f>
        <v>30</v>
      </c>
      <c r="O315" s="53">
        <f t="shared" si="902"/>
        <v>150</v>
      </c>
      <c r="P315" s="44">
        <f t="shared" si="902"/>
        <v>750</v>
      </c>
      <c r="Q315" s="45" t="str">
        <f t="shared" si="902"/>
        <v>on</v>
      </c>
    </row>
    <row r="316" spans="1:17" ht="15.75" thickBot="1" x14ac:dyDescent="0.3">
      <c r="A316" s="229">
        <f t="shared" ref="A316:B316" si="903">A315+1</f>
        <v>4699</v>
      </c>
      <c r="B316" s="230">
        <f t="shared" si="903"/>
        <v>306</v>
      </c>
      <c r="C316" s="218" t="str">
        <f t="shared" si="754"/>
        <v>81cC13_030_270#06</v>
      </c>
      <c r="D316" s="43">
        <f t="shared" ref="D316:F316" si="904">D315</f>
        <v>13</v>
      </c>
      <c r="E316" s="61">
        <f t="shared" si="904"/>
        <v>2.149</v>
      </c>
      <c r="F316" s="44">
        <f t="shared" si="904"/>
        <v>16.530769230769231</v>
      </c>
      <c r="G316" s="44">
        <f t="shared" si="777"/>
        <v>13.224615384615385</v>
      </c>
      <c r="H316" s="44">
        <f t="shared" si="778"/>
        <v>8.2653846153846153</v>
      </c>
      <c r="I316" s="44">
        <f t="shared" si="852"/>
        <v>8</v>
      </c>
      <c r="J316" s="45">
        <f t="shared" si="827"/>
        <v>30</v>
      </c>
      <c r="K316" s="37" t="str">
        <f>D316&amp;-6</f>
        <v>13-6</v>
      </c>
      <c r="L316" s="45">
        <f t="shared" si="751"/>
        <v>0.2</v>
      </c>
      <c r="M316" s="49">
        <f t="shared" si="853"/>
        <v>270</v>
      </c>
      <c r="N316" s="53">
        <f t="shared" ref="N316:Q316" si="905">N315</f>
        <v>30</v>
      </c>
      <c r="O316" s="53">
        <f t="shared" si="905"/>
        <v>150</v>
      </c>
      <c r="P316" s="44">
        <f t="shared" si="905"/>
        <v>750</v>
      </c>
      <c r="Q316" s="45" t="str">
        <f t="shared" si="905"/>
        <v>on</v>
      </c>
    </row>
    <row r="317" spans="1:17" ht="15.75" thickBot="1" x14ac:dyDescent="0.3">
      <c r="A317" s="229">
        <f t="shared" ref="A317:B317" si="906">A316+1</f>
        <v>4700</v>
      </c>
      <c r="B317" s="230">
        <f t="shared" si="906"/>
        <v>307</v>
      </c>
      <c r="C317" s="218" t="str">
        <f t="shared" si="754"/>
        <v>81cD13_030_270#01</v>
      </c>
      <c r="D317" s="43">
        <f t="shared" ref="D317:F317" si="907">D316</f>
        <v>13</v>
      </c>
      <c r="E317" s="61">
        <f t="shared" si="907"/>
        <v>2.149</v>
      </c>
      <c r="F317" s="44">
        <f t="shared" si="907"/>
        <v>16.530769230769231</v>
      </c>
      <c r="G317" s="44">
        <f t="shared" si="777"/>
        <v>13.224615384615385</v>
      </c>
      <c r="H317" s="44">
        <f t="shared" si="778"/>
        <v>8.2653846153846153</v>
      </c>
      <c r="I317" s="44">
        <f t="shared" si="852"/>
        <v>8</v>
      </c>
      <c r="J317" s="45">
        <f t="shared" si="827"/>
        <v>30</v>
      </c>
      <c r="K317" s="37" t="str">
        <f>D317&amp;-1</f>
        <v>13-1</v>
      </c>
      <c r="L317" s="45">
        <f t="shared" si="751"/>
        <v>0.2</v>
      </c>
      <c r="M317" s="49">
        <f t="shared" si="853"/>
        <v>270</v>
      </c>
      <c r="N317" s="53">
        <v>45</v>
      </c>
      <c r="O317" s="53">
        <f t="shared" ref="O317:Q317" si="908">O316</f>
        <v>150</v>
      </c>
      <c r="P317" s="44">
        <f t="shared" si="908"/>
        <v>750</v>
      </c>
      <c r="Q317" s="45" t="str">
        <f t="shared" si="908"/>
        <v>on</v>
      </c>
    </row>
    <row r="318" spans="1:17" ht="15.75" thickBot="1" x14ac:dyDescent="0.3">
      <c r="A318" s="229">
        <f t="shared" ref="A318:B318" si="909">A317+1</f>
        <v>4701</v>
      </c>
      <c r="B318" s="230">
        <f t="shared" si="909"/>
        <v>308</v>
      </c>
      <c r="C318" s="218" t="str">
        <f t="shared" si="754"/>
        <v>81cD13_030_270#02</v>
      </c>
      <c r="D318" s="43">
        <f t="shared" ref="D318:F318" si="910">D317</f>
        <v>13</v>
      </c>
      <c r="E318" s="61">
        <f t="shared" si="910"/>
        <v>2.149</v>
      </c>
      <c r="F318" s="44">
        <f t="shared" si="910"/>
        <v>16.530769230769231</v>
      </c>
      <c r="G318" s="44">
        <f t="shared" si="777"/>
        <v>13.224615384615385</v>
      </c>
      <c r="H318" s="44">
        <f t="shared" si="778"/>
        <v>8.2653846153846153</v>
      </c>
      <c r="I318" s="44">
        <f t="shared" si="852"/>
        <v>8</v>
      </c>
      <c r="J318" s="45">
        <f t="shared" si="827"/>
        <v>30</v>
      </c>
      <c r="K318" s="37" t="str">
        <f>D318&amp;-2</f>
        <v>13-2</v>
      </c>
      <c r="L318" s="45">
        <f t="shared" si="751"/>
        <v>0.2</v>
      </c>
      <c r="M318" s="49">
        <f t="shared" si="853"/>
        <v>270</v>
      </c>
      <c r="N318" s="53">
        <f>N317</f>
        <v>45</v>
      </c>
      <c r="O318" s="53">
        <f t="shared" ref="O318:Q318" si="911">O317</f>
        <v>150</v>
      </c>
      <c r="P318" s="44">
        <f t="shared" si="911"/>
        <v>750</v>
      </c>
      <c r="Q318" s="45" t="str">
        <f t="shared" si="911"/>
        <v>on</v>
      </c>
    </row>
    <row r="319" spans="1:17" ht="15.75" thickBot="1" x14ac:dyDescent="0.3">
      <c r="A319" s="229">
        <f t="shared" ref="A319:B319" si="912">A318+1</f>
        <v>4702</v>
      </c>
      <c r="B319" s="230">
        <f t="shared" si="912"/>
        <v>309</v>
      </c>
      <c r="C319" s="218" t="str">
        <f t="shared" si="754"/>
        <v>81cD13_030_270#03</v>
      </c>
      <c r="D319" s="43">
        <f t="shared" ref="D319:F319" si="913">D318</f>
        <v>13</v>
      </c>
      <c r="E319" s="61">
        <f t="shared" si="913"/>
        <v>2.149</v>
      </c>
      <c r="F319" s="44">
        <f t="shared" si="913"/>
        <v>16.530769230769231</v>
      </c>
      <c r="G319" s="44">
        <f t="shared" si="777"/>
        <v>13.224615384615385</v>
      </c>
      <c r="H319" s="44">
        <f t="shared" si="778"/>
        <v>8.2653846153846153</v>
      </c>
      <c r="I319" s="44">
        <f t="shared" si="852"/>
        <v>8</v>
      </c>
      <c r="J319" s="45">
        <f t="shared" si="827"/>
        <v>30</v>
      </c>
      <c r="K319" s="37" t="str">
        <f>D319&amp;-3</f>
        <v>13-3</v>
      </c>
      <c r="L319" s="45">
        <f t="shared" si="751"/>
        <v>0.2</v>
      </c>
      <c r="M319" s="49">
        <f t="shared" si="853"/>
        <v>270</v>
      </c>
      <c r="N319" s="53">
        <f t="shared" ref="N319:Q319" si="914">N318</f>
        <v>45</v>
      </c>
      <c r="O319" s="53">
        <f t="shared" si="914"/>
        <v>150</v>
      </c>
      <c r="P319" s="44">
        <f t="shared" si="914"/>
        <v>750</v>
      </c>
      <c r="Q319" s="45" t="str">
        <f t="shared" si="914"/>
        <v>on</v>
      </c>
    </row>
    <row r="320" spans="1:17" ht="15.75" thickBot="1" x14ac:dyDescent="0.3">
      <c r="A320" s="229">
        <f t="shared" ref="A320:B320" si="915">A319+1</f>
        <v>4703</v>
      </c>
      <c r="B320" s="230">
        <f t="shared" si="915"/>
        <v>310</v>
      </c>
      <c r="C320" s="218" t="str">
        <f t="shared" si="754"/>
        <v>81cD13_030_270#04</v>
      </c>
      <c r="D320" s="43">
        <f t="shared" ref="D320:F320" si="916">D319</f>
        <v>13</v>
      </c>
      <c r="E320" s="61">
        <f t="shared" si="916"/>
        <v>2.149</v>
      </c>
      <c r="F320" s="44">
        <f t="shared" si="916"/>
        <v>16.530769230769231</v>
      </c>
      <c r="G320" s="44">
        <f t="shared" si="777"/>
        <v>13.224615384615385</v>
      </c>
      <c r="H320" s="44">
        <f t="shared" si="778"/>
        <v>8.2653846153846153</v>
      </c>
      <c r="I320" s="44">
        <f t="shared" si="852"/>
        <v>8</v>
      </c>
      <c r="J320" s="45">
        <f t="shared" si="827"/>
        <v>30</v>
      </c>
      <c r="K320" s="37" t="str">
        <f>D320&amp;-4</f>
        <v>13-4</v>
      </c>
      <c r="L320" s="45">
        <f t="shared" si="751"/>
        <v>0.2</v>
      </c>
      <c r="M320" s="49">
        <f t="shared" si="853"/>
        <v>270</v>
      </c>
      <c r="N320" s="53">
        <f t="shared" ref="N320:Q320" si="917">N319</f>
        <v>45</v>
      </c>
      <c r="O320" s="53">
        <f t="shared" si="917"/>
        <v>150</v>
      </c>
      <c r="P320" s="44">
        <f t="shared" si="917"/>
        <v>750</v>
      </c>
      <c r="Q320" s="45" t="str">
        <f t="shared" si="917"/>
        <v>on</v>
      </c>
    </row>
    <row r="321" spans="1:17" ht="15.75" thickBot="1" x14ac:dyDescent="0.3">
      <c r="A321" s="229">
        <f t="shared" ref="A321:B321" si="918">A320+1</f>
        <v>4704</v>
      </c>
      <c r="B321" s="230">
        <f t="shared" si="918"/>
        <v>311</v>
      </c>
      <c r="C321" s="218" t="str">
        <f t="shared" si="754"/>
        <v>81cD13_030_270#05</v>
      </c>
      <c r="D321" s="43">
        <f t="shared" ref="D321:F321" si="919">D320</f>
        <v>13</v>
      </c>
      <c r="E321" s="61">
        <f t="shared" si="919"/>
        <v>2.149</v>
      </c>
      <c r="F321" s="44">
        <f t="shared" si="919"/>
        <v>16.530769230769231</v>
      </c>
      <c r="G321" s="44">
        <f t="shared" si="777"/>
        <v>13.224615384615385</v>
      </c>
      <c r="H321" s="44">
        <f t="shared" si="778"/>
        <v>8.2653846153846153</v>
      </c>
      <c r="I321" s="44">
        <f t="shared" si="852"/>
        <v>8</v>
      </c>
      <c r="J321" s="45">
        <f t="shared" si="827"/>
        <v>30</v>
      </c>
      <c r="K321" s="37" t="str">
        <f>D321&amp;-5</f>
        <v>13-5</v>
      </c>
      <c r="L321" s="45">
        <f t="shared" si="751"/>
        <v>0.2</v>
      </c>
      <c r="M321" s="49">
        <f t="shared" si="853"/>
        <v>270</v>
      </c>
      <c r="N321" s="53">
        <f t="shared" ref="N321:Q321" si="920">N320</f>
        <v>45</v>
      </c>
      <c r="O321" s="53">
        <f t="shared" si="920"/>
        <v>150</v>
      </c>
      <c r="P321" s="44">
        <f t="shared" si="920"/>
        <v>750</v>
      </c>
      <c r="Q321" s="45" t="str">
        <f t="shared" si="920"/>
        <v>on</v>
      </c>
    </row>
    <row r="322" spans="1:17" ht="15.75" thickBot="1" x14ac:dyDescent="0.3">
      <c r="A322" s="229">
        <f t="shared" ref="A322:B322" si="921">A321+1</f>
        <v>4705</v>
      </c>
      <c r="B322" s="230">
        <f t="shared" si="921"/>
        <v>312</v>
      </c>
      <c r="C322" s="218" t="str">
        <f t="shared" si="754"/>
        <v>81cD13_030_270#06</v>
      </c>
      <c r="D322" s="43">
        <f t="shared" ref="D322:F322" si="922">D321</f>
        <v>13</v>
      </c>
      <c r="E322" s="61">
        <f t="shared" si="922"/>
        <v>2.149</v>
      </c>
      <c r="F322" s="44">
        <f t="shared" si="922"/>
        <v>16.530769230769231</v>
      </c>
      <c r="G322" s="44">
        <f t="shared" si="777"/>
        <v>13.224615384615385</v>
      </c>
      <c r="H322" s="44">
        <f t="shared" si="778"/>
        <v>8.2653846153846153</v>
      </c>
      <c r="I322" s="44">
        <f t="shared" si="852"/>
        <v>8</v>
      </c>
      <c r="J322" s="45">
        <f t="shared" si="827"/>
        <v>30</v>
      </c>
      <c r="K322" s="37" t="str">
        <f>D322&amp;-6</f>
        <v>13-6</v>
      </c>
      <c r="L322" s="45">
        <f t="shared" si="751"/>
        <v>0.2</v>
      </c>
      <c r="M322" s="49">
        <f t="shared" si="853"/>
        <v>270</v>
      </c>
      <c r="N322" s="53">
        <f t="shared" ref="N322:Q322" si="923">N321</f>
        <v>45</v>
      </c>
      <c r="O322" s="53">
        <f t="shared" si="923"/>
        <v>150</v>
      </c>
      <c r="P322" s="44">
        <f t="shared" si="923"/>
        <v>750</v>
      </c>
      <c r="Q322" s="45" t="str">
        <f t="shared" si="923"/>
        <v>on</v>
      </c>
    </row>
    <row r="323" spans="1:17" ht="15.75" thickBot="1" x14ac:dyDescent="0.3">
      <c r="A323" s="229">
        <f t="shared" ref="A323:B323" si="924">A322+1</f>
        <v>4706</v>
      </c>
      <c r="B323" s="230">
        <f t="shared" si="924"/>
        <v>313</v>
      </c>
      <c r="C323" s="218" t="str">
        <f t="shared" si="754"/>
        <v>81cE13_030_270#01</v>
      </c>
      <c r="D323" s="43">
        <f t="shared" ref="D323:F323" si="925">D322</f>
        <v>13</v>
      </c>
      <c r="E323" s="61">
        <f t="shared" si="925"/>
        <v>2.149</v>
      </c>
      <c r="F323" s="44">
        <f t="shared" si="925"/>
        <v>16.530769230769231</v>
      </c>
      <c r="G323" s="44">
        <f t="shared" si="777"/>
        <v>13.224615384615385</v>
      </c>
      <c r="H323" s="44">
        <f t="shared" si="778"/>
        <v>8.2653846153846153</v>
      </c>
      <c r="I323" s="44">
        <f t="shared" si="852"/>
        <v>8</v>
      </c>
      <c r="J323" s="45">
        <f t="shared" ref="J323:J334" si="926">dlc81c_y3</f>
        <v>30</v>
      </c>
      <c r="K323" s="37" t="str">
        <f>D323&amp;-1</f>
        <v>13-1</v>
      </c>
      <c r="L323" s="45">
        <f t="shared" si="751"/>
        <v>0.2</v>
      </c>
      <c r="M323" s="49">
        <f t="shared" si="853"/>
        <v>270</v>
      </c>
      <c r="N323" s="53">
        <v>60</v>
      </c>
      <c r="O323" s="53">
        <f t="shared" ref="O323:Q323" si="927">O322</f>
        <v>150</v>
      </c>
      <c r="P323" s="44">
        <f t="shared" si="927"/>
        <v>750</v>
      </c>
      <c r="Q323" s="45" t="str">
        <f t="shared" si="927"/>
        <v>on</v>
      </c>
    </row>
    <row r="324" spans="1:17" ht="15.75" thickBot="1" x14ac:dyDescent="0.3">
      <c r="A324" s="229">
        <f t="shared" ref="A324:B324" si="928">A323+1</f>
        <v>4707</v>
      </c>
      <c r="B324" s="230">
        <f t="shared" si="928"/>
        <v>314</v>
      </c>
      <c r="C324" s="218" t="str">
        <f t="shared" si="754"/>
        <v>81cE13_030_270#02</v>
      </c>
      <c r="D324" s="43">
        <f t="shared" ref="D324:F324" si="929">D323</f>
        <v>13</v>
      </c>
      <c r="E324" s="61">
        <f t="shared" si="929"/>
        <v>2.149</v>
      </c>
      <c r="F324" s="44">
        <f t="shared" si="929"/>
        <v>16.530769230769231</v>
      </c>
      <c r="G324" s="44">
        <f t="shared" si="777"/>
        <v>13.224615384615385</v>
      </c>
      <c r="H324" s="44">
        <f t="shared" si="778"/>
        <v>8.2653846153846153</v>
      </c>
      <c r="I324" s="44">
        <f t="shared" si="852"/>
        <v>8</v>
      </c>
      <c r="J324" s="45">
        <f t="shared" si="926"/>
        <v>30</v>
      </c>
      <c r="K324" s="37" t="str">
        <f>D324&amp;-2</f>
        <v>13-2</v>
      </c>
      <c r="L324" s="45">
        <f t="shared" si="751"/>
        <v>0.2</v>
      </c>
      <c r="M324" s="49">
        <f t="shared" si="853"/>
        <v>270</v>
      </c>
      <c r="N324" s="53">
        <f>N323</f>
        <v>60</v>
      </c>
      <c r="O324" s="53">
        <f t="shared" ref="O324:Q324" si="930">O323</f>
        <v>150</v>
      </c>
      <c r="P324" s="44">
        <f t="shared" si="930"/>
        <v>750</v>
      </c>
      <c r="Q324" s="45" t="str">
        <f t="shared" si="930"/>
        <v>on</v>
      </c>
    </row>
    <row r="325" spans="1:17" ht="15.75" thickBot="1" x14ac:dyDescent="0.3">
      <c r="A325" s="229">
        <f t="shared" ref="A325:B325" si="931">A324+1</f>
        <v>4708</v>
      </c>
      <c r="B325" s="230">
        <f t="shared" si="931"/>
        <v>315</v>
      </c>
      <c r="C325" s="218" t="str">
        <f t="shared" si="754"/>
        <v>81cE13_030_270#03</v>
      </c>
      <c r="D325" s="43">
        <f t="shared" ref="D325:F325" si="932">D324</f>
        <v>13</v>
      </c>
      <c r="E325" s="61">
        <f t="shared" si="932"/>
        <v>2.149</v>
      </c>
      <c r="F325" s="44">
        <f t="shared" si="932"/>
        <v>16.530769230769231</v>
      </c>
      <c r="G325" s="44">
        <f t="shared" si="777"/>
        <v>13.224615384615385</v>
      </c>
      <c r="H325" s="44">
        <f t="shared" si="778"/>
        <v>8.2653846153846153</v>
      </c>
      <c r="I325" s="44">
        <f t="shared" si="852"/>
        <v>8</v>
      </c>
      <c r="J325" s="45">
        <f t="shared" si="926"/>
        <v>30</v>
      </c>
      <c r="K325" s="37" t="str">
        <f>D325&amp;-3</f>
        <v>13-3</v>
      </c>
      <c r="L325" s="45">
        <f t="shared" si="751"/>
        <v>0.2</v>
      </c>
      <c r="M325" s="49">
        <f t="shared" si="853"/>
        <v>270</v>
      </c>
      <c r="N325" s="53">
        <f t="shared" ref="N325:Q325" si="933">N324</f>
        <v>60</v>
      </c>
      <c r="O325" s="53">
        <f t="shared" si="933"/>
        <v>150</v>
      </c>
      <c r="P325" s="44">
        <f t="shared" si="933"/>
        <v>750</v>
      </c>
      <c r="Q325" s="45" t="str">
        <f t="shared" si="933"/>
        <v>on</v>
      </c>
    </row>
    <row r="326" spans="1:17" ht="15.75" thickBot="1" x14ac:dyDescent="0.3">
      <c r="A326" s="229">
        <f t="shared" ref="A326:B326" si="934">A325+1</f>
        <v>4709</v>
      </c>
      <c r="B326" s="230">
        <f t="shared" si="934"/>
        <v>316</v>
      </c>
      <c r="C326" s="218" t="str">
        <f t="shared" si="754"/>
        <v>81cE13_030_270#04</v>
      </c>
      <c r="D326" s="43">
        <f t="shared" ref="D326:F326" si="935">D325</f>
        <v>13</v>
      </c>
      <c r="E326" s="61">
        <f t="shared" si="935"/>
        <v>2.149</v>
      </c>
      <c r="F326" s="44">
        <f t="shared" si="935"/>
        <v>16.530769230769231</v>
      </c>
      <c r="G326" s="44">
        <f t="shared" si="777"/>
        <v>13.224615384615385</v>
      </c>
      <c r="H326" s="44">
        <f t="shared" si="778"/>
        <v>8.2653846153846153</v>
      </c>
      <c r="I326" s="44">
        <f t="shared" si="852"/>
        <v>8</v>
      </c>
      <c r="J326" s="45">
        <f t="shared" si="926"/>
        <v>30</v>
      </c>
      <c r="K326" s="37" t="str">
        <f>D326&amp;-4</f>
        <v>13-4</v>
      </c>
      <c r="L326" s="45">
        <f t="shared" si="751"/>
        <v>0.2</v>
      </c>
      <c r="M326" s="49">
        <f t="shared" si="853"/>
        <v>270</v>
      </c>
      <c r="N326" s="53">
        <f t="shared" ref="N326:Q326" si="936">N325</f>
        <v>60</v>
      </c>
      <c r="O326" s="53">
        <f t="shared" si="936"/>
        <v>150</v>
      </c>
      <c r="P326" s="44">
        <f t="shared" si="936"/>
        <v>750</v>
      </c>
      <c r="Q326" s="45" t="str">
        <f t="shared" si="936"/>
        <v>on</v>
      </c>
    </row>
    <row r="327" spans="1:17" ht="15.75" thickBot="1" x14ac:dyDescent="0.3">
      <c r="A327" s="229">
        <f t="shared" ref="A327:B327" si="937">A326+1</f>
        <v>4710</v>
      </c>
      <c r="B327" s="230">
        <f t="shared" si="937"/>
        <v>317</v>
      </c>
      <c r="C327" s="218" t="str">
        <f t="shared" si="754"/>
        <v>81cE13_030_270#05</v>
      </c>
      <c r="D327" s="43">
        <f t="shared" ref="D327:F327" si="938">D326</f>
        <v>13</v>
      </c>
      <c r="E327" s="61">
        <f t="shared" si="938"/>
        <v>2.149</v>
      </c>
      <c r="F327" s="44">
        <f t="shared" si="938"/>
        <v>16.530769230769231</v>
      </c>
      <c r="G327" s="44">
        <f t="shared" si="777"/>
        <v>13.224615384615385</v>
      </c>
      <c r="H327" s="44">
        <f t="shared" si="778"/>
        <v>8.2653846153846153</v>
      </c>
      <c r="I327" s="44">
        <f t="shared" si="852"/>
        <v>8</v>
      </c>
      <c r="J327" s="45">
        <f t="shared" si="926"/>
        <v>30</v>
      </c>
      <c r="K327" s="37" t="str">
        <f>D327&amp;-5</f>
        <v>13-5</v>
      </c>
      <c r="L327" s="45">
        <f t="shared" si="751"/>
        <v>0.2</v>
      </c>
      <c r="M327" s="49">
        <f t="shared" si="853"/>
        <v>270</v>
      </c>
      <c r="N327" s="53">
        <f t="shared" ref="N327:Q327" si="939">N326</f>
        <v>60</v>
      </c>
      <c r="O327" s="53">
        <f t="shared" si="939"/>
        <v>150</v>
      </c>
      <c r="P327" s="44">
        <f t="shared" si="939"/>
        <v>750</v>
      </c>
      <c r="Q327" s="45" t="str">
        <f t="shared" si="939"/>
        <v>on</v>
      </c>
    </row>
    <row r="328" spans="1:17" ht="15.75" thickBot="1" x14ac:dyDescent="0.3">
      <c r="A328" s="229">
        <f t="shared" ref="A328:B328" si="940">A327+1</f>
        <v>4711</v>
      </c>
      <c r="B328" s="230">
        <f t="shared" si="940"/>
        <v>318</v>
      </c>
      <c r="C328" s="218" t="str">
        <f t="shared" si="754"/>
        <v>81cE13_030_270#06</v>
      </c>
      <c r="D328" s="43">
        <f t="shared" ref="D328:F328" si="941">D327</f>
        <v>13</v>
      </c>
      <c r="E328" s="61">
        <f t="shared" si="941"/>
        <v>2.149</v>
      </c>
      <c r="F328" s="44">
        <f t="shared" si="941"/>
        <v>16.530769230769231</v>
      </c>
      <c r="G328" s="44">
        <f t="shared" si="777"/>
        <v>13.224615384615385</v>
      </c>
      <c r="H328" s="44">
        <f t="shared" si="778"/>
        <v>8.2653846153846153</v>
      </c>
      <c r="I328" s="44">
        <f t="shared" si="852"/>
        <v>8</v>
      </c>
      <c r="J328" s="45">
        <f t="shared" si="926"/>
        <v>30</v>
      </c>
      <c r="K328" s="37" t="str">
        <f>D328&amp;-6</f>
        <v>13-6</v>
      </c>
      <c r="L328" s="45">
        <f t="shared" si="751"/>
        <v>0.2</v>
      </c>
      <c r="M328" s="49">
        <f t="shared" si="853"/>
        <v>270</v>
      </c>
      <c r="N328" s="53">
        <f t="shared" ref="N328:Q328" si="942">N327</f>
        <v>60</v>
      </c>
      <c r="O328" s="53">
        <f t="shared" si="942"/>
        <v>150</v>
      </c>
      <c r="P328" s="44">
        <f t="shared" si="942"/>
        <v>750</v>
      </c>
      <c r="Q328" s="45" t="str">
        <f t="shared" si="942"/>
        <v>on</v>
      </c>
    </row>
    <row r="329" spans="1:17" ht="15.75" thickBot="1" x14ac:dyDescent="0.3">
      <c r="A329" s="229">
        <f t="shared" ref="A329:B329" si="943">A328+1</f>
        <v>4712</v>
      </c>
      <c r="B329" s="230">
        <f t="shared" si="943"/>
        <v>319</v>
      </c>
      <c r="C329" s="218" t="str">
        <f t="shared" si="754"/>
        <v>81cF13_030_270#01</v>
      </c>
      <c r="D329" s="43">
        <f t="shared" ref="D329:F329" si="944">D328</f>
        <v>13</v>
      </c>
      <c r="E329" s="61">
        <f t="shared" si="944"/>
        <v>2.149</v>
      </c>
      <c r="F329" s="44">
        <f t="shared" si="944"/>
        <v>16.530769230769231</v>
      </c>
      <c r="G329" s="44">
        <f t="shared" si="777"/>
        <v>13.224615384615385</v>
      </c>
      <c r="H329" s="44">
        <f t="shared" si="778"/>
        <v>8.2653846153846153</v>
      </c>
      <c r="I329" s="44">
        <f t="shared" si="852"/>
        <v>8</v>
      </c>
      <c r="J329" s="45">
        <f t="shared" si="926"/>
        <v>30</v>
      </c>
      <c r="K329" s="37" t="str">
        <f>D329&amp;-1</f>
        <v>13-1</v>
      </c>
      <c r="L329" s="45">
        <f t="shared" si="751"/>
        <v>0.2</v>
      </c>
      <c r="M329" s="49">
        <f t="shared" si="853"/>
        <v>270</v>
      </c>
      <c r="N329" s="53">
        <v>75</v>
      </c>
      <c r="O329" s="53">
        <f t="shared" ref="O329:Q329" si="945">O328</f>
        <v>150</v>
      </c>
      <c r="P329" s="44">
        <f t="shared" si="945"/>
        <v>750</v>
      </c>
      <c r="Q329" s="45" t="str">
        <f t="shared" si="945"/>
        <v>on</v>
      </c>
    </row>
    <row r="330" spans="1:17" ht="15.75" thickBot="1" x14ac:dyDescent="0.3">
      <c r="A330" s="229">
        <f t="shared" ref="A330:B330" si="946">A329+1</f>
        <v>4713</v>
      </c>
      <c r="B330" s="230">
        <f t="shared" si="946"/>
        <v>320</v>
      </c>
      <c r="C330" s="218" t="str">
        <f t="shared" si="754"/>
        <v>81cF13_030_270#02</v>
      </c>
      <c r="D330" s="43">
        <f t="shared" ref="D330:F330" si="947">D329</f>
        <v>13</v>
      </c>
      <c r="E330" s="61">
        <f t="shared" si="947"/>
        <v>2.149</v>
      </c>
      <c r="F330" s="44">
        <f t="shared" si="947"/>
        <v>16.530769230769231</v>
      </c>
      <c r="G330" s="44">
        <f t="shared" si="777"/>
        <v>13.224615384615385</v>
      </c>
      <c r="H330" s="44">
        <f t="shared" si="778"/>
        <v>8.2653846153846153</v>
      </c>
      <c r="I330" s="44">
        <f t="shared" si="852"/>
        <v>8</v>
      </c>
      <c r="J330" s="45">
        <f t="shared" si="926"/>
        <v>30</v>
      </c>
      <c r="K330" s="37" t="str">
        <f>D330&amp;-2</f>
        <v>13-2</v>
      </c>
      <c r="L330" s="45">
        <f t="shared" si="751"/>
        <v>0.2</v>
      </c>
      <c r="M330" s="49">
        <f t="shared" si="853"/>
        <v>270</v>
      </c>
      <c r="N330" s="53">
        <f>N329</f>
        <v>75</v>
      </c>
      <c r="O330" s="53">
        <f t="shared" ref="O330:Q330" si="948">O329</f>
        <v>150</v>
      </c>
      <c r="P330" s="44">
        <f t="shared" si="948"/>
        <v>750</v>
      </c>
      <c r="Q330" s="45" t="str">
        <f t="shared" si="948"/>
        <v>on</v>
      </c>
    </row>
    <row r="331" spans="1:17" ht="15.75" thickBot="1" x14ac:dyDescent="0.3">
      <c r="A331" s="229">
        <f t="shared" ref="A331:B331" si="949">A330+1</f>
        <v>4714</v>
      </c>
      <c r="B331" s="230">
        <f t="shared" si="949"/>
        <v>321</v>
      </c>
      <c r="C331" s="218" t="str">
        <f t="shared" si="754"/>
        <v>81cF13_030_270#03</v>
      </c>
      <c r="D331" s="43">
        <f t="shared" ref="D331:F331" si="950">D330</f>
        <v>13</v>
      </c>
      <c r="E331" s="61">
        <f t="shared" si="950"/>
        <v>2.149</v>
      </c>
      <c r="F331" s="44">
        <f t="shared" si="950"/>
        <v>16.530769230769231</v>
      </c>
      <c r="G331" s="44">
        <f t="shared" si="777"/>
        <v>13.224615384615385</v>
      </c>
      <c r="H331" s="44">
        <f t="shared" si="778"/>
        <v>8.2653846153846153</v>
      </c>
      <c r="I331" s="44">
        <f t="shared" si="852"/>
        <v>8</v>
      </c>
      <c r="J331" s="45">
        <f t="shared" si="926"/>
        <v>30</v>
      </c>
      <c r="K331" s="37" t="str">
        <f>D331&amp;-3</f>
        <v>13-3</v>
      </c>
      <c r="L331" s="45">
        <f t="shared" si="751"/>
        <v>0.2</v>
      </c>
      <c r="M331" s="49">
        <f t="shared" si="853"/>
        <v>270</v>
      </c>
      <c r="N331" s="53">
        <f t="shared" ref="N331:Q331" si="951">N330</f>
        <v>75</v>
      </c>
      <c r="O331" s="53">
        <f t="shared" si="951"/>
        <v>150</v>
      </c>
      <c r="P331" s="44">
        <f t="shared" si="951"/>
        <v>750</v>
      </c>
      <c r="Q331" s="45" t="str">
        <f t="shared" si="951"/>
        <v>on</v>
      </c>
    </row>
    <row r="332" spans="1:17" ht="15.75" thickBot="1" x14ac:dyDescent="0.3">
      <c r="A332" s="229">
        <f t="shared" ref="A332:B332" si="952">A331+1</f>
        <v>4715</v>
      </c>
      <c r="B332" s="230">
        <f t="shared" si="952"/>
        <v>322</v>
      </c>
      <c r="C332" s="218" t="str">
        <f t="shared" ref="C332:C334" si="953">TEXT(RIGHT($B$2,LEN($B$2)-3),"000")&amp;IF(N332=0,"A",IF(N332=15,"B",IF(N332=30,"C",IF(N332=45,"D",IF(N332=60,"E","F")))))&amp;TEXT(D332,"00")&amp;"_"&amp;IF(J332&lt;0,TEXT(360+J332,"000"),TEXT(J332,"000"))&amp;"_"&amp;TEXT(M332,"000")&amp;"#"&amp;TEXT(RIGHT(K332,LEN(K332)-FIND("-",K332)),"00")</f>
        <v>81cF13_030_270#04</v>
      </c>
      <c r="D332" s="43">
        <f t="shared" ref="D332:F332" si="954">D331</f>
        <v>13</v>
      </c>
      <c r="E332" s="61">
        <f t="shared" si="954"/>
        <v>2.149</v>
      </c>
      <c r="F332" s="44">
        <f t="shared" si="954"/>
        <v>16.530769230769231</v>
      </c>
      <c r="G332" s="44">
        <f t="shared" si="777"/>
        <v>13.224615384615385</v>
      </c>
      <c r="H332" s="44">
        <f t="shared" si="778"/>
        <v>8.2653846153846153</v>
      </c>
      <c r="I332" s="44">
        <f t="shared" si="852"/>
        <v>8</v>
      </c>
      <c r="J332" s="45">
        <f t="shared" si="926"/>
        <v>30</v>
      </c>
      <c r="K332" s="37" t="str">
        <f>D332&amp;-4</f>
        <v>13-4</v>
      </c>
      <c r="L332" s="45">
        <f t="shared" si="751"/>
        <v>0.2</v>
      </c>
      <c r="M332" s="49">
        <f t="shared" si="853"/>
        <v>270</v>
      </c>
      <c r="N332" s="53">
        <f t="shared" ref="N332:Q332" si="955">N331</f>
        <v>75</v>
      </c>
      <c r="O332" s="53">
        <f t="shared" si="955"/>
        <v>150</v>
      </c>
      <c r="P332" s="44">
        <f t="shared" si="955"/>
        <v>750</v>
      </c>
      <c r="Q332" s="45" t="str">
        <f t="shared" si="955"/>
        <v>on</v>
      </c>
    </row>
    <row r="333" spans="1:17" ht="15.75" thickBot="1" x14ac:dyDescent="0.3">
      <c r="A333" s="229">
        <f t="shared" ref="A333:B333" si="956">A332+1</f>
        <v>4716</v>
      </c>
      <c r="B333" s="230">
        <f t="shared" si="956"/>
        <v>323</v>
      </c>
      <c r="C333" s="218" t="str">
        <f t="shared" si="953"/>
        <v>81cF13_030_270#05</v>
      </c>
      <c r="D333" s="43">
        <f t="shared" ref="D333:F333" si="957">D332</f>
        <v>13</v>
      </c>
      <c r="E333" s="61">
        <f t="shared" si="957"/>
        <v>2.149</v>
      </c>
      <c r="F333" s="44">
        <f t="shared" si="957"/>
        <v>16.530769230769231</v>
      </c>
      <c r="G333" s="44">
        <f t="shared" si="777"/>
        <v>13.224615384615385</v>
      </c>
      <c r="H333" s="44">
        <f t="shared" si="778"/>
        <v>8.2653846153846153</v>
      </c>
      <c r="I333" s="44">
        <f t="shared" si="852"/>
        <v>8</v>
      </c>
      <c r="J333" s="45">
        <f t="shared" si="926"/>
        <v>30</v>
      </c>
      <c r="K333" s="37" t="str">
        <f>D333&amp;-5</f>
        <v>13-5</v>
      </c>
      <c r="L333" s="45">
        <f t="shared" si="751"/>
        <v>0.2</v>
      </c>
      <c r="M333" s="49">
        <f t="shared" si="853"/>
        <v>270</v>
      </c>
      <c r="N333" s="53">
        <f t="shared" ref="N333:Q333" si="958">N332</f>
        <v>75</v>
      </c>
      <c r="O333" s="53">
        <f t="shared" si="958"/>
        <v>150</v>
      </c>
      <c r="P333" s="44">
        <f t="shared" si="958"/>
        <v>750</v>
      </c>
      <c r="Q333" s="45" t="str">
        <f t="shared" si="958"/>
        <v>on</v>
      </c>
    </row>
    <row r="334" spans="1:17" x14ac:dyDescent="0.25">
      <c r="A334" s="229">
        <f t="shared" ref="A334:B334" si="959">A333+1</f>
        <v>4717</v>
      </c>
      <c r="B334" s="230">
        <f t="shared" si="959"/>
        <v>324</v>
      </c>
      <c r="C334" s="218" t="str">
        <f t="shared" si="953"/>
        <v>81cF13_030_270#06</v>
      </c>
      <c r="D334" s="43">
        <f t="shared" ref="D334:F334" si="960">D333</f>
        <v>13</v>
      </c>
      <c r="E334" s="61">
        <f t="shared" si="960"/>
        <v>2.149</v>
      </c>
      <c r="F334" s="44">
        <f t="shared" si="960"/>
        <v>16.530769230769231</v>
      </c>
      <c r="G334" s="44">
        <f t="shared" si="777"/>
        <v>13.224615384615385</v>
      </c>
      <c r="H334" s="44">
        <f t="shared" si="778"/>
        <v>8.2653846153846153</v>
      </c>
      <c r="I334" s="44">
        <f t="shared" si="852"/>
        <v>8</v>
      </c>
      <c r="J334" s="45">
        <f t="shared" si="926"/>
        <v>30</v>
      </c>
      <c r="K334" s="37" t="str">
        <f>D334&amp;-6</f>
        <v>13-6</v>
      </c>
      <c r="L334" s="45">
        <f t="shared" si="751"/>
        <v>0.2</v>
      </c>
      <c r="M334" s="49">
        <f t="shared" si="853"/>
        <v>270</v>
      </c>
      <c r="N334" s="53">
        <f t="shared" ref="N334:Q334" si="961">N333</f>
        <v>75</v>
      </c>
      <c r="O334" s="53">
        <f t="shared" si="961"/>
        <v>150</v>
      </c>
      <c r="P334" s="44">
        <f t="shared" si="961"/>
        <v>750</v>
      </c>
      <c r="Q334" s="45" t="str">
        <f t="shared" si="961"/>
        <v>on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P82"/>
  <sheetViews>
    <sheetView topLeftCell="B1" zoomScaleNormal="100" workbookViewId="0">
      <selection activeCell="T20" sqref="T20"/>
    </sheetView>
  </sheetViews>
  <sheetFormatPr defaultColWidth="9" defaultRowHeight="15" x14ac:dyDescent="0.15"/>
  <cols>
    <col min="1" max="1" width="8" style="23" customWidth="1"/>
    <col min="2" max="2" width="7.375" style="23" customWidth="1"/>
    <col min="3" max="3" width="18.375" style="23" customWidth="1"/>
    <col min="4" max="4" width="6.375" style="23" customWidth="1"/>
    <col min="5" max="5" width="6.625" style="23" customWidth="1"/>
    <col min="6" max="6" width="7" style="23" customWidth="1"/>
    <col min="7" max="7" width="6.25" style="23" customWidth="1"/>
    <col min="8" max="8" width="7.375" style="23" customWidth="1"/>
    <col min="9" max="9" width="6.625" style="23" customWidth="1"/>
    <col min="10" max="10" width="6.75" style="23" customWidth="1"/>
    <col min="11" max="11" width="9.625" style="23" customWidth="1"/>
    <col min="12" max="13" width="7.25" style="23" customWidth="1"/>
    <col min="14" max="14" width="6.25" style="23" customWidth="1"/>
    <col min="15" max="15" width="5.75" style="23" customWidth="1"/>
    <col min="16" max="16" width="6.75" style="23" customWidth="1"/>
    <col min="17" max="16384" width="9" style="23"/>
  </cols>
  <sheetData>
    <row r="1" spans="1:16" x14ac:dyDescent="0.15">
      <c r="H1" s="22" t="s">
        <v>135</v>
      </c>
      <c r="I1" s="216" t="s">
        <v>3981</v>
      </c>
    </row>
    <row r="2" spans="1:16" x14ac:dyDescent="0.15">
      <c r="B2" s="22" t="s">
        <v>131</v>
      </c>
      <c r="C2" s="22"/>
      <c r="D2" s="22"/>
      <c r="E2" s="22"/>
      <c r="H2" s="22"/>
      <c r="I2" s="216" t="s">
        <v>3982</v>
      </c>
    </row>
    <row r="3" spans="1:16" x14ac:dyDescent="0.15">
      <c r="B3" s="22" t="s">
        <v>88</v>
      </c>
      <c r="C3" s="22"/>
      <c r="D3" s="22"/>
      <c r="E3" s="22" t="s">
        <v>895</v>
      </c>
      <c r="H3" s="22"/>
      <c r="I3" s="240" t="s">
        <v>3939</v>
      </c>
    </row>
    <row r="4" spans="1:16" x14ac:dyDescent="0.15">
      <c r="B4" s="22" t="s">
        <v>89</v>
      </c>
      <c r="C4" s="22"/>
      <c r="D4" s="22"/>
      <c r="E4" s="22" t="s">
        <v>899</v>
      </c>
      <c r="H4" s="22"/>
      <c r="I4" s="216" t="s">
        <v>3938</v>
      </c>
    </row>
    <row r="5" spans="1:16" x14ac:dyDescent="0.15">
      <c r="B5" s="22" t="s">
        <v>91</v>
      </c>
      <c r="C5" s="22"/>
      <c r="D5" s="22"/>
      <c r="E5" s="22" t="s">
        <v>99</v>
      </c>
      <c r="I5" s="240" t="s">
        <v>3940</v>
      </c>
    </row>
    <row r="6" spans="1:16" x14ac:dyDescent="0.15">
      <c r="B6" s="22" t="s">
        <v>93</v>
      </c>
      <c r="C6" s="22"/>
      <c r="D6" s="22"/>
      <c r="E6" s="22" t="s">
        <v>106</v>
      </c>
      <c r="I6" s="216" t="s">
        <v>3932</v>
      </c>
    </row>
    <row r="7" spans="1:16" x14ac:dyDescent="0.15">
      <c r="A7" s="46"/>
      <c r="B7" s="46"/>
      <c r="C7" s="46"/>
      <c r="D7" s="46"/>
      <c r="E7" s="46"/>
      <c r="F7" s="46"/>
      <c r="G7" s="46"/>
      <c r="H7" s="46"/>
      <c r="I7" s="216" t="s">
        <v>3930</v>
      </c>
      <c r="J7" s="46"/>
      <c r="K7" s="46"/>
      <c r="L7" s="46"/>
      <c r="M7" s="46"/>
      <c r="N7" s="46"/>
      <c r="O7" s="46"/>
    </row>
    <row r="8" spans="1:16" ht="15.75" thickBot="1" x14ac:dyDescent="0.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</row>
    <row r="9" spans="1:16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2</v>
      </c>
      <c r="K9" s="26" t="s">
        <v>3</v>
      </c>
      <c r="L9" s="25" t="s">
        <v>141</v>
      </c>
      <c r="M9" s="25" t="s">
        <v>13</v>
      </c>
      <c r="N9" s="27" t="s">
        <v>138</v>
      </c>
      <c r="O9" s="27" t="s">
        <v>139</v>
      </c>
      <c r="P9" s="70" t="s">
        <v>169</v>
      </c>
    </row>
    <row r="10" spans="1:16" ht="15.75" thickBot="1" x14ac:dyDescent="0.3">
      <c r="A10" s="29" t="s">
        <v>76</v>
      </c>
      <c r="B10" s="30" t="str">
        <f>B2</f>
        <v>DLC82b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32"/>
      <c r="N10" s="32" t="s">
        <v>7</v>
      </c>
      <c r="O10" s="32" t="s">
        <v>7</v>
      </c>
      <c r="P10" s="5"/>
    </row>
    <row r="11" spans="1:16" ht="15.75" thickBot="1" x14ac:dyDescent="0.3">
      <c r="A11" s="24">
        <f>DLC81c!A334+1</f>
        <v>4718</v>
      </c>
      <c r="B11" s="27">
        <v>1</v>
      </c>
      <c r="C11" s="24" t="str">
        <f>TEXT(RIGHT($B$2,LEN($B$2)-3),"000")&amp;"X"&amp;TEXT(D11,"00")&amp;"_"&amp;IF(J11&lt;0,TEXT(360+J11,"000"),TEXT(J11,"000"))&amp;"_"&amp;TEXT(M11,"000")&amp;"#"&amp;TEXT(RIGHT(K11,LEN(K11)-FIND("-",K11)),"00")</f>
        <v>82bX30_352_000#01</v>
      </c>
      <c r="D11" s="34">
        <f>v_1</f>
        <v>30</v>
      </c>
      <c r="E11" s="60">
        <f>F11*D11/100</f>
        <v>3.3</v>
      </c>
      <c r="F11" s="35">
        <f>0.11*100</f>
        <v>11</v>
      </c>
      <c r="G11" s="35">
        <f t="shared" ref="G11:G34" si="0">m_ty*F11</f>
        <v>8.8000000000000007</v>
      </c>
      <c r="H11" s="35">
        <f t="shared" ref="H11:H34" si="1">m_tz*F11</f>
        <v>5.5</v>
      </c>
      <c r="I11" s="35">
        <f>inflow</f>
        <v>8</v>
      </c>
      <c r="J11" s="36">
        <f t="shared" ref="J11:J34" si="2">yaw_min</f>
        <v>-8</v>
      </c>
      <c r="K11" s="37" t="str">
        <f>D11&amp;-1</f>
        <v>30-1</v>
      </c>
      <c r="L11" s="35">
        <f>alpha_e</f>
        <v>0.11</v>
      </c>
      <c r="M11" s="49">
        <v>0</v>
      </c>
      <c r="N11" s="44">
        <f>t_out</f>
        <v>150</v>
      </c>
      <c r="O11" s="44">
        <f>N11+T_s1</f>
        <v>750</v>
      </c>
      <c r="P11" s="69" t="s">
        <v>168</v>
      </c>
    </row>
    <row r="12" spans="1:16" ht="15.75" thickBot="1" x14ac:dyDescent="0.3">
      <c r="A12" s="41">
        <f t="shared" ref="A12:B12" si="3">A11+1</f>
        <v>4719</v>
      </c>
      <c r="B12" s="42">
        <f t="shared" si="3"/>
        <v>2</v>
      </c>
      <c r="C12" s="218" t="str">
        <f t="shared" ref="C12:C75" si="4">TEXT(RIGHT($B$2,LEN($B$2)-3),"000")&amp;"X"&amp;TEXT(D12,"00")&amp;"_"&amp;IF(J12&lt;0,TEXT(360+J12,"000"),TEXT(J12,"000"))&amp;"_"&amp;TEXT(M12,"000")&amp;"#"&amp;TEXT(RIGHT(K12,LEN(K12)-FIND("-",K12)),"00")</f>
        <v>82bX30_352_000#02</v>
      </c>
      <c r="D12" s="43">
        <f>D11</f>
        <v>30</v>
      </c>
      <c r="E12" s="61">
        <f>E11</f>
        <v>3.3</v>
      </c>
      <c r="F12" s="44">
        <f>F11</f>
        <v>11</v>
      </c>
      <c r="G12" s="44">
        <f t="shared" si="0"/>
        <v>8.8000000000000007</v>
      </c>
      <c r="H12" s="44">
        <f t="shared" si="1"/>
        <v>5.5</v>
      </c>
      <c r="I12" s="44">
        <f>I11</f>
        <v>8</v>
      </c>
      <c r="J12" s="45">
        <f t="shared" si="2"/>
        <v>-8</v>
      </c>
      <c r="K12" s="37" t="str">
        <f>D12&amp;-2</f>
        <v>30-2</v>
      </c>
      <c r="L12" s="44">
        <f>L11</f>
        <v>0.11</v>
      </c>
      <c r="M12" s="49">
        <f>M11</f>
        <v>0</v>
      </c>
      <c r="N12" s="44">
        <f>N11</f>
        <v>150</v>
      </c>
      <c r="O12" s="44">
        <f>O11</f>
        <v>750</v>
      </c>
      <c r="P12" s="45" t="str">
        <f>P11</f>
        <v>on</v>
      </c>
    </row>
    <row r="13" spans="1:16" ht="15.75" thickBot="1" x14ac:dyDescent="0.3">
      <c r="A13" s="229">
        <f t="shared" ref="A13:B13" si="5">A12+1</f>
        <v>4720</v>
      </c>
      <c r="B13" s="230">
        <f t="shared" si="5"/>
        <v>3</v>
      </c>
      <c r="C13" s="218" t="str">
        <f t="shared" si="4"/>
        <v>82bX30_352_000#03</v>
      </c>
      <c r="D13" s="43">
        <f t="shared" ref="D13:I28" si="6">D12</f>
        <v>30</v>
      </c>
      <c r="E13" s="61">
        <f t="shared" si="6"/>
        <v>3.3</v>
      </c>
      <c r="F13" s="44">
        <f t="shared" si="6"/>
        <v>11</v>
      </c>
      <c r="G13" s="44">
        <f t="shared" si="0"/>
        <v>8.8000000000000007</v>
      </c>
      <c r="H13" s="44">
        <f t="shared" si="1"/>
        <v>5.5</v>
      </c>
      <c r="I13" s="44">
        <f t="shared" si="6"/>
        <v>8</v>
      </c>
      <c r="J13" s="45">
        <f t="shared" si="2"/>
        <v>-8</v>
      </c>
      <c r="K13" s="37" t="str">
        <f>D13&amp;-3</f>
        <v>30-3</v>
      </c>
      <c r="L13" s="44">
        <f t="shared" ref="L13:P28" si="7">L12</f>
        <v>0.11</v>
      </c>
      <c r="M13" s="49">
        <f t="shared" si="7"/>
        <v>0</v>
      </c>
      <c r="N13" s="44">
        <f t="shared" si="7"/>
        <v>150</v>
      </c>
      <c r="O13" s="44">
        <f t="shared" si="7"/>
        <v>750</v>
      </c>
      <c r="P13" s="45" t="str">
        <f>P12</f>
        <v>on</v>
      </c>
    </row>
    <row r="14" spans="1:16" ht="15.75" thickBot="1" x14ac:dyDescent="0.3">
      <c r="A14" s="229">
        <f t="shared" ref="A14:B14" si="8">A13+1</f>
        <v>4721</v>
      </c>
      <c r="B14" s="230">
        <f t="shared" si="8"/>
        <v>4</v>
      </c>
      <c r="C14" s="218" t="str">
        <f t="shared" si="4"/>
        <v>82bX30_352_000#04</v>
      </c>
      <c r="D14" s="43">
        <f t="shared" si="6"/>
        <v>30</v>
      </c>
      <c r="E14" s="61">
        <f t="shared" si="6"/>
        <v>3.3</v>
      </c>
      <c r="F14" s="44">
        <f t="shared" si="6"/>
        <v>11</v>
      </c>
      <c r="G14" s="44">
        <f t="shared" si="0"/>
        <v>8.8000000000000007</v>
      </c>
      <c r="H14" s="44">
        <f t="shared" si="1"/>
        <v>5.5</v>
      </c>
      <c r="I14" s="44">
        <f t="shared" si="6"/>
        <v>8</v>
      </c>
      <c r="J14" s="45">
        <f t="shared" si="2"/>
        <v>-8</v>
      </c>
      <c r="K14" s="37" t="str">
        <f>D14&amp;-4</f>
        <v>30-4</v>
      </c>
      <c r="L14" s="44">
        <f t="shared" si="7"/>
        <v>0.11</v>
      </c>
      <c r="M14" s="49">
        <f t="shared" si="7"/>
        <v>0</v>
      </c>
      <c r="N14" s="44">
        <f t="shared" si="7"/>
        <v>150</v>
      </c>
      <c r="O14" s="44">
        <f t="shared" si="7"/>
        <v>750</v>
      </c>
      <c r="P14" s="45" t="str">
        <f>P13</f>
        <v>on</v>
      </c>
    </row>
    <row r="15" spans="1:16" ht="15.75" thickBot="1" x14ac:dyDescent="0.3">
      <c r="A15" s="229">
        <f t="shared" ref="A15:B15" si="9">A14+1</f>
        <v>4722</v>
      </c>
      <c r="B15" s="230">
        <f t="shared" si="9"/>
        <v>5</v>
      </c>
      <c r="C15" s="218" t="str">
        <f t="shared" si="4"/>
        <v>82bX30_352_000#05</v>
      </c>
      <c r="D15" s="43">
        <f t="shared" si="6"/>
        <v>30</v>
      </c>
      <c r="E15" s="61">
        <f t="shared" si="6"/>
        <v>3.3</v>
      </c>
      <c r="F15" s="44">
        <f t="shared" si="6"/>
        <v>11</v>
      </c>
      <c r="G15" s="44">
        <f t="shared" si="0"/>
        <v>8.8000000000000007</v>
      </c>
      <c r="H15" s="44">
        <f t="shared" si="1"/>
        <v>5.5</v>
      </c>
      <c r="I15" s="44">
        <f t="shared" si="6"/>
        <v>8</v>
      </c>
      <c r="J15" s="45">
        <f t="shared" si="2"/>
        <v>-8</v>
      </c>
      <c r="K15" s="37" t="str">
        <f>D15&amp;-5</f>
        <v>30-5</v>
      </c>
      <c r="L15" s="44">
        <f t="shared" si="7"/>
        <v>0.11</v>
      </c>
      <c r="M15" s="49">
        <f t="shared" si="7"/>
        <v>0</v>
      </c>
      <c r="N15" s="44">
        <f t="shared" si="7"/>
        <v>150</v>
      </c>
      <c r="O15" s="44">
        <f t="shared" si="7"/>
        <v>750</v>
      </c>
      <c r="P15" s="45" t="str">
        <f t="shared" si="7"/>
        <v>on</v>
      </c>
    </row>
    <row r="16" spans="1:16" ht="15.75" thickBot="1" x14ac:dyDescent="0.3">
      <c r="A16" s="229">
        <f t="shared" ref="A16:B16" si="10">A15+1</f>
        <v>4723</v>
      </c>
      <c r="B16" s="230">
        <f t="shared" si="10"/>
        <v>6</v>
      </c>
      <c r="C16" s="218" t="str">
        <f t="shared" si="4"/>
        <v>82bX30_352_000#06</v>
      </c>
      <c r="D16" s="43">
        <f t="shared" si="6"/>
        <v>30</v>
      </c>
      <c r="E16" s="61">
        <f t="shared" si="6"/>
        <v>3.3</v>
      </c>
      <c r="F16" s="44">
        <f t="shared" si="6"/>
        <v>11</v>
      </c>
      <c r="G16" s="44">
        <f t="shared" si="0"/>
        <v>8.8000000000000007</v>
      </c>
      <c r="H16" s="44">
        <f t="shared" si="1"/>
        <v>5.5</v>
      </c>
      <c r="I16" s="44">
        <f t="shared" si="6"/>
        <v>8</v>
      </c>
      <c r="J16" s="45">
        <f t="shared" si="2"/>
        <v>-8</v>
      </c>
      <c r="K16" s="37" t="str">
        <f>D16&amp;-6</f>
        <v>30-6</v>
      </c>
      <c r="L16" s="44">
        <f t="shared" si="7"/>
        <v>0.11</v>
      </c>
      <c r="M16" s="49">
        <f t="shared" si="7"/>
        <v>0</v>
      </c>
      <c r="N16" s="44">
        <f t="shared" si="7"/>
        <v>150</v>
      </c>
      <c r="O16" s="44">
        <f t="shared" si="7"/>
        <v>750</v>
      </c>
      <c r="P16" s="45" t="str">
        <f t="shared" si="7"/>
        <v>on</v>
      </c>
    </row>
    <row r="17" spans="1:16" ht="15.75" thickBot="1" x14ac:dyDescent="0.3">
      <c r="A17" s="229">
        <f t="shared" ref="A17:B17" si="11">A16+1</f>
        <v>4724</v>
      </c>
      <c r="B17" s="230">
        <f t="shared" si="11"/>
        <v>7</v>
      </c>
      <c r="C17" s="218" t="str">
        <f t="shared" si="4"/>
        <v>82bX30_352_030#01</v>
      </c>
      <c r="D17" s="43">
        <f t="shared" si="6"/>
        <v>30</v>
      </c>
      <c r="E17" s="61">
        <f t="shared" si="6"/>
        <v>3.3</v>
      </c>
      <c r="F17" s="44">
        <f t="shared" si="6"/>
        <v>11</v>
      </c>
      <c r="G17" s="44">
        <f t="shared" si="0"/>
        <v>8.8000000000000007</v>
      </c>
      <c r="H17" s="44">
        <f t="shared" si="1"/>
        <v>5.5</v>
      </c>
      <c r="I17" s="44">
        <f t="shared" si="6"/>
        <v>8</v>
      </c>
      <c r="J17" s="45">
        <f t="shared" si="2"/>
        <v>-8</v>
      </c>
      <c r="K17" s="37" t="str">
        <f>D17&amp;-1</f>
        <v>30-1</v>
      </c>
      <c r="L17" s="44">
        <f t="shared" si="7"/>
        <v>0.11</v>
      </c>
      <c r="M17" s="49">
        <v>30</v>
      </c>
      <c r="N17" s="44">
        <f t="shared" si="7"/>
        <v>150</v>
      </c>
      <c r="O17" s="44">
        <f t="shared" si="7"/>
        <v>750</v>
      </c>
      <c r="P17" s="45" t="str">
        <f t="shared" si="7"/>
        <v>on</v>
      </c>
    </row>
    <row r="18" spans="1:16" ht="15" customHeight="1" thickBot="1" x14ac:dyDescent="0.3">
      <c r="A18" s="229">
        <f t="shared" ref="A18:B18" si="12">A17+1</f>
        <v>4725</v>
      </c>
      <c r="B18" s="230">
        <f t="shared" si="12"/>
        <v>8</v>
      </c>
      <c r="C18" s="218" t="str">
        <f t="shared" si="4"/>
        <v>82bX30_352_030#02</v>
      </c>
      <c r="D18" s="43">
        <f t="shared" si="6"/>
        <v>30</v>
      </c>
      <c r="E18" s="61">
        <f t="shared" si="6"/>
        <v>3.3</v>
      </c>
      <c r="F18" s="44">
        <f t="shared" si="6"/>
        <v>11</v>
      </c>
      <c r="G18" s="44">
        <f t="shared" si="0"/>
        <v>8.8000000000000007</v>
      </c>
      <c r="H18" s="44">
        <f t="shared" si="1"/>
        <v>5.5</v>
      </c>
      <c r="I18" s="44">
        <f t="shared" si="6"/>
        <v>8</v>
      </c>
      <c r="J18" s="45">
        <f t="shared" si="2"/>
        <v>-8</v>
      </c>
      <c r="K18" s="37" t="str">
        <f>D18&amp;-2</f>
        <v>30-2</v>
      </c>
      <c r="L18" s="44">
        <f t="shared" si="7"/>
        <v>0.11</v>
      </c>
      <c r="M18" s="49">
        <f>M17</f>
        <v>30</v>
      </c>
      <c r="N18" s="44">
        <f t="shared" si="7"/>
        <v>150</v>
      </c>
      <c r="O18" s="44">
        <f t="shared" si="7"/>
        <v>750</v>
      </c>
      <c r="P18" s="45" t="str">
        <f t="shared" si="7"/>
        <v>on</v>
      </c>
    </row>
    <row r="19" spans="1:16" ht="15.75" thickBot="1" x14ac:dyDescent="0.3">
      <c r="A19" s="229">
        <f t="shared" ref="A19:B19" si="13">A18+1</f>
        <v>4726</v>
      </c>
      <c r="B19" s="230">
        <f t="shared" si="13"/>
        <v>9</v>
      </c>
      <c r="C19" s="218" t="str">
        <f t="shared" si="4"/>
        <v>82bX30_352_030#03</v>
      </c>
      <c r="D19" s="43">
        <f t="shared" si="6"/>
        <v>30</v>
      </c>
      <c r="E19" s="61">
        <f t="shared" si="6"/>
        <v>3.3</v>
      </c>
      <c r="F19" s="44">
        <f t="shared" si="6"/>
        <v>11</v>
      </c>
      <c r="G19" s="44">
        <f t="shared" si="0"/>
        <v>8.8000000000000007</v>
      </c>
      <c r="H19" s="44">
        <f t="shared" si="1"/>
        <v>5.5</v>
      </c>
      <c r="I19" s="44">
        <f t="shared" si="6"/>
        <v>8</v>
      </c>
      <c r="J19" s="45">
        <f t="shared" si="2"/>
        <v>-8</v>
      </c>
      <c r="K19" s="37" t="str">
        <f>D19&amp;-3</f>
        <v>30-3</v>
      </c>
      <c r="L19" s="44">
        <f t="shared" si="7"/>
        <v>0.11</v>
      </c>
      <c r="M19" s="49">
        <f t="shared" si="7"/>
        <v>30</v>
      </c>
      <c r="N19" s="44">
        <f t="shared" si="7"/>
        <v>150</v>
      </c>
      <c r="O19" s="44">
        <f t="shared" si="7"/>
        <v>750</v>
      </c>
      <c r="P19" s="45" t="str">
        <f t="shared" si="7"/>
        <v>on</v>
      </c>
    </row>
    <row r="20" spans="1:16" ht="15.75" thickBot="1" x14ac:dyDescent="0.3">
      <c r="A20" s="229">
        <f t="shared" ref="A20:B20" si="14">A19+1</f>
        <v>4727</v>
      </c>
      <c r="B20" s="230">
        <f t="shared" si="14"/>
        <v>10</v>
      </c>
      <c r="C20" s="218" t="str">
        <f t="shared" si="4"/>
        <v>82bX30_352_030#04</v>
      </c>
      <c r="D20" s="43">
        <f t="shared" si="6"/>
        <v>30</v>
      </c>
      <c r="E20" s="61">
        <f t="shared" si="6"/>
        <v>3.3</v>
      </c>
      <c r="F20" s="44">
        <f t="shared" si="6"/>
        <v>11</v>
      </c>
      <c r="G20" s="44">
        <f t="shared" si="0"/>
        <v>8.8000000000000007</v>
      </c>
      <c r="H20" s="44">
        <f t="shared" si="1"/>
        <v>5.5</v>
      </c>
      <c r="I20" s="44">
        <f t="shared" si="6"/>
        <v>8</v>
      </c>
      <c r="J20" s="45">
        <f t="shared" si="2"/>
        <v>-8</v>
      </c>
      <c r="K20" s="37" t="str">
        <f>D20&amp;-4</f>
        <v>30-4</v>
      </c>
      <c r="L20" s="44">
        <f t="shared" si="7"/>
        <v>0.11</v>
      </c>
      <c r="M20" s="49">
        <f t="shared" si="7"/>
        <v>30</v>
      </c>
      <c r="N20" s="44">
        <f t="shared" si="7"/>
        <v>150</v>
      </c>
      <c r="O20" s="44">
        <f t="shared" si="7"/>
        <v>750</v>
      </c>
      <c r="P20" s="45" t="str">
        <f t="shared" si="7"/>
        <v>on</v>
      </c>
    </row>
    <row r="21" spans="1:16" ht="15.75" thickBot="1" x14ac:dyDescent="0.3">
      <c r="A21" s="229">
        <f t="shared" ref="A21:B21" si="15">A20+1</f>
        <v>4728</v>
      </c>
      <c r="B21" s="230">
        <f t="shared" si="15"/>
        <v>11</v>
      </c>
      <c r="C21" s="218" t="str">
        <f t="shared" si="4"/>
        <v>82bX30_352_030#05</v>
      </c>
      <c r="D21" s="43">
        <f t="shared" si="6"/>
        <v>30</v>
      </c>
      <c r="E21" s="61">
        <f t="shared" si="6"/>
        <v>3.3</v>
      </c>
      <c r="F21" s="44">
        <f t="shared" si="6"/>
        <v>11</v>
      </c>
      <c r="G21" s="44">
        <f t="shared" si="0"/>
        <v>8.8000000000000007</v>
      </c>
      <c r="H21" s="44">
        <f t="shared" si="1"/>
        <v>5.5</v>
      </c>
      <c r="I21" s="44">
        <f t="shared" si="6"/>
        <v>8</v>
      </c>
      <c r="J21" s="45">
        <f t="shared" si="2"/>
        <v>-8</v>
      </c>
      <c r="K21" s="37" t="str">
        <f>D21&amp;-5</f>
        <v>30-5</v>
      </c>
      <c r="L21" s="44">
        <f t="shared" si="7"/>
        <v>0.11</v>
      </c>
      <c r="M21" s="49">
        <f t="shared" si="7"/>
        <v>30</v>
      </c>
      <c r="N21" s="44">
        <f t="shared" si="7"/>
        <v>150</v>
      </c>
      <c r="O21" s="44">
        <f t="shared" si="7"/>
        <v>750</v>
      </c>
      <c r="P21" s="45" t="str">
        <f t="shared" si="7"/>
        <v>on</v>
      </c>
    </row>
    <row r="22" spans="1:16" ht="15.75" thickBot="1" x14ac:dyDescent="0.3">
      <c r="A22" s="229">
        <f t="shared" ref="A22:B22" si="16">A21+1</f>
        <v>4729</v>
      </c>
      <c r="B22" s="230">
        <f t="shared" si="16"/>
        <v>12</v>
      </c>
      <c r="C22" s="218" t="str">
        <f t="shared" si="4"/>
        <v>82bX30_352_030#06</v>
      </c>
      <c r="D22" s="43">
        <f t="shared" si="6"/>
        <v>30</v>
      </c>
      <c r="E22" s="61">
        <f t="shared" si="6"/>
        <v>3.3</v>
      </c>
      <c r="F22" s="44">
        <f t="shared" si="6"/>
        <v>11</v>
      </c>
      <c r="G22" s="44">
        <f t="shared" si="0"/>
        <v>8.8000000000000007</v>
      </c>
      <c r="H22" s="44">
        <f t="shared" si="1"/>
        <v>5.5</v>
      </c>
      <c r="I22" s="44">
        <f t="shared" si="6"/>
        <v>8</v>
      </c>
      <c r="J22" s="45">
        <f t="shared" si="2"/>
        <v>-8</v>
      </c>
      <c r="K22" s="37" t="str">
        <f>D22&amp;-6</f>
        <v>30-6</v>
      </c>
      <c r="L22" s="44">
        <f t="shared" si="7"/>
        <v>0.11</v>
      </c>
      <c r="M22" s="49">
        <f t="shared" si="7"/>
        <v>30</v>
      </c>
      <c r="N22" s="44">
        <f t="shared" si="7"/>
        <v>150</v>
      </c>
      <c r="O22" s="44">
        <f t="shared" si="7"/>
        <v>750</v>
      </c>
      <c r="P22" s="45" t="str">
        <f t="shared" si="7"/>
        <v>on</v>
      </c>
    </row>
    <row r="23" spans="1:16" ht="15.75" thickBot="1" x14ac:dyDescent="0.3">
      <c r="A23" s="229">
        <f t="shared" ref="A23:B23" si="17">A22+1</f>
        <v>4730</v>
      </c>
      <c r="B23" s="230">
        <f t="shared" si="17"/>
        <v>13</v>
      </c>
      <c r="C23" s="218" t="str">
        <f t="shared" si="4"/>
        <v>82bX30_352_060#01</v>
      </c>
      <c r="D23" s="43">
        <f t="shared" si="6"/>
        <v>30</v>
      </c>
      <c r="E23" s="61">
        <f t="shared" si="6"/>
        <v>3.3</v>
      </c>
      <c r="F23" s="44">
        <f t="shared" si="6"/>
        <v>11</v>
      </c>
      <c r="G23" s="44">
        <f t="shared" si="0"/>
        <v>8.8000000000000007</v>
      </c>
      <c r="H23" s="44">
        <f t="shared" si="1"/>
        <v>5.5</v>
      </c>
      <c r="I23" s="44">
        <f t="shared" si="6"/>
        <v>8</v>
      </c>
      <c r="J23" s="45">
        <f t="shared" si="2"/>
        <v>-8</v>
      </c>
      <c r="K23" s="37" t="str">
        <f>D23&amp;-1</f>
        <v>30-1</v>
      </c>
      <c r="L23" s="44">
        <f t="shared" si="7"/>
        <v>0.11</v>
      </c>
      <c r="M23" s="49">
        <v>60</v>
      </c>
      <c r="N23" s="44">
        <f t="shared" si="7"/>
        <v>150</v>
      </c>
      <c r="O23" s="44">
        <f t="shared" si="7"/>
        <v>750</v>
      </c>
      <c r="P23" s="45" t="str">
        <f t="shared" si="7"/>
        <v>on</v>
      </c>
    </row>
    <row r="24" spans="1:16" ht="15.75" thickBot="1" x14ac:dyDescent="0.3">
      <c r="A24" s="229">
        <f t="shared" ref="A24:B24" si="18">A23+1</f>
        <v>4731</v>
      </c>
      <c r="B24" s="230">
        <f t="shared" si="18"/>
        <v>14</v>
      </c>
      <c r="C24" s="218" t="str">
        <f t="shared" si="4"/>
        <v>82bX30_352_060#02</v>
      </c>
      <c r="D24" s="43">
        <f t="shared" si="6"/>
        <v>30</v>
      </c>
      <c r="E24" s="61">
        <f t="shared" si="6"/>
        <v>3.3</v>
      </c>
      <c r="F24" s="44">
        <f t="shared" si="6"/>
        <v>11</v>
      </c>
      <c r="G24" s="44">
        <f t="shared" si="0"/>
        <v>8.8000000000000007</v>
      </c>
      <c r="H24" s="44">
        <f t="shared" si="1"/>
        <v>5.5</v>
      </c>
      <c r="I24" s="44">
        <f t="shared" si="6"/>
        <v>8</v>
      </c>
      <c r="J24" s="45">
        <f t="shared" si="2"/>
        <v>-8</v>
      </c>
      <c r="K24" s="37" t="str">
        <f>D24&amp;-2</f>
        <v>30-2</v>
      </c>
      <c r="L24" s="44">
        <f t="shared" si="7"/>
        <v>0.11</v>
      </c>
      <c r="M24" s="49">
        <f>M23</f>
        <v>60</v>
      </c>
      <c r="N24" s="44">
        <f t="shared" si="7"/>
        <v>150</v>
      </c>
      <c r="O24" s="44">
        <f t="shared" si="7"/>
        <v>750</v>
      </c>
      <c r="P24" s="45" t="str">
        <f t="shared" si="7"/>
        <v>on</v>
      </c>
    </row>
    <row r="25" spans="1:16" ht="15.75" thickBot="1" x14ac:dyDescent="0.3">
      <c r="A25" s="229">
        <f t="shared" ref="A25:B25" si="19">A24+1</f>
        <v>4732</v>
      </c>
      <c r="B25" s="230">
        <f t="shared" si="19"/>
        <v>15</v>
      </c>
      <c r="C25" s="218" t="str">
        <f t="shared" si="4"/>
        <v>82bX30_352_060#03</v>
      </c>
      <c r="D25" s="43">
        <f t="shared" si="6"/>
        <v>30</v>
      </c>
      <c r="E25" s="61">
        <f t="shared" si="6"/>
        <v>3.3</v>
      </c>
      <c r="F25" s="44">
        <f t="shared" si="6"/>
        <v>11</v>
      </c>
      <c r="G25" s="44">
        <f t="shared" si="0"/>
        <v>8.8000000000000007</v>
      </c>
      <c r="H25" s="44">
        <f t="shared" si="1"/>
        <v>5.5</v>
      </c>
      <c r="I25" s="44">
        <f t="shared" si="6"/>
        <v>8</v>
      </c>
      <c r="J25" s="45">
        <f t="shared" si="2"/>
        <v>-8</v>
      </c>
      <c r="K25" s="37" t="str">
        <f>D25&amp;-3</f>
        <v>30-3</v>
      </c>
      <c r="L25" s="44">
        <f t="shared" si="7"/>
        <v>0.11</v>
      </c>
      <c r="M25" s="49">
        <f t="shared" si="7"/>
        <v>60</v>
      </c>
      <c r="N25" s="44">
        <f t="shared" si="7"/>
        <v>150</v>
      </c>
      <c r="O25" s="44">
        <f t="shared" si="7"/>
        <v>750</v>
      </c>
      <c r="P25" s="45" t="str">
        <f t="shared" si="7"/>
        <v>on</v>
      </c>
    </row>
    <row r="26" spans="1:16" ht="15.75" thickBot="1" x14ac:dyDescent="0.3">
      <c r="A26" s="229">
        <f t="shared" ref="A26:B26" si="20">A25+1</f>
        <v>4733</v>
      </c>
      <c r="B26" s="230">
        <f t="shared" si="20"/>
        <v>16</v>
      </c>
      <c r="C26" s="218" t="str">
        <f t="shared" si="4"/>
        <v>82bX30_352_060#04</v>
      </c>
      <c r="D26" s="43">
        <f t="shared" si="6"/>
        <v>30</v>
      </c>
      <c r="E26" s="61">
        <f t="shared" si="6"/>
        <v>3.3</v>
      </c>
      <c r="F26" s="44">
        <f t="shared" si="6"/>
        <v>11</v>
      </c>
      <c r="G26" s="44">
        <f t="shared" si="0"/>
        <v>8.8000000000000007</v>
      </c>
      <c r="H26" s="44">
        <f t="shared" si="1"/>
        <v>5.5</v>
      </c>
      <c r="I26" s="44">
        <f t="shared" si="6"/>
        <v>8</v>
      </c>
      <c r="J26" s="45">
        <f t="shared" si="2"/>
        <v>-8</v>
      </c>
      <c r="K26" s="37" t="str">
        <f>D26&amp;-4</f>
        <v>30-4</v>
      </c>
      <c r="L26" s="44">
        <f t="shared" si="7"/>
        <v>0.11</v>
      </c>
      <c r="M26" s="49">
        <f t="shared" si="7"/>
        <v>60</v>
      </c>
      <c r="N26" s="44">
        <f t="shared" si="7"/>
        <v>150</v>
      </c>
      <c r="O26" s="44">
        <f t="shared" si="7"/>
        <v>750</v>
      </c>
      <c r="P26" s="45" t="str">
        <f t="shared" si="7"/>
        <v>on</v>
      </c>
    </row>
    <row r="27" spans="1:16" ht="15.75" thickBot="1" x14ac:dyDescent="0.3">
      <c r="A27" s="229">
        <f t="shared" ref="A27:B27" si="21">A26+1</f>
        <v>4734</v>
      </c>
      <c r="B27" s="230">
        <f t="shared" si="21"/>
        <v>17</v>
      </c>
      <c r="C27" s="218" t="str">
        <f t="shared" si="4"/>
        <v>82bX30_352_060#05</v>
      </c>
      <c r="D27" s="43">
        <f t="shared" si="6"/>
        <v>30</v>
      </c>
      <c r="E27" s="61">
        <f t="shared" si="6"/>
        <v>3.3</v>
      </c>
      <c r="F27" s="44">
        <f t="shared" si="6"/>
        <v>11</v>
      </c>
      <c r="G27" s="44">
        <f t="shared" si="0"/>
        <v>8.8000000000000007</v>
      </c>
      <c r="H27" s="44">
        <f t="shared" si="1"/>
        <v>5.5</v>
      </c>
      <c r="I27" s="44">
        <f t="shared" si="6"/>
        <v>8</v>
      </c>
      <c r="J27" s="45">
        <f t="shared" si="2"/>
        <v>-8</v>
      </c>
      <c r="K27" s="37" t="str">
        <f>D27&amp;-5</f>
        <v>30-5</v>
      </c>
      <c r="L27" s="44">
        <f t="shared" si="7"/>
        <v>0.11</v>
      </c>
      <c r="M27" s="49">
        <f t="shared" si="7"/>
        <v>60</v>
      </c>
      <c r="N27" s="44">
        <f t="shared" si="7"/>
        <v>150</v>
      </c>
      <c r="O27" s="44">
        <f t="shared" si="7"/>
        <v>750</v>
      </c>
      <c r="P27" s="45" t="str">
        <f t="shared" si="7"/>
        <v>on</v>
      </c>
    </row>
    <row r="28" spans="1:16" ht="15.75" thickBot="1" x14ac:dyDescent="0.3">
      <c r="A28" s="229">
        <f t="shared" ref="A28:B28" si="22">A27+1</f>
        <v>4735</v>
      </c>
      <c r="B28" s="230">
        <f t="shared" si="22"/>
        <v>18</v>
      </c>
      <c r="C28" s="218" t="str">
        <f t="shared" si="4"/>
        <v>82bX30_352_060#06</v>
      </c>
      <c r="D28" s="43">
        <f t="shared" si="6"/>
        <v>30</v>
      </c>
      <c r="E28" s="61">
        <f t="shared" si="6"/>
        <v>3.3</v>
      </c>
      <c r="F28" s="44">
        <f t="shared" si="6"/>
        <v>11</v>
      </c>
      <c r="G28" s="44">
        <f t="shared" si="0"/>
        <v>8.8000000000000007</v>
      </c>
      <c r="H28" s="44">
        <f t="shared" si="1"/>
        <v>5.5</v>
      </c>
      <c r="I28" s="44">
        <f t="shared" si="6"/>
        <v>8</v>
      </c>
      <c r="J28" s="45">
        <f t="shared" si="2"/>
        <v>-8</v>
      </c>
      <c r="K28" s="37" t="str">
        <f>D28&amp;-6</f>
        <v>30-6</v>
      </c>
      <c r="L28" s="44">
        <f t="shared" si="7"/>
        <v>0.11</v>
      </c>
      <c r="M28" s="49">
        <f t="shared" si="7"/>
        <v>60</v>
      </c>
      <c r="N28" s="44">
        <f t="shared" si="7"/>
        <v>150</v>
      </c>
      <c r="O28" s="44">
        <f t="shared" si="7"/>
        <v>750</v>
      </c>
      <c r="P28" s="45" t="str">
        <f t="shared" si="7"/>
        <v>on</v>
      </c>
    </row>
    <row r="29" spans="1:16" ht="15.75" thickBot="1" x14ac:dyDescent="0.3">
      <c r="A29" s="229">
        <f t="shared" ref="A29:B29" si="23">A28+1</f>
        <v>4736</v>
      </c>
      <c r="B29" s="230">
        <f t="shared" si="23"/>
        <v>19</v>
      </c>
      <c r="C29" s="218" t="str">
        <f t="shared" si="4"/>
        <v>82bX30_352_090#01</v>
      </c>
      <c r="D29" s="43">
        <f t="shared" ref="D29:F35" si="24">D28</f>
        <v>30</v>
      </c>
      <c r="E29" s="61">
        <f t="shared" si="24"/>
        <v>3.3</v>
      </c>
      <c r="F29" s="44">
        <f t="shared" si="24"/>
        <v>11</v>
      </c>
      <c r="G29" s="44">
        <f t="shared" si="0"/>
        <v>8.8000000000000007</v>
      </c>
      <c r="H29" s="44">
        <f t="shared" si="1"/>
        <v>5.5</v>
      </c>
      <c r="I29" s="44">
        <f t="shared" ref="I29:I35" si="25">I28</f>
        <v>8</v>
      </c>
      <c r="J29" s="45">
        <f t="shared" si="2"/>
        <v>-8</v>
      </c>
      <c r="K29" s="37" t="str">
        <f>D29&amp;-1</f>
        <v>30-1</v>
      </c>
      <c r="L29" s="44">
        <f t="shared" ref="L29:P35" si="26">L28</f>
        <v>0.11</v>
      </c>
      <c r="M29" s="49">
        <v>90</v>
      </c>
      <c r="N29" s="44">
        <f t="shared" si="26"/>
        <v>150</v>
      </c>
      <c r="O29" s="44">
        <f t="shared" si="26"/>
        <v>750</v>
      </c>
      <c r="P29" s="45" t="str">
        <f t="shared" si="26"/>
        <v>on</v>
      </c>
    </row>
    <row r="30" spans="1:16" ht="15.75" thickBot="1" x14ac:dyDescent="0.3">
      <c r="A30" s="229">
        <f t="shared" ref="A30:B30" si="27">A29+1</f>
        <v>4737</v>
      </c>
      <c r="B30" s="230">
        <f t="shared" si="27"/>
        <v>20</v>
      </c>
      <c r="C30" s="218" t="str">
        <f t="shared" si="4"/>
        <v>82bX30_352_090#02</v>
      </c>
      <c r="D30" s="43">
        <f t="shared" si="24"/>
        <v>30</v>
      </c>
      <c r="E30" s="61">
        <f t="shared" si="24"/>
        <v>3.3</v>
      </c>
      <c r="F30" s="44">
        <f t="shared" si="24"/>
        <v>11</v>
      </c>
      <c r="G30" s="44">
        <f t="shared" si="0"/>
        <v>8.8000000000000007</v>
      </c>
      <c r="H30" s="44">
        <f t="shared" si="1"/>
        <v>5.5</v>
      </c>
      <c r="I30" s="44">
        <f t="shared" si="25"/>
        <v>8</v>
      </c>
      <c r="J30" s="45">
        <f t="shared" si="2"/>
        <v>-8</v>
      </c>
      <c r="K30" s="37" t="str">
        <f>D30&amp;-2</f>
        <v>30-2</v>
      </c>
      <c r="L30" s="44">
        <f t="shared" si="26"/>
        <v>0.11</v>
      </c>
      <c r="M30" s="49">
        <f>M29</f>
        <v>90</v>
      </c>
      <c r="N30" s="44">
        <f t="shared" si="26"/>
        <v>150</v>
      </c>
      <c r="O30" s="44">
        <f t="shared" si="26"/>
        <v>750</v>
      </c>
      <c r="P30" s="45" t="str">
        <f t="shared" si="26"/>
        <v>on</v>
      </c>
    </row>
    <row r="31" spans="1:16" ht="15.75" thickBot="1" x14ac:dyDescent="0.3">
      <c r="A31" s="229">
        <f t="shared" ref="A31:B31" si="28">A30+1</f>
        <v>4738</v>
      </c>
      <c r="B31" s="230">
        <f t="shared" si="28"/>
        <v>21</v>
      </c>
      <c r="C31" s="218" t="str">
        <f t="shared" si="4"/>
        <v>82bX30_352_090#03</v>
      </c>
      <c r="D31" s="43">
        <f t="shared" si="24"/>
        <v>30</v>
      </c>
      <c r="E31" s="61">
        <f t="shared" si="24"/>
        <v>3.3</v>
      </c>
      <c r="F31" s="44">
        <f t="shared" si="24"/>
        <v>11</v>
      </c>
      <c r="G31" s="44">
        <f t="shared" si="0"/>
        <v>8.8000000000000007</v>
      </c>
      <c r="H31" s="44">
        <f t="shared" si="1"/>
        <v>5.5</v>
      </c>
      <c r="I31" s="44">
        <f t="shared" si="25"/>
        <v>8</v>
      </c>
      <c r="J31" s="45">
        <f t="shared" si="2"/>
        <v>-8</v>
      </c>
      <c r="K31" s="37" t="str">
        <f>D31&amp;-3</f>
        <v>30-3</v>
      </c>
      <c r="L31" s="44">
        <f t="shared" si="26"/>
        <v>0.11</v>
      </c>
      <c r="M31" s="49">
        <f t="shared" si="26"/>
        <v>90</v>
      </c>
      <c r="N31" s="44">
        <f t="shared" si="26"/>
        <v>150</v>
      </c>
      <c r="O31" s="44">
        <f t="shared" si="26"/>
        <v>750</v>
      </c>
      <c r="P31" s="45" t="str">
        <f t="shared" si="26"/>
        <v>on</v>
      </c>
    </row>
    <row r="32" spans="1:16" ht="15.75" thickBot="1" x14ac:dyDescent="0.3">
      <c r="A32" s="229">
        <f t="shared" ref="A32:B32" si="29">A31+1</f>
        <v>4739</v>
      </c>
      <c r="B32" s="230">
        <f t="shared" si="29"/>
        <v>22</v>
      </c>
      <c r="C32" s="218" t="str">
        <f t="shared" si="4"/>
        <v>82bX30_352_090#04</v>
      </c>
      <c r="D32" s="43">
        <f t="shared" si="24"/>
        <v>30</v>
      </c>
      <c r="E32" s="61">
        <f t="shared" si="24"/>
        <v>3.3</v>
      </c>
      <c r="F32" s="44">
        <f t="shared" si="24"/>
        <v>11</v>
      </c>
      <c r="G32" s="44">
        <f t="shared" si="0"/>
        <v>8.8000000000000007</v>
      </c>
      <c r="H32" s="44">
        <f t="shared" si="1"/>
        <v>5.5</v>
      </c>
      <c r="I32" s="44">
        <f t="shared" si="25"/>
        <v>8</v>
      </c>
      <c r="J32" s="45">
        <f t="shared" si="2"/>
        <v>-8</v>
      </c>
      <c r="K32" s="37" t="str">
        <f>D32&amp;-4</f>
        <v>30-4</v>
      </c>
      <c r="L32" s="44">
        <f t="shared" si="26"/>
        <v>0.11</v>
      </c>
      <c r="M32" s="49">
        <f t="shared" si="26"/>
        <v>90</v>
      </c>
      <c r="N32" s="44">
        <f t="shared" si="26"/>
        <v>150</v>
      </c>
      <c r="O32" s="44">
        <f t="shared" si="26"/>
        <v>750</v>
      </c>
      <c r="P32" s="45" t="str">
        <f t="shared" si="26"/>
        <v>on</v>
      </c>
    </row>
    <row r="33" spans="1:16" ht="15.75" thickBot="1" x14ac:dyDescent="0.3">
      <c r="A33" s="229">
        <f t="shared" ref="A33:B33" si="30">A32+1</f>
        <v>4740</v>
      </c>
      <c r="B33" s="230">
        <f t="shared" si="30"/>
        <v>23</v>
      </c>
      <c r="C33" s="218" t="str">
        <f t="shared" si="4"/>
        <v>82bX30_352_090#05</v>
      </c>
      <c r="D33" s="43">
        <f t="shared" si="24"/>
        <v>30</v>
      </c>
      <c r="E33" s="61">
        <f t="shared" si="24"/>
        <v>3.3</v>
      </c>
      <c r="F33" s="44">
        <f t="shared" si="24"/>
        <v>11</v>
      </c>
      <c r="G33" s="44">
        <f t="shared" si="0"/>
        <v>8.8000000000000007</v>
      </c>
      <c r="H33" s="44">
        <f t="shared" si="1"/>
        <v>5.5</v>
      </c>
      <c r="I33" s="44">
        <f t="shared" si="25"/>
        <v>8</v>
      </c>
      <c r="J33" s="45">
        <f t="shared" si="2"/>
        <v>-8</v>
      </c>
      <c r="K33" s="37" t="str">
        <f>D33&amp;-5</f>
        <v>30-5</v>
      </c>
      <c r="L33" s="44">
        <f t="shared" si="26"/>
        <v>0.11</v>
      </c>
      <c r="M33" s="49">
        <f t="shared" si="26"/>
        <v>90</v>
      </c>
      <c r="N33" s="44">
        <f t="shared" si="26"/>
        <v>150</v>
      </c>
      <c r="O33" s="44">
        <f t="shared" si="26"/>
        <v>750</v>
      </c>
      <c r="P33" s="45" t="str">
        <f t="shared" si="26"/>
        <v>on</v>
      </c>
    </row>
    <row r="34" spans="1:16" ht="15.75" thickBot="1" x14ac:dyDescent="0.3">
      <c r="A34" s="229">
        <f t="shared" ref="A34:B34" si="31">A33+1</f>
        <v>4741</v>
      </c>
      <c r="B34" s="230">
        <f t="shared" si="31"/>
        <v>24</v>
      </c>
      <c r="C34" s="218" t="str">
        <f t="shared" si="4"/>
        <v>82bX30_352_090#06</v>
      </c>
      <c r="D34" s="43">
        <f t="shared" si="24"/>
        <v>30</v>
      </c>
      <c r="E34" s="61">
        <f t="shared" si="24"/>
        <v>3.3</v>
      </c>
      <c r="F34" s="44">
        <f t="shared" si="24"/>
        <v>11</v>
      </c>
      <c r="G34" s="44">
        <f t="shared" si="0"/>
        <v>8.8000000000000007</v>
      </c>
      <c r="H34" s="44">
        <f t="shared" si="1"/>
        <v>5.5</v>
      </c>
      <c r="I34" s="44">
        <f t="shared" si="25"/>
        <v>8</v>
      </c>
      <c r="J34" s="45">
        <f t="shared" si="2"/>
        <v>-8</v>
      </c>
      <c r="K34" s="37" t="str">
        <f>D34&amp;-6</f>
        <v>30-6</v>
      </c>
      <c r="L34" s="44">
        <f t="shared" si="26"/>
        <v>0.11</v>
      </c>
      <c r="M34" s="49">
        <f t="shared" si="26"/>
        <v>90</v>
      </c>
      <c r="N34" s="44">
        <f t="shared" si="26"/>
        <v>150</v>
      </c>
      <c r="O34" s="44">
        <f t="shared" si="26"/>
        <v>750</v>
      </c>
      <c r="P34" s="45" t="str">
        <f t="shared" si="26"/>
        <v>on</v>
      </c>
    </row>
    <row r="35" spans="1:16" ht="15.75" thickBot="1" x14ac:dyDescent="0.3">
      <c r="A35" s="229">
        <f t="shared" ref="A35:B35" si="32">A34+1</f>
        <v>4742</v>
      </c>
      <c r="B35" s="230">
        <f t="shared" si="32"/>
        <v>25</v>
      </c>
      <c r="C35" s="218" t="str">
        <f t="shared" si="4"/>
        <v>82bX30_000_000#01</v>
      </c>
      <c r="D35" s="43">
        <f t="shared" si="24"/>
        <v>30</v>
      </c>
      <c r="E35" s="61">
        <f t="shared" si="24"/>
        <v>3.3</v>
      </c>
      <c r="F35" s="44">
        <f t="shared" si="24"/>
        <v>11</v>
      </c>
      <c r="G35" s="44">
        <f t="shared" ref="G35:G58" si="33">m_ty*F35</f>
        <v>8.8000000000000007</v>
      </c>
      <c r="H35" s="44">
        <f t="shared" ref="H35:H58" si="34">m_tz*F35</f>
        <v>5.5</v>
      </c>
      <c r="I35" s="44">
        <f t="shared" si="25"/>
        <v>8</v>
      </c>
      <c r="J35" s="45">
        <f t="shared" ref="J35:J58" si="35">yaw_null</f>
        <v>0</v>
      </c>
      <c r="K35" s="37" t="str">
        <f>D35&amp;-1</f>
        <v>30-1</v>
      </c>
      <c r="L35" s="44">
        <f t="shared" si="26"/>
        <v>0.11</v>
      </c>
      <c r="M35" s="49">
        <v>0</v>
      </c>
      <c r="N35" s="44">
        <f t="shared" si="26"/>
        <v>150</v>
      </c>
      <c r="O35" s="44">
        <f t="shared" si="26"/>
        <v>750</v>
      </c>
      <c r="P35" s="45" t="str">
        <f t="shared" si="26"/>
        <v>on</v>
      </c>
    </row>
    <row r="36" spans="1:16" ht="15.75" thickBot="1" x14ac:dyDescent="0.3">
      <c r="A36" s="229">
        <f t="shared" ref="A36:B36" si="36">A35+1</f>
        <v>4743</v>
      </c>
      <c r="B36" s="230">
        <f t="shared" si="36"/>
        <v>26</v>
      </c>
      <c r="C36" s="218" t="str">
        <f t="shared" si="4"/>
        <v>82bX30_000_000#02</v>
      </c>
      <c r="D36" s="43">
        <f>D35</f>
        <v>30</v>
      </c>
      <c r="E36" s="61">
        <f>E35</f>
        <v>3.3</v>
      </c>
      <c r="F36" s="44">
        <f>F35</f>
        <v>11</v>
      </c>
      <c r="G36" s="44">
        <f t="shared" si="33"/>
        <v>8.8000000000000007</v>
      </c>
      <c r="H36" s="44">
        <f t="shared" si="34"/>
        <v>5.5</v>
      </c>
      <c r="I36" s="44">
        <f>I35</f>
        <v>8</v>
      </c>
      <c r="J36" s="45">
        <f t="shared" si="35"/>
        <v>0</v>
      </c>
      <c r="K36" s="37" t="str">
        <f>D36&amp;-2</f>
        <v>30-2</v>
      </c>
      <c r="L36" s="44">
        <f>L35</f>
        <v>0.11</v>
      </c>
      <c r="M36" s="49">
        <f>M35</f>
        <v>0</v>
      </c>
      <c r="N36" s="44">
        <f>N35</f>
        <v>150</v>
      </c>
      <c r="O36" s="44">
        <f>O35</f>
        <v>750</v>
      </c>
      <c r="P36" s="45" t="str">
        <f>P35</f>
        <v>on</v>
      </c>
    </row>
    <row r="37" spans="1:16" ht="15.75" thickBot="1" x14ac:dyDescent="0.3">
      <c r="A37" s="229">
        <f t="shared" ref="A37:B37" si="37">A36+1</f>
        <v>4744</v>
      </c>
      <c r="B37" s="230">
        <f t="shared" si="37"/>
        <v>27</v>
      </c>
      <c r="C37" s="218" t="str">
        <f t="shared" si="4"/>
        <v>82bX30_000_000#03</v>
      </c>
      <c r="D37" s="43">
        <f t="shared" ref="D37:F37" si="38">D36</f>
        <v>30</v>
      </c>
      <c r="E37" s="61">
        <f t="shared" si="38"/>
        <v>3.3</v>
      </c>
      <c r="F37" s="44">
        <f t="shared" si="38"/>
        <v>11</v>
      </c>
      <c r="G37" s="44">
        <f t="shared" si="33"/>
        <v>8.8000000000000007</v>
      </c>
      <c r="H37" s="44">
        <f t="shared" si="34"/>
        <v>5.5</v>
      </c>
      <c r="I37" s="44">
        <f t="shared" ref="I37" si="39">I36</f>
        <v>8</v>
      </c>
      <c r="J37" s="45">
        <f t="shared" si="35"/>
        <v>0</v>
      </c>
      <c r="K37" s="37" t="str">
        <f>D37&amp;-3</f>
        <v>30-3</v>
      </c>
      <c r="L37" s="44">
        <f t="shared" ref="L37:O37" si="40">L36</f>
        <v>0.11</v>
      </c>
      <c r="M37" s="49">
        <f t="shared" si="40"/>
        <v>0</v>
      </c>
      <c r="N37" s="44">
        <f t="shared" si="40"/>
        <v>150</v>
      </c>
      <c r="O37" s="44">
        <f t="shared" si="40"/>
        <v>750</v>
      </c>
      <c r="P37" s="45" t="str">
        <f>P36</f>
        <v>on</v>
      </c>
    </row>
    <row r="38" spans="1:16" ht="15.75" thickBot="1" x14ac:dyDescent="0.3">
      <c r="A38" s="229">
        <f t="shared" ref="A38:B38" si="41">A37+1</f>
        <v>4745</v>
      </c>
      <c r="B38" s="230">
        <f t="shared" si="41"/>
        <v>28</v>
      </c>
      <c r="C38" s="218" t="str">
        <f t="shared" si="4"/>
        <v>82bX30_000_000#04</v>
      </c>
      <c r="D38" s="43">
        <f t="shared" ref="D38:F38" si="42">D37</f>
        <v>30</v>
      </c>
      <c r="E38" s="61">
        <f t="shared" si="42"/>
        <v>3.3</v>
      </c>
      <c r="F38" s="44">
        <f t="shared" si="42"/>
        <v>11</v>
      </c>
      <c r="G38" s="44">
        <f t="shared" si="33"/>
        <v>8.8000000000000007</v>
      </c>
      <c r="H38" s="44">
        <f t="shared" si="34"/>
        <v>5.5</v>
      </c>
      <c r="I38" s="44">
        <f t="shared" ref="I38" si="43">I37</f>
        <v>8</v>
      </c>
      <c r="J38" s="45">
        <f t="shared" si="35"/>
        <v>0</v>
      </c>
      <c r="K38" s="37" t="str">
        <f>D38&amp;-4</f>
        <v>30-4</v>
      </c>
      <c r="L38" s="44">
        <f t="shared" ref="L38:O38" si="44">L37</f>
        <v>0.11</v>
      </c>
      <c r="M38" s="49">
        <f t="shared" si="44"/>
        <v>0</v>
      </c>
      <c r="N38" s="44">
        <f t="shared" si="44"/>
        <v>150</v>
      </c>
      <c r="O38" s="44">
        <f t="shared" si="44"/>
        <v>750</v>
      </c>
      <c r="P38" s="45" t="str">
        <f>P37</f>
        <v>on</v>
      </c>
    </row>
    <row r="39" spans="1:16" ht="15.75" thickBot="1" x14ac:dyDescent="0.3">
      <c r="A39" s="229">
        <f t="shared" ref="A39:B39" si="45">A38+1</f>
        <v>4746</v>
      </c>
      <c r="B39" s="230">
        <f t="shared" si="45"/>
        <v>29</v>
      </c>
      <c r="C39" s="218" t="str">
        <f t="shared" si="4"/>
        <v>82bX30_000_000#05</v>
      </c>
      <c r="D39" s="43">
        <f t="shared" ref="D39:F39" si="46">D38</f>
        <v>30</v>
      </c>
      <c r="E39" s="61">
        <f t="shared" si="46"/>
        <v>3.3</v>
      </c>
      <c r="F39" s="44">
        <f t="shared" si="46"/>
        <v>11</v>
      </c>
      <c r="G39" s="44">
        <f t="shared" si="33"/>
        <v>8.8000000000000007</v>
      </c>
      <c r="H39" s="44">
        <f t="shared" si="34"/>
        <v>5.5</v>
      </c>
      <c r="I39" s="44">
        <f t="shared" ref="I39" si="47">I38</f>
        <v>8</v>
      </c>
      <c r="J39" s="45">
        <f t="shared" si="35"/>
        <v>0</v>
      </c>
      <c r="K39" s="37" t="str">
        <f>D39&amp;-5</f>
        <v>30-5</v>
      </c>
      <c r="L39" s="44">
        <f t="shared" ref="L39:P39" si="48">L38</f>
        <v>0.11</v>
      </c>
      <c r="M39" s="49">
        <f t="shared" si="48"/>
        <v>0</v>
      </c>
      <c r="N39" s="44">
        <f t="shared" si="48"/>
        <v>150</v>
      </c>
      <c r="O39" s="44">
        <f t="shared" si="48"/>
        <v>750</v>
      </c>
      <c r="P39" s="45" t="str">
        <f t="shared" si="48"/>
        <v>on</v>
      </c>
    </row>
    <row r="40" spans="1:16" ht="15.75" thickBot="1" x14ac:dyDescent="0.3">
      <c r="A40" s="229">
        <f t="shared" ref="A40:B40" si="49">A39+1</f>
        <v>4747</v>
      </c>
      <c r="B40" s="230">
        <f t="shared" si="49"/>
        <v>30</v>
      </c>
      <c r="C40" s="218" t="str">
        <f t="shared" si="4"/>
        <v>82bX30_000_000#06</v>
      </c>
      <c r="D40" s="43">
        <f t="shared" ref="D40:F40" si="50">D39</f>
        <v>30</v>
      </c>
      <c r="E40" s="61">
        <f t="shared" si="50"/>
        <v>3.3</v>
      </c>
      <c r="F40" s="44">
        <f t="shared" si="50"/>
        <v>11</v>
      </c>
      <c r="G40" s="44">
        <f t="shared" si="33"/>
        <v>8.8000000000000007</v>
      </c>
      <c r="H40" s="44">
        <f t="shared" si="34"/>
        <v>5.5</v>
      </c>
      <c r="I40" s="44">
        <f t="shared" ref="I40" si="51">I39</f>
        <v>8</v>
      </c>
      <c r="J40" s="45">
        <f t="shared" si="35"/>
        <v>0</v>
      </c>
      <c r="K40" s="37" t="str">
        <f>D40&amp;-6</f>
        <v>30-6</v>
      </c>
      <c r="L40" s="44">
        <f t="shared" ref="L40:P40" si="52">L39</f>
        <v>0.11</v>
      </c>
      <c r="M40" s="49">
        <f t="shared" si="52"/>
        <v>0</v>
      </c>
      <c r="N40" s="44">
        <f t="shared" si="52"/>
        <v>150</v>
      </c>
      <c r="O40" s="44">
        <f t="shared" si="52"/>
        <v>750</v>
      </c>
      <c r="P40" s="45" t="str">
        <f t="shared" si="52"/>
        <v>on</v>
      </c>
    </row>
    <row r="41" spans="1:16" ht="15.75" thickBot="1" x14ac:dyDescent="0.3">
      <c r="A41" s="229">
        <f t="shared" ref="A41:B41" si="53">A40+1</f>
        <v>4748</v>
      </c>
      <c r="B41" s="230">
        <f t="shared" si="53"/>
        <v>31</v>
      </c>
      <c r="C41" s="218" t="str">
        <f t="shared" si="4"/>
        <v>82bX30_000_030#01</v>
      </c>
      <c r="D41" s="43">
        <f t="shared" ref="D41:F41" si="54">D40</f>
        <v>30</v>
      </c>
      <c r="E41" s="61">
        <f t="shared" si="54"/>
        <v>3.3</v>
      </c>
      <c r="F41" s="44">
        <f t="shared" si="54"/>
        <v>11</v>
      </c>
      <c r="G41" s="44">
        <f t="shared" si="33"/>
        <v>8.8000000000000007</v>
      </c>
      <c r="H41" s="44">
        <f t="shared" si="34"/>
        <v>5.5</v>
      </c>
      <c r="I41" s="44">
        <f t="shared" ref="I41" si="55">I40</f>
        <v>8</v>
      </c>
      <c r="J41" s="45">
        <f t="shared" si="35"/>
        <v>0</v>
      </c>
      <c r="K41" s="37" t="str">
        <f>D41&amp;-1</f>
        <v>30-1</v>
      </c>
      <c r="L41" s="44">
        <f t="shared" ref="L41" si="56">L40</f>
        <v>0.11</v>
      </c>
      <c r="M41" s="49">
        <v>30</v>
      </c>
      <c r="N41" s="44">
        <f t="shared" ref="N41:P41" si="57">N40</f>
        <v>150</v>
      </c>
      <c r="O41" s="44">
        <f t="shared" si="57"/>
        <v>750</v>
      </c>
      <c r="P41" s="45" t="str">
        <f t="shared" si="57"/>
        <v>on</v>
      </c>
    </row>
    <row r="42" spans="1:16" ht="15.75" thickBot="1" x14ac:dyDescent="0.3">
      <c r="A42" s="229">
        <f t="shared" ref="A42:B42" si="58">A41+1</f>
        <v>4749</v>
      </c>
      <c r="B42" s="230">
        <f t="shared" si="58"/>
        <v>32</v>
      </c>
      <c r="C42" s="218" t="str">
        <f t="shared" si="4"/>
        <v>82bX30_000_030#02</v>
      </c>
      <c r="D42" s="43">
        <f t="shared" ref="D42:F42" si="59">D41</f>
        <v>30</v>
      </c>
      <c r="E42" s="61">
        <f t="shared" si="59"/>
        <v>3.3</v>
      </c>
      <c r="F42" s="44">
        <f t="shared" si="59"/>
        <v>11</v>
      </c>
      <c r="G42" s="44">
        <f t="shared" si="33"/>
        <v>8.8000000000000007</v>
      </c>
      <c r="H42" s="44">
        <f t="shared" si="34"/>
        <v>5.5</v>
      </c>
      <c r="I42" s="44">
        <f t="shared" ref="I42" si="60">I41</f>
        <v>8</v>
      </c>
      <c r="J42" s="45">
        <f t="shared" si="35"/>
        <v>0</v>
      </c>
      <c r="K42" s="37" t="str">
        <f>D42&amp;-2</f>
        <v>30-2</v>
      </c>
      <c r="L42" s="44">
        <f t="shared" ref="L42" si="61">L41</f>
        <v>0.11</v>
      </c>
      <c r="M42" s="49">
        <f>M41</f>
        <v>30</v>
      </c>
      <c r="N42" s="44">
        <f t="shared" ref="N42:P42" si="62">N41</f>
        <v>150</v>
      </c>
      <c r="O42" s="44">
        <f t="shared" si="62"/>
        <v>750</v>
      </c>
      <c r="P42" s="45" t="str">
        <f t="shared" si="62"/>
        <v>on</v>
      </c>
    </row>
    <row r="43" spans="1:16" ht="15.75" thickBot="1" x14ac:dyDescent="0.3">
      <c r="A43" s="229">
        <f t="shared" ref="A43:B43" si="63">A42+1</f>
        <v>4750</v>
      </c>
      <c r="B43" s="230">
        <f t="shared" si="63"/>
        <v>33</v>
      </c>
      <c r="C43" s="218" t="str">
        <f t="shared" si="4"/>
        <v>82bX30_000_030#03</v>
      </c>
      <c r="D43" s="43">
        <f t="shared" ref="D43:F43" si="64">D42</f>
        <v>30</v>
      </c>
      <c r="E43" s="61">
        <f t="shared" si="64"/>
        <v>3.3</v>
      </c>
      <c r="F43" s="44">
        <f t="shared" si="64"/>
        <v>11</v>
      </c>
      <c r="G43" s="44">
        <f t="shared" si="33"/>
        <v>8.8000000000000007</v>
      </c>
      <c r="H43" s="44">
        <f t="shared" si="34"/>
        <v>5.5</v>
      </c>
      <c r="I43" s="44">
        <f t="shared" ref="I43" si="65">I42</f>
        <v>8</v>
      </c>
      <c r="J43" s="45">
        <f t="shared" si="35"/>
        <v>0</v>
      </c>
      <c r="K43" s="37" t="str">
        <f>D43&amp;-3</f>
        <v>30-3</v>
      </c>
      <c r="L43" s="44">
        <f t="shared" ref="L43:P43" si="66">L42</f>
        <v>0.11</v>
      </c>
      <c r="M43" s="49">
        <f t="shared" si="66"/>
        <v>30</v>
      </c>
      <c r="N43" s="44">
        <f t="shared" si="66"/>
        <v>150</v>
      </c>
      <c r="O43" s="44">
        <f t="shared" si="66"/>
        <v>750</v>
      </c>
      <c r="P43" s="45" t="str">
        <f t="shared" si="66"/>
        <v>on</v>
      </c>
    </row>
    <row r="44" spans="1:16" ht="15.75" thickBot="1" x14ac:dyDescent="0.3">
      <c r="A44" s="229">
        <f t="shared" ref="A44:B44" si="67">A43+1</f>
        <v>4751</v>
      </c>
      <c r="B44" s="230">
        <f t="shared" si="67"/>
        <v>34</v>
      </c>
      <c r="C44" s="218" t="str">
        <f t="shared" si="4"/>
        <v>82bX30_000_030#04</v>
      </c>
      <c r="D44" s="43">
        <f t="shared" ref="D44:F44" si="68">D43</f>
        <v>30</v>
      </c>
      <c r="E44" s="61">
        <f t="shared" si="68"/>
        <v>3.3</v>
      </c>
      <c r="F44" s="44">
        <f t="shared" si="68"/>
        <v>11</v>
      </c>
      <c r="G44" s="44">
        <f t="shared" si="33"/>
        <v>8.8000000000000007</v>
      </c>
      <c r="H44" s="44">
        <f t="shared" si="34"/>
        <v>5.5</v>
      </c>
      <c r="I44" s="44">
        <f t="shared" ref="I44" si="69">I43</f>
        <v>8</v>
      </c>
      <c r="J44" s="45">
        <f t="shared" si="35"/>
        <v>0</v>
      </c>
      <c r="K44" s="37" t="str">
        <f>D44&amp;-4</f>
        <v>30-4</v>
      </c>
      <c r="L44" s="44">
        <f t="shared" ref="L44:P44" si="70">L43</f>
        <v>0.11</v>
      </c>
      <c r="M44" s="49">
        <f t="shared" si="70"/>
        <v>30</v>
      </c>
      <c r="N44" s="44">
        <f t="shared" si="70"/>
        <v>150</v>
      </c>
      <c r="O44" s="44">
        <f t="shared" si="70"/>
        <v>750</v>
      </c>
      <c r="P44" s="45" t="str">
        <f t="shared" si="70"/>
        <v>on</v>
      </c>
    </row>
    <row r="45" spans="1:16" ht="15.75" thickBot="1" x14ac:dyDescent="0.3">
      <c r="A45" s="229">
        <f t="shared" ref="A45:B45" si="71">A44+1</f>
        <v>4752</v>
      </c>
      <c r="B45" s="230">
        <f t="shared" si="71"/>
        <v>35</v>
      </c>
      <c r="C45" s="218" t="str">
        <f t="shared" si="4"/>
        <v>82bX30_000_030#05</v>
      </c>
      <c r="D45" s="43">
        <f t="shared" ref="D45:F45" si="72">D44</f>
        <v>30</v>
      </c>
      <c r="E45" s="61">
        <f t="shared" si="72"/>
        <v>3.3</v>
      </c>
      <c r="F45" s="44">
        <f t="shared" si="72"/>
        <v>11</v>
      </c>
      <c r="G45" s="44">
        <f t="shared" si="33"/>
        <v>8.8000000000000007</v>
      </c>
      <c r="H45" s="44">
        <f t="shared" si="34"/>
        <v>5.5</v>
      </c>
      <c r="I45" s="44">
        <f t="shared" ref="I45" si="73">I44</f>
        <v>8</v>
      </c>
      <c r="J45" s="45">
        <f t="shared" si="35"/>
        <v>0</v>
      </c>
      <c r="K45" s="37" t="str">
        <f>D45&amp;-5</f>
        <v>30-5</v>
      </c>
      <c r="L45" s="44">
        <f t="shared" ref="L45:P45" si="74">L44</f>
        <v>0.11</v>
      </c>
      <c r="M45" s="49">
        <f t="shared" si="74"/>
        <v>30</v>
      </c>
      <c r="N45" s="44">
        <f t="shared" si="74"/>
        <v>150</v>
      </c>
      <c r="O45" s="44">
        <f t="shared" si="74"/>
        <v>750</v>
      </c>
      <c r="P45" s="45" t="str">
        <f t="shared" si="74"/>
        <v>on</v>
      </c>
    </row>
    <row r="46" spans="1:16" ht="15.75" thickBot="1" x14ac:dyDescent="0.3">
      <c r="A46" s="229">
        <f t="shared" ref="A46:B46" si="75">A45+1</f>
        <v>4753</v>
      </c>
      <c r="B46" s="230">
        <f t="shared" si="75"/>
        <v>36</v>
      </c>
      <c r="C46" s="218" t="str">
        <f t="shared" si="4"/>
        <v>82bX30_000_030#06</v>
      </c>
      <c r="D46" s="43">
        <f t="shared" ref="D46:F46" si="76">D45</f>
        <v>30</v>
      </c>
      <c r="E46" s="61">
        <f t="shared" si="76"/>
        <v>3.3</v>
      </c>
      <c r="F46" s="44">
        <f t="shared" si="76"/>
        <v>11</v>
      </c>
      <c r="G46" s="44">
        <f t="shared" si="33"/>
        <v>8.8000000000000007</v>
      </c>
      <c r="H46" s="44">
        <f t="shared" si="34"/>
        <v>5.5</v>
      </c>
      <c r="I46" s="44">
        <f t="shared" ref="I46" si="77">I45</f>
        <v>8</v>
      </c>
      <c r="J46" s="45">
        <f t="shared" si="35"/>
        <v>0</v>
      </c>
      <c r="K46" s="37" t="str">
        <f>D46&amp;-6</f>
        <v>30-6</v>
      </c>
      <c r="L46" s="44">
        <f t="shared" ref="L46:P46" si="78">L45</f>
        <v>0.11</v>
      </c>
      <c r="M46" s="49">
        <f t="shared" si="78"/>
        <v>30</v>
      </c>
      <c r="N46" s="44">
        <f t="shared" si="78"/>
        <v>150</v>
      </c>
      <c r="O46" s="44">
        <f t="shared" si="78"/>
        <v>750</v>
      </c>
      <c r="P46" s="45" t="str">
        <f t="shared" si="78"/>
        <v>on</v>
      </c>
    </row>
    <row r="47" spans="1:16" ht="15.75" thickBot="1" x14ac:dyDescent="0.3">
      <c r="A47" s="229">
        <f t="shared" ref="A47:B47" si="79">A46+1</f>
        <v>4754</v>
      </c>
      <c r="B47" s="230">
        <f t="shared" si="79"/>
        <v>37</v>
      </c>
      <c r="C47" s="218" t="str">
        <f t="shared" si="4"/>
        <v>82bX30_000_060#01</v>
      </c>
      <c r="D47" s="43">
        <f t="shared" ref="D47:F47" si="80">D46</f>
        <v>30</v>
      </c>
      <c r="E47" s="61">
        <f t="shared" si="80"/>
        <v>3.3</v>
      </c>
      <c r="F47" s="44">
        <f t="shared" si="80"/>
        <v>11</v>
      </c>
      <c r="G47" s="44">
        <f t="shared" si="33"/>
        <v>8.8000000000000007</v>
      </c>
      <c r="H47" s="44">
        <f t="shared" si="34"/>
        <v>5.5</v>
      </c>
      <c r="I47" s="44">
        <f t="shared" ref="I47" si="81">I46</f>
        <v>8</v>
      </c>
      <c r="J47" s="45">
        <f t="shared" si="35"/>
        <v>0</v>
      </c>
      <c r="K47" s="37" t="str">
        <f>D47&amp;-1</f>
        <v>30-1</v>
      </c>
      <c r="L47" s="44">
        <f t="shared" ref="L47" si="82">L46</f>
        <v>0.11</v>
      </c>
      <c r="M47" s="49">
        <v>60</v>
      </c>
      <c r="N47" s="44">
        <f t="shared" ref="N47:P47" si="83">N46</f>
        <v>150</v>
      </c>
      <c r="O47" s="44">
        <f t="shared" si="83"/>
        <v>750</v>
      </c>
      <c r="P47" s="45" t="str">
        <f t="shared" si="83"/>
        <v>on</v>
      </c>
    </row>
    <row r="48" spans="1:16" ht="15.75" thickBot="1" x14ac:dyDescent="0.3">
      <c r="A48" s="229">
        <f t="shared" ref="A48:B48" si="84">A47+1</f>
        <v>4755</v>
      </c>
      <c r="B48" s="230">
        <f t="shared" si="84"/>
        <v>38</v>
      </c>
      <c r="C48" s="218" t="str">
        <f t="shared" si="4"/>
        <v>82bX30_000_060#02</v>
      </c>
      <c r="D48" s="43">
        <f t="shared" ref="D48:F48" si="85">D47</f>
        <v>30</v>
      </c>
      <c r="E48" s="61">
        <f t="shared" si="85"/>
        <v>3.3</v>
      </c>
      <c r="F48" s="44">
        <f t="shared" si="85"/>
        <v>11</v>
      </c>
      <c r="G48" s="44">
        <f t="shared" si="33"/>
        <v>8.8000000000000007</v>
      </c>
      <c r="H48" s="44">
        <f t="shared" si="34"/>
        <v>5.5</v>
      </c>
      <c r="I48" s="44">
        <f t="shared" ref="I48" si="86">I47</f>
        <v>8</v>
      </c>
      <c r="J48" s="45">
        <f t="shared" si="35"/>
        <v>0</v>
      </c>
      <c r="K48" s="37" t="str">
        <f>D48&amp;-2</f>
        <v>30-2</v>
      </c>
      <c r="L48" s="44">
        <f t="shared" ref="L48" si="87">L47</f>
        <v>0.11</v>
      </c>
      <c r="M48" s="49">
        <f>M47</f>
        <v>60</v>
      </c>
      <c r="N48" s="44">
        <f t="shared" ref="N48:P48" si="88">N47</f>
        <v>150</v>
      </c>
      <c r="O48" s="44">
        <f t="shared" si="88"/>
        <v>750</v>
      </c>
      <c r="P48" s="45" t="str">
        <f t="shared" si="88"/>
        <v>on</v>
      </c>
    </row>
    <row r="49" spans="1:16" ht="15.75" thickBot="1" x14ac:dyDescent="0.3">
      <c r="A49" s="229">
        <f t="shared" ref="A49:B49" si="89">A48+1</f>
        <v>4756</v>
      </c>
      <c r="B49" s="230">
        <f t="shared" si="89"/>
        <v>39</v>
      </c>
      <c r="C49" s="218" t="str">
        <f t="shared" si="4"/>
        <v>82bX30_000_060#03</v>
      </c>
      <c r="D49" s="43">
        <f t="shared" ref="D49:F49" si="90">D48</f>
        <v>30</v>
      </c>
      <c r="E49" s="61">
        <f t="shared" si="90"/>
        <v>3.3</v>
      </c>
      <c r="F49" s="44">
        <f t="shared" si="90"/>
        <v>11</v>
      </c>
      <c r="G49" s="44">
        <f t="shared" si="33"/>
        <v>8.8000000000000007</v>
      </c>
      <c r="H49" s="44">
        <f t="shared" si="34"/>
        <v>5.5</v>
      </c>
      <c r="I49" s="44">
        <f t="shared" ref="I49" si="91">I48</f>
        <v>8</v>
      </c>
      <c r="J49" s="45">
        <f t="shared" si="35"/>
        <v>0</v>
      </c>
      <c r="K49" s="37" t="str">
        <f>D49&amp;-3</f>
        <v>30-3</v>
      </c>
      <c r="L49" s="44">
        <f t="shared" ref="L49:P49" si="92">L48</f>
        <v>0.11</v>
      </c>
      <c r="M49" s="49">
        <f t="shared" si="92"/>
        <v>60</v>
      </c>
      <c r="N49" s="44">
        <f t="shared" si="92"/>
        <v>150</v>
      </c>
      <c r="O49" s="44">
        <f t="shared" si="92"/>
        <v>750</v>
      </c>
      <c r="P49" s="45" t="str">
        <f t="shared" si="92"/>
        <v>on</v>
      </c>
    </row>
    <row r="50" spans="1:16" ht="15.75" thickBot="1" x14ac:dyDescent="0.3">
      <c r="A50" s="229">
        <f t="shared" ref="A50:B50" si="93">A49+1</f>
        <v>4757</v>
      </c>
      <c r="B50" s="230">
        <f t="shared" si="93"/>
        <v>40</v>
      </c>
      <c r="C50" s="218" t="str">
        <f t="shared" si="4"/>
        <v>82bX30_000_060#04</v>
      </c>
      <c r="D50" s="43">
        <f t="shared" ref="D50:F50" si="94">D49</f>
        <v>30</v>
      </c>
      <c r="E50" s="61">
        <f t="shared" si="94"/>
        <v>3.3</v>
      </c>
      <c r="F50" s="44">
        <f t="shared" si="94"/>
        <v>11</v>
      </c>
      <c r="G50" s="44">
        <f t="shared" si="33"/>
        <v>8.8000000000000007</v>
      </c>
      <c r="H50" s="44">
        <f t="shared" si="34"/>
        <v>5.5</v>
      </c>
      <c r="I50" s="44">
        <f t="shared" ref="I50" si="95">I49</f>
        <v>8</v>
      </c>
      <c r="J50" s="45">
        <f t="shared" si="35"/>
        <v>0</v>
      </c>
      <c r="K50" s="37" t="str">
        <f>D50&amp;-4</f>
        <v>30-4</v>
      </c>
      <c r="L50" s="44">
        <f t="shared" ref="L50:P50" si="96">L49</f>
        <v>0.11</v>
      </c>
      <c r="M50" s="49">
        <f t="shared" si="96"/>
        <v>60</v>
      </c>
      <c r="N50" s="44">
        <f t="shared" si="96"/>
        <v>150</v>
      </c>
      <c r="O50" s="44">
        <f t="shared" si="96"/>
        <v>750</v>
      </c>
      <c r="P50" s="45" t="str">
        <f t="shared" si="96"/>
        <v>on</v>
      </c>
    </row>
    <row r="51" spans="1:16" ht="15.75" thickBot="1" x14ac:dyDescent="0.3">
      <c r="A51" s="229">
        <f t="shared" ref="A51:B51" si="97">A50+1</f>
        <v>4758</v>
      </c>
      <c r="B51" s="230">
        <f t="shared" si="97"/>
        <v>41</v>
      </c>
      <c r="C51" s="218" t="str">
        <f t="shared" si="4"/>
        <v>82bX30_000_060#05</v>
      </c>
      <c r="D51" s="43">
        <f t="shared" ref="D51:F51" si="98">D50</f>
        <v>30</v>
      </c>
      <c r="E51" s="61">
        <f t="shared" si="98"/>
        <v>3.3</v>
      </c>
      <c r="F51" s="44">
        <f t="shared" si="98"/>
        <v>11</v>
      </c>
      <c r="G51" s="44">
        <f t="shared" si="33"/>
        <v>8.8000000000000007</v>
      </c>
      <c r="H51" s="44">
        <f t="shared" si="34"/>
        <v>5.5</v>
      </c>
      <c r="I51" s="44">
        <f t="shared" ref="I51" si="99">I50</f>
        <v>8</v>
      </c>
      <c r="J51" s="45">
        <f t="shared" si="35"/>
        <v>0</v>
      </c>
      <c r="K51" s="37" t="str">
        <f>D51&amp;-5</f>
        <v>30-5</v>
      </c>
      <c r="L51" s="44">
        <f t="shared" ref="L51:P51" si="100">L50</f>
        <v>0.11</v>
      </c>
      <c r="M51" s="49">
        <f t="shared" si="100"/>
        <v>60</v>
      </c>
      <c r="N51" s="44">
        <f t="shared" si="100"/>
        <v>150</v>
      </c>
      <c r="O51" s="44">
        <f t="shared" si="100"/>
        <v>750</v>
      </c>
      <c r="P51" s="45" t="str">
        <f t="shared" si="100"/>
        <v>on</v>
      </c>
    </row>
    <row r="52" spans="1:16" ht="15.75" thickBot="1" x14ac:dyDescent="0.3">
      <c r="A52" s="229">
        <f t="shared" ref="A52:B52" si="101">A51+1</f>
        <v>4759</v>
      </c>
      <c r="B52" s="230">
        <f t="shared" si="101"/>
        <v>42</v>
      </c>
      <c r="C52" s="218" t="str">
        <f t="shared" si="4"/>
        <v>82bX30_000_060#06</v>
      </c>
      <c r="D52" s="43">
        <f t="shared" ref="D52:F52" si="102">D51</f>
        <v>30</v>
      </c>
      <c r="E52" s="61">
        <f t="shared" si="102"/>
        <v>3.3</v>
      </c>
      <c r="F52" s="44">
        <f t="shared" si="102"/>
        <v>11</v>
      </c>
      <c r="G52" s="44">
        <f t="shared" si="33"/>
        <v>8.8000000000000007</v>
      </c>
      <c r="H52" s="44">
        <f t="shared" si="34"/>
        <v>5.5</v>
      </c>
      <c r="I52" s="44">
        <f t="shared" ref="I52:I59" si="103">I51</f>
        <v>8</v>
      </c>
      <c r="J52" s="45">
        <f t="shared" si="35"/>
        <v>0</v>
      </c>
      <c r="K52" s="37" t="str">
        <f>D52&amp;-6</f>
        <v>30-6</v>
      </c>
      <c r="L52" s="44">
        <f t="shared" ref="L52:P52" si="104">L51</f>
        <v>0.11</v>
      </c>
      <c r="M52" s="49">
        <f t="shared" si="104"/>
        <v>60</v>
      </c>
      <c r="N52" s="44">
        <f t="shared" si="104"/>
        <v>150</v>
      </c>
      <c r="O52" s="44">
        <f t="shared" si="104"/>
        <v>750</v>
      </c>
      <c r="P52" s="45" t="str">
        <f t="shared" si="104"/>
        <v>on</v>
      </c>
    </row>
    <row r="53" spans="1:16" ht="15.75" thickBot="1" x14ac:dyDescent="0.3">
      <c r="A53" s="229">
        <f t="shared" ref="A53:B53" si="105">A52+1</f>
        <v>4760</v>
      </c>
      <c r="B53" s="230">
        <f t="shared" si="105"/>
        <v>43</v>
      </c>
      <c r="C53" s="218" t="str">
        <f t="shared" si="4"/>
        <v>82bX30_000_090#01</v>
      </c>
      <c r="D53" s="43">
        <f t="shared" ref="D53:F53" si="106">D52</f>
        <v>30</v>
      </c>
      <c r="E53" s="61">
        <f t="shared" si="106"/>
        <v>3.3</v>
      </c>
      <c r="F53" s="44">
        <f t="shared" si="106"/>
        <v>11</v>
      </c>
      <c r="G53" s="44">
        <f t="shared" si="33"/>
        <v>8.8000000000000007</v>
      </c>
      <c r="H53" s="44">
        <f t="shared" si="34"/>
        <v>5.5</v>
      </c>
      <c r="I53" s="44">
        <f t="shared" si="103"/>
        <v>8</v>
      </c>
      <c r="J53" s="45">
        <f t="shared" si="35"/>
        <v>0</v>
      </c>
      <c r="K53" s="37" t="str">
        <f>D53&amp;-1</f>
        <v>30-1</v>
      </c>
      <c r="L53" s="44">
        <f t="shared" ref="L53" si="107">L52</f>
        <v>0.11</v>
      </c>
      <c r="M53" s="49">
        <v>90</v>
      </c>
      <c r="N53" s="44">
        <f t="shared" ref="N53:P53" si="108">N52</f>
        <v>150</v>
      </c>
      <c r="O53" s="44">
        <f t="shared" si="108"/>
        <v>750</v>
      </c>
      <c r="P53" s="45" t="str">
        <f t="shared" si="108"/>
        <v>on</v>
      </c>
    </row>
    <row r="54" spans="1:16" ht="15.75" thickBot="1" x14ac:dyDescent="0.3">
      <c r="A54" s="229">
        <f t="shared" ref="A54:B54" si="109">A53+1</f>
        <v>4761</v>
      </c>
      <c r="B54" s="230">
        <f t="shared" si="109"/>
        <v>44</v>
      </c>
      <c r="C54" s="218" t="str">
        <f t="shared" si="4"/>
        <v>82bX30_000_090#02</v>
      </c>
      <c r="D54" s="43">
        <f t="shared" ref="D54:F54" si="110">D53</f>
        <v>30</v>
      </c>
      <c r="E54" s="61">
        <f t="shared" si="110"/>
        <v>3.3</v>
      </c>
      <c r="F54" s="44">
        <f t="shared" si="110"/>
        <v>11</v>
      </c>
      <c r="G54" s="44">
        <f t="shared" si="33"/>
        <v>8.8000000000000007</v>
      </c>
      <c r="H54" s="44">
        <f t="shared" si="34"/>
        <v>5.5</v>
      </c>
      <c r="I54" s="44">
        <f t="shared" si="103"/>
        <v>8</v>
      </c>
      <c r="J54" s="45">
        <f t="shared" si="35"/>
        <v>0</v>
      </c>
      <c r="K54" s="37" t="str">
        <f>D54&amp;-2</f>
        <v>30-2</v>
      </c>
      <c r="L54" s="44">
        <f t="shared" ref="L54" si="111">L53</f>
        <v>0.11</v>
      </c>
      <c r="M54" s="49">
        <f>M53</f>
        <v>90</v>
      </c>
      <c r="N54" s="44">
        <f t="shared" ref="N54:P54" si="112">N53</f>
        <v>150</v>
      </c>
      <c r="O54" s="44">
        <f t="shared" si="112"/>
        <v>750</v>
      </c>
      <c r="P54" s="45" t="str">
        <f t="shared" si="112"/>
        <v>on</v>
      </c>
    </row>
    <row r="55" spans="1:16" ht="15.75" thickBot="1" x14ac:dyDescent="0.3">
      <c r="A55" s="229">
        <f t="shared" ref="A55:B55" si="113">A54+1</f>
        <v>4762</v>
      </c>
      <c r="B55" s="230">
        <f t="shared" si="113"/>
        <v>45</v>
      </c>
      <c r="C55" s="218" t="str">
        <f t="shared" si="4"/>
        <v>82bX30_000_090#03</v>
      </c>
      <c r="D55" s="43">
        <f t="shared" ref="D55:F55" si="114">D54</f>
        <v>30</v>
      </c>
      <c r="E55" s="61">
        <f t="shared" si="114"/>
        <v>3.3</v>
      </c>
      <c r="F55" s="44">
        <f t="shared" si="114"/>
        <v>11</v>
      </c>
      <c r="G55" s="44">
        <f t="shared" si="33"/>
        <v>8.8000000000000007</v>
      </c>
      <c r="H55" s="44">
        <f t="shared" si="34"/>
        <v>5.5</v>
      </c>
      <c r="I55" s="44">
        <f t="shared" si="103"/>
        <v>8</v>
      </c>
      <c r="J55" s="45">
        <f t="shared" si="35"/>
        <v>0</v>
      </c>
      <c r="K55" s="37" t="str">
        <f>D55&amp;-3</f>
        <v>30-3</v>
      </c>
      <c r="L55" s="44">
        <f t="shared" ref="L55:P55" si="115">L54</f>
        <v>0.11</v>
      </c>
      <c r="M55" s="49">
        <f t="shared" si="115"/>
        <v>90</v>
      </c>
      <c r="N55" s="44">
        <f t="shared" si="115"/>
        <v>150</v>
      </c>
      <c r="O55" s="44">
        <f t="shared" si="115"/>
        <v>750</v>
      </c>
      <c r="P55" s="45" t="str">
        <f t="shared" si="115"/>
        <v>on</v>
      </c>
    </row>
    <row r="56" spans="1:16" ht="15.75" thickBot="1" x14ac:dyDescent="0.3">
      <c r="A56" s="229">
        <f t="shared" ref="A56:B56" si="116">A55+1</f>
        <v>4763</v>
      </c>
      <c r="B56" s="230">
        <f t="shared" si="116"/>
        <v>46</v>
      </c>
      <c r="C56" s="218" t="str">
        <f t="shared" si="4"/>
        <v>82bX30_000_090#04</v>
      </c>
      <c r="D56" s="43">
        <f t="shared" ref="D56:F56" si="117">D55</f>
        <v>30</v>
      </c>
      <c r="E56" s="61">
        <f t="shared" si="117"/>
        <v>3.3</v>
      </c>
      <c r="F56" s="44">
        <f t="shared" si="117"/>
        <v>11</v>
      </c>
      <c r="G56" s="44">
        <f t="shared" si="33"/>
        <v>8.8000000000000007</v>
      </c>
      <c r="H56" s="44">
        <f t="shared" si="34"/>
        <v>5.5</v>
      </c>
      <c r="I56" s="44">
        <f t="shared" si="103"/>
        <v>8</v>
      </c>
      <c r="J56" s="45">
        <f t="shared" si="35"/>
        <v>0</v>
      </c>
      <c r="K56" s="37" t="str">
        <f>D56&amp;-4</f>
        <v>30-4</v>
      </c>
      <c r="L56" s="44">
        <f t="shared" ref="L56:P56" si="118">L55</f>
        <v>0.11</v>
      </c>
      <c r="M56" s="49">
        <f t="shared" si="118"/>
        <v>90</v>
      </c>
      <c r="N56" s="44">
        <f t="shared" si="118"/>
        <v>150</v>
      </c>
      <c r="O56" s="44">
        <f t="shared" si="118"/>
        <v>750</v>
      </c>
      <c r="P56" s="45" t="str">
        <f t="shared" si="118"/>
        <v>on</v>
      </c>
    </row>
    <row r="57" spans="1:16" ht="15.75" thickBot="1" x14ac:dyDescent="0.3">
      <c r="A57" s="229">
        <f t="shared" ref="A57:B57" si="119">A56+1</f>
        <v>4764</v>
      </c>
      <c r="B57" s="230">
        <f t="shared" si="119"/>
        <v>47</v>
      </c>
      <c r="C57" s="218" t="str">
        <f t="shared" si="4"/>
        <v>82bX30_000_090#05</v>
      </c>
      <c r="D57" s="43">
        <f t="shared" ref="D57:F57" si="120">D56</f>
        <v>30</v>
      </c>
      <c r="E57" s="61">
        <f t="shared" si="120"/>
        <v>3.3</v>
      </c>
      <c r="F57" s="44">
        <f t="shared" si="120"/>
        <v>11</v>
      </c>
      <c r="G57" s="44">
        <f t="shared" si="33"/>
        <v>8.8000000000000007</v>
      </c>
      <c r="H57" s="44">
        <f t="shared" si="34"/>
        <v>5.5</v>
      </c>
      <c r="I57" s="44">
        <f t="shared" si="103"/>
        <v>8</v>
      </c>
      <c r="J57" s="45">
        <f t="shared" si="35"/>
        <v>0</v>
      </c>
      <c r="K57" s="37" t="str">
        <f>D57&amp;-5</f>
        <v>30-5</v>
      </c>
      <c r="L57" s="44">
        <f t="shared" ref="L57:P57" si="121">L56</f>
        <v>0.11</v>
      </c>
      <c r="M57" s="49">
        <f t="shared" si="121"/>
        <v>90</v>
      </c>
      <c r="N57" s="44">
        <f t="shared" si="121"/>
        <v>150</v>
      </c>
      <c r="O57" s="44">
        <f t="shared" si="121"/>
        <v>750</v>
      </c>
      <c r="P57" s="45" t="str">
        <f t="shared" si="121"/>
        <v>on</v>
      </c>
    </row>
    <row r="58" spans="1:16" ht="15.75" thickBot="1" x14ac:dyDescent="0.3">
      <c r="A58" s="229">
        <f t="shared" ref="A58:B58" si="122">A57+1</f>
        <v>4765</v>
      </c>
      <c r="B58" s="230">
        <f t="shared" si="122"/>
        <v>48</v>
      </c>
      <c r="C58" s="218" t="str">
        <f t="shared" si="4"/>
        <v>82bX30_000_090#06</v>
      </c>
      <c r="D58" s="43">
        <f t="shared" ref="D58:F58" si="123">D57</f>
        <v>30</v>
      </c>
      <c r="E58" s="61">
        <f t="shared" si="123"/>
        <v>3.3</v>
      </c>
      <c r="F58" s="44">
        <f t="shared" si="123"/>
        <v>11</v>
      </c>
      <c r="G58" s="44">
        <f t="shared" si="33"/>
        <v>8.8000000000000007</v>
      </c>
      <c r="H58" s="44">
        <f t="shared" si="34"/>
        <v>5.5</v>
      </c>
      <c r="I58" s="44">
        <f t="shared" si="103"/>
        <v>8</v>
      </c>
      <c r="J58" s="45">
        <f t="shared" si="35"/>
        <v>0</v>
      </c>
      <c r="K58" s="37" t="str">
        <f>D58&amp;-6</f>
        <v>30-6</v>
      </c>
      <c r="L58" s="44">
        <f t="shared" ref="L58:P58" si="124">L57</f>
        <v>0.11</v>
      </c>
      <c r="M58" s="49">
        <f t="shared" si="124"/>
        <v>90</v>
      </c>
      <c r="N58" s="44">
        <f t="shared" si="124"/>
        <v>150</v>
      </c>
      <c r="O58" s="44">
        <f t="shared" si="124"/>
        <v>750</v>
      </c>
      <c r="P58" s="45" t="str">
        <f t="shared" si="124"/>
        <v>on</v>
      </c>
    </row>
    <row r="59" spans="1:16" ht="15.75" thickBot="1" x14ac:dyDescent="0.3">
      <c r="A59" s="229">
        <f t="shared" ref="A59:B59" si="125">A58+1</f>
        <v>4766</v>
      </c>
      <c r="B59" s="230">
        <f t="shared" si="125"/>
        <v>49</v>
      </c>
      <c r="C59" s="218" t="str">
        <f t="shared" si="4"/>
        <v>82bX30_008_000#01</v>
      </c>
      <c r="D59" s="43">
        <f t="shared" ref="D59:F59" si="126">D58</f>
        <v>30</v>
      </c>
      <c r="E59" s="61">
        <f t="shared" si="126"/>
        <v>3.3</v>
      </c>
      <c r="F59" s="44">
        <f t="shared" si="126"/>
        <v>11</v>
      </c>
      <c r="G59" s="44">
        <f t="shared" ref="G59:G82" si="127">m_ty*F59</f>
        <v>8.8000000000000007</v>
      </c>
      <c r="H59" s="44">
        <f t="shared" ref="H59:H82" si="128">m_tz*F59</f>
        <v>5.5</v>
      </c>
      <c r="I59" s="44">
        <f t="shared" si="103"/>
        <v>8</v>
      </c>
      <c r="J59" s="45">
        <f t="shared" ref="J59:J82" si="129">yaw_max</f>
        <v>8</v>
      </c>
      <c r="K59" s="37" t="str">
        <f>D59&amp;-1</f>
        <v>30-1</v>
      </c>
      <c r="L59" s="44">
        <f t="shared" ref="L59:P59" si="130">L58</f>
        <v>0.11</v>
      </c>
      <c r="M59" s="49">
        <v>0</v>
      </c>
      <c r="N59" s="44">
        <f t="shared" si="130"/>
        <v>150</v>
      </c>
      <c r="O59" s="44">
        <f t="shared" si="130"/>
        <v>750</v>
      </c>
      <c r="P59" s="45" t="str">
        <f t="shared" si="130"/>
        <v>on</v>
      </c>
    </row>
    <row r="60" spans="1:16" ht="15.75" thickBot="1" x14ac:dyDescent="0.3">
      <c r="A60" s="229">
        <f t="shared" ref="A60:B60" si="131">A59+1</f>
        <v>4767</v>
      </c>
      <c r="B60" s="230">
        <f t="shared" si="131"/>
        <v>50</v>
      </c>
      <c r="C60" s="218" t="str">
        <f t="shared" si="4"/>
        <v>82bX30_008_000#02</v>
      </c>
      <c r="D60" s="43">
        <f>D59</f>
        <v>30</v>
      </c>
      <c r="E60" s="61">
        <f>E59</f>
        <v>3.3</v>
      </c>
      <c r="F60" s="44">
        <f>F59</f>
        <v>11</v>
      </c>
      <c r="G60" s="44">
        <f t="shared" si="127"/>
        <v>8.8000000000000007</v>
      </c>
      <c r="H60" s="44">
        <f t="shared" si="128"/>
        <v>5.5</v>
      </c>
      <c r="I60" s="44">
        <f>I59</f>
        <v>8</v>
      </c>
      <c r="J60" s="45">
        <f t="shared" si="129"/>
        <v>8</v>
      </c>
      <c r="K60" s="37" t="str">
        <f>D60&amp;-2</f>
        <v>30-2</v>
      </c>
      <c r="L60" s="44">
        <f>L59</f>
        <v>0.11</v>
      </c>
      <c r="M60" s="49">
        <f>M59</f>
        <v>0</v>
      </c>
      <c r="N60" s="44">
        <f>N59</f>
        <v>150</v>
      </c>
      <c r="O60" s="44">
        <f>O59</f>
        <v>750</v>
      </c>
      <c r="P60" s="45" t="str">
        <f>P59</f>
        <v>on</v>
      </c>
    </row>
    <row r="61" spans="1:16" ht="15.75" thickBot="1" x14ac:dyDescent="0.3">
      <c r="A61" s="229">
        <f t="shared" ref="A61:B61" si="132">A60+1</f>
        <v>4768</v>
      </c>
      <c r="B61" s="230">
        <f t="shared" si="132"/>
        <v>51</v>
      </c>
      <c r="C61" s="218" t="str">
        <f t="shared" si="4"/>
        <v>82bX30_008_000#03</v>
      </c>
      <c r="D61" s="43">
        <f t="shared" ref="D61:F61" si="133">D60</f>
        <v>30</v>
      </c>
      <c r="E61" s="61">
        <f t="shared" si="133"/>
        <v>3.3</v>
      </c>
      <c r="F61" s="44">
        <f t="shared" si="133"/>
        <v>11</v>
      </c>
      <c r="G61" s="44">
        <f t="shared" si="127"/>
        <v>8.8000000000000007</v>
      </c>
      <c r="H61" s="44">
        <f t="shared" si="128"/>
        <v>5.5</v>
      </c>
      <c r="I61" s="44">
        <f t="shared" ref="I61" si="134">I60</f>
        <v>8</v>
      </c>
      <c r="J61" s="45">
        <f t="shared" si="129"/>
        <v>8</v>
      </c>
      <c r="K61" s="37" t="str">
        <f>D61&amp;-3</f>
        <v>30-3</v>
      </c>
      <c r="L61" s="44">
        <f t="shared" ref="L61:O61" si="135">L60</f>
        <v>0.11</v>
      </c>
      <c r="M61" s="49">
        <f t="shared" si="135"/>
        <v>0</v>
      </c>
      <c r="N61" s="44">
        <f t="shared" si="135"/>
        <v>150</v>
      </c>
      <c r="O61" s="44">
        <f t="shared" si="135"/>
        <v>750</v>
      </c>
      <c r="P61" s="45" t="str">
        <f>P60</f>
        <v>on</v>
      </c>
    </row>
    <row r="62" spans="1:16" ht="15.75" thickBot="1" x14ac:dyDescent="0.3">
      <c r="A62" s="229">
        <f t="shared" ref="A62:B62" si="136">A61+1</f>
        <v>4769</v>
      </c>
      <c r="B62" s="230">
        <f t="shared" si="136"/>
        <v>52</v>
      </c>
      <c r="C62" s="218" t="str">
        <f t="shared" si="4"/>
        <v>82bX30_008_000#04</v>
      </c>
      <c r="D62" s="43">
        <f t="shared" ref="D62:F62" si="137">D61</f>
        <v>30</v>
      </c>
      <c r="E62" s="61">
        <f t="shared" si="137"/>
        <v>3.3</v>
      </c>
      <c r="F62" s="44">
        <f t="shared" si="137"/>
        <v>11</v>
      </c>
      <c r="G62" s="44">
        <f t="shared" si="127"/>
        <v>8.8000000000000007</v>
      </c>
      <c r="H62" s="44">
        <f t="shared" si="128"/>
        <v>5.5</v>
      </c>
      <c r="I62" s="44">
        <f t="shared" ref="I62" si="138">I61</f>
        <v>8</v>
      </c>
      <c r="J62" s="45">
        <f t="shared" si="129"/>
        <v>8</v>
      </c>
      <c r="K62" s="37" t="str">
        <f>D62&amp;-4</f>
        <v>30-4</v>
      </c>
      <c r="L62" s="44">
        <f t="shared" ref="L62:O62" si="139">L61</f>
        <v>0.11</v>
      </c>
      <c r="M62" s="49">
        <f t="shared" si="139"/>
        <v>0</v>
      </c>
      <c r="N62" s="44">
        <f t="shared" si="139"/>
        <v>150</v>
      </c>
      <c r="O62" s="44">
        <f t="shared" si="139"/>
        <v>750</v>
      </c>
      <c r="P62" s="45" t="str">
        <f>P61</f>
        <v>on</v>
      </c>
    </row>
    <row r="63" spans="1:16" ht="15.75" thickBot="1" x14ac:dyDescent="0.3">
      <c r="A63" s="229">
        <f t="shared" ref="A63:B63" si="140">A62+1</f>
        <v>4770</v>
      </c>
      <c r="B63" s="230">
        <f t="shared" si="140"/>
        <v>53</v>
      </c>
      <c r="C63" s="218" t="str">
        <f t="shared" si="4"/>
        <v>82bX30_008_000#05</v>
      </c>
      <c r="D63" s="43">
        <f t="shared" ref="D63:F63" si="141">D62</f>
        <v>30</v>
      </c>
      <c r="E63" s="61">
        <f t="shared" si="141"/>
        <v>3.3</v>
      </c>
      <c r="F63" s="44">
        <f t="shared" si="141"/>
        <v>11</v>
      </c>
      <c r="G63" s="44">
        <f t="shared" si="127"/>
        <v>8.8000000000000007</v>
      </c>
      <c r="H63" s="44">
        <f t="shared" si="128"/>
        <v>5.5</v>
      </c>
      <c r="I63" s="44">
        <f t="shared" ref="I63" si="142">I62</f>
        <v>8</v>
      </c>
      <c r="J63" s="45">
        <f t="shared" si="129"/>
        <v>8</v>
      </c>
      <c r="K63" s="37" t="str">
        <f>D63&amp;-5</f>
        <v>30-5</v>
      </c>
      <c r="L63" s="44">
        <f t="shared" ref="L63:P63" si="143">L62</f>
        <v>0.11</v>
      </c>
      <c r="M63" s="49">
        <f t="shared" si="143"/>
        <v>0</v>
      </c>
      <c r="N63" s="44">
        <f t="shared" si="143"/>
        <v>150</v>
      </c>
      <c r="O63" s="44">
        <f t="shared" si="143"/>
        <v>750</v>
      </c>
      <c r="P63" s="45" t="str">
        <f t="shared" si="143"/>
        <v>on</v>
      </c>
    </row>
    <row r="64" spans="1:16" ht="15.75" thickBot="1" x14ac:dyDescent="0.3">
      <c r="A64" s="229">
        <f t="shared" ref="A64:B64" si="144">A63+1</f>
        <v>4771</v>
      </c>
      <c r="B64" s="230">
        <f t="shared" si="144"/>
        <v>54</v>
      </c>
      <c r="C64" s="218" t="str">
        <f t="shared" si="4"/>
        <v>82bX30_008_000#06</v>
      </c>
      <c r="D64" s="43">
        <f t="shared" ref="D64:F64" si="145">D63</f>
        <v>30</v>
      </c>
      <c r="E64" s="61">
        <f t="shared" si="145"/>
        <v>3.3</v>
      </c>
      <c r="F64" s="44">
        <f t="shared" si="145"/>
        <v>11</v>
      </c>
      <c r="G64" s="44">
        <f t="shared" si="127"/>
        <v>8.8000000000000007</v>
      </c>
      <c r="H64" s="44">
        <f t="shared" si="128"/>
        <v>5.5</v>
      </c>
      <c r="I64" s="44">
        <f t="shared" ref="I64" si="146">I63</f>
        <v>8</v>
      </c>
      <c r="J64" s="45">
        <f t="shared" si="129"/>
        <v>8</v>
      </c>
      <c r="K64" s="37" t="str">
        <f>D64&amp;-6</f>
        <v>30-6</v>
      </c>
      <c r="L64" s="44">
        <f t="shared" ref="L64:P64" si="147">L63</f>
        <v>0.11</v>
      </c>
      <c r="M64" s="49">
        <f t="shared" si="147"/>
        <v>0</v>
      </c>
      <c r="N64" s="44">
        <f t="shared" si="147"/>
        <v>150</v>
      </c>
      <c r="O64" s="44">
        <f t="shared" si="147"/>
        <v>750</v>
      </c>
      <c r="P64" s="45" t="str">
        <f t="shared" si="147"/>
        <v>on</v>
      </c>
    </row>
    <row r="65" spans="1:16" ht="15.75" thickBot="1" x14ac:dyDescent="0.3">
      <c r="A65" s="229">
        <f t="shared" ref="A65:B65" si="148">A64+1</f>
        <v>4772</v>
      </c>
      <c r="B65" s="230">
        <f t="shared" si="148"/>
        <v>55</v>
      </c>
      <c r="C65" s="218" t="str">
        <f t="shared" si="4"/>
        <v>82bX30_008_030#01</v>
      </c>
      <c r="D65" s="43">
        <f t="shared" ref="D65:F65" si="149">D64</f>
        <v>30</v>
      </c>
      <c r="E65" s="61">
        <f t="shared" si="149"/>
        <v>3.3</v>
      </c>
      <c r="F65" s="44">
        <f t="shared" si="149"/>
        <v>11</v>
      </c>
      <c r="G65" s="44">
        <f t="shared" si="127"/>
        <v>8.8000000000000007</v>
      </c>
      <c r="H65" s="44">
        <f t="shared" si="128"/>
        <v>5.5</v>
      </c>
      <c r="I65" s="44">
        <f t="shared" ref="I65" si="150">I64</f>
        <v>8</v>
      </c>
      <c r="J65" s="45">
        <f t="shared" si="129"/>
        <v>8</v>
      </c>
      <c r="K65" s="37" t="str">
        <f>D65&amp;-1</f>
        <v>30-1</v>
      </c>
      <c r="L65" s="44">
        <f t="shared" ref="L65" si="151">L64</f>
        <v>0.11</v>
      </c>
      <c r="M65" s="49">
        <v>30</v>
      </c>
      <c r="N65" s="44">
        <f t="shared" ref="N65:P65" si="152">N64</f>
        <v>150</v>
      </c>
      <c r="O65" s="44">
        <f t="shared" si="152"/>
        <v>750</v>
      </c>
      <c r="P65" s="45" t="str">
        <f t="shared" si="152"/>
        <v>on</v>
      </c>
    </row>
    <row r="66" spans="1:16" ht="15.75" thickBot="1" x14ac:dyDescent="0.3">
      <c r="A66" s="229">
        <f t="shared" ref="A66:B66" si="153">A65+1</f>
        <v>4773</v>
      </c>
      <c r="B66" s="230">
        <f t="shared" si="153"/>
        <v>56</v>
      </c>
      <c r="C66" s="218" t="str">
        <f t="shared" si="4"/>
        <v>82bX30_008_030#02</v>
      </c>
      <c r="D66" s="43">
        <f t="shared" ref="D66:F66" si="154">D65</f>
        <v>30</v>
      </c>
      <c r="E66" s="61">
        <f t="shared" si="154"/>
        <v>3.3</v>
      </c>
      <c r="F66" s="44">
        <f t="shared" si="154"/>
        <v>11</v>
      </c>
      <c r="G66" s="44">
        <f t="shared" si="127"/>
        <v>8.8000000000000007</v>
      </c>
      <c r="H66" s="44">
        <f t="shared" si="128"/>
        <v>5.5</v>
      </c>
      <c r="I66" s="44">
        <f t="shared" ref="I66" si="155">I65</f>
        <v>8</v>
      </c>
      <c r="J66" s="45">
        <f t="shared" si="129"/>
        <v>8</v>
      </c>
      <c r="K66" s="37" t="str">
        <f>D66&amp;-2</f>
        <v>30-2</v>
      </c>
      <c r="L66" s="44">
        <f t="shared" ref="L66" si="156">L65</f>
        <v>0.11</v>
      </c>
      <c r="M66" s="49">
        <f>M65</f>
        <v>30</v>
      </c>
      <c r="N66" s="44">
        <f t="shared" ref="N66:P66" si="157">N65</f>
        <v>150</v>
      </c>
      <c r="O66" s="44">
        <f t="shared" si="157"/>
        <v>750</v>
      </c>
      <c r="P66" s="45" t="str">
        <f t="shared" si="157"/>
        <v>on</v>
      </c>
    </row>
    <row r="67" spans="1:16" ht="15.75" thickBot="1" x14ac:dyDescent="0.3">
      <c r="A67" s="229">
        <f t="shared" ref="A67:B67" si="158">A66+1</f>
        <v>4774</v>
      </c>
      <c r="B67" s="230">
        <f t="shared" si="158"/>
        <v>57</v>
      </c>
      <c r="C67" s="218" t="str">
        <f t="shared" si="4"/>
        <v>82bX30_008_030#03</v>
      </c>
      <c r="D67" s="43">
        <f t="shared" ref="D67:F67" si="159">D66</f>
        <v>30</v>
      </c>
      <c r="E67" s="61">
        <f t="shared" si="159"/>
        <v>3.3</v>
      </c>
      <c r="F67" s="44">
        <f t="shared" si="159"/>
        <v>11</v>
      </c>
      <c r="G67" s="44">
        <f t="shared" si="127"/>
        <v>8.8000000000000007</v>
      </c>
      <c r="H67" s="44">
        <f t="shared" si="128"/>
        <v>5.5</v>
      </c>
      <c r="I67" s="44">
        <f t="shared" ref="I67" si="160">I66</f>
        <v>8</v>
      </c>
      <c r="J67" s="45">
        <f t="shared" si="129"/>
        <v>8</v>
      </c>
      <c r="K67" s="37" t="str">
        <f>D67&amp;-3</f>
        <v>30-3</v>
      </c>
      <c r="L67" s="44">
        <f t="shared" ref="L67:P67" si="161">L66</f>
        <v>0.11</v>
      </c>
      <c r="M67" s="49">
        <f t="shared" si="161"/>
        <v>30</v>
      </c>
      <c r="N67" s="44">
        <f t="shared" si="161"/>
        <v>150</v>
      </c>
      <c r="O67" s="44">
        <f t="shared" si="161"/>
        <v>750</v>
      </c>
      <c r="P67" s="45" t="str">
        <f t="shared" si="161"/>
        <v>on</v>
      </c>
    </row>
    <row r="68" spans="1:16" ht="15.75" thickBot="1" x14ac:dyDescent="0.3">
      <c r="A68" s="229">
        <f t="shared" ref="A68:B68" si="162">A67+1</f>
        <v>4775</v>
      </c>
      <c r="B68" s="230">
        <f t="shared" si="162"/>
        <v>58</v>
      </c>
      <c r="C68" s="218" t="str">
        <f t="shared" si="4"/>
        <v>82bX30_008_030#04</v>
      </c>
      <c r="D68" s="43">
        <f t="shared" ref="D68:F68" si="163">D67</f>
        <v>30</v>
      </c>
      <c r="E68" s="61">
        <f t="shared" si="163"/>
        <v>3.3</v>
      </c>
      <c r="F68" s="44">
        <f t="shared" si="163"/>
        <v>11</v>
      </c>
      <c r="G68" s="44">
        <f t="shared" si="127"/>
        <v>8.8000000000000007</v>
      </c>
      <c r="H68" s="44">
        <f t="shared" si="128"/>
        <v>5.5</v>
      </c>
      <c r="I68" s="44">
        <f t="shared" ref="I68" si="164">I67</f>
        <v>8</v>
      </c>
      <c r="J68" s="45">
        <f t="shared" si="129"/>
        <v>8</v>
      </c>
      <c r="K68" s="37" t="str">
        <f>D68&amp;-4</f>
        <v>30-4</v>
      </c>
      <c r="L68" s="44">
        <f t="shared" ref="L68:P68" si="165">L67</f>
        <v>0.11</v>
      </c>
      <c r="M68" s="49">
        <f t="shared" si="165"/>
        <v>30</v>
      </c>
      <c r="N68" s="44">
        <f t="shared" si="165"/>
        <v>150</v>
      </c>
      <c r="O68" s="44">
        <f t="shared" si="165"/>
        <v>750</v>
      </c>
      <c r="P68" s="45" t="str">
        <f t="shared" si="165"/>
        <v>on</v>
      </c>
    </row>
    <row r="69" spans="1:16" ht="15.75" thickBot="1" x14ac:dyDescent="0.3">
      <c r="A69" s="229">
        <f t="shared" ref="A69:B69" si="166">A68+1</f>
        <v>4776</v>
      </c>
      <c r="B69" s="230">
        <f t="shared" si="166"/>
        <v>59</v>
      </c>
      <c r="C69" s="218" t="str">
        <f t="shared" si="4"/>
        <v>82bX30_008_030#05</v>
      </c>
      <c r="D69" s="43">
        <f t="shared" ref="D69:F69" si="167">D68</f>
        <v>30</v>
      </c>
      <c r="E69" s="61">
        <f t="shared" si="167"/>
        <v>3.3</v>
      </c>
      <c r="F69" s="44">
        <f t="shared" si="167"/>
        <v>11</v>
      </c>
      <c r="G69" s="44">
        <f t="shared" si="127"/>
        <v>8.8000000000000007</v>
      </c>
      <c r="H69" s="44">
        <f t="shared" si="128"/>
        <v>5.5</v>
      </c>
      <c r="I69" s="44">
        <f t="shared" ref="I69" si="168">I68</f>
        <v>8</v>
      </c>
      <c r="J69" s="45">
        <f t="shared" si="129"/>
        <v>8</v>
      </c>
      <c r="K69" s="37" t="str">
        <f>D69&amp;-5</f>
        <v>30-5</v>
      </c>
      <c r="L69" s="44">
        <f t="shared" ref="L69:P69" si="169">L68</f>
        <v>0.11</v>
      </c>
      <c r="M69" s="49">
        <f t="shared" si="169"/>
        <v>30</v>
      </c>
      <c r="N69" s="44">
        <f t="shared" si="169"/>
        <v>150</v>
      </c>
      <c r="O69" s="44">
        <f t="shared" si="169"/>
        <v>750</v>
      </c>
      <c r="P69" s="45" t="str">
        <f t="shared" si="169"/>
        <v>on</v>
      </c>
    </row>
    <row r="70" spans="1:16" ht="15.75" thickBot="1" x14ac:dyDescent="0.3">
      <c r="A70" s="229">
        <f t="shared" ref="A70:B70" si="170">A69+1</f>
        <v>4777</v>
      </c>
      <c r="B70" s="230">
        <f t="shared" si="170"/>
        <v>60</v>
      </c>
      <c r="C70" s="218" t="str">
        <f t="shared" si="4"/>
        <v>82bX30_008_030#06</v>
      </c>
      <c r="D70" s="43">
        <f t="shared" ref="D70:F70" si="171">D69</f>
        <v>30</v>
      </c>
      <c r="E70" s="61">
        <f t="shared" si="171"/>
        <v>3.3</v>
      </c>
      <c r="F70" s="44">
        <f t="shared" si="171"/>
        <v>11</v>
      </c>
      <c r="G70" s="44">
        <f t="shared" si="127"/>
        <v>8.8000000000000007</v>
      </c>
      <c r="H70" s="44">
        <f t="shared" si="128"/>
        <v>5.5</v>
      </c>
      <c r="I70" s="44">
        <f t="shared" ref="I70" si="172">I69</f>
        <v>8</v>
      </c>
      <c r="J70" s="45">
        <f t="shared" si="129"/>
        <v>8</v>
      </c>
      <c r="K70" s="37" t="str">
        <f>D70&amp;-6</f>
        <v>30-6</v>
      </c>
      <c r="L70" s="44">
        <f t="shared" ref="L70:P70" si="173">L69</f>
        <v>0.11</v>
      </c>
      <c r="M70" s="49">
        <f t="shared" si="173"/>
        <v>30</v>
      </c>
      <c r="N70" s="44">
        <f t="shared" si="173"/>
        <v>150</v>
      </c>
      <c r="O70" s="44">
        <f t="shared" si="173"/>
        <v>750</v>
      </c>
      <c r="P70" s="45" t="str">
        <f t="shared" si="173"/>
        <v>on</v>
      </c>
    </row>
    <row r="71" spans="1:16" ht="15.75" thickBot="1" x14ac:dyDescent="0.3">
      <c r="A71" s="229">
        <f t="shared" ref="A71:B71" si="174">A70+1</f>
        <v>4778</v>
      </c>
      <c r="B71" s="230">
        <f t="shared" si="174"/>
        <v>61</v>
      </c>
      <c r="C71" s="218" t="str">
        <f t="shared" si="4"/>
        <v>82bX30_008_060#01</v>
      </c>
      <c r="D71" s="43">
        <f t="shared" ref="D71:F71" si="175">D70</f>
        <v>30</v>
      </c>
      <c r="E71" s="61">
        <f t="shared" si="175"/>
        <v>3.3</v>
      </c>
      <c r="F71" s="44">
        <f t="shared" si="175"/>
        <v>11</v>
      </c>
      <c r="G71" s="44">
        <f t="shared" si="127"/>
        <v>8.8000000000000007</v>
      </c>
      <c r="H71" s="44">
        <f t="shared" si="128"/>
        <v>5.5</v>
      </c>
      <c r="I71" s="44">
        <f t="shared" ref="I71" si="176">I70</f>
        <v>8</v>
      </c>
      <c r="J71" s="45">
        <f t="shared" si="129"/>
        <v>8</v>
      </c>
      <c r="K71" s="37" t="str">
        <f>D71&amp;-1</f>
        <v>30-1</v>
      </c>
      <c r="L71" s="44">
        <f t="shared" ref="L71" si="177">L70</f>
        <v>0.11</v>
      </c>
      <c r="M71" s="49">
        <v>60</v>
      </c>
      <c r="N71" s="44">
        <f t="shared" ref="N71:P71" si="178">N70</f>
        <v>150</v>
      </c>
      <c r="O71" s="44">
        <f t="shared" si="178"/>
        <v>750</v>
      </c>
      <c r="P71" s="45" t="str">
        <f t="shared" si="178"/>
        <v>on</v>
      </c>
    </row>
    <row r="72" spans="1:16" ht="15.75" thickBot="1" x14ac:dyDescent="0.3">
      <c r="A72" s="229">
        <f t="shared" ref="A72:B72" si="179">A71+1</f>
        <v>4779</v>
      </c>
      <c r="B72" s="230">
        <f t="shared" si="179"/>
        <v>62</v>
      </c>
      <c r="C72" s="218" t="str">
        <f t="shared" si="4"/>
        <v>82bX30_008_060#02</v>
      </c>
      <c r="D72" s="43">
        <f t="shared" ref="D72:F72" si="180">D71</f>
        <v>30</v>
      </c>
      <c r="E72" s="61">
        <f t="shared" si="180"/>
        <v>3.3</v>
      </c>
      <c r="F72" s="44">
        <f t="shared" si="180"/>
        <v>11</v>
      </c>
      <c r="G72" s="44">
        <f t="shared" si="127"/>
        <v>8.8000000000000007</v>
      </c>
      <c r="H72" s="44">
        <f t="shared" si="128"/>
        <v>5.5</v>
      </c>
      <c r="I72" s="44">
        <f t="shared" ref="I72" si="181">I71</f>
        <v>8</v>
      </c>
      <c r="J72" s="45">
        <f t="shared" si="129"/>
        <v>8</v>
      </c>
      <c r="K72" s="37" t="str">
        <f>D72&amp;-2</f>
        <v>30-2</v>
      </c>
      <c r="L72" s="44">
        <f t="shared" ref="L72" si="182">L71</f>
        <v>0.11</v>
      </c>
      <c r="M72" s="49">
        <f>M71</f>
        <v>60</v>
      </c>
      <c r="N72" s="44">
        <f t="shared" ref="N72:P72" si="183">N71</f>
        <v>150</v>
      </c>
      <c r="O72" s="44">
        <f t="shared" si="183"/>
        <v>750</v>
      </c>
      <c r="P72" s="45" t="str">
        <f t="shared" si="183"/>
        <v>on</v>
      </c>
    </row>
    <row r="73" spans="1:16" ht="15.75" thickBot="1" x14ac:dyDescent="0.3">
      <c r="A73" s="229">
        <f t="shared" ref="A73:B73" si="184">A72+1</f>
        <v>4780</v>
      </c>
      <c r="B73" s="230">
        <f t="shared" si="184"/>
        <v>63</v>
      </c>
      <c r="C73" s="218" t="str">
        <f t="shared" si="4"/>
        <v>82bX30_008_060#03</v>
      </c>
      <c r="D73" s="43">
        <f t="shared" ref="D73:F73" si="185">D72</f>
        <v>30</v>
      </c>
      <c r="E73" s="61">
        <f t="shared" si="185"/>
        <v>3.3</v>
      </c>
      <c r="F73" s="44">
        <f t="shared" si="185"/>
        <v>11</v>
      </c>
      <c r="G73" s="44">
        <f t="shared" si="127"/>
        <v>8.8000000000000007</v>
      </c>
      <c r="H73" s="44">
        <f t="shared" si="128"/>
        <v>5.5</v>
      </c>
      <c r="I73" s="44">
        <f t="shared" ref="I73" si="186">I72</f>
        <v>8</v>
      </c>
      <c r="J73" s="45">
        <f t="shared" si="129"/>
        <v>8</v>
      </c>
      <c r="K73" s="37" t="str">
        <f>D73&amp;-3</f>
        <v>30-3</v>
      </c>
      <c r="L73" s="44">
        <f t="shared" ref="L73:P73" si="187">L72</f>
        <v>0.11</v>
      </c>
      <c r="M73" s="49">
        <f t="shared" si="187"/>
        <v>60</v>
      </c>
      <c r="N73" s="44">
        <f t="shared" si="187"/>
        <v>150</v>
      </c>
      <c r="O73" s="44">
        <f t="shared" si="187"/>
        <v>750</v>
      </c>
      <c r="P73" s="45" t="str">
        <f t="shared" si="187"/>
        <v>on</v>
      </c>
    </row>
    <row r="74" spans="1:16" ht="15.75" thickBot="1" x14ac:dyDescent="0.3">
      <c r="A74" s="229">
        <f t="shared" ref="A74:B74" si="188">A73+1</f>
        <v>4781</v>
      </c>
      <c r="B74" s="230">
        <f t="shared" si="188"/>
        <v>64</v>
      </c>
      <c r="C74" s="218" t="str">
        <f t="shared" si="4"/>
        <v>82bX30_008_060#04</v>
      </c>
      <c r="D74" s="43">
        <f t="shared" ref="D74:F74" si="189">D73</f>
        <v>30</v>
      </c>
      <c r="E74" s="61">
        <f t="shared" si="189"/>
        <v>3.3</v>
      </c>
      <c r="F74" s="44">
        <f t="shared" si="189"/>
        <v>11</v>
      </c>
      <c r="G74" s="44">
        <f t="shared" si="127"/>
        <v>8.8000000000000007</v>
      </c>
      <c r="H74" s="44">
        <f t="shared" si="128"/>
        <v>5.5</v>
      </c>
      <c r="I74" s="44">
        <f t="shared" ref="I74" si="190">I73</f>
        <v>8</v>
      </c>
      <c r="J74" s="45">
        <f t="shared" si="129"/>
        <v>8</v>
      </c>
      <c r="K74" s="37" t="str">
        <f>D74&amp;-4</f>
        <v>30-4</v>
      </c>
      <c r="L74" s="44">
        <f t="shared" ref="L74:P74" si="191">L73</f>
        <v>0.11</v>
      </c>
      <c r="M74" s="49">
        <f t="shared" si="191"/>
        <v>60</v>
      </c>
      <c r="N74" s="44">
        <f t="shared" si="191"/>
        <v>150</v>
      </c>
      <c r="O74" s="44">
        <f t="shared" si="191"/>
        <v>750</v>
      </c>
      <c r="P74" s="45" t="str">
        <f t="shared" si="191"/>
        <v>on</v>
      </c>
    </row>
    <row r="75" spans="1:16" ht="15.75" thickBot="1" x14ac:dyDescent="0.3">
      <c r="A75" s="229">
        <f t="shared" ref="A75:B75" si="192">A74+1</f>
        <v>4782</v>
      </c>
      <c r="B75" s="230">
        <f t="shared" si="192"/>
        <v>65</v>
      </c>
      <c r="C75" s="218" t="str">
        <f t="shared" si="4"/>
        <v>82bX30_008_060#05</v>
      </c>
      <c r="D75" s="43">
        <f t="shared" ref="D75:F75" si="193">D74</f>
        <v>30</v>
      </c>
      <c r="E75" s="61">
        <f t="shared" si="193"/>
        <v>3.3</v>
      </c>
      <c r="F75" s="44">
        <f t="shared" si="193"/>
        <v>11</v>
      </c>
      <c r="G75" s="44">
        <f t="shared" si="127"/>
        <v>8.8000000000000007</v>
      </c>
      <c r="H75" s="44">
        <f t="shared" si="128"/>
        <v>5.5</v>
      </c>
      <c r="I75" s="44">
        <f t="shared" ref="I75" si="194">I74</f>
        <v>8</v>
      </c>
      <c r="J75" s="45">
        <f t="shared" si="129"/>
        <v>8</v>
      </c>
      <c r="K75" s="37" t="str">
        <f>D75&amp;-5</f>
        <v>30-5</v>
      </c>
      <c r="L75" s="44">
        <f t="shared" ref="L75:P75" si="195">L74</f>
        <v>0.11</v>
      </c>
      <c r="M75" s="49">
        <f t="shared" si="195"/>
        <v>60</v>
      </c>
      <c r="N75" s="44">
        <f t="shared" si="195"/>
        <v>150</v>
      </c>
      <c r="O75" s="44">
        <f t="shared" si="195"/>
        <v>750</v>
      </c>
      <c r="P75" s="45" t="str">
        <f t="shared" si="195"/>
        <v>on</v>
      </c>
    </row>
    <row r="76" spans="1:16" ht="15.75" thickBot="1" x14ac:dyDescent="0.3">
      <c r="A76" s="229">
        <f t="shared" ref="A76:B76" si="196">A75+1</f>
        <v>4783</v>
      </c>
      <c r="B76" s="230">
        <f t="shared" si="196"/>
        <v>66</v>
      </c>
      <c r="C76" s="218" t="str">
        <f t="shared" ref="C76:C82" si="197">TEXT(RIGHT($B$2,LEN($B$2)-3),"000")&amp;"X"&amp;TEXT(D76,"00")&amp;"_"&amp;IF(J76&lt;0,TEXT(360+J76,"000"),TEXT(J76,"000"))&amp;"_"&amp;TEXT(M76,"000")&amp;"#"&amp;TEXT(RIGHT(K76,LEN(K76)-FIND("-",K76)),"00")</f>
        <v>82bX30_008_060#06</v>
      </c>
      <c r="D76" s="43">
        <f t="shared" ref="D76:F76" si="198">D75</f>
        <v>30</v>
      </c>
      <c r="E76" s="61">
        <f t="shared" si="198"/>
        <v>3.3</v>
      </c>
      <c r="F76" s="44">
        <f t="shared" si="198"/>
        <v>11</v>
      </c>
      <c r="G76" s="44">
        <f t="shared" si="127"/>
        <v>8.8000000000000007</v>
      </c>
      <c r="H76" s="44">
        <f t="shared" si="128"/>
        <v>5.5</v>
      </c>
      <c r="I76" s="44">
        <f t="shared" ref="I76" si="199">I75</f>
        <v>8</v>
      </c>
      <c r="J76" s="45">
        <f t="shared" si="129"/>
        <v>8</v>
      </c>
      <c r="K76" s="37" t="str">
        <f>D76&amp;-6</f>
        <v>30-6</v>
      </c>
      <c r="L76" s="44">
        <f t="shared" ref="L76:P76" si="200">L75</f>
        <v>0.11</v>
      </c>
      <c r="M76" s="49">
        <f t="shared" si="200"/>
        <v>60</v>
      </c>
      <c r="N76" s="44">
        <f t="shared" si="200"/>
        <v>150</v>
      </c>
      <c r="O76" s="44">
        <f t="shared" si="200"/>
        <v>750</v>
      </c>
      <c r="P76" s="45" t="str">
        <f t="shared" si="200"/>
        <v>on</v>
      </c>
    </row>
    <row r="77" spans="1:16" ht="15.75" thickBot="1" x14ac:dyDescent="0.3">
      <c r="A77" s="229">
        <f t="shared" ref="A77:B77" si="201">A76+1</f>
        <v>4784</v>
      </c>
      <c r="B77" s="230">
        <f t="shared" si="201"/>
        <v>67</v>
      </c>
      <c r="C77" s="218" t="str">
        <f t="shared" si="197"/>
        <v>82bX30_008_090#01</v>
      </c>
      <c r="D77" s="43">
        <f t="shared" ref="D77:F77" si="202">D76</f>
        <v>30</v>
      </c>
      <c r="E77" s="61">
        <f t="shared" si="202"/>
        <v>3.3</v>
      </c>
      <c r="F77" s="44">
        <f t="shared" si="202"/>
        <v>11</v>
      </c>
      <c r="G77" s="44">
        <f t="shared" si="127"/>
        <v>8.8000000000000007</v>
      </c>
      <c r="H77" s="44">
        <f t="shared" si="128"/>
        <v>5.5</v>
      </c>
      <c r="I77" s="44">
        <f t="shared" ref="I77" si="203">I76</f>
        <v>8</v>
      </c>
      <c r="J77" s="45">
        <f t="shared" si="129"/>
        <v>8</v>
      </c>
      <c r="K77" s="37" t="str">
        <f>D77&amp;-1</f>
        <v>30-1</v>
      </c>
      <c r="L77" s="44">
        <f t="shared" ref="L77" si="204">L76</f>
        <v>0.11</v>
      </c>
      <c r="M77" s="49">
        <v>90</v>
      </c>
      <c r="N77" s="44">
        <f t="shared" ref="N77:P77" si="205">N76</f>
        <v>150</v>
      </c>
      <c r="O77" s="44">
        <f t="shared" si="205"/>
        <v>750</v>
      </c>
      <c r="P77" s="45" t="str">
        <f t="shared" si="205"/>
        <v>on</v>
      </c>
    </row>
    <row r="78" spans="1:16" ht="15.75" thickBot="1" x14ac:dyDescent="0.3">
      <c r="A78" s="229">
        <f t="shared" ref="A78:B78" si="206">A77+1</f>
        <v>4785</v>
      </c>
      <c r="B78" s="230">
        <f t="shared" si="206"/>
        <v>68</v>
      </c>
      <c r="C78" s="218" t="str">
        <f t="shared" si="197"/>
        <v>82bX30_008_090#02</v>
      </c>
      <c r="D78" s="43">
        <f t="shared" ref="D78:F78" si="207">D77</f>
        <v>30</v>
      </c>
      <c r="E78" s="61">
        <f t="shared" si="207"/>
        <v>3.3</v>
      </c>
      <c r="F78" s="44">
        <f t="shared" si="207"/>
        <v>11</v>
      </c>
      <c r="G78" s="44">
        <f t="shared" si="127"/>
        <v>8.8000000000000007</v>
      </c>
      <c r="H78" s="44">
        <f t="shared" si="128"/>
        <v>5.5</v>
      </c>
      <c r="I78" s="44">
        <f t="shared" ref="I78" si="208">I77</f>
        <v>8</v>
      </c>
      <c r="J78" s="45">
        <f t="shared" si="129"/>
        <v>8</v>
      </c>
      <c r="K78" s="37" t="str">
        <f>D78&amp;-2</f>
        <v>30-2</v>
      </c>
      <c r="L78" s="44">
        <f t="shared" ref="L78" si="209">L77</f>
        <v>0.11</v>
      </c>
      <c r="M78" s="49">
        <f>M77</f>
        <v>90</v>
      </c>
      <c r="N78" s="44">
        <f t="shared" ref="N78:P78" si="210">N77</f>
        <v>150</v>
      </c>
      <c r="O78" s="44">
        <f t="shared" si="210"/>
        <v>750</v>
      </c>
      <c r="P78" s="45" t="str">
        <f t="shared" si="210"/>
        <v>on</v>
      </c>
    </row>
    <row r="79" spans="1:16" ht="15.75" thickBot="1" x14ac:dyDescent="0.3">
      <c r="A79" s="229">
        <f t="shared" ref="A79:B79" si="211">A78+1</f>
        <v>4786</v>
      </c>
      <c r="B79" s="230">
        <f t="shared" si="211"/>
        <v>69</v>
      </c>
      <c r="C79" s="218" t="str">
        <f t="shared" si="197"/>
        <v>82bX30_008_090#03</v>
      </c>
      <c r="D79" s="43">
        <f t="shared" ref="D79:F79" si="212">D78</f>
        <v>30</v>
      </c>
      <c r="E79" s="61">
        <f t="shared" si="212"/>
        <v>3.3</v>
      </c>
      <c r="F79" s="44">
        <f t="shared" si="212"/>
        <v>11</v>
      </c>
      <c r="G79" s="44">
        <f t="shared" si="127"/>
        <v>8.8000000000000007</v>
      </c>
      <c r="H79" s="44">
        <f t="shared" si="128"/>
        <v>5.5</v>
      </c>
      <c r="I79" s="44">
        <f t="shared" ref="I79" si="213">I78</f>
        <v>8</v>
      </c>
      <c r="J79" s="45">
        <f t="shared" si="129"/>
        <v>8</v>
      </c>
      <c r="K79" s="37" t="str">
        <f>D79&amp;-3</f>
        <v>30-3</v>
      </c>
      <c r="L79" s="44">
        <f t="shared" ref="L79:P79" si="214">L78</f>
        <v>0.11</v>
      </c>
      <c r="M79" s="49">
        <f t="shared" si="214"/>
        <v>90</v>
      </c>
      <c r="N79" s="44">
        <f t="shared" si="214"/>
        <v>150</v>
      </c>
      <c r="O79" s="44">
        <f t="shared" si="214"/>
        <v>750</v>
      </c>
      <c r="P79" s="45" t="str">
        <f t="shared" si="214"/>
        <v>on</v>
      </c>
    </row>
    <row r="80" spans="1:16" ht="15.75" thickBot="1" x14ac:dyDescent="0.3">
      <c r="A80" s="229">
        <f t="shared" ref="A80:B80" si="215">A79+1</f>
        <v>4787</v>
      </c>
      <c r="B80" s="230">
        <f t="shared" si="215"/>
        <v>70</v>
      </c>
      <c r="C80" s="218" t="str">
        <f t="shared" si="197"/>
        <v>82bX30_008_090#04</v>
      </c>
      <c r="D80" s="43">
        <f t="shared" ref="D80:F80" si="216">D79</f>
        <v>30</v>
      </c>
      <c r="E80" s="61">
        <f t="shared" si="216"/>
        <v>3.3</v>
      </c>
      <c r="F80" s="44">
        <f t="shared" si="216"/>
        <v>11</v>
      </c>
      <c r="G80" s="44">
        <f t="shared" si="127"/>
        <v>8.8000000000000007</v>
      </c>
      <c r="H80" s="44">
        <f t="shared" si="128"/>
        <v>5.5</v>
      </c>
      <c r="I80" s="44">
        <f t="shared" ref="I80" si="217">I79</f>
        <v>8</v>
      </c>
      <c r="J80" s="45">
        <f t="shared" si="129"/>
        <v>8</v>
      </c>
      <c r="K80" s="37" t="str">
        <f>D80&amp;-4</f>
        <v>30-4</v>
      </c>
      <c r="L80" s="44">
        <f t="shared" ref="L80:P80" si="218">L79</f>
        <v>0.11</v>
      </c>
      <c r="M80" s="49">
        <f t="shared" si="218"/>
        <v>90</v>
      </c>
      <c r="N80" s="44">
        <f t="shared" si="218"/>
        <v>150</v>
      </c>
      <c r="O80" s="44">
        <f t="shared" si="218"/>
        <v>750</v>
      </c>
      <c r="P80" s="45" t="str">
        <f t="shared" si="218"/>
        <v>on</v>
      </c>
    </row>
    <row r="81" spans="1:16" ht="15.75" thickBot="1" x14ac:dyDescent="0.3">
      <c r="A81" s="229">
        <f t="shared" ref="A81:B81" si="219">A80+1</f>
        <v>4788</v>
      </c>
      <c r="B81" s="230">
        <f t="shared" si="219"/>
        <v>71</v>
      </c>
      <c r="C81" s="218" t="str">
        <f t="shared" si="197"/>
        <v>82bX30_008_090#05</v>
      </c>
      <c r="D81" s="43">
        <f t="shared" ref="D81:F81" si="220">D80</f>
        <v>30</v>
      </c>
      <c r="E81" s="61">
        <f t="shared" si="220"/>
        <v>3.3</v>
      </c>
      <c r="F81" s="44">
        <f t="shared" si="220"/>
        <v>11</v>
      </c>
      <c r="G81" s="44">
        <f t="shared" si="127"/>
        <v>8.8000000000000007</v>
      </c>
      <c r="H81" s="44">
        <f t="shared" si="128"/>
        <v>5.5</v>
      </c>
      <c r="I81" s="44">
        <f t="shared" ref="I81" si="221">I80</f>
        <v>8</v>
      </c>
      <c r="J81" s="45">
        <f t="shared" si="129"/>
        <v>8</v>
      </c>
      <c r="K81" s="37" t="str">
        <f>D81&amp;-5</f>
        <v>30-5</v>
      </c>
      <c r="L81" s="44">
        <f t="shared" ref="L81:P81" si="222">L80</f>
        <v>0.11</v>
      </c>
      <c r="M81" s="49">
        <f t="shared" si="222"/>
        <v>90</v>
      </c>
      <c r="N81" s="44">
        <f t="shared" si="222"/>
        <v>150</v>
      </c>
      <c r="O81" s="44">
        <f t="shared" si="222"/>
        <v>750</v>
      </c>
      <c r="P81" s="45" t="str">
        <f t="shared" si="222"/>
        <v>on</v>
      </c>
    </row>
    <row r="82" spans="1:16" x14ac:dyDescent="0.25">
      <c r="A82" s="229">
        <f t="shared" ref="A82:B82" si="223">A81+1</f>
        <v>4789</v>
      </c>
      <c r="B82" s="230">
        <f t="shared" si="223"/>
        <v>72</v>
      </c>
      <c r="C82" s="218" t="str">
        <f t="shared" si="197"/>
        <v>82bX30_008_090#06</v>
      </c>
      <c r="D82" s="43">
        <f t="shared" ref="D82:F82" si="224">D81</f>
        <v>30</v>
      </c>
      <c r="E82" s="61">
        <f t="shared" si="224"/>
        <v>3.3</v>
      </c>
      <c r="F82" s="44">
        <f t="shared" si="224"/>
        <v>11</v>
      </c>
      <c r="G82" s="44">
        <f t="shared" si="127"/>
        <v>8.8000000000000007</v>
      </c>
      <c r="H82" s="44">
        <f t="shared" si="128"/>
        <v>5.5</v>
      </c>
      <c r="I82" s="44">
        <f t="shared" ref="I82" si="225">I81</f>
        <v>8</v>
      </c>
      <c r="J82" s="45">
        <f t="shared" si="129"/>
        <v>8</v>
      </c>
      <c r="K82" s="37" t="str">
        <f>D82&amp;-6</f>
        <v>30-6</v>
      </c>
      <c r="L82" s="44">
        <f t="shared" ref="L82:P82" si="226">L81</f>
        <v>0.11</v>
      </c>
      <c r="M82" s="49">
        <f t="shared" si="226"/>
        <v>90</v>
      </c>
      <c r="N82" s="44">
        <f t="shared" si="226"/>
        <v>150</v>
      </c>
      <c r="O82" s="44">
        <f t="shared" si="226"/>
        <v>750</v>
      </c>
      <c r="P82" s="45" t="str">
        <f t="shared" si="226"/>
        <v>on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B2:E9"/>
  <sheetViews>
    <sheetView zoomScale="85" zoomScaleNormal="85" workbookViewId="0">
      <selection activeCell="H19" sqref="H19"/>
    </sheetView>
  </sheetViews>
  <sheetFormatPr defaultRowHeight="13.5" x14ac:dyDescent="0.15"/>
  <sheetData>
    <row r="2" spans="2:5" ht="15" x14ac:dyDescent="0.15">
      <c r="B2" s="22" t="s">
        <v>129</v>
      </c>
      <c r="C2" s="22"/>
      <c r="D2" s="22"/>
      <c r="E2" s="22"/>
    </row>
    <row r="3" spans="2:5" ht="15" x14ac:dyDescent="0.15">
      <c r="B3" s="22" t="s">
        <v>88</v>
      </c>
      <c r="C3" s="22"/>
      <c r="D3" s="22"/>
      <c r="E3" s="22" t="s">
        <v>130</v>
      </c>
    </row>
    <row r="4" spans="2:5" ht="15" x14ac:dyDescent="0.15">
      <c r="B4" s="22" t="s">
        <v>89</v>
      </c>
      <c r="C4" s="22"/>
      <c r="D4" s="22"/>
      <c r="E4" s="22" t="s">
        <v>243</v>
      </c>
    </row>
    <row r="5" spans="2:5" ht="15" x14ac:dyDescent="0.15">
      <c r="B5" s="22" t="s">
        <v>91</v>
      </c>
      <c r="C5" s="22"/>
      <c r="D5" s="22"/>
      <c r="E5" s="22" t="s">
        <v>99</v>
      </c>
    </row>
    <row r="6" spans="2:5" ht="15" x14ac:dyDescent="0.15">
      <c r="B6" s="22" t="s">
        <v>93</v>
      </c>
      <c r="C6" s="22"/>
      <c r="D6" s="22"/>
      <c r="E6" s="22" t="s">
        <v>106</v>
      </c>
    </row>
    <row r="9" spans="2:5" ht="15" x14ac:dyDescent="0.15">
      <c r="B9" s="22" t="s">
        <v>244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X148"/>
  <sheetViews>
    <sheetView topLeftCell="A135" zoomScale="85" zoomScaleNormal="85" workbookViewId="0">
      <selection activeCell="D126" sqref="D126"/>
    </sheetView>
  </sheetViews>
  <sheetFormatPr defaultColWidth="9" defaultRowHeight="15" x14ac:dyDescent="0.15"/>
  <cols>
    <col min="1" max="1" width="7" style="23" customWidth="1"/>
    <col min="2" max="2" width="6.875" style="23" customWidth="1"/>
    <col min="3" max="3" width="17.375" style="23" customWidth="1"/>
    <col min="4" max="6" width="7.375" style="23" customWidth="1"/>
    <col min="7" max="7" width="7.875" style="23" customWidth="1"/>
    <col min="8" max="8" width="10" style="23" customWidth="1"/>
    <col min="9" max="10" width="6.375" style="23" customWidth="1"/>
    <col min="11" max="16384" width="9" style="23"/>
  </cols>
  <sheetData>
    <row r="1" spans="1:24" x14ac:dyDescent="0.15">
      <c r="H1" s="22" t="s">
        <v>135</v>
      </c>
      <c r="I1" s="22" t="s">
        <v>1029</v>
      </c>
    </row>
    <row r="2" spans="1:24" x14ac:dyDescent="0.15">
      <c r="B2" s="22" t="s">
        <v>1008</v>
      </c>
      <c r="C2" s="22"/>
      <c r="D2" s="22"/>
      <c r="E2" s="22"/>
      <c r="H2" s="22"/>
      <c r="I2" s="22" t="s">
        <v>162</v>
      </c>
    </row>
    <row r="3" spans="1:24" x14ac:dyDescent="0.15">
      <c r="B3" s="22" t="s">
        <v>88</v>
      </c>
      <c r="C3" s="22"/>
      <c r="D3" s="22"/>
      <c r="E3" s="22" t="s">
        <v>95</v>
      </c>
      <c r="H3" s="22"/>
      <c r="I3" s="22" t="s">
        <v>136</v>
      </c>
    </row>
    <row r="4" spans="1:24" x14ac:dyDescent="0.15">
      <c r="B4" s="22" t="s">
        <v>89</v>
      </c>
      <c r="C4" s="22"/>
      <c r="D4" s="22"/>
      <c r="E4" s="22" t="s">
        <v>1031</v>
      </c>
      <c r="H4" s="22"/>
      <c r="I4" s="22" t="s">
        <v>923</v>
      </c>
    </row>
    <row r="5" spans="1:24" x14ac:dyDescent="0.15">
      <c r="B5" s="22" t="s">
        <v>91</v>
      </c>
      <c r="C5" s="22"/>
      <c r="D5" s="22"/>
      <c r="E5" s="22" t="s">
        <v>890</v>
      </c>
    </row>
    <row r="6" spans="1:24" x14ac:dyDescent="0.15">
      <c r="B6" s="22" t="s">
        <v>93</v>
      </c>
      <c r="C6" s="22"/>
      <c r="D6" s="22"/>
      <c r="E6" s="22" t="s">
        <v>891</v>
      </c>
    </row>
    <row r="7" spans="1:24" x14ac:dyDescent="0.1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</row>
    <row r="8" spans="1:24" ht="15.75" thickBot="1" x14ac:dyDescent="0.2">
      <c r="A8" s="46"/>
      <c r="B8" s="46"/>
      <c r="C8" s="46"/>
      <c r="D8" s="46"/>
      <c r="E8" s="46"/>
      <c r="F8" s="46"/>
      <c r="G8" s="46"/>
      <c r="H8" s="46"/>
      <c r="I8" s="46"/>
      <c r="J8" s="46"/>
      <c r="P8" s="273" t="s">
        <v>249</v>
      </c>
      <c r="Q8" s="274"/>
      <c r="R8" s="274"/>
      <c r="S8" s="274"/>
      <c r="T8" s="274"/>
      <c r="U8" s="274"/>
      <c r="V8" s="275"/>
      <c r="W8" s="217"/>
      <c r="X8" s="217"/>
    </row>
    <row r="9" spans="1:24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140</v>
      </c>
      <c r="K9" s="26" t="s">
        <v>3</v>
      </c>
      <c r="L9" s="25" t="s">
        <v>141</v>
      </c>
      <c r="M9" s="27" t="s">
        <v>138</v>
      </c>
      <c r="N9" s="27" t="s">
        <v>139</v>
      </c>
      <c r="P9" s="28" t="s">
        <v>77</v>
      </c>
      <c r="Q9" s="28" t="s">
        <v>78</v>
      </c>
      <c r="R9" s="28" t="s">
        <v>79</v>
      </c>
      <c r="S9" s="28" t="s">
        <v>80</v>
      </c>
      <c r="T9" s="28" t="s">
        <v>81</v>
      </c>
      <c r="U9" s="28" t="s">
        <v>82</v>
      </c>
      <c r="V9" s="28" t="s">
        <v>250</v>
      </c>
      <c r="W9" s="217"/>
      <c r="X9" s="217"/>
    </row>
    <row r="10" spans="1:24" ht="15.75" thickBot="1" x14ac:dyDescent="0.3">
      <c r="A10" s="29" t="s">
        <v>76</v>
      </c>
      <c r="B10" s="30" t="str">
        <f>B2</f>
        <v>DLC91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32" t="s">
        <v>7</v>
      </c>
      <c r="N10" s="32" t="s">
        <v>7</v>
      </c>
      <c r="P10" s="207" t="s">
        <v>83</v>
      </c>
      <c r="Q10" s="28" t="s">
        <v>83</v>
      </c>
      <c r="R10" s="28" t="s">
        <v>76</v>
      </c>
      <c r="S10" s="28" t="s">
        <v>76</v>
      </c>
      <c r="T10" s="28" t="s">
        <v>76</v>
      </c>
      <c r="U10" s="28" t="s">
        <v>84</v>
      </c>
      <c r="V10" s="28" t="s">
        <v>251</v>
      </c>
      <c r="W10" s="217"/>
      <c r="X10" s="217"/>
    </row>
    <row r="11" spans="1:24" ht="15.75" thickBot="1" x14ac:dyDescent="0.3">
      <c r="A11" s="218">
        <f>[3]DLC15b!A106+1</f>
        <v>1123</v>
      </c>
      <c r="B11" s="221">
        <v>1</v>
      </c>
      <c r="C11" s="218" t="str">
        <f>TEXT(RIGHT($B$2,LEN($B$2)-3),"000")&amp;"_"&amp;TEXT(D11,"00")&amp;"-"&amp;IF(J11&lt;0,TEXT(360+J11,"000"),TEXT(J11,"000"))&amp;"_"&amp;"000"&amp;"_"&amp;TEXT(RIGHT(K11,LEN(K11)-FIND("-",K11)),"00")</f>
        <v>091_03-352_000_01</v>
      </c>
      <c r="D11" s="226">
        <f>v_in</f>
        <v>3</v>
      </c>
      <c r="E11" s="238">
        <f t="shared" ref="E11:E74" si="0">I_ref*(0.75*D11+5.6)</f>
        <v>1.099</v>
      </c>
      <c r="F11" s="227">
        <f>E11/D11*100</f>
        <v>36.633333333333333</v>
      </c>
      <c r="G11" s="227">
        <f t="shared" ref="G11:G74" si="1">m_ty*F11</f>
        <v>29.306666666666668</v>
      </c>
      <c r="H11" s="227">
        <f t="shared" ref="H11:H74" si="2">m_tz*F11</f>
        <v>18.316666666666666</v>
      </c>
      <c r="I11" s="227">
        <f>inflow</f>
        <v>8</v>
      </c>
      <c r="J11" s="193">
        <f>yaw_min</f>
        <v>-8</v>
      </c>
      <c r="K11" s="228" t="str">
        <f>D11&amp;-1</f>
        <v>3-1</v>
      </c>
      <c r="L11" s="227">
        <f>alpha_n</f>
        <v>0.2</v>
      </c>
      <c r="M11" s="232">
        <f>t_out</f>
        <v>150</v>
      </c>
      <c r="N11" s="232">
        <f>M11+T_s1</f>
        <v>750</v>
      </c>
      <c r="O11" s="217"/>
      <c r="P11" s="38">
        <f>v_in</f>
        <v>3</v>
      </c>
      <c r="Q11" s="38">
        <f>P11+V_step_12/2</f>
        <v>3.5</v>
      </c>
      <c r="R11" s="39">
        <f t="shared" ref="R11:S42" si="3">IF(wpd="Rayleigh",1-EXP(-PI()*((P11/2/v_ave)^2)),IF(wpd="Weibull",1-EXP(-((P11/weibull_A)^weibull_K))))</f>
        <v>0.11808862170182366</v>
      </c>
      <c r="S11" s="39">
        <f t="shared" si="3"/>
        <v>0.15721404905831127</v>
      </c>
      <c r="T11" s="39">
        <f>S11-R11</f>
        <v>3.9125427356487608E-2</v>
      </c>
      <c r="U11" s="40">
        <f t="shared" ref="U11:U42" si="4">T11*H_ice/6</f>
        <v>0</v>
      </c>
      <c r="V11" s="40" t="s">
        <v>125</v>
      </c>
      <c r="W11" s="217">
        <f>U11*20</f>
        <v>0</v>
      </c>
      <c r="X11" s="176">
        <f>W11/(N11-M11)*3600</f>
        <v>0</v>
      </c>
    </row>
    <row r="12" spans="1:24" ht="15.75" thickBot="1" x14ac:dyDescent="0.3">
      <c r="A12" s="229">
        <f>A11+1</f>
        <v>1124</v>
      </c>
      <c r="B12" s="230">
        <f>B11+1</f>
        <v>2</v>
      </c>
      <c r="C12" s="218" t="str">
        <f t="shared" ref="C12:C75" si="5">TEXT(RIGHT($B$2,LEN($B$2)-3),"000")&amp;"_"&amp;TEXT(D12,"00")&amp;"-"&amp;IF(J12&lt;0,TEXT(360+J12,"000"),TEXT(J12,"000"))&amp;"_"&amp;"000"&amp;"_"&amp;TEXT(RIGHT(K12,LEN(K12)-FIND("-",K12)),"00")</f>
        <v>091_03-352_000_02</v>
      </c>
      <c r="D12" s="231">
        <f>D11</f>
        <v>3</v>
      </c>
      <c r="E12" s="239">
        <f t="shared" si="0"/>
        <v>1.099</v>
      </c>
      <c r="F12" s="232">
        <f>E12/D12*100</f>
        <v>36.633333333333333</v>
      </c>
      <c r="G12" s="232">
        <f t="shared" si="1"/>
        <v>29.306666666666668</v>
      </c>
      <c r="H12" s="232">
        <f t="shared" si="2"/>
        <v>18.316666666666666</v>
      </c>
      <c r="I12" s="232">
        <f>I11</f>
        <v>8</v>
      </c>
      <c r="J12" s="233">
        <f>yaw_min</f>
        <v>-8</v>
      </c>
      <c r="K12" s="228" t="str">
        <f>D12&amp;-2</f>
        <v>3-2</v>
      </c>
      <c r="L12" s="232">
        <f>L11</f>
        <v>0.2</v>
      </c>
      <c r="M12" s="232">
        <f>M11</f>
        <v>150</v>
      </c>
      <c r="N12" s="232">
        <f>N11</f>
        <v>750</v>
      </c>
      <c r="O12" s="217"/>
      <c r="P12" s="38">
        <f>P11</f>
        <v>3</v>
      </c>
      <c r="Q12" s="38">
        <f>Q11</f>
        <v>3.5</v>
      </c>
      <c r="R12" s="39">
        <f t="shared" si="3"/>
        <v>0.11808862170182366</v>
      </c>
      <c r="S12" s="39">
        <f t="shared" si="3"/>
        <v>0.15721404905831127</v>
      </c>
      <c r="T12" s="39">
        <f t="shared" ref="T12:T75" si="6">S12-R12</f>
        <v>3.9125427356487608E-2</v>
      </c>
      <c r="U12" s="40">
        <f t="shared" si="4"/>
        <v>0</v>
      </c>
      <c r="V12" s="40" t="str">
        <f>V11</f>
        <v>H</v>
      </c>
      <c r="W12" s="217">
        <f t="shared" ref="W12:W75" si="7">U12*20</f>
        <v>0</v>
      </c>
      <c r="X12" s="176">
        <f t="shared" ref="X12:X75" si="8">W12/(N12-M12)*3600</f>
        <v>0</v>
      </c>
    </row>
    <row r="13" spans="1:24" ht="15.75" thickBot="1" x14ac:dyDescent="0.3">
      <c r="A13" s="229">
        <f t="shared" ref="A13:B28" si="9">A12+1</f>
        <v>1125</v>
      </c>
      <c r="B13" s="230">
        <f t="shared" si="9"/>
        <v>3</v>
      </c>
      <c r="C13" s="218" t="str">
        <f t="shared" si="5"/>
        <v>091_03-000_000_03</v>
      </c>
      <c r="D13" s="231">
        <f t="shared" ref="D13:D16" si="10">D12</f>
        <v>3</v>
      </c>
      <c r="E13" s="239">
        <f t="shared" si="0"/>
        <v>1.099</v>
      </c>
      <c r="F13" s="232">
        <f t="shared" ref="F13:F34" si="11">E13/D13*100</f>
        <v>36.633333333333333</v>
      </c>
      <c r="G13" s="232">
        <f t="shared" si="1"/>
        <v>29.306666666666668</v>
      </c>
      <c r="H13" s="232">
        <f t="shared" si="2"/>
        <v>18.316666666666666</v>
      </c>
      <c r="I13" s="232">
        <f t="shared" ref="I13:I76" si="12">I12</f>
        <v>8</v>
      </c>
      <c r="J13" s="233">
        <f>yaw_null</f>
        <v>0</v>
      </c>
      <c r="K13" s="228" t="str">
        <f>D13&amp;-3</f>
        <v>3-3</v>
      </c>
      <c r="L13" s="232">
        <f t="shared" ref="L13:N28" si="13">L12</f>
        <v>0.2</v>
      </c>
      <c r="M13" s="232">
        <f t="shared" si="13"/>
        <v>150</v>
      </c>
      <c r="N13" s="232">
        <f t="shared" si="13"/>
        <v>750</v>
      </c>
      <c r="O13" s="217"/>
      <c r="P13" s="38">
        <f t="shared" ref="P13:Q16" si="14">P12</f>
        <v>3</v>
      </c>
      <c r="Q13" s="38">
        <f t="shared" si="14"/>
        <v>3.5</v>
      </c>
      <c r="R13" s="39">
        <f t="shared" si="3"/>
        <v>0.11808862170182366</v>
      </c>
      <c r="S13" s="39">
        <f t="shared" si="3"/>
        <v>0.15721404905831127</v>
      </c>
      <c r="T13" s="39">
        <f t="shared" si="6"/>
        <v>3.9125427356487608E-2</v>
      </c>
      <c r="U13" s="40">
        <f t="shared" si="4"/>
        <v>0</v>
      </c>
      <c r="V13" s="40" t="str">
        <f t="shared" ref="V13:V76" si="15">V12</f>
        <v>H</v>
      </c>
      <c r="W13" s="217">
        <f t="shared" si="7"/>
        <v>0</v>
      </c>
      <c r="X13" s="176">
        <f t="shared" si="8"/>
        <v>0</v>
      </c>
    </row>
    <row r="14" spans="1:24" ht="15.75" thickBot="1" x14ac:dyDescent="0.3">
      <c r="A14" s="229">
        <f t="shared" si="9"/>
        <v>1126</v>
      </c>
      <c r="B14" s="230">
        <f t="shared" si="9"/>
        <v>4</v>
      </c>
      <c r="C14" s="218" t="str">
        <f t="shared" si="5"/>
        <v>091_03-000_000_04</v>
      </c>
      <c r="D14" s="231">
        <f t="shared" si="10"/>
        <v>3</v>
      </c>
      <c r="E14" s="239">
        <f t="shared" si="0"/>
        <v>1.099</v>
      </c>
      <c r="F14" s="232">
        <f t="shared" si="11"/>
        <v>36.633333333333333</v>
      </c>
      <c r="G14" s="232">
        <f t="shared" si="1"/>
        <v>29.306666666666668</v>
      </c>
      <c r="H14" s="232">
        <f t="shared" si="2"/>
        <v>18.316666666666666</v>
      </c>
      <c r="I14" s="232">
        <f t="shared" si="12"/>
        <v>8</v>
      </c>
      <c r="J14" s="233">
        <f>yaw_null</f>
        <v>0</v>
      </c>
      <c r="K14" s="228" t="str">
        <f>D14&amp;-4</f>
        <v>3-4</v>
      </c>
      <c r="L14" s="232">
        <f t="shared" si="13"/>
        <v>0.2</v>
      </c>
      <c r="M14" s="232">
        <f t="shared" si="13"/>
        <v>150</v>
      </c>
      <c r="N14" s="232">
        <f t="shared" si="13"/>
        <v>750</v>
      </c>
      <c r="O14" s="217"/>
      <c r="P14" s="38">
        <f t="shared" si="14"/>
        <v>3</v>
      </c>
      <c r="Q14" s="38">
        <f t="shared" si="14"/>
        <v>3.5</v>
      </c>
      <c r="R14" s="39">
        <f t="shared" si="3"/>
        <v>0.11808862170182366</v>
      </c>
      <c r="S14" s="39">
        <f t="shared" si="3"/>
        <v>0.15721404905831127</v>
      </c>
      <c r="T14" s="39">
        <f t="shared" si="6"/>
        <v>3.9125427356487608E-2</v>
      </c>
      <c r="U14" s="40">
        <f t="shared" si="4"/>
        <v>0</v>
      </c>
      <c r="V14" s="40" t="str">
        <f t="shared" si="15"/>
        <v>H</v>
      </c>
      <c r="W14" s="217">
        <f t="shared" si="7"/>
        <v>0</v>
      </c>
      <c r="X14" s="176">
        <f t="shared" si="8"/>
        <v>0</v>
      </c>
    </row>
    <row r="15" spans="1:24" ht="15.75" thickBot="1" x14ac:dyDescent="0.3">
      <c r="A15" s="229">
        <f t="shared" si="9"/>
        <v>1127</v>
      </c>
      <c r="B15" s="230">
        <f t="shared" si="9"/>
        <v>5</v>
      </c>
      <c r="C15" s="218" t="str">
        <f t="shared" si="5"/>
        <v>091_03-008_000_05</v>
      </c>
      <c r="D15" s="231">
        <f t="shared" si="10"/>
        <v>3</v>
      </c>
      <c r="E15" s="239">
        <f t="shared" si="0"/>
        <v>1.099</v>
      </c>
      <c r="F15" s="232">
        <f t="shared" si="11"/>
        <v>36.633333333333333</v>
      </c>
      <c r="G15" s="232">
        <f t="shared" si="1"/>
        <v>29.306666666666668</v>
      </c>
      <c r="H15" s="232">
        <f t="shared" si="2"/>
        <v>18.316666666666666</v>
      </c>
      <c r="I15" s="232">
        <f t="shared" si="12"/>
        <v>8</v>
      </c>
      <c r="J15" s="233">
        <f>yaw_max</f>
        <v>8</v>
      </c>
      <c r="K15" s="228" t="str">
        <f>D15&amp;-5</f>
        <v>3-5</v>
      </c>
      <c r="L15" s="232">
        <f t="shared" si="13"/>
        <v>0.2</v>
      </c>
      <c r="M15" s="232">
        <f t="shared" si="13"/>
        <v>150</v>
      </c>
      <c r="N15" s="232">
        <f t="shared" si="13"/>
        <v>750</v>
      </c>
      <c r="O15" s="217"/>
      <c r="P15" s="38">
        <f t="shared" si="14"/>
        <v>3</v>
      </c>
      <c r="Q15" s="38">
        <f t="shared" si="14"/>
        <v>3.5</v>
      </c>
      <c r="R15" s="39">
        <f t="shared" si="3"/>
        <v>0.11808862170182366</v>
      </c>
      <c r="S15" s="39">
        <f t="shared" si="3"/>
        <v>0.15721404905831127</v>
      </c>
      <c r="T15" s="39">
        <f t="shared" si="6"/>
        <v>3.9125427356487608E-2</v>
      </c>
      <c r="U15" s="40">
        <f t="shared" si="4"/>
        <v>0</v>
      </c>
      <c r="V15" s="40" t="str">
        <f t="shared" si="15"/>
        <v>H</v>
      </c>
      <c r="W15" s="217">
        <f t="shared" si="7"/>
        <v>0</v>
      </c>
      <c r="X15" s="176">
        <f t="shared" si="8"/>
        <v>0</v>
      </c>
    </row>
    <row r="16" spans="1:24" ht="15.75" thickBot="1" x14ac:dyDescent="0.3">
      <c r="A16" s="229">
        <f t="shared" si="9"/>
        <v>1128</v>
      </c>
      <c r="B16" s="230">
        <f t="shared" si="9"/>
        <v>6</v>
      </c>
      <c r="C16" s="218" t="str">
        <f t="shared" si="5"/>
        <v>091_03-008_000_06</v>
      </c>
      <c r="D16" s="231">
        <f t="shared" si="10"/>
        <v>3</v>
      </c>
      <c r="E16" s="239">
        <f t="shared" si="0"/>
        <v>1.099</v>
      </c>
      <c r="F16" s="232">
        <f t="shared" si="11"/>
        <v>36.633333333333333</v>
      </c>
      <c r="G16" s="232">
        <f t="shared" si="1"/>
        <v>29.306666666666668</v>
      </c>
      <c r="H16" s="232">
        <f t="shared" si="2"/>
        <v>18.316666666666666</v>
      </c>
      <c r="I16" s="232">
        <f t="shared" si="12"/>
        <v>8</v>
      </c>
      <c r="J16" s="233">
        <f>yaw_max</f>
        <v>8</v>
      </c>
      <c r="K16" s="228" t="str">
        <f>D16&amp;-6</f>
        <v>3-6</v>
      </c>
      <c r="L16" s="232">
        <f t="shared" si="13"/>
        <v>0.2</v>
      </c>
      <c r="M16" s="232">
        <f t="shared" si="13"/>
        <v>150</v>
      </c>
      <c r="N16" s="232">
        <f t="shared" si="13"/>
        <v>750</v>
      </c>
      <c r="O16" s="217"/>
      <c r="P16" s="38">
        <f t="shared" si="14"/>
        <v>3</v>
      </c>
      <c r="Q16" s="38">
        <f t="shared" si="14"/>
        <v>3.5</v>
      </c>
      <c r="R16" s="39">
        <f t="shared" si="3"/>
        <v>0.11808862170182366</v>
      </c>
      <c r="S16" s="39">
        <f t="shared" si="3"/>
        <v>0.15721404905831127</v>
      </c>
      <c r="T16" s="39">
        <f t="shared" si="6"/>
        <v>3.9125427356487608E-2</v>
      </c>
      <c r="U16" s="40">
        <f t="shared" si="4"/>
        <v>0</v>
      </c>
      <c r="V16" s="40" t="str">
        <f t="shared" si="15"/>
        <v>H</v>
      </c>
      <c r="W16" s="217">
        <f t="shared" si="7"/>
        <v>0</v>
      </c>
      <c r="X16" s="176">
        <f t="shared" si="8"/>
        <v>0</v>
      </c>
    </row>
    <row r="17" spans="1:24" ht="15.75" thickBot="1" x14ac:dyDescent="0.3">
      <c r="A17" s="229">
        <f t="shared" si="9"/>
        <v>1129</v>
      </c>
      <c r="B17" s="230">
        <f t="shared" si="9"/>
        <v>7</v>
      </c>
      <c r="C17" s="218" t="str">
        <f t="shared" si="5"/>
        <v>091_04-352_000_01</v>
      </c>
      <c r="D17" s="231">
        <f>D11+V_step_12</f>
        <v>4</v>
      </c>
      <c r="E17" s="239">
        <f t="shared" si="0"/>
        <v>1.204</v>
      </c>
      <c r="F17" s="232">
        <f t="shared" si="11"/>
        <v>30.099999999999998</v>
      </c>
      <c r="G17" s="232">
        <f t="shared" si="1"/>
        <v>24.08</v>
      </c>
      <c r="H17" s="232">
        <f t="shared" si="2"/>
        <v>15.049999999999999</v>
      </c>
      <c r="I17" s="232">
        <f t="shared" si="12"/>
        <v>8</v>
      </c>
      <c r="J17" s="233">
        <f>yaw_min</f>
        <v>-8</v>
      </c>
      <c r="K17" s="228" t="str">
        <f>D17&amp;-1</f>
        <v>4-1</v>
      </c>
      <c r="L17" s="232">
        <f t="shared" si="13"/>
        <v>0.2</v>
      </c>
      <c r="M17" s="232">
        <f t="shared" si="13"/>
        <v>150</v>
      </c>
      <c r="N17" s="232">
        <f t="shared" si="13"/>
        <v>750</v>
      </c>
      <c r="O17" s="217"/>
      <c r="P17" s="38">
        <f t="shared" ref="P17:P80" si="16">D17-V_step_12/2</f>
        <v>3.5</v>
      </c>
      <c r="Q17" s="38">
        <f t="shared" ref="Q17:Q80" si="17">P17+V_step_12</f>
        <v>4.5</v>
      </c>
      <c r="R17" s="39">
        <f t="shared" si="3"/>
        <v>0.15721404905831127</v>
      </c>
      <c r="S17" s="39">
        <f t="shared" si="3"/>
        <v>0.24628678804353288</v>
      </c>
      <c r="T17" s="39">
        <f t="shared" si="6"/>
        <v>8.9072738985221611E-2</v>
      </c>
      <c r="U17" s="40">
        <f t="shared" si="4"/>
        <v>0</v>
      </c>
      <c r="V17" s="40" t="str">
        <f t="shared" si="15"/>
        <v>H</v>
      </c>
      <c r="W17" s="217">
        <f t="shared" si="7"/>
        <v>0</v>
      </c>
      <c r="X17" s="176">
        <f t="shared" si="8"/>
        <v>0</v>
      </c>
    </row>
    <row r="18" spans="1:24" ht="15.75" thickBot="1" x14ac:dyDescent="0.3">
      <c r="A18" s="229">
        <f t="shared" si="9"/>
        <v>1130</v>
      </c>
      <c r="B18" s="230">
        <f t="shared" si="9"/>
        <v>8</v>
      </c>
      <c r="C18" s="218" t="str">
        <f t="shared" si="5"/>
        <v>091_04-352_000_02</v>
      </c>
      <c r="D18" s="231">
        <f>D17</f>
        <v>4</v>
      </c>
      <c r="E18" s="239">
        <f t="shared" si="0"/>
        <v>1.204</v>
      </c>
      <c r="F18" s="232">
        <f t="shared" si="11"/>
        <v>30.099999999999998</v>
      </c>
      <c r="G18" s="232">
        <f t="shared" si="1"/>
        <v>24.08</v>
      </c>
      <c r="H18" s="232">
        <f t="shared" si="2"/>
        <v>15.049999999999999</v>
      </c>
      <c r="I18" s="232">
        <f t="shared" si="12"/>
        <v>8</v>
      </c>
      <c r="J18" s="233">
        <f>yaw_min</f>
        <v>-8</v>
      </c>
      <c r="K18" s="228" t="str">
        <f>D18&amp;-2</f>
        <v>4-2</v>
      </c>
      <c r="L18" s="232">
        <f t="shared" si="13"/>
        <v>0.2</v>
      </c>
      <c r="M18" s="232">
        <f t="shared" si="13"/>
        <v>150</v>
      </c>
      <c r="N18" s="232">
        <f t="shared" si="13"/>
        <v>750</v>
      </c>
      <c r="O18" s="217"/>
      <c r="P18" s="38">
        <f t="shared" si="16"/>
        <v>3.5</v>
      </c>
      <c r="Q18" s="38">
        <f t="shared" si="17"/>
        <v>4.5</v>
      </c>
      <c r="R18" s="39">
        <f t="shared" si="3"/>
        <v>0.15721404905831127</v>
      </c>
      <c r="S18" s="39">
        <f t="shared" si="3"/>
        <v>0.24628678804353288</v>
      </c>
      <c r="T18" s="39">
        <f t="shared" si="6"/>
        <v>8.9072738985221611E-2</v>
      </c>
      <c r="U18" s="40">
        <f t="shared" si="4"/>
        <v>0</v>
      </c>
      <c r="V18" s="40" t="str">
        <f t="shared" si="15"/>
        <v>H</v>
      </c>
      <c r="W18" s="217">
        <f t="shared" si="7"/>
        <v>0</v>
      </c>
      <c r="X18" s="176">
        <f t="shared" si="8"/>
        <v>0</v>
      </c>
    </row>
    <row r="19" spans="1:24" ht="15.75" thickBot="1" x14ac:dyDescent="0.3">
      <c r="A19" s="229">
        <f t="shared" si="9"/>
        <v>1131</v>
      </c>
      <c r="B19" s="230">
        <f t="shared" si="9"/>
        <v>9</v>
      </c>
      <c r="C19" s="218" t="str">
        <f t="shared" si="5"/>
        <v>091_04-000_000_03</v>
      </c>
      <c r="D19" s="231">
        <f t="shared" ref="D19:D22" si="18">D18</f>
        <v>4</v>
      </c>
      <c r="E19" s="239">
        <f t="shared" si="0"/>
        <v>1.204</v>
      </c>
      <c r="F19" s="232">
        <f t="shared" si="11"/>
        <v>30.099999999999998</v>
      </c>
      <c r="G19" s="232">
        <f t="shared" si="1"/>
        <v>24.08</v>
      </c>
      <c r="H19" s="232">
        <f t="shared" si="2"/>
        <v>15.049999999999999</v>
      </c>
      <c r="I19" s="232">
        <f t="shared" si="12"/>
        <v>8</v>
      </c>
      <c r="J19" s="233">
        <f>yaw_null</f>
        <v>0</v>
      </c>
      <c r="K19" s="228" t="str">
        <f>D19&amp;-3</f>
        <v>4-3</v>
      </c>
      <c r="L19" s="232">
        <f t="shared" si="13"/>
        <v>0.2</v>
      </c>
      <c r="M19" s="232">
        <f t="shared" si="13"/>
        <v>150</v>
      </c>
      <c r="N19" s="232">
        <f t="shared" si="13"/>
        <v>750</v>
      </c>
      <c r="O19" s="217"/>
      <c r="P19" s="38">
        <f t="shared" si="16"/>
        <v>3.5</v>
      </c>
      <c r="Q19" s="38">
        <f t="shared" si="17"/>
        <v>4.5</v>
      </c>
      <c r="R19" s="39">
        <f t="shared" si="3"/>
        <v>0.15721404905831127</v>
      </c>
      <c r="S19" s="39">
        <f t="shared" si="3"/>
        <v>0.24628678804353288</v>
      </c>
      <c r="T19" s="39">
        <f t="shared" si="6"/>
        <v>8.9072738985221611E-2</v>
      </c>
      <c r="U19" s="40">
        <f t="shared" si="4"/>
        <v>0</v>
      </c>
      <c r="V19" s="40" t="str">
        <f t="shared" si="15"/>
        <v>H</v>
      </c>
      <c r="W19" s="217">
        <f t="shared" si="7"/>
        <v>0</v>
      </c>
      <c r="X19" s="176">
        <f t="shared" si="8"/>
        <v>0</v>
      </c>
    </row>
    <row r="20" spans="1:24" ht="15.75" thickBot="1" x14ac:dyDescent="0.3">
      <c r="A20" s="229">
        <f t="shared" si="9"/>
        <v>1132</v>
      </c>
      <c r="B20" s="230">
        <f t="shared" si="9"/>
        <v>10</v>
      </c>
      <c r="C20" s="218" t="str">
        <f t="shared" si="5"/>
        <v>091_04-000_000_04</v>
      </c>
      <c r="D20" s="231">
        <f t="shared" si="18"/>
        <v>4</v>
      </c>
      <c r="E20" s="239">
        <f t="shared" si="0"/>
        <v>1.204</v>
      </c>
      <c r="F20" s="232">
        <f t="shared" si="11"/>
        <v>30.099999999999998</v>
      </c>
      <c r="G20" s="232">
        <f t="shared" si="1"/>
        <v>24.08</v>
      </c>
      <c r="H20" s="232">
        <f t="shared" si="2"/>
        <v>15.049999999999999</v>
      </c>
      <c r="I20" s="232">
        <f t="shared" si="12"/>
        <v>8</v>
      </c>
      <c r="J20" s="233">
        <f>yaw_null</f>
        <v>0</v>
      </c>
      <c r="K20" s="228" t="str">
        <f>D20&amp;-4</f>
        <v>4-4</v>
      </c>
      <c r="L20" s="232">
        <f t="shared" si="13"/>
        <v>0.2</v>
      </c>
      <c r="M20" s="232">
        <f t="shared" si="13"/>
        <v>150</v>
      </c>
      <c r="N20" s="232">
        <f t="shared" si="13"/>
        <v>750</v>
      </c>
      <c r="O20" s="217"/>
      <c r="P20" s="38">
        <f t="shared" si="16"/>
        <v>3.5</v>
      </c>
      <c r="Q20" s="38">
        <f t="shared" si="17"/>
        <v>4.5</v>
      </c>
      <c r="R20" s="39">
        <f t="shared" si="3"/>
        <v>0.15721404905831127</v>
      </c>
      <c r="S20" s="39">
        <f t="shared" si="3"/>
        <v>0.24628678804353288</v>
      </c>
      <c r="T20" s="39">
        <f t="shared" si="6"/>
        <v>8.9072738985221611E-2</v>
      </c>
      <c r="U20" s="40">
        <f t="shared" si="4"/>
        <v>0</v>
      </c>
      <c r="V20" s="40" t="str">
        <f t="shared" si="15"/>
        <v>H</v>
      </c>
      <c r="W20" s="217">
        <f t="shared" si="7"/>
        <v>0</v>
      </c>
      <c r="X20" s="176">
        <f t="shared" si="8"/>
        <v>0</v>
      </c>
    </row>
    <row r="21" spans="1:24" ht="15.75" thickBot="1" x14ac:dyDescent="0.3">
      <c r="A21" s="229">
        <f t="shared" si="9"/>
        <v>1133</v>
      </c>
      <c r="B21" s="230">
        <f t="shared" si="9"/>
        <v>11</v>
      </c>
      <c r="C21" s="218" t="str">
        <f t="shared" si="5"/>
        <v>091_04-008_000_05</v>
      </c>
      <c r="D21" s="231">
        <f t="shared" si="18"/>
        <v>4</v>
      </c>
      <c r="E21" s="239">
        <f t="shared" si="0"/>
        <v>1.204</v>
      </c>
      <c r="F21" s="232">
        <f t="shared" si="11"/>
        <v>30.099999999999998</v>
      </c>
      <c r="G21" s="232">
        <f t="shared" si="1"/>
        <v>24.08</v>
      </c>
      <c r="H21" s="232">
        <f t="shared" si="2"/>
        <v>15.049999999999999</v>
      </c>
      <c r="I21" s="232">
        <f t="shared" si="12"/>
        <v>8</v>
      </c>
      <c r="J21" s="233">
        <f>yaw_max</f>
        <v>8</v>
      </c>
      <c r="K21" s="228" t="str">
        <f>D21&amp;-5</f>
        <v>4-5</v>
      </c>
      <c r="L21" s="232">
        <f t="shared" si="13"/>
        <v>0.2</v>
      </c>
      <c r="M21" s="232">
        <f t="shared" si="13"/>
        <v>150</v>
      </c>
      <c r="N21" s="232">
        <f t="shared" si="13"/>
        <v>750</v>
      </c>
      <c r="O21" s="217"/>
      <c r="P21" s="38">
        <f t="shared" si="16"/>
        <v>3.5</v>
      </c>
      <c r="Q21" s="38">
        <f t="shared" si="17"/>
        <v>4.5</v>
      </c>
      <c r="R21" s="39">
        <f t="shared" si="3"/>
        <v>0.15721404905831127</v>
      </c>
      <c r="S21" s="39">
        <f t="shared" si="3"/>
        <v>0.24628678804353288</v>
      </c>
      <c r="T21" s="39">
        <f t="shared" si="6"/>
        <v>8.9072738985221611E-2</v>
      </c>
      <c r="U21" s="40">
        <f t="shared" si="4"/>
        <v>0</v>
      </c>
      <c r="V21" s="40" t="str">
        <f t="shared" si="15"/>
        <v>H</v>
      </c>
      <c r="W21" s="217">
        <f t="shared" si="7"/>
        <v>0</v>
      </c>
      <c r="X21" s="176">
        <f t="shared" si="8"/>
        <v>0</v>
      </c>
    </row>
    <row r="22" spans="1:24" ht="15.75" thickBot="1" x14ac:dyDescent="0.3">
      <c r="A22" s="229">
        <f t="shared" si="9"/>
        <v>1134</v>
      </c>
      <c r="B22" s="230">
        <f t="shared" si="9"/>
        <v>12</v>
      </c>
      <c r="C22" s="218" t="str">
        <f t="shared" si="5"/>
        <v>091_04-008_000_06</v>
      </c>
      <c r="D22" s="231">
        <f t="shared" si="18"/>
        <v>4</v>
      </c>
      <c r="E22" s="239">
        <f t="shared" si="0"/>
        <v>1.204</v>
      </c>
      <c r="F22" s="232">
        <f t="shared" si="11"/>
        <v>30.099999999999998</v>
      </c>
      <c r="G22" s="232">
        <f t="shared" si="1"/>
        <v>24.08</v>
      </c>
      <c r="H22" s="232">
        <f t="shared" si="2"/>
        <v>15.049999999999999</v>
      </c>
      <c r="I22" s="232">
        <f t="shared" si="12"/>
        <v>8</v>
      </c>
      <c r="J22" s="233">
        <f>yaw_max</f>
        <v>8</v>
      </c>
      <c r="K22" s="228" t="str">
        <f>D22&amp;-6</f>
        <v>4-6</v>
      </c>
      <c r="L22" s="232">
        <f t="shared" si="13"/>
        <v>0.2</v>
      </c>
      <c r="M22" s="232">
        <f t="shared" si="13"/>
        <v>150</v>
      </c>
      <c r="N22" s="232">
        <f t="shared" si="13"/>
        <v>750</v>
      </c>
      <c r="O22" s="217"/>
      <c r="P22" s="38">
        <f t="shared" si="16"/>
        <v>3.5</v>
      </c>
      <c r="Q22" s="38">
        <f t="shared" si="17"/>
        <v>4.5</v>
      </c>
      <c r="R22" s="39">
        <f t="shared" si="3"/>
        <v>0.15721404905831127</v>
      </c>
      <c r="S22" s="39">
        <f t="shared" si="3"/>
        <v>0.24628678804353288</v>
      </c>
      <c r="T22" s="39">
        <f t="shared" si="6"/>
        <v>8.9072738985221611E-2</v>
      </c>
      <c r="U22" s="40">
        <f t="shared" si="4"/>
        <v>0</v>
      </c>
      <c r="V22" s="40" t="str">
        <f t="shared" si="15"/>
        <v>H</v>
      </c>
      <c r="W22" s="217">
        <f t="shared" si="7"/>
        <v>0</v>
      </c>
      <c r="X22" s="176">
        <f t="shared" si="8"/>
        <v>0</v>
      </c>
    </row>
    <row r="23" spans="1:24" ht="15.75" thickBot="1" x14ac:dyDescent="0.3">
      <c r="A23" s="229">
        <f t="shared" si="9"/>
        <v>1135</v>
      </c>
      <c r="B23" s="230">
        <f t="shared" si="9"/>
        <v>13</v>
      </c>
      <c r="C23" s="218" t="str">
        <f t="shared" si="5"/>
        <v>091_05-352_000_01</v>
      </c>
      <c r="D23" s="231">
        <f>D17+V_step_12</f>
        <v>5</v>
      </c>
      <c r="E23" s="239">
        <f t="shared" si="0"/>
        <v>1.3090000000000002</v>
      </c>
      <c r="F23" s="232">
        <f t="shared" si="11"/>
        <v>26.180000000000003</v>
      </c>
      <c r="G23" s="232">
        <f t="shared" si="1"/>
        <v>20.944000000000003</v>
      </c>
      <c r="H23" s="232">
        <f t="shared" si="2"/>
        <v>13.090000000000002</v>
      </c>
      <c r="I23" s="232">
        <f t="shared" si="12"/>
        <v>8</v>
      </c>
      <c r="J23" s="233">
        <f>yaw_min</f>
        <v>-8</v>
      </c>
      <c r="K23" s="228" t="str">
        <f>D23&amp;-1</f>
        <v>5-1</v>
      </c>
      <c r="L23" s="232">
        <f t="shared" si="13"/>
        <v>0.2</v>
      </c>
      <c r="M23" s="232">
        <f t="shared" si="13"/>
        <v>150</v>
      </c>
      <c r="N23" s="232">
        <f t="shared" si="13"/>
        <v>750</v>
      </c>
      <c r="O23" s="217"/>
      <c r="P23" s="38">
        <f t="shared" si="16"/>
        <v>4.5</v>
      </c>
      <c r="Q23" s="38">
        <f t="shared" si="17"/>
        <v>5.5</v>
      </c>
      <c r="R23" s="39">
        <f t="shared" si="3"/>
        <v>0.24628678804353288</v>
      </c>
      <c r="S23" s="39">
        <f t="shared" si="3"/>
        <v>0.34450832689749344</v>
      </c>
      <c r="T23" s="39">
        <f t="shared" si="6"/>
        <v>9.8221538853960566E-2</v>
      </c>
      <c r="U23" s="40">
        <f t="shared" si="4"/>
        <v>0</v>
      </c>
      <c r="V23" s="40" t="str">
        <f t="shared" si="15"/>
        <v>H</v>
      </c>
      <c r="W23" s="217">
        <f t="shared" si="7"/>
        <v>0</v>
      </c>
      <c r="X23" s="176">
        <f t="shared" si="8"/>
        <v>0</v>
      </c>
    </row>
    <row r="24" spans="1:24" ht="15.75" thickBot="1" x14ac:dyDescent="0.3">
      <c r="A24" s="229">
        <f t="shared" si="9"/>
        <v>1136</v>
      </c>
      <c r="B24" s="230">
        <f t="shared" si="9"/>
        <v>14</v>
      </c>
      <c r="C24" s="218" t="str">
        <f t="shared" si="5"/>
        <v>091_05-352_000_02</v>
      </c>
      <c r="D24" s="231">
        <f>D23</f>
        <v>5</v>
      </c>
      <c r="E24" s="239">
        <f t="shared" si="0"/>
        <v>1.3090000000000002</v>
      </c>
      <c r="F24" s="232">
        <f t="shared" si="11"/>
        <v>26.180000000000003</v>
      </c>
      <c r="G24" s="232">
        <f t="shared" si="1"/>
        <v>20.944000000000003</v>
      </c>
      <c r="H24" s="232">
        <f t="shared" si="2"/>
        <v>13.090000000000002</v>
      </c>
      <c r="I24" s="232">
        <f t="shared" si="12"/>
        <v>8</v>
      </c>
      <c r="J24" s="233">
        <f>yaw_min</f>
        <v>-8</v>
      </c>
      <c r="K24" s="228" t="str">
        <f>D24&amp;-2</f>
        <v>5-2</v>
      </c>
      <c r="L24" s="232">
        <f t="shared" si="13"/>
        <v>0.2</v>
      </c>
      <c r="M24" s="232">
        <f t="shared" si="13"/>
        <v>150</v>
      </c>
      <c r="N24" s="232">
        <f t="shared" si="13"/>
        <v>750</v>
      </c>
      <c r="O24" s="217"/>
      <c r="P24" s="38">
        <f t="shared" si="16"/>
        <v>4.5</v>
      </c>
      <c r="Q24" s="38">
        <f t="shared" si="17"/>
        <v>5.5</v>
      </c>
      <c r="R24" s="39">
        <f t="shared" si="3"/>
        <v>0.24628678804353288</v>
      </c>
      <c r="S24" s="39">
        <f t="shared" si="3"/>
        <v>0.34450832689749344</v>
      </c>
      <c r="T24" s="39">
        <f t="shared" si="6"/>
        <v>9.8221538853960566E-2</v>
      </c>
      <c r="U24" s="40">
        <f t="shared" si="4"/>
        <v>0</v>
      </c>
      <c r="V24" s="40" t="str">
        <f t="shared" si="15"/>
        <v>H</v>
      </c>
      <c r="W24" s="217">
        <f t="shared" si="7"/>
        <v>0</v>
      </c>
      <c r="X24" s="176">
        <f t="shared" si="8"/>
        <v>0</v>
      </c>
    </row>
    <row r="25" spans="1:24" ht="15.75" thickBot="1" x14ac:dyDescent="0.3">
      <c r="A25" s="229">
        <f t="shared" si="9"/>
        <v>1137</v>
      </c>
      <c r="B25" s="230">
        <f t="shared" si="9"/>
        <v>15</v>
      </c>
      <c r="C25" s="218" t="str">
        <f t="shared" si="5"/>
        <v>091_05-000_000_03</v>
      </c>
      <c r="D25" s="231">
        <f t="shared" ref="D25:D28" si="19">D24</f>
        <v>5</v>
      </c>
      <c r="E25" s="239">
        <f t="shared" si="0"/>
        <v>1.3090000000000002</v>
      </c>
      <c r="F25" s="232">
        <f t="shared" si="11"/>
        <v>26.180000000000003</v>
      </c>
      <c r="G25" s="232">
        <f t="shared" si="1"/>
        <v>20.944000000000003</v>
      </c>
      <c r="H25" s="232">
        <f t="shared" si="2"/>
        <v>13.090000000000002</v>
      </c>
      <c r="I25" s="232">
        <f t="shared" si="12"/>
        <v>8</v>
      </c>
      <c r="J25" s="233">
        <f>yaw_null</f>
        <v>0</v>
      </c>
      <c r="K25" s="228" t="str">
        <f>D25&amp;-3</f>
        <v>5-3</v>
      </c>
      <c r="L25" s="232">
        <f t="shared" si="13"/>
        <v>0.2</v>
      </c>
      <c r="M25" s="232">
        <f t="shared" si="13"/>
        <v>150</v>
      </c>
      <c r="N25" s="232">
        <f t="shared" si="13"/>
        <v>750</v>
      </c>
      <c r="O25" s="217"/>
      <c r="P25" s="38">
        <f t="shared" si="16"/>
        <v>4.5</v>
      </c>
      <c r="Q25" s="38">
        <f t="shared" si="17"/>
        <v>5.5</v>
      </c>
      <c r="R25" s="39">
        <f t="shared" si="3"/>
        <v>0.24628678804353288</v>
      </c>
      <c r="S25" s="39">
        <f t="shared" si="3"/>
        <v>0.34450832689749344</v>
      </c>
      <c r="T25" s="39">
        <f t="shared" si="6"/>
        <v>9.8221538853960566E-2</v>
      </c>
      <c r="U25" s="40">
        <f t="shared" si="4"/>
        <v>0</v>
      </c>
      <c r="V25" s="40" t="str">
        <f t="shared" si="15"/>
        <v>H</v>
      </c>
      <c r="W25" s="217">
        <f t="shared" si="7"/>
        <v>0</v>
      </c>
      <c r="X25" s="176">
        <f t="shared" si="8"/>
        <v>0</v>
      </c>
    </row>
    <row r="26" spans="1:24" ht="15.75" thickBot="1" x14ac:dyDescent="0.3">
      <c r="A26" s="229">
        <f t="shared" si="9"/>
        <v>1138</v>
      </c>
      <c r="B26" s="230">
        <f t="shared" si="9"/>
        <v>16</v>
      </c>
      <c r="C26" s="218" t="str">
        <f t="shared" si="5"/>
        <v>091_05-000_000_04</v>
      </c>
      <c r="D26" s="231">
        <f t="shared" si="19"/>
        <v>5</v>
      </c>
      <c r="E26" s="239">
        <f t="shared" si="0"/>
        <v>1.3090000000000002</v>
      </c>
      <c r="F26" s="232">
        <f t="shared" si="11"/>
        <v>26.180000000000003</v>
      </c>
      <c r="G26" s="232">
        <f t="shared" si="1"/>
        <v>20.944000000000003</v>
      </c>
      <c r="H26" s="232">
        <f t="shared" si="2"/>
        <v>13.090000000000002</v>
      </c>
      <c r="I26" s="232">
        <f t="shared" si="12"/>
        <v>8</v>
      </c>
      <c r="J26" s="233">
        <f>yaw_null</f>
        <v>0</v>
      </c>
      <c r="K26" s="228" t="str">
        <f>D26&amp;-4</f>
        <v>5-4</v>
      </c>
      <c r="L26" s="232">
        <f t="shared" si="13"/>
        <v>0.2</v>
      </c>
      <c r="M26" s="232">
        <f t="shared" si="13"/>
        <v>150</v>
      </c>
      <c r="N26" s="232">
        <f t="shared" si="13"/>
        <v>750</v>
      </c>
      <c r="O26" s="217"/>
      <c r="P26" s="38">
        <f t="shared" si="16"/>
        <v>4.5</v>
      </c>
      <c r="Q26" s="38">
        <f t="shared" si="17"/>
        <v>5.5</v>
      </c>
      <c r="R26" s="39">
        <f t="shared" si="3"/>
        <v>0.24628678804353288</v>
      </c>
      <c r="S26" s="39">
        <f t="shared" si="3"/>
        <v>0.34450832689749344</v>
      </c>
      <c r="T26" s="39">
        <f t="shared" si="6"/>
        <v>9.8221538853960566E-2</v>
      </c>
      <c r="U26" s="40">
        <f t="shared" si="4"/>
        <v>0</v>
      </c>
      <c r="V26" s="40" t="str">
        <f t="shared" si="15"/>
        <v>H</v>
      </c>
      <c r="W26" s="217">
        <f t="shared" si="7"/>
        <v>0</v>
      </c>
      <c r="X26" s="176">
        <f t="shared" si="8"/>
        <v>0</v>
      </c>
    </row>
    <row r="27" spans="1:24" ht="15.75" thickBot="1" x14ac:dyDescent="0.3">
      <c r="A27" s="229">
        <f t="shared" si="9"/>
        <v>1139</v>
      </c>
      <c r="B27" s="230">
        <f t="shared" si="9"/>
        <v>17</v>
      </c>
      <c r="C27" s="218" t="str">
        <f t="shared" si="5"/>
        <v>091_05-008_000_05</v>
      </c>
      <c r="D27" s="231">
        <f t="shared" si="19"/>
        <v>5</v>
      </c>
      <c r="E27" s="239">
        <f t="shared" si="0"/>
        <v>1.3090000000000002</v>
      </c>
      <c r="F27" s="232">
        <f t="shared" si="11"/>
        <v>26.180000000000003</v>
      </c>
      <c r="G27" s="232">
        <f t="shared" si="1"/>
        <v>20.944000000000003</v>
      </c>
      <c r="H27" s="232">
        <f t="shared" si="2"/>
        <v>13.090000000000002</v>
      </c>
      <c r="I27" s="232">
        <f t="shared" si="12"/>
        <v>8</v>
      </c>
      <c r="J27" s="233">
        <f>yaw_max</f>
        <v>8</v>
      </c>
      <c r="K27" s="228" t="str">
        <f>D27&amp;-5</f>
        <v>5-5</v>
      </c>
      <c r="L27" s="232">
        <f t="shared" si="13"/>
        <v>0.2</v>
      </c>
      <c r="M27" s="232">
        <f t="shared" si="13"/>
        <v>150</v>
      </c>
      <c r="N27" s="232">
        <f t="shared" si="13"/>
        <v>750</v>
      </c>
      <c r="O27" s="217"/>
      <c r="P27" s="38">
        <f t="shared" si="16"/>
        <v>4.5</v>
      </c>
      <c r="Q27" s="38">
        <f t="shared" si="17"/>
        <v>5.5</v>
      </c>
      <c r="R27" s="39">
        <f t="shared" si="3"/>
        <v>0.24628678804353288</v>
      </c>
      <c r="S27" s="39">
        <f t="shared" si="3"/>
        <v>0.34450832689749344</v>
      </c>
      <c r="T27" s="39">
        <f t="shared" si="6"/>
        <v>9.8221538853960566E-2</v>
      </c>
      <c r="U27" s="40">
        <f t="shared" si="4"/>
        <v>0</v>
      </c>
      <c r="V27" s="40" t="str">
        <f t="shared" si="15"/>
        <v>H</v>
      </c>
      <c r="W27" s="217">
        <f t="shared" si="7"/>
        <v>0</v>
      </c>
      <c r="X27" s="176">
        <f t="shared" si="8"/>
        <v>0</v>
      </c>
    </row>
    <row r="28" spans="1:24" ht="15.75" thickBot="1" x14ac:dyDescent="0.3">
      <c r="A28" s="229">
        <f t="shared" si="9"/>
        <v>1140</v>
      </c>
      <c r="B28" s="230">
        <f t="shared" si="9"/>
        <v>18</v>
      </c>
      <c r="C28" s="218" t="str">
        <f t="shared" si="5"/>
        <v>091_05-008_000_06</v>
      </c>
      <c r="D28" s="231">
        <f t="shared" si="19"/>
        <v>5</v>
      </c>
      <c r="E28" s="239">
        <f t="shared" si="0"/>
        <v>1.3090000000000002</v>
      </c>
      <c r="F28" s="232">
        <f t="shared" si="11"/>
        <v>26.180000000000003</v>
      </c>
      <c r="G28" s="232">
        <f t="shared" si="1"/>
        <v>20.944000000000003</v>
      </c>
      <c r="H28" s="232">
        <f t="shared" si="2"/>
        <v>13.090000000000002</v>
      </c>
      <c r="I28" s="232">
        <f t="shared" si="12"/>
        <v>8</v>
      </c>
      <c r="J28" s="233">
        <f>yaw_max</f>
        <v>8</v>
      </c>
      <c r="K28" s="228" t="str">
        <f>D28&amp;-6</f>
        <v>5-6</v>
      </c>
      <c r="L28" s="232">
        <f t="shared" si="13"/>
        <v>0.2</v>
      </c>
      <c r="M28" s="232">
        <f t="shared" si="13"/>
        <v>150</v>
      </c>
      <c r="N28" s="232">
        <f t="shared" si="13"/>
        <v>750</v>
      </c>
      <c r="O28" s="217"/>
      <c r="P28" s="38">
        <f t="shared" si="16"/>
        <v>4.5</v>
      </c>
      <c r="Q28" s="38">
        <f t="shared" si="17"/>
        <v>5.5</v>
      </c>
      <c r="R28" s="39">
        <f t="shared" si="3"/>
        <v>0.24628678804353288</v>
      </c>
      <c r="S28" s="39">
        <f t="shared" si="3"/>
        <v>0.34450832689749344</v>
      </c>
      <c r="T28" s="39">
        <f t="shared" si="6"/>
        <v>9.8221538853960566E-2</v>
      </c>
      <c r="U28" s="40">
        <f t="shared" si="4"/>
        <v>0</v>
      </c>
      <c r="V28" s="40" t="str">
        <f t="shared" si="15"/>
        <v>H</v>
      </c>
      <c r="W28" s="217">
        <f t="shared" si="7"/>
        <v>0</v>
      </c>
      <c r="X28" s="176">
        <f t="shared" si="8"/>
        <v>0</v>
      </c>
    </row>
    <row r="29" spans="1:24" ht="15.75" thickBot="1" x14ac:dyDescent="0.3">
      <c r="A29" s="229">
        <f t="shared" ref="A29:B44" si="20">A28+1</f>
        <v>1141</v>
      </c>
      <c r="B29" s="230">
        <f t="shared" si="20"/>
        <v>19</v>
      </c>
      <c r="C29" s="218" t="str">
        <f t="shared" si="5"/>
        <v>091_06-352_000_01</v>
      </c>
      <c r="D29" s="231">
        <f>D23+V_step_12</f>
        <v>6</v>
      </c>
      <c r="E29" s="239">
        <f t="shared" si="0"/>
        <v>1.4140000000000001</v>
      </c>
      <c r="F29" s="232">
        <f t="shared" si="11"/>
        <v>23.56666666666667</v>
      </c>
      <c r="G29" s="232">
        <f t="shared" si="1"/>
        <v>18.853333333333335</v>
      </c>
      <c r="H29" s="232">
        <f t="shared" si="2"/>
        <v>11.783333333333335</v>
      </c>
      <c r="I29" s="232">
        <f t="shared" si="12"/>
        <v>8</v>
      </c>
      <c r="J29" s="233">
        <f>yaw_min</f>
        <v>-8</v>
      </c>
      <c r="K29" s="228" t="str">
        <f>D29&amp;-1</f>
        <v>6-1</v>
      </c>
      <c r="L29" s="232">
        <f t="shared" ref="L29:N44" si="21">L28</f>
        <v>0.2</v>
      </c>
      <c r="M29" s="232">
        <f t="shared" si="21"/>
        <v>150</v>
      </c>
      <c r="N29" s="232">
        <f t="shared" si="21"/>
        <v>750</v>
      </c>
      <c r="O29" s="217"/>
      <c r="P29" s="38">
        <f t="shared" si="16"/>
        <v>5.5</v>
      </c>
      <c r="Q29" s="38">
        <f t="shared" si="17"/>
        <v>6.5</v>
      </c>
      <c r="R29" s="39">
        <f t="shared" si="3"/>
        <v>0.34450832689749344</v>
      </c>
      <c r="S29" s="39">
        <f t="shared" si="3"/>
        <v>0.44562908088115849</v>
      </c>
      <c r="T29" s="39">
        <f t="shared" si="6"/>
        <v>0.10112075398366505</v>
      </c>
      <c r="U29" s="40">
        <f t="shared" si="4"/>
        <v>0</v>
      </c>
      <c r="V29" s="40" t="str">
        <f t="shared" si="15"/>
        <v>H</v>
      </c>
      <c r="W29" s="217">
        <f t="shared" si="7"/>
        <v>0</v>
      </c>
      <c r="X29" s="176">
        <f t="shared" si="8"/>
        <v>0</v>
      </c>
    </row>
    <row r="30" spans="1:24" ht="15.75" thickBot="1" x14ac:dyDescent="0.3">
      <c r="A30" s="229">
        <f t="shared" si="20"/>
        <v>1142</v>
      </c>
      <c r="B30" s="230">
        <f t="shared" si="20"/>
        <v>20</v>
      </c>
      <c r="C30" s="218" t="str">
        <f t="shared" si="5"/>
        <v>091_06-352_000_02</v>
      </c>
      <c r="D30" s="231">
        <f>D29</f>
        <v>6</v>
      </c>
      <c r="E30" s="239">
        <f t="shared" si="0"/>
        <v>1.4140000000000001</v>
      </c>
      <c r="F30" s="232">
        <f t="shared" si="11"/>
        <v>23.56666666666667</v>
      </c>
      <c r="G30" s="232">
        <f t="shared" si="1"/>
        <v>18.853333333333335</v>
      </c>
      <c r="H30" s="232">
        <f t="shared" si="2"/>
        <v>11.783333333333335</v>
      </c>
      <c r="I30" s="232">
        <f t="shared" si="12"/>
        <v>8</v>
      </c>
      <c r="J30" s="233">
        <f>yaw_min</f>
        <v>-8</v>
      </c>
      <c r="K30" s="228" t="str">
        <f>D30&amp;-2</f>
        <v>6-2</v>
      </c>
      <c r="L30" s="232">
        <f t="shared" si="21"/>
        <v>0.2</v>
      </c>
      <c r="M30" s="232">
        <f t="shared" si="21"/>
        <v>150</v>
      </c>
      <c r="N30" s="232">
        <f t="shared" si="21"/>
        <v>750</v>
      </c>
      <c r="O30" s="217"/>
      <c r="P30" s="38">
        <f t="shared" si="16"/>
        <v>5.5</v>
      </c>
      <c r="Q30" s="38">
        <f t="shared" si="17"/>
        <v>6.5</v>
      </c>
      <c r="R30" s="39">
        <f t="shared" si="3"/>
        <v>0.34450832689749344</v>
      </c>
      <c r="S30" s="39">
        <f t="shared" si="3"/>
        <v>0.44562908088115849</v>
      </c>
      <c r="T30" s="39">
        <f t="shared" si="6"/>
        <v>0.10112075398366505</v>
      </c>
      <c r="U30" s="40">
        <f t="shared" si="4"/>
        <v>0</v>
      </c>
      <c r="V30" s="40" t="str">
        <f t="shared" si="15"/>
        <v>H</v>
      </c>
      <c r="W30" s="217">
        <f t="shared" si="7"/>
        <v>0</v>
      </c>
      <c r="X30" s="176">
        <f t="shared" si="8"/>
        <v>0</v>
      </c>
    </row>
    <row r="31" spans="1:24" ht="15.75" thickBot="1" x14ac:dyDescent="0.3">
      <c r="A31" s="229">
        <f t="shared" si="20"/>
        <v>1143</v>
      </c>
      <c r="B31" s="230">
        <f t="shared" si="20"/>
        <v>21</v>
      </c>
      <c r="C31" s="218" t="str">
        <f t="shared" si="5"/>
        <v>091_06-000_000_03</v>
      </c>
      <c r="D31" s="231">
        <f t="shared" ref="D31:D34" si="22">D30</f>
        <v>6</v>
      </c>
      <c r="E31" s="239">
        <f t="shared" si="0"/>
        <v>1.4140000000000001</v>
      </c>
      <c r="F31" s="232">
        <f t="shared" si="11"/>
        <v>23.56666666666667</v>
      </c>
      <c r="G31" s="232">
        <f t="shared" si="1"/>
        <v>18.853333333333335</v>
      </c>
      <c r="H31" s="232">
        <f t="shared" si="2"/>
        <v>11.783333333333335</v>
      </c>
      <c r="I31" s="232">
        <f t="shared" si="12"/>
        <v>8</v>
      </c>
      <c r="J31" s="233">
        <f>yaw_null</f>
        <v>0</v>
      </c>
      <c r="K31" s="228" t="str">
        <f>D31&amp;-3</f>
        <v>6-3</v>
      </c>
      <c r="L31" s="232">
        <f t="shared" si="21"/>
        <v>0.2</v>
      </c>
      <c r="M31" s="232">
        <f t="shared" si="21"/>
        <v>150</v>
      </c>
      <c r="N31" s="232">
        <f t="shared" si="21"/>
        <v>750</v>
      </c>
      <c r="O31" s="217"/>
      <c r="P31" s="38">
        <f t="shared" si="16"/>
        <v>5.5</v>
      </c>
      <c r="Q31" s="38">
        <f t="shared" si="17"/>
        <v>6.5</v>
      </c>
      <c r="R31" s="39">
        <f t="shared" si="3"/>
        <v>0.34450832689749344</v>
      </c>
      <c r="S31" s="39">
        <f t="shared" si="3"/>
        <v>0.44562908088115849</v>
      </c>
      <c r="T31" s="39">
        <f t="shared" si="6"/>
        <v>0.10112075398366505</v>
      </c>
      <c r="U31" s="40">
        <f t="shared" si="4"/>
        <v>0</v>
      </c>
      <c r="V31" s="40" t="str">
        <f t="shared" si="15"/>
        <v>H</v>
      </c>
      <c r="W31" s="217">
        <f t="shared" si="7"/>
        <v>0</v>
      </c>
      <c r="X31" s="176">
        <f t="shared" si="8"/>
        <v>0</v>
      </c>
    </row>
    <row r="32" spans="1:24" ht="15.75" thickBot="1" x14ac:dyDescent="0.3">
      <c r="A32" s="229">
        <f t="shared" si="20"/>
        <v>1144</v>
      </c>
      <c r="B32" s="230">
        <f t="shared" si="20"/>
        <v>22</v>
      </c>
      <c r="C32" s="218" t="str">
        <f t="shared" si="5"/>
        <v>091_06-000_000_04</v>
      </c>
      <c r="D32" s="231">
        <f t="shared" si="22"/>
        <v>6</v>
      </c>
      <c r="E32" s="239">
        <f t="shared" si="0"/>
        <v>1.4140000000000001</v>
      </c>
      <c r="F32" s="232">
        <f t="shared" si="11"/>
        <v>23.56666666666667</v>
      </c>
      <c r="G32" s="232">
        <f t="shared" si="1"/>
        <v>18.853333333333335</v>
      </c>
      <c r="H32" s="232">
        <f t="shared" si="2"/>
        <v>11.783333333333335</v>
      </c>
      <c r="I32" s="232">
        <f t="shared" si="12"/>
        <v>8</v>
      </c>
      <c r="J32" s="233">
        <f>yaw_null</f>
        <v>0</v>
      </c>
      <c r="K32" s="228" t="str">
        <f>D32&amp;-4</f>
        <v>6-4</v>
      </c>
      <c r="L32" s="232">
        <f t="shared" si="21"/>
        <v>0.2</v>
      </c>
      <c r="M32" s="232">
        <f t="shared" si="21"/>
        <v>150</v>
      </c>
      <c r="N32" s="232">
        <f t="shared" si="21"/>
        <v>750</v>
      </c>
      <c r="O32" s="217"/>
      <c r="P32" s="38">
        <f t="shared" si="16"/>
        <v>5.5</v>
      </c>
      <c r="Q32" s="38">
        <f t="shared" si="17"/>
        <v>6.5</v>
      </c>
      <c r="R32" s="39">
        <f t="shared" si="3"/>
        <v>0.34450832689749344</v>
      </c>
      <c r="S32" s="39">
        <f t="shared" si="3"/>
        <v>0.44562908088115849</v>
      </c>
      <c r="T32" s="39">
        <f t="shared" si="6"/>
        <v>0.10112075398366505</v>
      </c>
      <c r="U32" s="40">
        <f t="shared" si="4"/>
        <v>0</v>
      </c>
      <c r="V32" s="40" t="str">
        <f t="shared" si="15"/>
        <v>H</v>
      </c>
      <c r="W32" s="217">
        <f t="shared" si="7"/>
        <v>0</v>
      </c>
      <c r="X32" s="176">
        <f t="shared" si="8"/>
        <v>0</v>
      </c>
    </row>
    <row r="33" spans="1:24" ht="15.75" thickBot="1" x14ac:dyDescent="0.3">
      <c r="A33" s="229">
        <f t="shared" si="20"/>
        <v>1145</v>
      </c>
      <c r="B33" s="230">
        <f t="shared" si="20"/>
        <v>23</v>
      </c>
      <c r="C33" s="218" t="str">
        <f t="shared" si="5"/>
        <v>091_06-008_000_05</v>
      </c>
      <c r="D33" s="231">
        <f t="shared" si="22"/>
        <v>6</v>
      </c>
      <c r="E33" s="239">
        <f t="shared" si="0"/>
        <v>1.4140000000000001</v>
      </c>
      <c r="F33" s="232">
        <f t="shared" si="11"/>
        <v>23.56666666666667</v>
      </c>
      <c r="G33" s="232">
        <f t="shared" si="1"/>
        <v>18.853333333333335</v>
      </c>
      <c r="H33" s="232">
        <f t="shared" si="2"/>
        <v>11.783333333333335</v>
      </c>
      <c r="I33" s="232">
        <f t="shared" si="12"/>
        <v>8</v>
      </c>
      <c r="J33" s="233">
        <f>yaw_max</f>
        <v>8</v>
      </c>
      <c r="K33" s="228" t="str">
        <f>D33&amp;-5</f>
        <v>6-5</v>
      </c>
      <c r="L33" s="232">
        <f t="shared" si="21"/>
        <v>0.2</v>
      </c>
      <c r="M33" s="232">
        <f t="shared" si="21"/>
        <v>150</v>
      </c>
      <c r="N33" s="232">
        <f t="shared" si="21"/>
        <v>750</v>
      </c>
      <c r="O33" s="217"/>
      <c r="P33" s="38">
        <f t="shared" si="16"/>
        <v>5.5</v>
      </c>
      <c r="Q33" s="38">
        <f t="shared" si="17"/>
        <v>6.5</v>
      </c>
      <c r="R33" s="39">
        <f t="shared" si="3"/>
        <v>0.34450832689749344</v>
      </c>
      <c r="S33" s="39">
        <f t="shared" si="3"/>
        <v>0.44562908088115849</v>
      </c>
      <c r="T33" s="39">
        <f t="shared" si="6"/>
        <v>0.10112075398366505</v>
      </c>
      <c r="U33" s="40">
        <f t="shared" si="4"/>
        <v>0</v>
      </c>
      <c r="V33" s="40" t="str">
        <f t="shared" si="15"/>
        <v>H</v>
      </c>
      <c r="W33" s="217">
        <f t="shared" si="7"/>
        <v>0</v>
      </c>
      <c r="X33" s="176">
        <f t="shared" si="8"/>
        <v>0</v>
      </c>
    </row>
    <row r="34" spans="1:24" ht="15.75" thickBot="1" x14ac:dyDescent="0.3">
      <c r="A34" s="229">
        <f t="shared" si="20"/>
        <v>1146</v>
      </c>
      <c r="B34" s="230">
        <f t="shared" si="20"/>
        <v>24</v>
      </c>
      <c r="C34" s="218" t="str">
        <f t="shared" si="5"/>
        <v>091_06-008_000_06</v>
      </c>
      <c r="D34" s="231">
        <f t="shared" si="22"/>
        <v>6</v>
      </c>
      <c r="E34" s="239">
        <f t="shared" si="0"/>
        <v>1.4140000000000001</v>
      </c>
      <c r="F34" s="232">
        <f t="shared" si="11"/>
        <v>23.56666666666667</v>
      </c>
      <c r="G34" s="232">
        <f t="shared" si="1"/>
        <v>18.853333333333335</v>
      </c>
      <c r="H34" s="232">
        <f t="shared" si="2"/>
        <v>11.783333333333335</v>
      </c>
      <c r="I34" s="232">
        <f t="shared" si="12"/>
        <v>8</v>
      </c>
      <c r="J34" s="233">
        <f>yaw_max</f>
        <v>8</v>
      </c>
      <c r="K34" s="228" t="str">
        <f>D34&amp;-6</f>
        <v>6-6</v>
      </c>
      <c r="L34" s="232">
        <f t="shared" si="21"/>
        <v>0.2</v>
      </c>
      <c r="M34" s="232">
        <f t="shared" si="21"/>
        <v>150</v>
      </c>
      <c r="N34" s="232">
        <f t="shared" si="21"/>
        <v>750</v>
      </c>
      <c r="O34" s="217"/>
      <c r="P34" s="38">
        <f t="shared" si="16"/>
        <v>5.5</v>
      </c>
      <c r="Q34" s="38">
        <f t="shared" si="17"/>
        <v>6.5</v>
      </c>
      <c r="R34" s="39">
        <f t="shared" si="3"/>
        <v>0.34450832689749344</v>
      </c>
      <c r="S34" s="39">
        <f t="shared" si="3"/>
        <v>0.44562908088115849</v>
      </c>
      <c r="T34" s="39">
        <f t="shared" si="6"/>
        <v>0.10112075398366505</v>
      </c>
      <c r="U34" s="40">
        <f t="shared" si="4"/>
        <v>0</v>
      </c>
      <c r="V34" s="40" t="str">
        <f t="shared" si="15"/>
        <v>H</v>
      </c>
      <c r="W34" s="217">
        <f t="shared" si="7"/>
        <v>0</v>
      </c>
      <c r="X34" s="176">
        <f t="shared" si="8"/>
        <v>0</v>
      </c>
    </row>
    <row r="35" spans="1:24" ht="15.75" thickBot="1" x14ac:dyDescent="0.3">
      <c r="A35" s="229">
        <f t="shared" si="20"/>
        <v>1147</v>
      </c>
      <c r="B35" s="230">
        <f t="shared" si="20"/>
        <v>25</v>
      </c>
      <c r="C35" s="218" t="str">
        <f t="shared" si="5"/>
        <v>091_07-352_000_01</v>
      </c>
      <c r="D35" s="231">
        <f>D29+V_step_12</f>
        <v>7</v>
      </c>
      <c r="E35" s="239">
        <f t="shared" si="0"/>
        <v>1.5190000000000001</v>
      </c>
      <c r="F35" s="232">
        <f>E35/D35*100</f>
        <v>21.700000000000003</v>
      </c>
      <c r="G35" s="232">
        <f t="shared" si="1"/>
        <v>17.360000000000003</v>
      </c>
      <c r="H35" s="232">
        <f t="shared" si="2"/>
        <v>10.850000000000001</v>
      </c>
      <c r="I35" s="232">
        <f t="shared" si="12"/>
        <v>8</v>
      </c>
      <c r="J35" s="233">
        <f>yaw_min</f>
        <v>-8</v>
      </c>
      <c r="K35" s="228" t="str">
        <f>D35&amp;-1</f>
        <v>7-1</v>
      </c>
      <c r="L35" s="232">
        <f t="shared" si="21"/>
        <v>0.2</v>
      </c>
      <c r="M35" s="232">
        <f t="shared" si="21"/>
        <v>150</v>
      </c>
      <c r="N35" s="232">
        <f t="shared" si="21"/>
        <v>750</v>
      </c>
      <c r="O35" s="217"/>
      <c r="P35" s="38">
        <f t="shared" si="16"/>
        <v>6.5</v>
      </c>
      <c r="Q35" s="38">
        <f t="shared" si="17"/>
        <v>7.5</v>
      </c>
      <c r="R35" s="39">
        <f t="shared" si="3"/>
        <v>0.44562908088115849</v>
      </c>
      <c r="S35" s="39">
        <f t="shared" si="3"/>
        <v>0.54406187223400382</v>
      </c>
      <c r="T35" s="39">
        <f t="shared" si="6"/>
        <v>9.8432791352845328E-2</v>
      </c>
      <c r="U35" s="40">
        <f t="shared" si="4"/>
        <v>0</v>
      </c>
      <c r="V35" s="40" t="str">
        <f t="shared" si="15"/>
        <v>H</v>
      </c>
      <c r="W35" s="217">
        <f t="shared" si="7"/>
        <v>0</v>
      </c>
      <c r="X35" s="176">
        <f t="shared" si="8"/>
        <v>0</v>
      </c>
    </row>
    <row r="36" spans="1:24" ht="15.75" thickBot="1" x14ac:dyDescent="0.3">
      <c r="A36" s="229">
        <f t="shared" si="20"/>
        <v>1148</v>
      </c>
      <c r="B36" s="230">
        <f t="shared" si="20"/>
        <v>26</v>
      </c>
      <c r="C36" s="218" t="str">
        <f t="shared" si="5"/>
        <v>091_07-352_000_02</v>
      </c>
      <c r="D36" s="231">
        <f>D35</f>
        <v>7</v>
      </c>
      <c r="E36" s="239">
        <f t="shared" si="0"/>
        <v>1.5190000000000001</v>
      </c>
      <c r="F36" s="232">
        <f t="shared" ref="F36:F52" si="23">E36/D36*100</f>
        <v>21.700000000000003</v>
      </c>
      <c r="G36" s="232">
        <f t="shared" si="1"/>
        <v>17.360000000000003</v>
      </c>
      <c r="H36" s="232">
        <f t="shared" si="2"/>
        <v>10.850000000000001</v>
      </c>
      <c r="I36" s="232">
        <f t="shared" si="12"/>
        <v>8</v>
      </c>
      <c r="J36" s="233">
        <f>yaw_min</f>
        <v>-8</v>
      </c>
      <c r="K36" s="228" t="str">
        <f>D36&amp;-2</f>
        <v>7-2</v>
      </c>
      <c r="L36" s="232">
        <f t="shared" si="21"/>
        <v>0.2</v>
      </c>
      <c r="M36" s="232">
        <f t="shared" si="21"/>
        <v>150</v>
      </c>
      <c r="N36" s="232">
        <f t="shared" si="21"/>
        <v>750</v>
      </c>
      <c r="O36" s="217"/>
      <c r="P36" s="38">
        <f t="shared" si="16"/>
        <v>6.5</v>
      </c>
      <c r="Q36" s="38">
        <f t="shared" si="17"/>
        <v>7.5</v>
      </c>
      <c r="R36" s="39">
        <f t="shared" si="3"/>
        <v>0.44562908088115849</v>
      </c>
      <c r="S36" s="39">
        <f t="shared" si="3"/>
        <v>0.54406187223400382</v>
      </c>
      <c r="T36" s="39">
        <f t="shared" si="6"/>
        <v>9.8432791352845328E-2</v>
      </c>
      <c r="U36" s="40">
        <f t="shared" si="4"/>
        <v>0</v>
      </c>
      <c r="V36" s="40" t="str">
        <f t="shared" si="15"/>
        <v>H</v>
      </c>
      <c r="W36" s="217">
        <f t="shared" si="7"/>
        <v>0</v>
      </c>
      <c r="X36" s="176">
        <f t="shared" si="8"/>
        <v>0</v>
      </c>
    </row>
    <row r="37" spans="1:24" ht="15.75" thickBot="1" x14ac:dyDescent="0.3">
      <c r="A37" s="229">
        <f t="shared" si="20"/>
        <v>1149</v>
      </c>
      <c r="B37" s="230">
        <f t="shared" si="20"/>
        <v>27</v>
      </c>
      <c r="C37" s="218" t="str">
        <f t="shared" si="5"/>
        <v>091_07-000_000_03</v>
      </c>
      <c r="D37" s="231">
        <f t="shared" ref="D37:D40" si="24">D36</f>
        <v>7</v>
      </c>
      <c r="E37" s="239">
        <f t="shared" si="0"/>
        <v>1.5190000000000001</v>
      </c>
      <c r="F37" s="232">
        <f t="shared" si="23"/>
        <v>21.700000000000003</v>
      </c>
      <c r="G37" s="232">
        <f t="shared" si="1"/>
        <v>17.360000000000003</v>
      </c>
      <c r="H37" s="232">
        <f t="shared" si="2"/>
        <v>10.850000000000001</v>
      </c>
      <c r="I37" s="232">
        <f t="shared" si="12"/>
        <v>8</v>
      </c>
      <c r="J37" s="233">
        <f>yaw_null</f>
        <v>0</v>
      </c>
      <c r="K37" s="228" t="str">
        <f>D37&amp;-3</f>
        <v>7-3</v>
      </c>
      <c r="L37" s="232">
        <f t="shared" si="21"/>
        <v>0.2</v>
      </c>
      <c r="M37" s="232">
        <f t="shared" si="21"/>
        <v>150</v>
      </c>
      <c r="N37" s="232">
        <f t="shared" si="21"/>
        <v>750</v>
      </c>
      <c r="O37" s="217"/>
      <c r="P37" s="38">
        <f t="shared" si="16"/>
        <v>6.5</v>
      </c>
      <c r="Q37" s="38">
        <f t="shared" si="17"/>
        <v>7.5</v>
      </c>
      <c r="R37" s="39">
        <f t="shared" si="3"/>
        <v>0.44562908088115849</v>
      </c>
      <c r="S37" s="39">
        <f t="shared" si="3"/>
        <v>0.54406187223400382</v>
      </c>
      <c r="T37" s="39">
        <f t="shared" si="6"/>
        <v>9.8432791352845328E-2</v>
      </c>
      <c r="U37" s="40">
        <f t="shared" si="4"/>
        <v>0</v>
      </c>
      <c r="V37" s="40" t="str">
        <f t="shared" si="15"/>
        <v>H</v>
      </c>
      <c r="W37" s="217">
        <f t="shared" si="7"/>
        <v>0</v>
      </c>
      <c r="X37" s="176">
        <f t="shared" si="8"/>
        <v>0</v>
      </c>
    </row>
    <row r="38" spans="1:24" ht="15.75" thickBot="1" x14ac:dyDescent="0.3">
      <c r="A38" s="229">
        <f t="shared" si="20"/>
        <v>1150</v>
      </c>
      <c r="B38" s="230">
        <f t="shared" si="20"/>
        <v>28</v>
      </c>
      <c r="C38" s="218" t="str">
        <f t="shared" si="5"/>
        <v>091_07-000_000_04</v>
      </c>
      <c r="D38" s="231">
        <f t="shared" si="24"/>
        <v>7</v>
      </c>
      <c r="E38" s="239">
        <f t="shared" si="0"/>
        <v>1.5190000000000001</v>
      </c>
      <c r="F38" s="232">
        <f t="shared" si="23"/>
        <v>21.700000000000003</v>
      </c>
      <c r="G38" s="232">
        <f t="shared" si="1"/>
        <v>17.360000000000003</v>
      </c>
      <c r="H38" s="232">
        <f t="shared" si="2"/>
        <v>10.850000000000001</v>
      </c>
      <c r="I38" s="232">
        <f t="shared" si="12"/>
        <v>8</v>
      </c>
      <c r="J38" s="233">
        <f>yaw_null</f>
        <v>0</v>
      </c>
      <c r="K38" s="228" t="str">
        <f>D38&amp;-4</f>
        <v>7-4</v>
      </c>
      <c r="L38" s="232">
        <f t="shared" si="21"/>
        <v>0.2</v>
      </c>
      <c r="M38" s="232">
        <f t="shared" si="21"/>
        <v>150</v>
      </c>
      <c r="N38" s="232">
        <f t="shared" si="21"/>
        <v>750</v>
      </c>
      <c r="O38" s="217"/>
      <c r="P38" s="38">
        <f t="shared" si="16"/>
        <v>6.5</v>
      </c>
      <c r="Q38" s="38">
        <f t="shared" si="17"/>
        <v>7.5</v>
      </c>
      <c r="R38" s="39">
        <f t="shared" si="3"/>
        <v>0.44562908088115849</v>
      </c>
      <c r="S38" s="39">
        <f t="shared" si="3"/>
        <v>0.54406187223400382</v>
      </c>
      <c r="T38" s="39">
        <f t="shared" si="6"/>
        <v>9.8432791352845328E-2</v>
      </c>
      <c r="U38" s="40">
        <f t="shared" si="4"/>
        <v>0</v>
      </c>
      <c r="V38" s="40" t="str">
        <f t="shared" si="15"/>
        <v>H</v>
      </c>
      <c r="W38" s="217">
        <f t="shared" si="7"/>
        <v>0</v>
      </c>
      <c r="X38" s="176">
        <f t="shared" si="8"/>
        <v>0</v>
      </c>
    </row>
    <row r="39" spans="1:24" ht="15.75" thickBot="1" x14ac:dyDescent="0.3">
      <c r="A39" s="229">
        <f t="shared" si="20"/>
        <v>1151</v>
      </c>
      <c r="B39" s="230">
        <f t="shared" si="20"/>
        <v>29</v>
      </c>
      <c r="C39" s="218" t="str">
        <f t="shared" si="5"/>
        <v>091_07-008_000_05</v>
      </c>
      <c r="D39" s="231">
        <f t="shared" si="24"/>
        <v>7</v>
      </c>
      <c r="E39" s="239">
        <f t="shared" si="0"/>
        <v>1.5190000000000001</v>
      </c>
      <c r="F39" s="232">
        <f t="shared" si="23"/>
        <v>21.700000000000003</v>
      </c>
      <c r="G39" s="232">
        <f t="shared" si="1"/>
        <v>17.360000000000003</v>
      </c>
      <c r="H39" s="232">
        <f t="shared" si="2"/>
        <v>10.850000000000001</v>
      </c>
      <c r="I39" s="232">
        <f t="shared" si="12"/>
        <v>8</v>
      </c>
      <c r="J39" s="233">
        <f>yaw_max</f>
        <v>8</v>
      </c>
      <c r="K39" s="228" t="str">
        <f>D39&amp;-5</f>
        <v>7-5</v>
      </c>
      <c r="L39" s="232">
        <f t="shared" si="21"/>
        <v>0.2</v>
      </c>
      <c r="M39" s="232">
        <f t="shared" si="21"/>
        <v>150</v>
      </c>
      <c r="N39" s="232">
        <f t="shared" si="21"/>
        <v>750</v>
      </c>
      <c r="O39" s="217"/>
      <c r="P39" s="38">
        <f t="shared" si="16"/>
        <v>6.5</v>
      </c>
      <c r="Q39" s="38">
        <f t="shared" si="17"/>
        <v>7.5</v>
      </c>
      <c r="R39" s="39">
        <f t="shared" si="3"/>
        <v>0.44562908088115849</v>
      </c>
      <c r="S39" s="39">
        <f t="shared" si="3"/>
        <v>0.54406187223400382</v>
      </c>
      <c r="T39" s="39">
        <f t="shared" si="6"/>
        <v>9.8432791352845328E-2</v>
      </c>
      <c r="U39" s="40">
        <f t="shared" si="4"/>
        <v>0</v>
      </c>
      <c r="V39" s="40" t="str">
        <f t="shared" si="15"/>
        <v>H</v>
      </c>
      <c r="W39" s="217">
        <f t="shared" si="7"/>
        <v>0</v>
      </c>
      <c r="X39" s="176">
        <f t="shared" si="8"/>
        <v>0</v>
      </c>
    </row>
    <row r="40" spans="1:24" ht="15.75" thickBot="1" x14ac:dyDescent="0.3">
      <c r="A40" s="229">
        <f t="shared" si="20"/>
        <v>1152</v>
      </c>
      <c r="B40" s="230">
        <f t="shared" si="20"/>
        <v>30</v>
      </c>
      <c r="C40" s="218" t="str">
        <f t="shared" si="5"/>
        <v>091_07-008_000_06</v>
      </c>
      <c r="D40" s="231">
        <f t="shared" si="24"/>
        <v>7</v>
      </c>
      <c r="E40" s="239">
        <f t="shared" si="0"/>
        <v>1.5190000000000001</v>
      </c>
      <c r="F40" s="232">
        <f t="shared" si="23"/>
        <v>21.700000000000003</v>
      </c>
      <c r="G40" s="232">
        <f t="shared" si="1"/>
        <v>17.360000000000003</v>
      </c>
      <c r="H40" s="232">
        <f t="shared" si="2"/>
        <v>10.850000000000001</v>
      </c>
      <c r="I40" s="232">
        <f t="shared" si="12"/>
        <v>8</v>
      </c>
      <c r="J40" s="233">
        <f>yaw_max</f>
        <v>8</v>
      </c>
      <c r="K40" s="228" t="str">
        <f>D40&amp;-6</f>
        <v>7-6</v>
      </c>
      <c r="L40" s="232">
        <f t="shared" si="21"/>
        <v>0.2</v>
      </c>
      <c r="M40" s="232">
        <f t="shared" si="21"/>
        <v>150</v>
      </c>
      <c r="N40" s="232">
        <f t="shared" si="21"/>
        <v>750</v>
      </c>
      <c r="O40" s="217"/>
      <c r="P40" s="38">
        <f t="shared" si="16"/>
        <v>6.5</v>
      </c>
      <c r="Q40" s="38">
        <f t="shared" si="17"/>
        <v>7.5</v>
      </c>
      <c r="R40" s="39">
        <f t="shared" si="3"/>
        <v>0.44562908088115849</v>
      </c>
      <c r="S40" s="39">
        <f t="shared" si="3"/>
        <v>0.54406187223400382</v>
      </c>
      <c r="T40" s="39">
        <f t="shared" si="6"/>
        <v>9.8432791352845328E-2</v>
      </c>
      <c r="U40" s="40">
        <f t="shared" si="4"/>
        <v>0</v>
      </c>
      <c r="V40" s="40" t="str">
        <f t="shared" si="15"/>
        <v>H</v>
      </c>
      <c r="W40" s="217">
        <f t="shared" si="7"/>
        <v>0</v>
      </c>
      <c r="X40" s="176">
        <f t="shared" si="8"/>
        <v>0</v>
      </c>
    </row>
    <row r="41" spans="1:24" ht="15.75" thickBot="1" x14ac:dyDescent="0.3">
      <c r="A41" s="229">
        <f t="shared" si="20"/>
        <v>1153</v>
      </c>
      <c r="B41" s="230">
        <f t="shared" si="20"/>
        <v>31</v>
      </c>
      <c r="C41" s="218" t="str">
        <f t="shared" si="5"/>
        <v>091_08-352_000_01</v>
      </c>
      <c r="D41" s="231">
        <f>D35+V_step_12</f>
        <v>8</v>
      </c>
      <c r="E41" s="239">
        <f t="shared" si="0"/>
        <v>1.6240000000000001</v>
      </c>
      <c r="F41" s="232">
        <f t="shared" si="23"/>
        <v>20.3</v>
      </c>
      <c r="G41" s="232">
        <f t="shared" si="1"/>
        <v>16.240000000000002</v>
      </c>
      <c r="H41" s="232">
        <f t="shared" si="2"/>
        <v>10.15</v>
      </c>
      <c r="I41" s="232">
        <f t="shared" si="12"/>
        <v>8</v>
      </c>
      <c r="J41" s="233">
        <f>yaw_min</f>
        <v>-8</v>
      </c>
      <c r="K41" s="228" t="str">
        <f>D41&amp;-1</f>
        <v>8-1</v>
      </c>
      <c r="L41" s="232">
        <f t="shared" si="21"/>
        <v>0.2</v>
      </c>
      <c r="M41" s="232">
        <f t="shared" si="21"/>
        <v>150</v>
      </c>
      <c r="N41" s="232">
        <f t="shared" si="21"/>
        <v>750</v>
      </c>
      <c r="O41" s="217"/>
      <c r="P41" s="38">
        <f t="shared" si="16"/>
        <v>7.5</v>
      </c>
      <c r="Q41" s="38">
        <f t="shared" si="17"/>
        <v>8.5</v>
      </c>
      <c r="R41" s="39">
        <f t="shared" si="3"/>
        <v>0.54406187223400382</v>
      </c>
      <c r="S41" s="39">
        <f t="shared" si="3"/>
        <v>0.63534380749788655</v>
      </c>
      <c r="T41" s="39">
        <f t="shared" si="6"/>
        <v>9.128193526388273E-2</v>
      </c>
      <c r="U41" s="40">
        <f t="shared" si="4"/>
        <v>0</v>
      </c>
      <c r="V41" s="40" t="str">
        <f t="shared" si="15"/>
        <v>H</v>
      </c>
      <c r="W41" s="217">
        <f t="shared" si="7"/>
        <v>0</v>
      </c>
      <c r="X41" s="176">
        <f t="shared" si="8"/>
        <v>0</v>
      </c>
    </row>
    <row r="42" spans="1:24" ht="15.75" thickBot="1" x14ac:dyDescent="0.3">
      <c r="A42" s="229">
        <f t="shared" si="20"/>
        <v>1154</v>
      </c>
      <c r="B42" s="230">
        <f t="shared" si="20"/>
        <v>32</v>
      </c>
      <c r="C42" s="218" t="str">
        <f t="shared" si="5"/>
        <v>091_08-352_000_02</v>
      </c>
      <c r="D42" s="231">
        <f>D41</f>
        <v>8</v>
      </c>
      <c r="E42" s="239">
        <f t="shared" si="0"/>
        <v>1.6240000000000001</v>
      </c>
      <c r="F42" s="232">
        <f t="shared" si="23"/>
        <v>20.3</v>
      </c>
      <c r="G42" s="232">
        <f t="shared" si="1"/>
        <v>16.240000000000002</v>
      </c>
      <c r="H42" s="232">
        <f t="shared" si="2"/>
        <v>10.15</v>
      </c>
      <c r="I42" s="232">
        <f t="shared" si="12"/>
        <v>8</v>
      </c>
      <c r="J42" s="233">
        <f>yaw_min</f>
        <v>-8</v>
      </c>
      <c r="K42" s="228" t="str">
        <f>D42&amp;-2</f>
        <v>8-2</v>
      </c>
      <c r="L42" s="232">
        <f t="shared" si="21"/>
        <v>0.2</v>
      </c>
      <c r="M42" s="232">
        <f t="shared" si="21"/>
        <v>150</v>
      </c>
      <c r="N42" s="232">
        <f t="shared" si="21"/>
        <v>750</v>
      </c>
      <c r="O42" s="217"/>
      <c r="P42" s="38">
        <f t="shared" si="16"/>
        <v>7.5</v>
      </c>
      <c r="Q42" s="38">
        <f t="shared" si="17"/>
        <v>8.5</v>
      </c>
      <c r="R42" s="39">
        <f t="shared" si="3"/>
        <v>0.54406187223400382</v>
      </c>
      <c r="S42" s="39">
        <f t="shared" si="3"/>
        <v>0.63534380749788655</v>
      </c>
      <c r="T42" s="39">
        <f t="shared" si="6"/>
        <v>9.128193526388273E-2</v>
      </c>
      <c r="U42" s="40">
        <f t="shared" si="4"/>
        <v>0</v>
      </c>
      <c r="V42" s="40" t="str">
        <f t="shared" si="15"/>
        <v>H</v>
      </c>
      <c r="W42" s="217">
        <f t="shared" si="7"/>
        <v>0</v>
      </c>
      <c r="X42" s="176">
        <f t="shared" si="8"/>
        <v>0</v>
      </c>
    </row>
    <row r="43" spans="1:24" ht="15.75" thickBot="1" x14ac:dyDescent="0.3">
      <c r="A43" s="229">
        <f t="shared" si="20"/>
        <v>1155</v>
      </c>
      <c r="B43" s="230">
        <f t="shared" si="20"/>
        <v>33</v>
      </c>
      <c r="C43" s="218" t="str">
        <f t="shared" si="5"/>
        <v>091_08-000_000_03</v>
      </c>
      <c r="D43" s="231">
        <f t="shared" ref="D43:D46" si="25">D42</f>
        <v>8</v>
      </c>
      <c r="E43" s="239">
        <f t="shared" si="0"/>
        <v>1.6240000000000001</v>
      </c>
      <c r="F43" s="232">
        <f t="shared" si="23"/>
        <v>20.3</v>
      </c>
      <c r="G43" s="232">
        <f t="shared" si="1"/>
        <v>16.240000000000002</v>
      </c>
      <c r="H43" s="232">
        <f t="shared" si="2"/>
        <v>10.15</v>
      </c>
      <c r="I43" s="232">
        <f t="shared" si="12"/>
        <v>8</v>
      </c>
      <c r="J43" s="233">
        <f>yaw_null</f>
        <v>0</v>
      </c>
      <c r="K43" s="228" t="str">
        <f>D43&amp;-3</f>
        <v>8-3</v>
      </c>
      <c r="L43" s="232">
        <f t="shared" si="21"/>
        <v>0.2</v>
      </c>
      <c r="M43" s="232">
        <f t="shared" si="21"/>
        <v>150</v>
      </c>
      <c r="N43" s="232">
        <f t="shared" si="21"/>
        <v>750</v>
      </c>
      <c r="O43" s="217"/>
      <c r="P43" s="38">
        <f t="shared" si="16"/>
        <v>7.5</v>
      </c>
      <c r="Q43" s="38">
        <f t="shared" si="17"/>
        <v>8.5</v>
      </c>
      <c r="R43" s="39">
        <f t="shared" ref="R43:S64" si="26">IF(wpd="Rayleigh",1-EXP(-PI()*((P43/2/v_ave)^2)),IF(wpd="Weibull",1-EXP(-((P43/weibull_A)^weibull_K))))</f>
        <v>0.54406187223400382</v>
      </c>
      <c r="S43" s="39">
        <f t="shared" si="26"/>
        <v>0.63534380749788655</v>
      </c>
      <c r="T43" s="39">
        <f t="shared" si="6"/>
        <v>9.128193526388273E-2</v>
      </c>
      <c r="U43" s="40">
        <f t="shared" ref="U43:U74" si="27">T43*H_ice/6</f>
        <v>0</v>
      </c>
      <c r="V43" s="40" t="str">
        <f t="shared" si="15"/>
        <v>H</v>
      </c>
      <c r="W43" s="217">
        <f t="shared" si="7"/>
        <v>0</v>
      </c>
      <c r="X43" s="176">
        <f t="shared" si="8"/>
        <v>0</v>
      </c>
    </row>
    <row r="44" spans="1:24" ht="15.75" thickBot="1" x14ac:dyDescent="0.3">
      <c r="A44" s="229">
        <f t="shared" si="20"/>
        <v>1156</v>
      </c>
      <c r="B44" s="230">
        <f t="shared" si="20"/>
        <v>34</v>
      </c>
      <c r="C44" s="218" t="str">
        <f t="shared" si="5"/>
        <v>091_08-000_000_04</v>
      </c>
      <c r="D44" s="231">
        <f t="shared" si="25"/>
        <v>8</v>
      </c>
      <c r="E44" s="239">
        <f t="shared" si="0"/>
        <v>1.6240000000000001</v>
      </c>
      <c r="F44" s="232">
        <f t="shared" si="23"/>
        <v>20.3</v>
      </c>
      <c r="G44" s="232">
        <f t="shared" si="1"/>
        <v>16.240000000000002</v>
      </c>
      <c r="H44" s="232">
        <f t="shared" si="2"/>
        <v>10.15</v>
      </c>
      <c r="I44" s="232">
        <f t="shared" si="12"/>
        <v>8</v>
      </c>
      <c r="J44" s="233">
        <f>yaw_null</f>
        <v>0</v>
      </c>
      <c r="K44" s="228" t="str">
        <f>D44&amp;-4</f>
        <v>8-4</v>
      </c>
      <c r="L44" s="232">
        <f t="shared" si="21"/>
        <v>0.2</v>
      </c>
      <c r="M44" s="232">
        <f t="shared" si="21"/>
        <v>150</v>
      </c>
      <c r="N44" s="232">
        <f t="shared" si="21"/>
        <v>750</v>
      </c>
      <c r="O44" s="217"/>
      <c r="P44" s="38">
        <f t="shared" si="16"/>
        <v>7.5</v>
      </c>
      <c r="Q44" s="38">
        <f t="shared" si="17"/>
        <v>8.5</v>
      </c>
      <c r="R44" s="39">
        <f t="shared" si="26"/>
        <v>0.54406187223400382</v>
      </c>
      <c r="S44" s="39">
        <f t="shared" si="26"/>
        <v>0.63534380749788655</v>
      </c>
      <c r="T44" s="39">
        <f t="shared" si="6"/>
        <v>9.128193526388273E-2</v>
      </c>
      <c r="U44" s="40">
        <f t="shared" si="27"/>
        <v>0</v>
      </c>
      <c r="V44" s="40" t="str">
        <f t="shared" si="15"/>
        <v>H</v>
      </c>
      <c r="W44" s="217">
        <f t="shared" si="7"/>
        <v>0</v>
      </c>
      <c r="X44" s="176">
        <f t="shared" si="8"/>
        <v>0</v>
      </c>
    </row>
    <row r="45" spans="1:24" ht="15.75" thickBot="1" x14ac:dyDescent="0.3">
      <c r="A45" s="229">
        <f t="shared" ref="A45:B60" si="28">A44+1</f>
        <v>1157</v>
      </c>
      <c r="B45" s="230">
        <f t="shared" si="28"/>
        <v>35</v>
      </c>
      <c r="C45" s="218" t="str">
        <f t="shared" si="5"/>
        <v>091_08-008_000_05</v>
      </c>
      <c r="D45" s="231">
        <f t="shared" si="25"/>
        <v>8</v>
      </c>
      <c r="E45" s="239">
        <f t="shared" si="0"/>
        <v>1.6240000000000001</v>
      </c>
      <c r="F45" s="232">
        <f t="shared" si="23"/>
        <v>20.3</v>
      </c>
      <c r="G45" s="232">
        <f t="shared" si="1"/>
        <v>16.240000000000002</v>
      </c>
      <c r="H45" s="232">
        <f t="shared" si="2"/>
        <v>10.15</v>
      </c>
      <c r="I45" s="232">
        <f t="shared" si="12"/>
        <v>8</v>
      </c>
      <c r="J45" s="233">
        <f>yaw_max</f>
        <v>8</v>
      </c>
      <c r="K45" s="228" t="str">
        <f>D45&amp;-5</f>
        <v>8-5</v>
      </c>
      <c r="L45" s="232">
        <f t="shared" ref="L45:N60" si="29">L44</f>
        <v>0.2</v>
      </c>
      <c r="M45" s="232">
        <f t="shared" si="29"/>
        <v>150</v>
      </c>
      <c r="N45" s="232">
        <f t="shared" si="29"/>
        <v>750</v>
      </c>
      <c r="O45" s="217"/>
      <c r="P45" s="38">
        <f t="shared" si="16"/>
        <v>7.5</v>
      </c>
      <c r="Q45" s="38">
        <f t="shared" si="17"/>
        <v>8.5</v>
      </c>
      <c r="R45" s="39">
        <f t="shared" si="26"/>
        <v>0.54406187223400382</v>
      </c>
      <c r="S45" s="39">
        <f t="shared" si="26"/>
        <v>0.63534380749788655</v>
      </c>
      <c r="T45" s="39">
        <f t="shared" si="6"/>
        <v>9.128193526388273E-2</v>
      </c>
      <c r="U45" s="40">
        <f t="shared" si="27"/>
        <v>0</v>
      </c>
      <c r="V45" s="40" t="str">
        <f t="shared" si="15"/>
        <v>H</v>
      </c>
      <c r="W45" s="217">
        <f t="shared" si="7"/>
        <v>0</v>
      </c>
      <c r="X45" s="176">
        <f t="shared" si="8"/>
        <v>0</v>
      </c>
    </row>
    <row r="46" spans="1:24" ht="15.75" thickBot="1" x14ac:dyDescent="0.3">
      <c r="A46" s="229">
        <f t="shared" si="28"/>
        <v>1158</v>
      </c>
      <c r="B46" s="230">
        <f t="shared" si="28"/>
        <v>36</v>
      </c>
      <c r="C46" s="218" t="str">
        <f t="shared" si="5"/>
        <v>091_08-008_000_06</v>
      </c>
      <c r="D46" s="231">
        <f t="shared" si="25"/>
        <v>8</v>
      </c>
      <c r="E46" s="239">
        <f t="shared" si="0"/>
        <v>1.6240000000000001</v>
      </c>
      <c r="F46" s="232">
        <f t="shared" si="23"/>
        <v>20.3</v>
      </c>
      <c r="G46" s="232">
        <f t="shared" si="1"/>
        <v>16.240000000000002</v>
      </c>
      <c r="H46" s="232">
        <f t="shared" si="2"/>
        <v>10.15</v>
      </c>
      <c r="I46" s="232">
        <f t="shared" si="12"/>
        <v>8</v>
      </c>
      <c r="J46" s="233">
        <f>yaw_max</f>
        <v>8</v>
      </c>
      <c r="K46" s="228" t="str">
        <f>D46&amp;-6</f>
        <v>8-6</v>
      </c>
      <c r="L46" s="232">
        <f t="shared" si="29"/>
        <v>0.2</v>
      </c>
      <c r="M46" s="232">
        <f t="shared" si="29"/>
        <v>150</v>
      </c>
      <c r="N46" s="232">
        <f t="shared" si="29"/>
        <v>750</v>
      </c>
      <c r="O46" s="217"/>
      <c r="P46" s="38">
        <f t="shared" si="16"/>
        <v>7.5</v>
      </c>
      <c r="Q46" s="38">
        <f t="shared" si="17"/>
        <v>8.5</v>
      </c>
      <c r="R46" s="39">
        <f t="shared" si="26"/>
        <v>0.54406187223400382</v>
      </c>
      <c r="S46" s="39">
        <f t="shared" si="26"/>
        <v>0.63534380749788655</v>
      </c>
      <c r="T46" s="39">
        <f t="shared" si="6"/>
        <v>9.128193526388273E-2</v>
      </c>
      <c r="U46" s="40">
        <f t="shared" si="27"/>
        <v>0</v>
      </c>
      <c r="V46" s="40" t="str">
        <f t="shared" si="15"/>
        <v>H</v>
      </c>
      <c r="W46" s="217">
        <f t="shared" si="7"/>
        <v>0</v>
      </c>
      <c r="X46" s="176">
        <f t="shared" si="8"/>
        <v>0</v>
      </c>
    </row>
    <row r="47" spans="1:24" ht="15.75" thickBot="1" x14ac:dyDescent="0.3">
      <c r="A47" s="229">
        <f t="shared" si="28"/>
        <v>1159</v>
      </c>
      <c r="B47" s="230">
        <f t="shared" si="28"/>
        <v>37</v>
      </c>
      <c r="C47" s="218" t="str">
        <f t="shared" si="5"/>
        <v>091_09-352_000_01</v>
      </c>
      <c r="D47" s="231">
        <f>D41+V_step_12</f>
        <v>9</v>
      </c>
      <c r="E47" s="239">
        <f t="shared" si="0"/>
        <v>1.7290000000000001</v>
      </c>
      <c r="F47" s="232">
        <f t="shared" si="23"/>
        <v>19.211111111111112</v>
      </c>
      <c r="G47" s="232">
        <f t="shared" si="1"/>
        <v>15.36888888888889</v>
      </c>
      <c r="H47" s="232">
        <f t="shared" si="2"/>
        <v>9.6055555555555561</v>
      </c>
      <c r="I47" s="232">
        <f t="shared" si="12"/>
        <v>8</v>
      </c>
      <c r="J47" s="233">
        <f>yaw_min</f>
        <v>-8</v>
      </c>
      <c r="K47" s="228" t="str">
        <f>D47&amp;-1</f>
        <v>9-1</v>
      </c>
      <c r="L47" s="232">
        <f t="shared" si="29"/>
        <v>0.2</v>
      </c>
      <c r="M47" s="232">
        <f t="shared" si="29"/>
        <v>150</v>
      </c>
      <c r="N47" s="232">
        <f t="shared" si="29"/>
        <v>750</v>
      </c>
      <c r="O47" s="217"/>
      <c r="P47" s="38">
        <f t="shared" si="16"/>
        <v>8.5</v>
      </c>
      <c r="Q47" s="38">
        <f t="shared" si="17"/>
        <v>9.5</v>
      </c>
      <c r="R47" s="39">
        <f t="shared" si="26"/>
        <v>0.63534380749788655</v>
      </c>
      <c r="S47" s="39">
        <f t="shared" si="26"/>
        <v>0.71638219946201009</v>
      </c>
      <c r="T47" s="39">
        <f t="shared" si="6"/>
        <v>8.1038391964123546E-2</v>
      </c>
      <c r="U47" s="40">
        <f t="shared" si="27"/>
        <v>0</v>
      </c>
      <c r="V47" s="40" t="str">
        <f t="shared" si="15"/>
        <v>H</v>
      </c>
      <c r="W47" s="217">
        <f t="shared" si="7"/>
        <v>0</v>
      </c>
      <c r="X47" s="176">
        <f t="shared" si="8"/>
        <v>0</v>
      </c>
    </row>
    <row r="48" spans="1:24" ht="15.75" thickBot="1" x14ac:dyDescent="0.3">
      <c r="A48" s="229">
        <f t="shared" si="28"/>
        <v>1160</v>
      </c>
      <c r="B48" s="230">
        <f t="shared" si="28"/>
        <v>38</v>
      </c>
      <c r="C48" s="218" t="str">
        <f t="shared" si="5"/>
        <v>091_09-352_000_02</v>
      </c>
      <c r="D48" s="231">
        <f>D47</f>
        <v>9</v>
      </c>
      <c r="E48" s="239">
        <f t="shared" si="0"/>
        <v>1.7290000000000001</v>
      </c>
      <c r="F48" s="232">
        <f t="shared" si="23"/>
        <v>19.211111111111112</v>
      </c>
      <c r="G48" s="232">
        <f t="shared" si="1"/>
        <v>15.36888888888889</v>
      </c>
      <c r="H48" s="232">
        <f t="shared" si="2"/>
        <v>9.6055555555555561</v>
      </c>
      <c r="I48" s="232">
        <f t="shared" si="12"/>
        <v>8</v>
      </c>
      <c r="J48" s="233">
        <f>yaw_min</f>
        <v>-8</v>
      </c>
      <c r="K48" s="228" t="str">
        <f>D48&amp;-2</f>
        <v>9-2</v>
      </c>
      <c r="L48" s="232">
        <f t="shared" si="29"/>
        <v>0.2</v>
      </c>
      <c r="M48" s="232">
        <f t="shared" si="29"/>
        <v>150</v>
      </c>
      <c r="N48" s="232">
        <f t="shared" si="29"/>
        <v>750</v>
      </c>
      <c r="O48" s="217"/>
      <c r="P48" s="38">
        <f t="shared" si="16"/>
        <v>8.5</v>
      </c>
      <c r="Q48" s="38">
        <f t="shared" si="17"/>
        <v>9.5</v>
      </c>
      <c r="R48" s="39">
        <f t="shared" si="26"/>
        <v>0.63534380749788655</v>
      </c>
      <c r="S48" s="39">
        <f t="shared" si="26"/>
        <v>0.71638219946201009</v>
      </c>
      <c r="T48" s="39">
        <f t="shared" si="6"/>
        <v>8.1038391964123546E-2</v>
      </c>
      <c r="U48" s="40">
        <f t="shared" si="27"/>
        <v>0</v>
      </c>
      <c r="V48" s="40" t="str">
        <f t="shared" si="15"/>
        <v>H</v>
      </c>
      <c r="W48" s="217">
        <f t="shared" si="7"/>
        <v>0</v>
      </c>
      <c r="X48" s="176">
        <f t="shared" si="8"/>
        <v>0</v>
      </c>
    </row>
    <row r="49" spans="1:24" ht="15.75" thickBot="1" x14ac:dyDescent="0.3">
      <c r="A49" s="229">
        <f t="shared" si="28"/>
        <v>1161</v>
      </c>
      <c r="B49" s="230">
        <f t="shared" si="28"/>
        <v>39</v>
      </c>
      <c r="C49" s="218" t="str">
        <f t="shared" si="5"/>
        <v>091_09-000_000_03</v>
      </c>
      <c r="D49" s="231">
        <f t="shared" ref="D49:D52" si="30">D48</f>
        <v>9</v>
      </c>
      <c r="E49" s="239">
        <f t="shared" si="0"/>
        <v>1.7290000000000001</v>
      </c>
      <c r="F49" s="232">
        <f t="shared" si="23"/>
        <v>19.211111111111112</v>
      </c>
      <c r="G49" s="232">
        <f t="shared" si="1"/>
        <v>15.36888888888889</v>
      </c>
      <c r="H49" s="232">
        <f t="shared" si="2"/>
        <v>9.6055555555555561</v>
      </c>
      <c r="I49" s="232">
        <f t="shared" si="12"/>
        <v>8</v>
      </c>
      <c r="J49" s="233">
        <f>yaw_null</f>
        <v>0</v>
      </c>
      <c r="K49" s="228" t="str">
        <f>D49&amp;-3</f>
        <v>9-3</v>
      </c>
      <c r="L49" s="232">
        <f t="shared" si="29"/>
        <v>0.2</v>
      </c>
      <c r="M49" s="232">
        <f t="shared" si="29"/>
        <v>150</v>
      </c>
      <c r="N49" s="232">
        <f t="shared" si="29"/>
        <v>750</v>
      </c>
      <c r="O49" s="217"/>
      <c r="P49" s="38">
        <f t="shared" si="16"/>
        <v>8.5</v>
      </c>
      <c r="Q49" s="38">
        <f t="shared" si="17"/>
        <v>9.5</v>
      </c>
      <c r="R49" s="39">
        <f t="shared" si="26"/>
        <v>0.63534380749788655</v>
      </c>
      <c r="S49" s="39">
        <f t="shared" si="26"/>
        <v>0.71638219946201009</v>
      </c>
      <c r="T49" s="39">
        <f t="shared" si="6"/>
        <v>8.1038391964123546E-2</v>
      </c>
      <c r="U49" s="40">
        <f t="shared" si="27"/>
        <v>0</v>
      </c>
      <c r="V49" s="40" t="str">
        <f t="shared" si="15"/>
        <v>H</v>
      </c>
      <c r="W49" s="217">
        <f t="shared" si="7"/>
        <v>0</v>
      </c>
      <c r="X49" s="176">
        <f t="shared" si="8"/>
        <v>0</v>
      </c>
    </row>
    <row r="50" spans="1:24" ht="15.75" thickBot="1" x14ac:dyDescent="0.3">
      <c r="A50" s="229">
        <f t="shared" si="28"/>
        <v>1162</v>
      </c>
      <c r="B50" s="230">
        <f t="shared" si="28"/>
        <v>40</v>
      </c>
      <c r="C50" s="218" t="str">
        <f t="shared" si="5"/>
        <v>091_09-000_000_04</v>
      </c>
      <c r="D50" s="231">
        <f t="shared" si="30"/>
        <v>9</v>
      </c>
      <c r="E50" s="239">
        <f t="shared" si="0"/>
        <v>1.7290000000000001</v>
      </c>
      <c r="F50" s="232">
        <f t="shared" si="23"/>
        <v>19.211111111111112</v>
      </c>
      <c r="G50" s="232">
        <f t="shared" si="1"/>
        <v>15.36888888888889</v>
      </c>
      <c r="H50" s="232">
        <f t="shared" si="2"/>
        <v>9.6055555555555561</v>
      </c>
      <c r="I50" s="232">
        <f t="shared" si="12"/>
        <v>8</v>
      </c>
      <c r="J50" s="233">
        <f>yaw_null</f>
        <v>0</v>
      </c>
      <c r="K50" s="228" t="str">
        <f>D50&amp;-4</f>
        <v>9-4</v>
      </c>
      <c r="L50" s="232">
        <f t="shared" si="29"/>
        <v>0.2</v>
      </c>
      <c r="M50" s="232">
        <f t="shared" si="29"/>
        <v>150</v>
      </c>
      <c r="N50" s="232">
        <f t="shared" si="29"/>
        <v>750</v>
      </c>
      <c r="O50" s="217"/>
      <c r="P50" s="38">
        <f t="shared" si="16"/>
        <v>8.5</v>
      </c>
      <c r="Q50" s="38">
        <f t="shared" si="17"/>
        <v>9.5</v>
      </c>
      <c r="R50" s="39">
        <f t="shared" si="26"/>
        <v>0.63534380749788655</v>
      </c>
      <c r="S50" s="39">
        <f t="shared" si="26"/>
        <v>0.71638219946201009</v>
      </c>
      <c r="T50" s="39">
        <f t="shared" si="6"/>
        <v>8.1038391964123546E-2</v>
      </c>
      <c r="U50" s="40">
        <f t="shared" si="27"/>
        <v>0</v>
      </c>
      <c r="V50" s="40" t="str">
        <f t="shared" si="15"/>
        <v>H</v>
      </c>
      <c r="W50" s="217">
        <f t="shared" si="7"/>
        <v>0</v>
      </c>
      <c r="X50" s="176">
        <f t="shared" si="8"/>
        <v>0</v>
      </c>
    </row>
    <row r="51" spans="1:24" ht="15.75" thickBot="1" x14ac:dyDescent="0.3">
      <c r="A51" s="229">
        <f t="shared" si="28"/>
        <v>1163</v>
      </c>
      <c r="B51" s="230">
        <f t="shared" si="28"/>
        <v>41</v>
      </c>
      <c r="C51" s="218" t="str">
        <f t="shared" si="5"/>
        <v>091_09-008_000_05</v>
      </c>
      <c r="D51" s="231">
        <f t="shared" si="30"/>
        <v>9</v>
      </c>
      <c r="E51" s="239">
        <f t="shared" si="0"/>
        <v>1.7290000000000001</v>
      </c>
      <c r="F51" s="232">
        <f t="shared" si="23"/>
        <v>19.211111111111112</v>
      </c>
      <c r="G51" s="232">
        <f t="shared" si="1"/>
        <v>15.36888888888889</v>
      </c>
      <c r="H51" s="232">
        <f t="shared" si="2"/>
        <v>9.6055555555555561</v>
      </c>
      <c r="I51" s="232">
        <f t="shared" si="12"/>
        <v>8</v>
      </c>
      <c r="J51" s="233">
        <f>yaw_max</f>
        <v>8</v>
      </c>
      <c r="K51" s="228" t="str">
        <f>D51&amp;-5</f>
        <v>9-5</v>
      </c>
      <c r="L51" s="232">
        <f t="shared" si="29"/>
        <v>0.2</v>
      </c>
      <c r="M51" s="232">
        <f t="shared" si="29"/>
        <v>150</v>
      </c>
      <c r="N51" s="232">
        <f t="shared" si="29"/>
        <v>750</v>
      </c>
      <c r="O51" s="217"/>
      <c r="P51" s="38">
        <f t="shared" si="16"/>
        <v>8.5</v>
      </c>
      <c r="Q51" s="38">
        <f t="shared" si="17"/>
        <v>9.5</v>
      </c>
      <c r="R51" s="39">
        <f t="shared" si="26"/>
        <v>0.63534380749788655</v>
      </c>
      <c r="S51" s="39">
        <f t="shared" si="26"/>
        <v>0.71638219946201009</v>
      </c>
      <c r="T51" s="39">
        <f t="shared" si="6"/>
        <v>8.1038391964123546E-2</v>
      </c>
      <c r="U51" s="40">
        <f t="shared" si="27"/>
        <v>0</v>
      </c>
      <c r="V51" s="40" t="str">
        <f t="shared" si="15"/>
        <v>H</v>
      </c>
      <c r="W51" s="217">
        <f t="shared" si="7"/>
        <v>0</v>
      </c>
      <c r="X51" s="176">
        <f t="shared" si="8"/>
        <v>0</v>
      </c>
    </row>
    <row r="52" spans="1:24" ht="15.75" thickBot="1" x14ac:dyDescent="0.3">
      <c r="A52" s="229">
        <f t="shared" si="28"/>
        <v>1164</v>
      </c>
      <c r="B52" s="230">
        <f t="shared" si="28"/>
        <v>42</v>
      </c>
      <c r="C52" s="218" t="str">
        <f t="shared" si="5"/>
        <v>091_09-008_000_06</v>
      </c>
      <c r="D52" s="231">
        <f t="shared" si="30"/>
        <v>9</v>
      </c>
      <c r="E52" s="239">
        <f t="shared" si="0"/>
        <v>1.7290000000000001</v>
      </c>
      <c r="F52" s="232">
        <f t="shared" si="23"/>
        <v>19.211111111111112</v>
      </c>
      <c r="G52" s="232">
        <f t="shared" si="1"/>
        <v>15.36888888888889</v>
      </c>
      <c r="H52" s="232">
        <f t="shared" si="2"/>
        <v>9.6055555555555561</v>
      </c>
      <c r="I52" s="232">
        <f t="shared" si="12"/>
        <v>8</v>
      </c>
      <c r="J52" s="233">
        <f>yaw_max</f>
        <v>8</v>
      </c>
      <c r="K52" s="228" t="str">
        <f>D52&amp;-6</f>
        <v>9-6</v>
      </c>
      <c r="L52" s="232">
        <f t="shared" si="29"/>
        <v>0.2</v>
      </c>
      <c r="M52" s="232">
        <f t="shared" si="29"/>
        <v>150</v>
      </c>
      <c r="N52" s="232">
        <f t="shared" si="29"/>
        <v>750</v>
      </c>
      <c r="O52" s="217"/>
      <c r="P52" s="38">
        <f t="shared" si="16"/>
        <v>8.5</v>
      </c>
      <c r="Q52" s="38">
        <f t="shared" si="17"/>
        <v>9.5</v>
      </c>
      <c r="R52" s="39">
        <f t="shared" si="26"/>
        <v>0.63534380749788655</v>
      </c>
      <c r="S52" s="39">
        <f t="shared" si="26"/>
        <v>0.71638219946201009</v>
      </c>
      <c r="T52" s="39">
        <f t="shared" si="6"/>
        <v>8.1038391964123546E-2</v>
      </c>
      <c r="U52" s="40">
        <f t="shared" si="27"/>
        <v>0</v>
      </c>
      <c r="V52" s="40" t="str">
        <f t="shared" si="15"/>
        <v>H</v>
      </c>
      <c r="W52" s="217">
        <f t="shared" si="7"/>
        <v>0</v>
      </c>
      <c r="X52" s="176">
        <f t="shared" si="8"/>
        <v>0</v>
      </c>
    </row>
    <row r="53" spans="1:24" ht="15.75" thickBot="1" x14ac:dyDescent="0.3">
      <c r="A53" s="229">
        <f t="shared" si="28"/>
        <v>1165</v>
      </c>
      <c r="B53" s="230">
        <f t="shared" si="28"/>
        <v>43</v>
      </c>
      <c r="C53" s="218" t="str">
        <f t="shared" si="5"/>
        <v>091_10-352_000_01</v>
      </c>
      <c r="D53" s="231">
        <f>D47+V_step_12</f>
        <v>10</v>
      </c>
      <c r="E53" s="239">
        <f t="shared" si="0"/>
        <v>1.8340000000000001</v>
      </c>
      <c r="F53" s="232">
        <f>E53/D53*100</f>
        <v>18.34</v>
      </c>
      <c r="G53" s="232">
        <f t="shared" si="1"/>
        <v>14.672000000000001</v>
      </c>
      <c r="H53" s="232">
        <f t="shared" si="2"/>
        <v>9.17</v>
      </c>
      <c r="I53" s="232">
        <f t="shared" si="12"/>
        <v>8</v>
      </c>
      <c r="J53" s="233">
        <f>yaw_min</f>
        <v>-8</v>
      </c>
      <c r="K53" s="228" t="str">
        <f>D53&amp;-1</f>
        <v>10-1</v>
      </c>
      <c r="L53" s="232">
        <f t="shared" si="29"/>
        <v>0.2</v>
      </c>
      <c r="M53" s="232">
        <f t="shared" si="29"/>
        <v>150</v>
      </c>
      <c r="N53" s="232">
        <f t="shared" si="29"/>
        <v>750</v>
      </c>
      <c r="O53" s="217"/>
      <c r="P53" s="38">
        <f t="shared" si="16"/>
        <v>9.5</v>
      </c>
      <c r="Q53" s="38">
        <f t="shared" si="17"/>
        <v>10.5</v>
      </c>
      <c r="R53" s="39">
        <f t="shared" si="26"/>
        <v>0.71638219946201009</v>
      </c>
      <c r="S53" s="39">
        <f t="shared" si="26"/>
        <v>0.78548602693873804</v>
      </c>
      <c r="T53" s="39">
        <f t="shared" si="6"/>
        <v>6.9103827476727941E-2</v>
      </c>
      <c r="U53" s="40">
        <f t="shared" si="27"/>
        <v>0</v>
      </c>
      <c r="V53" s="40" t="str">
        <f t="shared" si="15"/>
        <v>H</v>
      </c>
      <c r="W53" s="217">
        <f t="shared" si="7"/>
        <v>0</v>
      </c>
      <c r="X53" s="176">
        <f t="shared" si="8"/>
        <v>0</v>
      </c>
    </row>
    <row r="54" spans="1:24" ht="15.75" thickBot="1" x14ac:dyDescent="0.3">
      <c r="A54" s="229">
        <f t="shared" si="28"/>
        <v>1166</v>
      </c>
      <c r="B54" s="230">
        <f t="shared" si="28"/>
        <v>44</v>
      </c>
      <c r="C54" s="218" t="str">
        <f t="shared" si="5"/>
        <v>091_10-352_000_02</v>
      </c>
      <c r="D54" s="231">
        <f>D53</f>
        <v>10</v>
      </c>
      <c r="E54" s="239">
        <f t="shared" si="0"/>
        <v>1.8340000000000001</v>
      </c>
      <c r="F54" s="232">
        <f t="shared" ref="F54:F82" si="31">E54/D54*100</f>
        <v>18.34</v>
      </c>
      <c r="G54" s="232">
        <f t="shared" si="1"/>
        <v>14.672000000000001</v>
      </c>
      <c r="H54" s="232">
        <f t="shared" si="2"/>
        <v>9.17</v>
      </c>
      <c r="I54" s="232">
        <f t="shared" si="12"/>
        <v>8</v>
      </c>
      <c r="J54" s="233">
        <f>yaw_min</f>
        <v>-8</v>
      </c>
      <c r="K54" s="228" t="str">
        <f>D54&amp;-2</f>
        <v>10-2</v>
      </c>
      <c r="L54" s="232">
        <f t="shared" si="29"/>
        <v>0.2</v>
      </c>
      <c r="M54" s="232">
        <f t="shared" si="29"/>
        <v>150</v>
      </c>
      <c r="N54" s="232">
        <f t="shared" si="29"/>
        <v>750</v>
      </c>
      <c r="O54" s="217"/>
      <c r="P54" s="38">
        <f t="shared" si="16"/>
        <v>9.5</v>
      </c>
      <c r="Q54" s="38">
        <f t="shared" si="17"/>
        <v>10.5</v>
      </c>
      <c r="R54" s="39">
        <f t="shared" si="26"/>
        <v>0.71638219946201009</v>
      </c>
      <c r="S54" s="39">
        <f t="shared" si="26"/>
        <v>0.78548602693873804</v>
      </c>
      <c r="T54" s="39">
        <f t="shared" si="6"/>
        <v>6.9103827476727941E-2</v>
      </c>
      <c r="U54" s="40">
        <f t="shared" si="27"/>
        <v>0</v>
      </c>
      <c r="V54" s="40" t="str">
        <f t="shared" si="15"/>
        <v>H</v>
      </c>
      <c r="W54" s="217">
        <f t="shared" si="7"/>
        <v>0</v>
      </c>
      <c r="X54" s="176">
        <f t="shared" si="8"/>
        <v>0</v>
      </c>
    </row>
    <row r="55" spans="1:24" ht="15.75" thickBot="1" x14ac:dyDescent="0.3">
      <c r="A55" s="229">
        <f t="shared" si="28"/>
        <v>1167</v>
      </c>
      <c r="B55" s="230">
        <f t="shared" si="28"/>
        <v>45</v>
      </c>
      <c r="C55" s="218" t="str">
        <f t="shared" si="5"/>
        <v>091_10-000_000_03</v>
      </c>
      <c r="D55" s="231">
        <f t="shared" ref="D55:D58" si="32">D54</f>
        <v>10</v>
      </c>
      <c r="E55" s="239">
        <f t="shared" si="0"/>
        <v>1.8340000000000001</v>
      </c>
      <c r="F55" s="232">
        <f t="shared" si="31"/>
        <v>18.34</v>
      </c>
      <c r="G55" s="232">
        <f t="shared" si="1"/>
        <v>14.672000000000001</v>
      </c>
      <c r="H55" s="232">
        <f t="shared" si="2"/>
        <v>9.17</v>
      </c>
      <c r="I55" s="232">
        <f t="shared" si="12"/>
        <v>8</v>
      </c>
      <c r="J55" s="233">
        <f>yaw_null</f>
        <v>0</v>
      </c>
      <c r="K55" s="228" t="str">
        <f>D55&amp;-3</f>
        <v>10-3</v>
      </c>
      <c r="L55" s="232">
        <f t="shared" si="29"/>
        <v>0.2</v>
      </c>
      <c r="M55" s="232">
        <f t="shared" si="29"/>
        <v>150</v>
      </c>
      <c r="N55" s="232">
        <f t="shared" si="29"/>
        <v>750</v>
      </c>
      <c r="O55" s="217"/>
      <c r="P55" s="38">
        <f t="shared" si="16"/>
        <v>9.5</v>
      </c>
      <c r="Q55" s="38">
        <f t="shared" si="17"/>
        <v>10.5</v>
      </c>
      <c r="R55" s="39">
        <f t="shared" si="26"/>
        <v>0.71638219946201009</v>
      </c>
      <c r="S55" s="39">
        <f t="shared" si="26"/>
        <v>0.78548602693873804</v>
      </c>
      <c r="T55" s="39">
        <f t="shared" si="6"/>
        <v>6.9103827476727941E-2</v>
      </c>
      <c r="U55" s="40">
        <f t="shared" si="27"/>
        <v>0</v>
      </c>
      <c r="V55" s="40" t="str">
        <f t="shared" si="15"/>
        <v>H</v>
      </c>
      <c r="W55" s="217">
        <f t="shared" si="7"/>
        <v>0</v>
      </c>
      <c r="X55" s="176">
        <f t="shared" si="8"/>
        <v>0</v>
      </c>
    </row>
    <row r="56" spans="1:24" ht="15.75" thickBot="1" x14ac:dyDescent="0.3">
      <c r="A56" s="229">
        <f t="shared" si="28"/>
        <v>1168</v>
      </c>
      <c r="B56" s="230">
        <f t="shared" si="28"/>
        <v>46</v>
      </c>
      <c r="C56" s="218" t="str">
        <f t="shared" si="5"/>
        <v>091_10-000_000_04</v>
      </c>
      <c r="D56" s="231">
        <f t="shared" si="32"/>
        <v>10</v>
      </c>
      <c r="E56" s="239">
        <f t="shared" si="0"/>
        <v>1.8340000000000001</v>
      </c>
      <c r="F56" s="232">
        <f t="shared" si="31"/>
        <v>18.34</v>
      </c>
      <c r="G56" s="232">
        <f t="shared" si="1"/>
        <v>14.672000000000001</v>
      </c>
      <c r="H56" s="232">
        <f t="shared" si="2"/>
        <v>9.17</v>
      </c>
      <c r="I56" s="232">
        <f t="shared" si="12"/>
        <v>8</v>
      </c>
      <c r="J56" s="233">
        <f>yaw_null</f>
        <v>0</v>
      </c>
      <c r="K56" s="228" t="str">
        <f>D56&amp;-4</f>
        <v>10-4</v>
      </c>
      <c r="L56" s="232">
        <f t="shared" si="29"/>
        <v>0.2</v>
      </c>
      <c r="M56" s="232">
        <f t="shared" si="29"/>
        <v>150</v>
      </c>
      <c r="N56" s="232">
        <f t="shared" si="29"/>
        <v>750</v>
      </c>
      <c r="O56" s="217"/>
      <c r="P56" s="38">
        <f t="shared" si="16"/>
        <v>9.5</v>
      </c>
      <c r="Q56" s="38">
        <f t="shared" si="17"/>
        <v>10.5</v>
      </c>
      <c r="R56" s="39">
        <f t="shared" si="26"/>
        <v>0.71638219946201009</v>
      </c>
      <c r="S56" s="39">
        <f t="shared" si="26"/>
        <v>0.78548602693873804</v>
      </c>
      <c r="T56" s="39">
        <f t="shared" si="6"/>
        <v>6.9103827476727941E-2</v>
      </c>
      <c r="U56" s="40">
        <f t="shared" si="27"/>
        <v>0</v>
      </c>
      <c r="V56" s="40" t="str">
        <f t="shared" si="15"/>
        <v>H</v>
      </c>
      <c r="W56" s="217">
        <f t="shared" si="7"/>
        <v>0</v>
      </c>
      <c r="X56" s="176">
        <f t="shared" si="8"/>
        <v>0</v>
      </c>
    </row>
    <row r="57" spans="1:24" ht="15.75" thickBot="1" x14ac:dyDescent="0.3">
      <c r="A57" s="229">
        <f t="shared" si="28"/>
        <v>1169</v>
      </c>
      <c r="B57" s="230">
        <f t="shared" si="28"/>
        <v>47</v>
      </c>
      <c r="C57" s="218" t="str">
        <f t="shared" si="5"/>
        <v>091_10-008_000_05</v>
      </c>
      <c r="D57" s="231">
        <f t="shared" si="32"/>
        <v>10</v>
      </c>
      <c r="E57" s="239">
        <f t="shared" si="0"/>
        <v>1.8340000000000001</v>
      </c>
      <c r="F57" s="232">
        <f t="shared" si="31"/>
        <v>18.34</v>
      </c>
      <c r="G57" s="232">
        <f t="shared" si="1"/>
        <v>14.672000000000001</v>
      </c>
      <c r="H57" s="232">
        <f t="shared" si="2"/>
        <v>9.17</v>
      </c>
      <c r="I57" s="232">
        <f t="shared" si="12"/>
        <v>8</v>
      </c>
      <c r="J57" s="233">
        <f>yaw_max</f>
        <v>8</v>
      </c>
      <c r="K57" s="228" t="str">
        <f>D57&amp;-5</f>
        <v>10-5</v>
      </c>
      <c r="L57" s="232">
        <f t="shared" si="29"/>
        <v>0.2</v>
      </c>
      <c r="M57" s="232">
        <f t="shared" si="29"/>
        <v>150</v>
      </c>
      <c r="N57" s="232">
        <f t="shared" si="29"/>
        <v>750</v>
      </c>
      <c r="O57" s="217"/>
      <c r="P57" s="38">
        <f t="shared" si="16"/>
        <v>9.5</v>
      </c>
      <c r="Q57" s="38">
        <f t="shared" si="17"/>
        <v>10.5</v>
      </c>
      <c r="R57" s="39">
        <f t="shared" si="26"/>
        <v>0.71638219946201009</v>
      </c>
      <c r="S57" s="39">
        <f t="shared" si="26"/>
        <v>0.78548602693873804</v>
      </c>
      <c r="T57" s="39">
        <f t="shared" si="6"/>
        <v>6.9103827476727941E-2</v>
      </c>
      <c r="U57" s="40">
        <f t="shared" si="27"/>
        <v>0</v>
      </c>
      <c r="V57" s="40" t="str">
        <f t="shared" si="15"/>
        <v>H</v>
      </c>
      <c r="W57" s="217">
        <f t="shared" si="7"/>
        <v>0</v>
      </c>
      <c r="X57" s="176">
        <f t="shared" si="8"/>
        <v>0</v>
      </c>
    </row>
    <row r="58" spans="1:24" ht="15.75" thickBot="1" x14ac:dyDescent="0.3">
      <c r="A58" s="229">
        <f t="shared" si="28"/>
        <v>1170</v>
      </c>
      <c r="B58" s="230">
        <f t="shared" si="28"/>
        <v>48</v>
      </c>
      <c r="C58" s="218" t="str">
        <f t="shared" si="5"/>
        <v>091_10-008_000_06</v>
      </c>
      <c r="D58" s="231">
        <f t="shared" si="32"/>
        <v>10</v>
      </c>
      <c r="E58" s="239">
        <f t="shared" si="0"/>
        <v>1.8340000000000001</v>
      </c>
      <c r="F58" s="232">
        <f t="shared" si="31"/>
        <v>18.34</v>
      </c>
      <c r="G58" s="232">
        <f t="shared" si="1"/>
        <v>14.672000000000001</v>
      </c>
      <c r="H58" s="232">
        <f t="shared" si="2"/>
        <v>9.17</v>
      </c>
      <c r="I58" s="232">
        <f t="shared" si="12"/>
        <v>8</v>
      </c>
      <c r="J58" s="233">
        <f>yaw_max</f>
        <v>8</v>
      </c>
      <c r="K58" s="228" t="str">
        <f>D58&amp;-6</f>
        <v>10-6</v>
      </c>
      <c r="L58" s="232">
        <f t="shared" si="29"/>
        <v>0.2</v>
      </c>
      <c r="M58" s="232">
        <f t="shared" si="29"/>
        <v>150</v>
      </c>
      <c r="N58" s="232">
        <f t="shared" si="29"/>
        <v>750</v>
      </c>
      <c r="O58" s="217"/>
      <c r="P58" s="38">
        <f t="shared" si="16"/>
        <v>9.5</v>
      </c>
      <c r="Q58" s="38">
        <f t="shared" si="17"/>
        <v>10.5</v>
      </c>
      <c r="R58" s="39">
        <f t="shared" si="26"/>
        <v>0.71638219946201009</v>
      </c>
      <c r="S58" s="39">
        <f t="shared" si="26"/>
        <v>0.78548602693873804</v>
      </c>
      <c r="T58" s="39">
        <f t="shared" si="6"/>
        <v>6.9103827476727941E-2</v>
      </c>
      <c r="U58" s="40">
        <f t="shared" si="27"/>
        <v>0</v>
      </c>
      <c r="V58" s="40" t="str">
        <f t="shared" si="15"/>
        <v>H</v>
      </c>
      <c r="W58" s="217">
        <f t="shared" si="7"/>
        <v>0</v>
      </c>
      <c r="X58" s="176">
        <f t="shared" si="8"/>
        <v>0</v>
      </c>
    </row>
    <row r="59" spans="1:24" ht="15.75" thickBot="1" x14ac:dyDescent="0.3">
      <c r="A59" s="229">
        <f t="shared" si="28"/>
        <v>1171</v>
      </c>
      <c r="B59" s="230">
        <f t="shared" si="28"/>
        <v>49</v>
      </c>
      <c r="C59" s="218" t="str">
        <f t="shared" si="5"/>
        <v>091_11-352_000_01</v>
      </c>
      <c r="D59" s="231">
        <f>D53+V_step_12</f>
        <v>11</v>
      </c>
      <c r="E59" s="239">
        <f t="shared" si="0"/>
        <v>1.9390000000000001</v>
      </c>
      <c r="F59" s="232">
        <f t="shared" si="31"/>
        <v>17.627272727272729</v>
      </c>
      <c r="G59" s="232">
        <f t="shared" si="1"/>
        <v>14.101818181818183</v>
      </c>
      <c r="H59" s="232">
        <f t="shared" si="2"/>
        <v>8.8136363636363644</v>
      </c>
      <c r="I59" s="232">
        <f t="shared" si="12"/>
        <v>8</v>
      </c>
      <c r="J59" s="233">
        <f>yaw_min</f>
        <v>-8</v>
      </c>
      <c r="K59" s="228" t="str">
        <f>D59&amp;-1</f>
        <v>11-1</v>
      </c>
      <c r="L59" s="232">
        <f t="shared" si="29"/>
        <v>0.2</v>
      </c>
      <c r="M59" s="232">
        <f t="shared" si="29"/>
        <v>150</v>
      </c>
      <c r="N59" s="232">
        <f t="shared" si="29"/>
        <v>750</v>
      </c>
      <c r="O59" s="217"/>
      <c r="P59" s="38">
        <f t="shared" si="16"/>
        <v>10.5</v>
      </c>
      <c r="Q59" s="38">
        <f t="shared" si="17"/>
        <v>11.5</v>
      </c>
      <c r="R59" s="39">
        <f t="shared" si="26"/>
        <v>0.78548602693873804</v>
      </c>
      <c r="S59" s="39">
        <f t="shared" si="26"/>
        <v>0.84222074587081175</v>
      </c>
      <c r="T59" s="39">
        <f t="shared" si="6"/>
        <v>5.6734718932073713E-2</v>
      </c>
      <c r="U59" s="40">
        <f t="shared" si="27"/>
        <v>0</v>
      </c>
      <c r="V59" s="40" t="str">
        <f t="shared" si="15"/>
        <v>H</v>
      </c>
      <c r="W59" s="217">
        <f t="shared" si="7"/>
        <v>0</v>
      </c>
      <c r="X59" s="176">
        <f t="shared" si="8"/>
        <v>0</v>
      </c>
    </row>
    <row r="60" spans="1:24" ht="15.75" thickBot="1" x14ac:dyDescent="0.3">
      <c r="A60" s="229">
        <f t="shared" si="28"/>
        <v>1172</v>
      </c>
      <c r="B60" s="230">
        <f t="shared" si="28"/>
        <v>50</v>
      </c>
      <c r="C60" s="218" t="str">
        <f t="shared" si="5"/>
        <v>091_11-352_000_02</v>
      </c>
      <c r="D60" s="231">
        <f>D59</f>
        <v>11</v>
      </c>
      <c r="E60" s="239">
        <f t="shared" si="0"/>
        <v>1.9390000000000001</v>
      </c>
      <c r="F60" s="232">
        <f t="shared" si="31"/>
        <v>17.627272727272729</v>
      </c>
      <c r="G60" s="232">
        <f t="shared" si="1"/>
        <v>14.101818181818183</v>
      </c>
      <c r="H60" s="232">
        <f t="shared" si="2"/>
        <v>8.8136363636363644</v>
      </c>
      <c r="I60" s="232">
        <f t="shared" si="12"/>
        <v>8</v>
      </c>
      <c r="J60" s="233">
        <f>yaw_min</f>
        <v>-8</v>
      </c>
      <c r="K60" s="228" t="str">
        <f>D60&amp;-2</f>
        <v>11-2</v>
      </c>
      <c r="L60" s="232">
        <f t="shared" si="29"/>
        <v>0.2</v>
      </c>
      <c r="M60" s="232">
        <f t="shared" si="29"/>
        <v>150</v>
      </c>
      <c r="N60" s="232">
        <f t="shared" si="29"/>
        <v>750</v>
      </c>
      <c r="O60" s="217"/>
      <c r="P60" s="38">
        <f t="shared" si="16"/>
        <v>10.5</v>
      </c>
      <c r="Q60" s="38">
        <f t="shared" si="17"/>
        <v>11.5</v>
      </c>
      <c r="R60" s="39">
        <f t="shared" si="26"/>
        <v>0.78548602693873804</v>
      </c>
      <c r="S60" s="39">
        <f t="shared" si="26"/>
        <v>0.84222074587081175</v>
      </c>
      <c r="T60" s="39">
        <f t="shared" si="6"/>
        <v>5.6734718932073713E-2</v>
      </c>
      <c r="U60" s="40">
        <f t="shared" si="27"/>
        <v>0</v>
      </c>
      <c r="V60" s="40" t="str">
        <f t="shared" si="15"/>
        <v>H</v>
      </c>
      <c r="W60" s="217">
        <f t="shared" si="7"/>
        <v>0</v>
      </c>
      <c r="X60" s="176">
        <f t="shared" si="8"/>
        <v>0</v>
      </c>
    </row>
    <row r="61" spans="1:24" ht="15.75" thickBot="1" x14ac:dyDescent="0.3">
      <c r="A61" s="229">
        <f t="shared" ref="A61:B76" si="33">A60+1</f>
        <v>1173</v>
      </c>
      <c r="B61" s="230">
        <f t="shared" si="33"/>
        <v>51</v>
      </c>
      <c r="C61" s="218" t="str">
        <f t="shared" si="5"/>
        <v>091_11-000_000_03</v>
      </c>
      <c r="D61" s="231">
        <f t="shared" ref="D61:D64" si="34">D60</f>
        <v>11</v>
      </c>
      <c r="E61" s="239">
        <f t="shared" si="0"/>
        <v>1.9390000000000001</v>
      </c>
      <c r="F61" s="232">
        <f t="shared" si="31"/>
        <v>17.627272727272729</v>
      </c>
      <c r="G61" s="232">
        <f t="shared" si="1"/>
        <v>14.101818181818183</v>
      </c>
      <c r="H61" s="232">
        <f t="shared" si="2"/>
        <v>8.8136363636363644</v>
      </c>
      <c r="I61" s="232">
        <f t="shared" si="12"/>
        <v>8</v>
      </c>
      <c r="J61" s="233">
        <f>yaw_null</f>
        <v>0</v>
      </c>
      <c r="K61" s="228" t="str">
        <f>D61&amp;-3</f>
        <v>11-3</v>
      </c>
      <c r="L61" s="232">
        <f t="shared" ref="L61:N76" si="35">L60</f>
        <v>0.2</v>
      </c>
      <c r="M61" s="232">
        <f t="shared" si="35"/>
        <v>150</v>
      </c>
      <c r="N61" s="232">
        <f t="shared" si="35"/>
        <v>750</v>
      </c>
      <c r="O61" s="217"/>
      <c r="P61" s="38">
        <f t="shared" si="16"/>
        <v>10.5</v>
      </c>
      <c r="Q61" s="38">
        <f t="shared" si="17"/>
        <v>11.5</v>
      </c>
      <c r="R61" s="39">
        <f t="shared" si="26"/>
        <v>0.78548602693873804</v>
      </c>
      <c r="S61" s="39">
        <f t="shared" si="26"/>
        <v>0.84222074587081175</v>
      </c>
      <c r="T61" s="39">
        <f t="shared" si="6"/>
        <v>5.6734718932073713E-2</v>
      </c>
      <c r="U61" s="40">
        <f t="shared" si="27"/>
        <v>0</v>
      </c>
      <c r="V61" s="40" t="str">
        <f t="shared" si="15"/>
        <v>H</v>
      </c>
      <c r="W61" s="217">
        <f t="shared" si="7"/>
        <v>0</v>
      </c>
      <c r="X61" s="176">
        <f t="shared" si="8"/>
        <v>0</v>
      </c>
    </row>
    <row r="62" spans="1:24" ht="15.75" thickBot="1" x14ac:dyDescent="0.3">
      <c r="A62" s="229">
        <f t="shared" si="33"/>
        <v>1174</v>
      </c>
      <c r="B62" s="230">
        <f t="shared" si="33"/>
        <v>52</v>
      </c>
      <c r="C62" s="218" t="str">
        <f t="shared" si="5"/>
        <v>091_11-000_000_04</v>
      </c>
      <c r="D62" s="231">
        <f t="shared" si="34"/>
        <v>11</v>
      </c>
      <c r="E62" s="239">
        <f t="shared" si="0"/>
        <v>1.9390000000000001</v>
      </c>
      <c r="F62" s="232">
        <f t="shared" si="31"/>
        <v>17.627272727272729</v>
      </c>
      <c r="G62" s="232">
        <f t="shared" si="1"/>
        <v>14.101818181818183</v>
      </c>
      <c r="H62" s="232">
        <f t="shared" si="2"/>
        <v>8.8136363636363644</v>
      </c>
      <c r="I62" s="232">
        <f t="shared" si="12"/>
        <v>8</v>
      </c>
      <c r="J62" s="233">
        <f>yaw_null</f>
        <v>0</v>
      </c>
      <c r="K62" s="228" t="str">
        <f>D62&amp;-4</f>
        <v>11-4</v>
      </c>
      <c r="L62" s="232">
        <f t="shared" si="35"/>
        <v>0.2</v>
      </c>
      <c r="M62" s="232">
        <f t="shared" si="35"/>
        <v>150</v>
      </c>
      <c r="N62" s="232">
        <f t="shared" si="35"/>
        <v>750</v>
      </c>
      <c r="O62" s="217"/>
      <c r="P62" s="38">
        <f t="shared" si="16"/>
        <v>10.5</v>
      </c>
      <c r="Q62" s="38">
        <f t="shared" si="17"/>
        <v>11.5</v>
      </c>
      <c r="R62" s="39">
        <f t="shared" si="26"/>
        <v>0.78548602693873804</v>
      </c>
      <c r="S62" s="39">
        <f t="shared" si="26"/>
        <v>0.84222074587081175</v>
      </c>
      <c r="T62" s="39">
        <f t="shared" si="6"/>
        <v>5.6734718932073713E-2</v>
      </c>
      <c r="U62" s="40">
        <f t="shared" si="27"/>
        <v>0</v>
      </c>
      <c r="V62" s="40" t="str">
        <f t="shared" si="15"/>
        <v>H</v>
      </c>
      <c r="W62" s="217">
        <f t="shared" si="7"/>
        <v>0</v>
      </c>
      <c r="X62" s="176">
        <f t="shared" si="8"/>
        <v>0</v>
      </c>
    </row>
    <row r="63" spans="1:24" ht="15.75" thickBot="1" x14ac:dyDescent="0.3">
      <c r="A63" s="229">
        <f t="shared" si="33"/>
        <v>1175</v>
      </c>
      <c r="B63" s="230">
        <f t="shared" si="33"/>
        <v>53</v>
      </c>
      <c r="C63" s="218" t="str">
        <f t="shared" si="5"/>
        <v>091_11-008_000_05</v>
      </c>
      <c r="D63" s="231">
        <f t="shared" si="34"/>
        <v>11</v>
      </c>
      <c r="E63" s="239">
        <f t="shared" si="0"/>
        <v>1.9390000000000001</v>
      </c>
      <c r="F63" s="232">
        <f t="shared" si="31"/>
        <v>17.627272727272729</v>
      </c>
      <c r="G63" s="232">
        <f t="shared" si="1"/>
        <v>14.101818181818183</v>
      </c>
      <c r="H63" s="232">
        <f t="shared" si="2"/>
        <v>8.8136363636363644</v>
      </c>
      <c r="I63" s="232">
        <f t="shared" si="12"/>
        <v>8</v>
      </c>
      <c r="J63" s="233">
        <f>yaw_max</f>
        <v>8</v>
      </c>
      <c r="K63" s="228" t="str">
        <f>D63&amp;-5</f>
        <v>11-5</v>
      </c>
      <c r="L63" s="232">
        <f t="shared" si="35"/>
        <v>0.2</v>
      </c>
      <c r="M63" s="232">
        <f t="shared" si="35"/>
        <v>150</v>
      </c>
      <c r="N63" s="232">
        <f t="shared" si="35"/>
        <v>750</v>
      </c>
      <c r="O63" s="217"/>
      <c r="P63" s="38">
        <f t="shared" si="16"/>
        <v>10.5</v>
      </c>
      <c r="Q63" s="38">
        <f t="shared" si="17"/>
        <v>11.5</v>
      </c>
      <c r="R63" s="39">
        <f t="shared" si="26"/>
        <v>0.78548602693873804</v>
      </c>
      <c r="S63" s="39">
        <f t="shared" si="26"/>
        <v>0.84222074587081175</v>
      </c>
      <c r="T63" s="39">
        <f t="shared" si="6"/>
        <v>5.6734718932073713E-2</v>
      </c>
      <c r="U63" s="40">
        <f t="shared" si="27"/>
        <v>0</v>
      </c>
      <c r="V63" s="40" t="str">
        <f t="shared" si="15"/>
        <v>H</v>
      </c>
      <c r="W63" s="217">
        <f t="shared" si="7"/>
        <v>0</v>
      </c>
      <c r="X63" s="176">
        <f t="shared" si="8"/>
        <v>0</v>
      </c>
    </row>
    <row r="64" spans="1:24" ht="15.75" thickBot="1" x14ac:dyDescent="0.3">
      <c r="A64" s="229">
        <f t="shared" si="33"/>
        <v>1176</v>
      </c>
      <c r="B64" s="230">
        <f t="shared" si="33"/>
        <v>54</v>
      </c>
      <c r="C64" s="218" t="str">
        <f t="shared" si="5"/>
        <v>091_11-008_000_06</v>
      </c>
      <c r="D64" s="231">
        <f t="shared" si="34"/>
        <v>11</v>
      </c>
      <c r="E64" s="239">
        <f t="shared" si="0"/>
        <v>1.9390000000000001</v>
      </c>
      <c r="F64" s="232">
        <f t="shared" si="31"/>
        <v>17.627272727272729</v>
      </c>
      <c r="G64" s="232">
        <f t="shared" si="1"/>
        <v>14.101818181818183</v>
      </c>
      <c r="H64" s="232">
        <f t="shared" si="2"/>
        <v>8.8136363636363644</v>
      </c>
      <c r="I64" s="232">
        <f t="shared" si="12"/>
        <v>8</v>
      </c>
      <c r="J64" s="233">
        <f>yaw_max</f>
        <v>8</v>
      </c>
      <c r="K64" s="228" t="str">
        <f>D64&amp;-6</f>
        <v>11-6</v>
      </c>
      <c r="L64" s="232">
        <f t="shared" si="35"/>
        <v>0.2</v>
      </c>
      <c r="M64" s="232">
        <f t="shared" si="35"/>
        <v>150</v>
      </c>
      <c r="N64" s="232">
        <f t="shared" si="35"/>
        <v>750</v>
      </c>
      <c r="O64" s="217"/>
      <c r="P64" s="38">
        <f t="shared" si="16"/>
        <v>10.5</v>
      </c>
      <c r="Q64" s="38">
        <f t="shared" si="17"/>
        <v>11.5</v>
      </c>
      <c r="R64" s="39">
        <f t="shared" si="26"/>
        <v>0.78548602693873804</v>
      </c>
      <c r="S64" s="39">
        <f t="shared" si="26"/>
        <v>0.84222074587081175</v>
      </c>
      <c r="T64" s="39">
        <f t="shared" si="6"/>
        <v>5.6734718932073713E-2</v>
      </c>
      <c r="U64" s="40">
        <f t="shared" si="27"/>
        <v>0</v>
      </c>
      <c r="V64" s="40" t="str">
        <f t="shared" si="15"/>
        <v>H</v>
      </c>
      <c r="W64" s="217">
        <f t="shared" si="7"/>
        <v>0</v>
      </c>
      <c r="X64" s="176">
        <f t="shared" si="8"/>
        <v>0</v>
      </c>
    </row>
    <row r="65" spans="1:24" ht="15.75" thickBot="1" x14ac:dyDescent="0.3">
      <c r="A65" s="229">
        <f t="shared" si="33"/>
        <v>1177</v>
      </c>
      <c r="B65" s="230">
        <f t="shared" si="33"/>
        <v>55</v>
      </c>
      <c r="C65" s="218" t="str">
        <f t="shared" si="5"/>
        <v>091_12-352_000_01</v>
      </c>
      <c r="D65" s="231">
        <f>D59+V_step_12</f>
        <v>12</v>
      </c>
      <c r="E65" s="239">
        <f t="shared" si="0"/>
        <v>2.044</v>
      </c>
      <c r="F65" s="232">
        <f t="shared" si="31"/>
        <v>17.033333333333335</v>
      </c>
      <c r="G65" s="232">
        <f t="shared" si="1"/>
        <v>13.626666666666669</v>
      </c>
      <c r="H65" s="232">
        <f t="shared" si="2"/>
        <v>8.5166666666666675</v>
      </c>
      <c r="I65" s="232">
        <f t="shared" si="12"/>
        <v>8</v>
      </c>
      <c r="J65" s="233">
        <f>yaw_min</f>
        <v>-8</v>
      </c>
      <c r="K65" s="228" t="str">
        <f>D65&amp;-1</f>
        <v>12-1</v>
      </c>
      <c r="L65" s="232">
        <f t="shared" si="35"/>
        <v>0.2</v>
      </c>
      <c r="M65" s="232">
        <f t="shared" si="35"/>
        <v>150</v>
      </c>
      <c r="N65" s="232">
        <f t="shared" si="35"/>
        <v>750</v>
      </c>
      <c r="O65" s="217"/>
      <c r="P65" s="38">
        <f t="shared" si="16"/>
        <v>11.5</v>
      </c>
      <c r="Q65" s="38">
        <f t="shared" si="17"/>
        <v>12.5</v>
      </c>
      <c r="R65" s="39">
        <f t="shared" ref="R65:S112" si="36">IF(wpd="Rayleigh",1-EXP(-PI()*((P65/2/v_ave)^2)),IF(wpd="Weibull",1-EXP(-((P65/weibull_A)^weibull_K))))</f>
        <v>0.84222074587081175</v>
      </c>
      <c r="S65" s="39">
        <f t="shared" si="36"/>
        <v>0.88714613925356789</v>
      </c>
      <c r="T65" s="39">
        <f t="shared" si="6"/>
        <v>4.492539338275614E-2</v>
      </c>
      <c r="U65" s="40">
        <f t="shared" si="27"/>
        <v>0</v>
      </c>
      <c r="V65" s="40" t="str">
        <f t="shared" si="15"/>
        <v>H</v>
      </c>
      <c r="W65" s="217">
        <f t="shared" si="7"/>
        <v>0</v>
      </c>
      <c r="X65" s="176">
        <f t="shared" si="8"/>
        <v>0</v>
      </c>
    </row>
    <row r="66" spans="1:24" ht="15.75" thickBot="1" x14ac:dyDescent="0.3">
      <c r="A66" s="229">
        <f t="shared" si="33"/>
        <v>1178</v>
      </c>
      <c r="B66" s="230">
        <f t="shared" si="33"/>
        <v>56</v>
      </c>
      <c r="C66" s="218" t="str">
        <f t="shared" si="5"/>
        <v>091_12-352_000_02</v>
      </c>
      <c r="D66" s="231">
        <f>D65</f>
        <v>12</v>
      </c>
      <c r="E66" s="239">
        <f t="shared" si="0"/>
        <v>2.044</v>
      </c>
      <c r="F66" s="232">
        <f t="shared" si="31"/>
        <v>17.033333333333335</v>
      </c>
      <c r="G66" s="232">
        <f t="shared" si="1"/>
        <v>13.626666666666669</v>
      </c>
      <c r="H66" s="232">
        <f t="shared" si="2"/>
        <v>8.5166666666666675</v>
      </c>
      <c r="I66" s="232">
        <f t="shared" si="12"/>
        <v>8</v>
      </c>
      <c r="J66" s="233">
        <f>yaw_min</f>
        <v>-8</v>
      </c>
      <c r="K66" s="228" t="str">
        <f>D66&amp;-2</f>
        <v>12-2</v>
      </c>
      <c r="L66" s="232">
        <f t="shared" si="35"/>
        <v>0.2</v>
      </c>
      <c r="M66" s="232">
        <f t="shared" si="35"/>
        <v>150</v>
      </c>
      <c r="N66" s="232">
        <f t="shared" si="35"/>
        <v>750</v>
      </c>
      <c r="O66" s="217"/>
      <c r="P66" s="38">
        <f t="shared" si="16"/>
        <v>11.5</v>
      </c>
      <c r="Q66" s="38">
        <f t="shared" si="17"/>
        <v>12.5</v>
      </c>
      <c r="R66" s="39">
        <f t="shared" si="36"/>
        <v>0.84222074587081175</v>
      </c>
      <c r="S66" s="39">
        <f t="shared" si="36"/>
        <v>0.88714613925356789</v>
      </c>
      <c r="T66" s="39">
        <f t="shared" si="6"/>
        <v>4.492539338275614E-2</v>
      </c>
      <c r="U66" s="40">
        <f t="shared" si="27"/>
        <v>0</v>
      </c>
      <c r="V66" s="40" t="str">
        <f t="shared" si="15"/>
        <v>H</v>
      </c>
      <c r="W66" s="217">
        <f t="shared" si="7"/>
        <v>0</v>
      </c>
      <c r="X66" s="176">
        <f t="shared" si="8"/>
        <v>0</v>
      </c>
    </row>
    <row r="67" spans="1:24" ht="15.75" thickBot="1" x14ac:dyDescent="0.3">
      <c r="A67" s="229">
        <f t="shared" si="33"/>
        <v>1179</v>
      </c>
      <c r="B67" s="230">
        <f t="shared" si="33"/>
        <v>57</v>
      </c>
      <c r="C67" s="218" t="str">
        <f t="shared" si="5"/>
        <v>091_12-000_000_03</v>
      </c>
      <c r="D67" s="231">
        <f t="shared" ref="D67:D70" si="37">D66</f>
        <v>12</v>
      </c>
      <c r="E67" s="239">
        <f t="shared" si="0"/>
        <v>2.044</v>
      </c>
      <c r="F67" s="232">
        <f t="shared" si="31"/>
        <v>17.033333333333335</v>
      </c>
      <c r="G67" s="232">
        <f t="shared" si="1"/>
        <v>13.626666666666669</v>
      </c>
      <c r="H67" s="232">
        <f t="shared" si="2"/>
        <v>8.5166666666666675</v>
      </c>
      <c r="I67" s="232">
        <f t="shared" si="12"/>
        <v>8</v>
      </c>
      <c r="J67" s="233">
        <f>yaw_null</f>
        <v>0</v>
      </c>
      <c r="K67" s="228" t="str">
        <f>D67&amp;-3</f>
        <v>12-3</v>
      </c>
      <c r="L67" s="232">
        <f t="shared" si="35"/>
        <v>0.2</v>
      </c>
      <c r="M67" s="232">
        <f t="shared" si="35"/>
        <v>150</v>
      </c>
      <c r="N67" s="232">
        <f t="shared" si="35"/>
        <v>750</v>
      </c>
      <c r="O67" s="217"/>
      <c r="P67" s="38">
        <f t="shared" si="16"/>
        <v>11.5</v>
      </c>
      <c r="Q67" s="38">
        <f t="shared" si="17"/>
        <v>12.5</v>
      </c>
      <c r="R67" s="39">
        <f t="shared" si="36"/>
        <v>0.84222074587081175</v>
      </c>
      <c r="S67" s="39">
        <f t="shared" si="36"/>
        <v>0.88714613925356789</v>
      </c>
      <c r="T67" s="39">
        <f t="shared" si="6"/>
        <v>4.492539338275614E-2</v>
      </c>
      <c r="U67" s="40">
        <f t="shared" si="27"/>
        <v>0</v>
      </c>
      <c r="V67" s="40" t="str">
        <f t="shared" si="15"/>
        <v>H</v>
      </c>
      <c r="W67" s="217">
        <f t="shared" si="7"/>
        <v>0</v>
      </c>
      <c r="X67" s="176">
        <f t="shared" si="8"/>
        <v>0</v>
      </c>
    </row>
    <row r="68" spans="1:24" ht="15.75" thickBot="1" x14ac:dyDescent="0.3">
      <c r="A68" s="229">
        <f t="shared" si="33"/>
        <v>1180</v>
      </c>
      <c r="B68" s="230">
        <f t="shared" si="33"/>
        <v>58</v>
      </c>
      <c r="C68" s="218" t="str">
        <f t="shared" si="5"/>
        <v>091_12-000_000_04</v>
      </c>
      <c r="D68" s="231">
        <f t="shared" si="37"/>
        <v>12</v>
      </c>
      <c r="E68" s="239">
        <f t="shared" si="0"/>
        <v>2.044</v>
      </c>
      <c r="F68" s="232">
        <f t="shared" si="31"/>
        <v>17.033333333333335</v>
      </c>
      <c r="G68" s="232">
        <f t="shared" si="1"/>
        <v>13.626666666666669</v>
      </c>
      <c r="H68" s="232">
        <f t="shared" si="2"/>
        <v>8.5166666666666675</v>
      </c>
      <c r="I68" s="232">
        <f t="shared" si="12"/>
        <v>8</v>
      </c>
      <c r="J68" s="233">
        <f>yaw_null</f>
        <v>0</v>
      </c>
      <c r="K68" s="228" t="str">
        <f>D68&amp;-4</f>
        <v>12-4</v>
      </c>
      <c r="L68" s="232">
        <f t="shared" si="35"/>
        <v>0.2</v>
      </c>
      <c r="M68" s="232">
        <f t="shared" si="35"/>
        <v>150</v>
      </c>
      <c r="N68" s="232">
        <f t="shared" si="35"/>
        <v>750</v>
      </c>
      <c r="O68" s="217"/>
      <c r="P68" s="38">
        <f t="shared" si="16"/>
        <v>11.5</v>
      </c>
      <c r="Q68" s="38">
        <f t="shared" si="17"/>
        <v>12.5</v>
      </c>
      <c r="R68" s="39">
        <f t="shared" si="36"/>
        <v>0.84222074587081175</v>
      </c>
      <c r="S68" s="39">
        <f t="shared" si="36"/>
        <v>0.88714613925356789</v>
      </c>
      <c r="T68" s="39">
        <f t="shared" si="6"/>
        <v>4.492539338275614E-2</v>
      </c>
      <c r="U68" s="40">
        <f t="shared" si="27"/>
        <v>0</v>
      </c>
      <c r="V68" s="40" t="str">
        <f t="shared" si="15"/>
        <v>H</v>
      </c>
      <c r="W68" s="217">
        <f t="shared" si="7"/>
        <v>0</v>
      </c>
      <c r="X68" s="176">
        <f t="shared" si="8"/>
        <v>0</v>
      </c>
    </row>
    <row r="69" spans="1:24" ht="15.75" thickBot="1" x14ac:dyDescent="0.3">
      <c r="A69" s="229">
        <f t="shared" si="33"/>
        <v>1181</v>
      </c>
      <c r="B69" s="230">
        <f t="shared" si="33"/>
        <v>59</v>
      </c>
      <c r="C69" s="218" t="str">
        <f t="shared" si="5"/>
        <v>091_12-008_000_05</v>
      </c>
      <c r="D69" s="231">
        <f t="shared" si="37"/>
        <v>12</v>
      </c>
      <c r="E69" s="239">
        <f t="shared" si="0"/>
        <v>2.044</v>
      </c>
      <c r="F69" s="232">
        <f t="shared" si="31"/>
        <v>17.033333333333335</v>
      </c>
      <c r="G69" s="232">
        <f t="shared" si="1"/>
        <v>13.626666666666669</v>
      </c>
      <c r="H69" s="232">
        <f t="shared" si="2"/>
        <v>8.5166666666666675</v>
      </c>
      <c r="I69" s="232">
        <f t="shared" si="12"/>
        <v>8</v>
      </c>
      <c r="J69" s="233">
        <f>yaw_max</f>
        <v>8</v>
      </c>
      <c r="K69" s="228" t="str">
        <f>D69&amp;-5</f>
        <v>12-5</v>
      </c>
      <c r="L69" s="232">
        <f t="shared" si="35"/>
        <v>0.2</v>
      </c>
      <c r="M69" s="232">
        <f t="shared" si="35"/>
        <v>150</v>
      </c>
      <c r="N69" s="232">
        <f t="shared" si="35"/>
        <v>750</v>
      </c>
      <c r="O69" s="217"/>
      <c r="P69" s="38">
        <f t="shared" si="16"/>
        <v>11.5</v>
      </c>
      <c r="Q69" s="38">
        <f t="shared" si="17"/>
        <v>12.5</v>
      </c>
      <c r="R69" s="39">
        <f t="shared" si="36"/>
        <v>0.84222074587081175</v>
      </c>
      <c r="S69" s="39">
        <f t="shared" si="36"/>
        <v>0.88714613925356789</v>
      </c>
      <c r="T69" s="39">
        <f t="shared" si="6"/>
        <v>4.492539338275614E-2</v>
      </c>
      <c r="U69" s="40">
        <f t="shared" si="27"/>
        <v>0</v>
      </c>
      <c r="V69" s="40" t="str">
        <f t="shared" si="15"/>
        <v>H</v>
      </c>
      <c r="W69" s="217">
        <f t="shared" si="7"/>
        <v>0</v>
      </c>
      <c r="X69" s="176">
        <f t="shared" si="8"/>
        <v>0</v>
      </c>
    </row>
    <row r="70" spans="1:24" ht="15.75" thickBot="1" x14ac:dyDescent="0.3">
      <c r="A70" s="229">
        <f t="shared" si="33"/>
        <v>1182</v>
      </c>
      <c r="B70" s="230">
        <f t="shared" si="33"/>
        <v>60</v>
      </c>
      <c r="C70" s="218" t="str">
        <f t="shared" si="5"/>
        <v>091_12-008_000_06</v>
      </c>
      <c r="D70" s="231">
        <f t="shared" si="37"/>
        <v>12</v>
      </c>
      <c r="E70" s="239">
        <f t="shared" si="0"/>
        <v>2.044</v>
      </c>
      <c r="F70" s="232">
        <f t="shared" si="31"/>
        <v>17.033333333333335</v>
      </c>
      <c r="G70" s="232">
        <f t="shared" si="1"/>
        <v>13.626666666666669</v>
      </c>
      <c r="H70" s="232">
        <f t="shared" si="2"/>
        <v>8.5166666666666675</v>
      </c>
      <c r="I70" s="232">
        <f t="shared" si="12"/>
        <v>8</v>
      </c>
      <c r="J70" s="233">
        <f>yaw_max</f>
        <v>8</v>
      </c>
      <c r="K70" s="228" t="str">
        <f>D70&amp;-6</f>
        <v>12-6</v>
      </c>
      <c r="L70" s="232">
        <f t="shared" si="35"/>
        <v>0.2</v>
      </c>
      <c r="M70" s="232">
        <f t="shared" si="35"/>
        <v>150</v>
      </c>
      <c r="N70" s="232">
        <f t="shared" si="35"/>
        <v>750</v>
      </c>
      <c r="O70" s="217"/>
      <c r="P70" s="38">
        <f t="shared" si="16"/>
        <v>11.5</v>
      </c>
      <c r="Q70" s="38">
        <f t="shared" si="17"/>
        <v>12.5</v>
      </c>
      <c r="R70" s="39">
        <f t="shared" si="36"/>
        <v>0.84222074587081175</v>
      </c>
      <c r="S70" s="39">
        <f t="shared" si="36"/>
        <v>0.88714613925356789</v>
      </c>
      <c r="T70" s="39">
        <f t="shared" si="6"/>
        <v>4.492539338275614E-2</v>
      </c>
      <c r="U70" s="40">
        <f t="shared" si="27"/>
        <v>0</v>
      </c>
      <c r="V70" s="40" t="str">
        <f t="shared" si="15"/>
        <v>H</v>
      </c>
      <c r="W70" s="217">
        <f t="shared" si="7"/>
        <v>0</v>
      </c>
      <c r="X70" s="176">
        <f t="shared" si="8"/>
        <v>0</v>
      </c>
    </row>
    <row r="71" spans="1:24" ht="15.75" thickBot="1" x14ac:dyDescent="0.3">
      <c r="A71" s="229">
        <f t="shared" si="33"/>
        <v>1183</v>
      </c>
      <c r="B71" s="230">
        <f t="shared" si="33"/>
        <v>61</v>
      </c>
      <c r="C71" s="218" t="str">
        <f t="shared" si="5"/>
        <v>091_13-352_000_01</v>
      </c>
      <c r="D71" s="231">
        <f>D65+V_step_12</f>
        <v>13</v>
      </c>
      <c r="E71" s="239">
        <f t="shared" si="0"/>
        <v>2.149</v>
      </c>
      <c r="F71" s="232">
        <f t="shared" si="31"/>
        <v>16.530769230769231</v>
      </c>
      <c r="G71" s="232">
        <f t="shared" si="1"/>
        <v>13.224615384615385</v>
      </c>
      <c r="H71" s="232">
        <f t="shared" si="2"/>
        <v>8.2653846153846153</v>
      </c>
      <c r="I71" s="232">
        <f t="shared" si="12"/>
        <v>8</v>
      </c>
      <c r="J71" s="233">
        <f>yaw_min</f>
        <v>-8</v>
      </c>
      <c r="K71" s="228" t="str">
        <f>D71&amp;-1</f>
        <v>13-1</v>
      </c>
      <c r="L71" s="232">
        <f t="shared" si="35"/>
        <v>0.2</v>
      </c>
      <c r="M71" s="232">
        <f t="shared" si="35"/>
        <v>150</v>
      </c>
      <c r="N71" s="232">
        <f t="shared" si="35"/>
        <v>750</v>
      </c>
      <c r="O71" s="217"/>
      <c r="P71" s="38">
        <f t="shared" si="16"/>
        <v>12.5</v>
      </c>
      <c r="Q71" s="38">
        <f t="shared" si="17"/>
        <v>13.5</v>
      </c>
      <c r="R71" s="39">
        <f t="shared" si="36"/>
        <v>0.88714613925356789</v>
      </c>
      <c r="S71" s="39">
        <f t="shared" si="36"/>
        <v>0.92150262148052309</v>
      </c>
      <c r="T71" s="39">
        <f t="shared" si="6"/>
        <v>3.4356482226955198E-2</v>
      </c>
      <c r="U71" s="40">
        <f t="shared" si="27"/>
        <v>0</v>
      </c>
      <c r="V71" s="40" t="str">
        <f t="shared" si="15"/>
        <v>H</v>
      </c>
      <c r="W71" s="217">
        <f t="shared" si="7"/>
        <v>0</v>
      </c>
      <c r="X71" s="176">
        <f t="shared" si="8"/>
        <v>0</v>
      </c>
    </row>
    <row r="72" spans="1:24" ht="15.75" thickBot="1" x14ac:dyDescent="0.3">
      <c r="A72" s="229">
        <f t="shared" si="33"/>
        <v>1184</v>
      </c>
      <c r="B72" s="230">
        <f t="shared" si="33"/>
        <v>62</v>
      </c>
      <c r="C72" s="218" t="str">
        <f t="shared" si="5"/>
        <v>091_13-352_000_02</v>
      </c>
      <c r="D72" s="231">
        <f>D71</f>
        <v>13</v>
      </c>
      <c r="E72" s="239">
        <f t="shared" si="0"/>
        <v>2.149</v>
      </c>
      <c r="F72" s="232">
        <f t="shared" si="31"/>
        <v>16.530769230769231</v>
      </c>
      <c r="G72" s="232">
        <f t="shared" si="1"/>
        <v>13.224615384615385</v>
      </c>
      <c r="H72" s="232">
        <f t="shared" si="2"/>
        <v>8.2653846153846153</v>
      </c>
      <c r="I72" s="232">
        <f t="shared" si="12"/>
        <v>8</v>
      </c>
      <c r="J72" s="233">
        <f>yaw_min</f>
        <v>-8</v>
      </c>
      <c r="K72" s="228" t="str">
        <f>D72&amp;-2</f>
        <v>13-2</v>
      </c>
      <c r="L72" s="232">
        <f t="shared" si="35"/>
        <v>0.2</v>
      </c>
      <c r="M72" s="232">
        <f t="shared" si="35"/>
        <v>150</v>
      </c>
      <c r="N72" s="232">
        <f t="shared" si="35"/>
        <v>750</v>
      </c>
      <c r="O72" s="217"/>
      <c r="P72" s="38">
        <f t="shared" si="16"/>
        <v>12.5</v>
      </c>
      <c r="Q72" s="38">
        <f t="shared" si="17"/>
        <v>13.5</v>
      </c>
      <c r="R72" s="39">
        <f t="shared" si="36"/>
        <v>0.88714613925356789</v>
      </c>
      <c r="S72" s="39">
        <f t="shared" si="36"/>
        <v>0.92150262148052309</v>
      </c>
      <c r="T72" s="39">
        <f t="shared" si="6"/>
        <v>3.4356482226955198E-2</v>
      </c>
      <c r="U72" s="40">
        <f t="shared" si="27"/>
        <v>0</v>
      </c>
      <c r="V72" s="40" t="str">
        <f t="shared" si="15"/>
        <v>H</v>
      </c>
      <c r="W72" s="217">
        <f t="shared" si="7"/>
        <v>0</v>
      </c>
      <c r="X72" s="176">
        <f t="shared" si="8"/>
        <v>0</v>
      </c>
    </row>
    <row r="73" spans="1:24" ht="15.75" thickBot="1" x14ac:dyDescent="0.3">
      <c r="A73" s="229">
        <f t="shared" si="33"/>
        <v>1185</v>
      </c>
      <c r="B73" s="230">
        <f t="shared" si="33"/>
        <v>63</v>
      </c>
      <c r="C73" s="218" t="str">
        <f t="shared" si="5"/>
        <v>091_13-000_000_03</v>
      </c>
      <c r="D73" s="231">
        <f t="shared" ref="D73:D76" si="38">D72</f>
        <v>13</v>
      </c>
      <c r="E73" s="239">
        <f t="shared" si="0"/>
        <v>2.149</v>
      </c>
      <c r="F73" s="232">
        <f t="shared" si="31"/>
        <v>16.530769230769231</v>
      </c>
      <c r="G73" s="232">
        <f t="shared" si="1"/>
        <v>13.224615384615385</v>
      </c>
      <c r="H73" s="232">
        <f t="shared" si="2"/>
        <v>8.2653846153846153</v>
      </c>
      <c r="I73" s="232">
        <f t="shared" si="12"/>
        <v>8</v>
      </c>
      <c r="J73" s="233">
        <f>yaw_null</f>
        <v>0</v>
      </c>
      <c r="K73" s="228" t="str">
        <f>D73&amp;-3</f>
        <v>13-3</v>
      </c>
      <c r="L73" s="232">
        <f t="shared" si="35"/>
        <v>0.2</v>
      </c>
      <c r="M73" s="232">
        <f t="shared" si="35"/>
        <v>150</v>
      </c>
      <c r="N73" s="232">
        <f t="shared" si="35"/>
        <v>750</v>
      </c>
      <c r="O73" s="217"/>
      <c r="P73" s="38">
        <f t="shared" si="16"/>
        <v>12.5</v>
      </c>
      <c r="Q73" s="38">
        <f t="shared" si="17"/>
        <v>13.5</v>
      </c>
      <c r="R73" s="39">
        <f t="shared" si="36"/>
        <v>0.88714613925356789</v>
      </c>
      <c r="S73" s="39">
        <f t="shared" si="36"/>
        <v>0.92150262148052309</v>
      </c>
      <c r="T73" s="39">
        <f t="shared" si="6"/>
        <v>3.4356482226955198E-2</v>
      </c>
      <c r="U73" s="40">
        <f t="shared" si="27"/>
        <v>0</v>
      </c>
      <c r="V73" s="40" t="str">
        <f t="shared" si="15"/>
        <v>H</v>
      </c>
      <c r="W73" s="217">
        <f t="shared" si="7"/>
        <v>0</v>
      </c>
      <c r="X73" s="176">
        <f t="shared" si="8"/>
        <v>0</v>
      </c>
    </row>
    <row r="74" spans="1:24" ht="15.75" thickBot="1" x14ac:dyDescent="0.3">
      <c r="A74" s="229">
        <f t="shared" si="33"/>
        <v>1186</v>
      </c>
      <c r="B74" s="230">
        <f t="shared" si="33"/>
        <v>64</v>
      </c>
      <c r="C74" s="218" t="str">
        <f t="shared" si="5"/>
        <v>091_13-000_000_04</v>
      </c>
      <c r="D74" s="231">
        <f t="shared" si="38"/>
        <v>13</v>
      </c>
      <c r="E74" s="239">
        <f t="shared" si="0"/>
        <v>2.149</v>
      </c>
      <c r="F74" s="232">
        <f t="shared" si="31"/>
        <v>16.530769230769231</v>
      </c>
      <c r="G74" s="232">
        <f t="shared" si="1"/>
        <v>13.224615384615385</v>
      </c>
      <c r="H74" s="232">
        <f t="shared" si="2"/>
        <v>8.2653846153846153</v>
      </c>
      <c r="I74" s="232">
        <f t="shared" si="12"/>
        <v>8</v>
      </c>
      <c r="J74" s="233">
        <f>yaw_null</f>
        <v>0</v>
      </c>
      <c r="K74" s="228" t="str">
        <f>D74&amp;-4</f>
        <v>13-4</v>
      </c>
      <c r="L74" s="232">
        <f t="shared" si="35"/>
        <v>0.2</v>
      </c>
      <c r="M74" s="232">
        <f t="shared" si="35"/>
        <v>150</v>
      </c>
      <c r="N74" s="232">
        <f t="shared" si="35"/>
        <v>750</v>
      </c>
      <c r="O74" s="217"/>
      <c r="P74" s="38">
        <f t="shared" si="16"/>
        <v>12.5</v>
      </c>
      <c r="Q74" s="38">
        <f t="shared" si="17"/>
        <v>13.5</v>
      </c>
      <c r="R74" s="39">
        <f t="shared" si="36"/>
        <v>0.88714613925356789</v>
      </c>
      <c r="S74" s="39">
        <f t="shared" si="36"/>
        <v>0.92150262148052309</v>
      </c>
      <c r="T74" s="39">
        <f t="shared" si="6"/>
        <v>3.4356482226955198E-2</v>
      </c>
      <c r="U74" s="40">
        <f t="shared" si="27"/>
        <v>0</v>
      </c>
      <c r="V74" s="40" t="str">
        <f t="shared" si="15"/>
        <v>H</v>
      </c>
      <c r="W74" s="217">
        <f t="shared" si="7"/>
        <v>0</v>
      </c>
      <c r="X74" s="176">
        <f t="shared" si="8"/>
        <v>0</v>
      </c>
    </row>
    <row r="75" spans="1:24" ht="15.75" thickBot="1" x14ac:dyDescent="0.3">
      <c r="A75" s="229">
        <f t="shared" si="33"/>
        <v>1187</v>
      </c>
      <c r="B75" s="230">
        <f t="shared" si="33"/>
        <v>65</v>
      </c>
      <c r="C75" s="218" t="str">
        <f t="shared" si="5"/>
        <v>091_13-008_000_05</v>
      </c>
      <c r="D75" s="231">
        <f t="shared" si="38"/>
        <v>13</v>
      </c>
      <c r="E75" s="239">
        <f t="shared" ref="E75:E138" si="39">I_ref*(0.75*D75+5.6)</f>
        <v>2.149</v>
      </c>
      <c r="F75" s="232">
        <f t="shared" si="31"/>
        <v>16.530769230769231</v>
      </c>
      <c r="G75" s="232">
        <f t="shared" ref="G75:G138" si="40">m_ty*F75</f>
        <v>13.224615384615385</v>
      </c>
      <c r="H75" s="232">
        <f t="shared" ref="H75:H138" si="41">m_tz*F75</f>
        <v>8.2653846153846153</v>
      </c>
      <c r="I75" s="232">
        <f t="shared" si="12"/>
        <v>8</v>
      </c>
      <c r="J75" s="233">
        <f>yaw_max</f>
        <v>8</v>
      </c>
      <c r="K75" s="228" t="str">
        <f>D75&amp;-5</f>
        <v>13-5</v>
      </c>
      <c r="L75" s="232">
        <f t="shared" si="35"/>
        <v>0.2</v>
      </c>
      <c r="M75" s="232">
        <f t="shared" si="35"/>
        <v>150</v>
      </c>
      <c r="N75" s="232">
        <f t="shared" si="35"/>
        <v>750</v>
      </c>
      <c r="O75" s="217"/>
      <c r="P75" s="38">
        <f t="shared" si="16"/>
        <v>12.5</v>
      </c>
      <c r="Q75" s="38">
        <f t="shared" si="17"/>
        <v>13.5</v>
      </c>
      <c r="R75" s="39">
        <f t="shared" si="36"/>
        <v>0.88714613925356789</v>
      </c>
      <c r="S75" s="39">
        <f t="shared" si="36"/>
        <v>0.92150262148052309</v>
      </c>
      <c r="T75" s="39">
        <f t="shared" si="6"/>
        <v>3.4356482226955198E-2</v>
      </c>
      <c r="U75" s="40">
        <f t="shared" ref="U75:U106" si="42">T75*H_ice/6</f>
        <v>0</v>
      </c>
      <c r="V75" s="40" t="str">
        <f t="shared" si="15"/>
        <v>H</v>
      </c>
      <c r="W75" s="217">
        <f t="shared" si="7"/>
        <v>0</v>
      </c>
      <c r="X75" s="176">
        <f t="shared" si="8"/>
        <v>0</v>
      </c>
    </row>
    <row r="76" spans="1:24" ht="15.75" thickBot="1" x14ac:dyDescent="0.3">
      <c r="A76" s="229">
        <f t="shared" si="33"/>
        <v>1188</v>
      </c>
      <c r="B76" s="230">
        <f t="shared" si="33"/>
        <v>66</v>
      </c>
      <c r="C76" s="218" t="str">
        <f t="shared" ref="C76:C139" si="43">TEXT(RIGHT($B$2,LEN($B$2)-3),"000")&amp;"_"&amp;TEXT(D76,"00")&amp;"-"&amp;IF(J76&lt;0,TEXT(360+J76,"000"),TEXT(J76,"000"))&amp;"_"&amp;"000"&amp;"_"&amp;TEXT(RIGHT(K76,LEN(K76)-FIND("-",K76)),"00")</f>
        <v>091_13-008_000_06</v>
      </c>
      <c r="D76" s="231">
        <f t="shared" si="38"/>
        <v>13</v>
      </c>
      <c r="E76" s="239">
        <f t="shared" si="39"/>
        <v>2.149</v>
      </c>
      <c r="F76" s="232">
        <f t="shared" si="31"/>
        <v>16.530769230769231</v>
      </c>
      <c r="G76" s="232">
        <f t="shared" si="40"/>
        <v>13.224615384615385</v>
      </c>
      <c r="H76" s="232">
        <f t="shared" si="41"/>
        <v>8.2653846153846153</v>
      </c>
      <c r="I76" s="232">
        <f t="shared" si="12"/>
        <v>8</v>
      </c>
      <c r="J76" s="233">
        <f>yaw_max</f>
        <v>8</v>
      </c>
      <c r="K76" s="228" t="str">
        <f>D76&amp;-6</f>
        <v>13-6</v>
      </c>
      <c r="L76" s="232">
        <f t="shared" si="35"/>
        <v>0.2</v>
      </c>
      <c r="M76" s="232">
        <f t="shared" si="35"/>
        <v>150</v>
      </c>
      <c r="N76" s="232">
        <f t="shared" si="35"/>
        <v>750</v>
      </c>
      <c r="O76" s="217"/>
      <c r="P76" s="38">
        <f t="shared" si="16"/>
        <v>12.5</v>
      </c>
      <c r="Q76" s="38">
        <f t="shared" si="17"/>
        <v>13.5</v>
      </c>
      <c r="R76" s="39">
        <f t="shared" si="36"/>
        <v>0.88714613925356789</v>
      </c>
      <c r="S76" s="39">
        <f t="shared" si="36"/>
        <v>0.92150262148052309</v>
      </c>
      <c r="T76" s="39">
        <f t="shared" ref="T76:T139" si="44">S76-R76</f>
        <v>3.4356482226955198E-2</v>
      </c>
      <c r="U76" s="40">
        <f t="shared" si="42"/>
        <v>0</v>
      </c>
      <c r="V76" s="40" t="str">
        <f t="shared" si="15"/>
        <v>H</v>
      </c>
      <c r="W76" s="217">
        <f t="shared" ref="W76:W139" si="45">U76*20</f>
        <v>0</v>
      </c>
      <c r="X76" s="176">
        <f t="shared" ref="X76:X139" si="46">W76/(N76-M76)*3600</f>
        <v>0</v>
      </c>
    </row>
    <row r="77" spans="1:24" ht="15.75" thickBot="1" x14ac:dyDescent="0.3">
      <c r="A77" s="229">
        <f t="shared" ref="A77:B92" si="47">A76+1</f>
        <v>1189</v>
      </c>
      <c r="B77" s="230">
        <f t="shared" si="47"/>
        <v>67</v>
      </c>
      <c r="C77" s="218" t="str">
        <f t="shared" si="43"/>
        <v>091_14-352_000_01</v>
      </c>
      <c r="D77" s="231">
        <f>D71+V_step_12</f>
        <v>14</v>
      </c>
      <c r="E77" s="239">
        <f t="shared" si="39"/>
        <v>2.2540000000000004</v>
      </c>
      <c r="F77" s="232">
        <f t="shared" si="31"/>
        <v>16.100000000000001</v>
      </c>
      <c r="G77" s="232">
        <f t="shared" si="40"/>
        <v>12.880000000000003</v>
      </c>
      <c r="H77" s="232">
        <f t="shared" si="41"/>
        <v>8.0500000000000007</v>
      </c>
      <c r="I77" s="232">
        <f t="shared" ref="I77:I140" si="48">I76</f>
        <v>8</v>
      </c>
      <c r="J77" s="233">
        <f>yaw_min</f>
        <v>-8</v>
      </c>
      <c r="K77" s="228" t="str">
        <f>D77&amp;-1</f>
        <v>14-1</v>
      </c>
      <c r="L77" s="232">
        <f t="shared" ref="L77:N92" si="49">L76</f>
        <v>0.2</v>
      </c>
      <c r="M77" s="232">
        <f t="shared" si="49"/>
        <v>150</v>
      </c>
      <c r="N77" s="232">
        <f t="shared" si="49"/>
        <v>750</v>
      </c>
      <c r="O77" s="217"/>
      <c r="P77" s="38">
        <f t="shared" si="16"/>
        <v>13.5</v>
      </c>
      <c r="Q77" s="38">
        <f t="shared" si="17"/>
        <v>14.5</v>
      </c>
      <c r="R77" s="39">
        <f t="shared" si="36"/>
        <v>0.92150262148052309</v>
      </c>
      <c r="S77" s="39">
        <f t="shared" si="36"/>
        <v>0.94690347534074992</v>
      </c>
      <c r="T77" s="39">
        <f t="shared" si="44"/>
        <v>2.5400853860226835E-2</v>
      </c>
      <c r="U77" s="40">
        <f t="shared" si="42"/>
        <v>0</v>
      </c>
      <c r="V77" s="40" t="str">
        <f t="shared" ref="V77:V140" si="50">V76</f>
        <v>H</v>
      </c>
      <c r="W77" s="217">
        <f t="shared" si="45"/>
        <v>0</v>
      </c>
      <c r="X77" s="176">
        <f t="shared" si="46"/>
        <v>0</v>
      </c>
    </row>
    <row r="78" spans="1:24" ht="15.75" thickBot="1" x14ac:dyDescent="0.3">
      <c r="A78" s="229">
        <f t="shared" si="47"/>
        <v>1190</v>
      </c>
      <c r="B78" s="230">
        <f t="shared" si="47"/>
        <v>68</v>
      </c>
      <c r="C78" s="218" t="str">
        <f t="shared" si="43"/>
        <v>091_14-352_000_02</v>
      </c>
      <c r="D78" s="231">
        <f>D77</f>
        <v>14</v>
      </c>
      <c r="E78" s="239">
        <f t="shared" si="39"/>
        <v>2.2540000000000004</v>
      </c>
      <c r="F78" s="232">
        <f t="shared" si="31"/>
        <v>16.100000000000001</v>
      </c>
      <c r="G78" s="232">
        <f t="shared" si="40"/>
        <v>12.880000000000003</v>
      </c>
      <c r="H78" s="232">
        <f t="shared" si="41"/>
        <v>8.0500000000000007</v>
      </c>
      <c r="I78" s="232">
        <f t="shared" si="48"/>
        <v>8</v>
      </c>
      <c r="J78" s="233">
        <f>yaw_min</f>
        <v>-8</v>
      </c>
      <c r="K78" s="228" t="str">
        <f>D78&amp;-2</f>
        <v>14-2</v>
      </c>
      <c r="L78" s="232">
        <f t="shared" si="49"/>
        <v>0.2</v>
      </c>
      <c r="M78" s="232">
        <f t="shared" si="49"/>
        <v>150</v>
      </c>
      <c r="N78" s="232">
        <f t="shared" si="49"/>
        <v>750</v>
      </c>
      <c r="O78" s="217"/>
      <c r="P78" s="38">
        <f t="shared" si="16"/>
        <v>13.5</v>
      </c>
      <c r="Q78" s="38">
        <f t="shared" si="17"/>
        <v>14.5</v>
      </c>
      <c r="R78" s="39">
        <f t="shared" si="36"/>
        <v>0.92150262148052309</v>
      </c>
      <c r="S78" s="39">
        <f t="shared" si="36"/>
        <v>0.94690347534074992</v>
      </c>
      <c r="T78" s="39">
        <f t="shared" si="44"/>
        <v>2.5400853860226835E-2</v>
      </c>
      <c r="U78" s="40">
        <f t="shared" si="42"/>
        <v>0</v>
      </c>
      <c r="V78" s="40" t="str">
        <f t="shared" si="50"/>
        <v>H</v>
      </c>
      <c r="W78" s="217">
        <f t="shared" si="45"/>
        <v>0</v>
      </c>
      <c r="X78" s="176">
        <f t="shared" si="46"/>
        <v>0</v>
      </c>
    </row>
    <row r="79" spans="1:24" ht="15.75" thickBot="1" x14ac:dyDescent="0.3">
      <c r="A79" s="229">
        <f t="shared" si="47"/>
        <v>1191</v>
      </c>
      <c r="B79" s="230">
        <f t="shared" si="47"/>
        <v>69</v>
      </c>
      <c r="C79" s="218" t="str">
        <f t="shared" si="43"/>
        <v>091_14-000_000_03</v>
      </c>
      <c r="D79" s="231">
        <f t="shared" ref="D79:D82" si="51">D78</f>
        <v>14</v>
      </c>
      <c r="E79" s="239">
        <f t="shared" si="39"/>
        <v>2.2540000000000004</v>
      </c>
      <c r="F79" s="232">
        <f t="shared" si="31"/>
        <v>16.100000000000001</v>
      </c>
      <c r="G79" s="232">
        <f t="shared" si="40"/>
        <v>12.880000000000003</v>
      </c>
      <c r="H79" s="232">
        <f t="shared" si="41"/>
        <v>8.0500000000000007</v>
      </c>
      <c r="I79" s="232">
        <f t="shared" si="48"/>
        <v>8</v>
      </c>
      <c r="J79" s="233">
        <f>yaw_null</f>
        <v>0</v>
      </c>
      <c r="K79" s="228" t="str">
        <f>D79&amp;-3</f>
        <v>14-3</v>
      </c>
      <c r="L79" s="232">
        <f t="shared" si="49"/>
        <v>0.2</v>
      </c>
      <c r="M79" s="232">
        <f t="shared" si="49"/>
        <v>150</v>
      </c>
      <c r="N79" s="232">
        <f t="shared" si="49"/>
        <v>750</v>
      </c>
      <c r="O79" s="217"/>
      <c r="P79" s="38">
        <f t="shared" si="16"/>
        <v>13.5</v>
      </c>
      <c r="Q79" s="38">
        <f t="shared" si="17"/>
        <v>14.5</v>
      </c>
      <c r="R79" s="39">
        <f t="shared" si="36"/>
        <v>0.92150262148052309</v>
      </c>
      <c r="S79" s="39">
        <f t="shared" si="36"/>
        <v>0.94690347534074992</v>
      </c>
      <c r="T79" s="39">
        <f t="shared" si="44"/>
        <v>2.5400853860226835E-2</v>
      </c>
      <c r="U79" s="40">
        <f t="shared" si="42"/>
        <v>0</v>
      </c>
      <c r="V79" s="40" t="str">
        <f t="shared" si="50"/>
        <v>H</v>
      </c>
      <c r="W79" s="217">
        <f t="shared" si="45"/>
        <v>0</v>
      </c>
      <c r="X79" s="176">
        <f t="shared" si="46"/>
        <v>0</v>
      </c>
    </row>
    <row r="80" spans="1:24" ht="15.75" thickBot="1" x14ac:dyDescent="0.3">
      <c r="A80" s="229">
        <f t="shared" si="47"/>
        <v>1192</v>
      </c>
      <c r="B80" s="230">
        <f t="shared" si="47"/>
        <v>70</v>
      </c>
      <c r="C80" s="218" t="str">
        <f t="shared" si="43"/>
        <v>091_14-000_000_04</v>
      </c>
      <c r="D80" s="231">
        <f t="shared" si="51"/>
        <v>14</v>
      </c>
      <c r="E80" s="239">
        <f t="shared" si="39"/>
        <v>2.2540000000000004</v>
      </c>
      <c r="F80" s="232">
        <f t="shared" si="31"/>
        <v>16.100000000000001</v>
      </c>
      <c r="G80" s="232">
        <f t="shared" si="40"/>
        <v>12.880000000000003</v>
      </c>
      <c r="H80" s="232">
        <f t="shared" si="41"/>
        <v>8.0500000000000007</v>
      </c>
      <c r="I80" s="232">
        <f t="shared" si="48"/>
        <v>8</v>
      </c>
      <c r="J80" s="233">
        <f>yaw_null</f>
        <v>0</v>
      </c>
      <c r="K80" s="228" t="str">
        <f>D80&amp;-4</f>
        <v>14-4</v>
      </c>
      <c r="L80" s="232">
        <f t="shared" si="49"/>
        <v>0.2</v>
      </c>
      <c r="M80" s="232">
        <f t="shared" si="49"/>
        <v>150</v>
      </c>
      <c r="N80" s="232">
        <f t="shared" si="49"/>
        <v>750</v>
      </c>
      <c r="O80" s="217"/>
      <c r="P80" s="38">
        <f t="shared" si="16"/>
        <v>13.5</v>
      </c>
      <c r="Q80" s="38">
        <f t="shared" si="17"/>
        <v>14.5</v>
      </c>
      <c r="R80" s="39">
        <f t="shared" si="36"/>
        <v>0.92150262148052309</v>
      </c>
      <c r="S80" s="39">
        <f t="shared" si="36"/>
        <v>0.94690347534074992</v>
      </c>
      <c r="T80" s="39">
        <f t="shared" si="44"/>
        <v>2.5400853860226835E-2</v>
      </c>
      <c r="U80" s="40">
        <f t="shared" si="42"/>
        <v>0</v>
      </c>
      <c r="V80" s="40" t="str">
        <f t="shared" si="50"/>
        <v>H</v>
      </c>
      <c r="W80" s="217">
        <f t="shared" si="45"/>
        <v>0</v>
      </c>
      <c r="X80" s="176">
        <f t="shared" si="46"/>
        <v>0</v>
      </c>
    </row>
    <row r="81" spans="1:24" ht="15.75" thickBot="1" x14ac:dyDescent="0.3">
      <c r="A81" s="229">
        <f t="shared" si="47"/>
        <v>1193</v>
      </c>
      <c r="B81" s="230">
        <f t="shared" si="47"/>
        <v>71</v>
      </c>
      <c r="C81" s="218" t="str">
        <f t="shared" si="43"/>
        <v>091_14-008_000_05</v>
      </c>
      <c r="D81" s="231">
        <f t="shared" si="51"/>
        <v>14</v>
      </c>
      <c r="E81" s="239">
        <f t="shared" si="39"/>
        <v>2.2540000000000004</v>
      </c>
      <c r="F81" s="232">
        <f t="shared" si="31"/>
        <v>16.100000000000001</v>
      </c>
      <c r="G81" s="232">
        <f t="shared" si="40"/>
        <v>12.880000000000003</v>
      </c>
      <c r="H81" s="232">
        <f t="shared" si="41"/>
        <v>8.0500000000000007</v>
      </c>
      <c r="I81" s="232">
        <f t="shared" si="48"/>
        <v>8</v>
      </c>
      <c r="J81" s="233">
        <f>yaw_max</f>
        <v>8</v>
      </c>
      <c r="K81" s="228" t="str">
        <f>D81&amp;-5</f>
        <v>14-5</v>
      </c>
      <c r="L81" s="232">
        <f t="shared" si="49"/>
        <v>0.2</v>
      </c>
      <c r="M81" s="232">
        <f t="shared" si="49"/>
        <v>150</v>
      </c>
      <c r="N81" s="232">
        <f t="shared" si="49"/>
        <v>750</v>
      </c>
      <c r="O81" s="217"/>
      <c r="P81" s="38">
        <f t="shared" ref="P81:P144" si="52">D81-V_step_12/2</f>
        <v>13.5</v>
      </c>
      <c r="Q81" s="38">
        <f t="shared" ref="Q81:Q142" si="53">P81+V_step_12</f>
        <v>14.5</v>
      </c>
      <c r="R81" s="39">
        <f t="shared" si="36"/>
        <v>0.92150262148052309</v>
      </c>
      <c r="S81" s="39">
        <f t="shared" si="36"/>
        <v>0.94690347534074992</v>
      </c>
      <c r="T81" s="39">
        <f t="shared" si="44"/>
        <v>2.5400853860226835E-2</v>
      </c>
      <c r="U81" s="40">
        <f t="shared" si="42"/>
        <v>0</v>
      </c>
      <c r="V81" s="40" t="str">
        <f t="shared" si="50"/>
        <v>H</v>
      </c>
      <c r="W81" s="217">
        <f t="shared" si="45"/>
        <v>0</v>
      </c>
      <c r="X81" s="176">
        <f t="shared" si="46"/>
        <v>0</v>
      </c>
    </row>
    <row r="82" spans="1:24" ht="15.75" thickBot="1" x14ac:dyDescent="0.3">
      <c r="A82" s="229">
        <f t="shared" si="47"/>
        <v>1194</v>
      </c>
      <c r="B82" s="230">
        <f t="shared" si="47"/>
        <v>72</v>
      </c>
      <c r="C82" s="218" t="str">
        <f t="shared" si="43"/>
        <v>091_14-008_000_06</v>
      </c>
      <c r="D82" s="231">
        <f t="shared" si="51"/>
        <v>14</v>
      </c>
      <c r="E82" s="239">
        <f t="shared" si="39"/>
        <v>2.2540000000000004</v>
      </c>
      <c r="F82" s="232">
        <f t="shared" si="31"/>
        <v>16.100000000000001</v>
      </c>
      <c r="G82" s="232">
        <f t="shared" si="40"/>
        <v>12.880000000000003</v>
      </c>
      <c r="H82" s="232">
        <f t="shared" si="41"/>
        <v>8.0500000000000007</v>
      </c>
      <c r="I82" s="232">
        <f t="shared" si="48"/>
        <v>8</v>
      </c>
      <c r="J82" s="233">
        <f>yaw_max</f>
        <v>8</v>
      </c>
      <c r="K82" s="228" t="str">
        <f>D82&amp;-6</f>
        <v>14-6</v>
      </c>
      <c r="L82" s="232">
        <f t="shared" si="49"/>
        <v>0.2</v>
      </c>
      <c r="M82" s="232">
        <f t="shared" si="49"/>
        <v>150</v>
      </c>
      <c r="N82" s="232">
        <f t="shared" si="49"/>
        <v>750</v>
      </c>
      <c r="O82" s="217"/>
      <c r="P82" s="38">
        <f t="shared" si="52"/>
        <v>13.5</v>
      </c>
      <c r="Q82" s="38">
        <f t="shared" si="53"/>
        <v>14.5</v>
      </c>
      <c r="R82" s="39">
        <f t="shared" si="36"/>
        <v>0.92150262148052309</v>
      </c>
      <c r="S82" s="39">
        <f t="shared" si="36"/>
        <v>0.94690347534074992</v>
      </c>
      <c r="T82" s="39">
        <f t="shared" si="44"/>
        <v>2.5400853860226835E-2</v>
      </c>
      <c r="U82" s="40">
        <f t="shared" si="42"/>
        <v>0</v>
      </c>
      <c r="V82" s="40" t="str">
        <f t="shared" si="50"/>
        <v>H</v>
      </c>
      <c r="W82" s="217">
        <f t="shared" si="45"/>
        <v>0</v>
      </c>
      <c r="X82" s="176">
        <f t="shared" si="46"/>
        <v>0</v>
      </c>
    </row>
    <row r="83" spans="1:24" ht="15.75" thickBot="1" x14ac:dyDescent="0.3">
      <c r="A83" s="229">
        <f t="shared" si="47"/>
        <v>1195</v>
      </c>
      <c r="B83" s="230">
        <f t="shared" si="47"/>
        <v>73</v>
      </c>
      <c r="C83" s="218" t="str">
        <f t="shared" si="43"/>
        <v>091_15-352_000_01</v>
      </c>
      <c r="D83" s="231">
        <f>D77+V_step_12</f>
        <v>15</v>
      </c>
      <c r="E83" s="239">
        <f t="shared" si="39"/>
        <v>2.3590000000000004</v>
      </c>
      <c r="F83" s="232">
        <f>E83/D83*100</f>
        <v>15.72666666666667</v>
      </c>
      <c r="G83" s="232">
        <f t="shared" si="40"/>
        <v>12.581333333333337</v>
      </c>
      <c r="H83" s="232">
        <f t="shared" si="41"/>
        <v>7.8633333333333351</v>
      </c>
      <c r="I83" s="232">
        <f t="shared" si="48"/>
        <v>8</v>
      </c>
      <c r="J83" s="233">
        <f>yaw_min</f>
        <v>-8</v>
      </c>
      <c r="K83" s="228" t="str">
        <f>D83&amp;-1</f>
        <v>15-1</v>
      </c>
      <c r="L83" s="232">
        <f t="shared" si="49"/>
        <v>0.2</v>
      </c>
      <c r="M83" s="232">
        <f t="shared" si="49"/>
        <v>150</v>
      </c>
      <c r="N83" s="232">
        <f t="shared" si="49"/>
        <v>750</v>
      </c>
      <c r="O83" s="217"/>
      <c r="P83" s="38">
        <f t="shared" si="52"/>
        <v>14.5</v>
      </c>
      <c r="Q83" s="38">
        <f t="shared" si="53"/>
        <v>15.5</v>
      </c>
      <c r="R83" s="39">
        <f t="shared" si="36"/>
        <v>0.94690347534074992</v>
      </c>
      <c r="S83" s="39">
        <f t="shared" si="36"/>
        <v>0.96507396789840261</v>
      </c>
      <c r="T83" s="39">
        <f t="shared" si="44"/>
        <v>1.8170492557652684E-2</v>
      </c>
      <c r="U83" s="40">
        <f t="shared" si="42"/>
        <v>0</v>
      </c>
      <c r="V83" s="40" t="str">
        <f t="shared" si="50"/>
        <v>H</v>
      </c>
      <c r="W83" s="217">
        <f t="shared" si="45"/>
        <v>0</v>
      </c>
      <c r="X83" s="176">
        <f t="shared" si="46"/>
        <v>0</v>
      </c>
    </row>
    <row r="84" spans="1:24" ht="15.75" thickBot="1" x14ac:dyDescent="0.3">
      <c r="A84" s="229">
        <f t="shared" si="47"/>
        <v>1196</v>
      </c>
      <c r="B84" s="230">
        <f t="shared" si="47"/>
        <v>74</v>
      </c>
      <c r="C84" s="218" t="str">
        <f t="shared" si="43"/>
        <v>091_15-352_000_02</v>
      </c>
      <c r="D84" s="231">
        <f>D83</f>
        <v>15</v>
      </c>
      <c r="E84" s="239">
        <f t="shared" si="39"/>
        <v>2.3590000000000004</v>
      </c>
      <c r="F84" s="232">
        <f t="shared" ref="F84:F100" si="54">E84/D84*100</f>
        <v>15.72666666666667</v>
      </c>
      <c r="G84" s="232">
        <f t="shared" si="40"/>
        <v>12.581333333333337</v>
      </c>
      <c r="H84" s="232">
        <f t="shared" si="41"/>
        <v>7.8633333333333351</v>
      </c>
      <c r="I84" s="232">
        <f t="shared" si="48"/>
        <v>8</v>
      </c>
      <c r="J84" s="233">
        <f>yaw_min</f>
        <v>-8</v>
      </c>
      <c r="K84" s="228" t="str">
        <f>D84&amp;-2</f>
        <v>15-2</v>
      </c>
      <c r="L84" s="232">
        <f t="shared" si="49"/>
        <v>0.2</v>
      </c>
      <c r="M84" s="232">
        <f t="shared" si="49"/>
        <v>150</v>
      </c>
      <c r="N84" s="232">
        <f t="shared" si="49"/>
        <v>750</v>
      </c>
      <c r="O84" s="217"/>
      <c r="P84" s="38">
        <f t="shared" si="52"/>
        <v>14.5</v>
      </c>
      <c r="Q84" s="38">
        <f t="shared" si="53"/>
        <v>15.5</v>
      </c>
      <c r="R84" s="39">
        <f t="shared" si="36"/>
        <v>0.94690347534074992</v>
      </c>
      <c r="S84" s="39">
        <f t="shared" si="36"/>
        <v>0.96507396789840261</v>
      </c>
      <c r="T84" s="39">
        <f t="shared" si="44"/>
        <v>1.8170492557652684E-2</v>
      </c>
      <c r="U84" s="40">
        <f t="shared" si="42"/>
        <v>0</v>
      </c>
      <c r="V84" s="40" t="str">
        <f t="shared" si="50"/>
        <v>H</v>
      </c>
      <c r="W84" s="217">
        <f t="shared" si="45"/>
        <v>0</v>
      </c>
      <c r="X84" s="176">
        <f t="shared" si="46"/>
        <v>0</v>
      </c>
    </row>
    <row r="85" spans="1:24" ht="15.75" thickBot="1" x14ac:dyDescent="0.3">
      <c r="A85" s="229">
        <f t="shared" si="47"/>
        <v>1197</v>
      </c>
      <c r="B85" s="230">
        <f t="shared" si="47"/>
        <v>75</v>
      </c>
      <c r="C85" s="218" t="str">
        <f t="shared" si="43"/>
        <v>091_15-000_000_03</v>
      </c>
      <c r="D85" s="231">
        <f t="shared" ref="D85:D88" si="55">D84</f>
        <v>15</v>
      </c>
      <c r="E85" s="239">
        <f t="shared" si="39"/>
        <v>2.3590000000000004</v>
      </c>
      <c r="F85" s="232">
        <f t="shared" si="54"/>
        <v>15.72666666666667</v>
      </c>
      <c r="G85" s="232">
        <f t="shared" si="40"/>
        <v>12.581333333333337</v>
      </c>
      <c r="H85" s="232">
        <f t="shared" si="41"/>
        <v>7.8633333333333351</v>
      </c>
      <c r="I85" s="232">
        <f t="shared" si="48"/>
        <v>8</v>
      </c>
      <c r="J85" s="233">
        <f>yaw_null</f>
        <v>0</v>
      </c>
      <c r="K85" s="228" t="str">
        <f>D85&amp;-3</f>
        <v>15-3</v>
      </c>
      <c r="L85" s="232">
        <f t="shared" si="49"/>
        <v>0.2</v>
      </c>
      <c r="M85" s="232">
        <f t="shared" si="49"/>
        <v>150</v>
      </c>
      <c r="N85" s="232">
        <f t="shared" si="49"/>
        <v>750</v>
      </c>
      <c r="O85" s="217"/>
      <c r="P85" s="38">
        <f t="shared" si="52"/>
        <v>14.5</v>
      </c>
      <c r="Q85" s="38">
        <f t="shared" si="53"/>
        <v>15.5</v>
      </c>
      <c r="R85" s="39">
        <f t="shared" si="36"/>
        <v>0.94690347534074992</v>
      </c>
      <c r="S85" s="39">
        <f t="shared" si="36"/>
        <v>0.96507396789840261</v>
      </c>
      <c r="T85" s="39">
        <f t="shared" si="44"/>
        <v>1.8170492557652684E-2</v>
      </c>
      <c r="U85" s="40">
        <f t="shared" si="42"/>
        <v>0</v>
      </c>
      <c r="V85" s="40" t="str">
        <f t="shared" si="50"/>
        <v>H</v>
      </c>
      <c r="W85" s="217">
        <f t="shared" si="45"/>
        <v>0</v>
      </c>
      <c r="X85" s="176">
        <f t="shared" si="46"/>
        <v>0</v>
      </c>
    </row>
    <row r="86" spans="1:24" ht="15.75" thickBot="1" x14ac:dyDescent="0.3">
      <c r="A86" s="229">
        <f t="shared" si="47"/>
        <v>1198</v>
      </c>
      <c r="B86" s="230">
        <f t="shared" si="47"/>
        <v>76</v>
      </c>
      <c r="C86" s="218" t="str">
        <f t="shared" si="43"/>
        <v>091_15-000_000_04</v>
      </c>
      <c r="D86" s="231">
        <f t="shared" si="55"/>
        <v>15</v>
      </c>
      <c r="E86" s="239">
        <f t="shared" si="39"/>
        <v>2.3590000000000004</v>
      </c>
      <c r="F86" s="232">
        <f t="shared" si="54"/>
        <v>15.72666666666667</v>
      </c>
      <c r="G86" s="232">
        <f t="shared" si="40"/>
        <v>12.581333333333337</v>
      </c>
      <c r="H86" s="232">
        <f t="shared" si="41"/>
        <v>7.8633333333333351</v>
      </c>
      <c r="I86" s="232">
        <f t="shared" si="48"/>
        <v>8</v>
      </c>
      <c r="J86" s="233">
        <f>yaw_null</f>
        <v>0</v>
      </c>
      <c r="K86" s="228" t="str">
        <f>D86&amp;-4</f>
        <v>15-4</v>
      </c>
      <c r="L86" s="232">
        <f t="shared" si="49"/>
        <v>0.2</v>
      </c>
      <c r="M86" s="232">
        <f t="shared" si="49"/>
        <v>150</v>
      </c>
      <c r="N86" s="232">
        <f t="shared" si="49"/>
        <v>750</v>
      </c>
      <c r="O86" s="217"/>
      <c r="P86" s="38">
        <f t="shared" si="52"/>
        <v>14.5</v>
      </c>
      <c r="Q86" s="38">
        <f t="shared" si="53"/>
        <v>15.5</v>
      </c>
      <c r="R86" s="39">
        <f t="shared" si="36"/>
        <v>0.94690347534074992</v>
      </c>
      <c r="S86" s="39">
        <f t="shared" si="36"/>
        <v>0.96507396789840261</v>
      </c>
      <c r="T86" s="39">
        <f t="shared" si="44"/>
        <v>1.8170492557652684E-2</v>
      </c>
      <c r="U86" s="40">
        <f t="shared" si="42"/>
        <v>0</v>
      </c>
      <c r="V86" s="40" t="str">
        <f t="shared" si="50"/>
        <v>H</v>
      </c>
      <c r="W86" s="217">
        <f t="shared" si="45"/>
        <v>0</v>
      </c>
      <c r="X86" s="176">
        <f t="shared" si="46"/>
        <v>0</v>
      </c>
    </row>
    <row r="87" spans="1:24" ht="15.75" thickBot="1" x14ac:dyDescent="0.3">
      <c r="A87" s="229">
        <f t="shared" si="47"/>
        <v>1199</v>
      </c>
      <c r="B87" s="230">
        <f t="shared" si="47"/>
        <v>77</v>
      </c>
      <c r="C87" s="218" t="str">
        <f t="shared" si="43"/>
        <v>091_15-008_000_05</v>
      </c>
      <c r="D87" s="231">
        <f t="shared" si="55"/>
        <v>15</v>
      </c>
      <c r="E87" s="239">
        <f t="shared" si="39"/>
        <v>2.3590000000000004</v>
      </c>
      <c r="F87" s="232">
        <f t="shared" si="54"/>
        <v>15.72666666666667</v>
      </c>
      <c r="G87" s="232">
        <f t="shared" si="40"/>
        <v>12.581333333333337</v>
      </c>
      <c r="H87" s="232">
        <f t="shared" si="41"/>
        <v>7.8633333333333351</v>
      </c>
      <c r="I87" s="232">
        <f t="shared" si="48"/>
        <v>8</v>
      </c>
      <c r="J87" s="233">
        <f>yaw_max</f>
        <v>8</v>
      </c>
      <c r="K87" s="228" t="str">
        <f>D87&amp;-5</f>
        <v>15-5</v>
      </c>
      <c r="L87" s="232">
        <f t="shared" si="49"/>
        <v>0.2</v>
      </c>
      <c r="M87" s="232">
        <f t="shared" si="49"/>
        <v>150</v>
      </c>
      <c r="N87" s="232">
        <f t="shared" si="49"/>
        <v>750</v>
      </c>
      <c r="O87" s="217"/>
      <c r="P87" s="38">
        <f t="shared" si="52"/>
        <v>14.5</v>
      </c>
      <c r="Q87" s="38">
        <f t="shared" si="53"/>
        <v>15.5</v>
      </c>
      <c r="R87" s="39">
        <f t="shared" si="36"/>
        <v>0.94690347534074992</v>
      </c>
      <c r="S87" s="39">
        <f t="shared" si="36"/>
        <v>0.96507396789840261</v>
      </c>
      <c r="T87" s="39">
        <f t="shared" si="44"/>
        <v>1.8170492557652684E-2</v>
      </c>
      <c r="U87" s="40">
        <f t="shared" si="42"/>
        <v>0</v>
      </c>
      <c r="V87" s="40" t="str">
        <f t="shared" si="50"/>
        <v>H</v>
      </c>
      <c r="W87" s="217">
        <f t="shared" si="45"/>
        <v>0</v>
      </c>
      <c r="X87" s="176">
        <f t="shared" si="46"/>
        <v>0</v>
      </c>
    </row>
    <row r="88" spans="1:24" ht="15.75" thickBot="1" x14ac:dyDescent="0.3">
      <c r="A88" s="229">
        <f t="shared" si="47"/>
        <v>1200</v>
      </c>
      <c r="B88" s="230">
        <f t="shared" si="47"/>
        <v>78</v>
      </c>
      <c r="C88" s="218" t="str">
        <f t="shared" si="43"/>
        <v>091_15-008_000_06</v>
      </c>
      <c r="D88" s="231">
        <f t="shared" si="55"/>
        <v>15</v>
      </c>
      <c r="E88" s="239">
        <f t="shared" si="39"/>
        <v>2.3590000000000004</v>
      </c>
      <c r="F88" s="232">
        <f t="shared" si="54"/>
        <v>15.72666666666667</v>
      </c>
      <c r="G88" s="232">
        <f t="shared" si="40"/>
        <v>12.581333333333337</v>
      </c>
      <c r="H88" s="232">
        <f t="shared" si="41"/>
        <v>7.8633333333333351</v>
      </c>
      <c r="I88" s="232">
        <f t="shared" si="48"/>
        <v>8</v>
      </c>
      <c r="J88" s="233">
        <f>yaw_max</f>
        <v>8</v>
      </c>
      <c r="K88" s="228" t="str">
        <f>D88&amp;-6</f>
        <v>15-6</v>
      </c>
      <c r="L88" s="232">
        <f t="shared" si="49"/>
        <v>0.2</v>
      </c>
      <c r="M88" s="232">
        <f t="shared" si="49"/>
        <v>150</v>
      </c>
      <c r="N88" s="232">
        <f t="shared" si="49"/>
        <v>750</v>
      </c>
      <c r="O88" s="217"/>
      <c r="P88" s="38">
        <f t="shared" si="52"/>
        <v>14.5</v>
      </c>
      <c r="Q88" s="38">
        <f t="shared" si="53"/>
        <v>15.5</v>
      </c>
      <c r="R88" s="39">
        <f t="shared" si="36"/>
        <v>0.94690347534074992</v>
      </c>
      <c r="S88" s="39">
        <f t="shared" si="36"/>
        <v>0.96507396789840261</v>
      </c>
      <c r="T88" s="39">
        <f t="shared" si="44"/>
        <v>1.8170492557652684E-2</v>
      </c>
      <c r="U88" s="40">
        <f t="shared" si="42"/>
        <v>0</v>
      </c>
      <c r="V88" s="40" t="str">
        <f t="shared" si="50"/>
        <v>H</v>
      </c>
      <c r="W88" s="217">
        <f t="shared" si="45"/>
        <v>0</v>
      </c>
      <c r="X88" s="176">
        <f t="shared" si="46"/>
        <v>0</v>
      </c>
    </row>
    <row r="89" spans="1:24" ht="15.75" thickBot="1" x14ac:dyDescent="0.3">
      <c r="A89" s="229">
        <f t="shared" si="47"/>
        <v>1201</v>
      </c>
      <c r="B89" s="230">
        <f t="shared" si="47"/>
        <v>79</v>
      </c>
      <c r="C89" s="218" t="str">
        <f t="shared" si="43"/>
        <v>091_16-352_000_01</v>
      </c>
      <c r="D89" s="231">
        <f>D83+V_step_12</f>
        <v>16</v>
      </c>
      <c r="E89" s="239">
        <f t="shared" si="39"/>
        <v>2.4640000000000004</v>
      </c>
      <c r="F89" s="232">
        <f t="shared" si="54"/>
        <v>15.400000000000002</v>
      </c>
      <c r="G89" s="232">
        <f t="shared" si="40"/>
        <v>12.320000000000002</v>
      </c>
      <c r="H89" s="232">
        <f t="shared" si="41"/>
        <v>7.7000000000000011</v>
      </c>
      <c r="I89" s="232">
        <f t="shared" si="48"/>
        <v>8</v>
      </c>
      <c r="J89" s="233">
        <f>yaw_min</f>
        <v>-8</v>
      </c>
      <c r="K89" s="228" t="str">
        <f>D89&amp;-1</f>
        <v>16-1</v>
      </c>
      <c r="L89" s="232">
        <f t="shared" si="49"/>
        <v>0.2</v>
      </c>
      <c r="M89" s="232">
        <f t="shared" si="49"/>
        <v>150</v>
      </c>
      <c r="N89" s="232">
        <f t="shared" si="49"/>
        <v>750</v>
      </c>
      <c r="O89" s="217"/>
      <c r="P89" s="38">
        <f t="shared" si="52"/>
        <v>15.5</v>
      </c>
      <c r="Q89" s="38">
        <f t="shared" si="53"/>
        <v>16.5</v>
      </c>
      <c r="R89" s="39">
        <f t="shared" si="36"/>
        <v>0.96507396789840261</v>
      </c>
      <c r="S89" s="39">
        <f t="shared" si="36"/>
        <v>0.97765889694649621</v>
      </c>
      <c r="T89" s="39">
        <f t="shared" si="44"/>
        <v>1.2584929048093607E-2</v>
      </c>
      <c r="U89" s="40">
        <f t="shared" si="42"/>
        <v>0</v>
      </c>
      <c r="V89" s="40" t="str">
        <f t="shared" si="50"/>
        <v>H</v>
      </c>
      <c r="W89" s="217">
        <f t="shared" si="45"/>
        <v>0</v>
      </c>
      <c r="X89" s="176">
        <f t="shared" si="46"/>
        <v>0</v>
      </c>
    </row>
    <row r="90" spans="1:24" ht="15.75" thickBot="1" x14ac:dyDescent="0.3">
      <c r="A90" s="229">
        <f t="shared" si="47"/>
        <v>1202</v>
      </c>
      <c r="B90" s="230">
        <f t="shared" si="47"/>
        <v>80</v>
      </c>
      <c r="C90" s="218" t="str">
        <f t="shared" si="43"/>
        <v>091_16-352_000_02</v>
      </c>
      <c r="D90" s="231">
        <f>D89</f>
        <v>16</v>
      </c>
      <c r="E90" s="239">
        <f t="shared" si="39"/>
        <v>2.4640000000000004</v>
      </c>
      <c r="F90" s="232">
        <f t="shared" si="54"/>
        <v>15.400000000000002</v>
      </c>
      <c r="G90" s="232">
        <f t="shared" si="40"/>
        <v>12.320000000000002</v>
      </c>
      <c r="H90" s="232">
        <f t="shared" si="41"/>
        <v>7.7000000000000011</v>
      </c>
      <c r="I90" s="232">
        <f t="shared" si="48"/>
        <v>8</v>
      </c>
      <c r="J90" s="233">
        <f>yaw_min</f>
        <v>-8</v>
      </c>
      <c r="K90" s="228" t="str">
        <f>D90&amp;-2</f>
        <v>16-2</v>
      </c>
      <c r="L90" s="232">
        <f t="shared" si="49"/>
        <v>0.2</v>
      </c>
      <c r="M90" s="232">
        <f t="shared" si="49"/>
        <v>150</v>
      </c>
      <c r="N90" s="232">
        <f t="shared" si="49"/>
        <v>750</v>
      </c>
      <c r="O90" s="217"/>
      <c r="P90" s="38">
        <f t="shared" si="52"/>
        <v>15.5</v>
      </c>
      <c r="Q90" s="38">
        <f t="shared" si="53"/>
        <v>16.5</v>
      </c>
      <c r="R90" s="39">
        <f t="shared" si="36"/>
        <v>0.96507396789840261</v>
      </c>
      <c r="S90" s="39">
        <f t="shared" si="36"/>
        <v>0.97765889694649621</v>
      </c>
      <c r="T90" s="39">
        <f t="shared" si="44"/>
        <v>1.2584929048093607E-2</v>
      </c>
      <c r="U90" s="40">
        <f t="shared" si="42"/>
        <v>0</v>
      </c>
      <c r="V90" s="40" t="str">
        <f t="shared" si="50"/>
        <v>H</v>
      </c>
      <c r="W90" s="217">
        <f t="shared" si="45"/>
        <v>0</v>
      </c>
      <c r="X90" s="176">
        <f t="shared" si="46"/>
        <v>0</v>
      </c>
    </row>
    <row r="91" spans="1:24" ht="15.75" thickBot="1" x14ac:dyDescent="0.3">
      <c r="A91" s="229">
        <f t="shared" si="47"/>
        <v>1203</v>
      </c>
      <c r="B91" s="230">
        <f t="shared" si="47"/>
        <v>81</v>
      </c>
      <c r="C91" s="218" t="str">
        <f t="shared" si="43"/>
        <v>091_16-000_000_03</v>
      </c>
      <c r="D91" s="231">
        <f t="shared" ref="D91:D94" si="56">D90</f>
        <v>16</v>
      </c>
      <c r="E91" s="239">
        <f t="shared" si="39"/>
        <v>2.4640000000000004</v>
      </c>
      <c r="F91" s="232">
        <f t="shared" si="54"/>
        <v>15.400000000000002</v>
      </c>
      <c r="G91" s="232">
        <f t="shared" si="40"/>
        <v>12.320000000000002</v>
      </c>
      <c r="H91" s="232">
        <f t="shared" si="41"/>
        <v>7.7000000000000011</v>
      </c>
      <c r="I91" s="232">
        <f t="shared" si="48"/>
        <v>8</v>
      </c>
      <c r="J91" s="233">
        <f>yaw_null</f>
        <v>0</v>
      </c>
      <c r="K91" s="228" t="str">
        <f>D91&amp;-3</f>
        <v>16-3</v>
      </c>
      <c r="L91" s="232">
        <f t="shared" si="49"/>
        <v>0.2</v>
      </c>
      <c r="M91" s="232">
        <f t="shared" si="49"/>
        <v>150</v>
      </c>
      <c r="N91" s="232">
        <f t="shared" si="49"/>
        <v>750</v>
      </c>
      <c r="O91" s="217"/>
      <c r="P91" s="38">
        <f t="shared" si="52"/>
        <v>15.5</v>
      </c>
      <c r="Q91" s="38">
        <f t="shared" si="53"/>
        <v>16.5</v>
      </c>
      <c r="R91" s="39">
        <f t="shared" si="36"/>
        <v>0.96507396789840261</v>
      </c>
      <c r="S91" s="39">
        <f t="shared" si="36"/>
        <v>0.97765889694649621</v>
      </c>
      <c r="T91" s="39">
        <f t="shared" si="44"/>
        <v>1.2584929048093607E-2</v>
      </c>
      <c r="U91" s="40">
        <f t="shared" si="42"/>
        <v>0</v>
      </c>
      <c r="V91" s="40" t="str">
        <f t="shared" si="50"/>
        <v>H</v>
      </c>
      <c r="W91" s="217">
        <f t="shared" si="45"/>
        <v>0</v>
      </c>
      <c r="X91" s="176">
        <f t="shared" si="46"/>
        <v>0</v>
      </c>
    </row>
    <row r="92" spans="1:24" ht="15.75" thickBot="1" x14ac:dyDescent="0.3">
      <c r="A92" s="229">
        <f t="shared" si="47"/>
        <v>1204</v>
      </c>
      <c r="B92" s="230">
        <f t="shared" si="47"/>
        <v>82</v>
      </c>
      <c r="C92" s="218" t="str">
        <f t="shared" si="43"/>
        <v>091_16-000_000_04</v>
      </c>
      <c r="D92" s="231">
        <f t="shared" si="56"/>
        <v>16</v>
      </c>
      <c r="E92" s="239">
        <f t="shared" si="39"/>
        <v>2.4640000000000004</v>
      </c>
      <c r="F92" s="232">
        <f t="shared" si="54"/>
        <v>15.400000000000002</v>
      </c>
      <c r="G92" s="232">
        <f t="shared" si="40"/>
        <v>12.320000000000002</v>
      </c>
      <c r="H92" s="232">
        <f t="shared" si="41"/>
        <v>7.7000000000000011</v>
      </c>
      <c r="I92" s="232">
        <f t="shared" si="48"/>
        <v>8</v>
      </c>
      <c r="J92" s="233">
        <f>yaw_null</f>
        <v>0</v>
      </c>
      <c r="K92" s="228" t="str">
        <f>D92&amp;-4</f>
        <v>16-4</v>
      </c>
      <c r="L92" s="232">
        <f t="shared" si="49"/>
        <v>0.2</v>
      </c>
      <c r="M92" s="232">
        <f t="shared" si="49"/>
        <v>150</v>
      </c>
      <c r="N92" s="232">
        <f t="shared" si="49"/>
        <v>750</v>
      </c>
      <c r="O92" s="217"/>
      <c r="P92" s="38">
        <f t="shared" si="52"/>
        <v>15.5</v>
      </c>
      <c r="Q92" s="38">
        <f t="shared" si="53"/>
        <v>16.5</v>
      </c>
      <c r="R92" s="39">
        <f t="shared" si="36"/>
        <v>0.96507396789840261</v>
      </c>
      <c r="S92" s="39">
        <f t="shared" si="36"/>
        <v>0.97765889694649621</v>
      </c>
      <c r="T92" s="39">
        <f t="shared" si="44"/>
        <v>1.2584929048093607E-2</v>
      </c>
      <c r="U92" s="40">
        <f t="shared" si="42"/>
        <v>0</v>
      </c>
      <c r="V92" s="40" t="str">
        <f t="shared" si="50"/>
        <v>H</v>
      </c>
      <c r="W92" s="217">
        <f t="shared" si="45"/>
        <v>0</v>
      </c>
      <c r="X92" s="176">
        <f t="shared" si="46"/>
        <v>0</v>
      </c>
    </row>
    <row r="93" spans="1:24" ht="15.75" thickBot="1" x14ac:dyDescent="0.3">
      <c r="A93" s="229">
        <f t="shared" ref="A93:B108" si="57">A92+1</f>
        <v>1205</v>
      </c>
      <c r="B93" s="230">
        <f t="shared" si="57"/>
        <v>83</v>
      </c>
      <c r="C93" s="218" t="str">
        <f t="shared" si="43"/>
        <v>091_16-008_000_05</v>
      </c>
      <c r="D93" s="231">
        <f t="shared" si="56"/>
        <v>16</v>
      </c>
      <c r="E93" s="239">
        <f t="shared" si="39"/>
        <v>2.4640000000000004</v>
      </c>
      <c r="F93" s="232">
        <f t="shared" si="54"/>
        <v>15.400000000000002</v>
      </c>
      <c r="G93" s="232">
        <f t="shared" si="40"/>
        <v>12.320000000000002</v>
      </c>
      <c r="H93" s="232">
        <f t="shared" si="41"/>
        <v>7.7000000000000011</v>
      </c>
      <c r="I93" s="232">
        <f t="shared" si="48"/>
        <v>8</v>
      </c>
      <c r="J93" s="233">
        <f>yaw_max</f>
        <v>8</v>
      </c>
      <c r="K93" s="228" t="str">
        <f>D93&amp;-5</f>
        <v>16-5</v>
      </c>
      <c r="L93" s="232">
        <f t="shared" ref="L93:N108" si="58">L92</f>
        <v>0.2</v>
      </c>
      <c r="M93" s="232">
        <f t="shared" si="58"/>
        <v>150</v>
      </c>
      <c r="N93" s="232">
        <f t="shared" si="58"/>
        <v>750</v>
      </c>
      <c r="O93" s="217"/>
      <c r="P93" s="38">
        <f t="shared" si="52"/>
        <v>15.5</v>
      </c>
      <c r="Q93" s="38">
        <f t="shared" si="53"/>
        <v>16.5</v>
      </c>
      <c r="R93" s="39">
        <f t="shared" si="36"/>
        <v>0.96507396789840261</v>
      </c>
      <c r="S93" s="39">
        <f t="shared" si="36"/>
        <v>0.97765889694649621</v>
      </c>
      <c r="T93" s="39">
        <f t="shared" si="44"/>
        <v>1.2584929048093607E-2</v>
      </c>
      <c r="U93" s="40">
        <f t="shared" si="42"/>
        <v>0</v>
      </c>
      <c r="V93" s="40" t="str">
        <f t="shared" si="50"/>
        <v>H</v>
      </c>
      <c r="W93" s="217">
        <f t="shared" si="45"/>
        <v>0</v>
      </c>
      <c r="X93" s="176">
        <f t="shared" si="46"/>
        <v>0</v>
      </c>
    </row>
    <row r="94" spans="1:24" ht="15.75" thickBot="1" x14ac:dyDescent="0.3">
      <c r="A94" s="229">
        <f t="shared" si="57"/>
        <v>1206</v>
      </c>
      <c r="B94" s="230">
        <f t="shared" si="57"/>
        <v>84</v>
      </c>
      <c r="C94" s="218" t="str">
        <f t="shared" si="43"/>
        <v>091_16-008_000_06</v>
      </c>
      <c r="D94" s="231">
        <f t="shared" si="56"/>
        <v>16</v>
      </c>
      <c r="E94" s="239">
        <f t="shared" si="39"/>
        <v>2.4640000000000004</v>
      </c>
      <c r="F94" s="232">
        <f t="shared" si="54"/>
        <v>15.400000000000002</v>
      </c>
      <c r="G94" s="232">
        <f t="shared" si="40"/>
        <v>12.320000000000002</v>
      </c>
      <c r="H94" s="232">
        <f t="shared" si="41"/>
        <v>7.7000000000000011</v>
      </c>
      <c r="I94" s="232">
        <f t="shared" si="48"/>
        <v>8</v>
      </c>
      <c r="J94" s="233">
        <f>yaw_max</f>
        <v>8</v>
      </c>
      <c r="K94" s="228" t="str">
        <f>D94&amp;-6</f>
        <v>16-6</v>
      </c>
      <c r="L94" s="232">
        <f t="shared" si="58"/>
        <v>0.2</v>
      </c>
      <c r="M94" s="232">
        <f t="shared" si="58"/>
        <v>150</v>
      </c>
      <c r="N94" s="232">
        <f t="shared" si="58"/>
        <v>750</v>
      </c>
      <c r="O94" s="217"/>
      <c r="P94" s="38">
        <f t="shared" si="52"/>
        <v>15.5</v>
      </c>
      <c r="Q94" s="38">
        <f t="shared" si="53"/>
        <v>16.5</v>
      </c>
      <c r="R94" s="39">
        <f t="shared" si="36"/>
        <v>0.96507396789840261</v>
      </c>
      <c r="S94" s="39">
        <f t="shared" si="36"/>
        <v>0.97765889694649621</v>
      </c>
      <c r="T94" s="39">
        <f t="shared" si="44"/>
        <v>1.2584929048093607E-2</v>
      </c>
      <c r="U94" s="40">
        <f t="shared" si="42"/>
        <v>0</v>
      </c>
      <c r="V94" s="40" t="str">
        <f t="shared" si="50"/>
        <v>H</v>
      </c>
      <c r="W94" s="217">
        <f t="shared" si="45"/>
        <v>0</v>
      </c>
      <c r="X94" s="176">
        <f t="shared" si="46"/>
        <v>0</v>
      </c>
    </row>
    <row r="95" spans="1:24" ht="15.75" thickBot="1" x14ac:dyDescent="0.3">
      <c r="A95" s="229">
        <f t="shared" si="57"/>
        <v>1207</v>
      </c>
      <c r="B95" s="230">
        <f t="shared" si="57"/>
        <v>85</v>
      </c>
      <c r="C95" s="218" t="str">
        <f t="shared" si="43"/>
        <v>091_17-352_000_01</v>
      </c>
      <c r="D95" s="231">
        <f>D89+V_step_12</f>
        <v>17</v>
      </c>
      <c r="E95" s="239">
        <f t="shared" si="39"/>
        <v>2.5690000000000004</v>
      </c>
      <c r="F95" s="232">
        <f t="shared" si="54"/>
        <v>15.111764705882354</v>
      </c>
      <c r="G95" s="232">
        <f t="shared" si="40"/>
        <v>12.089411764705885</v>
      </c>
      <c r="H95" s="232">
        <f t="shared" si="41"/>
        <v>7.5558823529411772</v>
      </c>
      <c r="I95" s="232">
        <f t="shared" si="48"/>
        <v>8</v>
      </c>
      <c r="J95" s="233">
        <f>yaw_min</f>
        <v>-8</v>
      </c>
      <c r="K95" s="228" t="str">
        <f>D95&amp;-1</f>
        <v>17-1</v>
      </c>
      <c r="L95" s="232">
        <f t="shared" si="58"/>
        <v>0.2</v>
      </c>
      <c r="M95" s="232">
        <f t="shared" si="58"/>
        <v>150</v>
      </c>
      <c r="N95" s="232">
        <f t="shared" si="58"/>
        <v>750</v>
      </c>
      <c r="O95" s="217"/>
      <c r="P95" s="38">
        <f t="shared" si="52"/>
        <v>16.5</v>
      </c>
      <c r="Q95" s="38">
        <f t="shared" si="53"/>
        <v>17.5</v>
      </c>
      <c r="R95" s="39">
        <f t="shared" si="36"/>
        <v>0.97765889694649621</v>
      </c>
      <c r="S95" s="39">
        <f t="shared" si="36"/>
        <v>0.98610264392523161</v>
      </c>
      <c r="T95" s="39">
        <f t="shared" si="44"/>
        <v>8.4437469787354003E-3</v>
      </c>
      <c r="U95" s="40">
        <f t="shared" si="42"/>
        <v>0</v>
      </c>
      <c r="V95" s="40" t="str">
        <f t="shared" si="50"/>
        <v>H</v>
      </c>
      <c r="W95" s="217">
        <f t="shared" si="45"/>
        <v>0</v>
      </c>
      <c r="X95" s="176">
        <f t="shared" si="46"/>
        <v>0</v>
      </c>
    </row>
    <row r="96" spans="1:24" ht="15.75" thickBot="1" x14ac:dyDescent="0.3">
      <c r="A96" s="229">
        <f t="shared" si="57"/>
        <v>1208</v>
      </c>
      <c r="B96" s="230">
        <f t="shared" si="57"/>
        <v>86</v>
      </c>
      <c r="C96" s="218" t="str">
        <f t="shared" si="43"/>
        <v>091_17-352_000_02</v>
      </c>
      <c r="D96" s="231">
        <f>D95</f>
        <v>17</v>
      </c>
      <c r="E96" s="239">
        <f t="shared" si="39"/>
        <v>2.5690000000000004</v>
      </c>
      <c r="F96" s="232">
        <f t="shared" si="54"/>
        <v>15.111764705882354</v>
      </c>
      <c r="G96" s="232">
        <f t="shared" si="40"/>
        <v>12.089411764705885</v>
      </c>
      <c r="H96" s="232">
        <f t="shared" si="41"/>
        <v>7.5558823529411772</v>
      </c>
      <c r="I96" s="232">
        <f t="shared" si="48"/>
        <v>8</v>
      </c>
      <c r="J96" s="233">
        <f>yaw_min</f>
        <v>-8</v>
      </c>
      <c r="K96" s="228" t="str">
        <f>D96&amp;-2</f>
        <v>17-2</v>
      </c>
      <c r="L96" s="232">
        <f t="shared" si="58"/>
        <v>0.2</v>
      </c>
      <c r="M96" s="232">
        <f t="shared" si="58"/>
        <v>150</v>
      </c>
      <c r="N96" s="232">
        <f t="shared" si="58"/>
        <v>750</v>
      </c>
      <c r="O96" s="217"/>
      <c r="P96" s="38">
        <f t="shared" si="52"/>
        <v>16.5</v>
      </c>
      <c r="Q96" s="38">
        <f t="shared" si="53"/>
        <v>17.5</v>
      </c>
      <c r="R96" s="39">
        <f t="shared" si="36"/>
        <v>0.97765889694649621</v>
      </c>
      <c r="S96" s="39">
        <f t="shared" si="36"/>
        <v>0.98610264392523161</v>
      </c>
      <c r="T96" s="39">
        <f t="shared" si="44"/>
        <v>8.4437469787354003E-3</v>
      </c>
      <c r="U96" s="40">
        <f t="shared" si="42"/>
        <v>0</v>
      </c>
      <c r="V96" s="40" t="str">
        <f t="shared" si="50"/>
        <v>H</v>
      </c>
      <c r="W96" s="217">
        <f t="shared" si="45"/>
        <v>0</v>
      </c>
      <c r="X96" s="176">
        <f t="shared" si="46"/>
        <v>0</v>
      </c>
    </row>
    <row r="97" spans="1:24" ht="15.75" thickBot="1" x14ac:dyDescent="0.3">
      <c r="A97" s="229">
        <f t="shared" si="57"/>
        <v>1209</v>
      </c>
      <c r="B97" s="230">
        <f t="shared" si="57"/>
        <v>87</v>
      </c>
      <c r="C97" s="218" t="str">
        <f t="shared" si="43"/>
        <v>091_17-000_000_03</v>
      </c>
      <c r="D97" s="231">
        <f t="shared" ref="D97:D100" si="59">D96</f>
        <v>17</v>
      </c>
      <c r="E97" s="239">
        <f t="shared" si="39"/>
        <v>2.5690000000000004</v>
      </c>
      <c r="F97" s="232">
        <f t="shared" si="54"/>
        <v>15.111764705882354</v>
      </c>
      <c r="G97" s="232">
        <f t="shared" si="40"/>
        <v>12.089411764705885</v>
      </c>
      <c r="H97" s="232">
        <f t="shared" si="41"/>
        <v>7.5558823529411772</v>
      </c>
      <c r="I97" s="232">
        <f t="shared" si="48"/>
        <v>8</v>
      </c>
      <c r="J97" s="233">
        <f>yaw_null</f>
        <v>0</v>
      </c>
      <c r="K97" s="228" t="str">
        <f>D97&amp;-3</f>
        <v>17-3</v>
      </c>
      <c r="L97" s="232">
        <f t="shared" si="58"/>
        <v>0.2</v>
      </c>
      <c r="M97" s="232">
        <f t="shared" si="58"/>
        <v>150</v>
      </c>
      <c r="N97" s="232">
        <f t="shared" si="58"/>
        <v>750</v>
      </c>
      <c r="O97" s="217"/>
      <c r="P97" s="38">
        <f t="shared" si="52"/>
        <v>16.5</v>
      </c>
      <c r="Q97" s="38">
        <f t="shared" si="53"/>
        <v>17.5</v>
      </c>
      <c r="R97" s="39">
        <f t="shared" si="36"/>
        <v>0.97765889694649621</v>
      </c>
      <c r="S97" s="39">
        <f t="shared" si="36"/>
        <v>0.98610264392523161</v>
      </c>
      <c r="T97" s="39">
        <f t="shared" si="44"/>
        <v>8.4437469787354003E-3</v>
      </c>
      <c r="U97" s="40">
        <f t="shared" si="42"/>
        <v>0</v>
      </c>
      <c r="V97" s="40" t="str">
        <f t="shared" si="50"/>
        <v>H</v>
      </c>
      <c r="W97" s="217">
        <f t="shared" si="45"/>
        <v>0</v>
      </c>
      <c r="X97" s="176">
        <f t="shared" si="46"/>
        <v>0</v>
      </c>
    </row>
    <row r="98" spans="1:24" ht="15.75" thickBot="1" x14ac:dyDescent="0.3">
      <c r="A98" s="229">
        <f t="shared" si="57"/>
        <v>1210</v>
      </c>
      <c r="B98" s="230">
        <f t="shared" si="57"/>
        <v>88</v>
      </c>
      <c r="C98" s="218" t="str">
        <f t="shared" si="43"/>
        <v>091_17-000_000_04</v>
      </c>
      <c r="D98" s="231">
        <f t="shared" si="59"/>
        <v>17</v>
      </c>
      <c r="E98" s="239">
        <f t="shared" si="39"/>
        <v>2.5690000000000004</v>
      </c>
      <c r="F98" s="232">
        <f t="shared" si="54"/>
        <v>15.111764705882354</v>
      </c>
      <c r="G98" s="232">
        <f t="shared" si="40"/>
        <v>12.089411764705885</v>
      </c>
      <c r="H98" s="232">
        <f t="shared" si="41"/>
        <v>7.5558823529411772</v>
      </c>
      <c r="I98" s="232">
        <f t="shared" si="48"/>
        <v>8</v>
      </c>
      <c r="J98" s="233">
        <f>yaw_null</f>
        <v>0</v>
      </c>
      <c r="K98" s="228" t="str">
        <f>D98&amp;-4</f>
        <v>17-4</v>
      </c>
      <c r="L98" s="232">
        <f t="shared" si="58"/>
        <v>0.2</v>
      </c>
      <c r="M98" s="232">
        <f t="shared" si="58"/>
        <v>150</v>
      </c>
      <c r="N98" s="232">
        <f t="shared" si="58"/>
        <v>750</v>
      </c>
      <c r="O98" s="217"/>
      <c r="P98" s="38">
        <f t="shared" si="52"/>
        <v>16.5</v>
      </c>
      <c r="Q98" s="38">
        <f t="shared" si="53"/>
        <v>17.5</v>
      </c>
      <c r="R98" s="39">
        <f t="shared" si="36"/>
        <v>0.97765889694649621</v>
      </c>
      <c r="S98" s="39">
        <f t="shared" si="36"/>
        <v>0.98610264392523161</v>
      </c>
      <c r="T98" s="39">
        <f t="shared" si="44"/>
        <v>8.4437469787354003E-3</v>
      </c>
      <c r="U98" s="40">
        <f t="shared" si="42"/>
        <v>0</v>
      </c>
      <c r="V98" s="40" t="str">
        <f t="shared" si="50"/>
        <v>H</v>
      </c>
      <c r="W98" s="217">
        <f t="shared" si="45"/>
        <v>0</v>
      </c>
      <c r="X98" s="176">
        <f t="shared" si="46"/>
        <v>0</v>
      </c>
    </row>
    <row r="99" spans="1:24" ht="15.75" thickBot="1" x14ac:dyDescent="0.3">
      <c r="A99" s="229">
        <f t="shared" si="57"/>
        <v>1211</v>
      </c>
      <c r="B99" s="230">
        <f t="shared" si="57"/>
        <v>89</v>
      </c>
      <c r="C99" s="218" t="str">
        <f t="shared" si="43"/>
        <v>091_17-008_000_05</v>
      </c>
      <c r="D99" s="231">
        <f t="shared" si="59"/>
        <v>17</v>
      </c>
      <c r="E99" s="239">
        <f t="shared" si="39"/>
        <v>2.5690000000000004</v>
      </c>
      <c r="F99" s="232">
        <f t="shared" si="54"/>
        <v>15.111764705882354</v>
      </c>
      <c r="G99" s="232">
        <f t="shared" si="40"/>
        <v>12.089411764705885</v>
      </c>
      <c r="H99" s="232">
        <f t="shared" si="41"/>
        <v>7.5558823529411772</v>
      </c>
      <c r="I99" s="232">
        <f t="shared" si="48"/>
        <v>8</v>
      </c>
      <c r="J99" s="233">
        <f>yaw_max</f>
        <v>8</v>
      </c>
      <c r="K99" s="228" t="str">
        <f>D99&amp;-5</f>
        <v>17-5</v>
      </c>
      <c r="L99" s="232">
        <f t="shared" si="58"/>
        <v>0.2</v>
      </c>
      <c r="M99" s="232">
        <f t="shared" si="58"/>
        <v>150</v>
      </c>
      <c r="N99" s="232">
        <f t="shared" si="58"/>
        <v>750</v>
      </c>
      <c r="O99" s="217"/>
      <c r="P99" s="38">
        <f t="shared" si="52"/>
        <v>16.5</v>
      </c>
      <c r="Q99" s="38">
        <f t="shared" si="53"/>
        <v>17.5</v>
      </c>
      <c r="R99" s="39">
        <f t="shared" si="36"/>
        <v>0.97765889694649621</v>
      </c>
      <c r="S99" s="39">
        <f t="shared" si="36"/>
        <v>0.98610264392523161</v>
      </c>
      <c r="T99" s="39">
        <f t="shared" si="44"/>
        <v>8.4437469787354003E-3</v>
      </c>
      <c r="U99" s="40">
        <f t="shared" si="42"/>
        <v>0</v>
      </c>
      <c r="V99" s="40" t="str">
        <f t="shared" si="50"/>
        <v>H</v>
      </c>
      <c r="W99" s="217">
        <f t="shared" si="45"/>
        <v>0</v>
      </c>
      <c r="X99" s="176">
        <f t="shared" si="46"/>
        <v>0</v>
      </c>
    </row>
    <row r="100" spans="1:24" ht="15.75" thickBot="1" x14ac:dyDescent="0.3">
      <c r="A100" s="229">
        <f t="shared" si="57"/>
        <v>1212</v>
      </c>
      <c r="B100" s="230">
        <f t="shared" si="57"/>
        <v>90</v>
      </c>
      <c r="C100" s="218" t="str">
        <f t="shared" si="43"/>
        <v>091_17-008_000_06</v>
      </c>
      <c r="D100" s="231">
        <f t="shared" si="59"/>
        <v>17</v>
      </c>
      <c r="E100" s="239">
        <f t="shared" si="39"/>
        <v>2.5690000000000004</v>
      </c>
      <c r="F100" s="232">
        <f t="shared" si="54"/>
        <v>15.111764705882354</v>
      </c>
      <c r="G100" s="232">
        <f t="shared" si="40"/>
        <v>12.089411764705885</v>
      </c>
      <c r="H100" s="232">
        <f t="shared" si="41"/>
        <v>7.5558823529411772</v>
      </c>
      <c r="I100" s="232">
        <f t="shared" si="48"/>
        <v>8</v>
      </c>
      <c r="J100" s="233">
        <f>yaw_max</f>
        <v>8</v>
      </c>
      <c r="K100" s="228" t="str">
        <f>D100&amp;-6</f>
        <v>17-6</v>
      </c>
      <c r="L100" s="232">
        <f t="shared" si="58"/>
        <v>0.2</v>
      </c>
      <c r="M100" s="232">
        <f t="shared" si="58"/>
        <v>150</v>
      </c>
      <c r="N100" s="232">
        <f t="shared" si="58"/>
        <v>750</v>
      </c>
      <c r="O100" s="217"/>
      <c r="P100" s="38">
        <f t="shared" si="52"/>
        <v>16.5</v>
      </c>
      <c r="Q100" s="38">
        <f t="shared" si="53"/>
        <v>17.5</v>
      </c>
      <c r="R100" s="39">
        <f t="shared" si="36"/>
        <v>0.97765889694649621</v>
      </c>
      <c r="S100" s="39">
        <f t="shared" si="36"/>
        <v>0.98610264392523161</v>
      </c>
      <c r="T100" s="39">
        <f t="shared" si="44"/>
        <v>8.4437469787354003E-3</v>
      </c>
      <c r="U100" s="40">
        <f t="shared" si="42"/>
        <v>0</v>
      </c>
      <c r="V100" s="40" t="str">
        <f t="shared" si="50"/>
        <v>H</v>
      </c>
      <c r="W100" s="217">
        <f t="shared" si="45"/>
        <v>0</v>
      </c>
      <c r="X100" s="176">
        <f t="shared" si="46"/>
        <v>0</v>
      </c>
    </row>
    <row r="101" spans="1:24" ht="15.75" thickBot="1" x14ac:dyDescent="0.3">
      <c r="A101" s="229">
        <f t="shared" si="57"/>
        <v>1213</v>
      </c>
      <c r="B101" s="230">
        <f t="shared" si="57"/>
        <v>91</v>
      </c>
      <c r="C101" s="218" t="str">
        <f t="shared" si="43"/>
        <v>091_18-352_000_01</v>
      </c>
      <c r="D101" s="231">
        <f>D95+V_step_12</f>
        <v>18</v>
      </c>
      <c r="E101" s="239">
        <f t="shared" si="39"/>
        <v>2.6740000000000004</v>
      </c>
      <c r="F101" s="232">
        <f>E101/D101*100</f>
        <v>14.855555555555558</v>
      </c>
      <c r="G101" s="232">
        <f t="shared" si="40"/>
        <v>11.884444444444448</v>
      </c>
      <c r="H101" s="232">
        <f t="shared" si="41"/>
        <v>7.4277777777777789</v>
      </c>
      <c r="I101" s="232">
        <f t="shared" si="48"/>
        <v>8</v>
      </c>
      <c r="J101" s="233">
        <f>yaw_min</f>
        <v>-8</v>
      </c>
      <c r="K101" s="228" t="str">
        <f>D101&amp;-1</f>
        <v>18-1</v>
      </c>
      <c r="L101" s="232">
        <f t="shared" si="58"/>
        <v>0.2</v>
      </c>
      <c r="M101" s="232">
        <f t="shared" si="58"/>
        <v>150</v>
      </c>
      <c r="N101" s="232">
        <f t="shared" si="58"/>
        <v>750</v>
      </c>
      <c r="O101" s="217"/>
      <c r="P101" s="38">
        <f t="shared" si="52"/>
        <v>17.5</v>
      </c>
      <c r="Q101" s="38">
        <f t="shared" si="53"/>
        <v>18.5</v>
      </c>
      <c r="R101" s="39">
        <f t="shared" si="36"/>
        <v>0.98610264392523161</v>
      </c>
      <c r="S101" s="39">
        <f t="shared" si="36"/>
        <v>0.99159317574760353</v>
      </c>
      <c r="T101" s="39">
        <f t="shared" si="44"/>
        <v>5.4905318223719135E-3</v>
      </c>
      <c r="U101" s="40">
        <f t="shared" si="42"/>
        <v>0</v>
      </c>
      <c r="V101" s="40" t="str">
        <f t="shared" si="50"/>
        <v>H</v>
      </c>
      <c r="W101" s="217">
        <f t="shared" si="45"/>
        <v>0</v>
      </c>
      <c r="X101" s="176">
        <f t="shared" si="46"/>
        <v>0</v>
      </c>
    </row>
    <row r="102" spans="1:24" ht="15.75" thickBot="1" x14ac:dyDescent="0.3">
      <c r="A102" s="229">
        <f t="shared" si="57"/>
        <v>1214</v>
      </c>
      <c r="B102" s="230">
        <f t="shared" si="57"/>
        <v>92</v>
      </c>
      <c r="C102" s="218" t="str">
        <f t="shared" si="43"/>
        <v>091_18-352_000_02</v>
      </c>
      <c r="D102" s="231">
        <f>D101</f>
        <v>18</v>
      </c>
      <c r="E102" s="239">
        <f t="shared" si="39"/>
        <v>2.6740000000000004</v>
      </c>
      <c r="F102" s="232">
        <f t="shared" ref="F102:F124" si="60">E102/D102*100</f>
        <v>14.855555555555558</v>
      </c>
      <c r="G102" s="232">
        <f t="shared" si="40"/>
        <v>11.884444444444448</v>
      </c>
      <c r="H102" s="232">
        <f t="shared" si="41"/>
        <v>7.4277777777777789</v>
      </c>
      <c r="I102" s="232">
        <f t="shared" si="48"/>
        <v>8</v>
      </c>
      <c r="J102" s="233">
        <f>yaw_min</f>
        <v>-8</v>
      </c>
      <c r="K102" s="228" t="str">
        <f>D102&amp;-2</f>
        <v>18-2</v>
      </c>
      <c r="L102" s="232">
        <f t="shared" si="58"/>
        <v>0.2</v>
      </c>
      <c r="M102" s="232">
        <f t="shared" si="58"/>
        <v>150</v>
      </c>
      <c r="N102" s="232">
        <f t="shared" si="58"/>
        <v>750</v>
      </c>
      <c r="O102" s="217"/>
      <c r="P102" s="38">
        <f t="shared" si="52"/>
        <v>17.5</v>
      </c>
      <c r="Q102" s="38">
        <f t="shared" si="53"/>
        <v>18.5</v>
      </c>
      <c r="R102" s="39">
        <f t="shared" si="36"/>
        <v>0.98610264392523161</v>
      </c>
      <c r="S102" s="39">
        <f t="shared" si="36"/>
        <v>0.99159317574760353</v>
      </c>
      <c r="T102" s="39">
        <f t="shared" si="44"/>
        <v>5.4905318223719135E-3</v>
      </c>
      <c r="U102" s="40">
        <f t="shared" si="42"/>
        <v>0</v>
      </c>
      <c r="V102" s="40" t="str">
        <f t="shared" si="50"/>
        <v>H</v>
      </c>
      <c r="W102" s="217">
        <f t="shared" si="45"/>
        <v>0</v>
      </c>
      <c r="X102" s="176">
        <f t="shared" si="46"/>
        <v>0</v>
      </c>
    </row>
    <row r="103" spans="1:24" ht="15.75" thickBot="1" x14ac:dyDescent="0.3">
      <c r="A103" s="229">
        <f t="shared" si="57"/>
        <v>1215</v>
      </c>
      <c r="B103" s="230">
        <f t="shared" si="57"/>
        <v>93</v>
      </c>
      <c r="C103" s="218" t="str">
        <f t="shared" si="43"/>
        <v>091_18-000_000_03</v>
      </c>
      <c r="D103" s="231">
        <f t="shared" ref="D103:D106" si="61">D102</f>
        <v>18</v>
      </c>
      <c r="E103" s="239">
        <f t="shared" si="39"/>
        <v>2.6740000000000004</v>
      </c>
      <c r="F103" s="232">
        <f t="shared" si="60"/>
        <v>14.855555555555558</v>
      </c>
      <c r="G103" s="232">
        <f t="shared" si="40"/>
        <v>11.884444444444448</v>
      </c>
      <c r="H103" s="232">
        <f t="shared" si="41"/>
        <v>7.4277777777777789</v>
      </c>
      <c r="I103" s="232">
        <f t="shared" si="48"/>
        <v>8</v>
      </c>
      <c r="J103" s="233">
        <f>yaw_null</f>
        <v>0</v>
      </c>
      <c r="K103" s="228" t="str">
        <f>D103&amp;-3</f>
        <v>18-3</v>
      </c>
      <c r="L103" s="232">
        <f t="shared" si="58"/>
        <v>0.2</v>
      </c>
      <c r="M103" s="232">
        <f t="shared" si="58"/>
        <v>150</v>
      </c>
      <c r="N103" s="232">
        <f t="shared" si="58"/>
        <v>750</v>
      </c>
      <c r="O103" s="217"/>
      <c r="P103" s="38">
        <f t="shared" si="52"/>
        <v>17.5</v>
      </c>
      <c r="Q103" s="38">
        <f t="shared" si="53"/>
        <v>18.5</v>
      </c>
      <c r="R103" s="39">
        <f t="shared" si="36"/>
        <v>0.98610264392523161</v>
      </c>
      <c r="S103" s="39">
        <f t="shared" si="36"/>
        <v>0.99159317574760353</v>
      </c>
      <c r="T103" s="39">
        <f t="shared" si="44"/>
        <v>5.4905318223719135E-3</v>
      </c>
      <c r="U103" s="40">
        <f t="shared" si="42"/>
        <v>0</v>
      </c>
      <c r="V103" s="40" t="str">
        <f t="shared" si="50"/>
        <v>H</v>
      </c>
      <c r="W103" s="217">
        <f t="shared" si="45"/>
        <v>0</v>
      </c>
      <c r="X103" s="176">
        <f t="shared" si="46"/>
        <v>0</v>
      </c>
    </row>
    <row r="104" spans="1:24" ht="15.75" thickBot="1" x14ac:dyDescent="0.3">
      <c r="A104" s="229">
        <f t="shared" si="57"/>
        <v>1216</v>
      </c>
      <c r="B104" s="230">
        <f t="shared" si="57"/>
        <v>94</v>
      </c>
      <c r="C104" s="218" t="str">
        <f t="shared" si="43"/>
        <v>091_18-000_000_04</v>
      </c>
      <c r="D104" s="231">
        <f t="shared" si="61"/>
        <v>18</v>
      </c>
      <c r="E104" s="239">
        <f t="shared" si="39"/>
        <v>2.6740000000000004</v>
      </c>
      <c r="F104" s="232">
        <f t="shared" si="60"/>
        <v>14.855555555555558</v>
      </c>
      <c r="G104" s="232">
        <f t="shared" si="40"/>
        <v>11.884444444444448</v>
      </c>
      <c r="H104" s="232">
        <f t="shared" si="41"/>
        <v>7.4277777777777789</v>
      </c>
      <c r="I104" s="232">
        <f t="shared" si="48"/>
        <v>8</v>
      </c>
      <c r="J104" s="233">
        <f>yaw_null</f>
        <v>0</v>
      </c>
      <c r="K104" s="228" t="str">
        <f>D104&amp;-4</f>
        <v>18-4</v>
      </c>
      <c r="L104" s="232">
        <f t="shared" si="58"/>
        <v>0.2</v>
      </c>
      <c r="M104" s="232">
        <f t="shared" si="58"/>
        <v>150</v>
      </c>
      <c r="N104" s="232">
        <f t="shared" si="58"/>
        <v>750</v>
      </c>
      <c r="O104" s="217"/>
      <c r="P104" s="38">
        <f t="shared" si="52"/>
        <v>17.5</v>
      </c>
      <c r="Q104" s="38">
        <f t="shared" si="53"/>
        <v>18.5</v>
      </c>
      <c r="R104" s="39">
        <f t="shared" si="36"/>
        <v>0.98610264392523161</v>
      </c>
      <c r="S104" s="39">
        <f t="shared" si="36"/>
        <v>0.99159317574760353</v>
      </c>
      <c r="T104" s="39">
        <f t="shared" si="44"/>
        <v>5.4905318223719135E-3</v>
      </c>
      <c r="U104" s="40">
        <f t="shared" si="42"/>
        <v>0</v>
      </c>
      <c r="V104" s="40" t="str">
        <f t="shared" si="50"/>
        <v>H</v>
      </c>
      <c r="W104" s="217">
        <f t="shared" si="45"/>
        <v>0</v>
      </c>
      <c r="X104" s="176">
        <f t="shared" si="46"/>
        <v>0</v>
      </c>
    </row>
    <row r="105" spans="1:24" ht="15.75" thickBot="1" x14ac:dyDescent="0.3">
      <c r="A105" s="229">
        <f t="shared" si="57"/>
        <v>1217</v>
      </c>
      <c r="B105" s="230">
        <f t="shared" si="57"/>
        <v>95</v>
      </c>
      <c r="C105" s="218" t="str">
        <f t="shared" si="43"/>
        <v>091_18-008_000_05</v>
      </c>
      <c r="D105" s="231">
        <f t="shared" si="61"/>
        <v>18</v>
      </c>
      <c r="E105" s="239">
        <f t="shared" si="39"/>
        <v>2.6740000000000004</v>
      </c>
      <c r="F105" s="232">
        <f t="shared" si="60"/>
        <v>14.855555555555558</v>
      </c>
      <c r="G105" s="232">
        <f t="shared" si="40"/>
        <v>11.884444444444448</v>
      </c>
      <c r="H105" s="232">
        <f t="shared" si="41"/>
        <v>7.4277777777777789</v>
      </c>
      <c r="I105" s="232">
        <f t="shared" si="48"/>
        <v>8</v>
      </c>
      <c r="J105" s="233">
        <f>yaw_max</f>
        <v>8</v>
      </c>
      <c r="K105" s="228" t="str">
        <f>D105&amp;-5</f>
        <v>18-5</v>
      </c>
      <c r="L105" s="232">
        <f t="shared" si="58"/>
        <v>0.2</v>
      </c>
      <c r="M105" s="232">
        <f t="shared" si="58"/>
        <v>150</v>
      </c>
      <c r="N105" s="232">
        <f t="shared" si="58"/>
        <v>750</v>
      </c>
      <c r="O105" s="217"/>
      <c r="P105" s="38">
        <f t="shared" si="52"/>
        <v>17.5</v>
      </c>
      <c r="Q105" s="38">
        <f t="shared" si="53"/>
        <v>18.5</v>
      </c>
      <c r="R105" s="39">
        <f t="shared" si="36"/>
        <v>0.98610264392523161</v>
      </c>
      <c r="S105" s="39">
        <f t="shared" si="36"/>
        <v>0.99159317574760353</v>
      </c>
      <c r="T105" s="39">
        <f t="shared" si="44"/>
        <v>5.4905318223719135E-3</v>
      </c>
      <c r="U105" s="40">
        <f t="shared" si="42"/>
        <v>0</v>
      </c>
      <c r="V105" s="40" t="str">
        <f t="shared" si="50"/>
        <v>H</v>
      </c>
      <c r="W105" s="217">
        <f t="shared" si="45"/>
        <v>0</v>
      </c>
      <c r="X105" s="176">
        <f t="shared" si="46"/>
        <v>0</v>
      </c>
    </row>
    <row r="106" spans="1:24" ht="15.75" thickBot="1" x14ac:dyDescent="0.3">
      <c r="A106" s="229">
        <f t="shared" si="57"/>
        <v>1218</v>
      </c>
      <c r="B106" s="230">
        <f t="shared" si="57"/>
        <v>96</v>
      </c>
      <c r="C106" s="218" t="str">
        <f t="shared" si="43"/>
        <v>091_18-008_000_06</v>
      </c>
      <c r="D106" s="231">
        <f t="shared" si="61"/>
        <v>18</v>
      </c>
      <c r="E106" s="239">
        <f t="shared" si="39"/>
        <v>2.6740000000000004</v>
      </c>
      <c r="F106" s="232">
        <f t="shared" si="60"/>
        <v>14.855555555555558</v>
      </c>
      <c r="G106" s="232">
        <f t="shared" si="40"/>
        <v>11.884444444444448</v>
      </c>
      <c r="H106" s="232">
        <f t="shared" si="41"/>
        <v>7.4277777777777789</v>
      </c>
      <c r="I106" s="232">
        <f t="shared" si="48"/>
        <v>8</v>
      </c>
      <c r="J106" s="233">
        <f>yaw_max</f>
        <v>8</v>
      </c>
      <c r="K106" s="228" t="str">
        <f>D106&amp;-6</f>
        <v>18-6</v>
      </c>
      <c r="L106" s="232">
        <f t="shared" si="58"/>
        <v>0.2</v>
      </c>
      <c r="M106" s="232">
        <f t="shared" si="58"/>
        <v>150</v>
      </c>
      <c r="N106" s="232">
        <f t="shared" si="58"/>
        <v>750</v>
      </c>
      <c r="O106" s="217"/>
      <c r="P106" s="38">
        <f t="shared" si="52"/>
        <v>17.5</v>
      </c>
      <c r="Q106" s="38">
        <f t="shared" si="53"/>
        <v>18.5</v>
      </c>
      <c r="R106" s="39">
        <f t="shared" si="36"/>
        <v>0.98610264392523161</v>
      </c>
      <c r="S106" s="39">
        <f t="shared" si="36"/>
        <v>0.99159317574760353</v>
      </c>
      <c r="T106" s="39">
        <f t="shared" si="44"/>
        <v>5.4905318223719135E-3</v>
      </c>
      <c r="U106" s="40">
        <f t="shared" si="42"/>
        <v>0</v>
      </c>
      <c r="V106" s="40" t="str">
        <f t="shared" si="50"/>
        <v>H</v>
      </c>
      <c r="W106" s="217">
        <f t="shared" si="45"/>
        <v>0</v>
      </c>
      <c r="X106" s="176">
        <f t="shared" si="46"/>
        <v>0</v>
      </c>
    </row>
    <row r="107" spans="1:24" ht="15.75" thickBot="1" x14ac:dyDescent="0.3">
      <c r="A107" s="229">
        <f t="shared" si="57"/>
        <v>1219</v>
      </c>
      <c r="B107" s="230">
        <f t="shared" si="57"/>
        <v>97</v>
      </c>
      <c r="C107" s="218" t="str">
        <f t="shared" si="43"/>
        <v>091_19-352_000_01</v>
      </c>
      <c r="D107" s="231">
        <f>D101+V_step_12</f>
        <v>19</v>
      </c>
      <c r="E107" s="239">
        <f t="shared" si="39"/>
        <v>2.7790000000000004</v>
      </c>
      <c r="F107" s="232">
        <f t="shared" si="60"/>
        <v>14.626315789473686</v>
      </c>
      <c r="G107" s="232">
        <f t="shared" si="40"/>
        <v>11.70105263157895</v>
      </c>
      <c r="H107" s="232">
        <f t="shared" si="41"/>
        <v>7.3131578947368432</v>
      </c>
      <c r="I107" s="232">
        <f t="shared" si="48"/>
        <v>8</v>
      </c>
      <c r="J107" s="233">
        <f>yaw_min</f>
        <v>-8</v>
      </c>
      <c r="K107" s="228" t="str">
        <f>D107&amp;-1</f>
        <v>19-1</v>
      </c>
      <c r="L107" s="232">
        <f t="shared" si="58"/>
        <v>0.2</v>
      </c>
      <c r="M107" s="232">
        <f t="shared" si="58"/>
        <v>150</v>
      </c>
      <c r="N107" s="232">
        <f t="shared" si="58"/>
        <v>750</v>
      </c>
      <c r="O107" s="217"/>
      <c r="P107" s="38">
        <f t="shared" si="52"/>
        <v>18.5</v>
      </c>
      <c r="Q107" s="38">
        <f t="shared" si="53"/>
        <v>19.5</v>
      </c>
      <c r="R107" s="39">
        <f t="shared" si="36"/>
        <v>0.99159317574760353</v>
      </c>
      <c r="S107" s="39">
        <f t="shared" si="36"/>
        <v>0.99505457110481155</v>
      </c>
      <c r="T107" s="39">
        <f t="shared" si="44"/>
        <v>3.4613953572080192E-3</v>
      </c>
      <c r="U107" s="40">
        <f t="shared" ref="U107:U138" si="62">T107*H_ice/6</f>
        <v>0</v>
      </c>
      <c r="V107" s="40" t="str">
        <f t="shared" si="50"/>
        <v>H</v>
      </c>
      <c r="W107" s="217">
        <f t="shared" si="45"/>
        <v>0</v>
      </c>
      <c r="X107" s="176">
        <f t="shared" si="46"/>
        <v>0</v>
      </c>
    </row>
    <row r="108" spans="1:24" ht="15.75" thickBot="1" x14ac:dyDescent="0.3">
      <c r="A108" s="229">
        <f t="shared" si="57"/>
        <v>1220</v>
      </c>
      <c r="B108" s="230">
        <f t="shared" si="57"/>
        <v>98</v>
      </c>
      <c r="C108" s="218" t="str">
        <f t="shared" si="43"/>
        <v>091_19-352_000_02</v>
      </c>
      <c r="D108" s="231">
        <f>D107</f>
        <v>19</v>
      </c>
      <c r="E108" s="239">
        <f t="shared" si="39"/>
        <v>2.7790000000000004</v>
      </c>
      <c r="F108" s="232">
        <f t="shared" si="60"/>
        <v>14.626315789473686</v>
      </c>
      <c r="G108" s="232">
        <f t="shared" si="40"/>
        <v>11.70105263157895</v>
      </c>
      <c r="H108" s="232">
        <f t="shared" si="41"/>
        <v>7.3131578947368432</v>
      </c>
      <c r="I108" s="232">
        <f t="shared" si="48"/>
        <v>8</v>
      </c>
      <c r="J108" s="233">
        <f>yaw_min</f>
        <v>-8</v>
      </c>
      <c r="K108" s="228" t="str">
        <f>D108&amp;-2</f>
        <v>19-2</v>
      </c>
      <c r="L108" s="232">
        <f t="shared" si="58"/>
        <v>0.2</v>
      </c>
      <c r="M108" s="232">
        <f t="shared" si="58"/>
        <v>150</v>
      </c>
      <c r="N108" s="232">
        <f t="shared" si="58"/>
        <v>750</v>
      </c>
      <c r="O108" s="217"/>
      <c r="P108" s="38">
        <f t="shared" si="52"/>
        <v>18.5</v>
      </c>
      <c r="Q108" s="38">
        <f t="shared" si="53"/>
        <v>19.5</v>
      </c>
      <c r="R108" s="39">
        <f t="shared" si="36"/>
        <v>0.99159317574760353</v>
      </c>
      <c r="S108" s="39">
        <f t="shared" si="36"/>
        <v>0.99505457110481155</v>
      </c>
      <c r="T108" s="39">
        <f t="shared" si="44"/>
        <v>3.4613953572080192E-3</v>
      </c>
      <c r="U108" s="40">
        <f t="shared" si="62"/>
        <v>0</v>
      </c>
      <c r="V108" s="40" t="str">
        <f t="shared" si="50"/>
        <v>H</v>
      </c>
      <c r="W108" s="217">
        <f t="shared" si="45"/>
        <v>0</v>
      </c>
      <c r="X108" s="176">
        <f t="shared" si="46"/>
        <v>0</v>
      </c>
    </row>
    <row r="109" spans="1:24" ht="15.75" thickBot="1" x14ac:dyDescent="0.3">
      <c r="A109" s="229">
        <f t="shared" ref="A109:B124" si="63">A108+1</f>
        <v>1221</v>
      </c>
      <c r="B109" s="230">
        <f t="shared" si="63"/>
        <v>99</v>
      </c>
      <c r="C109" s="218" t="str">
        <f t="shared" si="43"/>
        <v>091_19-000_000_03</v>
      </c>
      <c r="D109" s="231">
        <f t="shared" ref="D109:D112" si="64">D108</f>
        <v>19</v>
      </c>
      <c r="E109" s="239">
        <f t="shared" si="39"/>
        <v>2.7790000000000004</v>
      </c>
      <c r="F109" s="232">
        <f t="shared" si="60"/>
        <v>14.626315789473686</v>
      </c>
      <c r="G109" s="232">
        <f t="shared" si="40"/>
        <v>11.70105263157895</v>
      </c>
      <c r="H109" s="232">
        <f t="shared" si="41"/>
        <v>7.3131578947368432</v>
      </c>
      <c r="I109" s="232">
        <f t="shared" si="48"/>
        <v>8</v>
      </c>
      <c r="J109" s="233">
        <f>yaw_null</f>
        <v>0</v>
      </c>
      <c r="K109" s="228" t="str">
        <f>D109&amp;-3</f>
        <v>19-3</v>
      </c>
      <c r="L109" s="232">
        <f t="shared" ref="L109:N124" si="65">L108</f>
        <v>0.2</v>
      </c>
      <c r="M109" s="232">
        <f t="shared" si="65"/>
        <v>150</v>
      </c>
      <c r="N109" s="232">
        <f t="shared" si="65"/>
        <v>750</v>
      </c>
      <c r="O109" s="217"/>
      <c r="P109" s="38">
        <f t="shared" si="52"/>
        <v>18.5</v>
      </c>
      <c r="Q109" s="38">
        <f t="shared" si="53"/>
        <v>19.5</v>
      </c>
      <c r="R109" s="39">
        <f t="shared" si="36"/>
        <v>0.99159317574760353</v>
      </c>
      <c r="S109" s="39">
        <f t="shared" si="36"/>
        <v>0.99505457110481155</v>
      </c>
      <c r="T109" s="39">
        <f t="shared" si="44"/>
        <v>3.4613953572080192E-3</v>
      </c>
      <c r="U109" s="40">
        <f t="shared" si="62"/>
        <v>0</v>
      </c>
      <c r="V109" s="40" t="str">
        <f t="shared" si="50"/>
        <v>H</v>
      </c>
      <c r="W109" s="217">
        <f t="shared" si="45"/>
        <v>0</v>
      </c>
      <c r="X109" s="176">
        <f t="shared" si="46"/>
        <v>0</v>
      </c>
    </row>
    <row r="110" spans="1:24" ht="15.75" thickBot="1" x14ac:dyDescent="0.3">
      <c r="A110" s="229">
        <f t="shared" si="63"/>
        <v>1222</v>
      </c>
      <c r="B110" s="230">
        <f t="shared" si="63"/>
        <v>100</v>
      </c>
      <c r="C110" s="218" t="str">
        <f t="shared" si="43"/>
        <v>091_19-000_000_04</v>
      </c>
      <c r="D110" s="231">
        <f t="shared" si="64"/>
        <v>19</v>
      </c>
      <c r="E110" s="239">
        <f t="shared" si="39"/>
        <v>2.7790000000000004</v>
      </c>
      <c r="F110" s="232">
        <f t="shared" si="60"/>
        <v>14.626315789473686</v>
      </c>
      <c r="G110" s="232">
        <f t="shared" si="40"/>
        <v>11.70105263157895</v>
      </c>
      <c r="H110" s="232">
        <f t="shared" si="41"/>
        <v>7.3131578947368432</v>
      </c>
      <c r="I110" s="232">
        <f t="shared" si="48"/>
        <v>8</v>
      </c>
      <c r="J110" s="233">
        <f>yaw_null</f>
        <v>0</v>
      </c>
      <c r="K110" s="228" t="str">
        <f>D110&amp;-4</f>
        <v>19-4</v>
      </c>
      <c r="L110" s="232">
        <f t="shared" si="65"/>
        <v>0.2</v>
      </c>
      <c r="M110" s="232">
        <f t="shared" si="65"/>
        <v>150</v>
      </c>
      <c r="N110" s="232">
        <f t="shared" si="65"/>
        <v>750</v>
      </c>
      <c r="O110" s="217"/>
      <c r="P110" s="38">
        <f t="shared" si="52"/>
        <v>18.5</v>
      </c>
      <c r="Q110" s="38">
        <f t="shared" si="53"/>
        <v>19.5</v>
      </c>
      <c r="R110" s="39">
        <f t="shared" si="36"/>
        <v>0.99159317574760353</v>
      </c>
      <c r="S110" s="39">
        <f t="shared" si="36"/>
        <v>0.99505457110481155</v>
      </c>
      <c r="T110" s="39">
        <f t="shared" si="44"/>
        <v>3.4613953572080192E-3</v>
      </c>
      <c r="U110" s="40">
        <f t="shared" si="62"/>
        <v>0</v>
      </c>
      <c r="V110" s="40" t="str">
        <f t="shared" si="50"/>
        <v>H</v>
      </c>
      <c r="W110" s="217">
        <f t="shared" si="45"/>
        <v>0</v>
      </c>
      <c r="X110" s="176">
        <f t="shared" si="46"/>
        <v>0</v>
      </c>
    </row>
    <row r="111" spans="1:24" ht="15.75" thickBot="1" x14ac:dyDescent="0.3">
      <c r="A111" s="229">
        <f t="shared" si="63"/>
        <v>1223</v>
      </c>
      <c r="B111" s="230">
        <f t="shared" si="63"/>
        <v>101</v>
      </c>
      <c r="C111" s="218" t="str">
        <f t="shared" si="43"/>
        <v>091_19-008_000_05</v>
      </c>
      <c r="D111" s="231">
        <f t="shared" si="64"/>
        <v>19</v>
      </c>
      <c r="E111" s="239">
        <f t="shared" si="39"/>
        <v>2.7790000000000004</v>
      </c>
      <c r="F111" s="232">
        <f t="shared" si="60"/>
        <v>14.626315789473686</v>
      </c>
      <c r="G111" s="232">
        <f t="shared" si="40"/>
        <v>11.70105263157895</v>
      </c>
      <c r="H111" s="232">
        <f t="shared" si="41"/>
        <v>7.3131578947368432</v>
      </c>
      <c r="I111" s="232">
        <f t="shared" si="48"/>
        <v>8</v>
      </c>
      <c r="J111" s="233">
        <f>yaw_max</f>
        <v>8</v>
      </c>
      <c r="K111" s="228" t="str">
        <f>D111&amp;-5</f>
        <v>19-5</v>
      </c>
      <c r="L111" s="232">
        <f t="shared" si="65"/>
        <v>0.2</v>
      </c>
      <c r="M111" s="232">
        <f t="shared" si="65"/>
        <v>150</v>
      </c>
      <c r="N111" s="232">
        <f t="shared" si="65"/>
        <v>750</v>
      </c>
      <c r="O111" s="217"/>
      <c r="P111" s="38">
        <f t="shared" si="52"/>
        <v>18.5</v>
      </c>
      <c r="Q111" s="38">
        <f t="shared" si="53"/>
        <v>19.5</v>
      </c>
      <c r="R111" s="39">
        <f t="shared" si="36"/>
        <v>0.99159317574760353</v>
      </c>
      <c r="S111" s="39">
        <f t="shared" si="36"/>
        <v>0.99505457110481155</v>
      </c>
      <c r="T111" s="39">
        <f t="shared" si="44"/>
        <v>3.4613953572080192E-3</v>
      </c>
      <c r="U111" s="40">
        <f t="shared" si="62"/>
        <v>0</v>
      </c>
      <c r="V111" s="40" t="str">
        <f t="shared" si="50"/>
        <v>H</v>
      </c>
      <c r="W111" s="217">
        <f t="shared" si="45"/>
        <v>0</v>
      </c>
      <c r="X111" s="176">
        <f t="shared" si="46"/>
        <v>0</v>
      </c>
    </row>
    <row r="112" spans="1:24" ht="15.75" thickBot="1" x14ac:dyDescent="0.3">
      <c r="A112" s="229">
        <f t="shared" si="63"/>
        <v>1224</v>
      </c>
      <c r="B112" s="230">
        <f t="shared" si="63"/>
        <v>102</v>
      </c>
      <c r="C112" s="218" t="str">
        <f t="shared" si="43"/>
        <v>091_19-008_000_06</v>
      </c>
      <c r="D112" s="231">
        <f t="shared" si="64"/>
        <v>19</v>
      </c>
      <c r="E112" s="239">
        <f t="shared" si="39"/>
        <v>2.7790000000000004</v>
      </c>
      <c r="F112" s="232">
        <f t="shared" si="60"/>
        <v>14.626315789473686</v>
      </c>
      <c r="G112" s="232">
        <f t="shared" si="40"/>
        <v>11.70105263157895</v>
      </c>
      <c r="H112" s="232">
        <f t="shared" si="41"/>
        <v>7.3131578947368432</v>
      </c>
      <c r="I112" s="232">
        <f t="shared" si="48"/>
        <v>8</v>
      </c>
      <c r="J112" s="233">
        <f>yaw_max</f>
        <v>8</v>
      </c>
      <c r="K112" s="228" t="str">
        <f>D112&amp;-6</f>
        <v>19-6</v>
      </c>
      <c r="L112" s="232">
        <f t="shared" si="65"/>
        <v>0.2</v>
      </c>
      <c r="M112" s="232">
        <f t="shared" si="65"/>
        <v>150</v>
      </c>
      <c r="N112" s="232">
        <f t="shared" si="65"/>
        <v>750</v>
      </c>
      <c r="O112" s="217"/>
      <c r="P112" s="38">
        <f t="shared" si="52"/>
        <v>18.5</v>
      </c>
      <c r="Q112" s="38">
        <f t="shared" si="53"/>
        <v>19.5</v>
      </c>
      <c r="R112" s="39">
        <f t="shared" si="36"/>
        <v>0.99159317574760353</v>
      </c>
      <c r="S112" s="39">
        <f t="shared" si="36"/>
        <v>0.99505457110481155</v>
      </c>
      <c r="T112" s="39">
        <f t="shared" si="44"/>
        <v>3.4613953572080192E-3</v>
      </c>
      <c r="U112" s="40">
        <f t="shared" si="62"/>
        <v>0</v>
      </c>
      <c r="V112" s="40" t="str">
        <f t="shared" si="50"/>
        <v>H</v>
      </c>
      <c r="W112" s="217">
        <f t="shared" si="45"/>
        <v>0</v>
      </c>
      <c r="X112" s="176">
        <f t="shared" si="46"/>
        <v>0</v>
      </c>
    </row>
    <row r="113" spans="1:24" ht="15.75" thickBot="1" x14ac:dyDescent="0.3">
      <c r="A113" s="229">
        <f t="shared" si="63"/>
        <v>1225</v>
      </c>
      <c r="B113" s="230">
        <f t="shared" si="63"/>
        <v>103</v>
      </c>
      <c r="C113" s="218" t="str">
        <f t="shared" si="43"/>
        <v>091_20-352_000_01</v>
      </c>
      <c r="D113" s="231">
        <f>D107+V_step_12</f>
        <v>20</v>
      </c>
      <c r="E113" s="239">
        <f t="shared" si="39"/>
        <v>2.8840000000000003</v>
      </c>
      <c r="F113" s="232">
        <f t="shared" si="60"/>
        <v>14.420000000000002</v>
      </c>
      <c r="G113" s="232">
        <f t="shared" si="40"/>
        <v>11.536000000000001</v>
      </c>
      <c r="H113" s="232">
        <f t="shared" si="41"/>
        <v>7.2100000000000009</v>
      </c>
      <c r="I113" s="232">
        <f t="shared" si="48"/>
        <v>8</v>
      </c>
      <c r="J113" s="233">
        <f>yaw_min</f>
        <v>-8</v>
      </c>
      <c r="K113" s="228" t="str">
        <f>D113&amp;-1</f>
        <v>20-1</v>
      </c>
      <c r="L113" s="232">
        <f t="shared" si="65"/>
        <v>0.2</v>
      </c>
      <c r="M113" s="232">
        <f t="shared" si="65"/>
        <v>150</v>
      </c>
      <c r="N113" s="232">
        <f t="shared" si="65"/>
        <v>750</v>
      </c>
      <c r="O113" s="217"/>
      <c r="P113" s="38">
        <f t="shared" si="52"/>
        <v>19.5</v>
      </c>
      <c r="Q113" s="38">
        <f t="shared" si="53"/>
        <v>20.5</v>
      </c>
      <c r="R113" s="39">
        <f t="shared" ref="R113:S148" si="66">IF(wpd="Rayleigh",1-EXP(-PI()*((P113/2/v_ave)^2)),IF(wpd="Weibull",1-EXP(-((P113/weibull_A)^weibull_K))))</f>
        <v>0.99505457110481155</v>
      </c>
      <c r="S113" s="39">
        <f t="shared" si="66"/>
        <v>0.99717090086597904</v>
      </c>
      <c r="T113" s="39">
        <f t="shared" si="44"/>
        <v>2.1163297611674903E-3</v>
      </c>
      <c r="U113" s="40">
        <f t="shared" si="62"/>
        <v>0</v>
      </c>
      <c r="V113" s="40" t="str">
        <f t="shared" si="50"/>
        <v>H</v>
      </c>
      <c r="W113" s="217">
        <f t="shared" si="45"/>
        <v>0</v>
      </c>
      <c r="X113" s="176">
        <f t="shared" si="46"/>
        <v>0</v>
      </c>
    </row>
    <row r="114" spans="1:24" ht="15.75" thickBot="1" x14ac:dyDescent="0.3">
      <c r="A114" s="229">
        <f t="shared" si="63"/>
        <v>1226</v>
      </c>
      <c r="B114" s="230">
        <f t="shared" si="63"/>
        <v>104</v>
      </c>
      <c r="C114" s="218" t="str">
        <f t="shared" si="43"/>
        <v>091_20-352_000_02</v>
      </c>
      <c r="D114" s="231">
        <f>D113</f>
        <v>20</v>
      </c>
      <c r="E114" s="239">
        <f t="shared" si="39"/>
        <v>2.8840000000000003</v>
      </c>
      <c r="F114" s="232">
        <f t="shared" si="60"/>
        <v>14.420000000000002</v>
      </c>
      <c r="G114" s="232">
        <f t="shared" si="40"/>
        <v>11.536000000000001</v>
      </c>
      <c r="H114" s="232">
        <f t="shared" si="41"/>
        <v>7.2100000000000009</v>
      </c>
      <c r="I114" s="232">
        <f t="shared" si="48"/>
        <v>8</v>
      </c>
      <c r="J114" s="233">
        <f>yaw_min</f>
        <v>-8</v>
      </c>
      <c r="K114" s="228" t="str">
        <f>D114&amp;-2</f>
        <v>20-2</v>
      </c>
      <c r="L114" s="232">
        <f t="shared" si="65"/>
        <v>0.2</v>
      </c>
      <c r="M114" s="232">
        <f t="shared" si="65"/>
        <v>150</v>
      </c>
      <c r="N114" s="232">
        <f t="shared" si="65"/>
        <v>750</v>
      </c>
      <c r="O114" s="217"/>
      <c r="P114" s="38">
        <f t="shared" si="52"/>
        <v>19.5</v>
      </c>
      <c r="Q114" s="38">
        <f t="shared" si="53"/>
        <v>20.5</v>
      </c>
      <c r="R114" s="39">
        <f t="shared" si="66"/>
        <v>0.99505457110481155</v>
      </c>
      <c r="S114" s="39">
        <f t="shared" si="66"/>
        <v>0.99717090086597904</v>
      </c>
      <c r="T114" s="39">
        <f t="shared" si="44"/>
        <v>2.1163297611674903E-3</v>
      </c>
      <c r="U114" s="40">
        <f t="shared" si="62"/>
        <v>0</v>
      </c>
      <c r="V114" s="40" t="str">
        <f t="shared" si="50"/>
        <v>H</v>
      </c>
      <c r="W114" s="217">
        <f t="shared" si="45"/>
        <v>0</v>
      </c>
      <c r="X114" s="176">
        <f t="shared" si="46"/>
        <v>0</v>
      </c>
    </row>
    <row r="115" spans="1:24" ht="15.75" thickBot="1" x14ac:dyDescent="0.3">
      <c r="A115" s="229">
        <f t="shared" si="63"/>
        <v>1227</v>
      </c>
      <c r="B115" s="230">
        <f t="shared" si="63"/>
        <v>105</v>
      </c>
      <c r="C115" s="218" t="str">
        <f t="shared" si="43"/>
        <v>091_20-000_000_03</v>
      </c>
      <c r="D115" s="231">
        <f t="shared" ref="D115:D118" si="67">D114</f>
        <v>20</v>
      </c>
      <c r="E115" s="239">
        <f t="shared" si="39"/>
        <v>2.8840000000000003</v>
      </c>
      <c r="F115" s="232">
        <f t="shared" si="60"/>
        <v>14.420000000000002</v>
      </c>
      <c r="G115" s="232">
        <f t="shared" si="40"/>
        <v>11.536000000000001</v>
      </c>
      <c r="H115" s="232">
        <f t="shared" si="41"/>
        <v>7.2100000000000009</v>
      </c>
      <c r="I115" s="232">
        <f t="shared" si="48"/>
        <v>8</v>
      </c>
      <c r="J115" s="233">
        <f>yaw_null</f>
        <v>0</v>
      </c>
      <c r="K115" s="228" t="str">
        <f>D115&amp;-3</f>
        <v>20-3</v>
      </c>
      <c r="L115" s="232">
        <f t="shared" si="65"/>
        <v>0.2</v>
      </c>
      <c r="M115" s="232">
        <f t="shared" si="65"/>
        <v>150</v>
      </c>
      <c r="N115" s="232">
        <f t="shared" si="65"/>
        <v>750</v>
      </c>
      <c r="O115" s="217"/>
      <c r="P115" s="38">
        <f t="shared" si="52"/>
        <v>19.5</v>
      </c>
      <c r="Q115" s="38">
        <f t="shared" si="53"/>
        <v>20.5</v>
      </c>
      <c r="R115" s="39">
        <f t="shared" si="66"/>
        <v>0.99505457110481155</v>
      </c>
      <c r="S115" s="39">
        <f t="shared" si="66"/>
        <v>0.99717090086597904</v>
      </c>
      <c r="T115" s="39">
        <f t="shared" si="44"/>
        <v>2.1163297611674903E-3</v>
      </c>
      <c r="U115" s="40">
        <f t="shared" si="62"/>
        <v>0</v>
      </c>
      <c r="V115" s="40" t="str">
        <f t="shared" si="50"/>
        <v>H</v>
      </c>
      <c r="W115" s="217">
        <f t="shared" si="45"/>
        <v>0</v>
      </c>
      <c r="X115" s="176">
        <f t="shared" si="46"/>
        <v>0</v>
      </c>
    </row>
    <row r="116" spans="1:24" ht="15.75" thickBot="1" x14ac:dyDescent="0.3">
      <c r="A116" s="229">
        <f t="shared" si="63"/>
        <v>1228</v>
      </c>
      <c r="B116" s="230">
        <f t="shared" si="63"/>
        <v>106</v>
      </c>
      <c r="C116" s="218" t="str">
        <f t="shared" si="43"/>
        <v>091_20-000_000_04</v>
      </c>
      <c r="D116" s="231">
        <f t="shared" si="67"/>
        <v>20</v>
      </c>
      <c r="E116" s="239">
        <f t="shared" si="39"/>
        <v>2.8840000000000003</v>
      </c>
      <c r="F116" s="232">
        <f t="shared" si="60"/>
        <v>14.420000000000002</v>
      </c>
      <c r="G116" s="232">
        <f t="shared" si="40"/>
        <v>11.536000000000001</v>
      </c>
      <c r="H116" s="232">
        <f t="shared" si="41"/>
        <v>7.2100000000000009</v>
      </c>
      <c r="I116" s="232">
        <f t="shared" si="48"/>
        <v>8</v>
      </c>
      <c r="J116" s="233">
        <f>yaw_null</f>
        <v>0</v>
      </c>
      <c r="K116" s="228" t="str">
        <f>D116&amp;-4</f>
        <v>20-4</v>
      </c>
      <c r="L116" s="232">
        <f t="shared" si="65"/>
        <v>0.2</v>
      </c>
      <c r="M116" s="232">
        <f t="shared" si="65"/>
        <v>150</v>
      </c>
      <c r="N116" s="232">
        <f t="shared" si="65"/>
        <v>750</v>
      </c>
      <c r="O116" s="217"/>
      <c r="P116" s="38">
        <f t="shared" si="52"/>
        <v>19.5</v>
      </c>
      <c r="Q116" s="38">
        <f t="shared" si="53"/>
        <v>20.5</v>
      </c>
      <c r="R116" s="39">
        <f t="shared" si="66"/>
        <v>0.99505457110481155</v>
      </c>
      <c r="S116" s="39">
        <f t="shared" si="66"/>
        <v>0.99717090086597904</v>
      </c>
      <c r="T116" s="39">
        <f t="shared" si="44"/>
        <v>2.1163297611674903E-3</v>
      </c>
      <c r="U116" s="40">
        <f t="shared" si="62"/>
        <v>0</v>
      </c>
      <c r="V116" s="40" t="str">
        <f t="shared" si="50"/>
        <v>H</v>
      </c>
      <c r="W116" s="217">
        <f t="shared" si="45"/>
        <v>0</v>
      </c>
      <c r="X116" s="176">
        <f t="shared" si="46"/>
        <v>0</v>
      </c>
    </row>
    <row r="117" spans="1:24" ht="15.75" thickBot="1" x14ac:dyDescent="0.3">
      <c r="A117" s="229">
        <f t="shared" si="63"/>
        <v>1229</v>
      </c>
      <c r="B117" s="230">
        <f t="shared" si="63"/>
        <v>107</v>
      </c>
      <c r="C117" s="218" t="str">
        <f t="shared" si="43"/>
        <v>091_20-008_000_05</v>
      </c>
      <c r="D117" s="231">
        <f t="shared" si="67"/>
        <v>20</v>
      </c>
      <c r="E117" s="239">
        <f t="shared" si="39"/>
        <v>2.8840000000000003</v>
      </c>
      <c r="F117" s="232">
        <f t="shared" si="60"/>
        <v>14.420000000000002</v>
      </c>
      <c r="G117" s="232">
        <f t="shared" si="40"/>
        <v>11.536000000000001</v>
      </c>
      <c r="H117" s="232">
        <f t="shared" si="41"/>
        <v>7.2100000000000009</v>
      </c>
      <c r="I117" s="232">
        <f t="shared" si="48"/>
        <v>8</v>
      </c>
      <c r="J117" s="233">
        <f>yaw_max</f>
        <v>8</v>
      </c>
      <c r="K117" s="228" t="str">
        <f>D117&amp;-5</f>
        <v>20-5</v>
      </c>
      <c r="L117" s="232">
        <f t="shared" si="65"/>
        <v>0.2</v>
      </c>
      <c r="M117" s="232">
        <f t="shared" si="65"/>
        <v>150</v>
      </c>
      <c r="N117" s="232">
        <f t="shared" si="65"/>
        <v>750</v>
      </c>
      <c r="O117" s="217"/>
      <c r="P117" s="38">
        <f t="shared" si="52"/>
        <v>19.5</v>
      </c>
      <c r="Q117" s="38">
        <f t="shared" si="53"/>
        <v>20.5</v>
      </c>
      <c r="R117" s="39">
        <f t="shared" si="66"/>
        <v>0.99505457110481155</v>
      </c>
      <c r="S117" s="39">
        <f t="shared" si="66"/>
        <v>0.99717090086597904</v>
      </c>
      <c r="T117" s="39">
        <f t="shared" si="44"/>
        <v>2.1163297611674903E-3</v>
      </c>
      <c r="U117" s="40">
        <f t="shared" si="62"/>
        <v>0</v>
      </c>
      <c r="V117" s="40" t="str">
        <f t="shared" si="50"/>
        <v>H</v>
      </c>
      <c r="W117" s="217">
        <f t="shared" si="45"/>
        <v>0</v>
      </c>
      <c r="X117" s="176">
        <f t="shared" si="46"/>
        <v>0</v>
      </c>
    </row>
    <row r="118" spans="1:24" ht="15.75" thickBot="1" x14ac:dyDescent="0.3">
      <c r="A118" s="229">
        <f t="shared" si="63"/>
        <v>1230</v>
      </c>
      <c r="B118" s="230">
        <f t="shared" si="63"/>
        <v>108</v>
      </c>
      <c r="C118" s="218" t="str">
        <f t="shared" si="43"/>
        <v>091_20-008_000_06</v>
      </c>
      <c r="D118" s="231">
        <f t="shared" si="67"/>
        <v>20</v>
      </c>
      <c r="E118" s="239">
        <f t="shared" si="39"/>
        <v>2.8840000000000003</v>
      </c>
      <c r="F118" s="232">
        <f t="shared" si="60"/>
        <v>14.420000000000002</v>
      </c>
      <c r="G118" s="232">
        <f t="shared" si="40"/>
        <v>11.536000000000001</v>
      </c>
      <c r="H118" s="232">
        <f t="shared" si="41"/>
        <v>7.2100000000000009</v>
      </c>
      <c r="I118" s="232">
        <f t="shared" si="48"/>
        <v>8</v>
      </c>
      <c r="J118" s="233">
        <f>yaw_max</f>
        <v>8</v>
      </c>
      <c r="K118" s="228" t="str">
        <f>D118&amp;-6</f>
        <v>20-6</v>
      </c>
      <c r="L118" s="232">
        <f t="shared" si="65"/>
        <v>0.2</v>
      </c>
      <c r="M118" s="232">
        <f t="shared" si="65"/>
        <v>150</v>
      </c>
      <c r="N118" s="232">
        <f t="shared" si="65"/>
        <v>750</v>
      </c>
      <c r="O118" s="217"/>
      <c r="P118" s="38">
        <f t="shared" si="52"/>
        <v>19.5</v>
      </c>
      <c r="Q118" s="38">
        <f t="shared" si="53"/>
        <v>20.5</v>
      </c>
      <c r="R118" s="39">
        <f t="shared" si="66"/>
        <v>0.99505457110481155</v>
      </c>
      <c r="S118" s="39">
        <f t="shared" si="66"/>
        <v>0.99717090086597904</v>
      </c>
      <c r="T118" s="39">
        <f t="shared" si="44"/>
        <v>2.1163297611674903E-3</v>
      </c>
      <c r="U118" s="40">
        <f t="shared" si="62"/>
        <v>0</v>
      </c>
      <c r="V118" s="40" t="str">
        <f t="shared" si="50"/>
        <v>H</v>
      </c>
      <c r="W118" s="217">
        <f t="shared" si="45"/>
        <v>0</v>
      </c>
      <c r="X118" s="176">
        <f t="shared" si="46"/>
        <v>0</v>
      </c>
    </row>
    <row r="119" spans="1:24" ht="15.75" thickBot="1" x14ac:dyDescent="0.3">
      <c r="A119" s="229">
        <f t="shared" si="63"/>
        <v>1231</v>
      </c>
      <c r="B119" s="230">
        <f t="shared" si="63"/>
        <v>109</v>
      </c>
      <c r="C119" s="218" t="str">
        <f t="shared" si="43"/>
        <v>091_21-352_000_01</v>
      </c>
      <c r="D119" s="231">
        <f>D113+V_step_12</f>
        <v>21</v>
      </c>
      <c r="E119" s="239">
        <f t="shared" si="39"/>
        <v>2.9890000000000003</v>
      </c>
      <c r="F119" s="232">
        <f t="shared" si="60"/>
        <v>14.233333333333334</v>
      </c>
      <c r="G119" s="232">
        <f t="shared" si="40"/>
        <v>11.386666666666668</v>
      </c>
      <c r="H119" s="232">
        <f t="shared" si="41"/>
        <v>7.1166666666666671</v>
      </c>
      <c r="I119" s="232">
        <f t="shared" si="48"/>
        <v>8</v>
      </c>
      <c r="J119" s="233">
        <f>yaw_min</f>
        <v>-8</v>
      </c>
      <c r="K119" s="228" t="str">
        <f>D119&amp;-1</f>
        <v>21-1</v>
      </c>
      <c r="L119" s="232">
        <f t="shared" si="65"/>
        <v>0.2</v>
      </c>
      <c r="M119" s="232">
        <f t="shared" si="65"/>
        <v>150</v>
      </c>
      <c r="N119" s="232">
        <f t="shared" si="65"/>
        <v>750</v>
      </c>
      <c r="O119" s="217"/>
      <c r="P119" s="38">
        <f t="shared" si="52"/>
        <v>20.5</v>
      </c>
      <c r="Q119" s="38">
        <f t="shared" si="53"/>
        <v>21.5</v>
      </c>
      <c r="R119" s="39">
        <f t="shared" si="66"/>
        <v>0.99717090086597904</v>
      </c>
      <c r="S119" s="39">
        <f t="shared" si="66"/>
        <v>0.99842614550152831</v>
      </c>
      <c r="T119" s="39">
        <f t="shared" si="44"/>
        <v>1.2552446355492686E-3</v>
      </c>
      <c r="U119" s="40">
        <f t="shared" si="62"/>
        <v>0</v>
      </c>
      <c r="V119" s="40" t="str">
        <f t="shared" si="50"/>
        <v>H</v>
      </c>
      <c r="W119" s="217">
        <f t="shared" si="45"/>
        <v>0</v>
      </c>
      <c r="X119" s="176">
        <f t="shared" si="46"/>
        <v>0</v>
      </c>
    </row>
    <row r="120" spans="1:24" ht="15.75" thickBot="1" x14ac:dyDescent="0.3">
      <c r="A120" s="229">
        <f t="shared" si="63"/>
        <v>1232</v>
      </c>
      <c r="B120" s="230">
        <f t="shared" si="63"/>
        <v>110</v>
      </c>
      <c r="C120" s="218" t="str">
        <f t="shared" si="43"/>
        <v>091_21-352_000_02</v>
      </c>
      <c r="D120" s="231">
        <f>D119</f>
        <v>21</v>
      </c>
      <c r="E120" s="239">
        <f t="shared" si="39"/>
        <v>2.9890000000000003</v>
      </c>
      <c r="F120" s="232">
        <f t="shared" si="60"/>
        <v>14.233333333333334</v>
      </c>
      <c r="G120" s="232">
        <f t="shared" si="40"/>
        <v>11.386666666666668</v>
      </c>
      <c r="H120" s="232">
        <f t="shared" si="41"/>
        <v>7.1166666666666671</v>
      </c>
      <c r="I120" s="232">
        <f t="shared" si="48"/>
        <v>8</v>
      </c>
      <c r="J120" s="233">
        <f>yaw_min</f>
        <v>-8</v>
      </c>
      <c r="K120" s="228" t="str">
        <f>D120&amp;-2</f>
        <v>21-2</v>
      </c>
      <c r="L120" s="232">
        <f t="shared" si="65"/>
        <v>0.2</v>
      </c>
      <c r="M120" s="232">
        <f t="shared" si="65"/>
        <v>150</v>
      </c>
      <c r="N120" s="232">
        <f t="shared" si="65"/>
        <v>750</v>
      </c>
      <c r="O120" s="217"/>
      <c r="P120" s="38">
        <f t="shared" si="52"/>
        <v>20.5</v>
      </c>
      <c r="Q120" s="38">
        <f t="shared" si="53"/>
        <v>21.5</v>
      </c>
      <c r="R120" s="39">
        <f t="shared" si="66"/>
        <v>0.99717090086597904</v>
      </c>
      <c r="S120" s="39">
        <f t="shared" si="66"/>
        <v>0.99842614550152831</v>
      </c>
      <c r="T120" s="39">
        <f t="shared" si="44"/>
        <v>1.2552446355492686E-3</v>
      </c>
      <c r="U120" s="40">
        <f t="shared" si="62"/>
        <v>0</v>
      </c>
      <c r="V120" s="40" t="str">
        <f t="shared" si="50"/>
        <v>H</v>
      </c>
      <c r="W120" s="217">
        <f t="shared" si="45"/>
        <v>0</v>
      </c>
      <c r="X120" s="176">
        <f t="shared" si="46"/>
        <v>0</v>
      </c>
    </row>
    <row r="121" spans="1:24" ht="15.75" thickBot="1" x14ac:dyDescent="0.3">
      <c r="A121" s="229">
        <f t="shared" si="63"/>
        <v>1233</v>
      </c>
      <c r="B121" s="230">
        <f t="shared" si="63"/>
        <v>111</v>
      </c>
      <c r="C121" s="218" t="str">
        <f t="shared" si="43"/>
        <v>091_21-000_000_03</v>
      </c>
      <c r="D121" s="231">
        <f t="shared" ref="D121:D124" si="68">D120</f>
        <v>21</v>
      </c>
      <c r="E121" s="239">
        <f t="shared" si="39"/>
        <v>2.9890000000000003</v>
      </c>
      <c r="F121" s="232">
        <f t="shared" si="60"/>
        <v>14.233333333333334</v>
      </c>
      <c r="G121" s="232">
        <f t="shared" si="40"/>
        <v>11.386666666666668</v>
      </c>
      <c r="H121" s="232">
        <f t="shared" si="41"/>
        <v>7.1166666666666671</v>
      </c>
      <c r="I121" s="232">
        <f t="shared" si="48"/>
        <v>8</v>
      </c>
      <c r="J121" s="233">
        <f>yaw_null</f>
        <v>0</v>
      </c>
      <c r="K121" s="228" t="str">
        <f>D121&amp;-3</f>
        <v>21-3</v>
      </c>
      <c r="L121" s="232">
        <f t="shared" si="65"/>
        <v>0.2</v>
      </c>
      <c r="M121" s="232">
        <f t="shared" si="65"/>
        <v>150</v>
      </c>
      <c r="N121" s="232">
        <f t="shared" si="65"/>
        <v>750</v>
      </c>
      <c r="O121" s="217"/>
      <c r="P121" s="38">
        <f t="shared" si="52"/>
        <v>20.5</v>
      </c>
      <c r="Q121" s="38">
        <f t="shared" si="53"/>
        <v>21.5</v>
      </c>
      <c r="R121" s="39">
        <f t="shared" si="66"/>
        <v>0.99717090086597904</v>
      </c>
      <c r="S121" s="39">
        <f t="shared" si="66"/>
        <v>0.99842614550152831</v>
      </c>
      <c r="T121" s="39">
        <f t="shared" si="44"/>
        <v>1.2552446355492686E-3</v>
      </c>
      <c r="U121" s="40">
        <f t="shared" si="62"/>
        <v>0</v>
      </c>
      <c r="V121" s="40" t="str">
        <f t="shared" si="50"/>
        <v>H</v>
      </c>
      <c r="W121" s="217">
        <f t="shared" si="45"/>
        <v>0</v>
      </c>
      <c r="X121" s="176">
        <f t="shared" si="46"/>
        <v>0</v>
      </c>
    </row>
    <row r="122" spans="1:24" ht="15.75" thickBot="1" x14ac:dyDescent="0.3">
      <c r="A122" s="229">
        <f t="shared" si="63"/>
        <v>1234</v>
      </c>
      <c r="B122" s="230">
        <f t="shared" si="63"/>
        <v>112</v>
      </c>
      <c r="C122" s="218" t="str">
        <f t="shared" si="43"/>
        <v>091_21-000_000_04</v>
      </c>
      <c r="D122" s="231">
        <f t="shared" si="68"/>
        <v>21</v>
      </c>
      <c r="E122" s="239">
        <f t="shared" si="39"/>
        <v>2.9890000000000003</v>
      </c>
      <c r="F122" s="232">
        <f t="shared" si="60"/>
        <v>14.233333333333334</v>
      </c>
      <c r="G122" s="232">
        <f t="shared" si="40"/>
        <v>11.386666666666668</v>
      </c>
      <c r="H122" s="232">
        <f t="shared" si="41"/>
        <v>7.1166666666666671</v>
      </c>
      <c r="I122" s="232">
        <f t="shared" si="48"/>
        <v>8</v>
      </c>
      <c r="J122" s="233">
        <f>yaw_null</f>
        <v>0</v>
      </c>
      <c r="K122" s="228" t="str">
        <f>D122&amp;-4</f>
        <v>21-4</v>
      </c>
      <c r="L122" s="232">
        <f t="shared" si="65"/>
        <v>0.2</v>
      </c>
      <c r="M122" s="232">
        <f t="shared" si="65"/>
        <v>150</v>
      </c>
      <c r="N122" s="232">
        <f t="shared" si="65"/>
        <v>750</v>
      </c>
      <c r="O122" s="217"/>
      <c r="P122" s="38">
        <f t="shared" si="52"/>
        <v>20.5</v>
      </c>
      <c r="Q122" s="38">
        <f t="shared" si="53"/>
        <v>21.5</v>
      </c>
      <c r="R122" s="39">
        <f t="shared" si="66"/>
        <v>0.99717090086597904</v>
      </c>
      <c r="S122" s="39">
        <f t="shared" si="66"/>
        <v>0.99842614550152831</v>
      </c>
      <c r="T122" s="39">
        <f t="shared" si="44"/>
        <v>1.2552446355492686E-3</v>
      </c>
      <c r="U122" s="40">
        <f t="shared" si="62"/>
        <v>0</v>
      </c>
      <c r="V122" s="40" t="str">
        <f t="shared" si="50"/>
        <v>H</v>
      </c>
      <c r="W122" s="217">
        <f t="shared" si="45"/>
        <v>0</v>
      </c>
      <c r="X122" s="176">
        <f t="shared" si="46"/>
        <v>0</v>
      </c>
    </row>
    <row r="123" spans="1:24" ht="15.75" thickBot="1" x14ac:dyDescent="0.3">
      <c r="A123" s="229">
        <f t="shared" si="63"/>
        <v>1235</v>
      </c>
      <c r="B123" s="230">
        <f t="shared" si="63"/>
        <v>113</v>
      </c>
      <c r="C123" s="218" t="str">
        <f t="shared" si="43"/>
        <v>091_21-008_000_05</v>
      </c>
      <c r="D123" s="231">
        <f t="shared" si="68"/>
        <v>21</v>
      </c>
      <c r="E123" s="239">
        <f t="shared" si="39"/>
        <v>2.9890000000000003</v>
      </c>
      <c r="F123" s="232">
        <f t="shared" si="60"/>
        <v>14.233333333333334</v>
      </c>
      <c r="G123" s="232">
        <f t="shared" si="40"/>
        <v>11.386666666666668</v>
      </c>
      <c r="H123" s="232">
        <f t="shared" si="41"/>
        <v>7.1166666666666671</v>
      </c>
      <c r="I123" s="232">
        <f t="shared" si="48"/>
        <v>8</v>
      </c>
      <c r="J123" s="233">
        <f>yaw_max</f>
        <v>8</v>
      </c>
      <c r="K123" s="228" t="str">
        <f>D123&amp;-5</f>
        <v>21-5</v>
      </c>
      <c r="L123" s="232">
        <f t="shared" si="65"/>
        <v>0.2</v>
      </c>
      <c r="M123" s="232">
        <f t="shared" si="65"/>
        <v>150</v>
      </c>
      <c r="N123" s="232">
        <f t="shared" si="65"/>
        <v>750</v>
      </c>
      <c r="O123" s="217"/>
      <c r="P123" s="38">
        <f t="shared" si="52"/>
        <v>20.5</v>
      </c>
      <c r="Q123" s="38">
        <f t="shared" si="53"/>
        <v>21.5</v>
      </c>
      <c r="R123" s="39">
        <f t="shared" si="66"/>
        <v>0.99717090086597904</v>
      </c>
      <c r="S123" s="39">
        <f t="shared" si="66"/>
        <v>0.99842614550152831</v>
      </c>
      <c r="T123" s="39">
        <f t="shared" si="44"/>
        <v>1.2552446355492686E-3</v>
      </c>
      <c r="U123" s="40">
        <f t="shared" si="62"/>
        <v>0</v>
      </c>
      <c r="V123" s="40" t="str">
        <f t="shared" si="50"/>
        <v>H</v>
      </c>
      <c r="W123" s="217">
        <f t="shared" si="45"/>
        <v>0</v>
      </c>
      <c r="X123" s="176">
        <f t="shared" si="46"/>
        <v>0</v>
      </c>
    </row>
    <row r="124" spans="1:24" ht="15.75" thickBot="1" x14ac:dyDescent="0.3">
      <c r="A124" s="229">
        <f t="shared" si="63"/>
        <v>1236</v>
      </c>
      <c r="B124" s="230">
        <f t="shared" si="63"/>
        <v>114</v>
      </c>
      <c r="C124" s="218" t="str">
        <f t="shared" si="43"/>
        <v>091_21-008_000_06</v>
      </c>
      <c r="D124" s="231">
        <f t="shared" si="68"/>
        <v>21</v>
      </c>
      <c r="E124" s="239">
        <f t="shared" si="39"/>
        <v>2.9890000000000003</v>
      </c>
      <c r="F124" s="232">
        <f t="shared" si="60"/>
        <v>14.233333333333334</v>
      </c>
      <c r="G124" s="232">
        <f t="shared" si="40"/>
        <v>11.386666666666668</v>
      </c>
      <c r="H124" s="232">
        <f t="shared" si="41"/>
        <v>7.1166666666666671</v>
      </c>
      <c r="I124" s="232">
        <f t="shared" si="48"/>
        <v>8</v>
      </c>
      <c r="J124" s="233">
        <f>yaw_max</f>
        <v>8</v>
      </c>
      <c r="K124" s="228" t="str">
        <f>D124&amp;-6</f>
        <v>21-6</v>
      </c>
      <c r="L124" s="232">
        <f t="shared" si="65"/>
        <v>0.2</v>
      </c>
      <c r="M124" s="232">
        <f t="shared" si="65"/>
        <v>150</v>
      </c>
      <c r="N124" s="232">
        <f t="shared" si="65"/>
        <v>750</v>
      </c>
      <c r="O124" s="217"/>
      <c r="P124" s="38">
        <f t="shared" si="52"/>
        <v>20.5</v>
      </c>
      <c r="Q124" s="38">
        <f t="shared" si="53"/>
        <v>21.5</v>
      </c>
      <c r="R124" s="39">
        <f t="shared" si="66"/>
        <v>0.99717090086597904</v>
      </c>
      <c r="S124" s="39">
        <f t="shared" si="66"/>
        <v>0.99842614550152831</v>
      </c>
      <c r="T124" s="39">
        <f t="shared" si="44"/>
        <v>1.2552446355492686E-3</v>
      </c>
      <c r="U124" s="40">
        <f t="shared" si="62"/>
        <v>0</v>
      </c>
      <c r="V124" s="40" t="str">
        <f t="shared" si="50"/>
        <v>H</v>
      </c>
      <c r="W124" s="217">
        <f t="shared" si="45"/>
        <v>0</v>
      </c>
      <c r="X124" s="176">
        <f t="shared" si="46"/>
        <v>0</v>
      </c>
    </row>
    <row r="125" spans="1:24" ht="15.75" thickBot="1" x14ac:dyDescent="0.3">
      <c r="A125" s="229">
        <f t="shared" ref="A125:B140" si="69">A124+1</f>
        <v>1237</v>
      </c>
      <c r="B125" s="230">
        <f t="shared" si="69"/>
        <v>115</v>
      </c>
      <c r="C125" s="218" t="str">
        <f t="shared" si="43"/>
        <v>091_22-352_000_01</v>
      </c>
      <c r="D125" s="231">
        <f>D119+V_step_12</f>
        <v>22</v>
      </c>
      <c r="E125" s="239">
        <f t="shared" si="39"/>
        <v>3.0940000000000003</v>
      </c>
      <c r="F125" s="232">
        <f>E125/D125*100</f>
        <v>14.063636363636364</v>
      </c>
      <c r="G125" s="232">
        <f t="shared" si="40"/>
        <v>11.250909090909092</v>
      </c>
      <c r="H125" s="232">
        <f t="shared" si="41"/>
        <v>7.0318181818181822</v>
      </c>
      <c r="I125" s="232">
        <f t="shared" si="48"/>
        <v>8</v>
      </c>
      <c r="J125" s="233">
        <f>yaw_min</f>
        <v>-8</v>
      </c>
      <c r="K125" s="228" t="str">
        <f>D125&amp;-1</f>
        <v>22-1</v>
      </c>
      <c r="L125" s="232">
        <f t="shared" ref="L125:N140" si="70">L124</f>
        <v>0.2</v>
      </c>
      <c r="M125" s="232">
        <f t="shared" si="70"/>
        <v>150</v>
      </c>
      <c r="N125" s="232">
        <f t="shared" si="70"/>
        <v>750</v>
      </c>
      <c r="O125" s="217"/>
      <c r="P125" s="38">
        <f t="shared" si="52"/>
        <v>21.5</v>
      </c>
      <c r="Q125" s="38">
        <f t="shared" si="53"/>
        <v>22.5</v>
      </c>
      <c r="R125" s="39">
        <f t="shared" si="66"/>
        <v>0.99842614550152831</v>
      </c>
      <c r="S125" s="39">
        <f t="shared" si="66"/>
        <v>0.99914856165719479</v>
      </c>
      <c r="T125" s="39">
        <f t="shared" si="44"/>
        <v>7.2241615566648321E-4</v>
      </c>
      <c r="U125" s="40">
        <f t="shared" si="62"/>
        <v>0</v>
      </c>
      <c r="V125" s="40" t="str">
        <f t="shared" si="50"/>
        <v>H</v>
      </c>
      <c r="W125" s="217">
        <f t="shared" si="45"/>
        <v>0</v>
      </c>
      <c r="X125" s="176">
        <f t="shared" si="46"/>
        <v>0</v>
      </c>
    </row>
    <row r="126" spans="1:24" ht="15.75" thickBot="1" x14ac:dyDescent="0.3">
      <c r="A126" s="229">
        <f t="shared" si="69"/>
        <v>1238</v>
      </c>
      <c r="B126" s="230">
        <f t="shared" si="69"/>
        <v>116</v>
      </c>
      <c r="C126" s="218" t="str">
        <f t="shared" si="43"/>
        <v>091_22-352_000_02</v>
      </c>
      <c r="D126" s="231">
        <f>D125</f>
        <v>22</v>
      </c>
      <c r="E126" s="239">
        <f t="shared" si="39"/>
        <v>3.0940000000000003</v>
      </c>
      <c r="F126" s="232">
        <f t="shared" ref="F126:F142" si="71">E126/D126*100</f>
        <v>14.063636363636364</v>
      </c>
      <c r="G126" s="232">
        <f t="shared" si="40"/>
        <v>11.250909090909092</v>
      </c>
      <c r="H126" s="232">
        <f t="shared" si="41"/>
        <v>7.0318181818181822</v>
      </c>
      <c r="I126" s="232">
        <f t="shared" si="48"/>
        <v>8</v>
      </c>
      <c r="J126" s="233">
        <f>yaw_min</f>
        <v>-8</v>
      </c>
      <c r="K126" s="228" t="str">
        <f>D126&amp;-2</f>
        <v>22-2</v>
      </c>
      <c r="L126" s="232">
        <f t="shared" si="70"/>
        <v>0.2</v>
      </c>
      <c r="M126" s="232">
        <f t="shared" si="70"/>
        <v>150</v>
      </c>
      <c r="N126" s="232">
        <f t="shared" si="70"/>
        <v>750</v>
      </c>
      <c r="O126" s="217"/>
      <c r="P126" s="38">
        <f t="shared" si="52"/>
        <v>21.5</v>
      </c>
      <c r="Q126" s="38">
        <f t="shared" si="53"/>
        <v>22.5</v>
      </c>
      <c r="R126" s="39">
        <f t="shared" si="66"/>
        <v>0.99842614550152831</v>
      </c>
      <c r="S126" s="39">
        <f t="shared" si="66"/>
        <v>0.99914856165719479</v>
      </c>
      <c r="T126" s="39">
        <f t="shared" si="44"/>
        <v>7.2241615566648321E-4</v>
      </c>
      <c r="U126" s="40">
        <f t="shared" si="62"/>
        <v>0</v>
      </c>
      <c r="V126" s="40" t="str">
        <f t="shared" si="50"/>
        <v>H</v>
      </c>
      <c r="W126" s="217">
        <f t="shared" si="45"/>
        <v>0</v>
      </c>
      <c r="X126" s="176">
        <f t="shared" si="46"/>
        <v>0</v>
      </c>
    </row>
    <row r="127" spans="1:24" ht="15.75" thickBot="1" x14ac:dyDescent="0.3">
      <c r="A127" s="229">
        <f t="shared" si="69"/>
        <v>1239</v>
      </c>
      <c r="B127" s="230">
        <f t="shared" si="69"/>
        <v>117</v>
      </c>
      <c r="C127" s="218" t="str">
        <f t="shared" si="43"/>
        <v>091_22-000_000_03</v>
      </c>
      <c r="D127" s="231">
        <f t="shared" ref="D127:D130" si="72">D126</f>
        <v>22</v>
      </c>
      <c r="E127" s="239">
        <f t="shared" si="39"/>
        <v>3.0940000000000003</v>
      </c>
      <c r="F127" s="232">
        <f t="shared" si="71"/>
        <v>14.063636363636364</v>
      </c>
      <c r="G127" s="232">
        <f t="shared" si="40"/>
        <v>11.250909090909092</v>
      </c>
      <c r="H127" s="232">
        <f t="shared" si="41"/>
        <v>7.0318181818181822</v>
      </c>
      <c r="I127" s="232">
        <f t="shared" si="48"/>
        <v>8</v>
      </c>
      <c r="J127" s="233">
        <f>yaw_null</f>
        <v>0</v>
      </c>
      <c r="K127" s="228" t="str">
        <f>D127&amp;-3</f>
        <v>22-3</v>
      </c>
      <c r="L127" s="232">
        <f t="shared" si="70"/>
        <v>0.2</v>
      </c>
      <c r="M127" s="232">
        <f t="shared" si="70"/>
        <v>150</v>
      </c>
      <c r="N127" s="232">
        <f t="shared" si="70"/>
        <v>750</v>
      </c>
      <c r="O127" s="217"/>
      <c r="P127" s="38">
        <f t="shared" si="52"/>
        <v>21.5</v>
      </c>
      <c r="Q127" s="38">
        <f t="shared" si="53"/>
        <v>22.5</v>
      </c>
      <c r="R127" s="39">
        <f t="shared" si="66"/>
        <v>0.99842614550152831</v>
      </c>
      <c r="S127" s="39">
        <f t="shared" si="66"/>
        <v>0.99914856165719479</v>
      </c>
      <c r="T127" s="39">
        <f t="shared" si="44"/>
        <v>7.2241615566648321E-4</v>
      </c>
      <c r="U127" s="40">
        <f t="shared" si="62"/>
        <v>0</v>
      </c>
      <c r="V127" s="40" t="str">
        <f t="shared" si="50"/>
        <v>H</v>
      </c>
      <c r="W127" s="217">
        <f t="shared" si="45"/>
        <v>0</v>
      </c>
      <c r="X127" s="176">
        <f t="shared" si="46"/>
        <v>0</v>
      </c>
    </row>
    <row r="128" spans="1:24" ht="15.75" thickBot="1" x14ac:dyDescent="0.3">
      <c r="A128" s="229">
        <f t="shared" si="69"/>
        <v>1240</v>
      </c>
      <c r="B128" s="230">
        <f t="shared" si="69"/>
        <v>118</v>
      </c>
      <c r="C128" s="218" t="str">
        <f t="shared" si="43"/>
        <v>091_22-000_000_04</v>
      </c>
      <c r="D128" s="231">
        <f t="shared" si="72"/>
        <v>22</v>
      </c>
      <c r="E128" s="239">
        <f t="shared" si="39"/>
        <v>3.0940000000000003</v>
      </c>
      <c r="F128" s="232">
        <f t="shared" si="71"/>
        <v>14.063636363636364</v>
      </c>
      <c r="G128" s="232">
        <f t="shared" si="40"/>
        <v>11.250909090909092</v>
      </c>
      <c r="H128" s="232">
        <f t="shared" si="41"/>
        <v>7.0318181818181822</v>
      </c>
      <c r="I128" s="232">
        <f t="shared" si="48"/>
        <v>8</v>
      </c>
      <c r="J128" s="233">
        <f>yaw_null</f>
        <v>0</v>
      </c>
      <c r="K128" s="228" t="str">
        <f>D128&amp;-4</f>
        <v>22-4</v>
      </c>
      <c r="L128" s="232">
        <f t="shared" si="70"/>
        <v>0.2</v>
      </c>
      <c r="M128" s="232">
        <f t="shared" si="70"/>
        <v>150</v>
      </c>
      <c r="N128" s="232">
        <f t="shared" si="70"/>
        <v>750</v>
      </c>
      <c r="O128" s="217"/>
      <c r="P128" s="38">
        <f t="shared" si="52"/>
        <v>21.5</v>
      </c>
      <c r="Q128" s="38">
        <f t="shared" si="53"/>
        <v>22.5</v>
      </c>
      <c r="R128" s="39">
        <f t="shared" si="66"/>
        <v>0.99842614550152831</v>
      </c>
      <c r="S128" s="39">
        <f t="shared" si="66"/>
        <v>0.99914856165719479</v>
      </c>
      <c r="T128" s="39">
        <f t="shared" si="44"/>
        <v>7.2241615566648321E-4</v>
      </c>
      <c r="U128" s="40">
        <f t="shared" si="62"/>
        <v>0</v>
      </c>
      <c r="V128" s="40" t="str">
        <f t="shared" si="50"/>
        <v>H</v>
      </c>
      <c r="W128" s="217">
        <f t="shared" si="45"/>
        <v>0</v>
      </c>
      <c r="X128" s="176">
        <f t="shared" si="46"/>
        <v>0</v>
      </c>
    </row>
    <row r="129" spans="1:24" ht="15.75" thickBot="1" x14ac:dyDescent="0.3">
      <c r="A129" s="229">
        <f t="shared" si="69"/>
        <v>1241</v>
      </c>
      <c r="B129" s="230">
        <f t="shared" si="69"/>
        <v>119</v>
      </c>
      <c r="C129" s="218" t="str">
        <f t="shared" si="43"/>
        <v>091_22-008_000_05</v>
      </c>
      <c r="D129" s="231">
        <f t="shared" si="72"/>
        <v>22</v>
      </c>
      <c r="E129" s="239">
        <f t="shared" si="39"/>
        <v>3.0940000000000003</v>
      </c>
      <c r="F129" s="232">
        <f t="shared" si="71"/>
        <v>14.063636363636364</v>
      </c>
      <c r="G129" s="232">
        <f t="shared" si="40"/>
        <v>11.250909090909092</v>
      </c>
      <c r="H129" s="232">
        <f t="shared" si="41"/>
        <v>7.0318181818181822</v>
      </c>
      <c r="I129" s="232">
        <f t="shared" si="48"/>
        <v>8</v>
      </c>
      <c r="J129" s="233">
        <f>yaw_max</f>
        <v>8</v>
      </c>
      <c r="K129" s="228" t="str">
        <f>D129&amp;-5</f>
        <v>22-5</v>
      </c>
      <c r="L129" s="232">
        <f t="shared" si="70"/>
        <v>0.2</v>
      </c>
      <c r="M129" s="232">
        <f t="shared" si="70"/>
        <v>150</v>
      </c>
      <c r="N129" s="232">
        <f t="shared" si="70"/>
        <v>750</v>
      </c>
      <c r="O129" s="217"/>
      <c r="P129" s="38">
        <f t="shared" si="52"/>
        <v>21.5</v>
      </c>
      <c r="Q129" s="38">
        <f t="shared" si="53"/>
        <v>22.5</v>
      </c>
      <c r="R129" s="39">
        <f t="shared" si="66"/>
        <v>0.99842614550152831</v>
      </c>
      <c r="S129" s="39">
        <f t="shared" si="66"/>
        <v>0.99914856165719479</v>
      </c>
      <c r="T129" s="39">
        <f t="shared" si="44"/>
        <v>7.2241615566648321E-4</v>
      </c>
      <c r="U129" s="40">
        <f t="shared" si="62"/>
        <v>0</v>
      </c>
      <c r="V129" s="40" t="str">
        <f t="shared" si="50"/>
        <v>H</v>
      </c>
      <c r="W129" s="217">
        <f t="shared" si="45"/>
        <v>0</v>
      </c>
      <c r="X129" s="176">
        <f t="shared" si="46"/>
        <v>0</v>
      </c>
    </row>
    <row r="130" spans="1:24" ht="15.75" thickBot="1" x14ac:dyDescent="0.3">
      <c r="A130" s="229">
        <f t="shared" si="69"/>
        <v>1242</v>
      </c>
      <c r="B130" s="230">
        <f t="shared" si="69"/>
        <v>120</v>
      </c>
      <c r="C130" s="218" t="str">
        <f t="shared" si="43"/>
        <v>091_22-008_000_06</v>
      </c>
      <c r="D130" s="231">
        <f t="shared" si="72"/>
        <v>22</v>
      </c>
      <c r="E130" s="239">
        <f t="shared" si="39"/>
        <v>3.0940000000000003</v>
      </c>
      <c r="F130" s="232">
        <f t="shared" si="71"/>
        <v>14.063636363636364</v>
      </c>
      <c r="G130" s="232">
        <f t="shared" si="40"/>
        <v>11.250909090909092</v>
      </c>
      <c r="H130" s="232">
        <f t="shared" si="41"/>
        <v>7.0318181818181822</v>
      </c>
      <c r="I130" s="232">
        <f t="shared" si="48"/>
        <v>8</v>
      </c>
      <c r="J130" s="233">
        <f>yaw_max</f>
        <v>8</v>
      </c>
      <c r="K130" s="228" t="str">
        <f>D130&amp;-6</f>
        <v>22-6</v>
      </c>
      <c r="L130" s="232">
        <f t="shared" si="70"/>
        <v>0.2</v>
      </c>
      <c r="M130" s="232">
        <f t="shared" si="70"/>
        <v>150</v>
      </c>
      <c r="N130" s="232">
        <f t="shared" si="70"/>
        <v>750</v>
      </c>
      <c r="O130" s="217"/>
      <c r="P130" s="38">
        <f t="shared" si="52"/>
        <v>21.5</v>
      </c>
      <c r="Q130" s="38">
        <f t="shared" si="53"/>
        <v>22.5</v>
      </c>
      <c r="R130" s="39">
        <f t="shared" si="66"/>
        <v>0.99842614550152831</v>
      </c>
      <c r="S130" s="39">
        <f t="shared" si="66"/>
        <v>0.99914856165719479</v>
      </c>
      <c r="T130" s="39">
        <f t="shared" si="44"/>
        <v>7.2241615566648321E-4</v>
      </c>
      <c r="U130" s="40">
        <f t="shared" si="62"/>
        <v>0</v>
      </c>
      <c r="V130" s="40" t="str">
        <f t="shared" si="50"/>
        <v>H</v>
      </c>
      <c r="W130" s="217">
        <f t="shared" si="45"/>
        <v>0</v>
      </c>
      <c r="X130" s="176">
        <f t="shared" si="46"/>
        <v>0</v>
      </c>
    </row>
    <row r="131" spans="1:24" ht="15.75" thickBot="1" x14ac:dyDescent="0.3">
      <c r="A131" s="229">
        <f t="shared" si="69"/>
        <v>1243</v>
      </c>
      <c r="B131" s="230">
        <f t="shared" si="69"/>
        <v>121</v>
      </c>
      <c r="C131" s="218" t="str">
        <f t="shared" si="43"/>
        <v>091_23-352_000_01</v>
      </c>
      <c r="D131" s="231">
        <f>D125+V_step_12</f>
        <v>23</v>
      </c>
      <c r="E131" s="239">
        <f t="shared" si="39"/>
        <v>3.1990000000000003</v>
      </c>
      <c r="F131" s="232">
        <f t="shared" si="71"/>
        <v>13.908695652173913</v>
      </c>
      <c r="G131" s="232">
        <f t="shared" si="40"/>
        <v>11.126956521739132</v>
      </c>
      <c r="H131" s="232">
        <f t="shared" si="41"/>
        <v>6.9543478260869565</v>
      </c>
      <c r="I131" s="232">
        <f t="shared" si="48"/>
        <v>8</v>
      </c>
      <c r="J131" s="233">
        <f>yaw_min</f>
        <v>-8</v>
      </c>
      <c r="K131" s="228" t="str">
        <f>D131&amp;-1</f>
        <v>23-1</v>
      </c>
      <c r="L131" s="232">
        <f t="shared" si="70"/>
        <v>0.2</v>
      </c>
      <c r="M131" s="232">
        <f t="shared" si="70"/>
        <v>150</v>
      </c>
      <c r="N131" s="232">
        <f t="shared" si="70"/>
        <v>750</v>
      </c>
      <c r="O131" s="217"/>
      <c r="P131" s="38">
        <f t="shared" si="52"/>
        <v>22.5</v>
      </c>
      <c r="Q131" s="38">
        <f t="shared" si="53"/>
        <v>23.5</v>
      </c>
      <c r="R131" s="39">
        <f t="shared" si="66"/>
        <v>0.99914856165719479</v>
      </c>
      <c r="S131" s="39">
        <f t="shared" si="66"/>
        <v>0.99955206598991264</v>
      </c>
      <c r="T131" s="39">
        <f t="shared" si="44"/>
        <v>4.0350433271785224E-4</v>
      </c>
      <c r="U131" s="40">
        <f t="shared" si="62"/>
        <v>0</v>
      </c>
      <c r="V131" s="40" t="str">
        <f t="shared" si="50"/>
        <v>H</v>
      </c>
      <c r="W131" s="217">
        <f t="shared" si="45"/>
        <v>0</v>
      </c>
      <c r="X131" s="176">
        <f t="shared" si="46"/>
        <v>0</v>
      </c>
    </row>
    <row r="132" spans="1:24" ht="15.75" thickBot="1" x14ac:dyDescent="0.3">
      <c r="A132" s="229">
        <f t="shared" si="69"/>
        <v>1244</v>
      </c>
      <c r="B132" s="230">
        <f t="shared" si="69"/>
        <v>122</v>
      </c>
      <c r="C132" s="218" t="str">
        <f t="shared" si="43"/>
        <v>091_23-352_000_02</v>
      </c>
      <c r="D132" s="231">
        <f>D131</f>
        <v>23</v>
      </c>
      <c r="E132" s="239">
        <f t="shared" si="39"/>
        <v>3.1990000000000003</v>
      </c>
      <c r="F132" s="232">
        <f t="shared" si="71"/>
        <v>13.908695652173913</v>
      </c>
      <c r="G132" s="232">
        <f t="shared" si="40"/>
        <v>11.126956521739132</v>
      </c>
      <c r="H132" s="232">
        <f t="shared" si="41"/>
        <v>6.9543478260869565</v>
      </c>
      <c r="I132" s="232">
        <f t="shared" si="48"/>
        <v>8</v>
      </c>
      <c r="J132" s="233">
        <f>yaw_min</f>
        <v>-8</v>
      </c>
      <c r="K132" s="228" t="str">
        <f>D132&amp;-2</f>
        <v>23-2</v>
      </c>
      <c r="L132" s="232">
        <f t="shared" si="70"/>
        <v>0.2</v>
      </c>
      <c r="M132" s="232">
        <f t="shared" si="70"/>
        <v>150</v>
      </c>
      <c r="N132" s="232">
        <f t="shared" si="70"/>
        <v>750</v>
      </c>
      <c r="O132" s="217"/>
      <c r="P132" s="38">
        <f t="shared" si="52"/>
        <v>22.5</v>
      </c>
      <c r="Q132" s="38">
        <f t="shared" si="53"/>
        <v>23.5</v>
      </c>
      <c r="R132" s="39">
        <f t="shared" si="66"/>
        <v>0.99914856165719479</v>
      </c>
      <c r="S132" s="39">
        <f t="shared" si="66"/>
        <v>0.99955206598991264</v>
      </c>
      <c r="T132" s="39">
        <f t="shared" si="44"/>
        <v>4.0350433271785224E-4</v>
      </c>
      <c r="U132" s="40">
        <f t="shared" si="62"/>
        <v>0</v>
      </c>
      <c r="V132" s="40" t="str">
        <f t="shared" si="50"/>
        <v>H</v>
      </c>
      <c r="W132" s="217">
        <f t="shared" si="45"/>
        <v>0</v>
      </c>
      <c r="X132" s="176">
        <f t="shared" si="46"/>
        <v>0</v>
      </c>
    </row>
    <row r="133" spans="1:24" ht="15.75" thickBot="1" x14ac:dyDescent="0.3">
      <c r="A133" s="229">
        <f t="shared" si="69"/>
        <v>1245</v>
      </c>
      <c r="B133" s="230">
        <f t="shared" si="69"/>
        <v>123</v>
      </c>
      <c r="C133" s="218" t="str">
        <f t="shared" si="43"/>
        <v>091_23-000_000_03</v>
      </c>
      <c r="D133" s="231">
        <f t="shared" ref="D133:D136" si="73">D132</f>
        <v>23</v>
      </c>
      <c r="E133" s="239">
        <f t="shared" si="39"/>
        <v>3.1990000000000003</v>
      </c>
      <c r="F133" s="232">
        <f t="shared" si="71"/>
        <v>13.908695652173913</v>
      </c>
      <c r="G133" s="232">
        <f t="shared" si="40"/>
        <v>11.126956521739132</v>
      </c>
      <c r="H133" s="232">
        <f t="shared" si="41"/>
        <v>6.9543478260869565</v>
      </c>
      <c r="I133" s="232">
        <f t="shared" si="48"/>
        <v>8</v>
      </c>
      <c r="J133" s="233">
        <f>yaw_null</f>
        <v>0</v>
      </c>
      <c r="K133" s="228" t="str">
        <f>D133&amp;-3</f>
        <v>23-3</v>
      </c>
      <c r="L133" s="232">
        <f t="shared" si="70"/>
        <v>0.2</v>
      </c>
      <c r="M133" s="232">
        <f t="shared" si="70"/>
        <v>150</v>
      </c>
      <c r="N133" s="232">
        <f t="shared" si="70"/>
        <v>750</v>
      </c>
      <c r="O133" s="217"/>
      <c r="P133" s="38">
        <f t="shared" si="52"/>
        <v>22.5</v>
      </c>
      <c r="Q133" s="38">
        <f t="shared" si="53"/>
        <v>23.5</v>
      </c>
      <c r="R133" s="39">
        <f t="shared" si="66"/>
        <v>0.99914856165719479</v>
      </c>
      <c r="S133" s="39">
        <f t="shared" si="66"/>
        <v>0.99955206598991264</v>
      </c>
      <c r="T133" s="39">
        <f t="shared" si="44"/>
        <v>4.0350433271785224E-4</v>
      </c>
      <c r="U133" s="40">
        <f t="shared" si="62"/>
        <v>0</v>
      </c>
      <c r="V133" s="40" t="str">
        <f t="shared" si="50"/>
        <v>H</v>
      </c>
      <c r="W133" s="217">
        <f t="shared" si="45"/>
        <v>0</v>
      </c>
      <c r="X133" s="176">
        <f t="shared" si="46"/>
        <v>0</v>
      </c>
    </row>
    <row r="134" spans="1:24" ht="15.75" thickBot="1" x14ac:dyDescent="0.3">
      <c r="A134" s="229">
        <f t="shared" si="69"/>
        <v>1246</v>
      </c>
      <c r="B134" s="230">
        <f t="shared" si="69"/>
        <v>124</v>
      </c>
      <c r="C134" s="218" t="str">
        <f t="shared" si="43"/>
        <v>091_23-000_000_04</v>
      </c>
      <c r="D134" s="231">
        <f t="shared" si="73"/>
        <v>23</v>
      </c>
      <c r="E134" s="239">
        <f t="shared" si="39"/>
        <v>3.1990000000000003</v>
      </c>
      <c r="F134" s="232">
        <f t="shared" si="71"/>
        <v>13.908695652173913</v>
      </c>
      <c r="G134" s="232">
        <f t="shared" si="40"/>
        <v>11.126956521739132</v>
      </c>
      <c r="H134" s="232">
        <f t="shared" si="41"/>
        <v>6.9543478260869565</v>
      </c>
      <c r="I134" s="232">
        <f t="shared" si="48"/>
        <v>8</v>
      </c>
      <c r="J134" s="233">
        <f>yaw_null</f>
        <v>0</v>
      </c>
      <c r="K134" s="228" t="str">
        <f>D134&amp;-4</f>
        <v>23-4</v>
      </c>
      <c r="L134" s="232">
        <f t="shared" si="70"/>
        <v>0.2</v>
      </c>
      <c r="M134" s="232">
        <f t="shared" si="70"/>
        <v>150</v>
      </c>
      <c r="N134" s="232">
        <f t="shared" si="70"/>
        <v>750</v>
      </c>
      <c r="O134" s="217"/>
      <c r="P134" s="38">
        <f t="shared" si="52"/>
        <v>22.5</v>
      </c>
      <c r="Q134" s="38">
        <f t="shared" si="53"/>
        <v>23.5</v>
      </c>
      <c r="R134" s="39">
        <f t="shared" si="66"/>
        <v>0.99914856165719479</v>
      </c>
      <c r="S134" s="39">
        <f t="shared" si="66"/>
        <v>0.99955206598991264</v>
      </c>
      <c r="T134" s="39">
        <f t="shared" si="44"/>
        <v>4.0350433271785224E-4</v>
      </c>
      <c r="U134" s="40">
        <f t="shared" si="62"/>
        <v>0</v>
      </c>
      <c r="V134" s="40" t="str">
        <f t="shared" si="50"/>
        <v>H</v>
      </c>
      <c r="W134" s="217">
        <f t="shared" si="45"/>
        <v>0</v>
      </c>
      <c r="X134" s="176">
        <f t="shared" si="46"/>
        <v>0</v>
      </c>
    </row>
    <row r="135" spans="1:24" ht="15.75" thickBot="1" x14ac:dyDescent="0.3">
      <c r="A135" s="229">
        <f t="shared" si="69"/>
        <v>1247</v>
      </c>
      <c r="B135" s="230">
        <f t="shared" si="69"/>
        <v>125</v>
      </c>
      <c r="C135" s="218" t="str">
        <f t="shared" si="43"/>
        <v>091_23-008_000_05</v>
      </c>
      <c r="D135" s="231">
        <f t="shared" si="73"/>
        <v>23</v>
      </c>
      <c r="E135" s="239">
        <f t="shared" si="39"/>
        <v>3.1990000000000003</v>
      </c>
      <c r="F135" s="232">
        <f t="shared" si="71"/>
        <v>13.908695652173913</v>
      </c>
      <c r="G135" s="232">
        <f t="shared" si="40"/>
        <v>11.126956521739132</v>
      </c>
      <c r="H135" s="232">
        <f t="shared" si="41"/>
        <v>6.9543478260869565</v>
      </c>
      <c r="I135" s="232">
        <f t="shared" si="48"/>
        <v>8</v>
      </c>
      <c r="J135" s="233">
        <f>yaw_max</f>
        <v>8</v>
      </c>
      <c r="K135" s="228" t="str">
        <f>D135&amp;-5</f>
        <v>23-5</v>
      </c>
      <c r="L135" s="232">
        <f t="shared" si="70"/>
        <v>0.2</v>
      </c>
      <c r="M135" s="232">
        <f t="shared" si="70"/>
        <v>150</v>
      </c>
      <c r="N135" s="232">
        <f t="shared" si="70"/>
        <v>750</v>
      </c>
      <c r="O135" s="217"/>
      <c r="P135" s="38">
        <f t="shared" si="52"/>
        <v>22.5</v>
      </c>
      <c r="Q135" s="38">
        <f t="shared" si="53"/>
        <v>23.5</v>
      </c>
      <c r="R135" s="39">
        <f t="shared" si="66"/>
        <v>0.99914856165719479</v>
      </c>
      <c r="S135" s="39">
        <f t="shared" si="66"/>
        <v>0.99955206598991264</v>
      </c>
      <c r="T135" s="39">
        <f t="shared" si="44"/>
        <v>4.0350433271785224E-4</v>
      </c>
      <c r="U135" s="40">
        <f t="shared" si="62"/>
        <v>0</v>
      </c>
      <c r="V135" s="40" t="str">
        <f t="shared" si="50"/>
        <v>H</v>
      </c>
      <c r="W135" s="217">
        <f t="shared" si="45"/>
        <v>0</v>
      </c>
      <c r="X135" s="176">
        <f t="shared" si="46"/>
        <v>0</v>
      </c>
    </row>
    <row r="136" spans="1:24" ht="15.75" thickBot="1" x14ac:dyDescent="0.3">
      <c r="A136" s="229">
        <f t="shared" si="69"/>
        <v>1248</v>
      </c>
      <c r="B136" s="230">
        <f t="shared" si="69"/>
        <v>126</v>
      </c>
      <c r="C136" s="218" t="str">
        <f t="shared" si="43"/>
        <v>091_23-008_000_06</v>
      </c>
      <c r="D136" s="231">
        <f t="shared" si="73"/>
        <v>23</v>
      </c>
      <c r="E136" s="239">
        <f t="shared" si="39"/>
        <v>3.1990000000000003</v>
      </c>
      <c r="F136" s="232">
        <f t="shared" si="71"/>
        <v>13.908695652173913</v>
      </c>
      <c r="G136" s="232">
        <f t="shared" si="40"/>
        <v>11.126956521739132</v>
      </c>
      <c r="H136" s="232">
        <f t="shared" si="41"/>
        <v>6.9543478260869565</v>
      </c>
      <c r="I136" s="232">
        <f t="shared" si="48"/>
        <v>8</v>
      </c>
      <c r="J136" s="233">
        <f>yaw_max</f>
        <v>8</v>
      </c>
      <c r="K136" s="228" t="str">
        <f>D136&amp;-6</f>
        <v>23-6</v>
      </c>
      <c r="L136" s="232">
        <f t="shared" si="70"/>
        <v>0.2</v>
      </c>
      <c r="M136" s="232">
        <f t="shared" si="70"/>
        <v>150</v>
      </c>
      <c r="N136" s="232">
        <f t="shared" si="70"/>
        <v>750</v>
      </c>
      <c r="O136" s="217"/>
      <c r="P136" s="38">
        <f t="shared" si="52"/>
        <v>22.5</v>
      </c>
      <c r="Q136" s="38">
        <f t="shared" si="53"/>
        <v>23.5</v>
      </c>
      <c r="R136" s="39">
        <f t="shared" si="66"/>
        <v>0.99914856165719479</v>
      </c>
      <c r="S136" s="39">
        <f t="shared" si="66"/>
        <v>0.99955206598991264</v>
      </c>
      <c r="T136" s="39">
        <f t="shared" si="44"/>
        <v>4.0350433271785224E-4</v>
      </c>
      <c r="U136" s="40">
        <f t="shared" si="62"/>
        <v>0</v>
      </c>
      <c r="V136" s="40" t="str">
        <f t="shared" si="50"/>
        <v>H</v>
      </c>
      <c r="W136" s="217">
        <f t="shared" si="45"/>
        <v>0</v>
      </c>
      <c r="X136" s="176">
        <f t="shared" si="46"/>
        <v>0</v>
      </c>
    </row>
    <row r="137" spans="1:24" ht="15.75" thickBot="1" x14ac:dyDescent="0.3">
      <c r="A137" s="229">
        <f t="shared" si="69"/>
        <v>1249</v>
      </c>
      <c r="B137" s="230">
        <f t="shared" si="69"/>
        <v>127</v>
      </c>
      <c r="C137" s="218" t="str">
        <f t="shared" si="43"/>
        <v>091_24-352_000_01</v>
      </c>
      <c r="D137" s="231">
        <f>D131+V_step_12</f>
        <v>24</v>
      </c>
      <c r="E137" s="239">
        <f t="shared" si="39"/>
        <v>3.3040000000000007</v>
      </c>
      <c r="F137" s="232">
        <f t="shared" si="71"/>
        <v>13.766666666666669</v>
      </c>
      <c r="G137" s="232">
        <f t="shared" si="40"/>
        <v>11.013333333333335</v>
      </c>
      <c r="H137" s="232">
        <f t="shared" si="41"/>
        <v>6.8833333333333346</v>
      </c>
      <c r="I137" s="232">
        <f t="shared" si="48"/>
        <v>8</v>
      </c>
      <c r="J137" s="233">
        <f>yaw_min</f>
        <v>-8</v>
      </c>
      <c r="K137" s="228" t="str">
        <f>D137&amp;-1</f>
        <v>24-1</v>
      </c>
      <c r="L137" s="232">
        <f t="shared" si="70"/>
        <v>0.2</v>
      </c>
      <c r="M137" s="232">
        <f t="shared" si="70"/>
        <v>150</v>
      </c>
      <c r="N137" s="232">
        <f t="shared" si="70"/>
        <v>750</v>
      </c>
      <c r="O137" s="217"/>
      <c r="P137" s="38">
        <f t="shared" si="52"/>
        <v>23.5</v>
      </c>
      <c r="Q137" s="38">
        <f t="shared" si="53"/>
        <v>24.5</v>
      </c>
      <c r="R137" s="39">
        <f t="shared" si="66"/>
        <v>0.99955206598991264</v>
      </c>
      <c r="S137" s="39">
        <f t="shared" si="66"/>
        <v>0.99977083563667246</v>
      </c>
      <c r="T137" s="39">
        <f t="shared" si="44"/>
        <v>2.1876964675981991E-4</v>
      </c>
      <c r="U137" s="40">
        <f t="shared" si="62"/>
        <v>0</v>
      </c>
      <c r="V137" s="40" t="str">
        <f t="shared" si="50"/>
        <v>H</v>
      </c>
      <c r="W137" s="217">
        <f t="shared" si="45"/>
        <v>0</v>
      </c>
      <c r="X137" s="176">
        <f t="shared" si="46"/>
        <v>0</v>
      </c>
    </row>
    <row r="138" spans="1:24" ht="15.75" thickBot="1" x14ac:dyDescent="0.3">
      <c r="A138" s="229">
        <f t="shared" si="69"/>
        <v>1250</v>
      </c>
      <c r="B138" s="230">
        <f t="shared" si="69"/>
        <v>128</v>
      </c>
      <c r="C138" s="218" t="str">
        <f t="shared" si="43"/>
        <v>091_24-352_000_02</v>
      </c>
      <c r="D138" s="231">
        <f>D137</f>
        <v>24</v>
      </c>
      <c r="E138" s="239">
        <f t="shared" si="39"/>
        <v>3.3040000000000007</v>
      </c>
      <c r="F138" s="232">
        <f t="shared" si="71"/>
        <v>13.766666666666669</v>
      </c>
      <c r="G138" s="232">
        <f t="shared" si="40"/>
        <v>11.013333333333335</v>
      </c>
      <c r="H138" s="232">
        <f t="shared" si="41"/>
        <v>6.8833333333333346</v>
      </c>
      <c r="I138" s="232">
        <f t="shared" si="48"/>
        <v>8</v>
      </c>
      <c r="J138" s="233">
        <f>yaw_min</f>
        <v>-8</v>
      </c>
      <c r="K138" s="228" t="str">
        <f>D138&amp;-2</f>
        <v>24-2</v>
      </c>
      <c r="L138" s="232">
        <f t="shared" si="70"/>
        <v>0.2</v>
      </c>
      <c r="M138" s="232">
        <f t="shared" si="70"/>
        <v>150</v>
      </c>
      <c r="N138" s="232">
        <f t="shared" si="70"/>
        <v>750</v>
      </c>
      <c r="O138" s="217"/>
      <c r="P138" s="38">
        <f t="shared" si="52"/>
        <v>23.5</v>
      </c>
      <c r="Q138" s="38">
        <f t="shared" si="53"/>
        <v>24.5</v>
      </c>
      <c r="R138" s="39">
        <f t="shared" si="66"/>
        <v>0.99955206598991264</v>
      </c>
      <c r="S138" s="39">
        <f t="shared" si="66"/>
        <v>0.99977083563667246</v>
      </c>
      <c r="T138" s="39">
        <f t="shared" si="44"/>
        <v>2.1876964675981991E-4</v>
      </c>
      <c r="U138" s="40">
        <f t="shared" si="62"/>
        <v>0</v>
      </c>
      <c r="V138" s="40" t="str">
        <f t="shared" si="50"/>
        <v>H</v>
      </c>
      <c r="W138" s="217">
        <f t="shared" si="45"/>
        <v>0</v>
      </c>
      <c r="X138" s="176">
        <f t="shared" si="46"/>
        <v>0</v>
      </c>
    </row>
    <row r="139" spans="1:24" ht="15.75" thickBot="1" x14ac:dyDescent="0.3">
      <c r="A139" s="229">
        <f t="shared" si="69"/>
        <v>1251</v>
      </c>
      <c r="B139" s="230">
        <f t="shared" si="69"/>
        <v>129</v>
      </c>
      <c r="C139" s="218" t="str">
        <f t="shared" si="43"/>
        <v>091_24-000_000_03</v>
      </c>
      <c r="D139" s="231">
        <f t="shared" ref="D139:D142" si="74">D138</f>
        <v>24</v>
      </c>
      <c r="E139" s="239">
        <f t="shared" ref="E139:E148" si="75">I_ref*(0.75*D139+5.6)</f>
        <v>3.3040000000000007</v>
      </c>
      <c r="F139" s="232">
        <f t="shared" si="71"/>
        <v>13.766666666666669</v>
      </c>
      <c r="G139" s="232">
        <f t="shared" ref="G139:G148" si="76">m_ty*F139</f>
        <v>11.013333333333335</v>
      </c>
      <c r="H139" s="232">
        <f t="shared" ref="H139:H148" si="77">m_tz*F139</f>
        <v>6.8833333333333346</v>
      </c>
      <c r="I139" s="232">
        <f t="shared" si="48"/>
        <v>8</v>
      </c>
      <c r="J139" s="233">
        <f>yaw_null</f>
        <v>0</v>
      </c>
      <c r="K139" s="228" t="str">
        <f>D139&amp;-3</f>
        <v>24-3</v>
      </c>
      <c r="L139" s="232">
        <f t="shared" si="70"/>
        <v>0.2</v>
      </c>
      <c r="M139" s="232">
        <f t="shared" si="70"/>
        <v>150</v>
      </c>
      <c r="N139" s="232">
        <f t="shared" si="70"/>
        <v>750</v>
      </c>
      <c r="O139" s="217"/>
      <c r="P139" s="38">
        <f t="shared" si="52"/>
        <v>23.5</v>
      </c>
      <c r="Q139" s="38">
        <f t="shared" si="53"/>
        <v>24.5</v>
      </c>
      <c r="R139" s="39">
        <f t="shared" si="66"/>
        <v>0.99955206598991264</v>
      </c>
      <c r="S139" s="39">
        <f t="shared" si="66"/>
        <v>0.99977083563667246</v>
      </c>
      <c r="T139" s="39">
        <f t="shared" si="44"/>
        <v>2.1876964675981991E-4</v>
      </c>
      <c r="U139" s="40">
        <f t="shared" ref="U139:U148" si="78">T139*H_ice/6</f>
        <v>0</v>
      </c>
      <c r="V139" s="40" t="str">
        <f t="shared" si="50"/>
        <v>H</v>
      </c>
      <c r="W139" s="217">
        <f t="shared" si="45"/>
        <v>0</v>
      </c>
      <c r="X139" s="176">
        <f t="shared" si="46"/>
        <v>0</v>
      </c>
    </row>
    <row r="140" spans="1:24" ht="15.75" thickBot="1" x14ac:dyDescent="0.3">
      <c r="A140" s="229">
        <f t="shared" si="69"/>
        <v>1252</v>
      </c>
      <c r="B140" s="230">
        <f t="shared" si="69"/>
        <v>130</v>
      </c>
      <c r="C140" s="218" t="str">
        <f t="shared" ref="C140:C148" si="79">TEXT(RIGHT($B$2,LEN($B$2)-3),"000")&amp;"_"&amp;TEXT(D140,"00")&amp;"-"&amp;IF(J140&lt;0,TEXT(360+J140,"000"),TEXT(J140,"000"))&amp;"_"&amp;"000"&amp;"_"&amp;TEXT(RIGHT(K140,LEN(K140)-FIND("-",K140)),"00")</f>
        <v>091_24-000_000_04</v>
      </c>
      <c r="D140" s="231">
        <f t="shared" si="74"/>
        <v>24</v>
      </c>
      <c r="E140" s="239">
        <f t="shared" si="75"/>
        <v>3.3040000000000007</v>
      </c>
      <c r="F140" s="232">
        <f t="shared" si="71"/>
        <v>13.766666666666669</v>
      </c>
      <c r="G140" s="232">
        <f t="shared" si="76"/>
        <v>11.013333333333335</v>
      </c>
      <c r="H140" s="232">
        <f t="shared" si="77"/>
        <v>6.8833333333333346</v>
      </c>
      <c r="I140" s="232">
        <f t="shared" si="48"/>
        <v>8</v>
      </c>
      <c r="J140" s="233">
        <f>yaw_null</f>
        <v>0</v>
      </c>
      <c r="K140" s="228" t="str">
        <f>D140&amp;-4</f>
        <v>24-4</v>
      </c>
      <c r="L140" s="232">
        <f t="shared" si="70"/>
        <v>0.2</v>
      </c>
      <c r="M140" s="232">
        <f t="shared" si="70"/>
        <v>150</v>
      </c>
      <c r="N140" s="232">
        <f t="shared" si="70"/>
        <v>750</v>
      </c>
      <c r="O140" s="217"/>
      <c r="P140" s="38">
        <f t="shared" si="52"/>
        <v>23.5</v>
      </c>
      <c r="Q140" s="38">
        <f t="shared" si="53"/>
        <v>24.5</v>
      </c>
      <c r="R140" s="39">
        <f t="shared" si="66"/>
        <v>0.99955206598991264</v>
      </c>
      <c r="S140" s="39">
        <f t="shared" si="66"/>
        <v>0.99977083563667246</v>
      </c>
      <c r="T140" s="39">
        <f t="shared" ref="T140:T148" si="80">S140-R140</f>
        <v>2.1876964675981991E-4</v>
      </c>
      <c r="U140" s="40">
        <f t="shared" si="78"/>
        <v>0</v>
      </c>
      <c r="V140" s="40" t="str">
        <f t="shared" si="50"/>
        <v>H</v>
      </c>
      <c r="W140" s="217">
        <f t="shared" ref="W140:W148" si="81">U140*20</f>
        <v>0</v>
      </c>
      <c r="X140" s="176">
        <f t="shared" ref="X140:X148" si="82">W140/(N140-M140)*3600</f>
        <v>0</v>
      </c>
    </row>
    <row r="141" spans="1:24" ht="15.75" thickBot="1" x14ac:dyDescent="0.3">
      <c r="A141" s="229">
        <f t="shared" ref="A141:B148" si="83">A140+1</f>
        <v>1253</v>
      </c>
      <c r="B141" s="230">
        <f t="shared" si="83"/>
        <v>131</v>
      </c>
      <c r="C141" s="218" t="str">
        <f t="shared" si="79"/>
        <v>091_24-008_000_05</v>
      </c>
      <c r="D141" s="231">
        <f t="shared" si="74"/>
        <v>24</v>
      </c>
      <c r="E141" s="239">
        <f t="shared" si="75"/>
        <v>3.3040000000000007</v>
      </c>
      <c r="F141" s="232">
        <f t="shared" si="71"/>
        <v>13.766666666666669</v>
      </c>
      <c r="G141" s="232">
        <f t="shared" si="76"/>
        <v>11.013333333333335</v>
      </c>
      <c r="H141" s="232">
        <f t="shared" si="77"/>
        <v>6.8833333333333346</v>
      </c>
      <c r="I141" s="232">
        <f t="shared" ref="I141:I148" si="84">I140</f>
        <v>8</v>
      </c>
      <c r="J141" s="233">
        <f>yaw_max</f>
        <v>8</v>
      </c>
      <c r="K141" s="228" t="str">
        <f>D141&amp;-5</f>
        <v>24-5</v>
      </c>
      <c r="L141" s="232">
        <f t="shared" ref="L141:N148" si="85">L140</f>
        <v>0.2</v>
      </c>
      <c r="M141" s="232">
        <f t="shared" si="85"/>
        <v>150</v>
      </c>
      <c r="N141" s="232">
        <f t="shared" si="85"/>
        <v>750</v>
      </c>
      <c r="O141" s="217"/>
      <c r="P141" s="38">
        <f t="shared" si="52"/>
        <v>23.5</v>
      </c>
      <c r="Q141" s="38">
        <f t="shared" si="53"/>
        <v>24.5</v>
      </c>
      <c r="R141" s="39">
        <f t="shared" si="66"/>
        <v>0.99955206598991264</v>
      </c>
      <c r="S141" s="39">
        <f t="shared" si="66"/>
        <v>0.99977083563667246</v>
      </c>
      <c r="T141" s="39">
        <f t="shared" si="80"/>
        <v>2.1876964675981991E-4</v>
      </c>
      <c r="U141" s="40">
        <f t="shared" si="78"/>
        <v>0</v>
      </c>
      <c r="V141" s="40" t="str">
        <f t="shared" ref="V141:V148" si="86">V140</f>
        <v>H</v>
      </c>
      <c r="W141" s="217">
        <f t="shared" si="81"/>
        <v>0</v>
      </c>
      <c r="X141" s="176">
        <f t="shared" si="82"/>
        <v>0</v>
      </c>
    </row>
    <row r="142" spans="1:24" ht="15.75" thickBot="1" x14ac:dyDescent="0.3">
      <c r="A142" s="229">
        <f t="shared" si="83"/>
        <v>1254</v>
      </c>
      <c r="B142" s="230">
        <f t="shared" si="83"/>
        <v>132</v>
      </c>
      <c r="C142" s="218" t="str">
        <f t="shared" si="79"/>
        <v>091_24-008_000_06</v>
      </c>
      <c r="D142" s="231">
        <f t="shared" si="74"/>
        <v>24</v>
      </c>
      <c r="E142" s="239">
        <f t="shared" si="75"/>
        <v>3.3040000000000007</v>
      </c>
      <c r="F142" s="232">
        <f t="shared" si="71"/>
        <v>13.766666666666669</v>
      </c>
      <c r="G142" s="232">
        <f t="shared" si="76"/>
        <v>11.013333333333335</v>
      </c>
      <c r="H142" s="232">
        <f t="shared" si="77"/>
        <v>6.8833333333333346</v>
      </c>
      <c r="I142" s="232">
        <f t="shared" si="84"/>
        <v>8</v>
      </c>
      <c r="J142" s="233">
        <f>yaw_max</f>
        <v>8</v>
      </c>
      <c r="K142" s="228" t="str">
        <f>D142&amp;-6</f>
        <v>24-6</v>
      </c>
      <c r="L142" s="232">
        <f t="shared" si="85"/>
        <v>0.2</v>
      </c>
      <c r="M142" s="232">
        <f t="shared" si="85"/>
        <v>150</v>
      </c>
      <c r="N142" s="232">
        <f t="shared" si="85"/>
        <v>750</v>
      </c>
      <c r="O142" s="217"/>
      <c r="P142" s="38">
        <f t="shared" si="52"/>
        <v>23.5</v>
      </c>
      <c r="Q142" s="38">
        <f t="shared" si="53"/>
        <v>24.5</v>
      </c>
      <c r="R142" s="39">
        <f t="shared" si="66"/>
        <v>0.99955206598991264</v>
      </c>
      <c r="S142" s="39">
        <f t="shared" si="66"/>
        <v>0.99977083563667246</v>
      </c>
      <c r="T142" s="39">
        <f t="shared" si="80"/>
        <v>2.1876964675981991E-4</v>
      </c>
      <c r="U142" s="40">
        <f t="shared" si="78"/>
        <v>0</v>
      </c>
      <c r="V142" s="40" t="str">
        <f t="shared" si="86"/>
        <v>H</v>
      </c>
      <c r="W142" s="217">
        <f t="shared" si="81"/>
        <v>0</v>
      </c>
      <c r="X142" s="176">
        <f t="shared" si="82"/>
        <v>0</v>
      </c>
    </row>
    <row r="143" spans="1:24" ht="15.75" thickBot="1" x14ac:dyDescent="0.3">
      <c r="A143" s="229">
        <f t="shared" si="83"/>
        <v>1255</v>
      </c>
      <c r="B143" s="230">
        <f t="shared" si="83"/>
        <v>133</v>
      </c>
      <c r="C143" s="218" t="str">
        <f t="shared" si="79"/>
        <v>091_25-352_000_01</v>
      </c>
      <c r="D143" s="231">
        <f>D137+V_step_12</f>
        <v>25</v>
      </c>
      <c r="E143" s="239">
        <f t="shared" si="75"/>
        <v>3.4090000000000007</v>
      </c>
      <c r="F143" s="232">
        <f>E143/D143*100</f>
        <v>13.636000000000003</v>
      </c>
      <c r="G143" s="232">
        <f t="shared" si="76"/>
        <v>10.908800000000003</v>
      </c>
      <c r="H143" s="232">
        <f t="shared" si="77"/>
        <v>6.8180000000000014</v>
      </c>
      <c r="I143" s="232">
        <f t="shared" si="84"/>
        <v>8</v>
      </c>
      <c r="J143" s="233">
        <f>yaw_min</f>
        <v>-8</v>
      </c>
      <c r="K143" s="228" t="str">
        <f>D143&amp;-1</f>
        <v>25-1</v>
      </c>
      <c r="L143" s="232">
        <f t="shared" si="85"/>
        <v>0.2</v>
      </c>
      <c r="M143" s="232">
        <f t="shared" si="85"/>
        <v>150</v>
      </c>
      <c r="N143" s="232">
        <f t="shared" si="85"/>
        <v>750</v>
      </c>
      <c r="O143" s="217"/>
      <c r="P143" s="38">
        <f t="shared" si="52"/>
        <v>24.5</v>
      </c>
      <c r="Q143" s="38">
        <f>v_out</f>
        <v>25</v>
      </c>
      <c r="R143" s="39">
        <f t="shared" si="66"/>
        <v>0.99977083563667246</v>
      </c>
      <c r="S143" s="39">
        <f t="shared" si="66"/>
        <v>0.99983779445975174</v>
      </c>
      <c r="T143" s="39">
        <f t="shared" si="80"/>
        <v>6.6958823079277252E-5</v>
      </c>
      <c r="U143" s="40">
        <f t="shared" si="78"/>
        <v>0</v>
      </c>
      <c r="V143" s="40" t="str">
        <f t="shared" si="86"/>
        <v>H</v>
      </c>
      <c r="W143" s="217">
        <f t="shared" si="81"/>
        <v>0</v>
      </c>
      <c r="X143" s="176">
        <f t="shared" si="82"/>
        <v>0</v>
      </c>
    </row>
    <row r="144" spans="1:24" ht="15.75" thickBot="1" x14ac:dyDescent="0.3">
      <c r="A144" s="229">
        <f t="shared" si="83"/>
        <v>1256</v>
      </c>
      <c r="B144" s="230">
        <f t="shared" si="83"/>
        <v>134</v>
      </c>
      <c r="C144" s="218" t="str">
        <f t="shared" si="79"/>
        <v>091_25-352_000_02</v>
      </c>
      <c r="D144" s="231">
        <f>D143</f>
        <v>25</v>
      </c>
      <c r="E144" s="239">
        <f t="shared" si="75"/>
        <v>3.4090000000000007</v>
      </c>
      <c r="F144" s="232">
        <f t="shared" ref="F144:F148" si="87">E144/D144*100</f>
        <v>13.636000000000003</v>
      </c>
      <c r="G144" s="232">
        <f t="shared" si="76"/>
        <v>10.908800000000003</v>
      </c>
      <c r="H144" s="232">
        <f t="shared" si="77"/>
        <v>6.8180000000000014</v>
      </c>
      <c r="I144" s="232">
        <f t="shared" si="84"/>
        <v>8</v>
      </c>
      <c r="J144" s="233">
        <f>yaw_min</f>
        <v>-8</v>
      </c>
      <c r="K144" s="228" t="str">
        <f>D144&amp;-2</f>
        <v>25-2</v>
      </c>
      <c r="L144" s="232">
        <f t="shared" si="85"/>
        <v>0.2</v>
      </c>
      <c r="M144" s="232">
        <f t="shared" si="85"/>
        <v>150</v>
      </c>
      <c r="N144" s="232">
        <f t="shared" si="85"/>
        <v>750</v>
      </c>
      <c r="O144" s="217"/>
      <c r="P144" s="38">
        <f t="shared" si="52"/>
        <v>24.5</v>
      </c>
      <c r="Q144" s="38">
        <f>Q143</f>
        <v>25</v>
      </c>
      <c r="R144" s="39">
        <f t="shared" si="66"/>
        <v>0.99977083563667246</v>
      </c>
      <c r="S144" s="39">
        <f t="shared" si="66"/>
        <v>0.99983779445975174</v>
      </c>
      <c r="T144" s="39">
        <f t="shared" si="80"/>
        <v>6.6958823079277252E-5</v>
      </c>
      <c r="U144" s="40">
        <f t="shared" si="78"/>
        <v>0</v>
      </c>
      <c r="V144" s="40" t="str">
        <f t="shared" si="86"/>
        <v>H</v>
      </c>
      <c r="W144" s="217">
        <f t="shared" si="81"/>
        <v>0</v>
      </c>
      <c r="X144" s="176">
        <f t="shared" si="82"/>
        <v>0</v>
      </c>
    </row>
    <row r="145" spans="1:24" ht="15.75" thickBot="1" x14ac:dyDescent="0.3">
      <c r="A145" s="229">
        <f t="shared" si="83"/>
        <v>1257</v>
      </c>
      <c r="B145" s="230">
        <f t="shared" si="83"/>
        <v>135</v>
      </c>
      <c r="C145" s="218" t="str">
        <f t="shared" si="79"/>
        <v>091_25-000_000_03</v>
      </c>
      <c r="D145" s="231">
        <f t="shared" ref="D145:D148" si="88">D144</f>
        <v>25</v>
      </c>
      <c r="E145" s="239">
        <f t="shared" si="75"/>
        <v>3.4090000000000007</v>
      </c>
      <c r="F145" s="232">
        <f t="shared" si="87"/>
        <v>13.636000000000003</v>
      </c>
      <c r="G145" s="232">
        <f t="shared" si="76"/>
        <v>10.908800000000003</v>
      </c>
      <c r="H145" s="232">
        <f t="shared" si="77"/>
        <v>6.8180000000000014</v>
      </c>
      <c r="I145" s="232">
        <f t="shared" si="84"/>
        <v>8</v>
      </c>
      <c r="J145" s="233">
        <f>yaw_null</f>
        <v>0</v>
      </c>
      <c r="K145" s="228" t="str">
        <f>D145&amp;-3</f>
        <v>25-3</v>
      </c>
      <c r="L145" s="232">
        <f t="shared" si="85"/>
        <v>0.2</v>
      </c>
      <c r="M145" s="232">
        <f t="shared" si="85"/>
        <v>150</v>
      </c>
      <c r="N145" s="232">
        <f t="shared" si="85"/>
        <v>750</v>
      </c>
      <c r="O145" s="217"/>
      <c r="P145" s="38">
        <f t="shared" ref="P145:P148" si="89">D145-V_step_12/2</f>
        <v>24.5</v>
      </c>
      <c r="Q145" s="38">
        <f t="shared" ref="Q145:Q148" si="90">Q144</f>
        <v>25</v>
      </c>
      <c r="R145" s="39">
        <f t="shared" si="66"/>
        <v>0.99977083563667246</v>
      </c>
      <c r="S145" s="39">
        <f t="shared" si="66"/>
        <v>0.99983779445975174</v>
      </c>
      <c r="T145" s="39">
        <f t="shared" si="80"/>
        <v>6.6958823079277252E-5</v>
      </c>
      <c r="U145" s="40">
        <f t="shared" si="78"/>
        <v>0</v>
      </c>
      <c r="V145" s="40" t="str">
        <f t="shared" si="86"/>
        <v>H</v>
      </c>
      <c r="W145" s="217">
        <f t="shared" si="81"/>
        <v>0</v>
      </c>
      <c r="X145" s="176">
        <f t="shared" si="82"/>
        <v>0</v>
      </c>
    </row>
    <row r="146" spans="1:24" ht="15.75" thickBot="1" x14ac:dyDescent="0.3">
      <c r="A146" s="229">
        <f t="shared" si="83"/>
        <v>1258</v>
      </c>
      <c r="B146" s="230">
        <f t="shared" si="83"/>
        <v>136</v>
      </c>
      <c r="C146" s="218" t="str">
        <f t="shared" si="79"/>
        <v>091_25-000_000_04</v>
      </c>
      <c r="D146" s="231">
        <f t="shared" si="88"/>
        <v>25</v>
      </c>
      <c r="E146" s="239">
        <f t="shared" si="75"/>
        <v>3.4090000000000007</v>
      </c>
      <c r="F146" s="232">
        <f t="shared" si="87"/>
        <v>13.636000000000003</v>
      </c>
      <c r="G146" s="232">
        <f t="shared" si="76"/>
        <v>10.908800000000003</v>
      </c>
      <c r="H146" s="232">
        <f t="shared" si="77"/>
        <v>6.8180000000000014</v>
      </c>
      <c r="I146" s="232">
        <f t="shared" si="84"/>
        <v>8</v>
      </c>
      <c r="J146" s="233">
        <f>yaw_null</f>
        <v>0</v>
      </c>
      <c r="K146" s="228" t="str">
        <f>D146&amp;-4</f>
        <v>25-4</v>
      </c>
      <c r="L146" s="232">
        <f t="shared" si="85"/>
        <v>0.2</v>
      </c>
      <c r="M146" s="232">
        <f t="shared" si="85"/>
        <v>150</v>
      </c>
      <c r="N146" s="232">
        <f t="shared" si="85"/>
        <v>750</v>
      </c>
      <c r="O146" s="217"/>
      <c r="P146" s="38">
        <f t="shared" si="89"/>
        <v>24.5</v>
      </c>
      <c r="Q146" s="38">
        <f t="shared" si="90"/>
        <v>25</v>
      </c>
      <c r="R146" s="39">
        <f t="shared" si="66"/>
        <v>0.99977083563667246</v>
      </c>
      <c r="S146" s="39">
        <f t="shared" si="66"/>
        <v>0.99983779445975174</v>
      </c>
      <c r="T146" s="39">
        <f t="shared" si="80"/>
        <v>6.6958823079277252E-5</v>
      </c>
      <c r="U146" s="40">
        <f t="shared" si="78"/>
        <v>0</v>
      </c>
      <c r="V146" s="40" t="str">
        <f t="shared" si="86"/>
        <v>H</v>
      </c>
      <c r="W146" s="217">
        <f t="shared" si="81"/>
        <v>0</v>
      </c>
      <c r="X146" s="176">
        <f t="shared" si="82"/>
        <v>0</v>
      </c>
    </row>
    <row r="147" spans="1:24" ht="15.75" thickBot="1" x14ac:dyDescent="0.3">
      <c r="A147" s="229">
        <f t="shared" si="83"/>
        <v>1259</v>
      </c>
      <c r="B147" s="230">
        <f t="shared" si="83"/>
        <v>137</v>
      </c>
      <c r="C147" s="218" t="str">
        <f t="shared" si="79"/>
        <v>091_25-008_000_05</v>
      </c>
      <c r="D147" s="231">
        <f t="shared" si="88"/>
        <v>25</v>
      </c>
      <c r="E147" s="239">
        <f t="shared" si="75"/>
        <v>3.4090000000000007</v>
      </c>
      <c r="F147" s="232">
        <f t="shared" si="87"/>
        <v>13.636000000000003</v>
      </c>
      <c r="G147" s="232">
        <f t="shared" si="76"/>
        <v>10.908800000000003</v>
      </c>
      <c r="H147" s="232">
        <f t="shared" si="77"/>
        <v>6.8180000000000014</v>
      </c>
      <c r="I147" s="232">
        <f t="shared" si="84"/>
        <v>8</v>
      </c>
      <c r="J147" s="233">
        <f>yaw_max</f>
        <v>8</v>
      </c>
      <c r="K147" s="228" t="str">
        <f>D147&amp;-5</f>
        <v>25-5</v>
      </c>
      <c r="L147" s="232">
        <f t="shared" si="85"/>
        <v>0.2</v>
      </c>
      <c r="M147" s="232">
        <f t="shared" si="85"/>
        <v>150</v>
      </c>
      <c r="N147" s="232">
        <f t="shared" si="85"/>
        <v>750</v>
      </c>
      <c r="O147" s="217"/>
      <c r="P147" s="38">
        <f t="shared" si="89"/>
        <v>24.5</v>
      </c>
      <c r="Q147" s="38">
        <f t="shared" si="90"/>
        <v>25</v>
      </c>
      <c r="R147" s="39">
        <f t="shared" si="66"/>
        <v>0.99977083563667246</v>
      </c>
      <c r="S147" s="39">
        <f t="shared" si="66"/>
        <v>0.99983779445975174</v>
      </c>
      <c r="T147" s="39">
        <f t="shared" si="80"/>
        <v>6.6958823079277252E-5</v>
      </c>
      <c r="U147" s="40">
        <f t="shared" si="78"/>
        <v>0</v>
      </c>
      <c r="V147" s="40" t="str">
        <f t="shared" si="86"/>
        <v>H</v>
      </c>
      <c r="W147" s="217">
        <f t="shared" si="81"/>
        <v>0</v>
      </c>
      <c r="X147" s="176">
        <f t="shared" si="82"/>
        <v>0</v>
      </c>
    </row>
    <row r="148" spans="1:24" x14ac:dyDescent="0.25">
      <c r="A148" s="229">
        <f t="shared" si="83"/>
        <v>1260</v>
      </c>
      <c r="B148" s="230">
        <f t="shared" si="83"/>
        <v>138</v>
      </c>
      <c r="C148" s="218" t="str">
        <f t="shared" si="79"/>
        <v>091_25-008_000_06</v>
      </c>
      <c r="D148" s="231">
        <f t="shared" si="88"/>
        <v>25</v>
      </c>
      <c r="E148" s="239">
        <f t="shared" si="75"/>
        <v>3.4090000000000007</v>
      </c>
      <c r="F148" s="232">
        <f t="shared" si="87"/>
        <v>13.636000000000003</v>
      </c>
      <c r="G148" s="232">
        <f t="shared" si="76"/>
        <v>10.908800000000003</v>
      </c>
      <c r="H148" s="232">
        <f t="shared" si="77"/>
        <v>6.8180000000000014</v>
      </c>
      <c r="I148" s="232">
        <f t="shared" si="84"/>
        <v>8</v>
      </c>
      <c r="J148" s="233">
        <f>yaw_max</f>
        <v>8</v>
      </c>
      <c r="K148" s="228" t="str">
        <f>D148&amp;-6</f>
        <v>25-6</v>
      </c>
      <c r="L148" s="232">
        <f t="shared" si="85"/>
        <v>0.2</v>
      </c>
      <c r="M148" s="232">
        <f t="shared" si="85"/>
        <v>150</v>
      </c>
      <c r="N148" s="232">
        <f t="shared" si="85"/>
        <v>750</v>
      </c>
      <c r="O148" s="217"/>
      <c r="P148" s="38">
        <f t="shared" si="89"/>
        <v>24.5</v>
      </c>
      <c r="Q148" s="38">
        <f t="shared" si="90"/>
        <v>25</v>
      </c>
      <c r="R148" s="39">
        <f t="shared" si="66"/>
        <v>0.99977083563667246</v>
      </c>
      <c r="S148" s="39">
        <f t="shared" si="66"/>
        <v>0.99983779445975174</v>
      </c>
      <c r="T148" s="39">
        <f t="shared" si="80"/>
        <v>6.6958823079277252E-5</v>
      </c>
      <c r="U148" s="40">
        <f t="shared" si="78"/>
        <v>0</v>
      </c>
      <c r="V148" s="40" t="str">
        <f t="shared" si="86"/>
        <v>H</v>
      </c>
      <c r="W148" s="217">
        <f t="shared" si="81"/>
        <v>0</v>
      </c>
      <c r="X148" s="176">
        <f t="shared" si="82"/>
        <v>0</v>
      </c>
    </row>
  </sheetData>
  <mergeCells count="1">
    <mergeCell ref="P8:V8"/>
  </mergeCells>
  <phoneticPr fontId="1" type="noConversion"/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Q40"/>
  <sheetViews>
    <sheetView zoomScale="85" zoomScaleNormal="85" workbookViewId="0">
      <selection activeCell="X39" sqref="X39"/>
    </sheetView>
  </sheetViews>
  <sheetFormatPr defaultRowHeight="15" x14ac:dyDescent="0.15"/>
  <cols>
    <col min="1" max="1" width="7" style="23" customWidth="1"/>
    <col min="2" max="2" width="7.375" style="23" customWidth="1"/>
    <col min="3" max="3" width="8.375" style="23" customWidth="1"/>
    <col min="4" max="4" width="6.875" style="23" customWidth="1"/>
    <col min="5" max="5" width="7.375" style="23" customWidth="1"/>
    <col min="6" max="6" width="8.125" style="23" customWidth="1"/>
    <col min="7" max="8" width="7.375" style="23" customWidth="1"/>
    <col min="9" max="9" width="8" style="23" customWidth="1"/>
    <col min="10" max="10" width="9" style="23"/>
    <col min="11" max="11" width="7.375" style="23" customWidth="1"/>
    <col min="12" max="12" width="8.875" style="23" customWidth="1"/>
    <col min="13" max="13" width="14.875" style="23" bestFit="1" customWidth="1"/>
    <col min="14" max="14" width="13.375" style="23" customWidth="1"/>
    <col min="15" max="15" width="7.375" style="23" customWidth="1"/>
    <col min="16" max="16" width="6.75" style="23" customWidth="1"/>
    <col min="17" max="17" width="7" style="23" customWidth="1"/>
  </cols>
  <sheetData>
    <row r="1" spans="1:17" x14ac:dyDescent="0.15">
      <c r="H1" s="22" t="s">
        <v>3241</v>
      </c>
      <c r="I1" s="22" t="s">
        <v>3242</v>
      </c>
      <c r="J1" s="21"/>
    </row>
    <row r="2" spans="1:17" x14ac:dyDescent="0.15">
      <c r="B2" s="22" t="s">
        <v>3243</v>
      </c>
      <c r="C2" s="22"/>
      <c r="D2" s="22"/>
      <c r="E2" s="22"/>
      <c r="F2" s="22"/>
      <c r="G2" s="22"/>
      <c r="H2" s="22"/>
      <c r="I2" s="22" t="s">
        <v>3244</v>
      </c>
      <c r="J2" s="21"/>
    </row>
    <row r="3" spans="1:17" x14ac:dyDescent="0.15">
      <c r="B3" s="22" t="s">
        <v>3245</v>
      </c>
      <c r="C3" s="22"/>
      <c r="D3" s="22"/>
      <c r="E3" s="22" t="s">
        <v>3246</v>
      </c>
      <c r="F3" s="22"/>
      <c r="G3" s="22"/>
      <c r="H3" s="22"/>
      <c r="I3" s="22" t="s">
        <v>3247</v>
      </c>
      <c r="J3" s="21"/>
    </row>
    <row r="4" spans="1:17" x14ac:dyDescent="0.15">
      <c r="B4" s="22" t="s">
        <v>3248</v>
      </c>
      <c r="C4" s="22"/>
      <c r="D4" s="22"/>
      <c r="E4" s="22" t="s">
        <v>3249</v>
      </c>
      <c r="F4" s="22"/>
      <c r="G4" s="22"/>
      <c r="H4" s="22"/>
      <c r="I4" s="22" t="s">
        <v>3250</v>
      </c>
      <c r="J4" s="21"/>
    </row>
    <row r="5" spans="1:17" x14ac:dyDescent="0.15">
      <c r="B5" s="22" t="s">
        <v>3251</v>
      </c>
      <c r="C5" s="22"/>
      <c r="D5" s="22"/>
      <c r="E5" s="22" t="s">
        <v>3252</v>
      </c>
      <c r="F5" s="22"/>
      <c r="G5" s="22"/>
      <c r="H5" s="22"/>
      <c r="I5" s="22"/>
      <c r="J5" s="21"/>
    </row>
    <row r="6" spans="1:17" x14ac:dyDescent="0.15">
      <c r="B6" s="22" t="s">
        <v>3253</v>
      </c>
      <c r="C6" s="22"/>
      <c r="D6" s="22"/>
      <c r="E6" s="22" t="s">
        <v>3300</v>
      </c>
      <c r="F6" s="22"/>
      <c r="G6" s="22"/>
      <c r="H6" s="22"/>
      <c r="I6" s="22"/>
      <c r="J6" s="21"/>
    </row>
    <row r="7" spans="1:17" x14ac:dyDescent="0.15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</row>
    <row r="8" spans="1:17" ht="15.75" thickBot="1" x14ac:dyDescent="0.2">
      <c r="A8" s="139"/>
      <c r="B8" s="139"/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  <c r="N8" s="139"/>
      <c r="O8" s="139"/>
      <c r="P8" s="139"/>
      <c r="Q8" s="139"/>
    </row>
    <row r="9" spans="1:17" ht="16.5" x14ac:dyDescent="0.3">
      <c r="A9" s="24" t="s">
        <v>3254</v>
      </c>
      <c r="B9" s="25" t="s">
        <v>3255</v>
      </c>
      <c r="C9" s="24" t="s">
        <v>0</v>
      </c>
      <c r="D9" s="25" t="s">
        <v>3256</v>
      </c>
      <c r="E9" s="58" t="s">
        <v>3257</v>
      </c>
      <c r="F9" s="25" t="s">
        <v>3258</v>
      </c>
      <c r="G9" s="25" t="s">
        <v>3259</v>
      </c>
      <c r="H9" s="25" t="s">
        <v>3260</v>
      </c>
      <c r="I9" s="25" t="s">
        <v>3261</v>
      </c>
      <c r="J9" s="25" t="s">
        <v>3262</v>
      </c>
      <c r="K9" s="25" t="s">
        <v>3265</v>
      </c>
      <c r="L9" s="26" t="s">
        <v>3263</v>
      </c>
      <c r="M9" s="26" t="s">
        <v>3264</v>
      </c>
      <c r="N9" s="26" t="s">
        <v>3564</v>
      </c>
      <c r="O9" s="47" t="s">
        <v>3266</v>
      </c>
      <c r="P9" s="27" t="s">
        <v>3267</v>
      </c>
      <c r="Q9" s="27" t="s">
        <v>139</v>
      </c>
    </row>
    <row r="10" spans="1:17" ht="15.75" thickBot="1" x14ac:dyDescent="0.3">
      <c r="A10" s="29" t="s">
        <v>3268</v>
      </c>
      <c r="B10" s="30" t="str">
        <f>B2</f>
        <v>DLC95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3565</v>
      </c>
      <c r="K10" s="30"/>
      <c r="L10" s="31"/>
      <c r="M10" s="31"/>
      <c r="N10" s="31" t="s">
        <v>3565</v>
      </c>
      <c r="O10" s="48" t="s">
        <v>3269</v>
      </c>
      <c r="P10" s="32" t="s">
        <v>7</v>
      </c>
      <c r="Q10" s="32" t="s">
        <v>7</v>
      </c>
    </row>
    <row r="11" spans="1:17" x14ac:dyDescent="0.25">
      <c r="A11" s="24">
        <v>3955</v>
      </c>
      <c r="B11" s="27">
        <v>1</v>
      </c>
      <c r="C11" s="24" t="s">
        <v>3270</v>
      </c>
      <c r="D11" s="34">
        <f>vr_b</f>
        <v>7.8000000000000007</v>
      </c>
      <c r="E11" s="60">
        <f t="shared" ref="E11:E16" si="0">I_ref*(0.75*D11+5.6)</f>
        <v>1.603</v>
      </c>
      <c r="F11" s="35">
        <f>E11/D11*100</f>
        <v>20.551282051282051</v>
      </c>
      <c r="G11" s="35">
        <f t="shared" ref="G11:G16" si="1">m_ty*F11</f>
        <v>16.441025641025643</v>
      </c>
      <c r="H11" s="35">
        <f t="shared" ref="H11:H16" si="2">m_tz*F11</f>
        <v>10.275641025641026</v>
      </c>
      <c r="I11" s="35">
        <f>inflow</f>
        <v>8</v>
      </c>
      <c r="J11" s="36">
        <f>yaw_min</f>
        <v>-8</v>
      </c>
      <c r="K11" s="35">
        <f>alpha_n</f>
        <v>0.2</v>
      </c>
      <c r="L11" s="145" t="str">
        <f>D11&amp;-1</f>
        <v>7.8-1</v>
      </c>
      <c r="M11" s="145" t="s">
        <v>3558</v>
      </c>
      <c r="N11" s="145">
        <v>0</v>
      </c>
      <c r="O11" s="144">
        <f>trig_t</f>
        <v>160</v>
      </c>
      <c r="P11" s="44">
        <f>t_out</f>
        <v>150</v>
      </c>
      <c r="Q11" s="44">
        <f>P11+T_s2</f>
        <v>210</v>
      </c>
    </row>
    <row r="12" spans="1:17" x14ac:dyDescent="0.25">
      <c r="A12" s="41">
        <f>A11+1</f>
        <v>3956</v>
      </c>
      <c r="B12" s="42">
        <f>B11+1</f>
        <v>2</v>
      </c>
      <c r="C12" s="41" t="s">
        <v>3271</v>
      </c>
      <c r="D12" s="43">
        <f>D11</f>
        <v>7.8000000000000007</v>
      </c>
      <c r="E12" s="61">
        <f t="shared" si="0"/>
        <v>1.603</v>
      </c>
      <c r="F12" s="44">
        <f>E12/D12*100</f>
        <v>20.551282051282051</v>
      </c>
      <c r="G12" s="44">
        <f t="shared" si="1"/>
        <v>16.441025641025643</v>
      </c>
      <c r="H12" s="44">
        <f t="shared" si="2"/>
        <v>10.275641025641026</v>
      </c>
      <c r="I12" s="44">
        <f>I11</f>
        <v>8</v>
      </c>
      <c r="J12" s="45">
        <f>yaw_min</f>
        <v>-8</v>
      </c>
      <c r="K12" s="44">
        <f t="shared" ref="K12:K40" si="3">K11</f>
        <v>0.2</v>
      </c>
      <c r="L12" s="28" t="str">
        <f>D12&amp;-2</f>
        <v>7.8-2</v>
      </c>
      <c r="M12" s="28" t="s">
        <v>3559</v>
      </c>
      <c r="N12" s="28">
        <v>0</v>
      </c>
      <c r="O12" s="144">
        <f>O11</f>
        <v>160</v>
      </c>
      <c r="P12" s="44">
        <f>P11</f>
        <v>150</v>
      </c>
      <c r="Q12" s="44">
        <f>Q11</f>
        <v>210</v>
      </c>
    </row>
    <row r="13" spans="1:17" x14ac:dyDescent="0.25">
      <c r="A13" s="41">
        <f t="shared" ref="A13:B28" si="4">A12+1</f>
        <v>3957</v>
      </c>
      <c r="B13" s="42">
        <f t="shared" si="4"/>
        <v>3</v>
      </c>
      <c r="C13" s="41" t="s">
        <v>3272</v>
      </c>
      <c r="D13" s="43">
        <f t="shared" ref="D13:D16" si="5">D12</f>
        <v>7.8000000000000007</v>
      </c>
      <c r="E13" s="61">
        <f t="shared" si="0"/>
        <v>1.603</v>
      </c>
      <c r="F13" s="44">
        <f t="shared" ref="F13:F40" si="6">E13/D13*100</f>
        <v>20.551282051282051</v>
      </c>
      <c r="G13" s="44">
        <f t="shared" si="1"/>
        <v>16.441025641025643</v>
      </c>
      <c r="H13" s="44">
        <f t="shared" si="2"/>
        <v>10.275641025641026</v>
      </c>
      <c r="I13" s="44">
        <f t="shared" ref="I13:I40" si="7">I12</f>
        <v>8</v>
      </c>
      <c r="J13" s="45">
        <f>yaw_null</f>
        <v>0</v>
      </c>
      <c r="K13" s="44">
        <f t="shared" si="3"/>
        <v>0.2</v>
      </c>
      <c r="L13" s="28" t="str">
        <f>D13&amp;-3</f>
        <v>7.8-3</v>
      </c>
      <c r="M13" s="88" t="s">
        <v>3560</v>
      </c>
      <c r="N13" s="88">
        <v>0</v>
      </c>
      <c r="O13" s="144">
        <f t="shared" ref="O13:Q28" si="8">O12</f>
        <v>160</v>
      </c>
      <c r="P13" s="44">
        <f t="shared" si="8"/>
        <v>150</v>
      </c>
      <c r="Q13" s="44">
        <f t="shared" si="8"/>
        <v>210</v>
      </c>
    </row>
    <row r="14" spans="1:17" x14ac:dyDescent="0.25">
      <c r="A14" s="41">
        <f t="shared" si="4"/>
        <v>3958</v>
      </c>
      <c r="B14" s="42">
        <f t="shared" si="4"/>
        <v>4</v>
      </c>
      <c r="C14" s="41" t="s">
        <v>3273</v>
      </c>
      <c r="D14" s="43">
        <f t="shared" si="5"/>
        <v>7.8000000000000007</v>
      </c>
      <c r="E14" s="61">
        <f t="shared" si="0"/>
        <v>1.603</v>
      </c>
      <c r="F14" s="44">
        <f t="shared" si="6"/>
        <v>20.551282051282051</v>
      </c>
      <c r="G14" s="44">
        <f t="shared" si="1"/>
        <v>16.441025641025643</v>
      </c>
      <c r="H14" s="44">
        <f t="shared" si="2"/>
        <v>10.275641025641026</v>
      </c>
      <c r="I14" s="44">
        <f t="shared" si="7"/>
        <v>8</v>
      </c>
      <c r="J14" s="45">
        <f>yaw_null</f>
        <v>0</v>
      </c>
      <c r="K14" s="44">
        <f t="shared" si="3"/>
        <v>0.2</v>
      </c>
      <c r="L14" s="28" t="str">
        <f>D14&amp;-4</f>
        <v>7.8-4</v>
      </c>
      <c r="M14" s="28" t="s">
        <v>3561</v>
      </c>
      <c r="N14" s="28">
        <v>0</v>
      </c>
      <c r="O14" s="144">
        <f t="shared" si="8"/>
        <v>160</v>
      </c>
      <c r="P14" s="44">
        <f t="shared" si="8"/>
        <v>150</v>
      </c>
      <c r="Q14" s="44">
        <f t="shared" si="8"/>
        <v>210</v>
      </c>
    </row>
    <row r="15" spans="1:17" x14ac:dyDescent="0.25">
      <c r="A15" s="41">
        <f t="shared" si="4"/>
        <v>3959</v>
      </c>
      <c r="B15" s="42">
        <f t="shared" si="4"/>
        <v>5</v>
      </c>
      <c r="C15" s="41" t="s">
        <v>3274</v>
      </c>
      <c r="D15" s="43">
        <f t="shared" si="5"/>
        <v>7.8000000000000007</v>
      </c>
      <c r="E15" s="61">
        <f t="shared" si="0"/>
        <v>1.603</v>
      </c>
      <c r="F15" s="44">
        <f t="shared" si="6"/>
        <v>20.551282051282051</v>
      </c>
      <c r="G15" s="44">
        <f t="shared" si="1"/>
        <v>16.441025641025643</v>
      </c>
      <c r="H15" s="44">
        <f t="shared" si="2"/>
        <v>10.275641025641026</v>
      </c>
      <c r="I15" s="44">
        <f t="shared" si="7"/>
        <v>8</v>
      </c>
      <c r="J15" s="45">
        <f>yaw_max</f>
        <v>8</v>
      </c>
      <c r="K15" s="44">
        <f t="shared" si="3"/>
        <v>0.2</v>
      </c>
      <c r="L15" s="28" t="str">
        <f>D15&amp;-5</f>
        <v>7.8-5</v>
      </c>
      <c r="M15" s="88" t="s">
        <v>3562</v>
      </c>
      <c r="N15" s="88">
        <v>0</v>
      </c>
      <c r="O15" s="144">
        <f t="shared" si="8"/>
        <v>160</v>
      </c>
      <c r="P15" s="44">
        <f t="shared" si="8"/>
        <v>150</v>
      </c>
      <c r="Q15" s="44">
        <f t="shared" si="8"/>
        <v>210</v>
      </c>
    </row>
    <row r="16" spans="1:17" x14ac:dyDescent="0.25">
      <c r="A16" s="41">
        <f t="shared" si="4"/>
        <v>3960</v>
      </c>
      <c r="B16" s="42">
        <f t="shared" si="4"/>
        <v>6</v>
      </c>
      <c r="C16" s="41" t="s">
        <v>3275</v>
      </c>
      <c r="D16" s="43">
        <f t="shared" si="5"/>
        <v>7.8000000000000007</v>
      </c>
      <c r="E16" s="61">
        <f t="shared" si="0"/>
        <v>1.603</v>
      </c>
      <c r="F16" s="44">
        <f t="shared" si="6"/>
        <v>20.551282051282051</v>
      </c>
      <c r="G16" s="44">
        <f t="shared" si="1"/>
        <v>16.441025641025643</v>
      </c>
      <c r="H16" s="44">
        <f t="shared" si="2"/>
        <v>10.275641025641026</v>
      </c>
      <c r="I16" s="44">
        <f t="shared" si="7"/>
        <v>8</v>
      </c>
      <c r="J16" s="45">
        <f>yaw_max</f>
        <v>8</v>
      </c>
      <c r="K16" s="44">
        <f t="shared" si="3"/>
        <v>0.2</v>
      </c>
      <c r="L16" s="28" t="str">
        <f>D16&amp;-6</f>
        <v>7.8-6</v>
      </c>
      <c r="M16" s="28" t="s">
        <v>3563</v>
      </c>
      <c r="N16" s="28">
        <v>0</v>
      </c>
      <c r="O16" s="144">
        <f t="shared" si="8"/>
        <v>160</v>
      </c>
      <c r="P16" s="44">
        <f t="shared" si="8"/>
        <v>150</v>
      </c>
      <c r="Q16" s="44">
        <f t="shared" si="8"/>
        <v>210</v>
      </c>
    </row>
    <row r="17" spans="1:17" x14ac:dyDescent="0.25">
      <c r="A17" s="41">
        <f t="shared" si="4"/>
        <v>3961</v>
      </c>
      <c r="B17" s="42">
        <f t="shared" si="4"/>
        <v>7</v>
      </c>
      <c r="C17" s="41" t="s">
        <v>3276</v>
      </c>
      <c r="D17" s="43">
        <f>v_r</f>
        <v>9.8000000000000007</v>
      </c>
      <c r="E17" s="61">
        <f t="shared" ref="E17:E38" si="9">I_ref*(0.75*D17+5.6)</f>
        <v>1.8130000000000002</v>
      </c>
      <c r="F17" s="44">
        <f t="shared" si="6"/>
        <v>18.5</v>
      </c>
      <c r="G17" s="44">
        <f t="shared" ref="G17:G38" si="10">m_ty*F17</f>
        <v>14.8</v>
      </c>
      <c r="H17" s="44">
        <f t="shared" ref="H17:H38" si="11">m_tz*F17</f>
        <v>9.25</v>
      </c>
      <c r="I17" s="44">
        <f t="shared" si="7"/>
        <v>8</v>
      </c>
      <c r="J17" s="45">
        <f>yaw_min</f>
        <v>-8</v>
      </c>
      <c r="K17" s="44">
        <f t="shared" si="3"/>
        <v>0.2</v>
      </c>
      <c r="L17" s="28" t="str">
        <f>D17&amp;-1</f>
        <v>9.8-1</v>
      </c>
      <c r="M17" s="88" t="s">
        <v>3558</v>
      </c>
      <c r="N17" s="88">
        <v>0</v>
      </c>
      <c r="O17" s="144">
        <f t="shared" si="8"/>
        <v>160</v>
      </c>
      <c r="P17" s="44">
        <f t="shared" si="8"/>
        <v>150</v>
      </c>
      <c r="Q17" s="44">
        <f t="shared" si="8"/>
        <v>210</v>
      </c>
    </row>
    <row r="18" spans="1:17" x14ac:dyDescent="0.25">
      <c r="A18" s="41">
        <f t="shared" si="4"/>
        <v>3962</v>
      </c>
      <c r="B18" s="42">
        <f t="shared" si="4"/>
        <v>8</v>
      </c>
      <c r="C18" s="41" t="s">
        <v>3277</v>
      </c>
      <c r="D18" s="43">
        <f>D17</f>
        <v>9.8000000000000007</v>
      </c>
      <c r="E18" s="61">
        <f t="shared" si="9"/>
        <v>1.8130000000000002</v>
      </c>
      <c r="F18" s="44">
        <f t="shared" si="6"/>
        <v>18.5</v>
      </c>
      <c r="G18" s="44">
        <f t="shared" si="10"/>
        <v>14.8</v>
      </c>
      <c r="H18" s="44">
        <f t="shared" si="11"/>
        <v>9.25</v>
      </c>
      <c r="I18" s="44">
        <f t="shared" si="7"/>
        <v>8</v>
      </c>
      <c r="J18" s="45">
        <f>yaw_min</f>
        <v>-8</v>
      </c>
      <c r="K18" s="44">
        <f t="shared" si="3"/>
        <v>0.2</v>
      </c>
      <c r="L18" s="28" t="str">
        <f>D18&amp;-2</f>
        <v>9.8-2</v>
      </c>
      <c r="M18" s="28" t="s">
        <v>3559</v>
      </c>
      <c r="N18" s="28">
        <v>0</v>
      </c>
      <c r="O18" s="144">
        <f t="shared" si="8"/>
        <v>160</v>
      </c>
      <c r="P18" s="44">
        <f t="shared" si="8"/>
        <v>150</v>
      </c>
      <c r="Q18" s="44">
        <f t="shared" si="8"/>
        <v>210</v>
      </c>
    </row>
    <row r="19" spans="1:17" x14ac:dyDescent="0.25">
      <c r="A19" s="41">
        <f t="shared" si="4"/>
        <v>3963</v>
      </c>
      <c r="B19" s="42">
        <f t="shared" si="4"/>
        <v>9</v>
      </c>
      <c r="C19" s="41" t="s">
        <v>3278</v>
      </c>
      <c r="D19" s="43">
        <f t="shared" ref="D19:D22" si="12">D18</f>
        <v>9.8000000000000007</v>
      </c>
      <c r="E19" s="61">
        <f t="shared" si="9"/>
        <v>1.8130000000000002</v>
      </c>
      <c r="F19" s="44">
        <f t="shared" si="6"/>
        <v>18.5</v>
      </c>
      <c r="G19" s="44">
        <f t="shared" si="10"/>
        <v>14.8</v>
      </c>
      <c r="H19" s="44">
        <f t="shared" si="11"/>
        <v>9.25</v>
      </c>
      <c r="I19" s="44">
        <f t="shared" si="7"/>
        <v>8</v>
      </c>
      <c r="J19" s="45">
        <f>yaw_null</f>
        <v>0</v>
      </c>
      <c r="K19" s="44">
        <f t="shared" si="3"/>
        <v>0.2</v>
      </c>
      <c r="L19" s="28" t="str">
        <f>D19&amp;-3</f>
        <v>9.8-3</v>
      </c>
      <c r="M19" s="88" t="s">
        <v>3560</v>
      </c>
      <c r="N19" s="88">
        <v>0</v>
      </c>
      <c r="O19" s="144">
        <f t="shared" si="8"/>
        <v>160</v>
      </c>
      <c r="P19" s="44">
        <f t="shared" si="8"/>
        <v>150</v>
      </c>
      <c r="Q19" s="44">
        <f t="shared" si="8"/>
        <v>210</v>
      </c>
    </row>
    <row r="20" spans="1:17" x14ac:dyDescent="0.25">
      <c r="A20" s="41">
        <f t="shared" si="4"/>
        <v>3964</v>
      </c>
      <c r="B20" s="42">
        <f t="shared" si="4"/>
        <v>10</v>
      </c>
      <c r="C20" s="41" t="s">
        <v>3279</v>
      </c>
      <c r="D20" s="43">
        <f t="shared" si="12"/>
        <v>9.8000000000000007</v>
      </c>
      <c r="E20" s="61">
        <f t="shared" si="9"/>
        <v>1.8130000000000002</v>
      </c>
      <c r="F20" s="44">
        <f t="shared" si="6"/>
        <v>18.5</v>
      </c>
      <c r="G20" s="44">
        <f t="shared" si="10"/>
        <v>14.8</v>
      </c>
      <c r="H20" s="44">
        <f t="shared" si="11"/>
        <v>9.25</v>
      </c>
      <c r="I20" s="44">
        <f t="shared" si="7"/>
        <v>8</v>
      </c>
      <c r="J20" s="45">
        <f>yaw_null</f>
        <v>0</v>
      </c>
      <c r="K20" s="44">
        <f t="shared" si="3"/>
        <v>0.2</v>
      </c>
      <c r="L20" s="28" t="str">
        <f>D20&amp;-4</f>
        <v>9.8-4</v>
      </c>
      <c r="M20" s="28" t="s">
        <v>3561</v>
      </c>
      <c r="N20" s="28">
        <v>0</v>
      </c>
      <c r="O20" s="144">
        <f t="shared" si="8"/>
        <v>160</v>
      </c>
      <c r="P20" s="44">
        <f t="shared" si="8"/>
        <v>150</v>
      </c>
      <c r="Q20" s="44">
        <f t="shared" si="8"/>
        <v>210</v>
      </c>
    </row>
    <row r="21" spans="1:17" x14ac:dyDescent="0.25">
      <c r="A21" s="41">
        <f t="shared" si="4"/>
        <v>3965</v>
      </c>
      <c r="B21" s="42">
        <f t="shared" si="4"/>
        <v>11</v>
      </c>
      <c r="C21" s="41" t="s">
        <v>3280</v>
      </c>
      <c r="D21" s="43">
        <f t="shared" si="12"/>
        <v>9.8000000000000007</v>
      </c>
      <c r="E21" s="61">
        <f t="shared" si="9"/>
        <v>1.8130000000000002</v>
      </c>
      <c r="F21" s="44">
        <f t="shared" si="6"/>
        <v>18.5</v>
      </c>
      <c r="G21" s="44">
        <f t="shared" si="10"/>
        <v>14.8</v>
      </c>
      <c r="H21" s="44">
        <f t="shared" si="11"/>
        <v>9.25</v>
      </c>
      <c r="I21" s="44">
        <f t="shared" si="7"/>
        <v>8</v>
      </c>
      <c r="J21" s="45">
        <f>yaw_max</f>
        <v>8</v>
      </c>
      <c r="K21" s="44">
        <f t="shared" si="3"/>
        <v>0.2</v>
      </c>
      <c r="L21" s="28" t="str">
        <f>D21&amp;-5</f>
        <v>9.8-5</v>
      </c>
      <c r="M21" s="88" t="s">
        <v>3562</v>
      </c>
      <c r="N21" s="88">
        <v>0</v>
      </c>
      <c r="O21" s="144">
        <f t="shared" si="8"/>
        <v>160</v>
      </c>
      <c r="P21" s="44">
        <f t="shared" si="8"/>
        <v>150</v>
      </c>
      <c r="Q21" s="44">
        <f t="shared" si="8"/>
        <v>210</v>
      </c>
    </row>
    <row r="22" spans="1:17" x14ac:dyDescent="0.25">
      <c r="A22" s="41">
        <f t="shared" si="4"/>
        <v>3966</v>
      </c>
      <c r="B22" s="42">
        <f t="shared" si="4"/>
        <v>12</v>
      </c>
      <c r="C22" s="41" t="s">
        <v>3281</v>
      </c>
      <c r="D22" s="43">
        <f t="shared" si="12"/>
        <v>9.8000000000000007</v>
      </c>
      <c r="E22" s="61">
        <f t="shared" si="9"/>
        <v>1.8130000000000002</v>
      </c>
      <c r="F22" s="44">
        <f t="shared" si="6"/>
        <v>18.5</v>
      </c>
      <c r="G22" s="44">
        <f t="shared" si="10"/>
        <v>14.8</v>
      </c>
      <c r="H22" s="44">
        <f t="shared" si="11"/>
        <v>9.25</v>
      </c>
      <c r="I22" s="44">
        <f t="shared" si="7"/>
        <v>8</v>
      </c>
      <c r="J22" s="45">
        <f>yaw_max</f>
        <v>8</v>
      </c>
      <c r="K22" s="44">
        <f t="shared" si="3"/>
        <v>0.2</v>
      </c>
      <c r="L22" s="28" t="str">
        <f>D22&amp;-6</f>
        <v>9.8-6</v>
      </c>
      <c r="M22" s="28" t="s">
        <v>3563</v>
      </c>
      <c r="N22" s="28">
        <v>0</v>
      </c>
      <c r="O22" s="144">
        <f t="shared" si="8"/>
        <v>160</v>
      </c>
      <c r="P22" s="44">
        <f t="shared" si="8"/>
        <v>150</v>
      </c>
      <c r="Q22" s="44">
        <f t="shared" si="8"/>
        <v>210</v>
      </c>
    </row>
    <row r="23" spans="1:17" x14ac:dyDescent="0.25">
      <c r="A23" s="41">
        <f t="shared" si="4"/>
        <v>3967</v>
      </c>
      <c r="B23" s="42">
        <f t="shared" si="4"/>
        <v>13</v>
      </c>
      <c r="C23" s="41" t="s">
        <v>3282</v>
      </c>
      <c r="D23" s="43">
        <f>vr_a</f>
        <v>11.8</v>
      </c>
      <c r="E23" s="61">
        <f t="shared" si="9"/>
        <v>2.0230000000000001</v>
      </c>
      <c r="F23" s="44">
        <f t="shared" si="6"/>
        <v>17.14406779661017</v>
      </c>
      <c r="G23" s="44">
        <f t="shared" si="10"/>
        <v>13.715254237288136</v>
      </c>
      <c r="H23" s="44">
        <f t="shared" si="11"/>
        <v>8.5720338983050848</v>
      </c>
      <c r="I23" s="44">
        <f t="shared" si="7"/>
        <v>8</v>
      </c>
      <c r="J23" s="45">
        <f>yaw_min</f>
        <v>-8</v>
      </c>
      <c r="K23" s="44">
        <f t="shared" si="3"/>
        <v>0.2</v>
      </c>
      <c r="L23" s="28" t="str">
        <f>D23&amp;-1</f>
        <v>11.8-1</v>
      </c>
      <c r="M23" s="88" t="s">
        <v>3558</v>
      </c>
      <c r="N23" s="88">
        <v>0</v>
      </c>
      <c r="O23" s="144">
        <f t="shared" si="8"/>
        <v>160</v>
      </c>
      <c r="P23" s="44">
        <f t="shared" si="8"/>
        <v>150</v>
      </c>
      <c r="Q23" s="44">
        <f t="shared" si="8"/>
        <v>210</v>
      </c>
    </row>
    <row r="24" spans="1:17" x14ac:dyDescent="0.25">
      <c r="A24" s="41">
        <f t="shared" si="4"/>
        <v>3968</v>
      </c>
      <c r="B24" s="42">
        <f t="shared" si="4"/>
        <v>14</v>
      </c>
      <c r="C24" s="41" t="s">
        <v>3283</v>
      </c>
      <c r="D24" s="43">
        <f>D23</f>
        <v>11.8</v>
      </c>
      <c r="E24" s="61">
        <f t="shared" si="9"/>
        <v>2.0230000000000001</v>
      </c>
      <c r="F24" s="44">
        <f t="shared" si="6"/>
        <v>17.14406779661017</v>
      </c>
      <c r="G24" s="44">
        <f t="shared" si="10"/>
        <v>13.715254237288136</v>
      </c>
      <c r="H24" s="44">
        <f t="shared" si="11"/>
        <v>8.5720338983050848</v>
      </c>
      <c r="I24" s="44">
        <f t="shared" si="7"/>
        <v>8</v>
      </c>
      <c r="J24" s="45">
        <f>yaw_min</f>
        <v>-8</v>
      </c>
      <c r="K24" s="44">
        <f t="shared" si="3"/>
        <v>0.2</v>
      </c>
      <c r="L24" s="28" t="str">
        <f>D24&amp;-2</f>
        <v>11.8-2</v>
      </c>
      <c r="M24" s="28" t="s">
        <v>3559</v>
      </c>
      <c r="N24" s="28">
        <v>0</v>
      </c>
      <c r="O24" s="144">
        <f t="shared" si="8"/>
        <v>160</v>
      </c>
      <c r="P24" s="44">
        <f t="shared" si="8"/>
        <v>150</v>
      </c>
      <c r="Q24" s="44">
        <f t="shared" si="8"/>
        <v>210</v>
      </c>
    </row>
    <row r="25" spans="1:17" x14ac:dyDescent="0.25">
      <c r="A25" s="41">
        <f t="shared" si="4"/>
        <v>3969</v>
      </c>
      <c r="B25" s="42">
        <f t="shared" si="4"/>
        <v>15</v>
      </c>
      <c r="C25" s="41" t="s">
        <v>3284</v>
      </c>
      <c r="D25" s="43">
        <f t="shared" ref="D25:D34" si="13">D24</f>
        <v>11.8</v>
      </c>
      <c r="E25" s="61">
        <f t="shared" si="9"/>
        <v>2.0230000000000001</v>
      </c>
      <c r="F25" s="44">
        <f t="shared" si="6"/>
        <v>17.14406779661017</v>
      </c>
      <c r="G25" s="44">
        <f t="shared" si="10"/>
        <v>13.715254237288136</v>
      </c>
      <c r="H25" s="44">
        <f t="shared" si="11"/>
        <v>8.5720338983050848</v>
      </c>
      <c r="I25" s="44">
        <f t="shared" si="7"/>
        <v>8</v>
      </c>
      <c r="J25" s="45">
        <f>yaw_null</f>
        <v>0</v>
      </c>
      <c r="K25" s="44">
        <f t="shared" si="3"/>
        <v>0.2</v>
      </c>
      <c r="L25" s="28" t="str">
        <f>D25&amp;-3</f>
        <v>11.8-3</v>
      </c>
      <c r="M25" s="88" t="s">
        <v>3560</v>
      </c>
      <c r="N25" s="88">
        <v>0</v>
      </c>
      <c r="O25" s="144">
        <f t="shared" si="8"/>
        <v>160</v>
      </c>
      <c r="P25" s="44">
        <f t="shared" si="8"/>
        <v>150</v>
      </c>
      <c r="Q25" s="44">
        <f t="shared" si="8"/>
        <v>210</v>
      </c>
    </row>
    <row r="26" spans="1:17" x14ac:dyDescent="0.25">
      <c r="A26" s="41">
        <f t="shared" si="4"/>
        <v>3970</v>
      </c>
      <c r="B26" s="42">
        <f t="shared" si="4"/>
        <v>16</v>
      </c>
      <c r="C26" s="41" t="s">
        <v>3285</v>
      </c>
      <c r="D26" s="43">
        <f t="shared" si="13"/>
        <v>11.8</v>
      </c>
      <c r="E26" s="61">
        <f t="shared" si="9"/>
        <v>2.0230000000000001</v>
      </c>
      <c r="F26" s="44">
        <f t="shared" si="6"/>
        <v>17.14406779661017</v>
      </c>
      <c r="G26" s="44">
        <f t="shared" si="10"/>
        <v>13.715254237288136</v>
      </c>
      <c r="H26" s="44">
        <f t="shared" si="11"/>
        <v>8.5720338983050848</v>
      </c>
      <c r="I26" s="44">
        <f t="shared" si="7"/>
        <v>8</v>
      </c>
      <c r="J26" s="45">
        <f>yaw_null</f>
        <v>0</v>
      </c>
      <c r="K26" s="44">
        <f t="shared" si="3"/>
        <v>0.2</v>
      </c>
      <c r="L26" s="28" t="str">
        <f>D26&amp;-4</f>
        <v>11.8-4</v>
      </c>
      <c r="M26" s="28" t="s">
        <v>3561</v>
      </c>
      <c r="N26" s="28">
        <v>0</v>
      </c>
      <c r="O26" s="144">
        <f t="shared" si="8"/>
        <v>160</v>
      </c>
      <c r="P26" s="44">
        <f t="shared" si="8"/>
        <v>150</v>
      </c>
      <c r="Q26" s="44">
        <f t="shared" si="8"/>
        <v>210</v>
      </c>
    </row>
    <row r="27" spans="1:17" x14ac:dyDescent="0.25">
      <c r="A27" s="41">
        <f t="shared" si="4"/>
        <v>3971</v>
      </c>
      <c r="B27" s="42">
        <f t="shared" si="4"/>
        <v>17</v>
      </c>
      <c r="C27" s="41" t="s">
        <v>3286</v>
      </c>
      <c r="D27" s="43">
        <f t="shared" si="13"/>
        <v>11.8</v>
      </c>
      <c r="E27" s="61">
        <f t="shared" si="9"/>
        <v>2.0230000000000001</v>
      </c>
      <c r="F27" s="44">
        <f t="shared" si="6"/>
        <v>17.14406779661017</v>
      </c>
      <c r="G27" s="44">
        <f t="shared" si="10"/>
        <v>13.715254237288136</v>
      </c>
      <c r="H27" s="44">
        <f t="shared" si="11"/>
        <v>8.5720338983050848</v>
      </c>
      <c r="I27" s="44">
        <f t="shared" si="7"/>
        <v>8</v>
      </c>
      <c r="J27" s="45">
        <f>yaw_max</f>
        <v>8</v>
      </c>
      <c r="K27" s="44">
        <f t="shared" si="3"/>
        <v>0.2</v>
      </c>
      <c r="L27" s="28" t="str">
        <f>D27&amp;-5</f>
        <v>11.8-5</v>
      </c>
      <c r="M27" s="88" t="s">
        <v>3562</v>
      </c>
      <c r="N27" s="88">
        <v>0</v>
      </c>
      <c r="O27" s="144">
        <f t="shared" si="8"/>
        <v>160</v>
      </c>
      <c r="P27" s="44">
        <f t="shared" si="8"/>
        <v>150</v>
      </c>
      <c r="Q27" s="44">
        <f t="shared" si="8"/>
        <v>210</v>
      </c>
    </row>
    <row r="28" spans="1:17" x14ac:dyDescent="0.25">
      <c r="A28" s="41">
        <f t="shared" si="4"/>
        <v>3972</v>
      </c>
      <c r="B28" s="42">
        <f t="shared" si="4"/>
        <v>18</v>
      </c>
      <c r="C28" s="41" t="s">
        <v>3287</v>
      </c>
      <c r="D28" s="43">
        <f t="shared" si="13"/>
        <v>11.8</v>
      </c>
      <c r="E28" s="61">
        <f t="shared" si="9"/>
        <v>2.0230000000000001</v>
      </c>
      <c r="F28" s="44">
        <f t="shared" si="6"/>
        <v>17.14406779661017</v>
      </c>
      <c r="G28" s="44">
        <f t="shared" si="10"/>
        <v>13.715254237288136</v>
      </c>
      <c r="H28" s="44">
        <f t="shared" si="11"/>
        <v>8.5720338983050848</v>
      </c>
      <c r="I28" s="44">
        <f t="shared" si="7"/>
        <v>8</v>
      </c>
      <c r="J28" s="45">
        <f>yaw_max</f>
        <v>8</v>
      </c>
      <c r="K28" s="44">
        <f t="shared" si="3"/>
        <v>0.2</v>
      </c>
      <c r="L28" s="28" t="str">
        <f>D28&amp;-6</f>
        <v>11.8-6</v>
      </c>
      <c r="M28" s="28" t="s">
        <v>3563</v>
      </c>
      <c r="N28" s="28">
        <v>0</v>
      </c>
      <c r="O28" s="144">
        <f t="shared" si="8"/>
        <v>160</v>
      </c>
      <c r="P28" s="44">
        <f t="shared" si="8"/>
        <v>150</v>
      </c>
      <c r="Q28" s="44">
        <f t="shared" si="8"/>
        <v>210</v>
      </c>
    </row>
    <row r="29" spans="1:17" x14ac:dyDescent="0.25">
      <c r="A29" s="41">
        <f t="shared" ref="A29:B40" si="14">A28+1</f>
        <v>3973</v>
      </c>
      <c r="B29" s="42">
        <f t="shared" si="14"/>
        <v>19</v>
      </c>
      <c r="C29" s="41" t="s">
        <v>3288</v>
      </c>
      <c r="D29" s="43">
        <f>v_c</f>
        <v>20</v>
      </c>
      <c r="E29" s="61">
        <f t="shared" si="9"/>
        <v>2.8840000000000003</v>
      </c>
      <c r="F29" s="44">
        <f t="shared" si="6"/>
        <v>14.420000000000002</v>
      </c>
      <c r="G29" s="44">
        <f t="shared" si="10"/>
        <v>11.536000000000001</v>
      </c>
      <c r="H29" s="44">
        <f t="shared" si="11"/>
        <v>7.2100000000000009</v>
      </c>
      <c r="I29" s="44">
        <f t="shared" si="7"/>
        <v>8</v>
      </c>
      <c r="J29" s="45">
        <f>yaw_min</f>
        <v>-8</v>
      </c>
      <c r="K29" s="44">
        <f t="shared" si="3"/>
        <v>0.2</v>
      </c>
      <c r="L29" s="28" t="str">
        <f>D29&amp;-1</f>
        <v>20-1</v>
      </c>
      <c r="M29" s="88" t="s">
        <v>3558</v>
      </c>
      <c r="N29" s="88">
        <v>0</v>
      </c>
      <c r="O29" s="144">
        <f t="shared" ref="O29:Q40" si="15">O28</f>
        <v>160</v>
      </c>
      <c r="P29" s="44">
        <f t="shared" si="15"/>
        <v>150</v>
      </c>
      <c r="Q29" s="44">
        <f t="shared" si="15"/>
        <v>210</v>
      </c>
    </row>
    <row r="30" spans="1:17" x14ac:dyDescent="0.25">
      <c r="A30" s="41">
        <f t="shared" si="14"/>
        <v>3974</v>
      </c>
      <c r="B30" s="42">
        <f t="shared" si="14"/>
        <v>20</v>
      </c>
      <c r="C30" s="41" t="s">
        <v>3289</v>
      </c>
      <c r="D30" s="43">
        <f t="shared" si="13"/>
        <v>20</v>
      </c>
      <c r="E30" s="61">
        <f t="shared" si="9"/>
        <v>2.8840000000000003</v>
      </c>
      <c r="F30" s="44">
        <f t="shared" si="6"/>
        <v>14.420000000000002</v>
      </c>
      <c r="G30" s="44">
        <f t="shared" si="10"/>
        <v>11.536000000000001</v>
      </c>
      <c r="H30" s="44">
        <f t="shared" si="11"/>
        <v>7.2100000000000009</v>
      </c>
      <c r="I30" s="44">
        <f t="shared" si="7"/>
        <v>8</v>
      </c>
      <c r="J30" s="45">
        <f>yaw_min</f>
        <v>-8</v>
      </c>
      <c r="K30" s="44">
        <f t="shared" si="3"/>
        <v>0.2</v>
      </c>
      <c r="L30" s="28" t="str">
        <f>D30&amp;-2</f>
        <v>20-2</v>
      </c>
      <c r="M30" s="28" t="s">
        <v>3559</v>
      </c>
      <c r="N30" s="28">
        <v>0</v>
      </c>
      <c r="O30" s="144">
        <f t="shared" si="15"/>
        <v>160</v>
      </c>
      <c r="P30" s="44">
        <f t="shared" si="15"/>
        <v>150</v>
      </c>
      <c r="Q30" s="44">
        <f t="shared" si="15"/>
        <v>210</v>
      </c>
    </row>
    <row r="31" spans="1:17" x14ac:dyDescent="0.25">
      <c r="A31" s="41">
        <f t="shared" si="14"/>
        <v>3975</v>
      </c>
      <c r="B31" s="42">
        <f t="shared" si="14"/>
        <v>21</v>
      </c>
      <c r="C31" s="41" t="s">
        <v>3290</v>
      </c>
      <c r="D31" s="43">
        <f t="shared" si="13"/>
        <v>20</v>
      </c>
      <c r="E31" s="61">
        <f t="shared" si="9"/>
        <v>2.8840000000000003</v>
      </c>
      <c r="F31" s="44">
        <f t="shared" si="6"/>
        <v>14.420000000000002</v>
      </c>
      <c r="G31" s="44">
        <f t="shared" si="10"/>
        <v>11.536000000000001</v>
      </c>
      <c r="H31" s="44">
        <f t="shared" si="11"/>
        <v>7.2100000000000009</v>
      </c>
      <c r="I31" s="44">
        <f t="shared" si="7"/>
        <v>8</v>
      </c>
      <c r="J31" s="45">
        <f>yaw_null</f>
        <v>0</v>
      </c>
      <c r="K31" s="44">
        <f t="shared" si="3"/>
        <v>0.2</v>
      </c>
      <c r="L31" s="28" t="str">
        <f>D31&amp;-3</f>
        <v>20-3</v>
      </c>
      <c r="M31" s="88" t="s">
        <v>3560</v>
      </c>
      <c r="N31" s="88">
        <v>0</v>
      </c>
      <c r="O31" s="144">
        <f t="shared" si="15"/>
        <v>160</v>
      </c>
      <c r="P31" s="44">
        <f t="shared" si="15"/>
        <v>150</v>
      </c>
      <c r="Q31" s="44">
        <f t="shared" si="15"/>
        <v>210</v>
      </c>
    </row>
    <row r="32" spans="1:17" x14ac:dyDescent="0.25">
      <c r="A32" s="41">
        <f t="shared" si="14"/>
        <v>3976</v>
      </c>
      <c r="B32" s="42">
        <f t="shared" si="14"/>
        <v>22</v>
      </c>
      <c r="C32" s="41" t="s">
        <v>3291</v>
      </c>
      <c r="D32" s="43">
        <f t="shared" si="13"/>
        <v>20</v>
      </c>
      <c r="E32" s="61">
        <f t="shared" si="9"/>
        <v>2.8840000000000003</v>
      </c>
      <c r="F32" s="44">
        <f t="shared" si="6"/>
        <v>14.420000000000002</v>
      </c>
      <c r="G32" s="44">
        <f t="shared" si="10"/>
        <v>11.536000000000001</v>
      </c>
      <c r="H32" s="44">
        <f t="shared" si="11"/>
        <v>7.2100000000000009</v>
      </c>
      <c r="I32" s="44">
        <f t="shared" si="7"/>
        <v>8</v>
      </c>
      <c r="J32" s="45">
        <f>yaw_null</f>
        <v>0</v>
      </c>
      <c r="K32" s="44">
        <f t="shared" si="3"/>
        <v>0.2</v>
      </c>
      <c r="L32" s="28" t="str">
        <f>D32&amp;-4</f>
        <v>20-4</v>
      </c>
      <c r="M32" s="28" t="s">
        <v>3561</v>
      </c>
      <c r="N32" s="28">
        <v>0</v>
      </c>
      <c r="O32" s="144">
        <f t="shared" si="15"/>
        <v>160</v>
      </c>
      <c r="P32" s="44">
        <f t="shared" si="15"/>
        <v>150</v>
      </c>
      <c r="Q32" s="44">
        <f t="shared" si="15"/>
        <v>210</v>
      </c>
    </row>
    <row r="33" spans="1:17" x14ac:dyDescent="0.25">
      <c r="A33" s="41">
        <f t="shared" si="14"/>
        <v>3977</v>
      </c>
      <c r="B33" s="42">
        <f t="shared" si="14"/>
        <v>23</v>
      </c>
      <c r="C33" s="41" t="s">
        <v>3292</v>
      </c>
      <c r="D33" s="43">
        <f t="shared" si="13"/>
        <v>20</v>
      </c>
      <c r="E33" s="61">
        <f t="shared" si="9"/>
        <v>2.8840000000000003</v>
      </c>
      <c r="F33" s="44">
        <f t="shared" si="6"/>
        <v>14.420000000000002</v>
      </c>
      <c r="G33" s="44">
        <f t="shared" si="10"/>
        <v>11.536000000000001</v>
      </c>
      <c r="H33" s="44">
        <f t="shared" si="11"/>
        <v>7.2100000000000009</v>
      </c>
      <c r="I33" s="44">
        <f t="shared" si="7"/>
        <v>8</v>
      </c>
      <c r="J33" s="45">
        <f>yaw_max</f>
        <v>8</v>
      </c>
      <c r="K33" s="44">
        <f t="shared" si="3"/>
        <v>0.2</v>
      </c>
      <c r="L33" s="28" t="str">
        <f>D33&amp;-5</f>
        <v>20-5</v>
      </c>
      <c r="M33" s="88" t="s">
        <v>3562</v>
      </c>
      <c r="N33" s="88">
        <v>0</v>
      </c>
      <c r="O33" s="144">
        <f t="shared" si="15"/>
        <v>160</v>
      </c>
      <c r="P33" s="44">
        <f t="shared" si="15"/>
        <v>150</v>
      </c>
      <c r="Q33" s="44">
        <f t="shared" si="15"/>
        <v>210</v>
      </c>
    </row>
    <row r="34" spans="1:17" x14ac:dyDescent="0.25">
      <c r="A34" s="41">
        <f t="shared" si="14"/>
        <v>3978</v>
      </c>
      <c r="B34" s="42">
        <f t="shared" si="14"/>
        <v>24</v>
      </c>
      <c r="C34" s="41" t="s">
        <v>3293</v>
      </c>
      <c r="D34" s="43">
        <f t="shared" si="13"/>
        <v>20</v>
      </c>
      <c r="E34" s="61">
        <f t="shared" si="9"/>
        <v>2.8840000000000003</v>
      </c>
      <c r="F34" s="44">
        <f t="shared" si="6"/>
        <v>14.420000000000002</v>
      </c>
      <c r="G34" s="44">
        <f t="shared" si="10"/>
        <v>11.536000000000001</v>
      </c>
      <c r="H34" s="44">
        <f t="shared" si="11"/>
        <v>7.2100000000000009</v>
      </c>
      <c r="I34" s="44">
        <f t="shared" si="7"/>
        <v>8</v>
      </c>
      <c r="J34" s="45">
        <f>yaw_max</f>
        <v>8</v>
      </c>
      <c r="K34" s="44">
        <f t="shared" si="3"/>
        <v>0.2</v>
      </c>
      <c r="L34" s="28" t="str">
        <f>D34&amp;-6</f>
        <v>20-6</v>
      </c>
      <c r="M34" s="28" t="s">
        <v>3563</v>
      </c>
      <c r="N34" s="28">
        <v>0</v>
      </c>
      <c r="O34" s="144">
        <f t="shared" si="15"/>
        <v>160</v>
      </c>
      <c r="P34" s="44">
        <f t="shared" si="15"/>
        <v>150</v>
      </c>
      <c r="Q34" s="44">
        <f t="shared" si="15"/>
        <v>210</v>
      </c>
    </row>
    <row r="35" spans="1:17" x14ac:dyDescent="0.25">
      <c r="A35" s="41">
        <f t="shared" si="14"/>
        <v>3979</v>
      </c>
      <c r="B35" s="42">
        <f t="shared" si="14"/>
        <v>25</v>
      </c>
      <c r="C35" s="41" t="s">
        <v>3294</v>
      </c>
      <c r="D35" s="43">
        <f>v_out</f>
        <v>25</v>
      </c>
      <c r="E35" s="61">
        <f t="shared" si="9"/>
        <v>3.4090000000000007</v>
      </c>
      <c r="F35" s="44">
        <f t="shared" si="6"/>
        <v>13.636000000000003</v>
      </c>
      <c r="G35" s="44">
        <f t="shared" si="10"/>
        <v>10.908800000000003</v>
      </c>
      <c r="H35" s="44">
        <f t="shared" si="11"/>
        <v>6.8180000000000014</v>
      </c>
      <c r="I35" s="44">
        <f t="shared" si="7"/>
        <v>8</v>
      </c>
      <c r="J35" s="45">
        <f>yaw_min</f>
        <v>-8</v>
      </c>
      <c r="K35" s="44">
        <f t="shared" si="3"/>
        <v>0.2</v>
      </c>
      <c r="L35" s="28" t="str">
        <f>D35&amp;-1</f>
        <v>25-1</v>
      </c>
      <c r="M35" s="88" t="s">
        <v>3558</v>
      </c>
      <c r="N35" s="88">
        <v>0</v>
      </c>
      <c r="O35" s="144">
        <f t="shared" si="15"/>
        <v>160</v>
      </c>
      <c r="P35" s="44">
        <f t="shared" si="15"/>
        <v>150</v>
      </c>
      <c r="Q35" s="44">
        <f t="shared" si="15"/>
        <v>210</v>
      </c>
    </row>
    <row r="36" spans="1:17" x14ac:dyDescent="0.25">
      <c r="A36" s="41">
        <f t="shared" si="14"/>
        <v>3980</v>
      </c>
      <c r="B36" s="42">
        <f t="shared" si="14"/>
        <v>26</v>
      </c>
      <c r="C36" s="41" t="s">
        <v>3295</v>
      </c>
      <c r="D36" s="43">
        <f t="shared" ref="D36:D40" si="16">D35</f>
        <v>25</v>
      </c>
      <c r="E36" s="61">
        <f t="shared" si="9"/>
        <v>3.4090000000000007</v>
      </c>
      <c r="F36" s="44">
        <f t="shared" si="6"/>
        <v>13.636000000000003</v>
      </c>
      <c r="G36" s="44">
        <f t="shared" si="10"/>
        <v>10.908800000000003</v>
      </c>
      <c r="H36" s="44">
        <f t="shared" si="11"/>
        <v>6.8180000000000014</v>
      </c>
      <c r="I36" s="44">
        <f t="shared" si="7"/>
        <v>8</v>
      </c>
      <c r="J36" s="45">
        <f>yaw_min</f>
        <v>-8</v>
      </c>
      <c r="K36" s="44">
        <f t="shared" si="3"/>
        <v>0.2</v>
      </c>
      <c r="L36" s="28" t="str">
        <f>D36&amp;-2</f>
        <v>25-2</v>
      </c>
      <c r="M36" s="28" t="s">
        <v>3559</v>
      </c>
      <c r="N36" s="28">
        <v>0</v>
      </c>
      <c r="O36" s="144">
        <f t="shared" si="15"/>
        <v>160</v>
      </c>
      <c r="P36" s="44">
        <f t="shared" si="15"/>
        <v>150</v>
      </c>
      <c r="Q36" s="44">
        <f t="shared" si="15"/>
        <v>210</v>
      </c>
    </row>
    <row r="37" spans="1:17" x14ac:dyDescent="0.25">
      <c r="A37" s="41">
        <f t="shared" si="14"/>
        <v>3981</v>
      </c>
      <c r="B37" s="42">
        <f t="shared" si="14"/>
        <v>27</v>
      </c>
      <c r="C37" s="41" t="s">
        <v>3296</v>
      </c>
      <c r="D37" s="43">
        <f t="shared" si="16"/>
        <v>25</v>
      </c>
      <c r="E37" s="61">
        <f t="shared" si="9"/>
        <v>3.4090000000000007</v>
      </c>
      <c r="F37" s="44">
        <f t="shared" si="6"/>
        <v>13.636000000000003</v>
      </c>
      <c r="G37" s="44">
        <f t="shared" si="10"/>
        <v>10.908800000000003</v>
      </c>
      <c r="H37" s="44">
        <f t="shared" si="11"/>
        <v>6.8180000000000014</v>
      </c>
      <c r="I37" s="44">
        <f t="shared" si="7"/>
        <v>8</v>
      </c>
      <c r="J37" s="45">
        <f>yaw_null</f>
        <v>0</v>
      </c>
      <c r="K37" s="44">
        <f t="shared" si="3"/>
        <v>0.2</v>
      </c>
      <c r="L37" s="28" t="str">
        <f>D37&amp;-3</f>
        <v>25-3</v>
      </c>
      <c r="M37" s="88" t="s">
        <v>3560</v>
      </c>
      <c r="N37" s="88">
        <v>0</v>
      </c>
      <c r="O37" s="144">
        <f t="shared" si="15"/>
        <v>160</v>
      </c>
      <c r="P37" s="44">
        <f t="shared" si="15"/>
        <v>150</v>
      </c>
      <c r="Q37" s="44">
        <f t="shared" si="15"/>
        <v>210</v>
      </c>
    </row>
    <row r="38" spans="1:17" x14ac:dyDescent="0.25">
      <c r="A38" s="41">
        <f t="shared" si="14"/>
        <v>3982</v>
      </c>
      <c r="B38" s="42">
        <f t="shared" si="14"/>
        <v>28</v>
      </c>
      <c r="C38" s="41" t="s">
        <v>3297</v>
      </c>
      <c r="D38" s="43">
        <f t="shared" si="16"/>
        <v>25</v>
      </c>
      <c r="E38" s="61">
        <f t="shared" si="9"/>
        <v>3.4090000000000007</v>
      </c>
      <c r="F38" s="44">
        <f t="shared" si="6"/>
        <v>13.636000000000003</v>
      </c>
      <c r="G38" s="44">
        <f t="shared" si="10"/>
        <v>10.908800000000003</v>
      </c>
      <c r="H38" s="44">
        <f t="shared" si="11"/>
        <v>6.8180000000000014</v>
      </c>
      <c r="I38" s="44">
        <f t="shared" si="7"/>
        <v>8</v>
      </c>
      <c r="J38" s="45">
        <f>yaw_null</f>
        <v>0</v>
      </c>
      <c r="K38" s="44">
        <f t="shared" si="3"/>
        <v>0.2</v>
      </c>
      <c r="L38" s="28" t="str">
        <f>D38&amp;-4</f>
        <v>25-4</v>
      </c>
      <c r="M38" s="28" t="s">
        <v>3561</v>
      </c>
      <c r="N38" s="28">
        <v>0</v>
      </c>
      <c r="O38" s="144">
        <f t="shared" si="15"/>
        <v>160</v>
      </c>
      <c r="P38" s="44">
        <f t="shared" si="15"/>
        <v>150</v>
      </c>
      <c r="Q38" s="44">
        <f t="shared" si="15"/>
        <v>210</v>
      </c>
    </row>
    <row r="39" spans="1:17" x14ac:dyDescent="0.25">
      <c r="A39" s="41">
        <f t="shared" si="14"/>
        <v>3983</v>
      </c>
      <c r="B39" s="42">
        <f t="shared" si="14"/>
        <v>29</v>
      </c>
      <c r="C39" s="41" t="s">
        <v>3298</v>
      </c>
      <c r="D39" s="43">
        <f t="shared" si="16"/>
        <v>25</v>
      </c>
      <c r="E39" s="61">
        <f t="shared" ref="E39:E40" si="17">I_ref*(0.75*D39+5.6)</f>
        <v>3.4090000000000007</v>
      </c>
      <c r="F39" s="44">
        <f t="shared" si="6"/>
        <v>13.636000000000003</v>
      </c>
      <c r="G39" s="44">
        <f t="shared" ref="G39:G40" si="18">m_ty*F39</f>
        <v>10.908800000000003</v>
      </c>
      <c r="H39" s="44">
        <f t="shared" ref="H39:H40" si="19">m_tz*F39</f>
        <v>6.8180000000000014</v>
      </c>
      <c r="I39" s="44">
        <f t="shared" si="7"/>
        <v>8</v>
      </c>
      <c r="J39" s="45">
        <f>yaw_max</f>
        <v>8</v>
      </c>
      <c r="K39" s="44">
        <f t="shared" si="3"/>
        <v>0.2</v>
      </c>
      <c r="L39" s="28" t="str">
        <f>D39&amp;-5</f>
        <v>25-5</v>
      </c>
      <c r="M39" s="88" t="s">
        <v>3562</v>
      </c>
      <c r="N39" s="88">
        <v>0</v>
      </c>
      <c r="O39" s="144">
        <f t="shared" si="15"/>
        <v>160</v>
      </c>
      <c r="P39" s="44">
        <f t="shared" si="15"/>
        <v>150</v>
      </c>
      <c r="Q39" s="44">
        <f t="shared" si="15"/>
        <v>210</v>
      </c>
    </row>
    <row r="40" spans="1:17" x14ac:dyDescent="0.25">
      <c r="A40" s="41">
        <f t="shared" si="14"/>
        <v>3984</v>
      </c>
      <c r="B40" s="42">
        <f t="shared" si="14"/>
        <v>30</v>
      </c>
      <c r="C40" s="41" t="s">
        <v>3299</v>
      </c>
      <c r="D40" s="43">
        <f t="shared" si="16"/>
        <v>25</v>
      </c>
      <c r="E40" s="61">
        <f t="shared" si="17"/>
        <v>3.4090000000000007</v>
      </c>
      <c r="F40" s="44">
        <f t="shared" si="6"/>
        <v>13.636000000000003</v>
      </c>
      <c r="G40" s="44">
        <f t="shared" si="18"/>
        <v>10.908800000000003</v>
      </c>
      <c r="H40" s="44">
        <f t="shared" si="19"/>
        <v>6.8180000000000014</v>
      </c>
      <c r="I40" s="44">
        <f t="shared" si="7"/>
        <v>8</v>
      </c>
      <c r="J40" s="45">
        <f>yaw_max</f>
        <v>8</v>
      </c>
      <c r="K40" s="44">
        <f t="shared" si="3"/>
        <v>0.2</v>
      </c>
      <c r="L40" s="28" t="str">
        <f>D40&amp;-6</f>
        <v>25-6</v>
      </c>
      <c r="M40" s="28" t="s">
        <v>3563</v>
      </c>
      <c r="N40" s="28">
        <v>0</v>
      </c>
      <c r="O40" s="144">
        <f t="shared" si="15"/>
        <v>160</v>
      </c>
      <c r="P40" s="44">
        <f t="shared" si="15"/>
        <v>150</v>
      </c>
      <c r="Q40" s="44">
        <f t="shared" si="15"/>
        <v>210</v>
      </c>
    </row>
  </sheetData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160"/>
  <sheetViews>
    <sheetView zoomScale="85" zoomScaleNormal="85" workbookViewId="0">
      <selection activeCell="X39" sqref="X39"/>
    </sheetView>
  </sheetViews>
  <sheetFormatPr defaultRowHeight="15" x14ac:dyDescent="0.15"/>
  <cols>
    <col min="1" max="1" width="7" style="23" customWidth="1"/>
    <col min="2" max="2" width="7.375" style="23" customWidth="1"/>
    <col min="3" max="3" width="8.375" style="23" customWidth="1"/>
    <col min="4" max="4" width="6.875" style="23" customWidth="1"/>
    <col min="5" max="5" width="7.375" style="146" customWidth="1"/>
    <col min="6" max="6" width="8.125" style="23" customWidth="1"/>
    <col min="7" max="7" width="7.375" style="23" customWidth="1"/>
    <col min="8" max="8" width="14.875" style="23" bestFit="1" customWidth="1"/>
    <col min="9" max="9" width="14.875" style="23" customWidth="1"/>
    <col min="10" max="10" width="8" style="23" customWidth="1"/>
    <col min="11" max="11" width="9" style="23"/>
    <col min="12" max="12" width="8.875" style="23" customWidth="1"/>
    <col min="13" max="13" width="8.125" style="23" customWidth="1"/>
  </cols>
  <sheetData>
    <row r="1" spans="1:13" x14ac:dyDescent="0.15">
      <c r="H1" s="22" t="s">
        <v>3301</v>
      </c>
      <c r="I1" s="22" t="s">
        <v>3302</v>
      </c>
      <c r="M1" s="21"/>
    </row>
    <row r="2" spans="1:13" x14ac:dyDescent="0.15">
      <c r="B2" s="22" t="s">
        <v>3303</v>
      </c>
      <c r="C2" s="22"/>
      <c r="D2" s="22"/>
      <c r="E2" s="147"/>
      <c r="F2" s="22"/>
      <c r="G2" s="22"/>
      <c r="H2" s="22"/>
      <c r="I2" s="22" t="s">
        <v>3304</v>
      </c>
      <c r="M2" s="21"/>
    </row>
    <row r="3" spans="1:13" x14ac:dyDescent="0.15">
      <c r="B3" s="22" t="s">
        <v>3305</v>
      </c>
      <c r="C3" s="22"/>
      <c r="D3" s="22"/>
      <c r="E3" s="147" t="s">
        <v>3306</v>
      </c>
      <c r="F3" s="22"/>
      <c r="G3" s="22"/>
      <c r="H3" s="22"/>
      <c r="I3" s="22" t="s">
        <v>3307</v>
      </c>
      <c r="M3" s="21"/>
    </row>
    <row r="4" spans="1:13" x14ac:dyDescent="0.15">
      <c r="B4" s="22" t="s">
        <v>3308</v>
      </c>
      <c r="C4" s="22"/>
      <c r="D4" s="22"/>
      <c r="E4" s="147" t="s">
        <v>3309</v>
      </c>
      <c r="F4" s="22"/>
      <c r="G4" s="22"/>
      <c r="H4" s="22"/>
      <c r="I4" s="22" t="s">
        <v>3310</v>
      </c>
      <c r="M4" s="21"/>
    </row>
    <row r="5" spans="1:13" x14ac:dyDescent="0.15">
      <c r="B5" s="22" t="s">
        <v>3311</v>
      </c>
      <c r="C5" s="22"/>
      <c r="D5" s="22"/>
      <c r="E5" s="147" t="s">
        <v>3312</v>
      </c>
      <c r="F5" s="22"/>
      <c r="G5" s="22"/>
      <c r="H5" s="22"/>
      <c r="I5" s="22"/>
      <c r="J5" s="22"/>
      <c r="K5" s="21"/>
    </row>
    <row r="6" spans="1:13" x14ac:dyDescent="0.15">
      <c r="B6" s="22" t="s">
        <v>3313</v>
      </c>
      <c r="C6" s="22"/>
      <c r="D6" s="22"/>
      <c r="E6" s="147" t="s">
        <v>3314</v>
      </c>
      <c r="F6" s="22"/>
      <c r="G6" s="22"/>
      <c r="H6" s="22"/>
      <c r="I6" s="22"/>
      <c r="J6" s="22"/>
      <c r="K6" s="21"/>
    </row>
    <row r="7" spans="1:13" x14ac:dyDescent="0.15">
      <c r="A7" s="139"/>
      <c r="B7" s="139"/>
      <c r="C7" s="139"/>
      <c r="D7" s="139"/>
      <c r="E7" s="148"/>
      <c r="F7" s="139"/>
      <c r="G7" s="139"/>
      <c r="H7" s="139"/>
      <c r="I7" s="139"/>
      <c r="J7" s="139"/>
      <c r="K7" s="139"/>
      <c r="L7" s="139"/>
      <c r="M7" s="139"/>
    </row>
    <row r="8" spans="1:13" ht="15.75" thickBot="1" x14ac:dyDescent="0.2">
      <c r="A8" s="139"/>
      <c r="B8" s="139"/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</row>
    <row r="9" spans="1:13" ht="16.5" x14ac:dyDescent="0.3">
      <c r="A9" s="24" t="s">
        <v>3315</v>
      </c>
      <c r="B9" s="25" t="s">
        <v>3316</v>
      </c>
      <c r="C9" s="24" t="s">
        <v>0</v>
      </c>
      <c r="D9" s="25" t="s">
        <v>3317</v>
      </c>
      <c r="E9" s="25" t="s">
        <v>3318</v>
      </c>
      <c r="F9" s="25" t="s">
        <v>3319</v>
      </c>
      <c r="G9" s="25" t="s">
        <v>3320</v>
      </c>
      <c r="H9" s="26" t="s">
        <v>3321</v>
      </c>
      <c r="I9" s="26" t="s">
        <v>3564</v>
      </c>
      <c r="J9" s="47" t="s">
        <v>3322</v>
      </c>
      <c r="K9" s="47" t="s">
        <v>3323</v>
      </c>
      <c r="L9" s="25" t="s">
        <v>3324</v>
      </c>
      <c r="M9" s="27" t="s">
        <v>139</v>
      </c>
    </row>
    <row r="10" spans="1:13" ht="15.75" thickBot="1" x14ac:dyDescent="0.3">
      <c r="A10" s="29" t="s">
        <v>3325</v>
      </c>
      <c r="B10" s="30" t="str">
        <f>B2</f>
        <v>DLC96</v>
      </c>
      <c r="C10" s="29"/>
      <c r="D10" s="30" t="s">
        <v>4</v>
      </c>
      <c r="E10" s="30" t="s">
        <v>6</v>
      </c>
      <c r="F10" s="30"/>
      <c r="G10" s="30" t="s">
        <v>6</v>
      </c>
      <c r="H10" s="31"/>
      <c r="I10" s="31" t="s">
        <v>3565</v>
      </c>
      <c r="J10" s="48" t="s">
        <v>3326</v>
      </c>
      <c r="K10" s="48" t="s">
        <v>3326</v>
      </c>
      <c r="L10" s="30" t="s">
        <v>7</v>
      </c>
      <c r="M10" s="32" t="s">
        <v>7</v>
      </c>
    </row>
    <row r="11" spans="1:13" x14ac:dyDescent="0.25">
      <c r="A11" s="24">
        <v>3991</v>
      </c>
      <c r="B11" s="27">
        <v>1</v>
      </c>
      <c r="C11" s="41" t="s">
        <v>3327</v>
      </c>
      <c r="D11" s="34">
        <f>vr_b</f>
        <v>7.8000000000000007</v>
      </c>
      <c r="E11" s="35">
        <f>inflow</f>
        <v>8</v>
      </c>
      <c r="F11" s="149">
        <f>alpha_n</f>
        <v>0.2</v>
      </c>
      <c r="G11" s="36">
        <f>yaw_min</f>
        <v>-8</v>
      </c>
      <c r="H11" s="145" t="s">
        <v>3558</v>
      </c>
      <c r="I11" s="145">
        <v>0</v>
      </c>
      <c r="J11" s="35">
        <f>trig_t</f>
        <v>160</v>
      </c>
      <c r="K11" s="35">
        <f>J11</f>
        <v>160</v>
      </c>
      <c r="L11" s="35">
        <f>t_out</f>
        <v>150</v>
      </c>
      <c r="M11" s="150">
        <f>L11+T_s2</f>
        <v>210</v>
      </c>
    </row>
    <row r="12" spans="1:13" x14ac:dyDescent="0.25">
      <c r="A12" s="41">
        <f>A11+1</f>
        <v>3992</v>
      </c>
      <c r="B12" s="42">
        <f>B11+1</f>
        <v>2</v>
      </c>
      <c r="C12" s="41" t="s">
        <v>3328</v>
      </c>
      <c r="D12" s="43">
        <f>D11</f>
        <v>7.8000000000000007</v>
      </c>
      <c r="E12" s="44">
        <f>E11</f>
        <v>8</v>
      </c>
      <c r="F12" s="151">
        <f>F11</f>
        <v>0.2</v>
      </c>
      <c r="G12" s="45">
        <f>yaw_min</f>
        <v>-8</v>
      </c>
      <c r="H12" s="28" t="s">
        <v>3559</v>
      </c>
      <c r="I12" s="28">
        <v>0</v>
      </c>
      <c r="J12" s="44">
        <f t="shared" ref="J12:M27" si="0">J11</f>
        <v>160</v>
      </c>
      <c r="K12" s="44">
        <f t="shared" si="0"/>
        <v>160</v>
      </c>
      <c r="L12" s="44">
        <f t="shared" si="0"/>
        <v>150</v>
      </c>
      <c r="M12" s="152">
        <f t="shared" si="0"/>
        <v>210</v>
      </c>
    </row>
    <row r="13" spans="1:13" x14ac:dyDescent="0.25">
      <c r="A13" s="41">
        <f t="shared" ref="A13:B28" si="1">A12+1</f>
        <v>3993</v>
      </c>
      <c r="B13" s="42">
        <f t="shared" si="1"/>
        <v>3</v>
      </c>
      <c r="C13" s="41" t="s">
        <v>3329</v>
      </c>
      <c r="D13" s="43">
        <f t="shared" ref="D13:F28" si="2">D12</f>
        <v>7.8000000000000007</v>
      </c>
      <c r="E13" s="44">
        <f t="shared" si="2"/>
        <v>8</v>
      </c>
      <c r="F13" s="151">
        <f t="shared" si="2"/>
        <v>0.2</v>
      </c>
      <c r="G13" s="45">
        <f>yaw_null</f>
        <v>0</v>
      </c>
      <c r="H13" s="28" t="s">
        <v>3560</v>
      </c>
      <c r="I13" s="88">
        <v>0</v>
      </c>
      <c r="J13" s="44">
        <f t="shared" si="0"/>
        <v>160</v>
      </c>
      <c r="K13" s="44">
        <f t="shared" si="0"/>
        <v>160</v>
      </c>
      <c r="L13" s="44">
        <f t="shared" si="0"/>
        <v>150</v>
      </c>
      <c r="M13" s="152">
        <f t="shared" si="0"/>
        <v>210</v>
      </c>
    </row>
    <row r="14" spans="1:13" x14ac:dyDescent="0.25">
      <c r="A14" s="41">
        <f t="shared" si="1"/>
        <v>3994</v>
      </c>
      <c r="B14" s="42">
        <f t="shared" si="1"/>
        <v>4</v>
      </c>
      <c r="C14" s="41" t="s">
        <v>3330</v>
      </c>
      <c r="D14" s="43">
        <f t="shared" si="2"/>
        <v>7.8000000000000007</v>
      </c>
      <c r="E14" s="44">
        <f t="shared" si="2"/>
        <v>8</v>
      </c>
      <c r="F14" s="151">
        <f t="shared" si="2"/>
        <v>0.2</v>
      </c>
      <c r="G14" s="45">
        <f>yaw_null</f>
        <v>0</v>
      </c>
      <c r="H14" s="28" t="s">
        <v>3561</v>
      </c>
      <c r="I14" s="28">
        <v>0</v>
      </c>
      <c r="J14" s="44">
        <f t="shared" si="0"/>
        <v>160</v>
      </c>
      <c r="K14" s="44">
        <f t="shared" si="0"/>
        <v>160</v>
      </c>
      <c r="L14" s="44">
        <f t="shared" si="0"/>
        <v>150</v>
      </c>
      <c r="M14" s="152">
        <f t="shared" si="0"/>
        <v>210</v>
      </c>
    </row>
    <row r="15" spans="1:13" x14ac:dyDescent="0.25">
      <c r="A15" s="41">
        <f t="shared" si="1"/>
        <v>3995</v>
      </c>
      <c r="B15" s="42">
        <f t="shared" si="1"/>
        <v>5</v>
      </c>
      <c r="C15" s="41" t="s">
        <v>3331</v>
      </c>
      <c r="D15" s="43">
        <f t="shared" si="2"/>
        <v>7.8000000000000007</v>
      </c>
      <c r="E15" s="44">
        <f t="shared" si="2"/>
        <v>8</v>
      </c>
      <c r="F15" s="151">
        <f t="shared" si="2"/>
        <v>0.2</v>
      </c>
      <c r="G15" s="45">
        <f>yaw_max</f>
        <v>8</v>
      </c>
      <c r="H15" s="28" t="s">
        <v>3562</v>
      </c>
      <c r="I15" s="88">
        <v>0</v>
      </c>
      <c r="J15" s="44">
        <f t="shared" si="0"/>
        <v>160</v>
      </c>
      <c r="K15" s="44">
        <f t="shared" si="0"/>
        <v>160</v>
      </c>
      <c r="L15" s="44">
        <f t="shared" si="0"/>
        <v>150</v>
      </c>
      <c r="M15" s="152">
        <f t="shared" si="0"/>
        <v>210</v>
      </c>
    </row>
    <row r="16" spans="1:13" x14ac:dyDescent="0.25">
      <c r="A16" s="41">
        <f t="shared" si="1"/>
        <v>3996</v>
      </c>
      <c r="B16" s="42">
        <f t="shared" si="1"/>
        <v>6</v>
      </c>
      <c r="C16" s="41" t="s">
        <v>3332</v>
      </c>
      <c r="D16" s="43">
        <f t="shared" si="2"/>
        <v>7.8000000000000007</v>
      </c>
      <c r="E16" s="44">
        <f t="shared" si="2"/>
        <v>8</v>
      </c>
      <c r="F16" s="151">
        <f t="shared" si="2"/>
        <v>0.2</v>
      </c>
      <c r="G16" s="45">
        <f>yaw_max</f>
        <v>8</v>
      </c>
      <c r="H16" s="153" t="s">
        <v>3563</v>
      </c>
      <c r="I16" s="28">
        <v>0</v>
      </c>
      <c r="J16" s="44">
        <f t="shared" si="0"/>
        <v>160</v>
      </c>
      <c r="K16" s="128">
        <f t="shared" si="0"/>
        <v>160</v>
      </c>
      <c r="L16" s="44">
        <f t="shared" si="0"/>
        <v>150</v>
      </c>
      <c r="M16" s="152">
        <f t="shared" si="0"/>
        <v>210</v>
      </c>
    </row>
    <row r="17" spans="1:13" x14ac:dyDescent="0.25">
      <c r="A17" s="41">
        <f t="shared" si="1"/>
        <v>3997</v>
      </c>
      <c r="B17" s="42">
        <f t="shared" si="1"/>
        <v>7</v>
      </c>
      <c r="C17" s="41" t="s">
        <v>3333</v>
      </c>
      <c r="D17" s="43">
        <f t="shared" si="2"/>
        <v>7.8000000000000007</v>
      </c>
      <c r="E17" s="44">
        <f t="shared" si="2"/>
        <v>8</v>
      </c>
      <c r="F17" s="151">
        <f t="shared" si="2"/>
        <v>0.2</v>
      </c>
      <c r="G17" s="45">
        <f>yaw_min</f>
        <v>-8</v>
      </c>
      <c r="H17" s="28" t="s">
        <v>3558</v>
      </c>
      <c r="I17" s="88">
        <v>0</v>
      </c>
      <c r="J17" s="44">
        <f t="shared" si="0"/>
        <v>160</v>
      </c>
      <c r="K17" s="44">
        <f>J17+t_eqk/4</f>
        <v>165</v>
      </c>
      <c r="L17" s="44">
        <f t="shared" si="0"/>
        <v>150</v>
      </c>
      <c r="M17" s="152">
        <f t="shared" si="0"/>
        <v>210</v>
      </c>
    </row>
    <row r="18" spans="1:13" x14ac:dyDescent="0.25">
      <c r="A18" s="41">
        <f t="shared" si="1"/>
        <v>3998</v>
      </c>
      <c r="B18" s="42">
        <f t="shared" si="1"/>
        <v>8</v>
      </c>
      <c r="C18" s="41" t="s">
        <v>3334</v>
      </c>
      <c r="D18" s="43">
        <f t="shared" si="2"/>
        <v>7.8000000000000007</v>
      </c>
      <c r="E18" s="44">
        <f t="shared" si="2"/>
        <v>8</v>
      </c>
      <c r="F18" s="151">
        <f t="shared" si="2"/>
        <v>0.2</v>
      </c>
      <c r="G18" s="45">
        <f>yaw_min</f>
        <v>-8</v>
      </c>
      <c r="H18" s="28" t="s">
        <v>3559</v>
      </c>
      <c r="I18" s="28">
        <v>0</v>
      </c>
      <c r="J18" s="44">
        <f t="shared" si="0"/>
        <v>160</v>
      </c>
      <c r="K18" s="44">
        <f t="shared" ref="K18" si="3">K17</f>
        <v>165</v>
      </c>
      <c r="L18" s="44">
        <f t="shared" si="0"/>
        <v>150</v>
      </c>
      <c r="M18" s="152">
        <f t="shared" si="0"/>
        <v>210</v>
      </c>
    </row>
    <row r="19" spans="1:13" x14ac:dyDescent="0.25">
      <c r="A19" s="41">
        <f t="shared" si="1"/>
        <v>3999</v>
      </c>
      <c r="B19" s="42">
        <f t="shared" si="1"/>
        <v>9</v>
      </c>
      <c r="C19" s="41" t="s">
        <v>3335</v>
      </c>
      <c r="D19" s="43">
        <f t="shared" si="2"/>
        <v>7.8000000000000007</v>
      </c>
      <c r="E19" s="44">
        <f t="shared" si="2"/>
        <v>8</v>
      </c>
      <c r="F19" s="151">
        <f t="shared" si="2"/>
        <v>0.2</v>
      </c>
      <c r="G19" s="45">
        <f>yaw_null</f>
        <v>0</v>
      </c>
      <c r="H19" s="28" t="s">
        <v>3560</v>
      </c>
      <c r="I19" s="88">
        <v>0</v>
      </c>
      <c r="J19" s="44">
        <f t="shared" si="0"/>
        <v>160</v>
      </c>
      <c r="K19" s="44">
        <f t="shared" ref="K19" si="4">K18</f>
        <v>165</v>
      </c>
      <c r="L19" s="44">
        <f t="shared" si="0"/>
        <v>150</v>
      </c>
      <c r="M19" s="152">
        <f t="shared" si="0"/>
        <v>210</v>
      </c>
    </row>
    <row r="20" spans="1:13" x14ac:dyDescent="0.25">
      <c r="A20" s="41">
        <f t="shared" si="1"/>
        <v>4000</v>
      </c>
      <c r="B20" s="42">
        <f t="shared" si="1"/>
        <v>10</v>
      </c>
      <c r="C20" s="41" t="s">
        <v>3336</v>
      </c>
      <c r="D20" s="43">
        <f t="shared" si="2"/>
        <v>7.8000000000000007</v>
      </c>
      <c r="E20" s="44">
        <f t="shared" si="2"/>
        <v>8</v>
      </c>
      <c r="F20" s="151">
        <f t="shared" si="2"/>
        <v>0.2</v>
      </c>
      <c r="G20" s="45">
        <f>yaw_null</f>
        <v>0</v>
      </c>
      <c r="H20" s="28" t="s">
        <v>3561</v>
      </c>
      <c r="I20" s="28">
        <v>0</v>
      </c>
      <c r="J20" s="44">
        <f t="shared" si="0"/>
        <v>160</v>
      </c>
      <c r="K20" s="44">
        <f t="shared" ref="K20" si="5">K19</f>
        <v>165</v>
      </c>
      <c r="L20" s="44">
        <f t="shared" si="0"/>
        <v>150</v>
      </c>
      <c r="M20" s="152">
        <f t="shared" si="0"/>
        <v>210</v>
      </c>
    </row>
    <row r="21" spans="1:13" x14ac:dyDescent="0.25">
      <c r="A21" s="41">
        <f t="shared" si="1"/>
        <v>4001</v>
      </c>
      <c r="B21" s="42">
        <f t="shared" si="1"/>
        <v>11</v>
      </c>
      <c r="C21" s="41" t="s">
        <v>3337</v>
      </c>
      <c r="D21" s="43">
        <f t="shared" si="2"/>
        <v>7.8000000000000007</v>
      </c>
      <c r="E21" s="44">
        <f t="shared" si="2"/>
        <v>8</v>
      </c>
      <c r="F21" s="151">
        <f t="shared" si="2"/>
        <v>0.2</v>
      </c>
      <c r="G21" s="45">
        <f>yaw_max</f>
        <v>8</v>
      </c>
      <c r="H21" s="28" t="s">
        <v>3562</v>
      </c>
      <c r="I21" s="88">
        <v>0</v>
      </c>
      <c r="J21" s="44">
        <f t="shared" si="0"/>
        <v>160</v>
      </c>
      <c r="K21" s="44">
        <f t="shared" ref="K21" si="6">K20</f>
        <v>165</v>
      </c>
      <c r="L21" s="44">
        <f t="shared" si="0"/>
        <v>150</v>
      </c>
      <c r="M21" s="152">
        <f t="shared" si="0"/>
        <v>210</v>
      </c>
    </row>
    <row r="22" spans="1:13" x14ac:dyDescent="0.25">
      <c r="A22" s="41">
        <f t="shared" si="1"/>
        <v>4002</v>
      </c>
      <c r="B22" s="42">
        <f t="shared" si="1"/>
        <v>12</v>
      </c>
      <c r="C22" s="41" t="s">
        <v>3338</v>
      </c>
      <c r="D22" s="43">
        <f t="shared" si="2"/>
        <v>7.8000000000000007</v>
      </c>
      <c r="E22" s="44">
        <f t="shared" si="2"/>
        <v>8</v>
      </c>
      <c r="F22" s="151">
        <f t="shared" si="2"/>
        <v>0.2</v>
      </c>
      <c r="G22" s="45">
        <f>yaw_max</f>
        <v>8</v>
      </c>
      <c r="H22" s="28" t="s">
        <v>3563</v>
      </c>
      <c r="I22" s="28">
        <v>0</v>
      </c>
      <c r="J22" s="44">
        <f t="shared" si="0"/>
        <v>160</v>
      </c>
      <c r="K22" s="44">
        <f t="shared" ref="K22" si="7">K21</f>
        <v>165</v>
      </c>
      <c r="L22" s="44">
        <f t="shared" si="0"/>
        <v>150</v>
      </c>
      <c r="M22" s="152">
        <f t="shared" si="0"/>
        <v>210</v>
      </c>
    </row>
    <row r="23" spans="1:13" x14ac:dyDescent="0.25">
      <c r="A23" s="41">
        <f t="shared" si="1"/>
        <v>4003</v>
      </c>
      <c r="B23" s="42">
        <f t="shared" si="1"/>
        <v>13</v>
      </c>
      <c r="C23" s="41" t="s">
        <v>3339</v>
      </c>
      <c r="D23" s="43">
        <f t="shared" si="2"/>
        <v>7.8000000000000007</v>
      </c>
      <c r="E23" s="44">
        <f t="shared" si="2"/>
        <v>8</v>
      </c>
      <c r="F23" s="151">
        <f t="shared" si="2"/>
        <v>0.2</v>
      </c>
      <c r="G23" s="45">
        <f>yaw_min</f>
        <v>-8</v>
      </c>
      <c r="H23" s="28" t="s">
        <v>3558</v>
      </c>
      <c r="I23" s="88">
        <v>0</v>
      </c>
      <c r="J23" s="44">
        <f t="shared" si="0"/>
        <v>160</v>
      </c>
      <c r="K23" s="44">
        <f>J23+t_eqk/4*2</f>
        <v>170</v>
      </c>
      <c r="L23" s="44">
        <f t="shared" si="0"/>
        <v>150</v>
      </c>
      <c r="M23" s="152">
        <f t="shared" si="0"/>
        <v>210</v>
      </c>
    </row>
    <row r="24" spans="1:13" x14ac:dyDescent="0.25">
      <c r="A24" s="41">
        <f t="shared" si="1"/>
        <v>4004</v>
      </c>
      <c r="B24" s="42">
        <f t="shared" si="1"/>
        <v>14</v>
      </c>
      <c r="C24" s="41" t="s">
        <v>3340</v>
      </c>
      <c r="D24" s="43">
        <f t="shared" si="2"/>
        <v>7.8000000000000007</v>
      </c>
      <c r="E24" s="44">
        <f t="shared" si="2"/>
        <v>8</v>
      </c>
      <c r="F24" s="151">
        <f t="shared" si="2"/>
        <v>0.2</v>
      </c>
      <c r="G24" s="45">
        <f>yaw_min</f>
        <v>-8</v>
      </c>
      <c r="H24" s="28" t="s">
        <v>3559</v>
      </c>
      <c r="I24" s="28">
        <v>0</v>
      </c>
      <c r="J24" s="44">
        <f t="shared" si="0"/>
        <v>160</v>
      </c>
      <c r="K24" s="44">
        <f t="shared" ref="K24" si="8">K23</f>
        <v>170</v>
      </c>
      <c r="L24" s="44">
        <f t="shared" si="0"/>
        <v>150</v>
      </c>
      <c r="M24" s="152">
        <f t="shared" si="0"/>
        <v>210</v>
      </c>
    </row>
    <row r="25" spans="1:13" x14ac:dyDescent="0.25">
      <c r="A25" s="41">
        <f t="shared" si="1"/>
        <v>4005</v>
      </c>
      <c r="B25" s="42">
        <f t="shared" si="1"/>
        <v>15</v>
      </c>
      <c r="C25" s="41" t="s">
        <v>3341</v>
      </c>
      <c r="D25" s="43">
        <f t="shared" si="2"/>
        <v>7.8000000000000007</v>
      </c>
      <c r="E25" s="44">
        <f t="shared" si="2"/>
        <v>8</v>
      </c>
      <c r="F25" s="151">
        <f t="shared" si="2"/>
        <v>0.2</v>
      </c>
      <c r="G25" s="45">
        <f>yaw_null</f>
        <v>0</v>
      </c>
      <c r="H25" s="28" t="s">
        <v>3560</v>
      </c>
      <c r="I25" s="88">
        <v>0</v>
      </c>
      <c r="J25" s="44">
        <f t="shared" si="0"/>
        <v>160</v>
      </c>
      <c r="K25" s="44">
        <f t="shared" ref="K25" si="9">K24</f>
        <v>170</v>
      </c>
      <c r="L25" s="44">
        <f t="shared" si="0"/>
        <v>150</v>
      </c>
      <c r="M25" s="152">
        <f t="shared" si="0"/>
        <v>210</v>
      </c>
    </row>
    <row r="26" spans="1:13" x14ac:dyDescent="0.25">
      <c r="A26" s="41">
        <f t="shared" si="1"/>
        <v>4006</v>
      </c>
      <c r="B26" s="42">
        <f t="shared" si="1"/>
        <v>16</v>
      </c>
      <c r="C26" s="41" t="s">
        <v>3342</v>
      </c>
      <c r="D26" s="43">
        <f t="shared" si="2"/>
        <v>7.8000000000000007</v>
      </c>
      <c r="E26" s="44">
        <f t="shared" si="2"/>
        <v>8</v>
      </c>
      <c r="F26" s="151">
        <f t="shared" si="2"/>
        <v>0.2</v>
      </c>
      <c r="G26" s="45">
        <f>yaw_null</f>
        <v>0</v>
      </c>
      <c r="H26" s="28" t="s">
        <v>3561</v>
      </c>
      <c r="I26" s="28">
        <v>0</v>
      </c>
      <c r="J26" s="44">
        <f t="shared" si="0"/>
        <v>160</v>
      </c>
      <c r="K26" s="44">
        <f t="shared" ref="K26" si="10">K25</f>
        <v>170</v>
      </c>
      <c r="L26" s="44">
        <f t="shared" si="0"/>
        <v>150</v>
      </c>
      <c r="M26" s="152">
        <f t="shared" si="0"/>
        <v>210</v>
      </c>
    </row>
    <row r="27" spans="1:13" x14ac:dyDescent="0.25">
      <c r="A27" s="41">
        <f t="shared" si="1"/>
        <v>4007</v>
      </c>
      <c r="B27" s="42">
        <f t="shared" si="1"/>
        <v>17</v>
      </c>
      <c r="C27" s="41" t="s">
        <v>3343</v>
      </c>
      <c r="D27" s="43">
        <f t="shared" si="2"/>
        <v>7.8000000000000007</v>
      </c>
      <c r="E27" s="44">
        <f t="shared" si="2"/>
        <v>8</v>
      </c>
      <c r="F27" s="151">
        <f t="shared" si="2"/>
        <v>0.2</v>
      </c>
      <c r="G27" s="45">
        <f>yaw_max</f>
        <v>8</v>
      </c>
      <c r="H27" s="28" t="s">
        <v>3562</v>
      </c>
      <c r="I27" s="88">
        <v>0</v>
      </c>
      <c r="J27" s="44">
        <f t="shared" si="0"/>
        <v>160</v>
      </c>
      <c r="K27" s="44">
        <f t="shared" ref="K27" si="11">K26</f>
        <v>170</v>
      </c>
      <c r="L27" s="44">
        <f t="shared" si="0"/>
        <v>150</v>
      </c>
      <c r="M27" s="152">
        <f t="shared" si="0"/>
        <v>210</v>
      </c>
    </row>
    <row r="28" spans="1:13" x14ac:dyDescent="0.25">
      <c r="A28" s="41">
        <f t="shared" si="1"/>
        <v>4008</v>
      </c>
      <c r="B28" s="42">
        <f t="shared" si="1"/>
        <v>18</v>
      </c>
      <c r="C28" s="41" t="s">
        <v>3344</v>
      </c>
      <c r="D28" s="43">
        <f t="shared" si="2"/>
        <v>7.8000000000000007</v>
      </c>
      <c r="E28" s="44">
        <f t="shared" si="2"/>
        <v>8</v>
      </c>
      <c r="F28" s="151">
        <f t="shared" si="2"/>
        <v>0.2</v>
      </c>
      <c r="G28" s="45">
        <f>yaw_max</f>
        <v>8</v>
      </c>
      <c r="H28" s="153" t="s">
        <v>3563</v>
      </c>
      <c r="I28" s="28">
        <v>0</v>
      </c>
      <c r="J28" s="44">
        <f t="shared" ref="J28:M43" si="12">J27</f>
        <v>160</v>
      </c>
      <c r="K28" s="44">
        <f t="shared" si="12"/>
        <v>170</v>
      </c>
      <c r="L28" s="44">
        <f t="shared" si="12"/>
        <v>150</v>
      </c>
      <c r="M28" s="152">
        <f t="shared" si="12"/>
        <v>210</v>
      </c>
    </row>
    <row r="29" spans="1:13" x14ac:dyDescent="0.25">
      <c r="A29" s="41">
        <f t="shared" ref="A29:B44" si="13">A28+1</f>
        <v>4009</v>
      </c>
      <c r="B29" s="42">
        <f t="shared" si="13"/>
        <v>19</v>
      </c>
      <c r="C29" s="41" t="s">
        <v>3345</v>
      </c>
      <c r="D29" s="43">
        <f t="shared" ref="D29:F41" si="14">D28</f>
        <v>7.8000000000000007</v>
      </c>
      <c r="E29" s="44">
        <f t="shared" si="14"/>
        <v>8</v>
      </c>
      <c r="F29" s="151">
        <f t="shared" si="14"/>
        <v>0.2</v>
      </c>
      <c r="G29" s="45">
        <f>yaw_min</f>
        <v>-8</v>
      </c>
      <c r="H29" s="28" t="s">
        <v>3558</v>
      </c>
      <c r="I29" s="88">
        <v>0</v>
      </c>
      <c r="J29" s="44">
        <f t="shared" si="12"/>
        <v>160</v>
      </c>
      <c r="K29" s="44">
        <f>J29+t_eqk/4*3</f>
        <v>175</v>
      </c>
      <c r="L29" s="44">
        <f t="shared" si="12"/>
        <v>150</v>
      </c>
      <c r="M29" s="152">
        <f t="shared" si="12"/>
        <v>210</v>
      </c>
    </row>
    <row r="30" spans="1:13" x14ac:dyDescent="0.25">
      <c r="A30" s="41">
        <f t="shared" si="13"/>
        <v>4010</v>
      </c>
      <c r="B30" s="42">
        <f t="shared" si="13"/>
        <v>20</v>
      </c>
      <c r="C30" s="41" t="s">
        <v>3346</v>
      </c>
      <c r="D30" s="43">
        <f t="shared" si="14"/>
        <v>7.8000000000000007</v>
      </c>
      <c r="E30" s="44">
        <f t="shared" si="14"/>
        <v>8</v>
      </c>
      <c r="F30" s="151">
        <f t="shared" si="14"/>
        <v>0.2</v>
      </c>
      <c r="G30" s="45">
        <f>yaw_min</f>
        <v>-8</v>
      </c>
      <c r="H30" s="28" t="s">
        <v>3559</v>
      </c>
      <c r="I30" s="28">
        <v>0</v>
      </c>
      <c r="J30" s="44">
        <f t="shared" si="12"/>
        <v>160</v>
      </c>
      <c r="K30" s="44">
        <f t="shared" ref="K30:K34" si="15">K29</f>
        <v>175</v>
      </c>
      <c r="L30" s="44">
        <f t="shared" si="12"/>
        <v>150</v>
      </c>
      <c r="M30" s="152">
        <f t="shared" si="12"/>
        <v>210</v>
      </c>
    </row>
    <row r="31" spans="1:13" x14ac:dyDescent="0.25">
      <c r="A31" s="41">
        <f t="shared" si="13"/>
        <v>4011</v>
      </c>
      <c r="B31" s="42">
        <f t="shared" si="13"/>
        <v>21</v>
      </c>
      <c r="C31" s="41" t="s">
        <v>3347</v>
      </c>
      <c r="D31" s="43">
        <f t="shared" si="14"/>
        <v>7.8000000000000007</v>
      </c>
      <c r="E31" s="44">
        <f t="shared" si="14"/>
        <v>8</v>
      </c>
      <c r="F31" s="151">
        <f t="shared" si="14"/>
        <v>0.2</v>
      </c>
      <c r="G31" s="45">
        <f>yaw_null</f>
        <v>0</v>
      </c>
      <c r="H31" s="28" t="s">
        <v>3560</v>
      </c>
      <c r="I31" s="88">
        <v>0</v>
      </c>
      <c r="J31" s="44">
        <f t="shared" si="12"/>
        <v>160</v>
      </c>
      <c r="K31" s="44">
        <f t="shared" si="15"/>
        <v>175</v>
      </c>
      <c r="L31" s="44">
        <f t="shared" si="12"/>
        <v>150</v>
      </c>
      <c r="M31" s="152">
        <f t="shared" si="12"/>
        <v>210</v>
      </c>
    </row>
    <row r="32" spans="1:13" x14ac:dyDescent="0.25">
      <c r="A32" s="41">
        <f t="shared" si="13"/>
        <v>4012</v>
      </c>
      <c r="B32" s="42">
        <f t="shared" si="13"/>
        <v>22</v>
      </c>
      <c r="C32" s="41" t="s">
        <v>3348</v>
      </c>
      <c r="D32" s="43">
        <f t="shared" si="14"/>
        <v>7.8000000000000007</v>
      </c>
      <c r="E32" s="44">
        <f t="shared" si="14"/>
        <v>8</v>
      </c>
      <c r="F32" s="151">
        <f t="shared" si="14"/>
        <v>0.2</v>
      </c>
      <c r="G32" s="45">
        <f>yaw_null</f>
        <v>0</v>
      </c>
      <c r="H32" s="28" t="s">
        <v>3561</v>
      </c>
      <c r="I32" s="28">
        <v>0</v>
      </c>
      <c r="J32" s="44">
        <f t="shared" si="12"/>
        <v>160</v>
      </c>
      <c r="K32" s="44">
        <f t="shared" si="15"/>
        <v>175</v>
      </c>
      <c r="L32" s="44">
        <f t="shared" si="12"/>
        <v>150</v>
      </c>
      <c r="M32" s="152">
        <f t="shared" si="12"/>
        <v>210</v>
      </c>
    </row>
    <row r="33" spans="1:13" x14ac:dyDescent="0.25">
      <c r="A33" s="41">
        <f t="shared" si="13"/>
        <v>4013</v>
      </c>
      <c r="B33" s="42">
        <f t="shared" si="13"/>
        <v>23</v>
      </c>
      <c r="C33" s="41" t="s">
        <v>3349</v>
      </c>
      <c r="D33" s="43">
        <f t="shared" si="14"/>
        <v>7.8000000000000007</v>
      </c>
      <c r="E33" s="44">
        <f t="shared" si="14"/>
        <v>8</v>
      </c>
      <c r="F33" s="151">
        <f t="shared" si="14"/>
        <v>0.2</v>
      </c>
      <c r="G33" s="45">
        <f>yaw_max</f>
        <v>8</v>
      </c>
      <c r="H33" s="28" t="s">
        <v>3562</v>
      </c>
      <c r="I33" s="88">
        <v>0</v>
      </c>
      <c r="J33" s="44">
        <f t="shared" si="12"/>
        <v>160</v>
      </c>
      <c r="K33" s="44">
        <f t="shared" si="15"/>
        <v>175</v>
      </c>
      <c r="L33" s="44">
        <f t="shared" si="12"/>
        <v>150</v>
      </c>
      <c r="M33" s="152">
        <f t="shared" si="12"/>
        <v>210</v>
      </c>
    </row>
    <row r="34" spans="1:13" x14ac:dyDescent="0.25">
      <c r="A34" s="41">
        <f t="shared" si="13"/>
        <v>4014</v>
      </c>
      <c r="B34" s="42">
        <f t="shared" si="13"/>
        <v>24</v>
      </c>
      <c r="C34" s="41" t="s">
        <v>3350</v>
      </c>
      <c r="D34" s="43">
        <f t="shared" si="14"/>
        <v>7.8000000000000007</v>
      </c>
      <c r="E34" s="44">
        <f t="shared" si="14"/>
        <v>8</v>
      </c>
      <c r="F34" s="151">
        <f t="shared" si="14"/>
        <v>0.2</v>
      </c>
      <c r="G34" s="45">
        <f>yaw_max</f>
        <v>8</v>
      </c>
      <c r="H34" s="153" t="s">
        <v>3563</v>
      </c>
      <c r="I34" s="28">
        <v>0</v>
      </c>
      <c r="J34" s="44">
        <f t="shared" si="12"/>
        <v>160</v>
      </c>
      <c r="K34" s="44">
        <f t="shared" si="15"/>
        <v>175</v>
      </c>
      <c r="L34" s="44">
        <f t="shared" si="12"/>
        <v>150</v>
      </c>
      <c r="M34" s="152">
        <f t="shared" si="12"/>
        <v>210</v>
      </c>
    </row>
    <row r="35" spans="1:13" x14ac:dyDescent="0.25">
      <c r="A35" s="41">
        <f t="shared" si="13"/>
        <v>4015</v>
      </c>
      <c r="B35" s="42">
        <f t="shared" si="13"/>
        <v>25</v>
      </c>
      <c r="C35" s="41" t="s">
        <v>3351</v>
      </c>
      <c r="D35" s="43">
        <f t="shared" si="14"/>
        <v>7.8000000000000007</v>
      </c>
      <c r="E35" s="44">
        <f t="shared" si="14"/>
        <v>8</v>
      </c>
      <c r="F35" s="151">
        <f t="shared" si="14"/>
        <v>0.2</v>
      </c>
      <c r="G35" s="45">
        <f>yaw_min</f>
        <v>-8</v>
      </c>
      <c r="H35" s="28" t="s">
        <v>3558</v>
      </c>
      <c r="I35" s="88">
        <v>0</v>
      </c>
      <c r="J35" s="44">
        <f t="shared" si="12"/>
        <v>160</v>
      </c>
      <c r="K35" s="44">
        <f>J35+t_eqk/4*4</f>
        <v>180</v>
      </c>
      <c r="L35" s="44">
        <f t="shared" si="12"/>
        <v>150</v>
      </c>
      <c r="M35" s="152">
        <f t="shared" si="12"/>
        <v>210</v>
      </c>
    </row>
    <row r="36" spans="1:13" x14ac:dyDescent="0.25">
      <c r="A36" s="41">
        <f t="shared" si="13"/>
        <v>4016</v>
      </c>
      <c r="B36" s="42">
        <f t="shared" si="13"/>
        <v>26</v>
      </c>
      <c r="C36" s="41" t="s">
        <v>3352</v>
      </c>
      <c r="D36" s="43">
        <f t="shared" si="14"/>
        <v>7.8000000000000007</v>
      </c>
      <c r="E36" s="44">
        <f t="shared" si="14"/>
        <v>8</v>
      </c>
      <c r="F36" s="151">
        <f t="shared" si="14"/>
        <v>0.2</v>
      </c>
      <c r="G36" s="45">
        <f>yaw_min</f>
        <v>-8</v>
      </c>
      <c r="H36" s="28" t="s">
        <v>3559</v>
      </c>
      <c r="I36" s="28">
        <v>0</v>
      </c>
      <c r="J36" s="44">
        <f t="shared" si="12"/>
        <v>160</v>
      </c>
      <c r="K36" s="44">
        <f t="shared" ref="K36" si="16">K35</f>
        <v>180</v>
      </c>
      <c r="L36" s="44">
        <f t="shared" si="12"/>
        <v>150</v>
      </c>
      <c r="M36" s="152">
        <f t="shared" si="12"/>
        <v>210</v>
      </c>
    </row>
    <row r="37" spans="1:13" x14ac:dyDescent="0.25">
      <c r="A37" s="41">
        <f t="shared" si="13"/>
        <v>4017</v>
      </c>
      <c r="B37" s="42">
        <f t="shared" si="13"/>
        <v>27</v>
      </c>
      <c r="C37" s="41" t="s">
        <v>3353</v>
      </c>
      <c r="D37" s="43">
        <f t="shared" si="14"/>
        <v>7.8000000000000007</v>
      </c>
      <c r="E37" s="44">
        <f t="shared" si="14"/>
        <v>8</v>
      </c>
      <c r="F37" s="151">
        <f t="shared" si="14"/>
        <v>0.2</v>
      </c>
      <c r="G37" s="45">
        <f>yaw_null</f>
        <v>0</v>
      </c>
      <c r="H37" s="28" t="s">
        <v>3560</v>
      </c>
      <c r="I37" s="88">
        <v>0</v>
      </c>
      <c r="J37" s="44">
        <f t="shared" si="12"/>
        <v>160</v>
      </c>
      <c r="K37" s="44">
        <f t="shared" ref="K37" si="17">K36</f>
        <v>180</v>
      </c>
      <c r="L37" s="44">
        <f t="shared" si="12"/>
        <v>150</v>
      </c>
      <c r="M37" s="152">
        <f t="shared" si="12"/>
        <v>210</v>
      </c>
    </row>
    <row r="38" spans="1:13" x14ac:dyDescent="0.25">
      <c r="A38" s="41">
        <f t="shared" si="13"/>
        <v>4018</v>
      </c>
      <c r="B38" s="42">
        <f t="shared" si="13"/>
        <v>28</v>
      </c>
      <c r="C38" s="41" t="s">
        <v>3354</v>
      </c>
      <c r="D38" s="43">
        <f t="shared" si="14"/>
        <v>7.8000000000000007</v>
      </c>
      <c r="E38" s="44">
        <f t="shared" si="14"/>
        <v>8</v>
      </c>
      <c r="F38" s="151">
        <f t="shared" si="14"/>
        <v>0.2</v>
      </c>
      <c r="G38" s="45">
        <f>yaw_null</f>
        <v>0</v>
      </c>
      <c r="H38" s="28" t="s">
        <v>3561</v>
      </c>
      <c r="I38" s="28">
        <v>0</v>
      </c>
      <c r="J38" s="44">
        <f t="shared" si="12"/>
        <v>160</v>
      </c>
      <c r="K38" s="44">
        <f t="shared" ref="K38" si="18">K37</f>
        <v>180</v>
      </c>
      <c r="L38" s="44">
        <f t="shared" si="12"/>
        <v>150</v>
      </c>
      <c r="M38" s="152">
        <f t="shared" si="12"/>
        <v>210</v>
      </c>
    </row>
    <row r="39" spans="1:13" x14ac:dyDescent="0.25">
      <c r="A39" s="41">
        <f t="shared" si="13"/>
        <v>4019</v>
      </c>
      <c r="B39" s="42">
        <f t="shared" si="13"/>
        <v>29</v>
      </c>
      <c r="C39" s="41" t="s">
        <v>3355</v>
      </c>
      <c r="D39" s="43">
        <f t="shared" si="14"/>
        <v>7.8000000000000007</v>
      </c>
      <c r="E39" s="44">
        <f t="shared" si="14"/>
        <v>8</v>
      </c>
      <c r="F39" s="151">
        <f t="shared" si="14"/>
        <v>0.2</v>
      </c>
      <c r="G39" s="45">
        <f>yaw_max</f>
        <v>8</v>
      </c>
      <c r="H39" s="28" t="s">
        <v>3562</v>
      </c>
      <c r="I39" s="88">
        <v>0</v>
      </c>
      <c r="J39" s="44">
        <f t="shared" si="12"/>
        <v>160</v>
      </c>
      <c r="K39" s="44">
        <f t="shared" ref="K39" si="19">K38</f>
        <v>180</v>
      </c>
      <c r="L39" s="44">
        <f t="shared" si="12"/>
        <v>150</v>
      </c>
      <c r="M39" s="152">
        <f t="shared" si="12"/>
        <v>210</v>
      </c>
    </row>
    <row r="40" spans="1:13" x14ac:dyDescent="0.25">
      <c r="A40" s="41">
        <f t="shared" si="13"/>
        <v>4020</v>
      </c>
      <c r="B40" s="42">
        <f t="shared" si="13"/>
        <v>30</v>
      </c>
      <c r="C40" s="41" t="s">
        <v>3356</v>
      </c>
      <c r="D40" s="43">
        <f t="shared" si="14"/>
        <v>7.8000000000000007</v>
      </c>
      <c r="E40" s="44">
        <f t="shared" si="14"/>
        <v>8</v>
      </c>
      <c r="F40" s="151">
        <f t="shared" si="14"/>
        <v>0.2</v>
      </c>
      <c r="G40" s="137">
        <f>yaw_max</f>
        <v>8</v>
      </c>
      <c r="H40" s="28" t="s">
        <v>3563</v>
      </c>
      <c r="I40" s="28">
        <v>0</v>
      </c>
      <c r="J40" s="44">
        <f t="shared" si="12"/>
        <v>160</v>
      </c>
      <c r="K40" s="128">
        <f t="shared" si="12"/>
        <v>180</v>
      </c>
      <c r="L40" s="44">
        <f t="shared" si="12"/>
        <v>150</v>
      </c>
      <c r="M40" s="152">
        <f t="shared" si="12"/>
        <v>210</v>
      </c>
    </row>
    <row r="41" spans="1:13" x14ac:dyDescent="0.25">
      <c r="A41" s="41">
        <f t="shared" si="13"/>
        <v>4021</v>
      </c>
      <c r="B41" s="42">
        <f t="shared" si="13"/>
        <v>31</v>
      </c>
      <c r="C41" s="41" t="s">
        <v>3357</v>
      </c>
      <c r="D41" s="43">
        <f>v_r</f>
        <v>9.8000000000000007</v>
      </c>
      <c r="E41" s="44">
        <f t="shared" ref="E41" si="20">E40</f>
        <v>8</v>
      </c>
      <c r="F41" s="151">
        <f t="shared" si="14"/>
        <v>0.2</v>
      </c>
      <c r="G41" s="45">
        <f>yaw_min</f>
        <v>-8</v>
      </c>
      <c r="H41" s="28" t="s">
        <v>3558</v>
      </c>
      <c r="I41" s="88">
        <v>0</v>
      </c>
      <c r="J41" s="44">
        <f t="shared" si="12"/>
        <v>160</v>
      </c>
      <c r="K41" s="44">
        <f>J41</f>
        <v>160</v>
      </c>
      <c r="L41" s="44">
        <f t="shared" si="12"/>
        <v>150</v>
      </c>
      <c r="M41" s="152">
        <f t="shared" si="12"/>
        <v>210</v>
      </c>
    </row>
    <row r="42" spans="1:13" x14ac:dyDescent="0.25">
      <c r="A42" s="41">
        <f t="shared" si="13"/>
        <v>4022</v>
      </c>
      <c r="B42" s="42">
        <f t="shared" si="13"/>
        <v>32</v>
      </c>
      <c r="C42" s="41" t="s">
        <v>3358</v>
      </c>
      <c r="D42" s="43">
        <f>D41</f>
        <v>9.8000000000000007</v>
      </c>
      <c r="E42" s="44">
        <f t="shared" ref="E42" si="21">E41</f>
        <v>8</v>
      </c>
      <c r="F42" s="151">
        <f>F41</f>
        <v>0.2</v>
      </c>
      <c r="G42" s="45">
        <f>yaw_min</f>
        <v>-8</v>
      </c>
      <c r="H42" s="28" t="s">
        <v>3559</v>
      </c>
      <c r="I42" s="28">
        <v>0</v>
      </c>
      <c r="J42" s="44">
        <f t="shared" si="12"/>
        <v>160</v>
      </c>
      <c r="K42" s="44">
        <f t="shared" si="12"/>
        <v>160</v>
      </c>
      <c r="L42" s="44">
        <f t="shared" si="12"/>
        <v>150</v>
      </c>
      <c r="M42" s="152">
        <f t="shared" si="12"/>
        <v>210</v>
      </c>
    </row>
    <row r="43" spans="1:13" x14ac:dyDescent="0.25">
      <c r="A43" s="41">
        <f t="shared" si="13"/>
        <v>4023</v>
      </c>
      <c r="B43" s="42">
        <f t="shared" si="13"/>
        <v>33</v>
      </c>
      <c r="C43" s="41" t="s">
        <v>3359</v>
      </c>
      <c r="D43" s="43">
        <f t="shared" ref="D43:F58" si="22">D42</f>
        <v>9.8000000000000007</v>
      </c>
      <c r="E43" s="44">
        <f t="shared" si="22"/>
        <v>8</v>
      </c>
      <c r="F43" s="151">
        <f t="shared" si="22"/>
        <v>0.2</v>
      </c>
      <c r="G43" s="45">
        <f>yaw_null</f>
        <v>0</v>
      </c>
      <c r="H43" s="28" t="s">
        <v>3560</v>
      </c>
      <c r="I43" s="88">
        <v>0</v>
      </c>
      <c r="J43" s="44">
        <f t="shared" si="12"/>
        <v>160</v>
      </c>
      <c r="K43" s="44">
        <f t="shared" si="12"/>
        <v>160</v>
      </c>
      <c r="L43" s="44">
        <f t="shared" si="12"/>
        <v>150</v>
      </c>
      <c r="M43" s="152">
        <f t="shared" si="12"/>
        <v>210</v>
      </c>
    </row>
    <row r="44" spans="1:13" x14ac:dyDescent="0.25">
      <c r="A44" s="41">
        <f t="shared" si="13"/>
        <v>4024</v>
      </c>
      <c r="B44" s="42">
        <f t="shared" si="13"/>
        <v>34</v>
      </c>
      <c r="C44" s="41" t="s">
        <v>3360</v>
      </c>
      <c r="D44" s="43">
        <f t="shared" si="22"/>
        <v>9.8000000000000007</v>
      </c>
      <c r="E44" s="44">
        <f t="shared" si="22"/>
        <v>8</v>
      </c>
      <c r="F44" s="151">
        <f t="shared" si="22"/>
        <v>0.2</v>
      </c>
      <c r="G44" s="45">
        <f>yaw_null</f>
        <v>0</v>
      </c>
      <c r="H44" s="28" t="s">
        <v>3561</v>
      </c>
      <c r="I44" s="28">
        <v>0</v>
      </c>
      <c r="J44" s="44">
        <f t="shared" ref="J44:M59" si="23">J43</f>
        <v>160</v>
      </c>
      <c r="K44" s="44">
        <f t="shared" si="23"/>
        <v>160</v>
      </c>
      <c r="L44" s="44">
        <f t="shared" si="23"/>
        <v>150</v>
      </c>
      <c r="M44" s="152">
        <f t="shared" si="23"/>
        <v>210</v>
      </c>
    </row>
    <row r="45" spans="1:13" x14ac:dyDescent="0.25">
      <c r="A45" s="41">
        <f t="shared" ref="A45:B60" si="24">A44+1</f>
        <v>4025</v>
      </c>
      <c r="B45" s="42">
        <f t="shared" si="24"/>
        <v>35</v>
      </c>
      <c r="C45" s="41" t="s">
        <v>3361</v>
      </c>
      <c r="D45" s="43">
        <f t="shared" si="22"/>
        <v>9.8000000000000007</v>
      </c>
      <c r="E45" s="44">
        <f t="shared" si="22"/>
        <v>8</v>
      </c>
      <c r="F45" s="151">
        <f t="shared" si="22"/>
        <v>0.2</v>
      </c>
      <c r="G45" s="45">
        <f>yaw_max</f>
        <v>8</v>
      </c>
      <c r="H45" s="28" t="s">
        <v>3562</v>
      </c>
      <c r="I45" s="88">
        <v>0</v>
      </c>
      <c r="J45" s="44">
        <f t="shared" si="23"/>
        <v>160</v>
      </c>
      <c r="K45" s="44">
        <f t="shared" si="23"/>
        <v>160</v>
      </c>
      <c r="L45" s="44">
        <f t="shared" si="23"/>
        <v>150</v>
      </c>
      <c r="M45" s="152">
        <f t="shared" si="23"/>
        <v>210</v>
      </c>
    </row>
    <row r="46" spans="1:13" x14ac:dyDescent="0.25">
      <c r="A46" s="41">
        <f t="shared" si="24"/>
        <v>4026</v>
      </c>
      <c r="B46" s="42">
        <f t="shared" si="24"/>
        <v>36</v>
      </c>
      <c r="C46" s="41" t="s">
        <v>3362</v>
      </c>
      <c r="D46" s="43">
        <f t="shared" si="22"/>
        <v>9.8000000000000007</v>
      </c>
      <c r="E46" s="44">
        <f t="shared" si="22"/>
        <v>8</v>
      </c>
      <c r="F46" s="151">
        <f t="shared" si="22"/>
        <v>0.2</v>
      </c>
      <c r="G46" s="45">
        <f>yaw_max</f>
        <v>8</v>
      </c>
      <c r="H46" s="153" t="s">
        <v>3563</v>
      </c>
      <c r="I46" s="28">
        <v>0</v>
      </c>
      <c r="J46" s="44">
        <f t="shared" si="23"/>
        <v>160</v>
      </c>
      <c r="K46" s="128">
        <f t="shared" si="23"/>
        <v>160</v>
      </c>
      <c r="L46" s="44">
        <f t="shared" si="23"/>
        <v>150</v>
      </c>
      <c r="M46" s="152">
        <f t="shared" si="23"/>
        <v>210</v>
      </c>
    </row>
    <row r="47" spans="1:13" x14ac:dyDescent="0.25">
      <c r="A47" s="41">
        <f t="shared" si="24"/>
        <v>4027</v>
      </c>
      <c r="B47" s="42">
        <f t="shared" si="24"/>
        <v>37</v>
      </c>
      <c r="C47" s="41" t="s">
        <v>3363</v>
      </c>
      <c r="D47" s="43">
        <f t="shared" si="22"/>
        <v>9.8000000000000007</v>
      </c>
      <c r="E47" s="44">
        <f t="shared" si="22"/>
        <v>8</v>
      </c>
      <c r="F47" s="151">
        <f t="shared" si="22"/>
        <v>0.2</v>
      </c>
      <c r="G47" s="45">
        <f>yaw_min</f>
        <v>-8</v>
      </c>
      <c r="H47" s="28" t="s">
        <v>3558</v>
      </c>
      <c r="I47" s="88">
        <v>0</v>
      </c>
      <c r="J47" s="44">
        <f t="shared" si="23"/>
        <v>160</v>
      </c>
      <c r="K47" s="44">
        <f>J47+t_eqk/4</f>
        <v>165</v>
      </c>
      <c r="L47" s="44">
        <f t="shared" si="23"/>
        <v>150</v>
      </c>
      <c r="M47" s="152">
        <f t="shared" si="23"/>
        <v>210</v>
      </c>
    </row>
    <row r="48" spans="1:13" x14ac:dyDescent="0.25">
      <c r="A48" s="41">
        <f t="shared" si="24"/>
        <v>4028</v>
      </c>
      <c r="B48" s="42">
        <f t="shared" si="24"/>
        <v>38</v>
      </c>
      <c r="C48" s="41" t="s">
        <v>3364</v>
      </c>
      <c r="D48" s="43">
        <f t="shared" si="22"/>
        <v>9.8000000000000007</v>
      </c>
      <c r="E48" s="44">
        <f t="shared" si="22"/>
        <v>8</v>
      </c>
      <c r="F48" s="151">
        <f t="shared" si="22"/>
        <v>0.2</v>
      </c>
      <c r="G48" s="45">
        <f>yaw_min</f>
        <v>-8</v>
      </c>
      <c r="H48" s="28" t="s">
        <v>3559</v>
      </c>
      <c r="I48" s="28">
        <v>0</v>
      </c>
      <c r="J48" s="44">
        <f t="shared" si="23"/>
        <v>160</v>
      </c>
      <c r="K48" s="44">
        <f t="shared" si="23"/>
        <v>165</v>
      </c>
      <c r="L48" s="44">
        <f t="shared" si="23"/>
        <v>150</v>
      </c>
      <c r="M48" s="152">
        <f t="shared" si="23"/>
        <v>210</v>
      </c>
    </row>
    <row r="49" spans="1:13" x14ac:dyDescent="0.25">
      <c r="A49" s="41">
        <f t="shared" si="24"/>
        <v>4029</v>
      </c>
      <c r="B49" s="42">
        <f t="shared" si="24"/>
        <v>39</v>
      </c>
      <c r="C49" s="41" t="s">
        <v>3365</v>
      </c>
      <c r="D49" s="43">
        <f t="shared" si="22"/>
        <v>9.8000000000000007</v>
      </c>
      <c r="E49" s="44">
        <f t="shared" si="22"/>
        <v>8</v>
      </c>
      <c r="F49" s="151">
        <f t="shared" si="22"/>
        <v>0.2</v>
      </c>
      <c r="G49" s="45">
        <f>yaw_null</f>
        <v>0</v>
      </c>
      <c r="H49" s="28" t="s">
        <v>3560</v>
      </c>
      <c r="I49" s="88">
        <v>0</v>
      </c>
      <c r="J49" s="44">
        <f t="shared" si="23"/>
        <v>160</v>
      </c>
      <c r="K49" s="44">
        <f t="shared" si="23"/>
        <v>165</v>
      </c>
      <c r="L49" s="44">
        <f t="shared" si="23"/>
        <v>150</v>
      </c>
      <c r="M49" s="152">
        <f t="shared" si="23"/>
        <v>210</v>
      </c>
    </row>
    <row r="50" spans="1:13" x14ac:dyDescent="0.25">
      <c r="A50" s="41">
        <f t="shared" si="24"/>
        <v>4030</v>
      </c>
      <c r="B50" s="42">
        <f t="shared" si="24"/>
        <v>40</v>
      </c>
      <c r="C50" s="41" t="s">
        <v>3366</v>
      </c>
      <c r="D50" s="43">
        <f t="shared" si="22"/>
        <v>9.8000000000000007</v>
      </c>
      <c r="E50" s="44">
        <f t="shared" si="22"/>
        <v>8</v>
      </c>
      <c r="F50" s="151">
        <f t="shared" si="22"/>
        <v>0.2</v>
      </c>
      <c r="G50" s="45">
        <f>yaw_null</f>
        <v>0</v>
      </c>
      <c r="H50" s="28" t="s">
        <v>3561</v>
      </c>
      <c r="I50" s="28">
        <v>0</v>
      </c>
      <c r="J50" s="44">
        <f t="shared" si="23"/>
        <v>160</v>
      </c>
      <c r="K50" s="44">
        <f t="shared" si="23"/>
        <v>165</v>
      </c>
      <c r="L50" s="44">
        <f t="shared" si="23"/>
        <v>150</v>
      </c>
      <c r="M50" s="152">
        <f t="shared" si="23"/>
        <v>210</v>
      </c>
    </row>
    <row r="51" spans="1:13" x14ac:dyDescent="0.25">
      <c r="A51" s="41">
        <f t="shared" si="24"/>
        <v>4031</v>
      </c>
      <c r="B51" s="42">
        <f t="shared" si="24"/>
        <v>41</v>
      </c>
      <c r="C51" s="41" t="s">
        <v>3367</v>
      </c>
      <c r="D51" s="43">
        <f t="shared" si="22"/>
        <v>9.8000000000000007</v>
      </c>
      <c r="E51" s="44">
        <f t="shared" si="22"/>
        <v>8</v>
      </c>
      <c r="F51" s="151">
        <f t="shared" si="22"/>
        <v>0.2</v>
      </c>
      <c r="G51" s="45">
        <f>yaw_max</f>
        <v>8</v>
      </c>
      <c r="H51" s="28" t="s">
        <v>3562</v>
      </c>
      <c r="I51" s="88">
        <v>0</v>
      </c>
      <c r="J51" s="44">
        <f t="shared" si="23"/>
        <v>160</v>
      </c>
      <c r="K51" s="44">
        <f t="shared" si="23"/>
        <v>165</v>
      </c>
      <c r="L51" s="44">
        <f t="shared" si="23"/>
        <v>150</v>
      </c>
      <c r="M51" s="152">
        <f t="shared" si="23"/>
        <v>210</v>
      </c>
    </row>
    <row r="52" spans="1:13" x14ac:dyDescent="0.25">
      <c r="A52" s="41">
        <f t="shared" si="24"/>
        <v>4032</v>
      </c>
      <c r="B52" s="42">
        <f t="shared" si="24"/>
        <v>42</v>
      </c>
      <c r="C52" s="41" t="s">
        <v>3368</v>
      </c>
      <c r="D52" s="43">
        <f t="shared" si="22"/>
        <v>9.8000000000000007</v>
      </c>
      <c r="E52" s="44">
        <f t="shared" si="22"/>
        <v>8</v>
      </c>
      <c r="F52" s="151">
        <f t="shared" si="22"/>
        <v>0.2</v>
      </c>
      <c r="G52" s="45">
        <f>yaw_max</f>
        <v>8</v>
      </c>
      <c r="H52" s="28" t="s">
        <v>3563</v>
      </c>
      <c r="I52" s="28">
        <v>0</v>
      </c>
      <c r="J52" s="44">
        <f t="shared" si="23"/>
        <v>160</v>
      </c>
      <c r="K52" s="44">
        <f t="shared" si="23"/>
        <v>165</v>
      </c>
      <c r="L52" s="44">
        <f t="shared" si="23"/>
        <v>150</v>
      </c>
      <c r="M52" s="152">
        <f t="shared" si="23"/>
        <v>210</v>
      </c>
    </row>
    <row r="53" spans="1:13" x14ac:dyDescent="0.25">
      <c r="A53" s="41">
        <f t="shared" si="24"/>
        <v>4033</v>
      </c>
      <c r="B53" s="42">
        <f t="shared" si="24"/>
        <v>43</v>
      </c>
      <c r="C53" s="41" t="s">
        <v>3369</v>
      </c>
      <c r="D53" s="43">
        <f t="shared" si="22"/>
        <v>9.8000000000000007</v>
      </c>
      <c r="E53" s="44">
        <f t="shared" si="22"/>
        <v>8</v>
      </c>
      <c r="F53" s="151">
        <f t="shared" si="22"/>
        <v>0.2</v>
      </c>
      <c r="G53" s="45">
        <f>yaw_min</f>
        <v>-8</v>
      </c>
      <c r="H53" s="28" t="s">
        <v>3558</v>
      </c>
      <c r="I53" s="88">
        <v>0</v>
      </c>
      <c r="J53" s="44">
        <f t="shared" si="23"/>
        <v>160</v>
      </c>
      <c r="K53" s="44">
        <f>J53+t_eqk/4*2</f>
        <v>170</v>
      </c>
      <c r="L53" s="44">
        <f t="shared" si="23"/>
        <v>150</v>
      </c>
      <c r="M53" s="152">
        <f t="shared" si="23"/>
        <v>210</v>
      </c>
    </row>
    <row r="54" spans="1:13" x14ac:dyDescent="0.25">
      <c r="A54" s="41">
        <f t="shared" si="24"/>
        <v>4034</v>
      </c>
      <c r="B54" s="42">
        <f t="shared" si="24"/>
        <v>44</v>
      </c>
      <c r="C54" s="41" t="s">
        <v>3370</v>
      </c>
      <c r="D54" s="43">
        <f t="shared" si="22"/>
        <v>9.8000000000000007</v>
      </c>
      <c r="E54" s="44">
        <f t="shared" si="22"/>
        <v>8</v>
      </c>
      <c r="F54" s="151">
        <f t="shared" si="22"/>
        <v>0.2</v>
      </c>
      <c r="G54" s="45">
        <f>yaw_min</f>
        <v>-8</v>
      </c>
      <c r="H54" s="28" t="s">
        <v>3559</v>
      </c>
      <c r="I54" s="28">
        <v>0</v>
      </c>
      <c r="J54" s="44">
        <f t="shared" si="23"/>
        <v>160</v>
      </c>
      <c r="K54" s="44">
        <f t="shared" si="23"/>
        <v>170</v>
      </c>
      <c r="L54" s="44">
        <f t="shared" si="23"/>
        <v>150</v>
      </c>
      <c r="M54" s="152">
        <f t="shared" si="23"/>
        <v>210</v>
      </c>
    </row>
    <row r="55" spans="1:13" x14ac:dyDescent="0.25">
      <c r="A55" s="41">
        <f t="shared" si="24"/>
        <v>4035</v>
      </c>
      <c r="B55" s="42">
        <f t="shared" si="24"/>
        <v>45</v>
      </c>
      <c r="C55" s="41" t="s">
        <v>3371</v>
      </c>
      <c r="D55" s="43">
        <f t="shared" si="22"/>
        <v>9.8000000000000007</v>
      </c>
      <c r="E55" s="44">
        <f t="shared" si="22"/>
        <v>8</v>
      </c>
      <c r="F55" s="151">
        <f t="shared" si="22"/>
        <v>0.2</v>
      </c>
      <c r="G55" s="45">
        <f>yaw_null</f>
        <v>0</v>
      </c>
      <c r="H55" s="28" t="s">
        <v>3560</v>
      </c>
      <c r="I55" s="88">
        <v>0</v>
      </c>
      <c r="J55" s="44">
        <f t="shared" si="23"/>
        <v>160</v>
      </c>
      <c r="K55" s="44">
        <f t="shared" si="23"/>
        <v>170</v>
      </c>
      <c r="L55" s="44">
        <f t="shared" si="23"/>
        <v>150</v>
      </c>
      <c r="M55" s="152">
        <f t="shared" si="23"/>
        <v>210</v>
      </c>
    </row>
    <row r="56" spans="1:13" x14ac:dyDescent="0.25">
      <c r="A56" s="41">
        <f t="shared" si="24"/>
        <v>4036</v>
      </c>
      <c r="B56" s="42">
        <f t="shared" si="24"/>
        <v>46</v>
      </c>
      <c r="C56" s="41" t="s">
        <v>3372</v>
      </c>
      <c r="D56" s="43">
        <f t="shared" si="22"/>
        <v>9.8000000000000007</v>
      </c>
      <c r="E56" s="44">
        <f t="shared" si="22"/>
        <v>8</v>
      </c>
      <c r="F56" s="151">
        <f t="shared" si="22"/>
        <v>0.2</v>
      </c>
      <c r="G56" s="45">
        <f>yaw_null</f>
        <v>0</v>
      </c>
      <c r="H56" s="28" t="s">
        <v>3561</v>
      </c>
      <c r="I56" s="28">
        <v>0</v>
      </c>
      <c r="J56" s="44">
        <f t="shared" si="23"/>
        <v>160</v>
      </c>
      <c r="K56" s="44">
        <f t="shared" si="23"/>
        <v>170</v>
      </c>
      <c r="L56" s="44">
        <f t="shared" si="23"/>
        <v>150</v>
      </c>
      <c r="M56" s="152">
        <f t="shared" si="23"/>
        <v>210</v>
      </c>
    </row>
    <row r="57" spans="1:13" x14ac:dyDescent="0.25">
      <c r="A57" s="41">
        <f t="shared" si="24"/>
        <v>4037</v>
      </c>
      <c r="B57" s="42">
        <f t="shared" si="24"/>
        <v>47</v>
      </c>
      <c r="C57" s="41" t="s">
        <v>3373</v>
      </c>
      <c r="D57" s="43">
        <f t="shared" si="22"/>
        <v>9.8000000000000007</v>
      </c>
      <c r="E57" s="44">
        <f t="shared" si="22"/>
        <v>8</v>
      </c>
      <c r="F57" s="151">
        <f t="shared" si="22"/>
        <v>0.2</v>
      </c>
      <c r="G57" s="45">
        <f>yaw_max</f>
        <v>8</v>
      </c>
      <c r="H57" s="28" t="s">
        <v>3562</v>
      </c>
      <c r="I57" s="88">
        <v>0</v>
      </c>
      <c r="J57" s="44">
        <f t="shared" si="23"/>
        <v>160</v>
      </c>
      <c r="K57" s="44">
        <f t="shared" si="23"/>
        <v>170</v>
      </c>
      <c r="L57" s="44">
        <f t="shared" si="23"/>
        <v>150</v>
      </c>
      <c r="M57" s="152">
        <f t="shared" si="23"/>
        <v>210</v>
      </c>
    </row>
    <row r="58" spans="1:13" x14ac:dyDescent="0.25">
      <c r="A58" s="41">
        <f t="shared" si="24"/>
        <v>4038</v>
      </c>
      <c r="B58" s="42">
        <f t="shared" si="24"/>
        <v>48</v>
      </c>
      <c r="C58" s="41" t="s">
        <v>3374</v>
      </c>
      <c r="D58" s="43">
        <f t="shared" si="22"/>
        <v>9.8000000000000007</v>
      </c>
      <c r="E58" s="44">
        <f t="shared" si="22"/>
        <v>8</v>
      </c>
      <c r="F58" s="151">
        <f t="shared" si="22"/>
        <v>0.2</v>
      </c>
      <c r="G58" s="45">
        <f>yaw_max</f>
        <v>8</v>
      </c>
      <c r="H58" s="153" t="s">
        <v>3563</v>
      </c>
      <c r="I58" s="28">
        <v>0</v>
      </c>
      <c r="J58" s="44">
        <f t="shared" si="23"/>
        <v>160</v>
      </c>
      <c r="K58" s="44">
        <f t="shared" si="23"/>
        <v>170</v>
      </c>
      <c r="L58" s="44">
        <f t="shared" si="23"/>
        <v>150</v>
      </c>
      <c r="M58" s="152">
        <f t="shared" si="23"/>
        <v>210</v>
      </c>
    </row>
    <row r="59" spans="1:13" x14ac:dyDescent="0.25">
      <c r="A59" s="41">
        <f t="shared" si="24"/>
        <v>4039</v>
      </c>
      <c r="B59" s="42">
        <f t="shared" si="24"/>
        <v>49</v>
      </c>
      <c r="C59" s="41" t="s">
        <v>3375</v>
      </c>
      <c r="D59" s="43">
        <f t="shared" ref="D59:F72" si="25">D58</f>
        <v>9.8000000000000007</v>
      </c>
      <c r="E59" s="44">
        <f t="shared" si="25"/>
        <v>8</v>
      </c>
      <c r="F59" s="151">
        <f t="shared" si="25"/>
        <v>0.2</v>
      </c>
      <c r="G59" s="45">
        <f>yaw_min</f>
        <v>-8</v>
      </c>
      <c r="H59" s="28" t="s">
        <v>3558</v>
      </c>
      <c r="I59" s="88">
        <v>0</v>
      </c>
      <c r="J59" s="44">
        <f t="shared" si="23"/>
        <v>160</v>
      </c>
      <c r="K59" s="44">
        <f>J59+t_eqk/4*3</f>
        <v>175</v>
      </c>
      <c r="L59" s="44">
        <f t="shared" si="23"/>
        <v>150</v>
      </c>
      <c r="M59" s="152">
        <f t="shared" si="23"/>
        <v>210</v>
      </c>
    </row>
    <row r="60" spans="1:13" x14ac:dyDescent="0.25">
      <c r="A60" s="41">
        <f t="shared" si="24"/>
        <v>4040</v>
      </c>
      <c r="B60" s="42">
        <f t="shared" si="24"/>
        <v>50</v>
      </c>
      <c r="C60" s="41" t="s">
        <v>3376</v>
      </c>
      <c r="D60" s="43">
        <f t="shared" si="25"/>
        <v>9.8000000000000007</v>
      </c>
      <c r="E60" s="44">
        <f t="shared" si="25"/>
        <v>8</v>
      </c>
      <c r="F60" s="151">
        <f t="shared" si="25"/>
        <v>0.2</v>
      </c>
      <c r="G60" s="45">
        <f>yaw_min</f>
        <v>-8</v>
      </c>
      <c r="H60" s="28" t="s">
        <v>3559</v>
      </c>
      <c r="I60" s="28">
        <v>0</v>
      </c>
      <c r="J60" s="44">
        <f t="shared" ref="J60:M70" si="26">J59</f>
        <v>160</v>
      </c>
      <c r="K60" s="44">
        <f t="shared" si="26"/>
        <v>175</v>
      </c>
      <c r="L60" s="44">
        <f t="shared" si="26"/>
        <v>150</v>
      </c>
      <c r="M60" s="152">
        <f t="shared" si="26"/>
        <v>210</v>
      </c>
    </row>
    <row r="61" spans="1:13" x14ac:dyDescent="0.25">
      <c r="A61" s="41">
        <f t="shared" ref="A61:B70" si="27">A60+1</f>
        <v>4041</v>
      </c>
      <c r="B61" s="42">
        <f t="shared" si="27"/>
        <v>51</v>
      </c>
      <c r="C61" s="41" t="s">
        <v>3377</v>
      </c>
      <c r="D61" s="43">
        <f t="shared" si="25"/>
        <v>9.8000000000000007</v>
      </c>
      <c r="E61" s="44">
        <f t="shared" si="25"/>
        <v>8</v>
      </c>
      <c r="F61" s="151">
        <f t="shared" si="25"/>
        <v>0.2</v>
      </c>
      <c r="G61" s="45">
        <f>yaw_null</f>
        <v>0</v>
      </c>
      <c r="H61" s="28" t="s">
        <v>3560</v>
      </c>
      <c r="I61" s="88">
        <v>0</v>
      </c>
      <c r="J61" s="44">
        <f t="shared" si="26"/>
        <v>160</v>
      </c>
      <c r="K61" s="44">
        <f t="shared" si="26"/>
        <v>175</v>
      </c>
      <c r="L61" s="44">
        <f t="shared" si="26"/>
        <v>150</v>
      </c>
      <c r="M61" s="152">
        <f t="shared" si="26"/>
        <v>210</v>
      </c>
    </row>
    <row r="62" spans="1:13" x14ac:dyDescent="0.25">
      <c r="A62" s="41">
        <f t="shared" si="27"/>
        <v>4042</v>
      </c>
      <c r="B62" s="42">
        <f t="shared" si="27"/>
        <v>52</v>
      </c>
      <c r="C62" s="41" t="s">
        <v>3378</v>
      </c>
      <c r="D62" s="43">
        <f t="shared" si="25"/>
        <v>9.8000000000000007</v>
      </c>
      <c r="E62" s="44">
        <f t="shared" si="25"/>
        <v>8</v>
      </c>
      <c r="F62" s="151">
        <f t="shared" si="25"/>
        <v>0.2</v>
      </c>
      <c r="G62" s="45">
        <f>yaw_null</f>
        <v>0</v>
      </c>
      <c r="H62" s="28" t="s">
        <v>3561</v>
      </c>
      <c r="I62" s="28">
        <v>0</v>
      </c>
      <c r="J62" s="44">
        <f t="shared" si="26"/>
        <v>160</v>
      </c>
      <c r="K62" s="44">
        <f t="shared" si="26"/>
        <v>175</v>
      </c>
      <c r="L62" s="44">
        <f t="shared" si="26"/>
        <v>150</v>
      </c>
      <c r="M62" s="152">
        <f t="shared" si="26"/>
        <v>210</v>
      </c>
    </row>
    <row r="63" spans="1:13" x14ac:dyDescent="0.25">
      <c r="A63" s="41">
        <f t="shared" si="27"/>
        <v>4043</v>
      </c>
      <c r="B63" s="42">
        <f t="shared" si="27"/>
        <v>53</v>
      </c>
      <c r="C63" s="41" t="s">
        <v>3379</v>
      </c>
      <c r="D63" s="43">
        <f t="shared" si="25"/>
        <v>9.8000000000000007</v>
      </c>
      <c r="E63" s="44">
        <f t="shared" si="25"/>
        <v>8</v>
      </c>
      <c r="F63" s="151">
        <f t="shared" si="25"/>
        <v>0.2</v>
      </c>
      <c r="G63" s="45">
        <f>yaw_max</f>
        <v>8</v>
      </c>
      <c r="H63" s="28" t="s">
        <v>3562</v>
      </c>
      <c r="I63" s="88">
        <v>0</v>
      </c>
      <c r="J63" s="44">
        <f t="shared" si="26"/>
        <v>160</v>
      </c>
      <c r="K63" s="44">
        <f t="shared" si="26"/>
        <v>175</v>
      </c>
      <c r="L63" s="44">
        <f t="shared" si="26"/>
        <v>150</v>
      </c>
      <c r="M63" s="152">
        <f t="shared" si="26"/>
        <v>210</v>
      </c>
    </row>
    <row r="64" spans="1:13" x14ac:dyDescent="0.25">
      <c r="A64" s="41">
        <f t="shared" si="27"/>
        <v>4044</v>
      </c>
      <c r="B64" s="42">
        <f t="shared" si="27"/>
        <v>54</v>
      </c>
      <c r="C64" s="41" t="s">
        <v>3380</v>
      </c>
      <c r="D64" s="43">
        <f t="shared" si="25"/>
        <v>9.8000000000000007</v>
      </c>
      <c r="E64" s="44">
        <f t="shared" si="25"/>
        <v>8</v>
      </c>
      <c r="F64" s="151">
        <f t="shared" si="25"/>
        <v>0.2</v>
      </c>
      <c r="G64" s="45">
        <f>yaw_max</f>
        <v>8</v>
      </c>
      <c r="H64" s="153" t="s">
        <v>3563</v>
      </c>
      <c r="I64" s="28">
        <v>0</v>
      </c>
      <c r="J64" s="44">
        <f t="shared" si="26"/>
        <v>160</v>
      </c>
      <c r="K64" s="44">
        <f t="shared" si="26"/>
        <v>175</v>
      </c>
      <c r="L64" s="44">
        <f t="shared" si="26"/>
        <v>150</v>
      </c>
      <c r="M64" s="152">
        <f t="shared" si="26"/>
        <v>210</v>
      </c>
    </row>
    <row r="65" spans="1:13" x14ac:dyDescent="0.25">
      <c r="A65" s="41">
        <f t="shared" si="27"/>
        <v>4045</v>
      </c>
      <c r="B65" s="42">
        <f t="shared" si="27"/>
        <v>55</v>
      </c>
      <c r="C65" s="41" t="s">
        <v>3381</v>
      </c>
      <c r="D65" s="43">
        <f t="shared" si="25"/>
        <v>9.8000000000000007</v>
      </c>
      <c r="E65" s="44">
        <f t="shared" si="25"/>
        <v>8</v>
      </c>
      <c r="F65" s="151">
        <f t="shared" si="25"/>
        <v>0.2</v>
      </c>
      <c r="G65" s="45">
        <f>yaw_min</f>
        <v>-8</v>
      </c>
      <c r="H65" s="28" t="s">
        <v>3558</v>
      </c>
      <c r="I65" s="88">
        <v>0</v>
      </c>
      <c r="J65" s="44">
        <f t="shared" si="26"/>
        <v>160</v>
      </c>
      <c r="K65" s="44">
        <f>J65+t_eqk/4*4</f>
        <v>180</v>
      </c>
      <c r="L65" s="44">
        <f t="shared" si="26"/>
        <v>150</v>
      </c>
      <c r="M65" s="152">
        <f t="shared" si="26"/>
        <v>210</v>
      </c>
    </row>
    <row r="66" spans="1:13" x14ac:dyDescent="0.25">
      <c r="A66" s="41">
        <f t="shared" si="27"/>
        <v>4046</v>
      </c>
      <c r="B66" s="42">
        <f t="shared" si="27"/>
        <v>56</v>
      </c>
      <c r="C66" s="41" t="s">
        <v>3382</v>
      </c>
      <c r="D66" s="43">
        <f t="shared" si="25"/>
        <v>9.8000000000000007</v>
      </c>
      <c r="E66" s="44">
        <f t="shared" si="25"/>
        <v>8</v>
      </c>
      <c r="F66" s="151">
        <f t="shared" si="25"/>
        <v>0.2</v>
      </c>
      <c r="G66" s="45">
        <f>yaw_min</f>
        <v>-8</v>
      </c>
      <c r="H66" s="28" t="s">
        <v>3559</v>
      </c>
      <c r="I66" s="28">
        <v>0</v>
      </c>
      <c r="J66" s="44">
        <f t="shared" si="26"/>
        <v>160</v>
      </c>
      <c r="K66" s="44">
        <f t="shared" si="26"/>
        <v>180</v>
      </c>
      <c r="L66" s="44">
        <f t="shared" si="26"/>
        <v>150</v>
      </c>
      <c r="M66" s="152">
        <f t="shared" si="26"/>
        <v>210</v>
      </c>
    </row>
    <row r="67" spans="1:13" x14ac:dyDescent="0.25">
      <c r="A67" s="41">
        <f t="shared" si="27"/>
        <v>4047</v>
      </c>
      <c r="B67" s="42">
        <f t="shared" si="27"/>
        <v>57</v>
      </c>
      <c r="C67" s="41" t="s">
        <v>3383</v>
      </c>
      <c r="D67" s="43">
        <f t="shared" si="25"/>
        <v>9.8000000000000007</v>
      </c>
      <c r="E67" s="44">
        <f t="shared" si="25"/>
        <v>8</v>
      </c>
      <c r="F67" s="151">
        <f t="shared" si="25"/>
        <v>0.2</v>
      </c>
      <c r="G67" s="45">
        <f>yaw_null</f>
        <v>0</v>
      </c>
      <c r="H67" s="28" t="s">
        <v>3560</v>
      </c>
      <c r="I67" s="88">
        <v>0</v>
      </c>
      <c r="J67" s="44">
        <f t="shared" si="26"/>
        <v>160</v>
      </c>
      <c r="K67" s="44">
        <f t="shared" si="26"/>
        <v>180</v>
      </c>
      <c r="L67" s="44">
        <f t="shared" si="26"/>
        <v>150</v>
      </c>
      <c r="M67" s="152">
        <f t="shared" si="26"/>
        <v>210</v>
      </c>
    </row>
    <row r="68" spans="1:13" x14ac:dyDescent="0.25">
      <c r="A68" s="41">
        <f t="shared" si="27"/>
        <v>4048</v>
      </c>
      <c r="B68" s="42">
        <f t="shared" si="27"/>
        <v>58</v>
      </c>
      <c r="C68" s="41" t="s">
        <v>3384</v>
      </c>
      <c r="D68" s="43">
        <f t="shared" si="25"/>
        <v>9.8000000000000007</v>
      </c>
      <c r="E68" s="44">
        <f t="shared" si="25"/>
        <v>8</v>
      </c>
      <c r="F68" s="151">
        <f t="shared" si="25"/>
        <v>0.2</v>
      </c>
      <c r="G68" s="45">
        <f>yaw_null</f>
        <v>0</v>
      </c>
      <c r="H68" s="28" t="s">
        <v>3561</v>
      </c>
      <c r="I68" s="28">
        <v>0</v>
      </c>
      <c r="J68" s="44">
        <f t="shared" si="26"/>
        <v>160</v>
      </c>
      <c r="K68" s="44">
        <f t="shared" si="26"/>
        <v>180</v>
      </c>
      <c r="L68" s="44">
        <f t="shared" si="26"/>
        <v>150</v>
      </c>
      <c r="M68" s="152">
        <f t="shared" si="26"/>
        <v>210</v>
      </c>
    </row>
    <row r="69" spans="1:13" x14ac:dyDescent="0.25">
      <c r="A69" s="41">
        <f t="shared" si="27"/>
        <v>4049</v>
      </c>
      <c r="B69" s="42">
        <f t="shared" si="27"/>
        <v>59</v>
      </c>
      <c r="C69" s="41" t="s">
        <v>3385</v>
      </c>
      <c r="D69" s="43">
        <f t="shared" si="25"/>
        <v>9.8000000000000007</v>
      </c>
      <c r="E69" s="44">
        <f t="shared" si="25"/>
        <v>8</v>
      </c>
      <c r="F69" s="151">
        <f t="shared" si="25"/>
        <v>0.2</v>
      </c>
      <c r="G69" s="45">
        <f>yaw_max</f>
        <v>8</v>
      </c>
      <c r="H69" s="28" t="s">
        <v>3562</v>
      </c>
      <c r="I69" s="88">
        <v>0</v>
      </c>
      <c r="J69" s="44">
        <f t="shared" si="26"/>
        <v>160</v>
      </c>
      <c r="K69" s="44">
        <f t="shared" si="26"/>
        <v>180</v>
      </c>
      <c r="L69" s="44">
        <f t="shared" si="26"/>
        <v>150</v>
      </c>
      <c r="M69" s="152">
        <f t="shared" si="26"/>
        <v>210</v>
      </c>
    </row>
    <row r="70" spans="1:13" x14ac:dyDescent="0.25">
      <c r="A70" s="41">
        <f t="shared" si="27"/>
        <v>4050</v>
      </c>
      <c r="B70" s="42">
        <f t="shared" si="27"/>
        <v>60</v>
      </c>
      <c r="C70" s="41" t="s">
        <v>3386</v>
      </c>
      <c r="D70" s="43">
        <f t="shared" si="25"/>
        <v>9.8000000000000007</v>
      </c>
      <c r="E70" s="44">
        <f t="shared" si="25"/>
        <v>8</v>
      </c>
      <c r="F70" s="151">
        <f t="shared" si="25"/>
        <v>0.2</v>
      </c>
      <c r="G70" s="45">
        <f>yaw_max</f>
        <v>8</v>
      </c>
      <c r="H70" s="28" t="s">
        <v>3563</v>
      </c>
      <c r="I70" s="28">
        <v>0</v>
      </c>
      <c r="J70" s="44">
        <f t="shared" si="26"/>
        <v>160</v>
      </c>
      <c r="K70" s="44">
        <f t="shared" si="26"/>
        <v>180</v>
      </c>
      <c r="L70" s="44">
        <f t="shared" si="26"/>
        <v>150</v>
      </c>
      <c r="M70" s="152">
        <f t="shared" si="26"/>
        <v>210</v>
      </c>
    </row>
    <row r="71" spans="1:13" x14ac:dyDescent="0.25">
      <c r="A71" s="41">
        <f t="shared" ref="A71:B71" si="28">A70+1</f>
        <v>4051</v>
      </c>
      <c r="B71" s="42">
        <f t="shared" si="28"/>
        <v>61</v>
      </c>
      <c r="C71" s="41" t="s">
        <v>3387</v>
      </c>
      <c r="D71" s="43">
        <f>vr_a</f>
        <v>11.8</v>
      </c>
      <c r="E71" s="44">
        <f t="shared" si="25"/>
        <v>8</v>
      </c>
      <c r="F71" s="151">
        <f t="shared" si="25"/>
        <v>0.2</v>
      </c>
      <c r="G71" s="45">
        <f>yaw_min</f>
        <v>-8</v>
      </c>
      <c r="H71" s="28" t="s">
        <v>3558</v>
      </c>
      <c r="I71" s="88">
        <v>0</v>
      </c>
      <c r="J71" s="44">
        <f t="shared" ref="J71" si="29">J70</f>
        <v>160</v>
      </c>
      <c r="K71" s="44">
        <f>J71</f>
        <v>160</v>
      </c>
      <c r="L71" s="44">
        <f t="shared" ref="L71:M71" si="30">L70</f>
        <v>150</v>
      </c>
      <c r="M71" s="152">
        <f t="shared" si="30"/>
        <v>210</v>
      </c>
    </row>
    <row r="72" spans="1:13" x14ac:dyDescent="0.25">
      <c r="A72" s="41">
        <f t="shared" ref="A72:B72" si="31">A71+1</f>
        <v>4052</v>
      </c>
      <c r="B72" s="42">
        <f t="shared" si="31"/>
        <v>62</v>
      </c>
      <c r="C72" s="41" t="s">
        <v>3388</v>
      </c>
      <c r="D72" s="43">
        <f>D71</f>
        <v>11.8</v>
      </c>
      <c r="E72" s="44">
        <f t="shared" si="25"/>
        <v>8</v>
      </c>
      <c r="F72" s="151">
        <f>F71</f>
        <v>0.2</v>
      </c>
      <c r="G72" s="45">
        <f>yaw_min</f>
        <v>-8</v>
      </c>
      <c r="H72" s="28" t="s">
        <v>3559</v>
      </c>
      <c r="I72" s="28">
        <v>0</v>
      </c>
      <c r="J72" s="44">
        <f t="shared" ref="J72:M72" si="32">J71</f>
        <v>160</v>
      </c>
      <c r="K72" s="44">
        <f t="shared" si="32"/>
        <v>160</v>
      </c>
      <c r="L72" s="44">
        <f t="shared" si="32"/>
        <v>150</v>
      </c>
      <c r="M72" s="152">
        <f t="shared" si="32"/>
        <v>210</v>
      </c>
    </row>
    <row r="73" spans="1:13" x14ac:dyDescent="0.25">
      <c r="A73" s="41">
        <f t="shared" ref="A73:B73" si="33">A72+1</f>
        <v>4053</v>
      </c>
      <c r="B73" s="42">
        <f t="shared" si="33"/>
        <v>63</v>
      </c>
      <c r="C73" s="41" t="s">
        <v>3389</v>
      </c>
      <c r="D73" s="43">
        <f t="shared" ref="D73:F73" si="34">D72</f>
        <v>11.8</v>
      </c>
      <c r="E73" s="44">
        <f t="shared" si="34"/>
        <v>8</v>
      </c>
      <c r="F73" s="151">
        <f t="shared" si="34"/>
        <v>0.2</v>
      </c>
      <c r="G73" s="45">
        <f>yaw_null</f>
        <v>0</v>
      </c>
      <c r="H73" s="28" t="s">
        <v>3560</v>
      </c>
      <c r="I73" s="88">
        <v>0</v>
      </c>
      <c r="J73" s="44">
        <f t="shared" ref="J73:M73" si="35">J72</f>
        <v>160</v>
      </c>
      <c r="K73" s="44">
        <f t="shared" si="35"/>
        <v>160</v>
      </c>
      <c r="L73" s="44">
        <f t="shared" si="35"/>
        <v>150</v>
      </c>
      <c r="M73" s="152">
        <f t="shared" si="35"/>
        <v>210</v>
      </c>
    </row>
    <row r="74" spans="1:13" x14ac:dyDescent="0.25">
      <c r="A74" s="41">
        <f t="shared" ref="A74:B74" si="36">A73+1</f>
        <v>4054</v>
      </c>
      <c r="B74" s="42">
        <f t="shared" si="36"/>
        <v>64</v>
      </c>
      <c r="C74" s="41" t="s">
        <v>3390</v>
      </c>
      <c r="D74" s="43">
        <f t="shared" ref="D74:F74" si="37">D73</f>
        <v>11.8</v>
      </c>
      <c r="E74" s="44">
        <f t="shared" si="37"/>
        <v>8</v>
      </c>
      <c r="F74" s="151">
        <f t="shared" si="37"/>
        <v>0.2</v>
      </c>
      <c r="G74" s="45">
        <f>yaw_null</f>
        <v>0</v>
      </c>
      <c r="H74" s="28" t="s">
        <v>3561</v>
      </c>
      <c r="I74" s="28">
        <v>0</v>
      </c>
      <c r="J74" s="44">
        <f t="shared" ref="J74:M74" si="38">J73</f>
        <v>160</v>
      </c>
      <c r="K74" s="44">
        <f t="shared" si="38"/>
        <v>160</v>
      </c>
      <c r="L74" s="44">
        <f t="shared" si="38"/>
        <v>150</v>
      </c>
      <c r="M74" s="152">
        <f t="shared" si="38"/>
        <v>210</v>
      </c>
    </row>
    <row r="75" spans="1:13" x14ac:dyDescent="0.25">
      <c r="A75" s="41">
        <f t="shared" ref="A75:B75" si="39">A74+1</f>
        <v>4055</v>
      </c>
      <c r="B75" s="42">
        <f t="shared" si="39"/>
        <v>65</v>
      </c>
      <c r="C75" s="41" t="s">
        <v>3391</v>
      </c>
      <c r="D75" s="43">
        <f t="shared" ref="D75:F75" si="40">D74</f>
        <v>11.8</v>
      </c>
      <c r="E75" s="44">
        <f t="shared" si="40"/>
        <v>8</v>
      </c>
      <c r="F75" s="151">
        <f t="shared" si="40"/>
        <v>0.2</v>
      </c>
      <c r="G75" s="45">
        <f>yaw_max</f>
        <v>8</v>
      </c>
      <c r="H75" s="28" t="s">
        <v>3562</v>
      </c>
      <c r="I75" s="88">
        <v>0</v>
      </c>
      <c r="J75" s="44">
        <f t="shared" ref="J75:M75" si="41">J74</f>
        <v>160</v>
      </c>
      <c r="K75" s="44">
        <f t="shared" si="41"/>
        <v>160</v>
      </c>
      <c r="L75" s="44">
        <f t="shared" si="41"/>
        <v>150</v>
      </c>
      <c r="M75" s="152">
        <f t="shared" si="41"/>
        <v>210</v>
      </c>
    </row>
    <row r="76" spans="1:13" x14ac:dyDescent="0.25">
      <c r="A76" s="41">
        <f t="shared" ref="A76:B76" si="42">A75+1</f>
        <v>4056</v>
      </c>
      <c r="B76" s="42">
        <f t="shared" si="42"/>
        <v>66</v>
      </c>
      <c r="C76" s="41" t="s">
        <v>3392</v>
      </c>
      <c r="D76" s="43">
        <f t="shared" ref="D76:F76" si="43">D75</f>
        <v>11.8</v>
      </c>
      <c r="E76" s="44">
        <f t="shared" si="43"/>
        <v>8</v>
      </c>
      <c r="F76" s="151">
        <f t="shared" si="43"/>
        <v>0.2</v>
      </c>
      <c r="G76" s="45">
        <f>yaw_max</f>
        <v>8</v>
      </c>
      <c r="H76" s="153" t="s">
        <v>3563</v>
      </c>
      <c r="I76" s="28">
        <v>0</v>
      </c>
      <c r="J76" s="44">
        <f t="shared" ref="J76:M76" si="44">J75</f>
        <v>160</v>
      </c>
      <c r="K76" s="128">
        <f t="shared" si="44"/>
        <v>160</v>
      </c>
      <c r="L76" s="44">
        <f t="shared" si="44"/>
        <v>150</v>
      </c>
      <c r="M76" s="152">
        <f t="shared" si="44"/>
        <v>210</v>
      </c>
    </row>
    <row r="77" spans="1:13" x14ac:dyDescent="0.25">
      <c r="A77" s="41">
        <f t="shared" ref="A77:B77" si="45">A76+1</f>
        <v>4057</v>
      </c>
      <c r="B77" s="42">
        <f t="shared" si="45"/>
        <v>67</v>
      </c>
      <c r="C77" s="41" t="s">
        <v>3393</v>
      </c>
      <c r="D77" s="43">
        <f t="shared" ref="D77:F77" si="46">D76</f>
        <v>11.8</v>
      </c>
      <c r="E77" s="44">
        <f t="shared" si="46"/>
        <v>8</v>
      </c>
      <c r="F77" s="151">
        <f t="shared" si="46"/>
        <v>0.2</v>
      </c>
      <c r="G77" s="45">
        <f>yaw_min</f>
        <v>-8</v>
      </c>
      <c r="H77" s="28" t="s">
        <v>3558</v>
      </c>
      <c r="I77" s="88">
        <v>0</v>
      </c>
      <c r="J77" s="44">
        <f t="shared" ref="J77" si="47">J76</f>
        <v>160</v>
      </c>
      <c r="K77" s="44">
        <f>J77+t_eqk/4</f>
        <v>165</v>
      </c>
      <c r="L77" s="44">
        <f t="shared" ref="L77:M77" si="48">L76</f>
        <v>150</v>
      </c>
      <c r="M77" s="152">
        <f t="shared" si="48"/>
        <v>210</v>
      </c>
    </row>
    <row r="78" spans="1:13" x14ac:dyDescent="0.25">
      <c r="A78" s="41">
        <f t="shared" ref="A78:B78" si="49">A77+1</f>
        <v>4058</v>
      </c>
      <c r="B78" s="42">
        <f t="shared" si="49"/>
        <v>68</v>
      </c>
      <c r="C78" s="41" t="s">
        <v>3394</v>
      </c>
      <c r="D78" s="43">
        <f t="shared" ref="D78:F78" si="50">D77</f>
        <v>11.8</v>
      </c>
      <c r="E78" s="44">
        <f t="shared" si="50"/>
        <v>8</v>
      </c>
      <c r="F78" s="151">
        <f t="shared" si="50"/>
        <v>0.2</v>
      </c>
      <c r="G78" s="45">
        <f>yaw_min</f>
        <v>-8</v>
      </c>
      <c r="H78" s="28" t="s">
        <v>3559</v>
      </c>
      <c r="I78" s="28">
        <v>0</v>
      </c>
      <c r="J78" s="44">
        <f t="shared" ref="J78:M78" si="51">J77</f>
        <v>160</v>
      </c>
      <c r="K78" s="44">
        <f t="shared" si="51"/>
        <v>165</v>
      </c>
      <c r="L78" s="44">
        <f t="shared" si="51"/>
        <v>150</v>
      </c>
      <c r="M78" s="152">
        <f t="shared" si="51"/>
        <v>210</v>
      </c>
    </row>
    <row r="79" spans="1:13" x14ac:dyDescent="0.25">
      <c r="A79" s="41">
        <f t="shared" ref="A79:B79" si="52">A78+1</f>
        <v>4059</v>
      </c>
      <c r="B79" s="42">
        <f t="shared" si="52"/>
        <v>69</v>
      </c>
      <c r="C79" s="41" t="s">
        <v>3395</v>
      </c>
      <c r="D79" s="43">
        <f t="shared" ref="D79:F79" si="53">D78</f>
        <v>11.8</v>
      </c>
      <c r="E79" s="44">
        <f t="shared" si="53"/>
        <v>8</v>
      </c>
      <c r="F79" s="151">
        <f t="shared" si="53"/>
        <v>0.2</v>
      </c>
      <c r="G79" s="45">
        <f>yaw_null</f>
        <v>0</v>
      </c>
      <c r="H79" s="28" t="s">
        <v>3560</v>
      </c>
      <c r="I79" s="88">
        <v>0</v>
      </c>
      <c r="J79" s="44">
        <f t="shared" ref="J79:M79" si="54">J78</f>
        <v>160</v>
      </c>
      <c r="K79" s="44">
        <f t="shared" si="54"/>
        <v>165</v>
      </c>
      <c r="L79" s="44">
        <f t="shared" si="54"/>
        <v>150</v>
      </c>
      <c r="M79" s="152">
        <f t="shared" si="54"/>
        <v>210</v>
      </c>
    </row>
    <row r="80" spans="1:13" x14ac:dyDescent="0.25">
      <c r="A80" s="41">
        <f t="shared" ref="A80:B80" si="55">A79+1</f>
        <v>4060</v>
      </c>
      <c r="B80" s="42">
        <f t="shared" si="55"/>
        <v>70</v>
      </c>
      <c r="C80" s="41" t="s">
        <v>3396</v>
      </c>
      <c r="D80" s="43">
        <f t="shared" ref="D80:F80" si="56">D79</f>
        <v>11.8</v>
      </c>
      <c r="E80" s="44">
        <f t="shared" si="56"/>
        <v>8</v>
      </c>
      <c r="F80" s="151">
        <f t="shared" si="56"/>
        <v>0.2</v>
      </c>
      <c r="G80" s="45">
        <f>yaw_null</f>
        <v>0</v>
      </c>
      <c r="H80" s="28" t="s">
        <v>3561</v>
      </c>
      <c r="I80" s="28">
        <v>0</v>
      </c>
      <c r="J80" s="44">
        <f t="shared" ref="J80:M80" si="57">J79</f>
        <v>160</v>
      </c>
      <c r="K80" s="44">
        <f t="shared" si="57"/>
        <v>165</v>
      </c>
      <c r="L80" s="44">
        <f t="shared" si="57"/>
        <v>150</v>
      </c>
      <c r="M80" s="152">
        <f t="shared" si="57"/>
        <v>210</v>
      </c>
    </row>
    <row r="81" spans="1:13" x14ac:dyDescent="0.25">
      <c r="A81" s="41">
        <f t="shared" ref="A81:B81" si="58">A80+1</f>
        <v>4061</v>
      </c>
      <c r="B81" s="42">
        <f t="shared" si="58"/>
        <v>71</v>
      </c>
      <c r="C81" s="41" t="s">
        <v>3397</v>
      </c>
      <c r="D81" s="43">
        <f t="shared" ref="D81:F81" si="59">D80</f>
        <v>11.8</v>
      </c>
      <c r="E81" s="44">
        <f t="shared" si="59"/>
        <v>8</v>
      </c>
      <c r="F81" s="151">
        <f t="shared" si="59"/>
        <v>0.2</v>
      </c>
      <c r="G81" s="45">
        <f>yaw_max</f>
        <v>8</v>
      </c>
      <c r="H81" s="28" t="s">
        <v>3562</v>
      </c>
      <c r="I81" s="88">
        <v>0</v>
      </c>
      <c r="J81" s="44">
        <f t="shared" ref="J81:M81" si="60">J80</f>
        <v>160</v>
      </c>
      <c r="K81" s="44">
        <f t="shared" si="60"/>
        <v>165</v>
      </c>
      <c r="L81" s="44">
        <f t="shared" si="60"/>
        <v>150</v>
      </c>
      <c r="M81" s="152">
        <f t="shared" si="60"/>
        <v>210</v>
      </c>
    </row>
    <row r="82" spans="1:13" x14ac:dyDescent="0.25">
      <c r="A82" s="41">
        <f t="shared" ref="A82:B82" si="61">A81+1</f>
        <v>4062</v>
      </c>
      <c r="B82" s="42">
        <f t="shared" si="61"/>
        <v>72</v>
      </c>
      <c r="C82" s="41" t="s">
        <v>3398</v>
      </c>
      <c r="D82" s="43">
        <f t="shared" ref="D82:F82" si="62">D81</f>
        <v>11.8</v>
      </c>
      <c r="E82" s="44">
        <f t="shared" si="62"/>
        <v>8</v>
      </c>
      <c r="F82" s="151">
        <f t="shared" si="62"/>
        <v>0.2</v>
      </c>
      <c r="G82" s="45">
        <f>yaw_max</f>
        <v>8</v>
      </c>
      <c r="H82" s="28" t="s">
        <v>3563</v>
      </c>
      <c r="I82" s="28">
        <v>0</v>
      </c>
      <c r="J82" s="44">
        <f t="shared" ref="J82:M82" si="63">J81</f>
        <v>160</v>
      </c>
      <c r="K82" s="44">
        <f t="shared" si="63"/>
        <v>165</v>
      </c>
      <c r="L82" s="44">
        <f t="shared" si="63"/>
        <v>150</v>
      </c>
      <c r="M82" s="152">
        <f t="shared" si="63"/>
        <v>210</v>
      </c>
    </row>
    <row r="83" spans="1:13" x14ac:dyDescent="0.25">
      <c r="A83" s="41">
        <f t="shared" ref="A83:B83" si="64">A82+1</f>
        <v>4063</v>
      </c>
      <c r="B83" s="42">
        <f t="shared" si="64"/>
        <v>73</v>
      </c>
      <c r="C83" s="41" t="s">
        <v>3399</v>
      </c>
      <c r="D83" s="43">
        <f t="shared" ref="D83:F83" si="65">D82</f>
        <v>11.8</v>
      </c>
      <c r="E83" s="44">
        <f t="shared" si="65"/>
        <v>8</v>
      </c>
      <c r="F83" s="151">
        <f t="shared" si="65"/>
        <v>0.2</v>
      </c>
      <c r="G83" s="45">
        <f>yaw_min</f>
        <v>-8</v>
      </c>
      <c r="H83" s="28" t="s">
        <v>3558</v>
      </c>
      <c r="I83" s="88">
        <v>0</v>
      </c>
      <c r="J83" s="44">
        <f t="shared" ref="J83" si="66">J82</f>
        <v>160</v>
      </c>
      <c r="K83" s="44">
        <f>J83+t_eqk/4*2</f>
        <v>170</v>
      </c>
      <c r="L83" s="44">
        <f t="shared" ref="L83:M83" si="67">L82</f>
        <v>150</v>
      </c>
      <c r="M83" s="152">
        <f t="shared" si="67"/>
        <v>210</v>
      </c>
    </row>
    <row r="84" spans="1:13" x14ac:dyDescent="0.25">
      <c r="A84" s="41">
        <f t="shared" ref="A84:B84" si="68">A83+1</f>
        <v>4064</v>
      </c>
      <c r="B84" s="42">
        <f t="shared" si="68"/>
        <v>74</v>
      </c>
      <c r="C84" s="41" t="s">
        <v>3400</v>
      </c>
      <c r="D84" s="43">
        <f t="shared" ref="D84:F84" si="69">D83</f>
        <v>11.8</v>
      </c>
      <c r="E84" s="44">
        <f t="shared" si="69"/>
        <v>8</v>
      </c>
      <c r="F84" s="151">
        <f t="shared" si="69"/>
        <v>0.2</v>
      </c>
      <c r="G84" s="45">
        <f>yaw_min</f>
        <v>-8</v>
      </c>
      <c r="H84" s="28" t="s">
        <v>3559</v>
      </c>
      <c r="I84" s="28">
        <v>0</v>
      </c>
      <c r="J84" s="44">
        <f t="shared" ref="J84:M84" si="70">J83</f>
        <v>160</v>
      </c>
      <c r="K84" s="44">
        <f t="shared" si="70"/>
        <v>170</v>
      </c>
      <c r="L84" s="44">
        <f t="shared" si="70"/>
        <v>150</v>
      </c>
      <c r="M84" s="152">
        <f t="shared" si="70"/>
        <v>210</v>
      </c>
    </row>
    <row r="85" spans="1:13" x14ac:dyDescent="0.25">
      <c r="A85" s="41">
        <f t="shared" ref="A85:B85" si="71">A84+1</f>
        <v>4065</v>
      </c>
      <c r="B85" s="42">
        <f t="shared" si="71"/>
        <v>75</v>
      </c>
      <c r="C85" s="41" t="s">
        <v>3401</v>
      </c>
      <c r="D85" s="43">
        <f t="shared" ref="D85:F85" si="72">D84</f>
        <v>11.8</v>
      </c>
      <c r="E85" s="44">
        <f t="shared" si="72"/>
        <v>8</v>
      </c>
      <c r="F85" s="151">
        <f t="shared" si="72"/>
        <v>0.2</v>
      </c>
      <c r="G85" s="45">
        <f>yaw_null</f>
        <v>0</v>
      </c>
      <c r="H85" s="28" t="s">
        <v>3560</v>
      </c>
      <c r="I85" s="88">
        <v>0</v>
      </c>
      <c r="J85" s="44">
        <f t="shared" ref="J85:M85" si="73">J84</f>
        <v>160</v>
      </c>
      <c r="K85" s="44">
        <f t="shared" si="73"/>
        <v>170</v>
      </c>
      <c r="L85" s="44">
        <f t="shared" si="73"/>
        <v>150</v>
      </c>
      <c r="M85" s="152">
        <f t="shared" si="73"/>
        <v>210</v>
      </c>
    </row>
    <row r="86" spans="1:13" x14ac:dyDescent="0.25">
      <c r="A86" s="41">
        <f t="shared" ref="A86:B86" si="74">A85+1</f>
        <v>4066</v>
      </c>
      <c r="B86" s="42">
        <f t="shared" si="74"/>
        <v>76</v>
      </c>
      <c r="C86" s="41" t="s">
        <v>3402</v>
      </c>
      <c r="D86" s="43">
        <f t="shared" ref="D86:F86" si="75">D85</f>
        <v>11.8</v>
      </c>
      <c r="E86" s="44">
        <f t="shared" si="75"/>
        <v>8</v>
      </c>
      <c r="F86" s="151">
        <f t="shared" si="75"/>
        <v>0.2</v>
      </c>
      <c r="G86" s="45">
        <f>yaw_null</f>
        <v>0</v>
      </c>
      <c r="H86" s="28" t="s">
        <v>3561</v>
      </c>
      <c r="I86" s="28">
        <v>0</v>
      </c>
      <c r="J86" s="44">
        <f t="shared" ref="J86:M86" si="76">J85</f>
        <v>160</v>
      </c>
      <c r="K86" s="44">
        <f t="shared" si="76"/>
        <v>170</v>
      </c>
      <c r="L86" s="44">
        <f t="shared" si="76"/>
        <v>150</v>
      </c>
      <c r="M86" s="152">
        <f t="shared" si="76"/>
        <v>210</v>
      </c>
    </row>
    <row r="87" spans="1:13" x14ac:dyDescent="0.25">
      <c r="A87" s="41">
        <f t="shared" ref="A87:B87" si="77">A86+1</f>
        <v>4067</v>
      </c>
      <c r="B87" s="42">
        <f t="shared" si="77"/>
        <v>77</v>
      </c>
      <c r="C87" s="41" t="s">
        <v>3403</v>
      </c>
      <c r="D87" s="43">
        <f t="shared" ref="D87:F87" si="78">D86</f>
        <v>11.8</v>
      </c>
      <c r="E87" s="44">
        <f t="shared" si="78"/>
        <v>8</v>
      </c>
      <c r="F87" s="151">
        <f t="shared" si="78"/>
        <v>0.2</v>
      </c>
      <c r="G87" s="45">
        <f>yaw_max</f>
        <v>8</v>
      </c>
      <c r="H87" s="28" t="s">
        <v>3562</v>
      </c>
      <c r="I87" s="88">
        <v>0</v>
      </c>
      <c r="J87" s="44">
        <f t="shared" ref="J87:M87" si="79">J86</f>
        <v>160</v>
      </c>
      <c r="K87" s="44">
        <f t="shared" si="79"/>
        <v>170</v>
      </c>
      <c r="L87" s="44">
        <f t="shared" si="79"/>
        <v>150</v>
      </c>
      <c r="M87" s="152">
        <f t="shared" si="79"/>
        <v>210</v>
      </c>
    </row>
    <row r="88" spans="1:13" x14ac:dyDescent="0.25">
      <c r="A88" s="41">
        <f t="shared" ref="A88:B88" si="80">A87+1</f>
        <v>4068</v>
      </c>
      <c r="B88" s="42">
        <f t="shared" si="80"/>
        <v>78</v>
      </c>
      <c r="C88" s="41" t="s">
        <v>3404</v>
      </c>
      <c r="D88" s="43">
        <f t="shared" ref="D88:F88" si="81">D87</f>
        <v>11.8</v>
      </c>
      <c r="E88" s="44">
        <f t="shared" si="81"/>
        <v>8</v>
      </c>
      <c r="F88" s="151">
        <f t="shared" si="81"/>
        <v>0.2</v>
      </c>
      <c r="G88" s="45">
        <f>yaw_max</f>
        <v>8</v>
      </c>
      <c r="H88" s="153" t="s">
        <v>3563</v>
      </c>
      <c r="I88" s="28">
        <v>0</v>
      </c>
      <c r="J88" s="44">
        <f t="shared" ref="J88:M88" si="82">J87</f>
        <v>160</v>
      </c>
      <c r="K88" s="44">
        <f t="shared" si="82"/>
        <v>170</v>
      </c>
      <c r="L88" s="44">
        <f t="shared" si="82"/>
        <v>150</v>
      </c>
      <c r="M88" s="152">
        <f t="shared" si="82"/>
        <v>210</v>
      </c>
    </row>
    <row r="89" spans="1:13" x14ac:dyDescent="0.25">
      <c r="A89" s="41">
        <f t="shared" ref="A89:B89" si="83">A88+1</f>
        <v>4069</v>
      </c>
      <c r="B89" s="42">
        <f t="shared" si="83"/>
        <v>79</v>
      </c>
      <c r="C89" s="41" t="s">
        <v>3405</v>
      </c>
      <c r="D89" s="43">
        <f t="shared" ref="D89:F89" si="84">D88</f>
        <v>11.8</v>
      </c>
      <c r="E89" s="44">
        <f t="shared" si="84"/>
        <v>8</v>
      </c>
      <c r="F89" s="151">
        <f t="shared" si="84"/>
        <v>0.2</v>
      </c>
      <c r="G89" s="45">
        <f>yaw_min</f>
        <v>-8</v>
      </c>
      <c r="H89" s="28" t="s">
        <v>3558</v>
      </c>
      <c r="I89" s="88">
        <v>0</v>
      </c>
      <c r="J89" s="44">
        <f t="shared" ref="J89" si="85">J88</f>
        <v>160</v>
      </c>
      <c r="K89" s="44">
        <f>J89+t_eqk/4*3</f>
        <v>175</v>
      </c>
      <c r="L89" s="44">
        <f t="shared" ref="L89:M89" si="86">L88</f>
        <v>150</v>
      </c>
      <c r="M89" s="152">
        <f t="shared" si="86"/>
        <v>210</v>
      </c>
    </row>
    <row r="90" spans="1:13" x14ac:dyDescent="0.25">
      <c r="A90" s="41">
        <f t="shared" ref="A90:B90" si="87">A89+1</f>
        <v>4070</v>
      </c>
      <c r="B90" s="42">
        <f t="shared" si="87"/>
        <v>80</v>
      </c>
      <c r="C90" s="41" t="s">
        <v>3406</v>
      </c>
      <c r="D90" s="43">
        <f t="shared" ref="D90:F90" si="88">D89</f>
        <v>11.8</v>
      </c>
      <c r="E90" s="44">
        <f t="shared" si="88"/>
        <v>8</v>
      </c>
      <c r="F90" s="151">
        <f t="shared" si="88"/>
        <v>0.2</v>
      </c>
      <c r="G90" s="45">
        <f>yaw_min</f>
        <v>-8</v>
      </c>
      <c r="H90" s="28" t="s">
        <v>3559</v>
      </c>
      <c r="I90" s="28">
        <v>0</v>
      </c>
      <c r="J90" s="44">
        <f t="shared" ref="J90:M90" si="89">J89</f>
        <v>160</v>
      </c>
      <c r="K90" s="44">
        <f t="shared" si="89"/>
        <v>175</v>
      </c>
      <c r="L90" s="44">
        <f t="shared" si="89"/>
        <v>150</v>
      </c>
      <c r="M90" s="152">
        <f t="shared" si="89"/>
        <v>210</v>
      </c>
    </row>
    <row r="91" spans="1:13" x14ac:dyDescent="0.25">
      <c r="A91" s="41">
        <f t="shared" ref="A91:B91" si="90">A90+1</f>
        <v>4071</v>
      </c>
      <c r="B91" s="42">
        <f t="shared" si="90"/>
        <v>81</v>
      </c>
      <c r="C91" s="41" t="s">
        <v>3407</v>
      </c>
      <c r="D91" s="43">
        <f t="shared" ref="D91:F91" si="91">D90</f>
        <v>11.8</v>
      </c>
      <c r="E91" s="44">
        <f t="shared" si="91"/>
        <v>8</v>
      </c>
      <c r="F91" s="151">
        <f t="shared" si="91"/>
        <v>0.2</v>
      </c>
      <c r="G91" s="45">
        <f>yaw_null</f>
        <v>0</v>
      </c>
      <c r="H91" s="28" t="s">
        <v>3560</v>
      </c>
      <c r="I91" s="88">
        <v>0</v>
      </c>
      <c r="J91" s="44">
        <f t="shared" ref="J91:M91" si="92">J90</f>
        <v>160</v>
      </c>
      <c r="K91" s="44">
        <f t="shared" si="92"/>
        <v>175</v>
      </c>
      <c r="L91" s="44">
        <f t="shared" si="92"/>
        <v>150</v>
      </c>
      <c r="M91" s="152">
        <f t="shared" si="92"/>
        <v>210</v>
      </c>
    </row>
    <row r="92" spans="1:13" x14ac:dyDescent="0.25">
      <c r="A92" s="41">
        <f t="shared" ref="A92:B92" si="93">A91+1</f>
        <v>4072</v>
      </c>
      <c r="B92" s="42">
        <f t="shared" si="93"/>
        <v>82</v>
      </c>
      <c r="C92" s="41" t="s">
        <v>3408</v>
      </c>
      <c r="D92" s="43">
        <f t="shared" ref="D92:F92" si="94">D91</f>
        <v>11.8</v>
      </c>
      <c r="E92" s="44">
        <f t="shared" si="94"/>
        <v>8</v>
      </c>
      <c r="F92" s="151">
        <f t="shared" si="94"/>
        <v>0.2</v>
      </c>
      <c r="G92" s="45">
        <f>yaw_null</f>
        <v>0</v>
      </c>
      <c r="H92" s="28" t="s">
        <v>3561</v>
      </c>
      <c r="I92" s="28">
        <v>0</v>
      </c>
      <c r="J92" s="44">
        <f t="shared" ref="J92:M92" si="95">J91</f>
        <v>160</v>
      </c>
      <c r="K92" s="44">
        <f t="shared" si="95"/>
        <v>175</v>
      </c>
      <c r="L92" s="44">
        <f t="shared" si="95"/>
        <v>150</v>
      </c>
      <c r="M92" s="152">
        <f t="shared" si="95"/>
        <v>210</v>
      </c>
    </row>
    <row r="93" spans="1:13" x14ac:dyDescent="0.25">
      <c r="A93" s="41">
        <f t="shared" ref="A93:B93" si="96">A92+1</f>
        <v>4073</v>
      </c>
      <c r="B93" s="42">
        <f t="shared" si="96"/>
        <v>83</v>
      </c>
      <c r="C93" s="41" t="s">
        <v>3409</v>
      </c>
      <c r="D93" s="43">
        <f t="shared" ref="D93:F93" si="97">D92</f>
        <v>11.8</v>
      </c>
      <c r="E93" s="44">
        <f t="shared" si="97"/>
        <v>8</v>
      </c>
      <c r="F93" s="151">
        <f t="shared" si="97"/>
        <v>0.2</v>
      </c>
      <c r="G93" s="45">
        <f>yaw_max</f>
        <v>8</v>
      </c>
      <c r="H93" s="28" t="s">
        <v>3562</v>
      </c>
      <c r="I93" s="88">
        <v>0</v>
      </c>
      <c r="J93" s="44">
        <f t="shared" ref="J93:M93" si="98">J92</f>
        <v>160</v>
      </c>
      <c r="K93" s="44">
        <f t="shared" si="98"/>
        <v>175</v>
      </c>
      <c r="L93" s="44">
        <f t="shared" si="98"/>
        <v>150</v>
      </c>
      <c r="M93" s="152">
        <f t="shared" si="98"/>
        <v>210</v>
      </c>
    </row>
    <row r="94" spans="1:13" x14ac:dyDescent="0.25">
      <c r="A94" s="41">
        <f t="shared" ref="A94:B94" si="99">A93+1</f>
        <v>4074</v>
      </c>
      <c r="B94" s="42">
        <f t="shared" si="99"/>
        <v>84</v>
      </c>
      <c r="C94" s="41" t="s">
        <v>3410</v>
      </c>
      <c r="D94" s="43">
        <f t="shared" ref="D94:F94" si="100">D93</f>
        <v>11.8</v>
      </c>
      <c r="E94" s="44">
        <f t="shared" si="100"/>
        <v>8</v>
      </c>
      <c r="F94" s="151">
        <f t="shared" si="100"/>
        <v>0.2</v>
      </c>
      <c r="G94" s="45">
        <f>yaw_max</f>
        <v>8</v>
      </c>
      <c r="H94" s="153" t="s">
        <v>3563</v>
      </c>
      <c r="I94" s="28">
        <v>0</v>
      </c>
      <c r="J94" s="44">
        <f t="shared" ref="J94:M94" si="101">J93</f>
        <v>160</v>
      </c>
      <c r="K94" s="44">
        <f t="shared" si="101"/>
        <v>175</v>
      </c>
      <c r="L94" s="44">
        <f t="shared" si="101"/>
        <v>150</v>
      </c>
      <c r="M94" s="152">
        <f t="shared" si="101"/>
        <v>210</v>
      </c>
    </row>
    <row r="95" spans="1:13" x14ac:dyDescent="0.25">
      <c r="A95" s="41">
        <f t="shared" ref="A95:B95" si="102">A94+1</f>
        <v>4075</v>
      </c>
      <c r="B95" s="42">
        <f t="shared" si="102"/>
        <v>85</v>
      </c>
      <c r="C95" s="41" t="s">
        <v>3411</v>
      </c>
      <c r="D95" s="43">
        <f t="shared" ref="D95:F95" si="103">D94</f>
        <v>11.8</v>
      </c>
      <c r="E95" s="44">
        <f t="shared" si="103"/>
        <v>8</v>
      </c>
      <c r="F95" s="151">
        <f t="shared" si="103"/>
        <v>0.2</v>
      </c>
      <c r="G95" s="45">
        <f>yaw_min</f>
        <v>-8</v>
      </c>
      <c r="H95" s="28" t="s">
        <v>3558</v>
      </c>
      <c r="I95" s="88">
        <v>0</v>
      </c>
      <c r="J95" s="44">
        <f t="shared" ref="J95" si="104">J94</f>
        <v>160</v>
      </c>
      <c r="K95" s="44">
        <f>J95+t_eqk/4*4</f>
        <v>180</v>
      </c>
      <c r="L95" s="44">
        <f t="shared" ref="L95:M95" si="105">L94</f>
        <v>150</v>
      </c>
      <c r="M95" s="152">
        <f t="shared" si="105"/>
        <v>210</v>
      </c>
    </row>
    <row r="96" spans="1:13" x14ac:dyDescent="0.25">
      <c r="A96" s="41">
        <f t="shared" ref="A96:B96" si="106">A95+1</f>
        <v>4076</v>
      </c>
      <c r="B96" s="42">
        <f t="shared" si="106"/>
        <v>86</v>
      </c>
      <c r="C96" s="41" t="s">
        <v>3412</v>
      </c>
      <c r="D96" s="43">
        <f t="shared" ref="D96:F96" si="107">D95</f>
        <v>11.8</v>
      </c>
      <c r="E96" s="44">
        <f t="shared" si="107"/>
        <v>8</v>
      </c>
      <c r="F96" s="151">
        <f t="shared" si="107"/>
        <v>0.2</v>
      </c>
      <c r="G96" s="45">
        <f>yaw_min</f>
        <v>-8</v>
      </c>
      <c r="H96" s="28" t="s">
        <v>3559</v>
      </c>
      <c r="I96" s="28">
        <v>0</v>
      </c>
      <c r="J96" s="44">
        <f t="shared" ref="J96:M96" si="108">J95</f>
        <v>160</v>
      </c>
      <c r="K96" s="44">
        <f t="shared" si="108"/>
        <v>180</v>
      </c>
      <c r="L96" s="44">
        <f t="shared" si="108"/>
        <v>150</v>
      </c>
      <c r="M96" s="152">
        <f t="shared" si="108"/>
        <v>210</v>
      </c>
    </row>
    <row r="97" spans="1:13" x14ac:dyDescent="0.25">
      <c r="A97" s="41">
        <f t="shared" ref="A97:B97" si="109">A96+1</f>
        <v>4077</v>
      </c>
      <c r="B97" s="42">
        <f t="shared" si="109"/>
        <v>87</v>
      </c>
      <c r="C97" s="41" t="s">
        <v>3413</v>
      </c>
      <c r="D97" s="43">
        <f t="shared" ref="D97:F97" si="110">D96</f>
        <v>11.8</v>
      </c>
      <c r="E97" s="44">
        <f t="shared" si="110"/>
        <v>8</v>
      </c>
      <c r="F97" s="151">
        <f t="shared" si="110"/>
        <v>0.2</v>
      </c>
      <c r="G97" s="45">
        <f>yaw_null</f>
        <v>0</v>
      </c>
      <c r="H97" s="28" t="s">
        <v>3560</v>
      </c>
      <c r="I97" s="88">
        <v>0</v>
      </c>
      <c r="J97" s="44">
        <f t="shared" ref="J97:M97" si="111">J96</f>
        <v>160</v>
      </c>
      <c r="K97" s="44">
        <f t="shared" si="111"/>
        <v>180</v>
      </c>
      <c r="L97" s="44">
        <f t="shared" si="111"/>
        <v>150</v>
      </c>
      <c r="M97" s="152">
        <f t="shared" si="111"/>
        <v>210</v>
      </c>
    </row>
    <row r="98" spans="1:13" x14ac:dyDescent="0.25">
      <c r="A98" s="41">
        <f t="shared" ref="A98:B98" si="112">A97+1</f>
        <v>4078</v>
      </c>
      <c r="B98" s="42">
        <f t="shared" si="112"/>
        <v>88</v>
      </c>
      <c r="C98" s="41" t="s">
        <v>3414</v>
      </c>
      <c r="D98" s="43">
        <f t="shared" ref="D98:F98" si="113">D97</f>
        <v>11.8</v>
      </c>
      <c r="E98" s="44">
        <f t="shared" si="113"/>
        <v>8</v>
      </c>
      <c r="F98" s="151">
        <f t="shared" si="113"/>
        <v>0.2</v>
      </c>
      <c r="G98" s="45">
        <f>yaw_null</f>
        <v>0</v>
      </c>
      <c r="H98" s="28" t="s">
        <v>3561</v>
      </c>
      <c r="I98" s="28">
        <v>0</v>
      </c>
      <c r="J98" s="44">
        <f t="shared" ref="J98:M98" si="114">J97</f>
        <v>160</v>
      </c>
      <c r="K98" s="44">
        <f t="shared" si="114"/>
        <v>180</v>
      </c>
      <c r="L98" s="44">
        <f t="shared" si="114"/>
        <v>150</v>
      </c>
      <c r="M98" s="152">
        <f t="shared" si="114"/>
        <v>210</v>
      </c>
    </row>
    <row r="99" spans="1:13" x14ac:dyDescent="0.25">
      <c r="A99" s="41">
        <f t="shared" ref="A99:B99" si="115">A98+1</f>
        <v>4079</v>
      </c>
      <c r="B99" s="42">
        <f t="shared" si="115"/>
        <v>89</v>
      </c>
      <c r="C99" s="41" t="s">
        <v>3415</v>
      </c>
      <c r="D99" s="43">
        <f t="shared" ref="D99:F99" si="116">D98</f>
        <v>11.8</v>
      </c>
      <c r="E99" s="44">
        <f t="shared" si="116"/>
        <v>8</v>
      </c>
      <c r="F99" s="151">
        <f t="shared" si="116"/>
        <v>0.2</v>
      </c>
      <c r="G99" s="45">
        <f>yaw_max</f>
        <v>8</v>
      </c>
      <c r="H99" s="28" t="s">
        <v>3562</v>
      </c>
      <c r="I99" s="88">
        <v>0</v>
      </c>
      <c r="J99" s="44">
        <f t="shared" ref="J99:M99" si="117">J98</f>
        <v>160</v>
      </c>
      <c r="K99" s="44">
        <f t="shared" si="117"/>
        <v>180</v>
      </c>
      <c r="L99" s="44">
        <f t="shared" si="117"/>
        <v>150</v>
      </c>
      <c r="M99" s="152">
        <f t="shared" si="117"/>
        <v>210</v>
      </c>
    </row>
    <row r="100" spans="1:13" x14ac:dyDescent="0.25">
      <c r="A100" s="41">
        <f t="shared" ref="A100:B100" si="118">A99+1</f>
        <v>4080</v>
      </c>
      <c r="B100" s="42">
        <f t="shared" si="118"/>
        <v>90</v>
      </c>
      <c r="C100" s="41" t="s">
        <v>3416</v>
      </c>
      <c r="D100" s="43">
        <f t="shared" ref="D100:F100" si="119">D99</f>
        <v>11.8</v>
      </c>
      <c r="E100" s="44">
        <f t="shared" si="119"/>
        <v>8</v>
      </c>
      <c r="F100" s="151">
        <f t="shared" si="119"/>
        <v>0.2</v>
      </c>
      <c r="G100" s="45">
        <f>yaw_max</f>
        <v>8</v>
      </c>
      <c r="H100" s="28" t="s">
        <v>3563</v>
      </c>
      <c r="I100" s="28">
        <v>0</v>
      </c>
      <c r="J100" s="44">
        <f t="shared" ref="J100:M100" si="120">J99</f>
        <v>160</v>
      </c>
      <c r="K100" s="44">
        <f t="shared" si="120"/>
        <v>180</v>
      </c>
      <c r="L100" s="44">
        <f t="shared" si="120"/>
        <v>150</v>
      </c>
      <c r="M100" s="152">
        <f t="shared" si="120"/>
        <v>210</v>
      </c>
    </row>
    <row r="101" spans="1:13" x14ac:dyDescent="0.25">
      <c r="A101" s="41">
        <f t="shared" ref="A101:B101" si="121">A100+1</f>
        <v>4081</v>
      </c>
      <c r="B101" s="42">
        <f t="shared" si="121"/>
        <v>91</v>
      </c>
      <c r="C101" s="41" t="s">
        <v>3417</v>
      </c>
      <c r="D101" s="43">
        <f>v_c</f>
        <v>20</v>
      </c>
      <c r="E101" s="44">
        <f t="shared" ref="E101:F101" si="122">E100</f>
        <v>8</v>
      </c>
      <c r="F101" s="151">
        <f t="shared" si="122"/>
        <v>0.2</v>
      </c>
      <c r="G101" s="45">
        <f>yaw_min</f>
        <v>-8</v>
      </c>
      <c r="H101" s="28" t="s">
        <v>3558</v>
      </c>
      <c r="I101" s="88">
        <v>0</v>
      </c>
      <c r="J101" s="44">
        <f t="shared" ref="J101" si="123">J100</f>
        <v>160</v>
      </c>
      <c r="K101" s="44">
        <f>J101</f>
        <v>160</v>
      </c>
      <c r="L101" s="44">
        <f t="shared" ref="L101:M101" si="124">L100</f>
        <v>150</v>
      </c>
      <c r="M101" s="152">
        <f t="shared" si="124"/>
        <v>210</v>
      </c>
    </row>
    <row r="102" spans="1:13" x14ac:dyDescent="0.25">
      <c r="A102" s="41">
        <f t="shared" ref="A102:B102" si="125">A101+1</f>
        <v>4082</v>
      </c>
      <c r="B102" s="42">
        <f t="shared" si="125"/>
        <v>92</v>
      </c>
      <c r="C102" s="41" t="s">
        <v>3418</v>
      </c>
      <c r="D102" s="43">
        <f>D101</f>
        <v>20</v>
      </c>
      <c r="E102" s="44">
        <f t="shared" ref="E102" si="126">E101</f>
        <v>8</v>
      </c>
      <c r="F102" s="151">
        <f>F101</f>
        <v>0.2</v>
      </c>
      <c r="G102" s="45">
        <f>yaw_min</f>
        <v>-8</v>
      </c>
      <c r="H102" s="28" t="s">
        <v>3559</v>
      </c>
      <c r="I102" s="28">
        <v>0</v>
      </c>
      <c r="J102" s="44">
        <f t="shared" ref="J102:M102" si="127">J101</f>
        <v>160</v>
      </c>
      <c r="K102" s="44">
        <f t="shared" si="127"/>
        <v>160</v>
      </c>
      <c r="L102" s="44">
        <f t="shared" si="127"/>
        <v>150</v>
      </c>
      <c r="M102" s="152">
        <f t="shared" si="127"/>
        <v>210</v>
      </c>
    </row>
    <row r="103" spans="1:13" x14ac:dyDescent="0.25">
      <c r="A103" s="41">
        <f t="shared" ref="A103:B103" si="128">A102+1</f>
        <v>4083</v>
      </c>
      <c r="B103" s="42">
        <f t="shared" si="128"/>
        <v>93</v>
      </c>
      <c r="C103" s="41" t="s">
        <v>3419</v>
      </c>
      <c r="D103" s="43">
        <f t="shared" ref="D103:F103" si="129">D102</f>
        <v>20</v>
      </c>
      <c r="E103" s="44">
        <f t="shared" si="129"/>
        <v>8</v>
      </c>
      <c r="F103" s="151">
        <f t="shared" si="129"/>
        <v>0.2</v>
      </c>
      <c r="G103" s="45">
        <f>yaw_null</f>
        <v>0</v>
      </c>
      <c r="H103" s="28" t="s">
        <v>3560</v>
      </c>
      <c r="I103" s="88">
        <v>0</v>
      </c>
      <c r="J103" s="44">
        <f t="shared" ref="J103:M103" si="130">J102</f>
        <v>160</v>
      </c>
      <c r="K103" s="44">
        <f t="shared" si="130"/>
        <v>160</v>
      </c>
      <c r="L103" s="44">
        <f t="shared" si="130"/>
        <v>150</v>
      </c>
      <c r="M103" s="152">
        <f t="shared" si="130"/>
        <v>210</v>
      </c>
    </row>
    <row r="104" spans="1:13" x14ac:dyDescent="0.25">
      <c r="A104" s="41">
        <f t="shared" ref="A104:B104" si="131">A103+1</f>
        <v>4084</v>
      </c>
      <c r="B104" s="42">
        <f t="shared" si="131"/>
        <v>94</v>
      </c>
      <c r="C104" s="41" t="s">
        <v>3420</v>
      </c>
      <c r="D104" s="43">
        <f t="shared" ref="D104:F104" si="132">D103</f>
        <v>20</v>
      </c>
      <c r="E104" s="44">
        <f t="shared" si="132"/>
        <v>8</v>
      </c>
      <c r="F104" s="151">
        <f t="shared" si="132"/>
        <v>0.2</v>
      </c>
      <c r="G104" s="45">
        <f>yaw_null</f>
        <v>0</v>
      </c>
      <c r="H104" s="28" t="s">
        <v>3561</v>
      </c>
      <c r="I104" s="28">
        <v>0</v>
      </c>
      <c r="J104" s="44">
        <f t="shared" ref="J104:M104" si="133">J103</f>
        <v>160</v>
      </c>
      <c r="K104" s="44">
        <f t="shared" si="133"/>
        <v>160</v>
      </c>
      <c r="L104" s="44">
        <f t="shared" si="133"/>
        <v>150</v>
      </c>
      <c r="M104" s="152">
        <f t="shared" si="133"/>
        <v>210</v>
      </c>
    </row>
    <row r="105" spans="1:13" x14ac:dyDescent="0.25">
      <c r="A105" s="41">
        <f t="shared" ref="A105:B105" si="134">A104+1</f>
        <v>4085</v>
      </c>
      <c r="B105" s="42">
        <f t="shared" si="134"/>
        <v>95</v>
      </c>
      <c r="C105" s="41" t="s">
        <v>3421</v>
      </c>
      <c r="D105" s="43">
        <f t="shared" ref="D105:F105" si="135">D104</f>
        <v>20</v>
      </c>
      <c r="E105" s="44">
        <f t="shared" si="135"/>
        <v>8</v>
      </c>
      <c r="F105" s="151">
        <f t="shared" si="135"/>
        <v>0.2</v>
      </c>
      <c r="G105" s="45">
        <f>yaw_max</f>
        <v>8</v>
      </c>
      <c r="H105" s="28" t="s">
        <v>3562</v>
      </c>
      <c r="I105" s="88">
        <v>0</v>
      </c>
      <c r="J105" s="44">
        <f t="shared" ref="J105:M105" si="136">J104</f>
        <v>160</v>
      </c>
      <c r="K105" s="44">
        <f t="shared" si="136"/>
        <v>160</v>
      </c>
      <c r="L105" s="44">
        <f t="shared" si="136"/>
        <v>150</v>
      </c>
      <c r="M105" s="152">
        <f t="shared" si="136"/>
        <v>210</v>
      </c>
    </row>
    <row r="106" spans="1:13" x14ac:dyDescent="0.25">
      <c r="A106" s="41">
        <f t="shared" ref="A106:B106" si="137">A105+1</f>
        <v>4086</v>
      </c>
      <c r="B106" s="42">
        <f t="shared" si="137"/>
        <v>96</v>
      </c>
      <c r="C106" s="41" t="s">
        <v>3422</v>
      </c>
      <c r="D106" s="43">
        <f t="shared" ref="D106:F106" si="138">D105</f>
        <v>20</v>
      </c>
      <c r="E106" s="44">
        <f t="shared" si="138"/>
        <v>8</v>
      </c>
      <c r="F106" s="151">
        <f t="shared" si="138"/>
        <v>0.2</v>
      </c>
      <c r="G106" s="45">
        <f>yaw_max</f>
        <v>8</v>
      </c>
      <c r="H106" s="153" t="s">
        <v>3563</v>
      </c>
      <c r="I106" s="28">
        <v>0</v>
      </c>
      <c r="J106" s="44">
        <f t="shared" ref="J106:M106" si="139">J105</f>
        <v>160</v>
      </c>
      <c r="K106" s="128">
        <f t="shared" si="139"/>
        <v>160</v>
      </c>
      <c r="L106" s="44">
        <f t="shared" si="139"/>
        <v>150</v>
      </c>
      <c r="M106" s="152">
        <f t="shared" si="139"/>
        <v>210</v>
      </c>
    </row>
    <row r="107" spans="1:13" x14ac:dyDescent="0.25">
      <c r="A107" s="41">
        <f t="shared" ref="A107:B107" si="140">A106+1</f>
        <v>4087</v>
      </c>
      <c r="B107" s="42">
        <f t="shared" si="140"/>
        <v>97</v>
      </c>
      <c r="C107" s="41" t="s">
        <v>3423</v>
      </c>
      <c r="D107" s="43">
        <f t="shared" ref="D107:F107" si="141">D106</f>
        <v>20</v>
      </c>
      <c r="E107" s="44">
        <f t="shared" si="141"/>
        <v>8</v>
      </c>
      <c r="F107" s="151">
        <f t="shared" si="141"/>
        <v>0.2</v>
      </c>
      <c r="G107" s="45">
        <f>yaw_min</f>
        <v>-8</v>
      </c>
      <c r="H107" s="28" t="s">
        <v>3558</v>
      </c>
      <c r="I107" s="88">
        <v>0</v>
      </c>
      <c r="J107" s="44">
        <f t="shared" ref="J107" si="142">J106</f>
        <v>160</v>
      </c>
      <c r="K107" s="44">
        <f>J107+t_eqk/4</f>
        <v>165</v>
      </c>
      <c r="L107" s="44">
        <f t="shared" ref="L107:M107" si="143">L106</f>
        <v>150</v>
      </c>
      <c r="M107" s="152">
        <f t="shared" si="143"/>
        <v>210</v>
      </c>
    </row>
    <row r="108" spans="1:13" x14ac:dyDescent="0.25">
      <c r="A108" s="41">
        <f t="shared" ref="A108:B108" si="144">A107+1</f>
        <v>4088</v>
      </c>
      <c r="B108" s="42">
        <f t="shared" si="144"/>
        <v>98</v>
      </c>
      <c r="C108" s="41" t="s">
        <v>3424</v>
      </c>
      <c r="D108" s="43">
        <f t="shared" ref="D108:F108" si="145">D107</f>
        <v>20</v>
      </c>
      <c r="E108" s="44">
        <f t="shared" si="145"/>
        <v>8</v>
      </c>
      <c r="F108" s="151">
        <f t="shared" si="145"/>
        <v>0.2</v>
      </c>
      <c r="G108" s="45">
        <f>yaw_min</f>
        <v>-8</v>
      </c>
      <c r="H108" s="28" t="s">
        <v>3559</v>
      </c>
      <c r="I108" s="28">
        <v>0</v>
      </c>
      <c r="J108" s="44">
        <f t="shared" ref="J108:M108" si="146">J107</f>
        <v>160</v>
      </c>
      <c r="K108" s="44">
        <f t="shared" si="146"/>
        <v>165</v>
      </c>
      <c r="L108" s="44">
        <f t="shared" si="146"/>
        <v>150</v>
      </c>
      <c r="M108" s="152">
        <f t="shared" si="146"/>
        <v>210</v>
      </c>
    </row>
    <row r="109" spans="1:13" x14ac:dyDescent="0.25">
      <c r="A109" s="41">
        <f t="shared" ref="A109:B109" si="147">A108+1</f>
        <v>4089</v>
      </c>
      <c r="B109" s="42">
        <f t="shared" si="147"/>
        <v>99</v>
      </c>
      <c r="C109" s="41" t="s">
        <v>3425</v>
      </c>
      <c r="D109" s="43">
        <f t="shared" ref="D109:F109" si="148">D108</f>
        <v>20</v>
      </c>
      <c r="E109" s="44">
        <f t="shared" si="148"/>
        <v>8</v>
      </c>
      <c r="F109" s="151">
        <f t="shared" si="148"/>
        <v>0.2</v>
      </c>
      <c r="G109" s="45">
        <f>yaw_null</f>
        <v>0</v>
      </c>
      <c r="H109" s="28" t="s">
        <v>3560</v>
      </c>
      <c r="I109" s="88">
        <v>0</v>
      </c>
      <c r="J109" s="44">
        <f t="shared" ref="J109:M109" si="149">J108</f>
        <v>160</v>
      </c>
      <c r="K109" s="44">
        <f t="shared" si="149"/>
        <v>165</v>
      </c>
      <c r="L109" s="44">
        <f t="shared" si="149"/>
        <v>150</v>
      </c>
      <c r="M109" s="152">
        <f t="shared" si="149"/>
        <v>210</v>
      </c>
    </row>
    <row r="110" spans="1:13" x14ac:dyDescent="0.25">
      <c r="A110" s="41">
        <f t="shared" ref="A110:B110" si="150">A109+1</f>
        <v>4090</v>
      </c>
      <c r="B110" s="42">
        <f t="shared" si="150"/>
        <v>100</v>
      </c>
      <c r="C110" s="41" t="s">
        <v>3426</v>
      </c>
      <c r="D110" s="43">
        <f t="shared" ref="D110:F110" si="151">D109</f>
        <v>20</v>
      </c>
      <c r="E110" s="44">
        <f t="shared" si="151"/>
        <v>8</v>
      </c>
      <c r="F110" s="151">
        <f t="shared" si="151"/>
        <v>0.2</v>
      </c>
      <c r="G110" s="45">
        <f>yaw_null</f>
        <v>0</v>
      </c>
      <c r="H110" s="28" t="s">
        <v>3561</v>
      </c>
      <c r="I110" s="28">
        <v>0</v>
      </c>
      <c r="J110" s="44">
        <f t="shared" ref="J110:M110" si="152">J109</f>
        <v>160</v>
      </c>
      <c r="K110" s="44">
        <f t="shared" si="152"/>
        <v>165</v>
      </c>
      <c r="L110" s="44">
        <f t="shared" si="152"/>
        <v>150</v>
      </c>
      <c r="M110" s="152">
        <f t="shared" si="152"/>
        <v>210</v>
      </c>
    </row>
    <row r="111" spans="1:13" x14ac:dyDescent="0.25">
      <c r="A111" s="41">
        <f t="shared" ref="A111:B111" si="153">A110+1</f>
        <v>4091</v>
      </c>
      <c r="B111" s="42">
        <f t="shared" si="153"/>
        <v>101</v>
      </c>
      <c r="C111" s="41" t="s">
        <v>3427</v>
      </c>
      <c r="D111" s="43">
        <f t="shared" ref="D111:F111" si="154">D110</f>
        <v>20</v>
      </c>
      <c r="E111" s="44">
        <f t="shared" si="154"/>
        <v>8</v>
      </c>
      <c r="F111" s="151">
        <f t="shared" si="154"/>
        <v>0.2</v>
      </c>
      <c r="G111" s="45">
        <f>yaw_max</f>
        <v>8</v>
      </c>
      <c r="H111" s="28" t="s">
        <v>3562</v>
      </c>
      <c r="I111" s="88">
        <v>0</v>
      </c>
      <c r="J111" s="44">
        <f t="shared" ref="J111:M111" si="155">J110</f>
        <v>160</v>
      </c>
      <c r="K111" s="44">
        <f t="shared" si="155"/>
        <v>165</v>
      </c>
      <c r="L111" s="44">
        <f t="shared" si="155"/>
        <v>150</v>
      </c>
      <c r="M111" s="152">
        <f t="shared" si="155"/>
        <v>210</v>
      </c>
    </row>
    <row r="112" spans="1:13" x14ac:dyDescent="0.25">
      <c r="A112" s="41">
        <f t="shared" ref="A112:B112" si="156">A111+1</f>
        <v>4092</v>
      </c>
      <c r="B112" s="42">
        <f t="shared" si="156"/>
        <v>102</v>
      </c>
      <c r="C112" s="41" t="s">
        <v>3428</v>
      </c>
      <c r="D112" s="43">
        <f t="shared" ref="D112:F112" si="157">D111</f>
        <v>20</v>
      </c>
      <c r="E112" s="44">
        <f t="shared" si="157"/>
        <v>8</v>
      </c>
      <c r="F112" s="151">
        <f t="shared" si="157"/>
        <v>0.2</v>
      </c>
      <c r="G112" s="45">
        <f>yaw_max</f>
        <v>8</v>
      </c>
      <c r="H112" s="28" t="s">
        <v>3563</v>
      </c>
      <c r="I112" s="28">
        <v>0</v>
      </c>
      <c r="J112" s="44">
        <f t="shared" ref="J112:M112" si="158">J111</f>
        <v>160</v>
      </c>
      <c r="K112" s="44">
        <f t="shared" si="158"/>
        <v>165</v>
      </c>
      <c r="L112" s="44">
        <f t="shared" si="158"/>
        <v>150</v>
      </c>
      <c r="M112" s="152">
        <f t="shared" si="158"/>
        <v>210</v>
      </c>
    </row>
    <row r="113" spans="1:13" x14ac:dyDescent="0.25">
      <c r="A113" s="41">
        <f t="shared" ref="A113:B113" si="159">A112+1</f>
        <v>4093</v>
      </c>
      <c r="B113" s="42">
        <f t="shared" si="159"/>
        <v>103</v>
      </c>
      <c r="C113" s="41" t="s">
        <v>3429</v>
      </c>
      <c r="D113" s="43">
        <f t="shared" ref="D113:F113" si="160">D112</f>
        <v>20</v>
      </c>
      <c r="E113" s="44">
        <f t="shared" si="160"/>
        <v>8</v>
      </c>
      <c r="F113" s="151">
        <f t="shared" si="160"/>
        <v>0.2</v>
      </c>
      <c r="G113" s="45">
        <f>yaw_min</f>
        <v>-8</v>
      </c>
      <c r="H113" s="28" t="s">
        <v>3558</v>
      </c>
      <c r="I113" s="88">
        <v>0</v>
      </c>
      <c r="J113" s="44">
        <f t="shared" ref="J113" si="161">J112</f>
        <v>160</v>
      </c>
      <c r="K113" s="44">
        <f>J113+t_eqk/4*2</f>
        <v>170</v>
      </c>
      <c r="L113" s="44">
        <f t="shared" ref="L113:M113" si="162">L112</f>
        <v>150</v>
      </c>
      <c r="M113" s="152">
        <f t="shared" si="162"/>
        <v>210</v>
      </c>
    </row>
    <row r="114" spans="1:13" x14ac:dyDescent="0.25">
      <c r="A114" s="41">
        <f t="shared" ref="A114:B114" si="163">A113+1</f>
        <v>4094</v>
      </c>
      <c r="B114" s="42">
        <f t="shared" si="163"/>
        <v>104</v>
      </c>
      <c r="C114" s="41" t="s">
        <v>3430</v>
      </c>
      <c r="D114" s="43">
        <f t="shared" ref="D114:F114" si="164">D113</f>
        <v>20</v>
      </c>
      <c r="E114" s="44">
        <f t="shared" si="164"/>
        <v>8</v>
      </c>
      <c r="F114" s="151">
        <f t="shared" si="164"/>
        <v>0.2</v>
      </c>
      <c r="G114" s="45">
        <f>yaw_min</f>
        <v>-8</v>
      </c>
      <c r="H114" s="28" t="s">
        <v>3559</v>
      </c>
      <c r="I114" s="28">
        <v>0</v>
      </c>
      <c r="J114" s="44">
        <f t="shared" ref="J114:M114" si="165">J113</f>
        <v>160</v>
      </c>
      <c r="K114" s="44">
        <f t="shared" si="165"/>
        <v>170</v>
      </c>
      <c r="L114" s="44">
        <f t="shared" si="165"/>
        <v>150</v>
      </c>
      <c r="M114" s="152">
        <f t="shared" si="165"/>
        <v>210</v>
      </c>
    </row>
    <row r="115" spans="1:13" x14ac:dyDescent="0.25">
      <c r="A115" s="41">
        <f t="shared" ref="A115:B115" si="166">A114+1</f>
        <v>4095</v>
      </c>
      <c r="B115" s="42">
        <f t="shared" si="166"/>
        <v>105</v>
      </c>
      <c r="C115" s="41" t="s">
        <v>3431</v>
      </c>
      <c r="D115" s="43">
        <f t="shared" ref="D115:F115" si="167">D114</f>
        <v>20</v>
      </c>
      <c r="E115" s="44">
        <f t="shared" si="167"/>
        <v>8</v>
      </c>
      <c r="F115" s="151">
        <f t="shared" si="167"/>
        <v>0.2</v>
      </c>
      <c r="G115" s="45">
        <f>yaw_null</f>
        <v>0</v>
      </c>
      <c r="H115" s="28" t="s">
        <v>3560</v>
      </c>
      <c r="I115" s="88">
        <v>0</v>
      </c>
      <c r="J115" s="44">
        <f t="shared" ref="J115:M115" si="168">J114</f>
        <v>160</v>
      </c>
      <c r="K115" s="44">
        <f t="shared" si="168"/>
        <v>170</v>
      </c>
      <c r="L115" s="44">
        <f t="shared" si="168"/>
        <v>150</v>
      </c>
      <c r="M115" s="152">
        <f t="shared" si="168"/>
        <v>210</v>
      </c>
    </row>
    <row r="116" spans="1:13" x14ac:dyDescent="0.25">
      <c r="A116" s="41">
        <f t="shared" ref="A116:B116" si="169">A115+1</f>
        <v>4096</v>
      </c>
      <c r="B116" s="42">
        <f t="shared" si="169"/>
        <v>106</v>
      </c>
      <c r="C116" s="41" t="s">
        <v>3432</v>
      </c>
      <c r="D116" s="43">
        <f t="shared" ref="D116:F116" si="170">D115</f>
        <v>20</v>
      </c>
      <c r="E116" s="44">
        <f t="shared" si="170"/>
        <v>8</v>
      </c>
      <c r="F116" s="151">
        <f t="shared" si="170"/>
        <v>0.2</v>
      </c>
      <c r="G116" s="45">
        <f>yaw_null</f>
        <v>0</v>
      </c>
      <c r="H116" s="28" t="s">
        <v>3561</v>
      </c>
      <c r="I116" s="28">
        <v>0</v>
      </c>
      <c r="J116" s="44">
        <f t="shared" ref="J116:M116" si="171">J115</f>
        <v>160</v>
      </c>
      <c r="K116" s="44">
        <f t="shared" si="171"/>
        <v>170</v>
      </c>
      <c r="L116" s="44">
        <f t="shared" si="171"/>
        <v>150</v>
      </c>
      <c r="M116" s="152">
        <f t="shared" si="171"/>
        <v>210</v>
      </c>
    </row>
    <row r="117" spans="1:13" x14ac:dyDescent="0.25">
      <c r="A117" s="41">
        <f t="shared" ref="A117:B117" si="172">A116+1</f>
        <v>4097</v>
      </c>
      <c r="B117" s="42">
        <f t="shared" si="172"/>
        <v>107</v>
      </c>
      <c r="C117" s="41" t="s">
        <v>3433</v>
      </c>
      <c r="D117" s="43">
        <f t="shared" ref="D117:F117" si="173">D116</f>
        <v>20</v>
      </c>
      <c r="E117" s="44">
        <f t="shared" si="173"/>
        <v>8</v>
      </c>
      <c r="F117" s="151">
        <f t="shared" si="173"/>
        <v>0.2</v>
      </c>
      <c r="G117" s="45">
        <f>yaw_max</f>
        <v>8</v>
      </c>
      <c r="H117" s="28" t="s">
        <v>3562</v>
      </c>
      <c r="I117" s="88">
        <v>0</v>
      </c>
      <c r="J117" s="44">
        <f t="shared" ref="J117:M117" si="174">J116</f>
        <v>160</v>
      </c>
      <c r="K117" s="44">
        <f t="shared" si="174"/>
        <v>170</v>
      </c>
      <c r="L117" s="44">
        <f t="shared" si="174"/>
        <v>150</v>
      </c>
      <c r="M117" s="152">
        <f t="shared" si="174"/>
        <v>210</v>
      </c>
    </row>
    <row r="118" spans="1:13" x14ac:dyDescent="0.25">
      <c r="A118" s="41">
        <f t="shared" ref="A118:B118" si="175">A117+1</f>
        <v>4098</v>
      </c>
      <c r="B118" s="42">
        <f t="shared" si="175"/>
        <v>108</v>
      </c>
      <c r="C118" s="41" t="s">
        <v>3434</v>
      </c>
      <c r="D118" s="43">
        <f t="shared" ref="D118:F118" si="176">D117</f>
        <v>20</v>
      </c>
      <c r="E118" s="44">
        <f t="shared" si="176"/>
        <v>8</v>
      </c>
      <c r="F118" s="151">
        <f t="shared" si="176"/>
        <v>0.2</v>
      </c>
      <c r="G118" s="45">
        <f>yaw_max</f>
        <v>8</v>
      </c>
      <c r="H118" s="153" t="s">
        <v>3563</v>
      </c>
      <c r="I118" s="28">
        <v>0</v>
      </c>
      <c r="J118" s="44">
        <f t="shared" ref="J118:M118" si="177">J117</f>
        <v>160</v>
      </c>
      <c r="K118" s="44">
        <f t="shared" si="177"/>
        <v>170</v>
      </c>
      <c r="L118" s="44">
        <f t="shared" si="177"/>
        <v>150</v>
      </c>
      <c r="M118" s="152">
        <f t="shared" si="177"/>
        <v>210</v>
      </c>
    </row>
    <row r="119" spans="1:13" x14ac:dyDescent="0.25">
      <c r="A119" s="41">
        <f t="shared" ref="A119:B119" si="178">A118+1</f>
        <v>4099</v>
      </c>
      <c r="B119" s="42">
        <f t="shared" si="178"/>
        <v>109</v>
      </c>
      <c r="C119" s="41" t="s">
        <v>3435</v>
      </c>
      <c r="D119" s="43">
        <f t="shared" ref="D119:F119" si="179">D118</f>
        <v>20</v>
      </c>
      <c r="E119" s="44">
        <f t="shared" si="179"/>
        <v>8</v>
      </c>
      <c r="F119" s="151">
        <f t="shared" si="179"/>
        <v>0.2</v>
      </c>
      <c r="G119" s="45">
        <f>yaw_min</f>
        <v>-8</v>
      </c>
      <c r="H119" s="28" t="s">
        <v>3558</v>
      </c>
      <c r="I119" s="88">
        <v>0</v>
      </c>
      <c r="J119" s="44">
        <f t="shared" ref="J119" si="180">J118</f>
        <v>160</v>
      </c>
      <c r="K119" s="44">
        <f>J119+t_eqk/4*3</f>
        <v>175</v>
      </c>
      <c r="L119" s="44">
        <f t="shared" ref="L119:M119" si="181">L118</f>
        <v>150</v>
      </c>
      <c r="M119" s="152">
        <f t="shared" si="181"/>
        <v>210</v>
      </c>
    </row>
    <row r="120" spans="1:13" x14ac:dyDescent="0.25">
      <c r="A120" s="41">
        <f t="shared" ref="A120:B120" si="182">A119+1</f>
        <v>4100</v>
      </c>
      <c r="B120" s="42">
        <f t="shared" si="182"/>
        <v>110</v>
      </c>
      <c r="C120" s="41" t="s">
        <v>3436</v>
      </c>
      <c r="D120" s="43">
        <f t="shared" ref="D120:F120" si="183">D119</f>
        <v>20</v>
      </c>
      <c r="E120" s="44">
        <f t="shared" si="183"/>
        <v>8</v>
      </c>
      <c r="F120" s="151">
        <f t="shared" si="183"/>
        <v>0.2</v>
      </c>
      <c r="G120" s="45">
        <f>yaw_min</f>
        <v>-8</v>
      </c>
      <c r="H120" s="28" t="s">
        <v>3559</v>
      </c>
      <c r="I120" s="28">
        <v>0</v>
      </c>
      <c r="J120" s="44">
        <f t="shared" ref="J120:M120" si="184">J119</f>
        <v>160</v>
      </c>
      <c r="K120" s="44">
        <f t="shared" si="184"/>
        <v>175</v>
      </c>
      <c r="L120" s="44">
        <f t="shared" si="184"/>
        <v>150</v>
      </c>
      <c r="M120" s="152">
        <f t="shared" si="184"/>
        <v>210</v>
      </c>
    </row>
    <row r="121" spans="1:13" x14ac:dyDescent="0.25">
      <c r="A121" s="41">
        <f t="shared" ref="A121:B121" si="185">A120+1</f>
        <v>4101</v>
      </c>
      <c r="B121" s="42">
        <f t="shared" si="185"/>
        <v>111</v>
      </c>
      <c r="C121" s="41" t="s">
        <v>3437</v>
      </c>
      <c r="D121" s="43">
        <f t="shared" ref="D121:F121" si="186">D120</f>
        <v>20</v>
      </c>
      <c r="E121" s="44">
        <f t="shared" si="186"/>
        <v>8</v>
      </c>
      <c r="F121" s="151">
        <f t="shared" si="186"/>
        <v>0.2</v>
      </c>
      <c r="G121" s="45">
        <f>yaw_null</f>
        <v>0</v>
      </c>
      <c r="H121" s="28" t="s">
        <v>3560</v>
      </c>
      <c r="I121" s="88">
        <v>0</v>
      </c>
      <c r="J121" s="44">
        <f t="shared" ref="J121:M121" si="187">J120</f>
        <v>160</v>
      </c>
      <c r="K121" s="44">
        <f t="shared" si="187"/>
        <v>175</v>
      </c>
      <c r="L121" s="44">
        <f t="shared" si="187"/>
        <v>150</v>
      </c>
      <c r="M121" s="152">
        <f t="shared" si="187"/>
        <v>210</v>
      </c>
    </row>
    <row r="122" spans="1:13" x14ac:dyDescent="0.25">
      <c r="A122" s="41">
        <f t="shared" ref="A122:B122" si="188">A121+1</f>
        <v>4102</v>
      </c>
      <c r="B122" s="42">
        <f t="shared" si="188"/>
        <v>112</v>
      </c>
      <c r="C122" s="41" t="s">
        <v>3438</v>
      </c>
      <c r="D122" s="43">
        <f t="shared" ref="D122:F122" si="189">D121</f>
        <v>20</v>
      </c>
      <c r="E122" s="44">
        <f t="shared" si="189"/>
        <v>8</v>
      </c>
      <c r="F122" s="151">
        <f t="shared" si="189"/>
        <v>0.2</v>
      </c>
      <c r="G122" s="45">
        <f>yaw_null</f>
        <v>0</v>
      </c>
      <c r="H122" s="28" t="s">
        <v>3561</v>
      </c>
      <c r="I122" s="28">
        <v>0</v>
      </c>
      <c r="J122" s="44">
        <f t="shared" ref="J122:M122" si="190">J121</f>
        <v>160</v>
      </c>
      <c r="K122" s="44">
        <f t="shared" si="190"/>
        <v>175</v>
      </c>
      <c r="L122" s="44">
        <f t="shared" si="190"/>
        <v>150</v>
      </c>
      <c r="M122" s="152">
        <f t="shared" si="190"/>
        <v>210</v>
      </c>
    </row>
    <row r="123" spans="1:13" x14ac:dyDescent="0.25">
      <c r="A123" s="41">
        <f t="shared" ref="A123:B123" si="191">A122+1</f>
        <v>4103</v>
      </c>
      <c r="B123" s="42">
        <f t="shared" si="191"/>
        <v>113</v>
      </c>
      <c r="C123" s="41" t="s">
        <v>3439</v>
      </c>
      <c r="D123" s="43">
        <f t="shared" ref="D123:F123" si="192">D122</f>
        <v>20</v>
      </c>
      <c r="E123" s="44">
        <f t="shared" si="192"/>
        <v>8</v>
      </c>
      <c r="F123" s="151">
        <f t="shared" si="192"/>
        <v>0.2</v>
      </c>
      <c r="G123" s="45">
        <f>yaw_max</f>
        <v>8</v>
      </c>
      <c r="H123" s="28" t="s">
        <v>3562</v>
      </c>
      <c r="I123" s="88">
        <v>0</v>
      </c>
      <c r="J123" s="44">
        <f t="shared" ref="J123:M123" si="193">J122</f>
        <v>160</v>
      </c>
      <c r="K123" s="44">
        <f t="shared" si="193"/>
        <v>175</v>
      </c>
      <c r="L123" s="44">
        <f t="shared" si="193"/>
        <v>150</v>
      </c>
      <c r="M123" s="152">
        <f t="shared" si="193"/>
        <v>210</v>
      </c>
    </row>
    <row r="124" spans="1:13" x14ac:dyDescent="0.25">
      <c r="A124" s="41">
        <f t="shared" ref="A124:B124" si="194">A123+1</f>
        <v>4104</v>
      </c>
      <c r="B124" s="42">
        <f t="shared" si="194"/>
        <v>114</v>
      </c>
      <c r="C124" s="41" t="s">
        <v>3440</v>
      </c>
      <c r="D124" s="43">
        <f t="shared" ref="D124:F124" si="195">D123</f>
        <v>20</v>
      </c>
      <c r="E124" s="44">
        <f t="shared" si="195"/>
        <v>8</v>
      </c>
      <c r="F124" s="151">
        <f t="shared" si="195"/>
        <v>0.2</v>
      </c>
      <c r="G124" s="45">
        <f>yaw_max</f>
        <v>8</v>
      </c>
      <c r="H124" s="153" t="s">
        <v>3563</v>
      </c>
      <c r="I124" s="28">
        <v>0</v>
      </c>
      <c r="J124" s="44">
        <f t="shared" ref="J124:M124" si="196">J123</f>
        <v>160</v>
      </c>
      <c r="K124" s="44">
        <f t="shared" si="196"/>
        <v>175</v>
      </c>
      <c r="L124" s="44">
        <f t="shared" si="196"/>
        <v>150</v>
      </c>
      <c r="M124" s="152">
        <f t="shared" si="196"/>
        <v>210</v>
      </c>
    </row>
    <row r="125" spans="1:13" x14ac:dyDescent="0.25">
      <c r="A125" s="41">
        <f t="shared" ref="A125:B125" si="197">A124+1</f>
        <v>4105</v>
      </c>
      <c r="B125" s="42">
        <f t="shared" si="197"/>
        <v>115</v>
      </c>
      <c r="C125" s="41" t="s">
        <v>3441</v>
      </c>
      <c r="D125" s="43">
        <f t="shared" ref="D125:F125" si="198">D124</f>
        <v>20</v>
      </c>
      <c r="E125" s="44">
        <f t="shared" si="198"/>
        <v>8</v>
      </c>
      <c r="F125" s="151">
        <f t="shared" si="198"/>
        <v>0.2</v>
      </c>
      <c r="G125" s="45">
        <f>yaw_min</f>
        <v>-8</v>
      </c>
      <c r="H125" s="28" t="s">
        <v>3558</v>
      </c>
      <c r="I125" s="88">
        <v>0</v>
      </c>
      <c r="J125" s="44">
        <f t="shared" ref="J125" si="199">J124</f>
        <v>160</v>
      </c>
      <c r="K125" s="44">
        <f>J125+t_eqk/4*4</f>
        <v>180</v>
      </c>
      <c r="L125" s="44">
        <f t="shared" ref="L125:M125" si="200">L124</f>
        <v>150</v>
      </c>
      <c r="M125" s="152">
        <f t="shared" si="200"/>
        <v>210</v>
      </c>
    </row>
    <row r="126" spans="1:13" x14ac:dyDescent="0.25">
      <c r="A126" s="41">
        <f t="shared" ref="A126:B126" si="201">A125+1</f>
        <v>4106</v>
      </c>
      <c r="B126" s="42">
        <f t="shared" si="201"/>
        <v>116</v>
      </c>
      <c r="C126" s="41" t="s">
        <v>3442</v>
      </c>
      <c r="D126" s="43">
        <f t="shared" ref="D126:F126" si="202">D125</f>
        <v>20</v>
      </c>
      <c r="E126" s="44">
        <f t="shared" si="202"/>
        <v>8</v>
      </c>
      <c r="F126" s="151">
        <f t="shared" si="202"/>
        <v>0.2</v>
      </c>
      <c r="G126" s="45">
        <f>yaw_min</f>
        <v>-8</v>
      </c>
      <c r="H126" s="28" t="s">
        <v>3559</v>
      </c>
      <c r="I126" s="28">
        <v>0</v>
      </c>
      <c r="J126" s="44">
        <f t="shared" ref="J126:M126" si="203">J125</f>
        <v>160</v>
      </c>
      <c r="K126" s="44">
        <f t="shared" si="203"/>
        <v>180</v>
      </c>
      <c r="L126" s="44">
        <f t="shared" si="203"/>
        <v>150</v>
      </c>
      <c r="M126" s="152">
        <f t="shared" si="203"/>
        <v>210</v>
      </c>
    </row>
    <row r="127" spans="1:13" x14ac:dyDescent="0.25">
      <c r="A127" s="41">
        <f t="shared" ref="A127:B127" si="204">A126+1</f>
        <v>4107</v>
      </c>
      <c r="B127" s="42">
        <f t="shared" si="204"/>
        <v>117</v>
      </c>
      <c r="C127" s="41" t="s">
        <v>3443</v>
      </c>
      <c r="D127" s="43">
        <f t="shared" ref="D127:F127" si="205">D126</f>
        <v>20</v>
      </c>
      <c r="E127" s="44">
        <f t="shared" si="205"/>
        <v>8</v>
      </c>
      <c r="F127" s="151">
        <f t="shared" si="205"/>
        <v>0.2</v>
      </c>
      <c r="G127" s="45">
        <f>yaw_null</f>
        <v>0</v>
      </c>
      <c r="H127" s="28" t="s">
        <v>3560</v>
      </c>
      <c r="I127" s="88">
        <v>0</v>
      </c>
      <c r="J127" s="44">
        <f t="shared" ref="J127:M127" si="206">J126</f>
        <v>160</v>
      </c>
      <c r="K127" s="44">
        <f t="shared" si="206"/>
        <v>180</v>
      </c>
      <c r="L127" s="44">
        <f t="shared" si="206"/>
        <v>150</v>
      </c>
      <c r="M127" s="152">
        <f t="shared" si="206"/>
        <v>210</v>
      </c>
    </row>
    <row r="128" spans="1:13" x14ac:dyDescent="0.25">
      <c r="A128" s="41">
        <f t="shared" ref="A128:B128" si="207">A127+1</f>
        <v>4108</v>
      </c>
      <c r="B128" s="42">
        <f t="shared" si="207"/>
        <v>118</v>
      </c>
      <c r="C128" s="41" t="s">
        <v>3444</v>
      </c>
      <c r="D128" s="43">
        <f t="shared" ref="D128:F128" si="208">D127</f>
        <v>20</v>
      </c>
      <c r="E128" s="44">
        <f t="shared" si="208"/>
        <v>8</v>
      </c>
      <c r="F128" s="151">
        <f t="shared" si="208"/>
        <v>0.2</v>
      </c>
      <c r="G128" s="45">
        <f>yaw_null</f>
        <v>0</v>
      </c>
      <c r="H128" s="28" t="s">
        <v>3561</v>
      </c>
      <c r="I128" s="28">
        <v>0</v>
      </c>
      <c r="J128" s="44">
        <f t="shared" ref="J128:M128" si="209">J127</f>
        <v>160</v>
      </c>
      <c r="K128" s="44">
        <f t="shared" si="209"/>
        <v>180</v>
      </c>
      <c r="L128" s="44">
        <f t="shared" si="209"/>
        <v>150</v>
      </c>
      <c r="M128" s="152">
        <f t="shared" si="209"/>
        <v>210</v>
      </c>
    </row>
    <row r="129" spans="1:13" x14ac:dyDescent="0.25">
      <c r="A129" s="41">
        <f t="shared" ref="A129:B129" si="210">A128+1</f>
        <v>4109</v>
      </c>
      <c r="B129" s="42">
        <f t="shared" si="210"/>
        <v>119</v>
      </c>
      <c r="C129" s="41" t="s">
        <v>3445</v>
      </c>
      <c r="D129" s="43">
        <f t="shared" ref="D129:F129" si="211">D128</f>
        <v>20</v>
      </c>
      <c r="E129" s="44">
        <f t="shared" si="211"/>
        <v>8</v>
      </c>
      <c r="F129" s="151">
        <f t="shared" si="211"/>
        <v>0.2</v>
      </c>
      <c r="G129" s="45">
        <f>yaw_max</f>
        <v>8</v>
      </c>
      <c r="H129" s="28" t="s">
        <v>3562</v>
      </c>
      <c r="I129" s="88">
        <v>0</v>
      </c>
      <c r="J129" s="44">
        <f t="shared" ref="J129:M129" si="212">J128</f>
        <v>160</v>
      </c>
      <c r="K129" s="44">
        <f t="shared" si="212"/>
        <v>180</v>
      </c>
      <c r="L129" s="44">
        <f t="shared" si="212"/>
        <v>150</v>
      </c>
      <c r="M129" s="152">
        <f t="shared" si="212"/>
        <v>210</v>
      </c>
    </row>
    <row r="130" spans="1:13" x14ac:dyDescent="0.25">
      <c r="A130" s="41">
        <f t="shared" ref="A130:B130" si="213">A129+1</f>
        <v>4110</v>
      </c>
      <c r="B130" s="42">
        <f t="shared" si="213"/>
        <v>120</v>
      </c>
      <c r="C130" s="41" t="s">
        <v>3446</v>
      </c>
      <c r="D130" s="43">
        <f t="shared" ref="D130:F130" si="214">D129</f>
        <v>20</v>
      </c>
      <c r="E130" s="44">
        <f t="shared" si="214"/>
        <v>8</v>
      </c>
      <c r="F130" s="151">
        <f t="shared" si="214"/>
        <v>0.2</v>
      </c>
      <c r="G130" s="45">
        <f>yaw_max</f>
        <v>8</v>
      </c>
      <c r="H130" s="28" t="s">
        <v>3563</v>
      </c>
      <c r="I130" s="28">
        <v>0</v>
      </c>
      <c r="J130" s="44">
        <f t="shared" ref="J130:M130" si="215">J129</f>
        <v>160</v>
      </c>
      <c r="K130" s="44">
        <f t="shared" si="215"/>
        <v>180</v>
      </c>
      <c r="L130" s="44">
        <f t="shared" si="215"/>
        <v>150</v>
      </c>
      <c r="M130" s="152">
        <f t="shared" si="215"/>
        <v>210</v>
      </c>
    </row>
    <row r="131" spans="1:13" x14ac:dyDescent="0.25">
      <c r="A131" s="41">
        <f t="shared" ref="A131:B131" si="216">A130+1</f>
        <v>4111</v>
      </c>
      <c r="B131" s="42">
        <f t="shared" si="216"/>
        <v>121</v>
      </c>
      <c r="C131" s="41" t="s">
        <v>3447</v>
      </c>
      <c r="D131" s="43">
        <f>v_out</f>
        <v>25</v>
      </c>
      <c r="E131" s="44">
        <f t="shared" ref="E131:F131" si="217">E130</f>
        <v>8</v>
      </c>
      <c r="F131" s="151">
        <f t="shared" si="217"/>
        <v>0.2</v>
      </c>
      <c r="G131" s="45">
        <f>yaw_min</f>
        <v>-8</v>
      </c>
      <c r="H131" s="28" t="s">
        <v>3558</v>
      </c>
      <c r="I131" s="88">
        <v>0</v>
      </c>
      <c r="J131" s="44">
        <f t="shared" ref="J131" si="218">J130</f>
        <v>160</v>
      </c>
      <c r="K131" s="44">
        <f>J131</f>
        <v>160</v>
      </c>
      <c r="L131" s="44">
        <f t="shared" ref="L131:M131" si="219">L130</f>
        <v>150</v>
      </c>
      <c r="M131" s="152">
        <f t="shared" si="219"/>
        <v>210</v>
      </c>
    </row>
    <row r="132" spans="1:13" x14ac:dyDescent="0.25">
      <c r="A132" s="41">
        <f t="shared" ref="A132:B132" si="220">A131+1</f>
        <v>4112</v>
      </c>
      <c r="B132" s="42">
        <f t="shared" si="220"/>
        <v>122</v>
      </c>
      <c r="C132" s="41" t="s">
        <v>3448</v>
      </c>
      <c r="D132" s="43">
        <f>D131</f>
        <v>25</v>
      </c>
      <c r="E132" s="44">
        <f t="shared" ref="E132" si="221">E131</f>
        <v>8</v>
      </c>
      <c r="F132" s="151">
        <f>F131</f>
        <v>0.2</v>
      </c>
      <c r="G132" s="45">
        <f>yaw_min</f>
        <v>-8</v>
      </c>
      <c r="H132" s="28" t="s">
        <v>3559</v>
      </c>
      <c r="I132" s="28">
        <v>0</v>
      </c>
      <c r="J132" s="44">
        <f t="shared" ref="J132:M132" si="222">J131</f>
        <v>160</v>
      </c>
      <c r="K132" s="44">
        <f t="shared" si="222"/>
        <v>160</v>
      </c>
      <c r="L132" s="44">
        <f t="shared" si="222"/>
        <v>150</v>
      </c>
      <c r="M132" s="152">
        <f t="shared" si="222"/>
        <v>210</v>
      </c>
    </row>
    <row r="133" spans="1:13" x14ac:dyDescent="0.25">
      <c r="A133" s="41">
        <f t="shared" ref="A133:B133" si="223">A132+1</f>
        <v>4113</v>
      </c>
      <c r="B133" s="42">
        <f t="shared" si="223"/>
        <v>123</v>
      </c>
      <c r="C133" s="41" t="s">
        <v>3449</v>
      </c>
      <c r="D133" s="43">
        <f t="shared" ref="D133:F133" si="224">D132</f>
        <v>25</v>
      </c>
      <c r="E133" s="44">
        <f t="shared" si="224"/>
        <v>8</v>
      </c>
      <c r="F133" s="151">
        <f t="shared" si="224"/>
        <v>0.2</v>
      </c>
      <c r="G133" s="45">
        <f>yaw_null</f>
        <v>0</v>
      </c>
      <c r="H133" s="28" t="s">
        <v>3560</v>
      </c>
      <c r="I133" s="88">
        <v>0</v>
      </c>
      <c r="J133" s="44">
        <f t="shared" ref="J133:M133" si="225">J132</f>
        <v>160</v>
      </c>
      <c r="K133" s="44">
        <f t="shared" si="225"/>
        <v>160</v>
      </c>
      <c r="L133" s="44">
        <f t="shared" si="225"/>
        <v>150</v>
      </c>
      <c r="M133" s="152">
        <f t="shared" si="225"/>
        <v>210</v>
      </c>
    </row>
    <row r="134" spans="1:13" x14ac:dyDescent="0.25">
      <c r="A134" s="41">
        <f t="shared" ref="A134:B134" si="226">A133+1</f>
        <v>4114</v>
      </c>
      <c r="B134" s="42">
        <f t="shared" si="226"/>
        <v>124</v>
      </c>
      <c r="C134" s="41" t="s">
        <v>3450</v>
      </c>
      <c r="D134" s="43">
        <f t="shared" ref="D134:F134" si="227">D133</f>
        <v>25</v>
      </c>
      <c r="E134" s="44">
        <f t="shared" si="227"/>
        <v>8</v>
      </c>
      <c r="F134" s="151">
        <f t="shared" si="227"/>
        <v>0.2</v>
      </c>
      <c r="G134" s="45">
        <f>yaw_null</f>
        <v>0</v>
      </c>
      <c r="H134" s="28" t="s">
        <v>3561</v>
      </c>
      <c r="I134" s="28">
        <v>0</v>
      </c>
      <c r="J134" s="44">
        <f t="shared" ref="J134:M134" si="228">J133</f>
        <v>160</v>
      </c>
      <c r="K134" s="44">
        <f t="shared" si="228"/>
        <v>160</v>
      </c>
      <c r="L134" s="44">
        <f t="shared" si="228"/>
        <v>150</v>
      </c>
      <c r="M134" s="152">
        <f t="shared" si="228"/>
        <v>210</v>
      </c>
    </row>
    <row r="135" spans="1:13" x14ac:dyDescent="0.25">
      <c r="A135" s="41">
        <f t="shared" ref="A135:B135" si="229">A134+1</f>
        <v>4115</v>
      </c>
      <c r="B135" s="42">
        <f t="shared" si="229"/>
        <v>125</v>
      </c>
      <c r="C135" s="41" t="s">
        <v>3451</v>
      </c>
      <c r="D135" s="43">
        <f t="shared" ref="D135:F135" si="230">D134</f>
        <v>25</v>
      </c>
      <c r="E135" s="44">
        <f t="shared" si="230"/>
        <v>8</v>
      </c>
      <c r="F135" s="151">
        <f t="shared" si="230"/>
        <v>0.2</v>
      </c>
      <c r="G135" s="45">
        <f>yaw_max</f>
        <v>8</v>
      </c>
      <c r="H135" s="28" t="s">
        <v>3562</v>
      </c>
      <c r="I135" s="88">
        <v>0</v>
      </c>
      <c r="J135" s="44">
        <f t="shared" ref="J135:M135" si="231">J134</f>
        <v>160</v>
      </c>
      <c r="K135" s="44">
        <f t="shared" si="231"/>
        <v>160</v>
      </c>
      <c r="L135" s="44">
        <f t="shared" si="231"/>
        <v>150</v>
      </c>
      <c r="M135" s="152">
        <f t="shared" si="231"/>
        <v>210</v>
      </c>
    </row>
    <row r="136" spans="1:13" x14ac:dyDescent="0.25">
      <c r="A136" s="41">
        <f t="shared" ref="A136:B136" si="232">A135+1</f>
        <v>4116</v>
      </c>
      <c r="B136" s="42">
        <f t="shared" si="232"/>
        <v>126</v>
      </c>
      <c r="C136" s="41" t="s">
        <v>3452</v>
      </c>
      <c r="D136" s="43">
        <f t="shared" ref="D136:F136" si="233">D135</f>
        <v>25</v>
      </c>
      <c r="E136" s="44">
        <f t="shared" si="233"/>
        <v>8</v>
      </c>
      <c r="F136" s="151">
        <f t="shared" si="233"/>
        <v>0.2</v>
      </c>
      <c r="G136" s="45">
        <f>yaw_max</f>
        <v>8</v>
      </c>
      <c r="H136" s="153" t="s">
        <v>3563</v>
      </c>
      <c r="I136" s="28">
        <v>0</v>
      </c>
      <c r="J136" s="44">
        <f t="shared" ref="J136:M136" si="234">J135</f>
        <v>160</v>
      </c>
      <c r="K136" s="128">
        <f t="shared" si="234"/>
        <v>160</v>
      </c>
      <c r="L136" s="44">
        <f t="shared" si="234"/>
        <v>150</v>
      </c>
      <c r="M136" s="152">
        <f t="shared" si="234"/>
        <v>210</v>
      </c>
    </row>
    <row r="137" spans="1:13" x14ac:dyDescent="0.25">
      <c r="A137" s="41">
        <f t="shared" ref="A137:B137" si="235">A136+1</f>
        <v>4117</v>
      </c>
      <c r="B137" s="42">
        <f t="shared" si="235"/>
        <v>127</v>
      </c>
      <c r="C137" s="41" t="s">
        <v>3453</v>
      </c>
      <c r="D137" s="43">
        <f t="shared" ref="D137:F137" si="236">D136</f>
        <v>25</v>
      </c>
      <c r="E137" s="44">
        <f t="shared" si="236"/>
        <v>8</v>
      </c>
      <c r="F137" s="151">
        <f t="shared" si="236"/>
        <v>0.2</v>
      </c>
      <c r="G137" s="45">
        <f>yaw_min</f>
        <v>-8</v>
      </c>
      <c r="H137" s="28" t="s">
        <v>3558</v>
      </c>
      <c r="I137" s="88">
        <v>0</v>
      </c>
      <c r="J137" s="44">
        <f t="shared" ref="J137" si="237">J136</f>
        <v>160</v>
      </c>
      <c r="K137" s="44">
        <f>J137+t_eqk/4</f>
        <v>165</v>
      </c>
      <c r="L137" s="44">
        <f t="shared" ref="L137:M137" si="238">L136</f>
        <v>150</v>
      </c>
      <c r="M137" s="152">
        <f t="shared" si="238"/>
        <v>210</v>
      </c>
    </row>
    <row r="138" spans="1:13" x14ac:dyDescent="0.25">
      <c r="A138" s="41">
        <f t="shared" ref="A138:B138" si="239">A137+1</f>
        <v>4118</v>
      </c>
      <c r="B138" s="42">
        <f t="shared" si="239"/>
        <v>128</v>
      </c>
      <c r="C138" s="41" t="s">
        <v>3454</v>
      </c>
      <c r="D138" s="43">
        <f t="shared" ref="D138:F138" si="240">D137</f>
        <v>25</v>
      </c>
      <c r="E138" s="44">
        <f t="shared" si="240"/>
        <v>8</v>
      </c>
      <c r="F138" s="151">
        <f t="shared" si="240"/>
        <v>0.2</v>
      </c>
      <c r="G138" s="45">
        <f>yaw_min</f>
        <v>-8</v>
      </c>
      <c r="H138" s="28" t="s">
        <v>3559</v>
      </c>
      <c r="I138" s="28">
        <v>0</v>
      </c>
      <c r="J138" s="44">
        <f t="shared" ref="J138:M138" si="241">J137</f>
        <v>160</v>
      </c>
      <c r="K138" s="44">
        <f t="shared" si="241"/>
        <v>165</v>
      </c>
      <c r="L138" s="44">
        <f t="shared" si="241"/>
        <v>150</v>
      </c>
      <c r="M138" s="152">
        <f t="shared" si="241"/>
        <v>210</v>
      </c>
    </row>
    <row r="139" spans="1:13" x14ac:dyDescent="0.25">
      <c r="A139" s="41">
        <f t="shared" ref="A139:B139" si="242">A138+1</f>
        <v>4119</v>
      </c>
      <c r="B139" s="42">
        <f t="shared" si="242"/>
        <v>129</v>
      </c>
      <c r="C139" s="41" t="s">
        <v>3455</v>
      </c>
      <c r="D139" s="43">
        <f t="shared" ref="D139:F139" si="243">D138</f>
        <v>25</v>
      </c>
      <c r="E139" s="44">
        <f t="shared" si="243"/>
        <v>8</v>
      </c>
      <c r="F139" s="151">
        <f t="shared" si="243"/>
        <v>0.2</v>
      </c>
      <c r="G139" s="45">
        <f>yaw_null</f>
        <v>0</v>
      </c>
      <c r="H139" s="28" t="s">
        <v>3560</v>
      </c>
      <c r="I139" s="88">
        <v>0</v>
      </c>
      <c r="J139" s="44">
        <f t="shared" ref="J139:M139" si="244">J138</f>
        <v>160</v>
      </c>
      <c r="K139" s="44">
        <f t="shared" si="244"/>
        <v>165</v>
      </c>
      <c r="L139" s="44">
        <f t="shared" si="244"/>
        <v>150</v>
      </c>
      <c r="M139" s="152">
        <f t="shared" si="244"/>
        <v>210</v>
      </c>
    </row>
    <row r="140" spans="1:13" x14ac:dyDescent="0.25">
      <c r="A140" s="41">
        <f t="shared" ref="A140:B140" si="245">A139+1</f>
        <v>4120</v>
      </c>
      <c r="B140" s="42">
        <f t="shared" si="245"/>
        <v>130</v>
      </c>
      <c r="C140" s="41" t="s">
        <v>3456</v>
      </c>
      <c r="D140" s="43">
        <f t="shared" ref="D140:F140" si="246">D139</f>
        <v>25</v>
      </c>
      <c r="E140" s="44">
        <f t="shared" si="246"/>
        <v>8</v>
      </c>
      <c r="F140" s="151">
        <f t="shared" si="246"/>
        <v>0.2</v>
      </c>
      <c r="G140" s="45">
        <f>yaw_null</f>
        <v>0</v>
      </c>
      <c r="H140" s="28" t="s">
        <v>3561</v>
      </c>
      <c r="I140" s="28">
        <v>0</v>
      </c>
      <c r="J140" s="44">
        <f t="shared" ref="J140:M140" si="247">J139</f>
        <v>160</v>
      </c>
      <c r="K140" s="44">
        <f t="shared" si="247"/>
        <v>165</v>
      </c>
      <c r="L140" s="44">
        <f t="shared" si="247"/>
        <v>150</v>
      </c>
      <c r="M140" s="152">
        <f t="shared" si="247"/>
        <v>210</v>
      </c>
    </row>
    <row r="141" spans="1:13" x14ac:dyDescent="0.25">
      <c r="A141" s="41">
        <f t="shared" ref="A141:B141" si="248">A140+1</f>
        <v>4121</v>
      </c>
      <c r="B141" s="42">
        <f t="shared" si="248"/>
        <v>131</v>
      </c>
      <c r="C141" s="41" t="s">
        <v>3457</v>
      </c>
      <c r="D141" s="43">
        <f t="shared" ref="D141:F141" si="249">D140</f>
        <v>25</v>
      </c>
      <c r="E141" s="44">
        <f t="shared" si="249"/>
        <v>8</v>
      </c>
      <c r="F141" s="151">
        <f t="shared" si="249"/>
        <v>0.2</v>
      </c>
      <c r="G141" s="45">
        <f>yaw_max</f>
        <v>8</v>
      </c>
      <c r="H141" s="28" t="s">
        <v>3562</v>
      </c>
      <c r="I141" s="88">
        <v>0</v>
      </c>
      <c r="J141" s="44">
        <f t="shared" ref="J141:M141" si="250">J140</f>
        <v>160</v>
      </c>
      <c r="K141" s="44">
        <f t="shared" si="250"/>
        <v>165</v>
      </c>
      <c r="L141" s="44">
        <f t="shared" si="250"/>
        <v>150</v>
      </c>
      <c r="M141" s="152">
        <f t="shared" si="250"/>
        <v>210</v>
      </c>
    </row>
    <row r="142" spans="1:13" x14ac:dyDescent="0.25">
      <c r="A142" s="41">
        <f t="shared" ref="A142:B142" si="251">A141+1</f>
        <v>4122</v>
      </c>
      <c r="B142" s="42">
        <f t="shared" si="251"/>
        <v>132</v>
      </c>
      <c r="C142" s="41" t="s">
        <v>3458</v>
      </c>
      <c r="D142" s="43">
        <f t="shared" ref="D142:F142" si="252">D141</f>
        <v>25</v>
      </c>
      <c r="E142" s="44">
        <f t="shared" si="252"/>
        <v>8</v>
      </c>
      <c r="F142" s="151">
        <f t="shared" si="252"/>
        <v>0.2</v>
      </c>
      <c r="G142" s="45">
        <f>yaw_max</f>
        <v>8</v>
      </c>
      <c r="H142" s="28" t="s">
        <v>3563</v>
      </c>
      <c r="I142" s="28">
        <v>0</v>
      </c>
      <c r="J142" s="44">
        <f t="shared" ref="J142:M142" si="253">J141</f>
        <v>160</v>
      </c>
      <c r="K142" s="44">
        <f t="shared" si="253"/>
        <v>165</v>
      </c>
      <c r="L142" s="44">
        <f t="shared" si="253"/>
        <v>150</v>
      </c>
      <c r="M142" s="152">
        <f t="shared" si="253"/>
        <v>210</v>
      </c>
    </row>
    <row r="143" spans="1:13" x14ac:dyDescent="0.25">
      <c r="A143" s="41">
        <f t="shared" ref="A143:B143" si="254">A142+1</f>
        <v>4123</v>
      </c>
      <c r="B143" s="42">
        <f t="shared" si="254"/>
        <v>133</v>
      </c>
      <c r="C143" s="41" t="s">
        <v>3459</v>
      </c>
      <c r="D143" s="43">
        <f t="shared" ref="D143:F143" si="255">D142</f>
        <v>25</v>
      </c>
      <c r="E143" s="44">
        <f t="shared" si="255"/>
        <v>8</v>
      </c>
      <c r="F143" s="151">
        <f t="shared" si="255"/>
        <v>0.2</v>
      </c>
      <c r="G143" s="45">
        <f>yaw_min</f>
        <v>-8</v>
      </c>
      <c r="H143" s="28" t="s">
        <v>3558</v>
      </c>
      <c r="I143" s="88">
        <v>0</v>
      </c>
      <c r="J143" s="44">
        <f t="shared" ref="J143" si="256">J142</f>
        <v>160</v>
      </c>
      <c r="K143" s="44">
        <f>J143+t_eqk/4*2</f>
        <v>170</v>
      </c>
      <c r="L143" s="44">
        <f t="shared" ref="L143:M143" si="257">L142</f>
        <v>150</v>
      </c>
      <c r="M143" s="152">
        <f t="shared" si="257"/>
        <v>210</v>
      </c>
    </row>
    <row r="144" spans="1:13" x14ac:dyDescent="0.25">
      <c r="A144" s="41">
        <f t="shared" ref="A144:B144" si="258">A143+1</f>
        <v>4124</v>
      </c>
      <c r="B144" s="42">
        <f t="shared" si="258"/>
        <v>134</v>
      </c>
      <c r="C144" s="41" t="s">
        <v>3460</v>
      </c>
      <c r="D144" s="43">
        <f t="shared" ref="D144:F144" si="259">D143</f>
        <v>25</v>
      </c>
      <c r="E144" s="44">
        <f t="shared" si="259"/>
        <v>8</v>
      </c>
      <c r="F144" s="151">
        <f t="shared" si="259"/>
        <v>0.2</v>
      </c>
      <c r="G144" s="45">
        <f>yaw_min</f>
        <v>-8</v>
      </c>
      <c r="H144" s="28" t="s">
        <v>3559</v>
      </c>
      <c r="I144" s="28">
        <v>0</v>
      </c>
      <c r="J144" s="44">
        <f t="shared" ref="J144:M144" si="260">J143</f>
        <v>160</v>
      </c>
      <c r="K144" s="44">
        <f t="shared" si="260"/>
        <v>170</v>
      </c>
      <c r="L144" s="44">
        <f t="shared" si="260"/>
        <v>150</v>
      </c>
      <c r="M144" s="152">
        <f t="shared" si="260"/>
        <v>210</v>
      </c>
    </row>
    <row r="145" spans="1:13" x14ac:dyDescent="0.25">
      <c r="A145" s="41">
        <f t="shared" ref="A145:B145" si="261">A144+1</f>
        <v>4125</v>
      </c>
      <c r="B145" s="42">
        <f t="shared" si="261"/>
        <v>135</v>
      </c>
      <c r="C145" s="41" t="s">
        <v>3461</v>
      </c>
      <c r="D145" s="43">
        <f t="shared" ref="D145:F145" si="262">D144</f>
        <v>25</v>
      </c>
      <c r="E145" s="44">
        <f t="shared" si="262"/>
        <v>8</v>
      </c>
      <c r="F145" s="151">
        <f t="shared" si="262"/>
        <v>0.2</v>
      </c>
      <c r="G145" s="45">
        <f>yaw_null</f>
        <v>0</v>
      </c>
      <c r="H145" s="28" t="s">
        <v>3560</v>
      </c>
      <c r="I145" s="88">
        <v>0</v>
      </c>
      <c r="J145" s="44">
        <f t="shared" ref="J145:M145" si="263">J144</f>
        <v>160</v>
      </c>
      <c r="K145" s="44">
        <f t="shared" si="263"/>
        <v>170</v>
      </c>
      <c r="L145" s="44">
        <f t="shared" si="263"/>
        <v>150</v>
      </c>
      <c r="M145" s="152">
        <f t="shared" si="263"/>
        <v>210</v>
      </c>
    </row>
    <row r="146" spans="1:13" x14ac:dyDescent="0.25">
      <c r="A146" s="41">
        <f t="shared" ref="A146:B146" si="264">A145+1</f>
        <v>4126</v>
      </c>
      <c r="B146" s="42">
        <f t="shared" si="264"/>
        <v>136</v>
      </c>
      <c r="C146" s="41" t="s">
        <v>3462</v>
      </c>
      <c r="D146" s="43">
        <f t="shared" ref="D146:F146" si="265">D145</f>
        <v>25</v>
      </c>
      <c r="E146" s="44">
        <f t="shared" si="265"/>
        <v>8</v>
      </c>
      <c r="F146" s="151">
        <f t="shared" si="265"/>
        <v>0.2</v>
      </c>
      <c r="G146" s="45">
        <f>yaw_null</f>
        <v>0</v>
      </c>
      <c r="H146" s="28" t="s">
        <v>3561</v>
      </c>
      <c r="I146" s="28">
        <v>0</v>
      </c>
      <c r="J146" s="44">
        <f t="shared" ref="J146:M146" si="266">J145</f>
        <v>160</v>
      </c>
      <c r="K146" s="44">
        <f t="shared" si="266"/>
        <v>170</v>
      </c>
      <c r="L146" s="44">
        <f t="shared" si="266"/>
        <v>150</v>
      </c>
      <c r="M146" s="152">
        <f t="shared" si="266"/>
        <v>210</v>
      </c>
    </row>
    <row r="147" spans="1:13" x14ac:dyDescent="0.25">
      <c r="A147" s="41">
        <f t="shared" ref="A147:B147" si="267">A146+1</f>
        <v>4127</v>
      </c>
      <c r="B147" s="42">
        <f t="shared" si="267"/>
        <v>137</v>
      </c>
      <c r="C147" s="41" t="s">
        <v>3463</v>
      </c>
      <c r="D147" s="43">
        <f t="shared" ref="D147:F147" si="268">D146</f>
        <v>25</v>
      </c>
      <c r="E147" s="44">
        <f t="shared" si="268"/>
        <v>8</v>
      </c>
      <c r="F147" s="151">
        <f t="shared" si="268"/>
        <v>0.2</v>
      </c>
      <c r="G147" s="45">
        <f>yaw_max</f>
        <v>8</v>
      </c>
      <c r="H147" s="28" t="s">
        <v>3562</v>
      </c>
      <c r="I147" s="88">
        <v>0</v>
      </c>
      <c r="J147" s="44">
        <f t="shared" ref="J147:M147" si="269">J146</f>
        <v>160</v>
      </c>
      <c r="K147" s="44">
        <f t="shared" si="269"/>
        <v>170</v>
      </c>
      <c r="L147" s="44">
        <f t="shared" si="269"/>
        <v>150</v>
      </c>
      <c r="M147" s="152">
        <f t="shared" si="269"/>
        <v>210</v>
      </c>
    </row>
    <row r="148" spans="1:13" x14ac:dyDescent="0.25">
      <c r="A148" s="41">
        <f t="shared" ref="A148:B148" si="270">A147+1</f>
        <v>4128</v>
      </c>
      <c r="B148" s="42">
        <f t="shared" si="270"/>
        <v>138</v>
      </c>
      <c r="C148" s="41" t="s">
        <v>3464</v>
      </c>
      <c r="D148" s="43">
        <f t="shared" ref="D148:F148" si="271">D147</f>
        <v>25</v>
      </c>
      <c r="E148" s="44">
        <f t="shared" si="271"/>
        <v>8</v>
      </c>
      <c r="F148" s="151">
        <f t="shared" si="271"/>
        <v>0.2</v>
      </c>
      <c r="G148" s="45">
        <f>yaw_max</f>
        <v>8</v>
      </c>
      <c r="H148" s="153" t="s">
        <v>3563</v>
      </c>
      <c r="I148" s="28">
        <v>0</v>
      </c>
      <c r="J148" s="44">
        <f t="shared" ref="J148:M148" si="272">J147</f>
        <v>160</v>
      </c>
      <c r="K148" s="44">
        <f t="shared" si="272"/>
        <v>170</v>
      </c>
      <c r="L148" s="44">
        <f t="shared" si="272"/>
        <v>150</v>
      </c>
      <c r="M148" s="152">
        <f t="shared" si="272"/>
        <v>210</v>
      </c>
    </row>
    <row r="149" spans="1:13" x14ac:dyDescent="0.25">
      <c r="A149" s="41">
        <f t="shared" ref="A149:B149" si="273">A148+1</f>
        <v>4129</v>
      </c>
      <c r="B149" s="42">
        <f t="shared" si="273"/>
        <v>139</v>
      </c>
      <c r="C149" s="41" t="s">
        <v>3465</v>
      </c>
      <c r="D149" s="43">
        <f t="shared" ref="D149:F149" si="274">D148</f>
        <v>25</v>
      </c>
      <c r="E149" s="44">
        <f t="shared" si="274"/>
        <v>8</v>
      </c>
      <c r="F149" s="151">
        <f t="shared" si="274"/>
        <v>0.2</v>
      </c>
      <c r="G149" s="45">
        <f>yaw_min</f>
        <v>-8</v>
      </c>
      <c r="H149" s="28" t="s">
        <v>3558</v>
      </c>
      <c r="I149" s="88">
        <v>0</v>
      </c>
      <c r="J149" s="44">
        <f t="shared" ref="J149" si="275">J148</f>
        <v>160</v>
      </c>
      <c r="K149" s="44">
        <f>J149+t_eqk/4*3</f>
        <v>175</v>
      </c>
      <c r="L149" s="44">
        <f t="shared" ref="L149:M149" si="276">L148</f>
        <v>150</v>
      </c>
      <c r="M149" s="152">
        <f t="shared" si="276"/>
        <v>210</v>
      </c>
    </row>
    <row r="150" spans="1:13" x14ac:dyDescent="0.25">
      <c r="A150" s="41">
        <f t="shared" ref="A150:B150" si="277">A149+1</f>
        <v>4130</v>
      </c>
      <c r="B150" s="42">
        <f t="shared" si="277"/>
        <v>140</v>
      </c>
      <c r="C150" s="41" t="s">
        <v>3466</v>
      </c>
      <c r="D150" s="43">
        <f t="shared" ref="D150:F150" si="278">D149</f>
        <v>25</v>
      </c>
      <c r="E150" s="44">
        <f t="shared" si="278"/>
        <v>8</v>
      </c>
      <c r="F150" s="151">
        <f t="shared" si="278"/>
        <v>0.2</v>
      </c>
      <c r="G150" s="45">
        <f>yaw_min</f>
        <v>-8</v>
      </c>
      <c r="H150" s="28" t="s">
        <v>3559</v>
      </c>
      <c r="I150" s="28">
        <v>0</v>
      </c>
      <c r="J150" s="44">
        <f t="shared" ref="J150:M150" si="279">J149</f>
        <v>160</v>
      </c>
      <c r="K150" s="44">
        <f t="shared" si="279"/>
        <v>175</v>
      </c>
      <c r="L150" s="44">
        <f t="shared" si="279"/>
        <v>150</v>
      </c>
      <c r="M150" s="152">
        <f t="shared" si="279"/>
        <v>210</v>
      </c>
    </row>
    <row r="151" spans="1:13" x14ac:dyDescent="0.25">
      <c r="A151" s="41">
        <f t="shared" ref="A151:B151" si="280">A150+1</f>
        <v>4131</v>
      </c>
      <c r="B151" s="42">
        <f t="shared" si="280"/>
        <v>141</v>
      </c>
      <c r="C151" s="41" t="s">
        <v>3467</v>
      </c>
      <c r="D151" s="43">
        <f t="shared" ref="D151:F151" si="281">D150</f>
        <v>25</v>
      </c>
      <c r="E151" s="44">
        <f t="shared" si="281"/>
        <v>8</v>
      </c>
      <c r="F151" s="151">
        <f t="shared" si="281"/>
        <v>0.2</v>
      </c>
      <c r="G151" s="45">
        <f>yaw_null</f>
        <v>0</v>
      </c>
      <c r="H151" s="28" t="s">
        <v>3560</v>
      </c>
      <c r="I151" s="88">
        <v>0</v>
      </c>
      <c r="J151" s="44">
        <f t="shared" ref="J151:M151" si="282">J150</f>
        <v>160</v>
      </c>
      <c r="K151" s="44">
        <f t="shared" si="282"/>
        <v>175</v>
      </c>
      <c r="L151" s="44">
        <f t="shared" si="282"/>
        <v>150</v>
      </c>
      <c r="M151" s="152">
        <f t="shared" si="282"/>
        <v>210</v>
      </c>
    </row>
    <row r="152" spans="1:13" x14ac:dyDescent="0.25">
      <c r="A152" s="41">
        <f t="shared" ref="A152:B152" si="283">A151+1</f>
        <v>4132</v>
      </c>
      <c r="B152" s="42">
        <f t="shared" si="283"/>
        <v>142</v>
      </c>
      <c r="C152" s="41" t="s">
        <v>3468</v>
      </c>
      <c r="D152" s="43">
        <f t="shared" ref="D152:F152" si="284">D151</f>
        <v>25</v>
      </c>
      <c r="E152" s="44">
        <f t="shared" si="284"/>
        <v>8</v>
      </c>
      <c r="F152" s="151">
        <f t="shared" si="284"/>
        <v>0.2</v>
      </c>
      <c r="G152" s="45">
        <f>yaw_null</f>
        <v>0</v>
      </c>
      <c r="H152" s="28" t="s">
        <v>3561</v>
      </c>
      <c r="I152" s="28">
        <v>0</v>
      </c>
      <c r="J152" s="44">
        <f t="shared" ref="J152:M152" si="285">J151</f>
        <v>160</v>
      </c>
      <c r="K152" s="44">
        <f t="shared" si="285"/>
        <v>175</v>
      </c>
      <c r="L152" s="44">
        <f t="shared" si="285"/>
        <v>150</v>
      </c>
      <c r="M152" s="152">
        <f t="shared" si="285"/>
        <v>210</v>
      </c>
    </row>
    <row r="153" spans="1:13" x14ac:dyDescent="0.25">
      <c r="A153" s="41">
        <f t="shared" ref="A153:B153" si="286">A152+1</f>
        <v>4133</v>
      </c>
      <c r="B153" s="42">
        <f t="shared" si="286"/>
        <v>143</v>
      </c>
      <c r="C153" s="41" t="s">
        <v>3469</v>
      </c>
      <c r="D153" s="43">
        <f t="shared" ref="D153:F153" si="287">D152</f>
        <v>25</v>
      </c>
      <c r="E153" s="44">
        <f t="shared" si="287"/>
        <v>8</v>
      </c>
      <c r="F153" s="151">
        <f t="shared" si="287"/>
        <v>0.2</v>
      </c>
      <c r="G153" s="45">
        <f>yaw_max</f>
        <v>8</v>
      </c>
      <c r="H153" s="28" t="s">
        <v>3562</v>
      </c>
      <c r="I153" s="88">
        <v>0</v>
      </c>
      <c r="J153" s="44">
        <f t="shared" ref="J153:M153" si="288">J152</f>
        <v>160</v>
      </c>
      <c r="K153" s="44">
        <f t="shared" si="288"/>
        <v>175</v>
      </c>
      <c r="L153" s="44">
        <f t="shared" si="288"/>
        <v>150</v>
      </c>
      <c r="M153" s="152">
        <f t="shared" si="288"/>
        <v>210</v>
      </c>
    </row>
    <row r="154" spans="1:13" x14ac:dyDescent="0.25">
      <c r="A154" s="41">
        <f t="shared" ref="A154:B154" si="289">A153+1</f>
        <v>4134</v>
      </c>
      <c r="B154" s="42">
        <f t="shared" si="289"/>
        <v>144</v>
      </c>
      <c r="C154" s="41" t="s">
        <v>3470</v>
      </c>
      <c r="D154" s="43">
        <f t="shared" ref="D154:F154" si="290">D153</f>
        <v>25</v>
      </c>
      <c r="E154" s="44">
        <f t="shared" si="290"/>
        <v>8</v>
      </c>
      <c r="F154" s="151">
        <f t="shared" si="290"/>
        <v>0.2</v>
      </c>
      <c r="G154" s="45">
        <f>yaw_max</f>
        <v>8</v>
      </c>
      <c r="H154" s="153" t="s">
        <v>3563</v>
      </c>
      <c r="I154" s="28">
        <v>0</v>
      </c>
      <c r="J154" s="44">
        <f t="shared" ref="J154:M154" si="291">J153</f>
        <v>160</v>
      </c>
      <c r="K154" s="44">
        <f t="shared" si="291"/>
        <v>175</v>
      </c>
      <c r="L154" s="44">
        <f t="shared" si="291"/>
        <v>150</v>
      </c>
      <c r="M154" s="152">
        <f t="shared" si="291"/>
        <v>210</v>
      </c>
    </row>
    <row r="155" spans="1:13" x14ac:dyDescent="0.25">
      <c r="A155" s="41">
        <f t="shared" ref="A155:B155" si="292">A154+1</f>
        <v>4135</v>
      </c>
      <c r="B155" s="42">
        <f t="shared" si="292"/>
        <v>145</v>
      </c>
      <c r="C155" s="41" t="s">
        <v>3471</v>
      </c>
      <c r="D155" s="43">
        <f t="shared" ref="D155:F155" si="293">D154</f>
        <v>25</v>
      </c>
      <c r="E155" s="44">
        <f t="shared" si="293"/>
        <v>8</v>
      </c>
      <c r="F155" s="151">
        <f t="shared" si="293"/>
        <v>0.2</v>
      </c>
      <c r="G155" s="45">
        <f>yaw_min</f>
        <v>-8</v>
      </c>
      <c r="H155" s="28" t="s">
        <v>3558</v>
      </c>
      <c r="I155" s="88">
        <v>0</v>
      </c>
      <c r="J155" s="44">
        <f t="shared" ref="J155" si="294">J154</f>
        <v>160</v>
      </c>
      <c r="K155" s="44">
        <f>J155+t_eqk/4*4</f>
        <v>180</v>
      </c>
      <c r="L155" s="44">
        <f t="shared" ref="L155:M155" si="295">L154</f>
        <v>150</v>
      </c>
      <c r="M155" s="152">
        <f t="shared" si="295"/>
        <v>210</v>
      </c>
    </row>
    <row r="156" spans="1:13" x14ac:dyDescent="0.25">
      <c r="A156" s="41">
        <f t="shared" ref="A156:B156" si="296">A155+1</f>
        <v>4136</v>
      </c>
      <c r="B156" s="42">
        <f t="shared" si="296"/>
        <v>146</v>
      </c>
      <c r="C156" s="41" t="s">
        <v>3472</v>
      </c>
      <c r="D156" s="43">
        <f t="shared" ref="D156:F156" si="297">D155</f>
        <v>25</v>
      </c>
      <c r="E156" s="44">
        <f t="shared" si="297"/>
        <v>8</v>
      </c>
      <c r="F156" s="151">
        <f t="shared" si="297"/>
        <v>0.2</v>
      </c>
      <c r="G156" s="45">
        <f>yaw_min</f>
        <v>-8</v>
      </c>
      <c r="H156" s="28" t="s">
        <v>3559</v>
      </c>
      <c r="I156" s="28">
        <v>0</v>
      </c>
      <c r="J156" s="44">
        <f t="shared" ref="J156:M156" si="298">J155</f>
        <v>160</v>
      </c>
      <c r="K156" s="44">
        <f t="shared" si="298"/>
        <v>180</v>
      </c>
      <c r="L156" s="44">
        <f t="shared" si="298"/>
        <v>150</v>
      </c>
      <c r="M156" s="152">
        <f t="shared" si="298"/>
        <v>210</v>
      </c>
    </row>
    <row r="157" spans="1:13" x14ac:dyDescent="0.25">
      <c r="A157" s="41">
        <f t="shared" ref="A157:B157" si="299">A156+1</f>
        <v>4137</v>
      </c>
      <c r="B157" s="42">
        <f t="shared" si="299"/>
        <v>147</v>
      </c>
      <c r="C157" s="41" t="s">
        <v>3473</v>
      </c>
      <c r="D157" s="43">
        <f t="shared" ref="D157:F157" si="300">D156</f>
        <v>25</v>
      </c>
      <c r="E157" s="44">
        <f t="shared" si="300"/>
        <v>8</v>
      </c>
      <c r="F157" s="151">
        <f t="shared" si="300"/>
        <v>0.2</v>
      </c>
      <c r="G157" s="45">
        <f>yaw_null</f>
        <v>0</v>
      </c>
      <c r="H157" s="28" t="s">
        <v>3560</v>
      </c>
      <c r="I157" s="88">
        <v>0</v>
      </c>
      <c r="J157" s="44">
        <f t="shared" ref="J157:M157" si="301">J156</f>
        <v>160</v>
      </c>
      <c r="K157" s="44">
        <f t="shared" si="301"/>
        <v>180</v>
      </c>
      <c r="L157" s="44">
        <f t="shared" si="301"/>
        <v>150</v>
      </c>
      <c r="M157" s="152">
        <f t="shared" si="301"/>
        <v>210</v>
      </c>
    </row>
    <row r="158" spans="1:13" x14ac:dyDescent="0.25">
      <c r="A158" s="41">
        <f t="shared" ref="A158:B158" si="302">A157+1</f>
        <v>4138</v>
      </c>
      <c r="B158" s="42">
        <f t="shared" si="302"/>
        <v>148</v>
      </c>
      <c r="C158" s="41" t="s">
        <v>3474</v>
      </c>
      <c r="D158" s="43">
        <f t="shared" ref="D158:F158" si="303">D157</f>
        <v>25</v>
      </c>
      <c r="E158" s="44">
        <f t="shared" si="303"/>
        <v>8</v>
      </c>
      <c r="F158" s="151">
        <f t="shared" si="303"/>
        <v>0.2</v>
      </c>
      <c r="G158" s="45">
        <f>yaw_null</f>
        <v>0</v>
      </c>
      <c r="H158" s="28" t="s">
        <v>3561</v>
      </c>
      <c r="I158" s="28">
        <v>0</v>
      </c>
      <c r="J158" s="44">
        <f t="shared" ref="J158:M158" si="304">J157</f>
        <v>160</v>
      </c>
      <c r="K158" s="44">
        <f t="shared" si="304"/>
        <v>180</v>
      </c>
      <c r="L158" s="44">
        <f t="shared" si="304"/>
        <v>150</v>
      </c>
      <c r="M158" s="152">
        <f t="shared" si="304"/>
        <v>210</v>
      </c>
    </row>
    <row r="159" spans="1:13" x14ac:dyDescent="0.25">
      <c r="A159" s="41">
        <f t="shared" ref="A159:B159" si="305">A158+1</f>
        <v>4139</v>
      </c>
      <c r="B159" s="42">
        <f t="shared" si="305"/>
        <v>149</v>
      </c>
      <c r="C159" s="41" t="s">
        <v>3475</v>
      </c>
      <c r="D159" s="43">
        <f t="shared" ref="D159:F159" si="306">D158</f>
        <v>25</v>
      </c>
      <c r="E159" s="44">
        <f t="shared" si="306"/>
        <v>8</v>
      </c>
      <c r="F159" s="151">
        <f t="shared" si="306"/>
        <v>0.2</v>
      </c>
      <c r="G159" s="45">
        <f>yaw_max</f>
        <v>8</v>
      </c>
      <c r="H159" s="28" t="s">
        <v>3562</v>
      </c>
      <c r="I159" s="88">
        <v>0</v>
      </c>
      <c r="J159" s="44">
        <f t="shared" ref="J159:M159" si="307">J158</f>
        <v>160</v>
      </c>
      <c r="K159" s="44">
        <f t="shared" si="307"/>
        <v>180</v>
      </c>
      <c r="L159" s="44">
        <f t="shared" si="307"/>
        <v>150</v>
      </c>
      <c r="M159" s="152">
        <f t="shared" si="307"/>
        <v>210</v>
      </c>
    </row>
    <row r="160" spans="1:13" x14ac:dyDescent="0.25">
      <c r="A160" s="41">
        <f t="shared" ref="A160:B160" si="308">A159+1</f>
        <v>4140</v>
      </c>
      <c r="B160" s="42">
        <f t="shared" si="308"/>
        <v>150</v>
      </c>
      <c r="C160" s="41" t="s">
        <v>3476</v>
      </c>
      <c r="D160" s="43">
        <f t="shared" ref="D160:F160" si="309">D159</f>
        <v>25</v>
      </c>
      <c r="E160" s="44">
        <f t="shared" si="309"/>
        <v>8</v>
      </c>
      <c r="F160" s="151">
        <f t="shared" si="309"/>
        <v>0.2</v>
      </c>
      <c r="G160" s="45">
        <f>yaw_max</f>
        <v>8</v>
      </c>
      <c r="H160" s="28" t="s">
        <v>3563</v>
      </c>
      <c r="I160" s="28">
        <v>0</v>
      </c>
      <c r="J160" s="44">
        <f t="shared" ref="J160:M160" si="310">J159</f>
        <v>160</v>
      </c>
      <c r="K160" s="44">
        <f t="shared" si="310"/>
        <v>180</v>
      </c>
      <c r="L160" s="44">
        <f t="shared" si="310"/>
        <v>150</v>
      </c>
      <c r="M160" s="152">
        <f t="shared" si="310"/>
        <v>210</v>
      </c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L82"/>
  <sheetViews>
    <sheetView zoomScale="85" zoomScaleNormal="85" workbookViewId="0">
      <selection activeCell="X39" sqref="X39"/>
    </sheetView>
  </sheetViews>
  <sheetFormatPr defaultRowHeight="15" x14ac:dyDescent="0.15"/>
  <cols>
    <col min="1" max="1" width="7" style="23" customWidth="1"/>
    <col min="2" max="2" width="7.375" style="23" customWidth="1"/>
    <col min="3" max="3" width="8.375" style="23" customWidth="1"/>
    <col min="4" max="4" width="6.875" style="23" customWidth="1"/>
    <col min="5" max="5" width="7.375" style="146" customWidth="1"/>
    <col min="6" max="6" width="8.125" style="23" customWidth="1"/>
    <col min="7" max="7" width="7.375" style="23" customWidth="1"/>
    <col min="8" max="8" width="14.875" style="23" bestFit="1" customWidth="1"/>
    <col min="9" max="9" width="14.875" style="23" customWidth="1"/>
    <col min="10" max="10" width="8" style="23" customWidth="1"/>
    <col min="11" max="11" width="9" style="23"/>
    <col min="12" max="12" width="8.875" style="23" customWidth="1"/>
  </cols>
  <sheetData>
    <row r="1" spans="1:12" x14ac:dyDescent="0.15">
      <c r="H1" s="22" t="s">
        <v>3301</v>
      </c>
      <c r="I1" s="22" t="s">
        <v>3477</v>
      </c>
      <c r="K1" s="21"/>
    </row>
    <row r="2" spans="1:12" x14ac:dyDescent="0.15">
      <c r="B2" s="22" t="s">
        <v>3478</v>
      </c>
      <c r="C2" s="22"/>
      <c r="D2" s="22"/>
      <c r="E2" s="147"/>
      <c r="F2" s="22"/>
      <c r="G2" s="22"/>
      <c r="H2" s="22"/>
      <c r="I2" s="22" t="s">
        <v>3479</v>
      </c>
      <c r="K2" s="21"/>
    </row>
    <row r="3" spans="1:12" x14ac:dyDescent="0.15">
      <c r="B3" s="22" t="s">
        <v>3305</v>
      </c>
      <c r="C3" s="22"/>
      <c r="D3" s="22"/>
      <c r="E3" s="147" t="s">
        <v>3480</v>
      </c>
      <c r="F3" s="22"/>
      <c r="G3" s="22"/>
      <c r="H3" s="22"/>
      <c r="I3" s="22" t="s">
        <v>3481</v>
      </c>
      <c r="K3" s="21"/>
    </row>
    <row r="4" spans="1:12" x14ac:dyDescent="0.15">
      <c r="B4" s="22" t="s">
        <v>3308</v>
      </c>
      <c r="C4" s="22"/>
      <c r="D4" s="22"/>
      <c r="E4" s="147" t="s">
        <v>3482</v>
      </c>
      <c r="F4" s="22"/>
      <c r="G4" s="22"/>
      <c r="H4" s="22"/>
      <c r="I4" s="22" t="s">
        <v>3483</v>
      </c>
      <c r="K4" s="21"/>
    </row>
    <row r="5" spans="1:12" x14ac:dyDescent="0.15">
      <c r="B5" s="22" t="s">
        <v>3311</v>
      </c>
      <c r="C5" s="22"/>
      <c r="D5" s="22"/>
      <c r="E5" s="147" t="s">
        <v>3312</v>
      </c>
      <c r="F5" s="22"/>
      <c r="G5" s="22"/>
      <c r="H5" s="22"/>
      <c r="I5" s="22"/>
      <c r="J5" s="22"/>
      <c r="K5" s="21"/>
    </row>
    <row r="6" spans="1:12" x14ac:dyDescent="0.15">
      <c r="B6" s="22" t="s">
        <v>3313</v>
      </c>
      <c r="C6" s="22"/>
      <c r="D6" s="22"/>
      <c r="E6" s="147" t="s">
        <v>3314</v>
      </c>
      <c r="F6" s="22"/>
      <c r="G6" s="22"/>
      <c r="H6" s="22"/>
      <c r="I6" s="22"/>
      <c r="J6" s="22"/>
      <c r="K6" s="21"/>
    </row>
    <row r="7" spans="1:12" x14ac:dyDescent="0.15">
      <c r="A7" s="139"/>
      <c r="B7" s="139"/>
      <c r="C7" s="139"/>
      <c r="D7" s="139"/>
      <c r="E7" s="148"/>
      <c r="F7" s="139"/>
      <c r="G7" s="139"/>
      <c r="H7" s="139"/>
      <c r="I7" s="139"/>
      <c r="J7" s="139"/>
      <c r="K7" s="139"/>
      <c r="L7" s="139"/>
    </row>
    <row r="8" spans="1:12" ht="15.75" thickBot="1" x14ac:dyDescent="0.2">
      <c r="A8" s="139">
        <v>1</v>
      </c>
      <c r="B8" s="139">
        <v>2</v>
      </c>
      <c r="C8" s="139">
        <v>3</v>
      </c>
      <c r="D8" s="139">
        <v>4</v>
      </c>
      <c r="E8" s="139">
        <v>5</v>
      </c>
      <c r="F8" s="139">
        <v>6</v>
      </c>
      <c r="G8" s="139">
        <v>7</v>
      </c>
      <c r="H8" s="139">
        <v>8</v>
      </c>
      <c r="I8" s="139">
        <v>9</v>
      </c>
      <c r="J8" s="139">
        <v>10</v>
      </c>
      <c r="K8" s="139">
        <v>11</v>
      </c>
      <c r="L8" s="139">
        <v>12</v>
      </c>
    </row>
    <row r="9" spans="1:12" ht="16.5" x14ac:dyDescent="0.3">
      <c r="A9" s="24" t="s">
        <v>3315</v>
      </c>
      <c r="B9" s="25" t="s">
        <v>3316</v>
      </c>
      <c r="C9" s="24" t="s">
        <v>0</v>
      </c>
      <c r="D9" s="25" t="s">
        <v>3317</v>
      </c>
      <c r="E9" s="25" t="s">
        <v>3318</v>
      </c>
      <c r="F9" s="25" t="s">
        <v>3319</v>
      </c>
      <c r="G9" s="25" t="s">
        <v>3320</v>
      </c>
      <c r="H9" s="26" t="s">
        <v>3321</v>
      </c>
      <c r="I9" s="26" t="s">
        <v>3564</v>
      </c>
      <c r="J9" s="47" t="s">
        <v>3322</v>
      </c>
      <c r="K9" s="25" t="s">
        <v>3324</v>
      </c>
      <c r="L9" s="27" t="s">
        <v>139</v>
      </c>
    </row>
    <row r="10" spans="1:12" ht="15.75" thickBot="1" x14ac:dyDescent="0.3">
      <c r="A10" s="29" t="s">
        <v>3325</v>
      </c>
      <c r="B10" s="30" t="str">
        <f>B2</f>
        <v>DLC97</v>
      </c>
      <c r="C10" s="29"/>
      <c r="D10" s="30" t="s">
        <v>4</v>
      </c>
      <c r="E10" s="30" t="s">
        <v>6</v>
      </c>
      <c r="F10" s="30"/>
      <c r="G10" s="30" t="s">
        <v>6</v>
      </c>
      <c r="H10" s="31"/>
      <c r="I10" s="31" t="s">
        <v>3565</v>
      </c>
      <c r="J10" s="48" t="s">
        <v>3326</v>
      </c>
      <c r="K10" s="30" t="s">
        <v>7</v>
      </c>
      <c r="L10" s="32" t="s">
        <v>7</v>
      </c>
    </row>
    <row r="11" spans="1:12" x14ac:dyDescent="0.25">
      <c r="A11" s="24">
        <v>4051</v>
      </c>
      <c r="B11" s="27">
        <v>1</v>
      </c>
      <c r="C11" s="41" t="s">
        <v>3484</v>
      </c>
      <c r="D11" s="34">
        <f>0.8*v_ref</f>
        <v>30</v>
      </c>
      <c r="E11" s="35">
        <f>inflow</f>
        <v>8</v>
      </c>
      <c r="F11" s="149">
        <f>alpha_n</f>
        <v>0.2</v>
      </c>
      <c r="G11" s="36">
        <v>0</v>
      </c>
      <c r="H11" s="145" t="s">
        <v>3558</v>
      </c>
      <c r="I11" s="145">
        <v>0</v>
      </c>
      <c r="J11" s="35">
        <f>trig_t</f>
        <v>160</v>
      </c>
      <c r="K11" s="35">
        <f>t_out</f>
        <v>150</v>
      </c>
      <c r="L11" s="150">
        <f>K11+T_s2</f>
        <v>210</v>
      </c>
    </row>
    <row r="12" spans="1:12" x14ac:dyDescent="0.25">
      <c r="A12" s="41">
        <f>A11+1</f>
        <v>4052</v>
      </c>
      <c r="B12" s="42">
        <f>B11+1</f>
        <v>2</v>
      </c>
      <c r="C12" s="41" t="s">
        <v>3485</v>
      </c>
      <c r="D12" s="43">
        <f>D11</f>
        <v>30</v>
      </c>
      <c r="E12" s="44">
        <f>E11</f>
        <v>8</v>
      </c>
      <c r="F12" s="151">
        <f>F11</f>
        <v>0.2</v>
      </c>
      <c r="G12" s="45">
        <f>G11</f>
        <v>0</v>
      </c>
      <c r="H12" s="28" t="s">
        <v>3559</v>
      </c>
      <c r="I12" s="28">
        <v>0</v>
      </c>
      <c r="J12" s="44">
        <f t="shared" ref="J12:L27" si="0">J11</f>
        <v>160</v>
      </c>
      <c r="K12" s="44">
        <f t="shared" si="0"/>
        <v>150</v>
      </c>
      <c r="L12" s="152">
        <f t="shared" si="0"/>
        <v>210</v>
      </c>
    </row>
    <row r="13" spans="1:12" x14ac:dyDescent="0.25">
      <c r="A13" s="41">
        <f t="shared" ref="A13:B28" si="1">A12+1</f>
        <v>4053</v>
      </c>
      <c r="B13" s="42">
        <f t="shared" si="1"/>
        <v>3</v>
      </c>
      <c r="C13" s="41" t="s">
        <v>3486</v>
      </c>
      <c r="D13" s="43">
        <f t="shared" ref="D13:G28" si="2">D12</f>
        <v>30</v>
      </c>
      <c r="E13" s="44">
        <f t="shared" si="2"/>
        <v>8</v>
      </c>
      <c r="F13" s="151">
        <f t="shared" si="2"/>
        <v>0.2</v>
      </c>
      <c r="G13" s="45">
        <f t="shared" si="2"/>
        <v>0</v>
      </c>
      <c r="H13" s="28" t="s">
        <v>3560</v>
      </c>
      <c r="I13" s="88">
        <v>0</v>
      </c>
      <c r="J13" s="44">
        <f t="shared" si="0"/>
        <v>160</v>
      </c>
      <c r="K13" s="44">
        <f t="shared" si="0"/>
        <v>150</v>
      </c>
      <c r="L13" s="152">
        <f t="shared" si="0"/>
        <v>210</v>
      </c>
    </row>
    <row r="14" spans="1:12" x14ac:dyDescent="0.25">
      <c r="A14" s="41">
        <f t="shared" si="1"/>
        <v>4054</v>
      </c>
      <c r="B14" s="42">
        <f t="shared" si="1"/>
        <v>4</v>
      </c>
      <c r="C14" s="41" t="s">
        <v>3487</v>
      </c>
      <c r="D14" s="43">
        <f t="shared" si="2"/>
        <v>30</v>
      </c>
      <c r="E14" s="44">
        <f t="shared" si="2"/>
        <v>8</v>
      </c>
      <c r="F14" s="151">
        <f t="shared" si="2"/>
        <v>0.2</v>
      </c>
      <c r="G14" s="45">
        <f t="shared" si="2"/>
        <v>0</v>
      </c>
      <c r="H14" s="28" t="s">
        <v>3561</v>
      </c>
      <c r="I14" s="28">
        <v>0</v>
      </c>
      <c r="J14" s="44">
        <f t="shared" si="0"/>
        <v>160</v>
      </c>
      <c r="K14" s="44">
        <f t="shared" si="0"/>
        <v>150</v>
      </c>
      <c r="L14" s="152">
        <f t="shared" si="0"/>
        <v>210</v>
      </c>
    </row>
    <row r="15" spans="1:12" x14ac:dyDescent="0.25">
      <c r="A15" s="41">
        <f t="shared" si="1"/>
        <v>4055</v>
      </c>
      <c r="B15" s="42">
        <f t="shared" si="1"/>
        <v>5</v>
      </c>
      <c r="C15" s="41" t="s">
        <v>3488</v>
      </c>
      <c r="D15" s="43">
        <f t="shared" si="2"/>
        <v>30</v>
      </c>
      <c r="E15" s="44">
        <f t="shared" si="2"/>
        <v>8</v>
      </c>
      <c r="F15" s="151">
        <f t="shared" si="2"/>
        <v>0.2</v>
      </c>
      <c r="G15" s="45">
        <f t="shared" si="2"/>
        <v>0</v>
      </c>
      <c r="H15" s="28" t="s">
        <v>3562</v>
      </c>
      <c r="I15" s="88">
        <v>0</v>
      </c>
      <c r="J15" s="44">
        <f t="shared" si="0"/>
        <v>160</v>
      </c>
      <c r="K15" s="44">
        <f t="shared" si="0"/>
        <v>150</v>
      </c>
      <c r="L15" s="152">
        <f t="shared" si="0"/>
        <v>210</v>
      </c>
    </row>
    <row r="16" spans="1:12" x14ac:dyDescent="0.25">
      <c r="A16" s="41">
        <f t="shared" si="1"/>
        <v>4056</v>
      </c>
      <c r="B16" s="42">
        <f t="shared" si="1"/>
        <v>6</v>
      </c>
      <c r="C16" s="41" t="s">
        <v>3489</v>
      </c>
      <c r="D16" s="43">
        <f t="shared" si="2"/>
        <v>30</v>
      </c>
      <c r="E16" s="44">
        <f t="shared" si="2"/>
        <v>8</v>
      </c>
      <c r="F16" s="151">
        <f t="shared" si="2"/>
        <v>0.2</v>
      </c>
      <c r="G16" s="137">
        <f t="shared" si="2"/>
        <v>0</v>
      </c>
      <c r="H16" s="153" t="s">
        <v>3563</v>
      </c>
      <c r="I16" s="28">
        <v>0</v>
      </c>
      <c r="J16" s="44">
        <f t="shared" si="0"/>
        <v>160</v>
      </c>
      <c r="K16" s="44">
        <f t="shared" si="0"/>
        <v>150</v>
      </c>
      <c r="L16" s="152">
        <f t="shared" si="0"/>
        <v>210</v>
      </c>
    </row>
    <row r="17" spans="1:12" x14ac:dyDescent="0.25">
      <c r="A17" s="41">
        <f t="shared" si="1"/>
        <v>4057</v>
      </c>
      <c r="B17" s="42">
        <f t="shared" si="1"/>
        <v>7</v>
      </c>
      <c r="C17" s="41" t="s">
        <v>3490</v>
      </c>
      <c r="D17" s="43">
        <f t="shared" si="2"/>
        <v>30</v>
      </c>
      <c r="E17" s="44">
        <f t="shared" si="2"/>
        <v>8</v>
      </c>
      <c r="F17" s="151">
        <f t="shared" si="2"/>
        <v>0.2</v>
      </c>
      <c r="G17" s="45">
        <v>30</v>
      </c>
      <c r="H17" s="28" t="s">
        <v>3558</v>
      </c>
      <c r="I17" s="88">
        <v>0</v>
      </c>
      <c r="J17" s="44">
        <f t="shared" si="0"/>
        <v>160</v>
      </c>
      <c r="K17" s="44">
        <f t="shared" si="0"/>
        <v>150</v>
      </c>
      <c r="L17" s="152">
        <f t="shared" si="0"/>
        <v>210</v>
      </c>
    </row>
    <row r="18" spans="1:12" x14ac:dyDescent="0.25">
      <c r="A18" s="41">
        <f t="shared" si="1"/>
        <v>4058</v>
      </c>
      <c r="B18" s="42">
        <f t="shared" si="1"/>
        <v>8</v>
      </c>
      <c r="C18" s="41" t="s">
        <v>3491</v>
      </c>
      <c r="D18" s="43">
        <f t="shared" si="2"/>
        <v>30</v>
      </c>
      <c r="E18" s="44">
        <f t="shared" si="2"/>
        <v>8</v>
      </c>
      <c r="F18" s="151">
        <f t="shared" si="2"/>
        <v>0.2</v>
      </c>
      <c r="G18" s="45">
        <f>G17</f>
        <v>30</v>
      </c>
      <c r="H18" s="28" t="s">
        <v>3559</v>
      </c>
      <c r="I18" s="28">
        <v>0</v>
      </c>
      <c r="J18" s="44">
        <f t="shared" si="0"/>
        <v>160</v>
      </c>
      <c r="K18" s="44">
        <f t="shared" si="0"/>
        <v>150</v>
      </c>
      <c r="L18" s="152">
        <f t="shared" si="0"/>
        <v>210</v>
      </c>
    </row>
    <row r="19" spans="1:12" x14ac:dyDescent="0.25">
      <c r="A19" s="41">
        <f t="shared" si="1"/>
        <v>4059</v>
      </c>
      <c r="B19" s="42">
        <f t="shared" si="1"/>
        <v>9</v>
      </c>
      <c r="C19" s="41" t="s">
        <v>3492</v>
      </c>
      <c r="D19" s="43">
        <f t="shared" si="2"/>
        <v>30</v>
      </c>
      <c r="E19" s="44">
        <f t="shared" si="2"/>
        <v>8</v>
      </c>
      <c r="F19" s="151">
        <f t="shared" si="2"/>
        <v>0.2</v>
      </c>
      <c r="G19" s="45">
        <f t="shared" si="2"/>
        <v>30</v>
      </c>
      <c r="H19" s="28" t="s">
        <v>3560</v>
      </c>
      <c r="I19" s="88">
        <v>0</v>
      </c>
      <c r="J19" s="44">
        <f t="shared" si="0"/>
        <v>160</v>
      </c>
      <c r="K19" s="44">
        <f t="shared" si="0"/>
        <v>150</v>
      </c>
      <c r="L19" s="152">
        <f t="shared" si="0"/>
        <v>210</v>
      </c>
    </row>
    <row r="20" spans="1:12" x14ac:dyDescent="0.25">
      <c r="A20" s="41">
        <f t="shared" si="1"/>
        <v>4060</v>
      </c>
      <c r="B20" s="42">
        <f t="shared" si="1"/>
        <v>10</v>
      </c>
      <c r="C20" s="41" t="s">
        <v>3493</v>
      </c>
      <c r="D20" s="43">
        <f t="shared" si="2"/>
        <v>30</v>
      </c>
      <c r="E20" s="44">
        <f t="shared" si="2"/>
        <v>8</v>
      </c>
      <c r="F20" s="151">
        <f t="shared" si="2"/>
        <v>0.2</v>
      </c>
      <c r="G20" s="45">
        <f t="shared" si="2"/>
        <v>30</v>
      </c>
      <c r="H20" s="28" t="s">
        <v>3561</v>
      </c>
      <c r="I20" s="28">
        <v>0</v>
      </c>
      <c r="J20" s="44">
        <f t="shared" si="0"/>
        <v>160</v>
      </c>
      <c r="K20" s="44">
        <f t="shared" si="0"/>
        <v>150</v>
      </c>
      <c r="L20" s="152">
        <f t="shared" si="0"/>
        <v>210</v>
      </c>
    </row>
    <row r="21" spans="1:12" x14ac:dyDescent="0.25">
      <c r="A21" s="41">
        <f t="shared" si="1"/>
        <v>4061</v>
      </c>
      <c r="B21" s="42">
        <f t="shared" si="1"/>
        <v>11</v>
      </c>
      <c r="C21" s="41" t="s">
        <v>3494</v>
      </c>
      <c r="D21" s="43">
        <f t="shared" si="2"/>
        <v>30</v>
      </c>
      <c r="E21" s="44">
        <f t="shared" si="2"/>
        <v>8</v>
      </c>
      <c r="F21" s="151">
        <f t="shared" si="2"/>
        <v>0.2</v>
      </c>
      <c r="G21" s="45">
        <f t="shared" si="2"/>
        <v>30</v>
      </c>
      <c r="H21" s="28" t="s">
        <v>3562</v>
      </c>
      <c r="I21" s="88">
        <v>0</v>
      </c>
      <c r="J21" s="44">
        <f t="shared" si="0"/>
        <v>160</v>
      </c>
      <c r="K21" s="44">
        <f t="shared" si="0"/>
        <v>150</v>
      </c>
      <c r="L21" s="152">
        <f t="shared" si="0"/>
        <v>210</v>
      </c>
    </row>
    <row r="22" spans="1:12" x14ac:dyDescent="0.25">
      <c r="A22" s="41">
        <f t="shared" si="1"/>
        <v>4062</v>
      </c>
      <c r="B22" s="42">
        <f t="shared" si="1"/>
        <v>12</v>
      </c>
      <c r="C22" s="41" t="s">
        <v>3495</v>
      </c>
      <c r="D22" s="43">
        <f t="shared" si="2"/>
        <v>30</v>
      </c>
      <c r="E22" s="44">
        <f t="shared" si="2"/>
        <v>8</v>
      </c>
      <c r="F22" s="151">
        <f t="shared" si="2"/>
        <v>0.2</v>
      </c>
      <c r="G22" s="45">
        <f t="shared" si="2"/>
        <v>30</v>
      </c>
      <c r="H22" s="28" t="s">
        <v>3563</v>
      </c>
      <c r="I22" s="28">
        <v>0</v>
      </c>
      <c r="J22" s="44">
        <f t="shared" si="0"/>
        <v>160</v>
      </c>
      <c r="K22" s="44">
        <f t="shared" si="0"/>
        <v>150</v>
      </c>
      <c r="L22" s="152">
        <f t="shared" si="0"/>
        <v>210</v>
      </c>
    </row>
    <row r="23" spans="1:12" x14ac:dyDescent="0.25">
      <c r="A23" s="41">
        <f t="shared" si="1"/>
        <v>4063</v>
      </c>
      <c r="B23" s="42">
        <f t="shared" si="1"/>
        <v>13</v>
      </c>
      <c r="C23" s="41" t="s">
        <v>3496</v>
      </c>
      <c r="D23" s="43">
        <f t="shared" si="2"/>
        <v>30</v>
      </c>
      <c r="E23" s="44">
        <f t="shared" si="2"/>
        <v>8</v>
      </c>
      <c r="F23" s="151">
        <f t="shared" si="2"/>
        <v>0.2</v>
      </c>
      <c r="G23" s="45">
        <v>60</v>
      </c>
      <c r="H23" s="28" t="s">
        <v>3558</v>
      </c>
      <c r="I23" s="88">
        <v>0</v>
      </c>
      <c r="J23" s="44">
        <f t="shared" si="0"/>
        <v>160</v>
      </c>
      <c r="K23" s="44">
        <f t="shared" si="0"/>
        <v>150</v>
      </c>
      <c r="L23" s="152">
        <f t="shared" si="0"/>
        <v>210</v>
      </c>
    </row>
    <row r="24" spans="1:12" x14ac:dyDescent="0.25">
      <c r="A24" s="41">
        <f t="shared" si="1"/>
        <v>4064</v>
      </c>
      <c r="B24" s="42">
        <f t="shared" si="1"/>
        <v>14</v>
      </c>
      <c r="C24" s="41" t="s">
        <v>3497</v>
      </c>
      <c r="D24" s="43">
        <f t="shared" si="2"/>
        <v>30</v>
      </c>
      <c r="E24" s="44">
        <f t="shared" si="2"/>
        <v>8</v>
      </c>
      <c r="F24" s="151">
        <f t="shared" si="2"/>
        <v>0.2</v>
      </c>
      <c r="G24" s="45">
        <f>G23</f>
        <v>60</v>
      </c>
      <c r="H24" s="28" t="s">
        <v>3559</v>
      </c>
      <c r="I24" s="28">
        <v>0</v>
      </c>
      <c r="J24" s="44">
        <f t="shared" si="0"/>
        <v>160</v>
      </c>
      <c r="K24" s="44">
        <f t="shared" si="0"/>
        <v>150</v>
      </c>
      <c r="L24" s="152">
        <f t="shared" si="0"/>
        <v>210</v>
      </c>
    </row>
    <row r="25" spans="1:12" x14ac:dyDescent="0.25">
      <c r="A25" s="41">
        <f t="shared" si="1"/>
        <v>4065</v>
      </c>
      <c r="B25" s="42">
        <f t="shared" si="1"/>
        <v>15</v>
      </c>
      <c r="C25" s="41" t="s">
        <v>3498</v>
      </c>
      <c r="D25" s="43">
        <f t="shared" si="2"/>
        <v>30</v>
      </c>
      <c r="E25" s="44">
        <f t="shared" si="2"/>
        <v>8</v>
      </c>
      <c r="F25" s="151">
        <f t="shared" si="2"/>
        <v>0.2</v>
      </c>
      <c r="G25" s="45">
        <f t="shared" si="2"/>
        <v>60</v>
      </c>
      <c r="H25" s="28" t="s">
        <v>3560</v>
      </c>
      <c r="I25" s="88">
        <v>0</v>
      </c>
      <c r="J25" s="44">
        <f t="shared" si="0"/>
        <v>160</v>
      </c>
      <c r="K25" s="44">
        <f t="shared" si="0"/>
        <v>150</v>
      </c>
      <c r="L25" s="152">
        <f t="shared" si="0"/>
        <v>210</v>
      </c>
    </row>
    <row r="26" spans="1:12" x14ac:dyDescent="0.25">
      <c r="A26" s="41">
        <f t="shared" si="1"/>
        <v>4066</v>
      </c>
      <c r="B26" s="42">
        <f t="shared" si="1"/>
        <v>16</v>
      </c>
      <c r="C26" s="41" t="s">
        <v>3499</v>
      </c>
      <c r="D26" s="43">
        <f t="shared" si="2"/>
        <v>30</v>
      </c>
      <c r="E26" s="44">
        <f t="shared" si="2"/>
        <v>8</v>
      </c>
      <c r="F26" s="151">
        <f t="shared" si="2"/>
        <v>0.2</v>
      </c>
      <c r="G26" s="45">
        <f t="shared" si="2"/>
        <v>60</v>
      </c>
      <c r="H26" s="28" t="s">
        <v>3561</v>
      </c>
      <c r="I26" s="28">
        <v>0</v>
      </c>
      <c r="J26" s="44">
        <f t="shared" si="0"/>
        <v>160</v>
      </c>
      <c r="K26" s="44">
        <f t="shared" si="0"/>
        <v>150</v>
      </c>
      <c r="L26" s="152">
        <f t="shared" si="0"/>
        <v>210</v>
      </c>
    </row>
    <row r="27" spans="1:12" x14ac:dyDescent="0.25">
      <c r="A27" s="41">
        <f t="shared" si="1"/>
        <v>4067</v>
      </c>
      <c r="B27" s="42">
        <f t="shared" si="1"/>
        <v>17</v>
      </c>
      <c r="C27" s="41" t="s">
        <v>3500</v>
      </c>
      <c r="D27" s="43">
        <f t="shared" si="2"/>
        <v>30</v>
      </c>
      <c r="E27" s="44">
        <f t="shared" si="2"/>
        <v>8</v>
      </c>
      <c r="F27" s="151">
        <f t="shared" si="2"/>
        <v>0.2</v>
      </c>
      <c r="G27" s="45">
        <f t="shared" si="2"/>
        <v>60</v>
      </c>
      <c r="H27" s="28" t="s">
        <v>3562</v>
      </c>
      <c r="I27" s="88">
        <v>0</v>
      </c>
      <c r="J27" s="44">
        <f t="shared" si="0"/>
        <v>160</v>
      </c>
      <c r="K27" s="44">
        <f t="shared" si="0"/>
        <v>150</v>
      </c>
      <c r="L27" s="152">
        <f t="shared" si="0"/>
        <v>210</v>
      </c>
    </row>
    <row r="28" spans="1:12" x14ac:dyDescent="0.25">
      <c r="A28" s="41">
        <f t="shared" si="1"/>
        <v>4068</v>
      </c>
      <c r="B28" s="42">
        <f t="shared" si="1"/>
        <v>18</v>
      </c>
      <c r="C28" s="41" t="s">
        <v>3501</v>
      </c>
      <c r="D28" s="43">
        <f t="shared" si="2"/>
        <v>30</v>
      </c>
      <c r="E28" s="44">
        <f t="shared" si="2"/>
        <v>8</v>
      </c>
      <c r="F28" s="151">
        <f t="shared" si="2"/>
        <v>0.2</v>
      </c>
      <c r="G28" s="45">
        <f t="shared" si="2"/>
        <v>60</v>
      </c>
      <c r="H28" s="153" t="s">
        <v>3563</v>
      </c>
      <c r="I28" s="28">
        <v>0</v>
      </c>
      <c r="J28" s="44">
        <f t="shared" ref="J28:L43" si="3">J27</f>
        <v>160</v>
      </c>
      <c r="K28" s="44">
        <f t="shared" si="3"/>
        <v>150</v>
      </c>
      <c r="L28" s="152">
        <f t="shared" si="3"/>
        <v>210</v>
      </c>
    </row>
    <row r="29" spans="1:12" x14ac:dyDescent="0.25">
      <c r="A29" s="41">
        <f t="shared" ref="A29:B44" si="4">A28+1</f>
        <v>4069</v>
      </c>
      <c r="B29" s="42">
        <f t="shared" si="4"/>
        <v>19</v>
      </c>
      <c r="C29" s="41" t="s">
        <v>3502</v>
      </c>
      <c r="D29" s="43">
        <f t="shared" ref="D29:G44" si="5">D28</f>
        <v>30</v>
      </c>
      <c r="E29" s="44">
        <f t="shared" si="5"/>
        <v>8</v>
      </c>
      <c r="F29" s="151">
        <f t="shared" si="5"/>
        <v>0.2</v>
      </c>
      <c r="G29" s="45">
        <v>90</v>
      </c>
      <c r="H29" s="28" t="s">
        <v>3558</v>
      </c>
      <c r="I29" s="88">
        <v>0</v>
      </c>
      <c r="J29" s="44">
        <f t="shared" si="3"/>
        <v>160</v>
      </c>
      <c r="K29" s="44">
        <f t="shared" si="3"/>
        <v>150</v>
      </c>
      <c r="L29" s="152">
        <f t="shared" si="3"/>
        <v>210</v>
      </c>
    </row>
    <row r="30" spans="1:12" x14ac:dyDescent="0.25">
      <c r="A30" s="41">
        <f t="shared" si="4"/>
        <v>4070</v>
      </c>
      <c r="B30" s="42">
        <f t="shared" si="4"/>
        <v>20</v>
      </c>
      <c r="C30" s="41" t="s">
        <v>3503</v>
      </c>
      <c r="D30" s="43">
        <f t="shared" si="5"/>
        <v>30</v>
      </c>
      <c r="E30" s="44">
        <f t="shared" si="5"/>
        <v>8</v>
      </c>
      <c r="F30" s="151">
        <f t="shared" si="5"/>
        <v>0.2</v>
      </c>
      <c r="G30" s="45">
        <f>G29</f>
        <v>90</v>
      </c>
      <c r="H30" s="28" t="s">
        <v>3559</v>
      </c>
      <c r="I30" s="28">
        <v>0</v>
      </c>
      <c r="J30" s="44">
        <f t="shared" si="3"/>
        <v>160</v>
      </c>
      <c r="K30" s="44">
        <f t="shared" si="3"/>
        <v>150</v>
      </c>
      <c r="L30" s="152">
        <f t="shared" si="3"/>
        <v>210</v>
      </c>
    </row>
    <row r="31" spans="1:12" x14ac:dyDescent="0.25">
      <c r="A31" s="41">
        <f t="shared" si="4"/>
        <v>4071</v>
      </c>
      <c r="B31" s="42">
        <f t="shared" si="4"/>
        <v>21</v>
      </c>
      <c r="C31" s="41" t="s">
        <v>3504</v>
      </c>
      <c r="D31" s="43">
        <f t="shared" si="5"/>
        <v>30</v>
      </c>
      <c r="E31" s="44">
        <f t="shared" si="5"/>
        <v>8</v>
      </c>
      <c r="F31" s="151">
        <f t="shared" si="5"/>
        <v>0.2</v>
      </c>
      <c r="G31" s="45">
        <f t="shared" si="5"/>
        <v>90</v>
      </c>
      <c r="H31" s="28" t="s">
        <v>3560</v>
      </c>
      <c r="I31" s="88">
        <v>0</v>
      </c>
      <c r="J31" s="44">
        <f t="shared" si="3"/>
        <v>160</v>
      </c>
      <c r="K31" s="44">
        <f t="shared" si="3"/>
        <v>150</v>
      </c>
      <c r="L31" s="152">
        <f t="shared" si="3"/>
        <v>210</v>
      </c>
    </row>
    <row r="32" spans="1:12" x14ac:dyDescent="0.25">
      <c r="A32" s="41">
        <f t="shared" si="4"/>
        <v>4072</v>
      </c>
      <c r="B32" s="42">
        <f t="shared" si="4"/>
        <v>22</v>
      </c>
      <c r="C32" s="41" t="s">
        <v>3505</v>
      </c>
      <c r="D32" s="43">
        <f t="shared" si="5"/>
        <v>30</v>
      </c>
      <c r="E32" s="44">
        <f t="shared" si="5"/>
        <v>8</v>
      </c>
      <c r="F32" s="151">
        <f t="shared" si="5"/>
        <v>0.2</v>
      </c>
      <c r="G32" s="45">
        <f t="shared" si="5"/>
        <v>90</v>
      </c>
      <c r="H32" s="28" t="s">
        <v>3561</v>
      </c>
      <c r="I32" s="28">
        <v>0</v>
      </c>
      <c r="J32" s="44">
        <f t="shared" si="3"/>
        <v>160</v>
      </c>
      <c r="K32" s="44">
        <f t="shared" si="3"/>
        <v>150</v>
      </c>
      <c r="L32" s="152">
        <f t="shared" si="3"/>
        <v>210</v>
      </c>
    </row>
    <row r="33" spans="1:12" x14ac:dyDescent="0.25">
      <c r="A33" s="41">
        <f t="shared" si="4"/>
        <v>4073</v>
      </c>
      <c r="B33" s="42">
        <f t="shared" si="4"/>
        <v>23</v>
      </c>
      <c r="C33" s="41" t="s">
        <v>3506</v>
      </c>
      <c r="D33" s="43">
        <f t="shared" si="5"/>
        <v>30</v>
      </c>
      <c r="E33" s="44">
        <f t="shared" si="5"/>
        <v>8</v>
      </c>
      <c r="F33" s="151">
        <f t="shared" si="5"/>
        <v>0.2</v>
      </c>
      <c r="G33" s="45">
        <f t="shared" si="5"/>
        <v>90</v>
      </c>
      <c r="H33" s="28" t="s">
        <v>3562</v>
      </c>
      <c r="I33" s="88">
        <v>0</v>
      </c>
      <c r="J33" s="44">
        <f t="shared" si="3"/>
        <v>160</v>
      </c>
      <c r="K33" s="44">
        <f t="shared" si="3"/>
        <v>150</v>
      </c>
      <c r="L33" s="152">
        <f t="shared" si="3"/>
        <v>210</v>
      </c>
    </row>
    <row r="34" spans="1:12" x14ac:dyDescent="0.25">
      <c r="A34" s="41">
        <f t="shared" si="4"/>
        <v>4074</v>
      </c>
      <c r="B34" s="42">
        <f t="shared" si="4"/>
        <v>24</v>
      </c>
      <c r="C34" s="41" t="s">
        <v>3507</v>
      </c>
      <c r="D34" s="43">
        <f t="shared" si="5"/>
        <v>30</v>
      </c>
      <c r="E34" s="44">
        <f t="shared" si="5"/>
        <v>8</v>
      </c>
      <c r="F34" s="151">
        <f t="shared" si="5"/>
        <v>0.2</v>
      </c>
      <c r="G34" s="45">
        <f t="shared" si="5"/>
        <v>90</v>
      </c>
      <c r="H34" s="153" t="s">
        <v>3563</v>
      </c>
      <c r="I34" s="28">
        <v>0</v>
      </c>
      <c r="J34" s="44">
        <f t="shared" si="3"/>
        <v>160</v>
      </c>
      <c r="K34" s="44">
        <f t="shared" si="3"/>
        <v>150</v>
      </c>
      <c r="L34" s="152">
        <f t="shared" si="3"/>
        <v>210</v>
      </c>
    </row>
    <row r="35" spans="1:12" x14ac:dyDescent="0.25">
      <c r="A35" s="41">
        <f t="shared" si="4"/>
        <v>4075</v>
      </c>
      <c r="B35" s="42">
        <f t="shared" si="4"/>
        <v>25</v>
      </c>
      <c r="C35" s="41" t="s">
        <v>3508</v>
      </c>
      <c r="D35" s="43">
        <f t="shared" si="5"/>
        <v>30</v>
      </c>
      <c r="E35" s="44">
        <f t="shared" si="5"/>
        <v>8</v>
      </c>
      <c r="F35" s="151">
        <f t="shared" si="5"/>
        <v>0.2</v>
      </c>
      <c r="G35" s="45">
        <v>120</v>
      </c>
      <c r="H35" s="28" t="s">
        <v>3558</v>
      </c>
      <c r="I35" s="88">
        <v>0</v>
      </c>
      <c r="J35" s="44">
        <f t="shared" si="3"/>
        <v>160</v>
      </c>
      <c r="K35" s="44">
        <f t="shared" si="3"/>
        <v>150</v>
      </c>
      <c r="L35" s="152">
        <f t="shared" si="3"/>
        <v>210</v>
      </c>
    </row>
    <row r="36" spans="1:12" x14ac:dyDescent="0.25">
      <c r="A36" s="41">
        <f t="shared" si="4"/>
        <v>4076</v>
      </c>
      <c r="B36" s="42">
        <f t="shared" si="4"/>
        <v>26</v>
      </c>
      <c r="C36" s="41" t="s">
        <v>3509</v>
      </c>
      <c r="D36" s="43">
        <f t="shared" si="5"/>
        <v>30</v>
      </c>
      <c r="E36" s="44">
        <f t="shared" si="5"/>
        <v>8</v>
      </c>
      <c r="F36" s="151">
        <f t="shared" si="5"/>
        <v>0.2</v>
      </c>
      <c r="G36" s="45">
        <f>G35</f>
        <v>120</v>
      </c>
      <c r="H36" s="28" t="s">
        <v>3559</v>
      </c>
      <c r="I36" s="28">
        <v>0</v>
      </c>
      <c r="J36" s="44">
        <f t="shared" si="3"/>
        <v>160</v>
      </c>
      <c r="K36" s="44">
        <f t="shared" si="3"/>
        <v>150</v>
      </c>
      <c r="L36" s="152">
        <f t="shared" si="3"/>
        <v>210</v>
      </c>
    </row>
    <row r="37" spans="1:12" x14ac:dyDescent="0.25">
      <c r="A37" s="41">
        <f t="shared" si="4"/>
        <v>4077</v>
      </c>
      <c r="B37" s="42">
        <f t="shared" si="4"/>
        <v>27</v>
      </c>
      <c r="C37" s="41" t="s">
        <v>3510</v>
      </c>
      <c r="D37" s="43">
        <f t="shared" si="5"/>
        <v>30</v>
      </c>
      <c r="E37" s="44">
        <f t="shared" si="5"/>
        <v>8</v>
      </c>
      <c r="F37" s="151">
        <f t="shared" si="5"/>
        <v>0.2</v>
      </c>
      <c r="G37" s="45">
        <f t="shared" si="5"/>
        <v>120</v>
      </c>
      <c r="H37" s="28" t="s">
        <v>3560</v>
      </c>
      <c r="I37" s="88">
        <v>0</v>
      </c>
      <c r="J37" s="44">
        <f t="shared" si="3"/>
        <v>160</v>
      </c>
      <c r="K37" s="44">
        <f t="shared" si="3"/>
        <v>150</v>
      </c>
      <c r="L37" s="152">
        <f t="shared" si="3"/>
        <v>210</v>
      </c>
    </row>
    <row r="38" spans="1:12" x14ac:dyDescent="0.25">
      <c r="A38" s="41">
        <f t="shared" si="4"/>
        <v>4078</v>
      </c>
      <c r="B38" s="42">
        <f t="shared" si="4"/>
        <v>28</v>
      </c>
      <c r="C38" s="41" t="s">
        <v>3511</v>
      </c>
      <c r="D38" s="43">
        <f t="shared" si="5"/>
        <v>30</v>
      </c>
      <c r="E38" s="44">
        <f t="shared" si="5"/>
        <v>8</v>
      </c>
      <c r="F38" s="151">
        <f t="shared" si="5"/>
        <v>0.2</v>
      </c>
      <c r="G38" s="45">
        <f t="shared" si="5"/>
        <v>120</v>
      </c>
      <c r="H38" s="28" t="s">
        <v>3561</v>
      </c>
      <c r="I38" s="28">
        <v>0</v>
      </c>
      <c r="J38" s="44">
        <f t="shared" si="3"/>
        <v>160</v>
      </c>
      <c r="K38" s="44">
        <f t="shared" si="3"/>
        <v>150</v>
      </c>
      <c r="L38" s="152">
        <f t="shared" si="3"/>
        <v>210</v>
      </c>
    </row>
    <row r="39" spans="1:12" x14ac:dyDescent="0.25">
      <c r="A39" s="41">
        <f t="shared" si="4"/>
        <v>4079</v>
      </c>
      <c r="B39" s="42">
        <f t="shared" si="4"/>
        <v>29</v>
      </c>
      <c r="C39" s="41" t="s">
        <v>3512</v>
      </c>
      <c r="D39" s="43">
        <f t="shared" si="5"/>
        <v>30</v>
      </c>
      <c r="E39" s="44">
        <f t="shared" si="5"/>
        <v>8</v>
      </c>
      <c r="F39" s="151">
        <f t="shared" si="5"/>
        <v>0.2</v>
      </c>
      <c r="G39" s="45">
        <f t="shared" si="5"/>
        <v>120</v>
      </c>
      <c r="H39" s="28" t="s">
        <v>3562</v>
      </c>
      <c r="I39" s="88">
        <v>0</v>
      </c>
      <c r="J39" s="44">
        <f t="shared" si="3"/>
        <v>160</v>
      </c>
      <c r="K39" s="44">
        <f t="shared" si="3"/>
        <v>150</v>
      </c>
      <c r="L39" s="152">
        <f t="shared" si="3"/>
        <v>210</v>
      </c>
    </row>
    <row r="40" spans="1:12" x14ac:dyDescent="0.25">
      <c r="A40" s="41">
        <f t="shared" si="4"/>
        <v>4080</v>
      </c>
      <c r="B40" s="42">
        <f t="shared" si="4"/>
        <v>30</v>
      </c>
      <c r="C40" s="41" t="s">
        <v>3513</v>
      </c>
      <c r="D40" s="43">
        <f t="shared" si="5"/>
        <v>30</v>
      </c>
      <c r="E40" s="44">
        <f t="shared" si="5"/>
        <v>8</v>
      </c>
      <c r="F40" s="151">
        <f t="shared" si="5"/>
        <v>0.2</v>
      </c>
      <c r="G40" s="45">
        <f t="shared" si="5"/>
        <v>120</v>
      </c>
      <c r="H40" s="28" t="s">
        <v>3563</v>
      </c>
      <c r="I40" s="28">
        <v>0</v>
      </c>
      <c r="J40" s="44">
        <f t="shared" si="3"/>
        <v>160</v>
      </c>
      <c r="K40" s="44">
        <f t="shared" si="3"/>
        <v>150</v>
      </c>
      <c r="L40" s="152">
        <f t="shared" si="3"/>
        <v>210</v>
      </c>
    </row>
    <row r="41" spans="1:12" x14ac:dyDescent="0.25">
      <c r="A41" s="41">
        <f t="shared" si="4"/>
        <v>4081</v>
      </c>
      <c r="B41" s="42">
        <f t="shared" si="4"/>
        <v>31</v>
      </c>
      <c r="C41" s="41" t="s">
        <v>3514</v>
      </c>
      <c r="D41" s="43">
        <f t="shared" si="5"/>
        <v>30</v>
      </c>
      <c r="E41" s="44">
        <f t="shared" si="5"/>
        <v>8</v>
      </c>
      <c r="F41" s="151">
        <f t="shared" si="5"/>
        <v>0.2</v>
      </c>
      <c r="G41" s="45">
        <v>150</v>
      </c>
      <c r="H41" s="28" t="s">
        <v>3558</v>
      </c>
      <c r="I41" s="88">
        <v>0</v>
      </c>
      <c r="J41" s="44">
        <f t="shared" si="3"/>
        <v>160</v>
      </c>
      <c r="K41" s="44">
        <f t="shared" si="3"/>
        <v>150</v>
      </c>
      <c r="L41" s="152">
        <f t="shared" si="3"/>
        <v>210</v>
      </c>
    </row>
    <row r="42" spans="1:12" x14ac:dyDescent="0.25">
      <c r="A42" s="41">
        <f t="shared" si="4"/>
        <v>4082</v>
      </c>
      <c r="B42" s="42">
        <f t="shared" si="4"/>
        <v>32</v>
      </c>
      <c r="C42" s="41" t="s">
        <v>3515</v>
      </c>
      <c r="D42" s="43">
        <f t="shared" si="5"/>
        <v>30</v>
      </c>
      <c r="E42" s="44">
        <f t="shared" si="5"/>
        <v>8</v>
      </c>
      <c r="F42" s="151">
        <f t="shared" si="5"/>
        <v>0.2</v>
      </c>
      <c r="G42" s="45">
        <f>G41</f>
        <v>150</v>
      </c>
      <c r="H42" s="28" t="s">
        <v>3559</v>
      </c>
      <c r="I42" s="28">
        <v>0</v>
      </c>
      <c r="J42" s="44">
        <f t="shared" si="3"/>
        <v>160</v>
      </c>
      <c r="K42" s="44">
        <f t="shared" si="3"/>
        <v>150</v>
      </c>
      <c r="L42" s="152">
        <f t="shared" si="3"/>
        <v>210</v>
      </c>
    </row>
    <row r="43" spans="1:12" x14ac:dyDescent="0.25">
      <c r="A43" s="41">
        <f t="shared" si="4"/>
        <v>4083</v>
      </c>
      <c r="B43" s="42">
        <f t="shared" si="4"/>
        <v>33</v>
      </c>
      <c r="C43" s="41" t="s">
        <v>3516</v>
      </c>
      <c r="D43" s="43">
        <f t="shared" si="5"/>
        <v>30</v>
      </c>
      <c r="E43" s="44">
        <f t="shared" si="5"/>
        <v>8</v>
      </c>
      <c r="F43" s="151">
        <f t="shared" si="5"/>
        <v>0.2</v>
      </c>
      <c r="G43" s="45">
        <f t="shared" si="5"/>
        <v>150</v>
      </c>
      <c r="H43" s="28" t="s">
        <v>3560</v>
      </c>
      <c r="I43" s="88">
        <v>0</v>
      </c>
      <c r="J43" s="44">
        <f t="shared" si="3"/>
        <v>160</v>
      </c>
      <c r="K43" s="44">
        <f t="shared" si="3"/>
        <v>150</v>
      </c>
      <c r="L43" s="152">
        <f t="shared" si="3"/>
        <v>210</v>
      </c>
    </row>
    <row r="44" spans="1:12" x14ac:dyDescent="0.25">
      <c r="A44" s="41">
        <f t="shared" si="4"/>
        <v>4084</v>
      </c>
      <c r="B44" s="42">
        <f t="shared" si="4"/>
        <v>34</v>
      </c>
      <c r="C44" s="41" t="s">
        <v>3517</v>
      </c>
      <c r="D44" s="43">
        <f t="shared" si="5"/>
        <v>30</v>
      </c>
      <c r="E44" s="44">
        <f t="shared" si="5"/>
        <v>8</v>
      </c>
      <c r="F44" s="151">
        <f t="shared" si="5"/>
        <v>0.2</v>
      </c>
      <c r="G44" s="45">
        <f t="shared" si="5"/>
        <v>150</v>
      </c>
      <c r="H44" s="28" t="s">
        <v>3561</v>
      </c>
      <c r="I44" s="28">
        <v>0</v>
      </c>
      <c r="J44" s="44">
        <f t="shared" ref="J44:L59" si="6">J43</f>
        <v>160</v>
      </c>
      <c r="K44" s="44">
        <f t="shared" si="6"/>
        <v>150</v>
      </c>
      <c r="L44" s="152">
        <f t="shared" si="6"/>
        <v>210</v>
      </c>
    </row>
    <row r="45" spans="1:12" x14ac:dyDescent="0.25">
      <c r="A45" s="41">
        <f t="shared" ref="A45:B60" si="7">A44+1</f>
        <v>4085</v>
      </c>
      <c r="B45" s="42">
        <f t="shared" si="7"/>
        <v>35</v>
      </c>
      <c r="C45" s="41" t="s">
        <v>3518</v>
      </c>
      <c r="D45" s="43">
        <f t="shared" ref="D45:G60" si="8">D44</f>
        <v>30</v>
      </c>
      <c r="E45" s="44">
        <f t="shared" si="8"/>
        <v>8</v>
      </c>
      <c r="F45" s="151">
        <f t="shared" si="8"/>
        <v>0.2</v>
      </c>
      <c r="G45" s="45">
        <f t="shared" si="8"/>
        <v>150</v>
      </c>
      <c r="H45" s="28" t="s">
        <v>3562</v>
      </c>
      <c r="I45" s="88">
        <v>0</v>
      </c>
      <c r="J45" s="44">
        <f t="shared" si="6"/>
        <v>160</v>
      </c>
      <c r="K45" s="44">
        <f t="shared" si="6"/>
        <v>150</v>
      </c>
      <c r="L45" s="152">
        <f t="shared" si="6"/>
        <v>210</v>
      </c>
    </row>
    <row r="46" spans="1:12" x14ac:dyDescent="0.25">
      <c r="A46" s="41">
        <f t="shared" si="7"/>
        <v>4086</v>
      </c>
      <c r="B46" s="42">
        <f t="shared" si="7"/>
        <v>36</v>
      </c>
      <c r="C46" s="41" t="s">
        <v>3519</v>
      </c>
      <c r="D46" s="43">
        <f t="shared" si="8"/>
        <v>30</v>
      </c>
      <c r="E46" s="44">
        <f t="shared" si="8"/>
        <v>8</v>
      </c>
      <c r="F46" s="151">
        <f t="shared" si="8"/>
        <v>0.2</v>
      </c>
      <c r="G46" s="45">
        <f t="shared" si="8"/>
        <v>150</v>
      </c>
      <c r="H46" s="28" t="s">
        <v>3563</v>
      </c>
      <c r="I46" s="28">
        <v>0</v>
      </c>
      <c r="J46" s="44">
        <f t="shared" si="6"/>
        <v>160</v>
      </c>
      <c r="K46" s="44">
        <f t="shared" si="6"/>
        <v>150</v>
      </c>
      <c r="L46" s="152">
        <f t="shared" si="6"/>
        <v>210</v>
      </c>
    </row>
    <row r="47" spans="1:12" x14ac:dyDescent="0.25">
      <c r="A47" s="41">
        <f t="shared" si="7"/>
        <v>4087</v>
      </c>
      <c r="B47" s="42">
        <f t="shared" si="7"/>
        <v>37</v>
      </c>
      <c r="C47" s="41" t="s">
        <v>3520</v>
      </c>
      <c r="D47" s="43">
        <f t="shared" si="8"/>
        <v>30</v>
      </c>
      <c r="E47" s="44">
        <f t="shared" si="8"/>
        <v>8</v>
      </c>
      <c r="F47" s="151">
        <f t="shared" si="8"/>
        <v>0.2</v>
      </c>
      <c r="G47" s="45">
        <v>180</v>
      </c>
      <c r="H47" s="28" t="s">
        <v>3558</v>
      </c>
      <c r="I47" s="88">
        <v>0</v>
      </c>
      <c r="J47" s="44">
        <f t="shared" si="6"/>
        <v>160</v>
      </c>
      <c r="K47" s="44">
        <f t="shared" si="6"/>
        <v>150</v>
      </c>
      <c r="L47" s="152">
        <f t="shared" si="6"/>
        <v>210</v>
      </c>
    </row>
    <row r="48" spans="1:12" x14ac:dyDescent="0.25">
      <c r="A48" s="41">
        <f t="shared" si="7"/>
        <v>4088</v>
      </c>
      <c r="B48" s="42">
        <f t="shared" si="7"/>
        <v>38</v>
      </c>
      <c r="C48" s="41" t="s">
        <v>3521</v>
      </c>
      <c r="D48" s="43">
        <f t="shared" si="8"/>
        <v>30</v>
      </c>
      <c r="E48" s="44">
        <f t="shared" si="8"/>
        <v>8</v>
      </c>
      <c r="F48" s="151">
        <f t="shared" si="8"/>
        <v>0.2</v>
      </c>
      <c r="G48" s="45">
        <f>G47</f>
        <v>180</v>
      </c>
      <c r="H48" s="28" t="s">
        <v>3559</v>
      </c>
      <c r="I48" s="28">
        <v>0</v>
      </c>
      <c r="J48" s="44">
        <f t="shared" si="6"/>
        <v>160</v>
      </c>
      <c r="K48" s="44">
        <f t="shared" si="6"/>
        <v>150</v>
      </c>
      <c r="L48" s="152">
        <f t="shared" si="6"/>
        <v>210</v>
      </c>
    </row>
    <row r="49" spans="1:12" x14ac:dyDescent="0.25">
      <c r="A49" s="41">
        <f t="shared" si="7"/>
        <v>4089</v>
      </c>
      <c r="B49" s="42">
        <f t="shared" si="7"/>
        <v>39</v>
      </c>
      <c r="C49" s="41" t="s">
        <v>3522</v>
      </c>
      <c r="D49" s="43">
        <f t="shared" si="8"/>
        <v>30</v>
      </c>
      <c r="E49" s="44">
        <f t="shared" si="8"/>
        <v>8</v>
      </c>
      <c r="F49" s="151">
        <f t="shared" si="8"/>
        <v>0.2</v>
      </c>
      <c r="G49" s="45">
        <f t="shared" si="8"/>
        <v>180</v>
      </c>
      <c r="H49" s="28" t="s">
        <v>3560</v>
      </c>
      <c r="I49" s="88">
        <v>0</v>
      </c>
      <c r="J49" s="44">
        <f t="shared" si="6"/>
        <v>160</v>
      </c>
      <c r="K49" s="44">
        <f t="shared" si="6"/>
        <v>150</v>
      </c>
      <c r="L49" s="152">
        <f t="shared" si="6"/>
        <v>210</v>
      </c>
    </row>
    <row r="50" spans="1:12" x14ac:dyDescent="0.25">
      <c r="A50" s="41">
        <f t="shared" si="7"/>
        <v>4090</v>
      </c>
      <c r="B50" s="42">
        <f t="shared" si="7"/>
        <v>40</v>
      </c>
      <c r="C50" s="41" t="s">
        <v>3523</v>
      </c>
      <c r="D50" s="43">
        <f t="shared" si="8"/>
        <v>30</v>
      </c>
      <c r="E50" s="44">
        <f t="shared" si="8"/>
        <v>8</v>
      </c>
      <c r="F50" s="151">
        <f t="shared" si="8"/>
        <v>0.2</v>
      </c>
      <c r="G50" s="45">
        <f t="shared" si="8"/>
        <v>180</v>
      </c>
      <c r="H50" s="28" t="s">
        <v>3561</v>
      </c>
      <c r="I50" s="28">
        <v>0</v>
      </c>
      <c r="J50" s="44">
        <f t="shared" si="6"/>
        <v>160</v>
      </c>
      <c r="K50" s="44">
        <f t="shared" si="6"/>
        <v>150</v>
      </c>
      <c r="L50" s="152">
        <f t="shared" si="6"/>
        <v>210</v>
      </c>
    </row>
    <row r="51" spans="1:12" x14ac:dyDescent="0.25">
      <c r="A51" s="41">
        <f t="shared" si="7"/>
        <v>4091</v>
      </c>
      <c r="B51" s="42">
        <f t="shared" si="7"/>
        <v>41</v>
      </c>
      <c r="C51" s="41" t="s">
        <v>3524</v>
      </c>
      <c r="D51" s="43">
        <f t="shared" si="8"/>
        <v>30</v>
      </c>
      <c r="E51" s="44">
        <f t="shared" si="8"/>
        <v>8</v>
      </c>
      <c r="F51" s="151">
        <f t="shared" si="8"/>
        <v>0.2</v>
      </c>
      <c r="G51" s="45">
        <f t="shared" si="8"/>
        <v>180</v>
      </c>
      <c r="H51" s="28" t="s">
        <v>3562</v>
      </c>
      <c r="I51" s="88">
        <v>0</v>
      </c>
      <c r="J51" s="44">
        <f t="shared" si="6"/>
        <v>160</v>
      </c>
      <c r="K51" s="44">
        <f t="shared" si="6"/>
        <v>150</v>
      </c>
      <c r="L51" s="152">
        <f t="shared" si="6"/>
        <v>210</v>
      </c>
    </row>
    <row r="52" spans="1:12" x14ac:dyDescent="0.25">
      <c r="A52" s="41">
        <f t="shared" si="7"/>
        <v>4092</v>
      </c>
      <c r="B52" s="42">
        <f t="shared" si="7"/>
        <v>42</v>
      </c>
      <c r="C52" s="41" t="s">
        <v>3525</v>
      </c>
      <c r="D52" s="43">
        <f t="shared" si="8"/>
        <v>30</v>
      </c>
      <c r="E52" s="44">
        <f t="shared" si="8"/>
        <v>8</v>
      </c>
      <c r="F52" s="151">
        <f t="shared" si="8"/>
        <v>0.2</v>
      </c>
      <c r="G52" s="45">
        <f t="shared" si="8"/>
        <v>180</v>
      </c>
      <c r="H52" s="28" t="s">
        <v>3563</v>
      </c>
      <c r="I52" s="28">
        <v>0</v>
      </c>
      <c r="J52" s="44">
        <f t="shared" si="6"/>
        <v>160</v>
      </c>
      <c r="K52" s="44">
        <f t="shared" si="6"/>
        <v>150</v>
      </c>
      <c r="L52" s="152">
        <f t="shared" si="6"/>
        <v>210</v>
      </c>
    </row>
    <row r="53" spans="1:12" x14ac:dyDescent="0.25">
      <c r="A53" s="41">
        <f t="shared" si="7"/>
        <v>4093</v>
      </c>
      <c r="B53" s="42">
        <f t="shared" si="7"/>
        <v>43</v>
      </c>
      <c r="C53" s="41" t="s">
        <v>3526</v>
      </c>
      <c r="D53" s="43">
        <f t="shared" si="8"/>
        <v>30</v>
      </c>
      <c r="E53" s="44">
        <f t="shared" si="8"/>
        <v>8</v>
      </c>
      <c r="F53" s="151">
        <f t="shared" si="8"/>
        <v>0.2</v>
      </c>
      <c r="G53" s="45">
        <v>210</v>
      </c>
      <c r="H53" s="28" t="s">
        <v>3558</v>
      </c>
      <c r="I53" s="88">
        <v>0</v>
      </c>
      <c r="J53" s="44">
        <f t="shared" si="6"/>
        <v>160</v>
      </c>
      <c r="K53" s="44">
        <f t="shared" si="6"/>
        <v>150</v>
      </c>
      <c r="L53" s="152">
        <f t="shared" si="6"/>
        <v>210</v>
      </c>
    </row>
    <row r="54" spans="1:12" x14ac:dyDescent="0.25">
      <c r="A54" s="41">
        <f t="shared" si="7"/>
        <v>4094</v>
      </c>
      <c r="B54" s="42">
        <f t="shared" si="7"/>
        <v>44</v>
      </c>
      <c r="C54" s="41" t="s">
        <v>3527</v>
      </c>
      <c r="D54" s="43">
        <f t="shared" si="8"/>
        <v>30</v>
      </c>
      <c r="E54" s="44">
        <f t="shared" si="8"/>
        <v>8</v>
      </c>
      <c r="F54" s="151">
        <f t="shared" si="8"/>
        <v>0.2</v>
      </c>
      <c r="G54" s="45">
        <f>G53</f>
        <v>210</v>
      </c>
      <c r="H54" s="28" t="s">
        <v>3559</v>
      </c>
      <c r="I54" s="28">
        <v>0</v>
      </c>
      <c r="J54" s="44">
        <f t="shared" si="6"/>
        <v>160</v>
      </c>
      <c r="K54" s="44">
        <f t="shared" si="6"/>
        <v>150</v>
      </c>
      <c r="L54" s="152">
        <f t="shared" si="6"/>
        <v>210</v>
      </c>
    </row>
    <row r="55" spans="1:12" x14ac:dyDescent="0.25">
      <c r="A55" s="41">
        <f t="shared" si="7"/>
        <v>4095</v>
      </c>
      <c r="B55" s="42">
        <f t="shared" si="7"/>
        <v>45</v>
      </c>
      <c r="C55" s="41" t="s">
        <v>3528</v>
      </c>
      <c r="D55" s="43">
        <f t="shared" si="8"/>
        <v>30</v>
      </c>
      <c r="E55" s="44">
        <f t="shared" si="8"/>
        <v>8</v>
      </c>
      <c r="F55" s="151">
        <f t="shared" si="8"/>
        <v>0.2</v>
      </c>
      <c r="G55" s="45">
        <f t="shared" si="8"/>
        <v>210</v>
      </c>
      <c r="H55" s="28" t="s">
        <v>3560</v>
      </c>
      <c r="I55" s="88">
        <v>0</v>
      </c>
      <c r="J55" s="44">
        <f t="shared" si="6"/>
        <v>160</v>
      </c>
      <c r="K55" s="44">
        <f t="shared" si="6"/>
        <v>150</v>
      </c>
      <c r="L55" s="152">
        <f t="shared" si="6"/>
        <v>210</v>
      </c>
    </row>
    <row r="56" spans="1:12" x14ac:dyDescent="0.25">
      <c r="A56" s="41">
        <f t="shared" si="7"/>
        <v>4096</v>
      </c>
      <c r="B56" s="42">
        <f t="shared" si="7"/>
        <v>46</v>
      </c>
      <c r="C56" s="41" t="s">
        <v>3529</v>
      </c>
      <c r="D56" s="43">
        <f t="shared" si="8"/>
        <v>30</v>
      </c>
      <c r="E56" s="44">
        <f t="shared" si="8"/>
        <v>8</v>
      </c>
      <c r="F56" s="151">
        <f t="shared" si="8"/>
        <v>0.2</v>
      </c>
      <c r="G56" s="45">
        <f t="shared" si="8"/>
        <v>210</v>
      </c>
      <c r="H56" s="28" t="s">
        <v>3561</v>
      </c>
      <c r="I56" s="28">
        <v>0</v>
      </c>
      <c r="J56" s="44">
        <f t="shared" si="6"/>
        <v>160</v>
      </c>
      <c r="K56" s="44">
        <f t="shared" si="6"/>
        <v>150</v>
      </c>
      <c r="L56" s="152">
        <f t="shared" si="6"/>
        <v>210</v>
      </c>
    </row>
    <row r="57" spans="1:12" x14ac:dyDescent="0.25">
      <c r="A57" s="41">
        <f t="shared" si="7"/>
        <v>4097</v>
      </c>
      <c r="B57" s="42">
        <f t="shared" si="7"/>
        <v>47</v>
      </c>
      <c r="C57" s="41" t="s">
        <v>3530</v>
      </c>
      <c r="D57" s="43">
        <f t="shared" si="8"/>
        <v>30</v>
      </c>
      <c r="E57" s="44">
        <f t="shared" si="8"/>
        <v>8</v>
      </c>
      <c r="F57" s="151">
        <f t="shared" si="8"/>
        <v>0.2</v>
      </c>
      <c r="G57" s="45">
        <f t="shared" si="8"/>
        <v>210</v>
      </c>
      <c r="H57" s="28" t="s">
        <v>3562</v>
      </c>
      <c r="I57" s="88">
        <v>0</v>
      </c>
      <c r="J57" s="44">
        <f t="shared" si="6"/>
        <v>160</v>
      </c>
      <c r="K57" s="44">
        <f t="shared" si="6"/>
        <v>150</v>
      </c>
      <c r="L57" s="152">
        <f t="shared" si="6"/>
        <v>210</v>
      </c>
    </row>
    <row r="58" spans="1:12" x14ac:dyDescent="0.25">
      <c r="A58" s="41">
        <f t="shared" si="7"/>
        <v>4098</v>
      </c>
      <c r="B58" s="42">
        <f t="shared" si="7"/>
        <v>48</v>
      </c>
      <c r="C58" s="41" t="s">
        <v>3531</v>
      </c>
      <c r="D58" s="43">
        <f t="shared" si="8"/>
        <v>30</v>
      </c>
      <c r="E58" s="44">
        <f t="shared" si="8"/>
        <v>8</v>
      </c>
      <c r="F58" s="151">
        <f t="shared" si="8"/>
        <v>0.2</v>
      </c>
      <c r="G58" s="45">
        <f t="shared" si="8"/>
        <v>210</v>
      </c>
      <c r="H58" s="153" t="s">
        <v>3563</v>
      </c>
      <c r="I58" s="28">
        <v>0</v>
      </c>
      <c r="J58" s="44">
        <f t="shared" si="6"/>
        <v>160</v>
      </c>
      <c r="K58" s="44">
        <f t="shared" si="6"/>
        <v>150</v>
      </c>
      <c r="L58" s="152">
        <f t="shared" si="6"/>
        <v>210</v>
      </c>
    </row>
    <row r="59" spans="1:12" x14ac:dyDescent="0.25">
      <c r="A59" s="41">
        <f t="shared" si="7"/>
        <v>4099</v>
      </c>
      <c r="B59" s="42">
        <f t="shared" si="7"/>
        <v>49</v>
      </c>
      <c r="C59" s="41" t="s">
        <v>3532</v>
      </c>
      <c r="D59" s="43">
        <f t="shared" si="8"/>
        <v>30</v>
      </c>
      <c r="E59" s="44">
        <f t="shared" si="8"/>
        <v>8</v>
      </c>
      <c r="F59" s="151">
        <f t="shared" si="8"/>
        <v>0.2</v>
      </c>
      <c r="G59" s="45">
        <v>240</v>
      </c>
      <c r="H59" s="28" t="s">
        <v>3558</v>
      </c>
      <c r="I59" s="88">
        <v>0</v>
      </c>
      <c r="J59" s="44">
        <f t="shared" si="6"/>
        <v>160</v>
      </c>
      <c r="K59" s="44">
        <f t="shared" si="6"/>
        <v>150</v>
      </c>
      <c r="L59" s="152">
        <f t="shared" si="6"/>
        <v>210</v>
      </c>
    </row>
    <row r="60" spans="1:12" x14ac:dyDescent="0.25">
      <c r="A60" s="41">
        <f t="shared" si="7"/>
        <v>4100</v>
      </c>
      <c r="B60" s="42">
        <f t="shared" si="7"/>
        <v>50</v>
      </c>
      <c r="C60" s="41" t="s">
        <v>3533</v>
      </c>
      <c r="D60" s="43">
        <f t="shared" si="8"/>
        <v>30</v>
      </c>
      <c r="E60" s="44">
        <f t="shared" si="8"/>
        <v>8</v>
      </c>
      <c r="F60" s="151">
        <f t="shared" si="8"/>
        <v>0.2</v>
      </c>
      <c r="G60" s="45">
        <f>G59</f>
        <v>240</v>
      </c>
      <c r="H60" s="28" t="s">
        <v>3559</v>
      </c>
      <c r="I60" s="28">
        <v>0</v>
      </c>
      <c r="J60" s="44">
        <f t="shared" ref="J60:L75" si="9">J59</f>
        <v>160</v>
      </c>
      <c r="K60" s="44">
        <f t="shared" si="9"/>
        <v>150</v>
      </c>
      <c r="L60" s="152">
        <f t="shared" si="9"/>
        <v>210</v>
      </c>
    </row>
    <row r="61" spans="1:12" x14ac:dyDescent="0.25">
      <c r="A61" s="41">
        <f t="shared" ref="A61:B76" si="10">A60+1</f>
        <v>4101</v>
      </c>
      <c r="B61" s="42">
        <f t="shared" si="10"/>
        <v>51</v>
      </c>
      <c r="C61" s="41" t="s">
        <v>3534</v>
      </c>
      <c r="D61" s="43">
        <f t="shared" ref="D61:G76" si="11">D60</f>
        <v>30</v>
      </c>
      <c r="E61" s="44">
        <f t="shared" si="11"/>
        <v>8</v>
      </c>
      <c r="F61" s="151">
        <f t="shared" si="11"/>
        <v>0.2</v>
      </c>
      <c r="G61" s="45">
        <f t="shared" si="11"/>
        <v>240</v>
      </c>
      <c r="H61" s="28" t="s">
        <v>3560</v>
      </c>
      <c r="I61" s="88">
        <v>0</v>
      </c>
      <c r="J61" s="44">
        <f t="shared" si="9"/>
        <v>160</v>
      </c>
      <c r="K61" s="44">
        <f t="shared" si="9"/>
        <v>150</v>
      </c>
      <c r="L61" s="152">
        <f t="shared" si="9"/>
        <v>210</v>
      </c>
    </row>
    <row r="62" spans="1:12" x14ac:dyDescent="0.25">
      <c r="A62" s="41">
        <f t="shared" si="10"/>
        <v>4102</v>
      </c>
      <c r="B62" s="42">
        <f t="shared" si="10"/>
        <v>52</v>
      </c>
      <c r="C62" s="41" t="s">
        <v>3535</v>
      </c>
      <c r="D62" s="43">
        <f t="shared" si="11"/>
        <v>30</v>
      </c>
      <c r="E62" s="44">
        <f t="shared" si="11"/>
        <v>8</v>
      </c>
      <c r="F62" s="151">
        <f t="shared" si="11"/>
        <v>0.2</v>
      </c>
      <c r="G62" s="45">
        <f t="shared" si="11"/>
        <v>240</v>
      </c>
      <c r="H62" s="28" t="s">
        <v>3561</v>
      </c>
      <c r="I62" s="28">
        <v>0</v>
      </c>
      <c r="J62" s="44">
        <f t="shared" si="9"/>
        <v>160</v>
      </c>
      <c r="K62" s="44">
        <f t="shared" si="9"/>
        <v>150</v>
      </c>
      <c r="L62" s="152">
        <f t="shared" si="9"/>
        <v>210</v>
      </c>
    </row>
    <row r="63" spans="1:12" x14ac:dyDescent="0.25">
      <c r="A63" s="41">
        <f t="shared" si="10"/>
        <v>4103</v>
      </c>
      <c r="B63" s="42">
        <f t="shared" si="10"/>
        <v>53</v>
      </c>
      <c r="C63" s="41" t="s">
        <v>3536</v>
      </c>
      <c r="D63" s="43">
        <f t="shared" si="11"/>
        <v>30</v>
      </c>
      <c r="E63" s="44">
        <f t="shared" si="11"/>
        <v>8</v>
      </c>
      <c r="F63" s="151">
        <f t="shared" si="11"/>
        <v>0.2</v>
      </c>
      <c r="G63" s="45">
        <f t="shared" si="11"/>
        <v>240</v>
      </c>
      <c r="H63" s="28" t="s">
        <v>3562</v>
      </c>
      <c r="I63" s="88">
        <v>0</v>
      </c>
      <c r="J63" s="44">
        <f t="shared" si="9"/>
        <v>160</v>
      </c>
      <c r="K63" s="44">
        <f t="shared" si="9"/>
        <v>150</v>
      </c>
      <c r="L63" s="152">
        <f t="shared" si="9"/>
        <v>210</v>
      </c>
    </row>
    <row r="64" spans="1:12" x14ac:dyDescent="0.25">
      <c r="A64" s="41">
        <f t="shared" si="10"/>
        <v>4104</v>
      </c>
      <c r="B64" s="42">
        <f t="shared" si="10"/>
        <v>54</v>
      </c>
      <c r="C64" s="41" t="s">
        <v>3537</v>
      </c>
      <c r="D64" s="43">
        <f t="shared" si="11"/>
        <v>30</v>
      </c>
      <c r="E64" s="44">
        <f t="shared" si="11"/>
        <v>8</v>
      </c>
      <c r="F64" s="151">
        <f t="shared" si="11"/>
        <v>0.2</v>
      </c>
      <c r="G64" s="45">
        <f t="shared" si="11"/>
        <v>240</v>
      </c>
      <c r="H64" s="153" t="s">
        <v>3563</v>
      </c>
      <c r="I64" s="28">
        <v>0</v>
      </c>
      <c r="J64" s="44">
        <f t="shared" si="9"/>
        <v>160</v>
      </c>
      <c r="K64" s="44">
        <f t="shared" si="9"/>
        <v>150</v>
      </c>
      <c r="L64" s="152">
        <f t="shared" si="9"/>
        <v>210</v>
      </c>
    </row>
    <row r="65" spans="1:12" x14ac:dyDescent="0.25">
      <c r="A65" s="41">
        <f t="shared" si="10"/>
        <v>4105</v>
      </c>
      <c r="B65" s="42">
        <f t="shared" si="10"/>
        <v>55</v>
      </c>
      <c r="C65" s="41" t="s">
        <v>3538</v>
      </c>
      <c r="D65" s="43">
        <f t="shared" si="11"/>
        <v>30</v>
      </c>
      <c r="E65" s="44">
        <f t="shared" si="11"/>
        <v>8</v>
      </c>
      <c r="F65" s="151">
        <f t="shared" si="11"/>
        <v>0.2</v>
      </c>
      <c r="G65" s="45">
        <v>270</v>
      </c>
      <c r="H65" s="28" t="s">
        <v>3558</v>
      </c>
      <c r="I65" s="88">
        <v>0</v>
      </c>
      <c r="J65" s="44">
        <f t="shared" si="9"/>
        <v>160</v>
      </c>
      <c r="K65" s="44">
        <f t="shared" si="9"/>
        <v>150</v>
      </c>
      <c r="L65" s="152">
        <f t="shared" si="9"/>
        <v>210</v>
      </c>
    </row>
    <row r="66" spans="1:12" x14ac:dyDescent="0.25">
      <c r="A66" s="41">
        <f t="shared" si="10"/>
        <v>4106</v>
      </c>
      <c r="B66" s="42">
        <f t="shared" si="10"/>
        <v>56</v>
      </c>
      <c r="C66" s="41" t="s">
        <v>3539</v>
      </c>
      <c r="D66" s="43">
        <f t="shared" si="11"/>
        <v>30</v>
      </c>
      <c r="E66" s="44">
        <f t="shared" si="11"/>
        <v>8</v>
      </c>
      <c r="F66" s="151">
        <f t="shared" si="11"/>
        <v>0.2</v>
      </c>
      <c r="G66" s="45">
        <f>G65</f>
        <v>270</v>
      </c>
      <c r="H66" s="28" t="s">
        <v>3559</v>
      </c>
      <c r="I66" s="28">
        <v>0</v>
      </c>
      <c r="J66" s="44">
        <f t="shared" si="9"/>
        <v>160</v>
      </c>
      <c r="K66" s="44">
        <f t="shared" si="9"/>
        <v>150</v>
      </c>
      <c r="L66" s="152">
        <f t="shared" si="9"/>
        <v>210</v>
      </c>
    </row>
    <row r="67" spans="1:12" x14ac:dyDescent="0.25">
      <c r="A67" s="41">
        <f t="shared" si="10"/>
        <v>4107</v>
      </c>
      <c r="B67" s="42">
        <f t="shared" si="10"/>
        <v>57</v>
      </c>
      <c r="C67" s="41" t="s">
        <v>3540</v>
      </c>
      <c r="D67" s="43">
        <f t="shared" si="11"/>
        <v>30</v>
      </c>
      <c r="E67" s="44">
        <f t="shared" si="11"/>
        <v>8</v>
      </c>
      <c r="F67" s="151">
        <f t="shared" si="11"/>
        <v>0.2</v>
      </c>
      <c r="G67" s="45">
        <f t="shared" si="11"/>
        <v>270</v>
      </c>
      <c r="H67" s="28" t="s">
        <v>3560</v>
      </c>
      <c r="I67" s="88">
        <v>0</v>
      </c>
      <c r="J67" s="44">
        <f t="shared" si="9"/>
        <v>160</v>
      </c>
      <c r="K67" s="44">
        <f t="shared" si="9"/>
        <v>150</v>
      </c>
      <c r="L67" s="152">
        <f t="shared" si="9"/>
        <v>210</v>
      </c>
    </row>
    <row r="68" spans="1:12" x14ac:dyDescent="0.25">
      <c r="A68" s="41">
        <f t="shared" si="10"/>
        <v>4108</v>
      </c>
      <c r="B68" s="42">
        <f t="shared" si="10"/>
        <v>58</v>
      </c>
      <c r="C68" s="41" t="s">
        <v>3541</v>
      </c>
      <c r="D68" s="43">
        <f t="shared" si="11"/>
        <v>30</v>
      </c>
      <c r="E68" s="44">
        <f t="shared" si="11"/>
        <v>8</v>
      </c>
      <c r="F68" s="151">
        <f t="shared" si="11"/>
        <v>0.2</v>
      </c>
      <c r="G68" s="45">
        <f t="shared" si="11"/>
        <v>270</v>
      </c>
      <c r="H68" s="28" t="s">
        <v>3561</v>
      </c>
      <c r="I68" s="28">
        <v>0</v>
      </c>
      <c r="J68" s="44">
        <f t="shared" si="9"/>
        <v>160</v>
      </c>
      <c r="K68" s="44">
        <f t="shared" si="9"/>
        <v>150</v>
      </c>
      <c r="L68" s="152">
        <f t="shared" si="9"/>
        <v>210</v>
      </c>
    </row>
    <row r="69" spans="1:12" x14ac:dyDescent="0.25">
      <c r="A69" s="41">
        <f t="shared" si="10"/>
        <v>4109</v>
      </c>
      <c r="B69" s="42">
        <f t="shared" si="10"/>
        <v>59</v>
      </c>
      <c r="C69" s="41" t="s">
        <v>3542</v>
      </c>
      <c r="D69" s="43">
        <f t="shared" si="11"/>
        <v>30</v>
      </c>
      <c r="E69" s="44">
        <f t="shared" si="11"/>
        <v>8</v>
      </c>
      <c r="F69" s="151">
        <f t="shared" si="11"/>
        <v>0.2</v>
      </c>
      <c r="G69" s="45">
        <f t="shared" si="11"/>
        <v>270</v>
      </c>
      <c r="H69" s="28" t="s">
        <v>3562</v>
      </c>
      <c r="I69" s="88">
        <v>0</v>
      </c>
      <c r="J69" s="44">
        <f t="shared" si="9"/>
        <v>160</v>
      </c>
      <c r="K69" s="44">
        <f t="shared" si="9"/>
        <v>150</v>
      </c>
      <c r="L69" s="152">
        <f t="shared" si="9"/>
        <v>210</v>
      </c>
    </row>
    <row r="70" spans="1:12" x14ac:dyDescent="0.25">
      <c r="A70" s="41">
        <f t="shared" si="10"/>
        <v>4110</v>
      </c>
      <c r="B70" s="42">
        <f t="shared" si="10"/>
        <v>60</v>
      </c>
      <c r="C70" s="41" t="s">
        <v>3543</v>
      </c>
      <c r="D70" s="43">
        <f t="shared" si="11"/>
        <v>30</v>
      </c>
      <c r="E70" s="44">
        <f t="shared" si="11"/>
        <v>8</v>
      </c>
      <c r="F70" s="151">
        <f t="shared" si="11"/>
        <v>0.2</v>
      </c>
      <c r="G70" s="45">
        <f t="shared" si="11"/>
        <v>270</v>
      </c>
      <c r="H70" s="28" t="s">
        <v>3563</v>
      </c>
      <c r="I70" s="28">
        <v>0</v>
      </c>
      <c r="J70" s="44">
        <f t="shared" si="9"/>
        <v>160</v>
      </c>
      <c r="K70" s="44">
        <f t="shared" si="9"/>
        <v>150</v>
      </c>
      <c r="L70" s="152">
        <f t="shared" si="9"/>
        <v>210</v>
      </c>
    </row>
    <row r="71" spans="1:12" x14ac:dyDescent="0.25">
      <c r="A71" s="41">
        <f t="shared" si="10"/>
        <v>4111</v>
      </c>
      <c r="B71" s="42">
        <f t="shared" si="10"/>
        <v>61</v>
      </c>
      <c r="C71" s="41" t="s">
        <v>3544</v>
      </c>
      <c r="D71" s="43">
        <f t="shared" si="11"/>
        <v>30</v>
      </c>
      <c r="E71" s="44">
        <f t="shared" si="11"/>
        <v>8</v>
      </c>
      <c r="F71" s="151">
        <f t="shared" si="11"/>
        <v>0.2</v>
      </c>
      <c r="G71" s="45">
        <v>300</v>
      </c>
      <c r="H71" s="28" t="s">
        <v>3558</v>
      </c>
      <c r="I71" s="88">
        <v>0</v>
      </c>
      <c r="J71" s="44">
        <f t="shared" si="9"/>
        <v>160</v>
      </c>
      <c r="K71" s="44">
        <f t="shared" si="9"/>
        <v>150</v>
      </c>
      <c r="L71" s="152">
        <f t="shared" si="9"/>
        <v>210</v>
      </c>
    </row>
    <row r="72" spans="1:12" x14ac:dyDescent="0.25">
      <c r="A72" s="41">
        <f t="shared" si="10"/>
        <v>4112</v>
      </c>
      <c r="B72" s="42">
        <f t="shared" si="10"/>
        <v>62</v>
      </c>
      <c r="C72" s="41" t="s">
        <v>3545</v>
      </c>
      <c r="D72" s="43">
        <f t="shared" si="11"/>
        <v>30</v>
      </c>
      <c r="E72" s="44">
        <f t="shared" si="11"/>
        <v>8</v>
      </c>
      <c r="F72" s="151">
        <f t="shared" si="11"/>
        <v>0.2</v>
      </c>
      <c r="G72" s="45">
        <f>G71</f>
        <v>300</v>
      </c>
      <c r="H72" s="28" t="s">
        <v>3559</v>
      </c>
      <c r="I72" s="28">
        <v>0</v>
      </c>
      <c r="J72" s="44">
        <f t="shared" si="9"/>
        <v>160</v>
      </c>
      <c r="K72" s="44">
        <f t="shared" si="9"/>
        <v>150</v>
      </c>
      <c r="L72" s="152">
        <f t="shared" si="9"/>
        <v>210</v>
      </c>
    </row>
    <row r="73" spans="1:12" x14ac:dyDescent="0.25">
      <c r="A73" s="41">
        <f t="shared" si="10"/>
        <v>4113</v>
      </c>
      <c r="B73" s="42">
        <f t="shared" si="10"/>
        <v>63</v>
      </c>
      <c r="C73" s="41" t="s">
        <v>3546</v>
      </c>
      <c r="D73" s="43">
        <f t="shared" si="11"/>
        <v>30</v>
      </c>
      <c r="E73" s="44">
        <f t="shared" si="11"/>
        <v>8</v>
      </c>
      <c r="F73" s="151">
        <f t="shared" si="11"/>
        <v>0.2</v>
      </c>
      <c r="G73" s="45">
        <f t="shared" si="11"/>
        <v>300</v>
      </c>
      <c r="H73" s="28" t="s">
        <v>3560</v>
      </c>
      <c r="I73" s="88">
        <v>0</v>
      </c>
      <c r="J73" s="44">
        <f t="shared" si="9"/>
        <v>160</v>
      </c>
      <c r="K73" s="44">
        <f t="shared" si="9"/>
        <v>150</v>
      </c>
      <c r="L73" s="152">
        <f t="shared" si="9"/>
        <v>210</v>
      </c>
    </row>
    <row r="74" spans="1:12" x14ac:dyDescent="0.25">
      <c r="A74" s="41">
        <f t="shared" si="10"/>
        <v>4114</v>
      </c>
      <c r="B74" s="42">
        <f t="shared" si="10"/>
        <v>64</v>
      </c>
      <c r="C74" s="41" t="s">
        <v>3547</v>
      </c>
      <c r="D74" s="43">
        <f t="shared" si="11"/>
        <v>30</v>
      </c>
      <c r="E74" s="44">
        <f t="shared" si="11"/>
        <v>8</v>
      </c>
      <c r="F74" s="151">
        <f t="shared" si="11"/>
        <v>0.2</v>
      </c>
      <c r="G74" s="45">
        <f t="shared" si="11"/>
        <v>300</v>
      </c>
      <c r="H74" s="28" t="s">
        <v>3561</v>
      </c>
      <c r="I74" s="28">
        <v>0</v>
      </c>
      <c r="J74" s="44">
        <f t="shared" si="9"/>
        <v>160</v>
      </c>
      <c r="K74" s="44">
        <f t="shared" si="9"/>
        <v>150</v>
      </c>
      <c r="L74" s="152">
        <f t="shared" si="9"/>
        <v>210</v>
      </c>
    </row>
    <row r="75" spans="1:12" x14ac:dyDescent="0.25">
      <c r="A75" s="41">
        <f t="shared" si="10"/>
        <v>4115</v>
      </c>
      <c r="B75" s="42">
        <f t="shared" si="10"/>
        <v>65</v>
      </c>
      <c r="C75" s="41" t="s">
        <v>3548</v>
      </c>
      <c r="D75" s="43">
        <f t="shared" si="11"/>
        <v>30</v>
      </c>
      <c r="E75" s="44">
        <f t="shared" si="11"/>
        <v>8</v>
      </c>
      <c r="F75" s="151">
        <f t="shared" si="11"/>
        <v>0.2</v>
      </c>
      <c r="G75" s="45">
        <f t="shared" si="11"/>
        <v>300</v>
      </c>
      <c r="H75" s="28" t="s">
        <v>3562</v>
      </c>
      <c r="I75" s="88">
        <v>0</v>
      </c>
      <c r="J75" s="44">
        <f t="shared" si="9"/>
        <v>160</v>
      </c>
      <c r="K75" s="44">
        <f t="shared" si="9"/>
        <v>150</v>
      </c>
      <c r="L75" s="152">
        <f t="shared" si="9"/>
        <v>210</v>
      </c>
    </row>
    <row r="76" spans="1:12" x14ac:dyDescent="0.25">
      <c r="A76" s="41">
        <f t="shared" si="10"/>
        <v>4116</v>
      </c>
      <c r="B76" s="42">
        <f t="shared" si="10"/>
        <v>66</v>
      </c>
      <c r="C76" s="41" t="s">
        <v>3549</v>
      </c>
      <c r="D76" s="43">
        <f t="shared" si="11"/>
        <v>30</v>
      </c>
      <c r="E76" s="44">
        <f t="shared" si="11"/>
        <v>8</v>
      </c>
      <c r="F76" s="151">
        <f t="shared" si="11"/>
        <v>0.2</v>
      </c>
      <c r="G76" s="45">
        <f t="shared" si="11"/>
        <v>300</v>
      </c>
      <c r="H76" s="28" t="s">
        <v>3563</v>
      </c>
      <c r="I76" s="28">
        <v>0</v>
      </c>
      <c r="J76" s="44">
        <f t="shared" ref="J76:L82" si="12">J75</f>
        <v>160</v>
      </c>
      <c r="K76" s="44">
        <f t="shared" si="12"/>
        <v>150</v>
      </c>
      <c r="L76" s="152">
        <f t="shared" si="12"/>
        <v>210</v>
      </c>
    </row>
    <row r="77" spans="1:12" x14ac:dyDescent="0.25">
      <c r="A77" s="41">
        <f t="shared" ref="A77:B82" si="13">A76+1</f>
        <v>4117</v>
      </c>
      <c r="B77" s="42">
        <f t="shared" si="13"/>
        <v>67</v>
      </c>
      <c r="C77" s="41" t="s">
        <v>3550</v>
      </c>
      <c r="D77" s="43">
        <f t="shared" ref="D77:G82" si="14">D76</f>
        <v>30</v>
      </c>
      <c r="E77" s="44">
        <f t="shared" si="14"/>
        <v>8</v>
      </c>
      <c r="F77" s="151">
        <f t="shared" si="14"/>
        <v>0.2</v>
      </c>
      <c r="G77" s="45">
        <v>330</v>
      </c>
      <c r="H77" s="28" t="s">
        <v>3558</v>
      </c>
      <c r="I77" s="88">
        <v>0</v>
      </c>
      <c r="J77" s="44">
        <f t="shared" si="12"/>
        <v>160</v>
      </c>
      <c r="K77" s="44">
        <f t="shared" si="12"/>
        <v>150</v>
      </c>
      <c r="L77" s="152">
        <f t="shared" si="12"/>
        <v>210</v>
      </c>
    </row>
    <row r="78" spans="1:12" x14ac:dyDescent="0.25">
      <c r="A78" s="41">
        <f t="shared" si="13"/>
        <v>4118</v>
      </c>
      <c r="B78" s="42">
        <f t="shared" si="13"/>
        <v>68</v>
      </c>
      <c r="C78" s="41" t="s">
        <v>3551</v>
      </c>
      <c r="D78" s="43">
        <f t="shared" si="14"/>
        <v>30</v>
      </c>
      <c r="E78" s="44">
        <f t="shared" si="14"/>
        <v>8</v>
      </c>
      <c r="F78" s="151">
        <f t="shared" si="14"/>
        <v>0.2</v>
      </c>
      <c r="G78" s="45">
        <f>G77</f>
        <v>330</v>
      </c>
      <c r="H78" s="28" t="s">
        <v>3559</v>
      </c>
      <c r="I78" s="28">
        <v>0</v>
      </c>
      <c r="J78" s="44">
        <f t="shared" si="12"/>
        <v>160</v>
      </c>
      <c r="K78" s="44">
        <f t="shared" si="12"/>
        <v>150</v>
      </c>
      <c r="L78" s="152">
        <f t="shared" si="12"/>
        <v>210</v>
      </c>
    </row>
    <row r="79" spans="1:12" x14ac:dyDescent="0.25">
      <c r="A79" s="41">
        <f t="shared" si="13"/>
        <v>4119</v>
      </c>
      <c r="B79" s="42">
        <f t="shared" si="13"/>
        <v>69</v>
      </c>
      <c r="C79" s="41" t="s">
        <v>3552</v>
      </c>
      <c r="D79" s="43">
        <f t="shared" si="14"/>
        <v>30</v>
      </c>
      <c r="E79" s="44">
        <f t="shared" si="14"/>
        <v>8</v>
      </c>
      <c r="F79" s="151">
        <f t="shared" si="14"/>
        <v>0.2</v>
      </c>
      <c r="G79" s="45">
        <f t="shared" si="14"/>
        <v>330</v>
      </c>
      <c r="H79" s="28" t="s">
        <v>3560</v>
      </c>
      <c r="I79" s="88">
        <v>0</v>
      </c>
      <c r="J79" s="44">
        <f t="shared" si="12"/>
        <v>160</v>
      </c>
      <c r="K79" s="44">
        <f t="shared" si="12"/>
        <v>150</v>
      </c>
      <c r="L79" s="152">
        <f t="shared" si="12"/>
        <v>210</v>
      </c>
    </row>
    <row r="80" spans="1:12" x14ac:dyDescent="0.25">
      <c r="A80" s="41">
        <f t="shared" si="13"/>
        <v>4120</v>
      </c>
      <c r="B80" s="42">
        <f t="shared" si="13"/>
        <v>70</v>
      </c>
      <c r="C80" s="41" t="s">
        <v>3553</v>
      </c>
      <c r="D80" s="43">
        <f t="shared" si="14"/>
        <v>30</v>
      </c>
      <c r="E80" s="44">
        <f t="shared" si="14"/>
        <v>8</v>
      </c>
      <c r="F80" s="151">
        <f t="shared" si="14"/>
        <v>0.2</v>
      </c>
      <c r="G80" s="45">
        <f t="shared" si="14"/>
        <v>330</v>
      </c>
      <c r="H80" s="28" t="s">
        <v>3561</v>
      </c>
      <c r="I80" s="28">
        <v>0</v>
      </c>
      <c r="J80" s="44">
        <f t="shared" si="12"/>
        <v>160</v>
      </c>
      <c r="K80" s="44">
        <f t="shared" si="12"/>
        <v>150</v>
      </c>
      <c r="L80" s="152">
        <f t="shared" si="12"/>
        <v>210</v>
      </c>
    </row>
    <row r="81" spans="1:12" x14ac:dyDescent="0.25">
      <c r="A81" s="41">
        <f t="shared" si="13"/>
        <v>4121</v>
      </c>
      <c r="B81" s="42">
        <f t="shared" si="13"/>
        <v>71</v>
      </c>
      <c r="C81" s="41" t="s">
        <v>3554</v>
      </c>
      <c r="D81" s="43">
        <f t="shared" si="14"/>
        <v>30</v>
      </c>
      <c r="E81" s="44">
        <f t="shared" si="14"/>
        <v>8</v>
      </c>
      <c r="F81" s="151">
        <f t="shared" si="14"/>
        <v>0.2</v>
      </c>
      <c r="G81" s="45">
        <f t="shared" si="14"/>
        <v>330</v>
      </c>
      <c r="H81" s="28" t="s">
        <v>3562</v>
      </c>
      <c r="I81" s="88">
        <v>0</v>
      </c>
      <c r="J81" s="44">
        <f t="shared" si="12"/>
        <v>160</v>
      </c>
      <c r="K81" s="44">
        <f t="shared" si="12"/>
        <v>150</v>
      </c>
      <c r="L81" s="152">
        <f t="shared" si="12"/>
        <v>210</v>
      </c>
    </row>
    <row r="82" spans="1:12" x14ac:dyDescent="0.25">
      <c r="A82" s="41">
        <f t="shared" si="13"/>
        <v>4122</v>
      </c>
      <c r="B82" s="42">
        <f t="shared" si="13"/>
        <v>72</v>
      </c>
      <c r="C82" s="41" t="s">
        <v>3555</v>
      </c>
      <c r="D82" s="43">
        <f t="shared" si="14"/>
        <v>30</v>
      </c>
      <c r="E82" s="44">
        <f t="shared" si="14"/>
        <v>8</v>
      </c>
      <c r="F82" s="151">
        <f t="shared" si="14"/>
        <v>0.2</v>
      </c>
      <c r="G82" s="45">
        <f t="shared" si="14"/>
        <v>330</v>
      </c>
      <c r="H82" s="28" t="s">
        <v>3563</v>
      </c>
      <c r="I82" s="28">
        <v>0</v>
      </c>
      <c r="J82" s="44">
        <f t="shared" si="12"/>
        <v>160</v>
      </c>
      <c r="K82" s="44">
        <f t="shared" si="12"/>
        <v>150</v>
      </c>
      <c r="L82" s="152">
        <f t="shared" si="12"/>
        <v>210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R202"/>
  <sheetViews>
    <sheetView zoomScale="85" zoomScaleNormal="85" workbookViewId="0">
      <selection activeCell="X39" sqref="X39"/>
    </sheetView>
  </sheetViews>
  <sheetFormatPr defaultColWidth="9" defaultRowHeight="15" x14ac:dyDescent="0.15"/>
  <cols>
    <col min="1" max="1" width="7.625" style="23" customWidth="1"/>
    <col min="2" max="2" width="7.375" style="23" customWidth="1"/>
    <col min="3" max="3" width="9" style="23" customWidth="1"/>
    <col min="4" max="4" width="6.625" style="23" customWidth="1"/>
    <col min="5" max="5" width="7.625" style="23" customWidth="1"/>
    <col min="6" max="6" width="7.375" style="23" customWidth="1"/>
    <col min="7" max="7" width="6.625" style="23" customWidth="1"/>
    <col min="8" max="8" width="7.25" style="23" customWidth="1"/>
    <col min="9" max="9" width="7.375" style="23" customWidth="1"/>
    <col min="10" max="10" width="7.75" style="23" customWidth="1"/>
    <col min="11" max="11" width="8.25" style="23" customWidth="1"/>
    <col min="12" max="12" width="9" style="23"/>
    <col min="13" max="13" width="7.375" style="23" customWidth="1"/>
    <col min="14" max="14" width="6.75" style="23" customWidth="1"/>
    <col min="15" max="15" width="7.125" style="23" customWidth="1"/>
    <col min="16" max="17" width="9" style="23"/>
    <col min="18" max="18" width="7.375" style="23" customWidth="1"/>
    <col min="19" max="19" width="7.625" style="23" customWidth="1"/>
    <col min="20" max="16384" width="9" style="23"/>
  </cols>
  <sheetData>
    <row r="1" spans="1:18" x14ac:dyDescent="0.15">
      <c r="H1" s="22" t="s">
        <v>135</v>
      </c>
      <c r="I1" s="22" t="s">
        <v>1034</v>
      </c>
    </row>
    <row r="2" spans="1:18" x14ac:dyDescent="0.15">
      <c r="B2" s="22" t="s">
        <v>1032</v>
      </c>
      <c r="C2" s="22"/>
      <c r="D2" s="22"/>
      <c r="E2" s="22"/>
      <c r="H2" s="22"/>
      <c r="I2" s="22" t="s">
        <v>1035</v>
      </c>
    </row>
    <row r="3" spans="1:18" x14ac:dyDescent="0.15">
      <c r="B3" s="22" t="s">
        <v>88</v>
      </c>
      <c r="C3" s="22"/>
      <c r="D3" s="22"/>
      <c r="E3" s="93" t="s">
        <v>1033</v>
      </c>
      <c r="H3" s="22"/>
      <c r="I3" s="22" t="s">
        <v>915</v>
      </c>
    </row>
    <row r="4" spans="1:18" x14ac:dyDescent="0.15">
      <c r="B4" s="22" t="s">
        <v>89</v>
      </c>
      <c r="C4" s="22"/>
      <c r="D4" s="22"/>
      <c r="E4" s="22" t="s">
        <v>893</v>
      </c>
      <c r="H4" s="22"/>
      <c r="I4" s="22" t="s">
        <v>153</v>
      </c>
    </row>
    <row r="5" spans="1:18" x14ac:dyDescent="0.15">
      <c r="B5" s="22" t="s">
        <v>91</v>
      </c>
      <c r="C5" s="22"/>
      <c r="D5" s="22"/>
      <c r="E5" s="22" t="s">
        <v>99</v>
      </c>
      <c r="H5" s="22"/>
      <c r="I5" s="22" t="s">
        <v>154</v>
      </c>
    </row>
    <row r="6" spans="1:18" x14ac:dyDescent="0.15">
      <c r="B6" s="22" t="s">
        <v>93</v>
      </c>
      <c r="C6" s="22"/>
      <c r="D6" s="22"/>
      <c r="E6" s="22" t="s">
        <v>100</v>
      </c>
      <c r="H6" s="22"/>
      <c r="I6" s="22" t="s">
        <v>155</v>
      </c>
    </row>
    <row r="7" spans="1:18" x14ac:dyDescent="0.15">
      <c r="H7" s="22"/>
      <c r="I7" s="22" t="s">
        <v>156</v>
      </c>
    </row>
    <row r="8" spans="1:18" ht="15.75" thickBot="1" x14ac:dyDescent="0.2">
      <c r="I8" s="22" t="s">
        <v>157</v>
      </c>
    </row>
    <row r="9" spans="1:18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62" t="s">
        <v>152</v>
      </c>
      <c r="G9" s="62" t="s">
        <v>87</v>
      </c>
      <c r="H9" s="27" t="s">
        <v>15</v>
      </c>
      <c r="I9" s="27" t="s">
        <v>8</v>
      </c>
      <c r="J9" s="47" t="s">
        <v>21</v>
      </c>
      <c r="K9" s="25" t="s">
        <v>147</v>
      </c>
      <c r="L9" s="25" t="s">
        <v>144</v>
      </c>
      <c r="M9" s="25" t="s">
        <v>2</v>
      </c>
      <c r="N9" s="25" t="s">
        <v>141</v>
      </c>
      <c r="O9" s="25" t="s">
        <v>13</v>
      </c>
      <c r="P9" s="47" t="s">
        <v>151</v>
      </c>
      <c r="Q9" s="27" t="s">
        <v>138</v>
      </c>
      <c r="R9" s="27" t="s">
        <v>139</v>
      </c>
    </row>
    <row r="10" spans="1:18" ht="15.75" thickBot="1" x14ac:dyDescent="0.3">
      <c r="A10" s="29" t="s">
        <v>76</v>
      </c>
      <c r="B10" s="30" t="str">
        <f>B2</f>
        <v>DLCT1</v>
      </c>
      <c r="C10" s="29"/>
      <c r="D10" s="30" t="s">
        <v>4</v>
      </c>
      <c r="E10" s="59" t="s">
        <v>4</v>
      </c>
      <c r="F10" s="59" t="s">
        <v>14</v>
      </c>
      <c r="G10" s="59"/>
      <c r="H10" s="30" t="s">
        <v>4</v>
      </c>
      <c r="I10" s="32"/>
      <c r="J10" s="32" t="s">
        <v>17</v>
      </c>
      <c r="K10" s="32" t="s">
        <v>7</v>
      </c>
      <c r="L10" s="30" t="s">
        <v>6</v>
      </c>
      <c r="M10" s="30" t="s">
        <v>6</v>
      </c>
      <c r="N10" s="30"/>
      <c r="O10" s="32" t="s">
        <v>7</v>
      </c>
      <c r="P10" s="32" t="s">
        <v>17</v>
      </c>
      <c r="Q10" s="32" t="s">
        <v>7</v>
      </c>
      <c r="R10" s="32" t="s">
        <v>7</v>
      </c>
    </row>
    <row r="11" spans="1:18" x14ac:dyDescent="0.25">
      <c r="A11" s="24" t="e">
        <f>DLC22a!#REF!+1</f>
        <v>#REF!</v>
      </c>
      <c r="B11" s="27">
        <v>1</v>
      </c>
      <c r="C11" s="24" t="s">
        <v>1036</v>
      </c>
      <c r="D11" s="34">
        <f t="shared" ref="D11:D58" si="0">v_r</f>
        <v>9.8000000000000007</v>
      </c>
      <c r="E11" s="60">
        <f t="shared" ref="E11:E42" si="1">I_ref*(0.75*D11+5.6)</f>
        <v>1.8130000000000002</v>
      </c>
      <c r="F11" s="60">
        <f t="shared" ref="F11:F74" si="2">tur_scale</f>
        <v>42</v>
      </c>
      <c r="G11" s="63">
        <f t="shared" ref="G11:G42" si="3">1/(1+0.2*(diameter/F11))</f>
        <v>0.58988764044943809</v>
      </c>
      <c r="H11" s="51">
        <f>4.8*E11*G11</f>
        <v>5.1334382022471905</v>
      </c>
      <c r="I11" s="42" t="s">
        <v>16</v>
      </c>
      <c r="J11" s="50">
        <f>EOG_t1</f>
        <v>10.5</v>
      </c>
      <c r="K11" s="49">
        <f>trig_t</f>
        <v>160</v>
      </c>
      <c r="L11" s="35">
        <f>inflow</f>
        <v>8</v>
      </c>
      <c r="M11" s="35">
        <f>yaw_min</f>
        <v>-8</v>
      </c>
      <c r="N11" s="36">
        <f>alpha_n</f>
        <v>0.2</v>
      </c>
      <c r="O11" s="49">
        <v>0</v>
      </c>
      <c r="P11" s="52">
        <f>K11</f>
        <v>160</v>
      </c>
      <c r="Q11" s="35">
        <f>t_out</f>
        <v>150</v>
      </c>
      <c r="R11" s="50">
        <f>Q11+T_s2</f>
        <v>210</v>
      </c>
    </row>
    <row r="12" spans="1:18" x14ac:dyDescent="0.25">
      <c r="A12" s="41" t="e">
        <f>A11+1</f>
        <v>#REF!</v>
      </c>
      <c r="B12" s="42">
        <f>B11+1</f>
        <v>2</v>
      </c>
      <c r="C12" s="41" t="s">
        <v>1037</v>
      </c>
      <c r="D12" s="43">
        <f t="shared" si="0"/>
        <v>9.8000000000000007</v>
      </c>
      <c r="E12" s="61">
        <f t="shared" si="1"/>
        <v>1.8130000000000002</v>
      </c>
      <c r="F12" s="61">
        <f t="shared" si="2"/>
        <v>42</v>
      </c>
      <c r="G12" s="64">
        <f t="shared" si="3"/>
        <v>0.58988764044943809</v>
      </c>
      <c r="H12" s="51">
        <f>4.8*E12*G12</f>
        <v>5.1334382022471905</v>
      </c>
      <c r="I12" s="42" t="str">
        <f t="shared" ref="I12:N27" si="4">I11</f>
        <v>IEC</v>
      </c>
      <c r="J12" s="50">
        <f t="shared" si="4"/>
        <v>10.5</v>
      </c>
      <c r="K12" s="49">
        <f t="shared" si="4"/>
        <v>160</v>
      </c>
      <c r="L12" s="44">
        <f t="shared" si="4"/>
        <v>8</v>
      </c>
      <c r="M12" s="44">
        <f t="shared" si="4"/>
        <v>-8</v>
      </c>
      <c r="N12" s="45">
        <f t="shared" si="4"/>
        <v>0.2</v>
      </c>
      <c r="O12" s="49">
        <v>0</v>
      </c>
      <c r="P12" s="54">
        <f>K12+2.46</f>
        <v>162.46</v>
      </c>
      <c r="Q12" s="44">
        <f>Q11</f>
        <v>150</v>
      </c>
      <c r="R12" s="50">
        <f>R11</f>
        <v>210</v>
      </c>
    </row>
    <row r="13" spans="1:18" x14ac:dyDescent="0.25">
      <c r="A13" s="41" t="e">
        <f t="shared" ref="A13:B28" si="5">A12+1</f>
        <v>#REF!</v>
      </c>
      <c r="B13" s="42">
        <f t="shared" si="5"/>
        <v>3</v>
      </c>
      <c r="C13" s="41" t="s">
        <v>1038</v>
      </c>
      <c r="D13" s="43">
        <f t="shared" si="0"/>
        <v>9.8000000000000007</v>
      </c>
      <c r="E13" s="61">
        <f t="shared" si="1"/>
        <v>1.8130000000000002</v>
      </c>
      <c r="F13" s="61">
        <f t="shared" si="2"/>
        <v>42</v>
      </c>
      <c r="G13" s="64">
        <f t="shared" si="3"/>
        <v>0.58988764044943809</v>
      </c>
      <c r="H13" s="51">
        <f t="shared" ref="H13:H21" si="6">4.8*E13*G13</f>
        <v>5.1334382022471905</v>
      </c>
      <c r="I13" s="42" t="str">
        <f t="shared" si="4"/>
        <v>IEC</v>
      </c>
      <c r="J13" s="50">
        <f t="shared" si="4"/>
        <v>10.5</v>
      </c>
      <c r="K13" s="49">
        <f t="shared" si="4"/>
        <v>160</v>
      </c>
      <c r="L13" s="44">
        <f t="shared" si="4"/>
        <v>8</v>
      </c>
      <c r="M13" s="44">
        <f t="shared" si="4"/>
        <v>-8</v>
      </c>
      <c r="N13" s="45">
        <f t="shared" si="4"/>
        <v>0.2</v>
      </c>
      <c r="O13" s="49">
        <v>0</v>
      </c>
      <c r="P13" s="54">
        <f>K13+4</f>
        <v>164</v>
      </c>
      <c r="Q13" s="44">
        <f t="shared" ref="Q13:R28" si="7">Q12</f>
        <v>150</v>
      </c>
      <c r="R13" s="50">
        <f t="shared" si="7"/>
        <v>210</v>
      </c>
    </row>
    <row r="14" spans="1:18" x14ac:dyDescent="0.25">
      <c r="A14" s="41" t="e">
        <f t="shared" si="5"/>
        <v>#REF!</v>
      </c>
      <c r="B14" s="42">
        <f t="shared" si="5"/>
        <v>4</v>
      </c>
      <c r="C14" s="41" t="s">
        <v>1039</v>
      </c>
      <c r="D14" s="43">
        <f t="shared" si="0"/>
        <v>9.8000000000000007</v>
      </c>
      <c r="E14" s="61">
        <f t="shared" si="1"/>
        <v>1.8130000000000002</v>
      </c>
      <c r="F14" s="61">
        <f t="shared" si="2"/>
        <v>42</v>
      </c>
      <c r="G14" s="64">
        <f t="shared" si="3"/>
        <v>0.58988764044943809</v>
      </c>
      <c r="H14" s="51">
        <f t="shared" si="6"/>
        <v>5.1334382022471905</v>
      </c>
      <c r="I14" s="42" t="str">
        <f t="shared" si="4"/>
        <v>IEC</v>
      </c>
      <c r="J14" s="50">
        <f t="shared" si="4"/>
        <v>10.5</v>
      </c>
      <c r="K14" s="49">
        <f t="shared" si="4"/>
        <v>160</v>
      </c>
      <c r="L14" s="44">
        <f t="shared" si="4"/>
        <v>8</v>
      </c>
      <c r="M14" s="44">
        <f t="shared" si="4"/>
        <v>-8</v>
      </c>
      <c r="N14" s="45">
        <f t="shared" si="4"/>
        <v>0.2</v>
      </c>
      <c r="O14" s="49">
        <v>0</v>
      </c>
      <c r="P14" s="54">
        <f>K14+5.25</f>
        <v>165.25</v>
      </c>
      <c r="Q14" s="44">
        <f t="shared" si="7"/>
        <v>150</v>
      </c>
      <c r="R14" s="50">
        <f t="shared" si="7"/>
        <v>210</v>
      </c>
    </row>
    <row r="15" spans="1:18" x14ac:dyDescent="0.25">
      <c r="A15" s="41" t="e">
        <f t="shared" si="5"/>
        <v>#REF!</v>
      </c>
      <c r="B15" s="42">
        <f t="shared" si="5"/>
        <v>5</v>
      </c>
      <c r="C15" s="41" t="s">
        <v>1040</v>
      </c>
      <c r="D15" s="43">
        <f t="shared" si="0"/>
        <v>9.8000000000000007</v>
      </c>
      <c r="E15" s="61">
        <f t="shared" si="1"/>
        <v>1.8130000000000002</v>
      </c>
      <c r="F15" s="61">
        <f t="shared" si="2"/>
        <v>42</v>
      </c>
      <c r="G15" s="64">
        <f t="shared" si="3"/>
        <v>0.58988764044943809</v>
      </c>
      <c r="H15" s="51">
        <f t="shared" si="6"/>
        <v>5.1334382022471905</v>
      </c>
      <c r="I15" s="42" t="str">
        <f t="shared" si="4"/>
        <v>IEC</v>
      </c>
      <c r="J15" s="50">
        <f t="shared" si="4"/>
        <v>10.5</v>
      </c>
      <c r="K15" s="49">
        <f t="shared" si="4"/>
        <v>160</v>
      </c>
      <c r="L15" s="44">
        <f t="shared" si="4"/>
        <v>8</v>
      </c>
      <c r="M15" s="44">
        <f t="shared" si="4"/>
        <v>-8</v>
      </c>
      <c r="N15" s="45">
        <f t="shared" si="4"/>
        <v>0.2</v>
      </c>
      <c r="O15" s="49">
        <v>30</v>
      </c>
      <c r="P15" s="54">
        <f>K15</f>
        <v>160</v>
      </c>
      <c r="Q15" s="44">
        <f t="shared" si="7"/>
        <v>150</v>
      </c>
      <c r="R15" s="50">
        <f t="shared" si="7"/>
        <v>210</v>
      </c>
    </row>
    <row r="16" spans="1:18" x14ac:dyDescent="0.25">
      <c r="A16" s="41" t="e">
        <f t="shared" si="5"/>
        <v>#REF!</v>
      </c>
      <c r="B16" s="42">
        <f t="shared" si="5"/>
        <v>6</v>
      </c>
      <c r="C16" s="41" t="s">
        <v>1041</v>
      </c>
      <c r="D16" s="43">
        <f t="shared" si="0"/>
        <v>9.8000000000000007</v>
      </c>
      <c r="E16" s="61">
        <f t="shared" si="1"/>
        <v>1.8130000000000002</v>
      </c>
      <c r="F16" s="61">
        <f t="shared" si="2"/>
        <v>42</v>
      </c>
      <c r="G16" s="64">
        <f t="shared" si="3"/>
        <v>0.58988764044943809</v>
      </c>
      <c r="H16" s="51">
        <f t="shared" si="6"/>
        <v>5.1334382022471905</v>
      </c>
      <c r="I16" s="42" t="str">
        <f t="shared" si="4"/>
        <v>IEC</v>
      </c>
      <c r="J16" s="50">
        <f t="shared" si="4"/>
        <v>10.5</v>
      </c>
      <c r="K16" s="49">
        <f t="shared" si="4"/>
        <v>160</v>
      </c>
      <c r="L16" s="44">
        <f t="shared" si="4"/>
        <v>8</v>
      </c>
      <c r="M16" s="44">
        <f t="shared" si="4"/>
        <v>-8</v>
      </c>
      <c r="N16" s="45">
        <f t="shared" si="4"/>
        <v>0.2</v>
      </c>
      <c r="O16" s="49">
        <v>30</v>
      </c>
      <c r="P16" s="54">
        <f>K16+2.46</f>
        <v>162.46</v>
      </c>
      <c r="Q16" s="44">
        <f t="shared" si="7"/>
        <v>150</v>
      </c>
      <c r="R16" s="50">
        <f t="shared" si="7"/>
        <v>210</v>
      </c>
    </row>
    <row r="17" spans="1:18" x14ac:dyDescent="0.25">
      <c r="A17" s="41" t="e">
        <f t="shared" si="5"/>
        <v>#REF!</v>
      </c>
      <c r="B17" s="42">
        <f t="shared" si="5"/>
        <v>7</v>
      </c>
      <c r="C17" s="41" t="s">
        <v>1042</v>
      </c>
      <c r="D17" s="43">
        <f t="shared" si="0"/>
        <v>9.8000000000000007</v>
      </c>
      <c r="E17" s="61">
        <f t="shared" si="1"/>
        <v>1.8130000000000002</v>
      </c>
      <c r="F17" s="61">
        <f t="shared" si="2"/>
        <v>42</v>
      </c>
      <c r="G17" s="64">
        <f t="shared" si="3"/>
        <v>0.58988764044943809</v>
      </c>
      <c r="H17" s="51">
        <f t="shared" si="6"/>
        <v>5.1334382022471905</v>
      </c>
      <c r="I17" s="42" t="str">
        <f t="shared" si="4"/>
        <v>IEC</v>
      </c>
      <c r="J17" s="50">
        <f t="shared" si="4"/>
        <v>10.5</v>
      </c>
      <c r="K17" s="49">
        <f t="shared" si="4"/>
        <v>160</v>
      </c>
      <c r="L17" s="44">
        <f t="shared" si="4"/>
        <v>8</v>
      </c>
      <c r="M17" s="44">
        <f t="shared" si="4"/>
        <v>-8</v>
      </c>
      <c r="N17" s="45">
        <f t="shared" si="4"/>
        <v>0.2</v>
      </c>
      <c r="O17" s="49">
        <v>30</v>
      </c>
      <c r="P17" s="54">
        <f>K17+4</f>
        <v>164</v>
      </c>
      <c r="Q17" s="44">
        <f t="shared" si="7"/>
        <v>150</v>
      </c>
      <c r="R17" s="50">
        <f t="shared" si="7"/>
        <v>210</v>
      </c>
    </row>
    <row r="18" spans="1:18" x14ac:dyDescent="0.25">
      <c r="A18" s="41" t="e">
        <f t="shared" si="5"/>
        <v>#REF!</v>
      </c>
      <c r="B18" s="42">
        <f t="shared" si="5"/>
        <v>8</v>
      </c>
      <c r="C18" s="41" t="s">
        <v>1043</v>
      </c>
      <c r="D18" s="43">
        <f t="shared" si="0"/>
        <v>9.8000000000000007</v>
      </c>
      <c r="E18" s="61">
        <f t="shared" si="1"/>
        <v>1.8130000000000002</v>
      </c>
      <c r="F18" s="61">
        <f t="shared" si="2"/>
        <v>42</v>
      </c>
      <c r="G18" s="64">
        <f t="shared" si="3"/>
        <v>0.58988764044943809</v>
      </c>
      <c r="H18" s="51">
        <f t="shared" si="6"/>
        <v>5.1334382022471905</v>
      </c>
      <c r="I18" s="42" t="str">
        <f t="shared" si="4"/>
        <v>IEC</v>
      </c>
      <c r="J18" s="50">
        <f t="shared" si="4"/>
        <v>10.5</v>
      </c>
      <c r="K18" s="49">
        <f t="shared" si="4"/>
        <v>160</v>
      </c>
      <c r="L18" s="44">
        <f t="shared" si="4"/>
        <v>8</v>
      </c>
      <c r="M18" s="44">
        <f t="shared" si="4"/>
        <v>-8</v>
      </c>
      <c r="N18" s="45">
        <f t="shared" si="4"/>
        <v>0.2</v>
      </c>
      <c r="O18" s="49">
        <v>30</v>
      </c>
      <c r="P18" s="54">
        <f>K18+5.25</f>
        <v>165.25</v>
      </c>
      <c r="Q18" s="44">
        <f t="shared" si="7"/>
        <v>150</v>
      </c>
      <c r="R18" s="50">
        <f t="shared" si="7"/>
        <v>210</v>
      </c>
    </row>
    <row r="19" spans="1:18" x14ac:dyDescent="0.25">
      <c r="A19" s="41" t="e">
        <f t="shared" si="5"/>
        <v>#REF!</v>
      </c>
      <c r="B19" s="42">
        <f t="shared" si="5"/>
        <v>9</v>
      </c>
      <c r="C19" s="41" t="s">
        <v>1044</v>
      </c>
      <c r="D19" s="43">
        <f t="shared" si="0"/>
        <v>9.8000000000000007</v>
      </c>
      <c r="E19" s="61">
        <f t="shared" si="1"/>
        <v>1.8130000000000002</v>
      </c>
      <c r="F19" s="61">
        <f t="shared" si="2"/>
        <v>42</v>
      </c>
      <c r="G19" s="64">
        <f t="shared" si="3"/>
        <v>0.58988764044943809</v>
      </c>
      <c r="H19" s="51">
        <f t="shared" si="6"/>
        <v>5.1334382022471905</v>
      </c>
      <c r="I19" s="42" t="str">
        <f t="shared" si="4"/>
        <v>IEC</v>
      </c>
      <c r="J19" s="50">
        <f t="shared" si="4"/>
        <v>10.5</v>
      </c>
      <c r="K19" s="49">
        <f t="shared" si="4"/>
        <v>160</v>
      </c>
      <c r="L19" s="44">
        <f t="shared" si="4"/>
        <v>8</v>
      </c>
      <c r="M19" s="44">
        <f t="shared" si="4"/>
        <v>-8</v>
      </c>
      <c r="N19" s="45">
        <f t="shared" si="4"/>
        <v>0.2</v>
      </c>
      <c r="O19" s="49">
        <v>60</v>
      </c>
      <c r="P19" s="54">
        <f>K19</f>
        <v>160</v>
      </c>
      <c r="Q19" s="44">
        <f t="shared" si="7"/>
        <v>150</v>
      </c>
      <c r="R19" s="50">
        <f t="shared" si="7"/>
        <v>210</v>
      </c>
    </row>
    <row r="20" spans="1:18" x14ac:dyDescent="0.25">
      <c r="A20" s="41" t="e">
        <f t="shared" si="5"/>
        <v>#REF!</v>
      </c>
      <c r="B20" s="42">
        <f t="shared" si="5"/>
        <v>10</v>
      </c>
      <c r="C20" s="41" t="s">
        <v>1045</v>
      </c>
      <c r="D20" s="43">
        <f t="shared" si="0"/>
        <v>9.8000000000000007</v>
      </c>
      <c r="E20" s="61">
        <f t="shared" si="1"/>
        <v>1.8130000000000002</v>
      </c>
      <c r="F20" s="61">
        <f t="shared" si="2"/>
        <v>42</v>
      </c>
      <c r="G20" s="64">
        <f t="shared" si="3"/>
        <v>0.58988764044943809</v>
      </c>
      <c r="H20" s="51">
        <f t="shared" si="6"/>
        <v>5.1334382022471905</v>
      </c>
      <c r="I20" s="42" t="str">
        <f t="shared" si="4"/>
        <v>IEC</v>
      </c>
      <c r="J20" s="50">
        <f t="shared" si="4"/>
        <v>10.5</v>
      </c>
      <c r="K20" s="49">
        <f t="shared" si="4"/>
        <v>160</v>
      </c>
      <c r="L20" s="44">
        <f t="shared" si="4"/>
        <v>8</v>
      </c>
      <c r="M20" s="44">
        <f t="shared" si="4"/>
        <v>-8</v>
      </c>
      <c r="N20" s="45">
        <f t="shared" si="4"/>
        <v>0.2</v>
      </c>
      <c r="O20" s="49">
        <v>60</v>
      </c>
      <c r="P20" s="54">
        <f>K20+2.46</f>
        <v>162.46</v>
      </c>
      <c r="Q20" s="44">
        <f t="shared" si="7"/>
        <v>150</v>
      </c>
      <c r="R20" s="50">
        <f t="shared" si="7"/>
        <v>210</v>
      </c>
    </row>
    <row r="21" spans="1:18" x14ac:dyDescent="0.25">
      <c r="A21" s="41" t="e">
        <f t="shared" si="5"/>
        <v>#REF!</v>
      </c>
      <c r="B21" s="42">
        <f t="shared" si="5"/>
        <v>11</v>
      </c>
      <c r="C21" s="41" t="s">
        <v>1046</v>
      </c>
      <c r="D21" s="43">
        <f t="shared" si="0"/>
        <v>9.8000000000000007</v>
      </c>
      <c r="E21" s="61">
        <f t="shared" si="1"/>
        <v>1.8130000000000002</v>
      </c>
      <c r="F21" s="61">
        <f t="shared" si="2"/>
        <v>42</v>
      </c>
      <c r="G21" s="64">
        <f t="shared" si="3"/>
        <v>0.58988764044943809</v>
      </c>
      <c r="H21" s="51">
        <f t="shared" si="6"/>
        <v>5.1334382022471905</v>
      </c>
      <c r="I21" s="42" t="str">
        <f t="shared" si="4"/>
        <v>IEC</v>
      </c>
      <c r="J21" s="50">
        <f t="shared" si="4"/>
        <v>10.5</v>
      </c>
      <c r="K21" s="49">
        <f t="shared" si="4"/>
        <v>160</v>
      </c>
      <c r="L21" s="44">
        <f t="shared" si="4"/>
        <v>8</v>
      </c>
      <c r="M21" s="44">
        <f t="shared" si="4"/>
        <v>-8</v>
      </c>
      <c r="N21" s="45">
        <f t="shared" si="4"/>
        <v>0.2</v>
      </c>
      <c r="O21" s="49">
        <v>60</v>
      </c>
      <c r="P21" s="54">
        <f>K21+4</f>
        <v>164</v>
      </c>
      <c r="Q21" s="44">
        <f t="shared" si="7"/>
        <v>150</v>
      </c>
      <c r="R21" s="50">
        <f t="shared" si="7"/>
        <v>210</v>
      </c>
    </row>
    <row r="22" spans="1:18" x14ac:dyDescent="0.25">
      <c r="A22" s="41" t="e">
        <f t="shared" si="5"/>
        <v>#REF!</v>
      </c>
      <c r="B22" s="42">
        <f t="shared" si="5"/>
        <v>12</v>
      </c>
      <c r="C22" s="41" t="s">
        <v>1047</v>
      </c>
      <c r="D22" s="43">
        <f t="shared" si="0"/>
        <v>9.8000000000000007</v>
      </c>
      <c r="E22" s="61">
        <f t="shared" si="1"/>
        <v>1.8130000000000002</v>
      </c>
      <c r="F22" s="61">
        <f t="shared" si="2"/>
        <v>42</v>
      </c>
      <c r="G22" s="64">
        <f t="shared" si="3"/>
        <v>0.58988764044943809</v>
      </c>
      <c r="H22" s="51">
        <f t="shared" ref="H22:H85" si="8">4.8*E22*G22</f>
        <v>5.1334382022471905</v>
      </c>
      <c r="I22" s="42" t="str">
        <f t="shared" si="4"/>
        <v>IEC</v>
      </c>
      <c r="J22" s="50">
        <f t="shared" si="4"/>
        <v>10.5</v>
      </c>
      <c r="K22" s="49">
        <f t="shared" si="4"/>
        <v>160</v>
      </c>
      <c r="L22" s="44">
        <f t="shared" si="4"/>
        <v>8</v>
      </c>
      <c r="M22" s="44">
        <f t="shared" si="4"/>
        <v>-8</v>
      </c>
      <c r="N22" s="45">
        <f t="shared" si="4"/>
        <v>0.2</v>
      </c>
      <c r="O22" s="49">
        <v>60</v>
      </c>
      <c r="P22" s="54">
        <f>K22+5.25</f>
        <v>165.25</v>
      </c>
      <c r="Q22" s="44">
        <f t="shared" si="7"/>
        <v>150</v>
      </c>
      <c r="R22" s="50">
        <f t="shared" si="7"/>
        <v>210</v>
      </c>
    </row>
    <row r="23" spans="1:18" x14ac:dyDescent="0.25">
      <c r="A23" s="41" t="e">
        <f t="shared" si="5"/>
        <v>#REF!</v>
      </c>
      <c r="B23" s="42">
        <f t="shared" si="5"/>
        <v>13</v>
      </c>
      <c r="C23" s="41" t="s">
        <v>1048</v>
      </c>
      <c r="D23" s="43">
        <f t="shared" si="0"/>
        <v>9.8000000000000007</v>
      </c>
      <c r="E23" s="61">
        <f t="shared" si="1"/>
        <v>1.8130000000000002</v>
      </c>
      <c r="F23" s="61">
        <f t="shared" si="2"/>
        <v>42</v>
      </c>
      <c r="G23" s="64">
        <f t="shared" si="3"/>
        <v>0.58988764044943809</v>
      </c>
      <c r="H23" s="51">
        <f t="shared" si="8"/>
        <v>5.1334382022471905</v>
      </c>
      <c r="I23" s="42" t="str">
        <f t="shared" si="4"/>
        <v>IEC</v>
      </c>
      <c r="J23" s="50">
        <f t="shared" si="4"/>
        <v>10.5</v>
      </c>
      <c r="K23" s="49">
        <f t="shared" si="4"/>
        <v>160</v>
      </c>
      <c r="L23" s="44">
        <f t="shared" si="4"/>
        <v>8</v>
      </c>
      <c r="M23" s="44">
        <f t="shared" si="4"/>
        <v>-8</v>
      </c>
      <c r="N23" s="45">
        <f t="shared" si="4"/>
        <v>0.2</v>
      </c>
      <c r="O23" s="49">
        <v>90</v>
      </c>
      <c r="P23" s="54">
        <f>K23</f>
        <v>160</v>
      </c>
      <c r="Q23" s="44">
        <f t="shared" si="7"/>
        <v>150</v>
      </c>
      <c r="R23" s="50">
        <f t="shared" si="7"/>
        <v>210</v>
      </c>
    </row>
    <row r="24" spans="1:18" x14ac:dyDescent="0.25">
      <c r="A24" s="41" t="e">
        <f t="shared" si="5"/>
        <v>#REF!</v>
      </c>
      <c r="B24" s="42">
        <f t="shared" si="5"/>
        <v>14</v>
      </c>
      <c r="C24" s="41" t="s">
        <v>1049</v>
      </c>
      <c r="D24" s="43">
        <f t="shared" si="0"/>
        <v>9.8000000000000007</v>
      </c>
      <c r="E24" s="61">
        <f t="shared" si="1"/>
        <v>1.8130000000000002</v>
      </c>
      <c r="F24" s="61">
        <f t="shared" si="2"/>
        <v>42</v>
      </c>
      <c r="G24" s="64">
        <f t="shared" si="3"/>
        <v>0.58988764044943809</v>
      </c>
      <c r="H24" s="51">
        <f t="shared" si="8"/>
        <v>5.1334382022471905</v>
      </c>
      <c r="I24" s="42" t="str">
        <f t="shared" si="4"/>
        <v>IEC</v>
      </c>
      <c r="J24" s="50">
        <f t="shared" si="4"/>
        <v>10.5</v>
      </c>
      <c r="K24" s="49">
        <f t="shared" si="4"/>
        <v>160</v>
      </c>
      <c r="L24" s="44">
        <f t="shared" si="4"/>
        <v>8</v>
      </c>
      <c r="M24" s="44">
        <f t="shared" si="4"/>
        <v>-8</v>
      </c>
      <c r="N24" s="45">
        <f t="shared" si="4"/>
        <v>0.2</v>
      </c>
      <c r="O24" s="49">
        <v>90</v>
      </c>
      <c r="P24" s="54">
        <f>K24+2.46</f>
        <v>162.46</v>
      </c>
      <c r="Q24" s="44">
        <f t="shared" si="7"/>
        <v>150</v>
      </c>
      <c r="R24" s="50">
        <f t="shared" si="7"/>
        <v>210</v>
      </c>
    </row>
    <row r="25" spans="1:18" x14ac:dyDescent="0.25">
      <c r="A25" s="41" t="e">
        <f t="shared" si="5"/>
        <v>#REF!</v>
      </c>
      <c r="B25" s="42">
        <f>B24+1</f>
        <v>15</v>
      </c>
      <c r="C25" s="41" t="s">
        <v>1050</v>
      </c>
      <c r="D25" s="43">
        <f t="shared" si="0"/>
        <v>9.8000000000000007</v>
      </c>
      <c r="E25" s="61">
        <f t="shared" si="1"/>
        <v>1.8130000000000002</v>
      </c>
      <c r="F25" s="61">
        <f t="shared" si="2"/>
        <v>42</v>
      </c>
      <c r="G25" s="64">
        <f t="shared" si="3"/>
        <v>0.58988764044943809</v>
      </c>
      <c r="H25" s="51">
        <f t="shared" si="8"/>
        <v>5.1334382022471905</v>
      </c>
      <c r="I25" s="42" t="str">
        <f>I24</f>
        <v>IEC</v>
      </c>
      <c r="J25" s="50">
        <f t="shared" si="4"/>
        <v>10.5</v>
      </c>
      <c r="K25" s="49">
        <f t="shared" si="4"/>
        <v>160</v>
      </c>
      <c r="L25" s="44">
        <f t="shared" si="4"/>
        <v>8</v>
      </c>
      <c r="M25" s="44">
        <f t="shared" si="4"/>
        <v>-8</v>
      </c>
      <c r="N25" s="45">
        <f t="shared" si="4"/>
        <v>0.2</v>
      </c>
      <c r="O25" s="49">
        <v>90</v>
      </c>
      <c r="P25" s="54">
        <f>K25+4</f>
        <v>164</v>
      </c>
      <c r="Q25" s="44">
        <f t="shared" si="7"/>
        <v>150</v>
      </c>
      <c r="R25" s="50">
        <f>R24</f>
        <v>210</v>
      </c>
    </row>
    <row r="26" spans="1:18" x14ac:dyDescent="0.25">
      <c r="A26" s="41" t="e">
        <f t="shared" si="5"/>
        <v>#REF!</v>
      </c>
      <c r="B26" s="42">
        <f>B25+1</f>
        <v>16</v>
      </c>
      <c r="C26" s="41" t="s">
        <v>1051</v>
      </c>
      <c r="D26" s="43">
        <f t="shared" si="0"/>
        <v>9.8000000000000007</v>
      </c>
      <c r="E26" s="61">
        <f t="shared" si="1"/>
        <v>1.8130000000000002</v>
      </c>
      <c r="F26" s="61">
        <f t="shared" si="2"/>
        <v>42</v>
      </c>
      <c r="G26" s="64">
        <f t="shared" si="3"/>
        <v>0.58988764044943809</v>
      </c>
      <c r="H26" s="51">
        <f t="shared" si="8"/>
        <v>5.1334382022471905</v>
      </c>
      <c r="I26" s="42" t="str">
        <f>I25</f>
        <v>IEC</v>
      </c>
      <c r="J26" s="50">
        <f t="shared" si="4"/>
        <v>10.5</v>
      </c>
      <c r="K26" s="49">
        <f t="shared" si="4"/>
        <v>160</v>
      </c>
      <c r="L26" s="44">
        <f t="shared" si="4"/>
        <v>8</v>
      </c>
      <c r="M26" s="44">
        <f t="shared" si="4"/>
        <v>-8</v>
      </c>
      <c r="N26" s="45">
        <f t="shared" si="4"/>
        <v>0.2</v>
      </c>
      <c r="O26" s="49">
        <v>90</v>
      </c>
      <c r="P26" s="54">
        <f>K26+5.25</f>
        <v>165.25</v>
      </c>
      <c r="Q26" s="44">
        <f t="shared" si="7"/>
        <v>150</v>
      </c>
      <c r="R26" s="50">
        <f>R25</f>
        <v>210</v>
      </c>
    </row>
    <row r="27" spans="1:18" x14ac:dyDescent="0.25">
      <c r="A27" s="41" t="e">
        <f t="shared" si="5"/>
        <v>#REF!</v>
      </c>
      <c r="B27" s="42">
        <f>B26+1</f>
        <v>17</v>
      </c>
      <c r="C27" s="41" t="s">
        <v>1052</v>
      </c>
      <c r="D27" s="43">
        <f t="shared" si="0"/>
        <v>9.8000000000000007</v>
      </c>
      <c r="E27" s="61">
        <f t="shared" si="1"/>
        <v>1.8130000000000002</v>
      </c>
      <c r="F27" s="61">
        <f t="shared" si="2"/>
        <v>42</v>
      </c>
      <c r="G27" s="64">
        <f t="shared" si="3"/>
        <v>0.58988764044943809</v>
      </c>
      <c r="H27" s="51">
        <f t="shared" si="8"/>
        <v>5.1334382022471905</v>
      </c>
      <c r="I27" s="42" t="str">
        <f>I26</f>
        <v>IEC</v>
      </c>
      <c r="J27" s="50">
        <f t="shared" si="4"/>
        <v>10.5</v>
      </c>
      <c r="K27" s="49">
        <f t="shared" si="4"/>
        <v>160</v>
      </c>
      <c r="L27" s="44">
        <f t="shared" si="4"/>
        <v>8</v>
      </c>
      <c r="M27" s="44">
        <f>yaw_null</f>
        <v>0</v>
      </c>
      <c r="N27" s="45">
        <f t="shared" si="4"/>
        <v>0.2</v>
      </c>
      <c r="O27" s="49">
        <v>0</v>
      </c>
      <c r="P27" s="54">
        <f>K27</f>
        <v>160</v>
      </c>
      <c r="Q27" s="44">
        <f t="shared" si="7"/>
        <v>150</v>
      </c>
      <c r="R27" s="50">
        <f>R26</f>
        <v>210</v>
      </c>
    </row>
    <row r="28" spans="1:18" x14ac:dyDescent="0.25">
      <c r="A28" s="41" t="e">
        <f t="shared" si="5"/>
        <v>#REF!</v>
      </c>
      <c r="B28" s="42">
        <f>B27+1</f>
        <v>18</v>
      </c>
      <c r="C28" s="41" t="s">
        <v>1053</v>
      </c>
      <c r="D28" s="43">
        <f t="shared" si="0"/>
        <v>9.8000000000000007</v>
      </c>
      <c r="E28" s="61">
        <f t="shared" si="1"/>
        <v>1.8130000000000002</v>
      </c>
      <c r="F28" s="61">
        <f t="shared" si="2"/>
        <v>42</v>
      </c>
      <c r="G28" s="64">
        <f t="shared" si="3"/>
        <v>0.58988764044943809</v>
      </c>
      <c r="H28" s="51">
        <f t="shared" si="8"/>
        <v>5.1334382022471905</v>
      </c>
      <c r="I28" s="42" t="str">
        <f>I27</f>
        <v>IEC</v>
      </c>
      <c r="J28" s="50">
        <f t="shared" ref="J28:M43" si="9">J27</f>
        <v>10.5</v>
      </c>
      <c r="K28" s="49">
        <f t="shared" si="9"/>
        <v>160</v>
      </c>
      <c r="L28" s="44">
        <f t="shared" si="9"/>
        <v>8</v>
      </c>
      <c r="M28" s="44">
        <f>M27</f>
        <v>0</v>
      </c>
      <c r="N28" s="45">
        <f t="shared" ref="N28:N91" si="10">N27</f>
        <v>0.2</v>
      </c>
      <c r="O28" s="49">
        <v>0</v>
      </c>
      <c r="P28" s="54">
        <f>K28+2.46</f>
        <v>162.46</v>
      </c>
      <c r="Q28" s="44">
        <f t="shared" si="7"/>
        <v>150</v>
      </c>
      <c r="R28" s="50">
        <f>R27</f>
        <v>210</v>
      </c>
    </row>
    <row r="29" spans="1:18" x14ac:dyDescent="0.25">
      <c r="A29" s="41" t="e">
        <f t="shared" ref="A29:B44" si="11">A28+1</f>
        <v>#REF!</v>
      </c>
      <c r="B29" s="42">
        <f t="shared" si="11"/>
        <v>19</v>
      </c>
      <c r="C29" s="41" t="s">
        <v>1054</v>
      </c>
      <c r="D29" s="43">
        <f t="shared" si="0"/>
        <v>9.8000000000000007</v>
      </c>
      <c r="E29" s="61">
        <f t="shared" si="1"/>
        <v>1.8130000000000002</v>
      </c>
      <c r="F29" s="61">
        <f t="shared" si="2"/>
        <v>42</v>
      </c>
      <c r="G29" s="64">
        <f t="shared" si="3"/>
        <v>0.58988764044943809</v>
      </c>
      <c r="H29" s="51">
        <f t="shared" si="8"/>
        <v>5.1334382022471905</v>
      </c>
      <c r="I29" s="42" t="str">
        <f t="shared" ref="I29:I43" si="12">I28</f>
        <v>IEC</v>
      </c>
      <c r="J29" s="50">
        <f t="shared" si="9"/>
        <v>10.5</v>
      </c>
      <c r="K29" s="49">
        <f t="shared" si="9"/>
        <v>160</v>
      </c>
      <c r="L29" s="44">
        <f t="shared" si="9"/>
        <v>8</v>
      </c>
      <c r="M29" s="44">
        <f t="shared" si="9"/>
        <v>0</v>
      </c>
      <c r="N29" s="45">
        <f t="shared" si="10"/>
        <v>0.2</v>
      </c>
      <c r="O29" s="49">
        <v>0</v>
      </c>
      <c r="P29" s="54">
        <f>K29+4</f>
        <v>164</v>
      </c>
      <c r="Q29" s="44">
        <f t="shared" ref="Q29:R44" si="13">Q28</f>
        <v>150</v>
      </c>
      <c r="R29" s="50">
        <f t="shared" si="13"/>
        <v>210</v>
      </c>
    </row>
    <row r="30" spans="1:18" x14ac:dyDescent="0.25">
      <c r="A30" s="41" t="e">
        <f t="shared" si="11"/>
        <v>#REF!</v>
      </c>
      <c r="B30" s="42">
        <f t="shared" si="11"/>
        <v>20</v>
      </c>
      <c r="C30" s="41" t="s">
        <v>1055</v>
      </c>
      <c r="D30" s="43">
        <f t="shared" si="0"/>
        <v>9.8000000000000007</v>
      </c>
      <c r="E30" s="61">
        <f t="shared" si="1"/>
        <v>1.8130000000000002</v>
      </c>
      <c r="F30" s="61">
        <f t="shared" si="2"/>
        <v>42</v>
      </c>
      <c r="G30" s="64">
        <f t="shared" si="3"/>
        <v>0.58988764044943809</v>
      </c>
      <c r="H30" s="51">
        <f t="shared" si="8"/>
        <v>5.1334382022471905</v>
      </c>
      <c r="I30" s="42" t="str">
        <f t="shared" si="12"/>
        <v>IEC</v>
      </c>
      <c r="J30" s="50">
        <f t="shared" si="9"/>
        <v>10.5</v>
      </c>
      <c r="K30" s="49">
        <f t="shared" si="9"/>
        <v>160</v>
      </c>
      <c r="L30" s="44">
        <f t="shared" si="9"/>
        <v>8</v>
      </c>
      <c r="M30" s="44">
        <f t="shared" si="9"/>
        <v>0</v>
      </c>
      <c r="N30" s="45">
        <f t="shared" si="10"/>
        <v>0.2</v>
      </c>
      <c r="O30" s="49">
        <v>0</v>
      </c>
      <c r="P30" s="54">
        <f>K30+5.25</f>
        <v>165.25</v>
      </c>
      <c r="Q30" s="44">
        <f t="shared" si="13"/>
        <v>150</v>
      </c>
      <c r="R30" s="50">
        <f t="shared" si="13"/>
        <v>210</v>
      </c>
    </row>
    <row r="31" spans="1:18" x14ac:dyDescent="0.25">
      <c r="A31" s="41" t="e">
        <f t="shared" si="11"/>
        <v>#REF!</v>
      </c>
      <c r="B31" s="42">
        <f t="shared" si="11"/>
        <v>21</v>
      </c>
      <c r="C31" s="41" t="s">
        <v>1056</v>
      </c>
      <c r="D31" s="43">
        <f t="shared" si="0"/>
        <v>9.8000000000000007</v>
      </c>
      <c r="E31" s="61">
        <f t="shared" si="1"/>
        <v>1.8130000000000002</v>
      </c>
      <c r="F31" s="61">
        <f t="shared" si="2"/>
        <v>42</v>
      </c>
      <c r="G31" s="64">
        <f t="shared" si="3"/>
        <v>0.58988764044943809</v>
      </c>
      <c r="H31" s="51">
        <f t="shared" si="8"/>
        <v>5.1334382022471905</v>
      </c>
      <c r="I31" s="42" t="str">
        <f t="shared" si="12"/>
        <v>IEC</v>
      </c>
      <c r="J31" s="50">
        <f t="shared" si="9"/>
        <v>10.5</v>
      </c>
      <c r="K31" s="49">
        <f t="shared" si="9"/>
        <v>160</v>
      </c>
      <c r="L31" s="44">
        <f t="shared" si="9"/>
        <v>8</v>
      </c>
      <c r="M31" s="44">
        <f t="shared" si="9"/>
        <v>0</v>
      </c>
      <c r="N31" s="45">
        <f t="shared" si="10"/>
        <v>0.2</v>
      </c>
      <c r="O31" s="49">
        <v>30</v>
      </c>
      <c r="P31" s="54">
        <f>K31</f>
        <v>160</v>
      </c>
      <c r="Q31" s="44">
        <f t="shared" si="13"/>
        <v>150</v>
      </c>
      <c r="R31" s="50">
        <f t="shared" si="13"/>
        <v>210</v>
      </c>
    </row>
    <row r="32" spans="1:18" x14ac:dyDescent="0.25">
      <c r="A32" s="41" t="e">
        <f t="shared" si="11"/>
        <v>#REF!</v>
      </c>
      <c r="B32" s="42">
        <f t="shared" si="11"/>
        <v>22</v>
      </c>
      <c r="C32" s="41" t="s">
        <v>1057</v>
      </c>
      <c r="D32" s="43">
        <f t="shared" si="0"/>
        <v>9.8000000000000007</v>
      </c>
      <c r="E32" s="61">
        <f t="shared" si="1"/>
        <v>1.8130000000000002</v>
      </c>
      <c r="F32" s="61">
        <f t="shared" si="2"/>
        <v>42</v>
      </c>
      <c r="G32" s="64">
        <f t="shared" si="3"/>
        <v>0.58988764044943809</v>
      </c>
      <c r="H32" s="51">
        <f t="shared" si="8"/>
        <v>5.1334382022471905</v>
      </c>
      <c r="I32" s="42" t="str">
        <f t="shared" si="12"/>
        <v>IEC</v>
      </c>
      <c r="J32" s="50">
        <f t="shared" si="9"/>
        <v>10.5</v>
      </c>
      <c r="K32" s="49">
        <f t="shared" si="9"/>
        <v>160</v>
      </c>
      <c r="L32" s="44">
        <f t="shared" si="9"/>
        <v>8</v>
      </c>
      <c r="M32" s="44">
        <f t="shared" si="9"/>
        <v>0</v>
      </c>
      <c r="N32" s="45">
        <f t="shared" si="10"/>
        <v>0.2</v>
      </c>
      <c r="O32" s="49">
        <v>30</v>
      </c>
      <c r="P32" s="54">
        <f>K32+2.46</f>
        <v>162.46</v>
      </c>
      <c r="Q32" s="44">
        <f t="shared" si="13"/>
        <v>150</v>
      </c>
      <c r="R32" s="50">
        <f t="shared" si="13"/>
        <v>210</v>
      </c>
    </row>
    <row r="33" spans="1:18" x14ac:dyDescent="0.25">
      <c r="A33" s="41" t="e">
        <f t="shared" si="11"/>
        <v>#REF!</v>
      </c>
      <c r="B33" s="42">
        <f t="shared" si="11"/>
        <v>23</v>
      </c>
      <c r="C33" s="41" t="s">
        <v>1058</v>
      </c>
      <c r="D33" s="43">
        <f t="shared" si="0"/>
        <v>9.8000000000000007</v>
      </c>
      <c r="E33" s="61">
        <f t="shared" si="1"/>
        <v>1.8130000000000002</v>
      </c>
      <c r="F33" s="61">
        <f t="shared" si="2"/>
        <v>42</v>
      </c>
      <c r="G33" s="64">
        <f t="shared" si="3"/>
        <v>0.58988764044943809</v>
      </c>
      <c r="H33" s="51">
        <f t="shared" si="8"/>
        <v>5.1334382022471905</v>
      </c>
      <c r="I33" s="42" t="str">
        <f t="shared" si="12"/>
        <v>IEC</v>
      </c>
      <c r="J33" s="50">
        <f t="shared" si="9"/>
        <v>10.5</v>
      </c>
      <c r="K33" s="49">
        <f t="shared" si="9"/>
        <v>160</v>
      </c>
      <c r="L33" s="44">
        <f t="shared" si="9"/>
        <v>8</v>
      </c>
      <c r="M33" s="44">
        <f t="shared" si="9"/>
        <v>0</v>
      </c>
      <c r="N33" s="45">
        <f t="shared" si="10"/>
        <v>0.2</v>
      </c>
      <c r="O33" s="49">
        <v>30</v>
      </c>
      <c r="P33" s="54">
        <f>K33+4</f>
        <v>164</v>
      </c>
      <c r="Q33" s="44">
        <f t="shared" si="13"/>
        <v>150</v>
      </c>
      <c r="R33" s="50">
        <f t="shared" si="13"/>
        <v>210</v>
      </c>
    </row>
    <row r="34" spans="1:18" x14ac:dyDescent="0.25">
      <c r="A34" s="41" t="e">
        <f t="shared" si="11"/>
        <v>#REF!</v>
      </c>
      <c r="B34" s="42">
        <f t="shared" si="11"/>
        <v>24</v>
      </c>
      <c r="C34" s="41" t="s">
        <v>1059</v>
      </c>
      <c r="D34" s="43">
        <f t="shared" si="0"/>
        <v>9.8000000000000007</v>
      </c>
      <c r="E34" s="61">
        <f t="shared" si="1"/>
        <v>1.8130000000000002</v>
      </c>
      <c r="F34" s="61">
        <f t="shared" si="2"/>
        <v>42</v>
      </c>
      <c r="G34" s="64">
        <f t="shared" si="3"/>
        <v>0.58988764044943809</v>
      </c>
      <c r="H34" s="51">
        <f t="shared" si="8"/>
        <v>5.1334382022471905</v>
      </c>
      <c r="I34" s="42" t="str">
        <f t="shared" si="12"/>
        <v>IEC</v>
      </c>
      <c r="J34" s="50">
        <f t="shared" si="9"/>
        <v>10.5</v>
      </c>
      <c r="K34" s="49">
        <f t="shared" si="9"/>
        <v>160</v>
      </c>
      <c r="L34" s="44">
        <f t="shared" si="9"/>
        <v>8</v>
      </c>
      <c r="M34" s="44">
        <f t="shared" si="9"/>
        <v>0</v>
      </c>
      <c r="N34" s="45">
        <f t="shared" si="10"/>
        <v>0.2</v>
      </c>
      <c r="O34" s="49">
        <v>30</v>
      </c>
      <c r="P34" s="54">
        <f>K34+5.25</f>
        <v>165.25</v>
      </c>
      <c r="Q34" s="44">
        <f t="shared" si="13"/>
        <v>150</v>
      </c>
      <c r="R34" s="50">
        <f t="shared" si="13"/>
        <v>210</v>
      </c>
    </row>
    <row r="35" spans="1:18" x14ac:dyDescent="0.25">
      <c r="A35" s="41" t="e">
        <f t="shared" si="11"/>
        <v>#REF!</v>
      </c>
      <c r="B35" s="42">
        <f t="shared" si="11"/>
        <v>25</v>
      </c>
      <c r="C35" s="41" t="s">
        <v>1060</v>
      </c>
      <c r="D35" s="43">
        <f t="shared" si="0"/>
        <v>9.8000000000000007</v>
      </c>
      <c r="E35" s="61">
        <f t="shared" si="1"/>
        <v>1.8130000000000002</v>
      </c>
      <c r="F35" s="61">
        <f t="shared" si="2"/>
        <v>42</v>
      </c>
      <c r="G35" s="64">
        <f t="shared" si="3"/>
        <v>0.58988764044943809</v>
      </c>
      <c r="H35" s="51">
        <f t="shared" si="8"/>
        <v>5.1334382022471905</v>
      </c>
      <c r="I35" s="42" t="str">
        <f t="shared" si="12"/>
        <v>IEC</v>
      </c>
      <c r="J35" s="50">
        <f t="shared" si="9"/>
        <v>10.5</v>
      </c>
      <c r="K35" s="49">
        <f t="shared" si="9"/>
        <v>160</v>
      </c>
      <c r="L35" s="44">
        <f t="shared" si="9"/>
        <v>8</v>
      </c>
      <c r="M35" s="44">
        <f t="shared" si="9"/>
        <v>0</v>
      </c>
      <c r="N35" s="45">
        <f t="shared" si="10"/>
        <v>0.2</v>
      </c>
      <c r="O35" s="49">
        <v>60</v>
      </c>
      <c r="P35" s="54">
        <f>K35</f>
        <v>160</v>
      </c>
      <c r="Q35" s="44">
        <f t="shared" si="13"/>
        <v>150</v>
      </c>
      <c r="R35" s="50">
        <f t="shared" si="13"/>
        <v>210</v>
      </c>
    </row>
    <row r="36" spans="1:18" x14ac:dyDescent="0.25">
      <c r="A36" s="41" t="e">
        <f t="shared" si="11"/>
        <v>#REF!</v>
      </c>
      <c r="B36" s="42">
        <f t="shared" si="11"/>
        <v>26</v>
      </c>
      <c r="C36" s="41" t="s">
        <v>1061</v>
      </c>
      <c r="D36" s="43">
        <f t="shared" si="0"/>
        <v>9.8000000000000007</v>
      </c>
      <c r="E36" s="61">
        <f t="shared" si="1"/>
        <v>1.8130000000000002</v>
      </c>
      <c r="F36" s="61">
        <f t="shared" si="2"/>
        <v>42</v>
      </c>
      <c r="G36" s="64">
        <f t="shared" si="3"/>
        <v>0.58988764044943809</v>
      </c>
      <c r="H36" s="51">
        <f t="shared" si="8"/>
        <v>5.1334382022471905</v>
      </c>
      <c r="I36" s="42" t="str">
        <f t="shared" si="12"/>
        <v>IEC</v>
      </c>
      <c r="J36" s="50">
        <f t="shared" si="9"/>
        <v>10.5</v>
      </c>
      <c r="K36" s="49">
        <f t="shared" si="9"/>
        <v>160</v>
      </c>
      <c r="L36" s="44">
        <f t="shared" si="9"/>
        <v>8</v>
      </c>
      <c r="M36" s="44">
        <f t="shared" si="9"/>
        <v>0</v>
      </c>
      <c r="N36" s="45">
        <f t="shared" si="10"/>
        <v>0.2</v>
      </c>
      <c r="O36" s="49">
        <v>60</v>
      </c>
      <c r="P36" s="54">
        <f>K36+2.46</f>
        <v>162.46</v>
      </c>
      <c r="Q36" s="44">
        <f t="shared" si="13"/>
        <v>150</v>
      </c>
      <c r="R36" s="50">
        <f t="shared" si="13"/>
        <v>210</v>
      </c>
    </row>
    <row r="37" spans="1:18" x14ac:dyDescent="0.25">
      <c r="A37" s="41" t="e">
        <f t="shared" si="11"/>
        <v>#REF!</v>
      </c>
      <c r="B37" s="42">
        <f t="shared" si="11"/>
        <v>27</v>
      </c>
      <c r="C37" s="41" t="s">
        <v>1062</v>
      </c>
      <c r="D37" s="43">
        <f t="shared" si="0"/>
        <v>9.8000000000000007</v>
      </c>
      <c r="E37" s="61">
        <f t="shared" si="1"/>
        <v>1.8130000000000002</v>
      </c>
      <c r="F37" s="61">
        <f t="shared" si="2"/>
        <v>42</v>
      </c>
      <c r="G37" s="64">
        <f t="shared" si="3"/>
        <v>0.58988764044943809</v>
      </c>
      <c r="H37" s="51">
        <f t="shared" si="8"/>
        <v>5.1334382022471905</v>
      </c>
      <c r="I37" s="42" t="str">
        <f t="shared" si="12"/>
        <v>IEC</v>
      </c>
      <c r="J37" s="50">
        <f t="shared" si="9"/>
        <v>10.5</v>
      </c>
      <c r="K37" s="49">
        <f t="shared" si="9"/>
        <v>160</v>
      </c>
      <c r="L37" s="44">
        <f t="shared" si="9"/>
        <v>8</v>
      </c>
      <c r="M37" s="44">
        <f t="shared" si="9"/>
        <v>0</v>
      </c>
      <c r="N37" s="45">
        <f t="shared" si="10"/>
        <v>0.2</v>
      </c>
      <c r="O37" s="49">
        <v>60</v>
      </c>
      <c r="P37" s="54">
        <f>K37+4</f>
        <v>164</v>
      </c>
      <c r="Q37" s="44">
        <f t="shared" si="13"/>
        <v>150</v>
      </c>
      <c r="R37" s="50">
        <f t="shared" si="13"/>
        <v>210</v>
      </c>
    </row>
    <row r="38" spans="1:18" x14ac:dyDescent="0.25">
      <c r="A38" s="41" t="e">
        <f t="shared" si="11"/>
        <v>#REF!</v>
      </c>
      <c r="B38" s="42">
        <f t="shared" si="11"/>
        <v>28</v>
      </c>
      <c r="C38" s="41" t="s">
        <v>1063</v>
      </c>
      <c r="D38" s="43">
        <f t="shared" si="0"/>
        <v>9.8000000000000007</v>
      </c>
      <c r="E38" s="61">
        <f t="shared" si="1"/>
        <v>1.8130000000000002</v>
      </c>
      <c r="F38" s="61">
        <f t="shared" si="2"/>
        <v>42</v>
      </c>
      <c r="G38" s="64">
        <f t="shared" si="3"/>
        <v>0.58988764044943809</v>
      </c>
      <c r="H38" s="51">
        <f t="shared" si="8"/>
        <v>5.1334382022471905</v>
      </c>
      <c r="I38" s="42" t="str">
        <f t="shared" si="12"/>
        <v>IEC</v>
      </c>
      <c r="J38" s="50">
        <f t="shared" si="9"/>
        <v>10.5</v>
      </c>
      <c r="K38" s="49">
        <f t="shared" si="9"/>
        <v>160</v>
      </c>
      <c r="L38" s="44">
        <f t="shared" si="9"/>
        <v>8</v>
      </c>
      <c r="M38" s="44">
        <f t="shared" si="9"/>
        <v>0</v>
      </c>
      <c r="N38" s="45">
        <f t="shared" si="10"/>
        <v>0.2</v>
      </c>
      <c r="O38" s="49">
        <v>60</v>
      </c>
      <c r="P38" s="54">
        <f>K38+5.25</f>
        <v>165.25</v>
      </c>
      <c r="Q38" s="44">
        <f t="shared" si="13"/>
        <v>150</v>
      </c>
      <c r="R38" s="50">
        <f t="shared" si="13"/>
        <v>210</v>
      </c>
    </row>
    <row r="39" spans="1:18" x14ac:dyDescent="0.25">
      <c r="A39" s="41" t="e">
        <f t="shared" si="11"/>
        <v>#REF!</v>
      </c>
      <c r="B39" s="42">
        <f t="shared" si="11"/>
        <v>29</v>
      </c>
      <c r="C39" s="41" t="s">
        <v>1064</v>
      </c>
      <c r="D39" s="43">
        <f t="shared" si="0"/>
        <v>9.8000000000000007</v>
      </c>
      <c r="E39" s="61">
        <f t="shared" si="1"/>
        <v>1.8130000000000002</v>
      </c>
      <c r="F39" s="61">
        <f t="shared" si="2"/>
        <v>42</v>
      </c>
      <c r="G39" s="64">
        <f t="shared" si="3"/>
        <v>0.58988764044943809</v>
      </c>
      <c r="H39" s="51">
        <f t="shared" si="8"/>
        <v>5.1334382022471905</v>
      </c>
      <c r="I39" s="42" t="str">
        <f t="shared" si="12"/>
        <v>IEC</v>
      </c>
      <c r="J39" s="50">
        <f t="shared" si="9"/>
        <v>10.5</v>
      </c>
      <c r="K39" s="49">
        <f t="shared" si="9"/>
        <v>160</v>
      </c>
      <c r="L39" s="44">
        <f t="shared" si="9"/>
        <v>8</v>
      </c>
      <c r="M39" s="44">
        <f t="shared" si="9"/>
        <v>0</v>
      </c>
      <c r="N39" s="45">
        <f t="shared" si="10"/>
        <v>0.2</v>
      </c>
      <c r="O39" s="49">
        <v>90</v>
      </c>
      <c r="P39" s="54">
        <f>K39</f>
        <v>160</v>
      </c>
      <c r="Q39" s="44">
        <f t="shared" si="13"/>
        <v>150</v>
      </c>
      <c r="R39" s="50">
        <f t="shared" si="13"/>
        <v>210</v>
      </c>
    </row>
    <row r="40" spans="1:18" x14ac:dyDescent="0.25">
      <c r="A40" s="41" t="e">
        <f t="shared" si="11"/>
        <v>#REF!</v>
      </c>
      <c r="B40" s="42">
        <f t="shared" si="11"/>
        <v>30</v>
      </c>
      <c r="C40" s="41" t="s">
        <v>1065</v>
      </c>
      <c r="D40" s="43">
        <f t="shared" si="0"/>
        <v>9.8000000000000007</v>
      </c>
      <c r="E40" s="61">
        <f t="shared" si="1"/>
        <v>1.8130000000000002</v>
      </c>
      <c r="F40" s="61">
        <f t="shared" si="2"/>
        <v>42</v>
      </c>
      <c r="G40" s="64">
        <f t="shared" si="3"/>
        <v>0.58988764044943809</v>
      </c>
      <c r="H40" s="51">
        <f t="shared" si="8"/>
        <v>5.1334382022471905</v>
      </c>
      <c r="I40" s="42" t="str">
        <f t="shared" si="12"/>
        <v>IEC</v>
      </c>
      <c r="J40" s="50">
        <f t="shared" si="9"/>
        <v>10.5</v>
      </c>
      <c r="K40" s="49">
        <f t="shared" si="9"/>
        <v>160</v>
      </c>
      <c r="L40" s="44">
        <f t="shared" si="9"/>
        <v>8</v>
      </c>
      <c r="M40" s="44">
        <f t="shared" si="9"/>
        <v>0</v>
      </c>
      <c r="N40" s="45">
        <f t="shared" si="10"/>
        <v>0.2</v>
      </c>
      <c r="O40" s="49">
        <v>90</v>
      </c>
      <c r="P40" s="54">
        <f>K40+2.46</f>
        <v>162.46</v>
      </c>
      <c r="Q40" s="44">
        <f t="shared" si="13"/>
        <v>150</v>
      </c>
      <c r="R40" s="50">
        <f t="shared" si="13"/>
        <v>210</v>
      </c>
    </row>
    <row r="41" spans="1:18" x14ac:dyDescent="0.25">
      <c r="A41" s="41" t="e">
        <f t="shared" si="11"/>
        <v>#REF!</v>
      </c>
      <c r="B41" s="42">
        <f t="shared" si="11"/>
        <v>31</v>
      </c>
      <c r="C41" s="41" t="s">
        <v>1066</v>
      </c>
      <c r="D41" s="43">
        <f t="shared" si="0"/>
        <v>9.8000000000000007</v>
      </c>
      <c r="E41" s="61">
        <f t="shared" si="1"/>
        <v>1.8130000000000002</v>
      </c>
      <c r="F41" s="61">
        <f t="shared" si="2"/>
        <v>42</v>
      </c>
      <c r="G41" s="64">
        <f t="shared" si="3"/>
        <v>0.58988764044943809</v>
      </c>
      <c r="H41" s="51">
        <f t="shared" si="8"/>
        <v>5.1334382022471905</v>
      </c>
      <c r="I41" s="42" t="str">
        <f t="shared" si="12"/>
        <v>IEC</v>
      </c>
      <c r="J41" s="50">
        <f t="shared" si="9"/>
        <v>10.5</v>
      </c>
      <c r="K41" s="49">
        <f t="shared" si="9"/>
        <v>160</v>
      </c>
      <c r="L41" s="44">
        <f t="shared" si="9"/>
        <v>8</v>
      </c>
      <c r="M41" s="44">
        <f t="shared" si="9"/>
        <v>0</v>
      </c>
      <c r="N41" s="45">
        <f t="shared" si="10"/>
        <v>0.2</v>
      </c>
      <c r="O41" s="49">
        <v>90</v>
      </c>
      <c r="P41" s="54">
        <f>K41+4</f>
        <v>164</v>
      </c>
      <c r="Q41" s="44">
        <f t="shared" si="13"/>
        <v>150</v>
      </c>
      <c r="R41" s="50">
        <f t="shared" si="13"/>
        <v>210</v>
      </c>
    </row>
    <row r="42" spans="1:18" x14ac:dyDescent="0.25">
      <c r="A42" s="41" t="e">
        <f t="shared" si="11"/>
        <v>#REF!</v>
      </c>
      <c r="B42" s="42">
        <f t="shared" si="11"/>
        <v>32</v>
      </c>
      <c r="C42" s="41" t="s">
        <v>1067</v>
      </c>
      <c r="D42" s="43">
        <f t="shared" si="0"/>
        <v>9.8000000000000007</v>
      </c>
      <c r="E42" s="61">
        <f t="shared" si="1"/>
        <v>1.8130000000000002</v>
      </c>
      <c r="F42" s="61">
        <f t="shared" si="2"/>
        <v>42</v>
      </c>
      <c r="G42" s="64">
        <f t="shared" si="3"/>
        <v>0.58988764044943809</v>
      </c>
      <c r="H42" s="51">
        <f t="shared" si="8"/>
        <v>5.1334382022471905</v>
      </c>
      <c r="I42" s="42" t="str">
        <f t="shared" si="12"/>
        <v>IEC</v>
      </c>
      <c r="J42" s="50">
        <f t="shared" si="9"/>
        <v>10.5</v>
      </c>
      <c r="K42" s="49">
        <f t="shared" si="9"/>
        <v>160</v>
      </c>
      <c r="L42" s="44">
        <f t="shared" si="9"/>
        <v>8</v>
      </c>
      <c r="M42" s="44">
        <f t="shared" si="9"/>
        <v>0</v>
      </c>
      <c r="N42" s="45">
        <f t="shared" si="10"/>
        <v>0.2</v>
      </c>
      <c r="O42" s="49">
        <v>90</v>
      </c>
      <c r="P42" s="54">
        <f>K42+5.25</f>
        <v>165.25</v>
      </c>
      <c r="Q42" s="44">
        <f t="shared" si="13"/>
        <v>150</v>
      </c>
      <c r="R42" s="50">
        <f t="shared" si="13"/>
        <v>210</v>
      </c>
    </row>
    <row r="43" spans="1:18" x14ac:dyDescent="0.25">
      <c r="A43" s="41" t="e">
        <f t="shared" si="11"/>
        <v>#REF!</v>
      </c>
      <c r="B43" s="42">
        <f t="shared" si="11"/>
        <v>33</v>
      </c>
      <c r="C43" s="41" t="s">
        <v>1068</v>
      </c>
      <c r="D43" s="43">
        <f t="shared" si="0"/>
        <v>9.8000000000000007</v>
      </c>
      <c r="E43" s="61">
        <f t="shared" ref="E43:E74" si="14">I_ref*(0.75*D43+5.6)</f>
        <v>1.8130000000000002</v>
      </c>
      <c r="F43" s="61">
        <f t="shared" si="2"/>
        <v>42</v>
      </c>
      <c r="G43" s="64">
        <f t="shared" ref="G43:G74" si="15">1/(1+0.2*(diameter/F43))</f>
        <v>0.58988764044943809</v>
      </c>
      <c r="H43" s="51">
        <f t="shared" si="8"/>
        <v>5.1334382022471905</v>
      </c>
      <c r="I43" s="42" t="str">
        <f t="shared" si="12"/>
        <v>IEC</v>
      </c>
      <c r="J43" s="50">
        <f t="shared" si="9"/>
        <v>10.5</v>
      </c>
      <c r="K43" s="49">
        <f t="shared" si="9"/>
        <v>160</v>
      </c>
      <c r="L43" s="44">
        <f t="shared" si="9"/>
        <v>8</v>
      </c>
      <c r="M43" s="44">
        <f>yaw_max</f>
        <v>8</v>
      </c>
      <c r="N43" s="45">
        <f t="shared" si="10"/>
        <v>0.2</v>
      </c>
      <c r="O43" s="49">
        <v>0</v>
      </c>
      <c r="P43" s="54">
        <f>K43</f>
        <v>160</v>
      </c>
      <c r="Q43" s="44">
        <f t="shared" si="13"/>
        <v>150</v>
      </c>
      <c r="R43" s="50">
        <f t="shared" si="13"/>
        <v>210</v>
      </c>
    </row>
    <row r="44" spans="1:18" x14ac:dyDescent="0.25">
      <c r="A44" s="41" t="e">
        <f t="shared" si="11"/>
        <v>#REF!</v>
      </c>
      <c r="B44" s="42">
        <f>B43+1</f>
        <v>34</v>
      </c>
      <c r="C44" s="41" t="s">
        <v>1069</v>
      </c>
      <c r="D44" s="43">
        <f t="shared" si="0"/>
        <v>9.8000000000000007</v>
      </c>
      <c r="E44" s="61">
        <f t="shared" si="14"/>
        <v>1.8130000000000002</v>
      </c>
      <c r="F44" s="61">
        <f t="shared" si="2"/>
        <v>42</v>
      </c>
      <c r="G44" s="64">
        <f t="shared" si="15"/>
        <v>0.58988764044943809</v>
      </c>
      <c r="H44" s="51">
        <f t="shared" si="8"/>
        <v>5.1334382022471905</v>
      </c>
      <c r="I44" s="42" t="str">
        <f>I43</f>
        <v>IEC</v>
      </c>
      <c r="J44" s="50">
        <f t="shared" ref="J44:M59" si="16">J43</f>
        <v>10.5</v>
      </c>
      <c r="K44" s="49">
        <f>K43</f>
        <v>160</v>
      </c>
      <c r="L44" s="44">
        <f>L43</f>
        <v>8</v>
      </c>
      <c r="M44" s="44">
        <f>M43</f>
        <v>8</v>
      </c>
      <c r="N44" s="45">
        <f t="shared" si="10"/>
        <v>0.2</v>
      </c>
      <c r="O44" s="49">
        <v>0</v>
      </c>
      <c r="P44" s="54">
        <f>K44+2.46</f>
        <v>162.46</v>
      </c>
      <c r="Q44" s="44">
        <f t="shared" si="13"/>
        <v>150</v>
      </c>
      <c r="R44" s="50">
        <f>R43</f>
        <v>210</v>
      </c>
    </row>
    <row r="45" spans="1:18" x14ac:dyDescent="0.25">
      <c r="A45" s="41" t="e">
        <f t="shared" ref="A45:B60" si="17">A44+1</f>
        <v>#REF!</v>
      </c>
      <c r="B45" s="42">
        <f t="shared" si="17"/>
        <v>35</v>
      </c>
      <c r="C45" s="41" t="s">
        <v>1070</v>
      </c>
      <c r="D45" s="43">
        <f t="shared" si="0"/>
        <v>9.8000000000000007</v>
      </c>
      <c r="E45" s="61">
        <f t="shared" si="14"/>
        <v>1.8130000000000002</v>
      </c>
      <c r="F45" s="61">
        <f t="shared" si="2"/>
        <v>42</v>
      </c>
      <c r="G45" s="64">
        <f t="shared" si="15"/>
        <v>0.58988764044943809</v>
      </c>
      <c r="H45" s="51">
        <f t="shared" si="8"/>
        <v>5.1334382022471905</v>
      </c>
      <c r="I45" s="42" t="str">
        <f t="shared" ref="I45:I59" si="18">I44</f>
        <v>IEC</v>
      </c>
      <c r="J45" s="50">
        <f t="shared" si="16"/>
        <v>10.5</v>
      </c>
      <c r="K45" s="49">
        <f t="shared" si="16"/>
        <v>160</v>
      </c>
      <c r="L45" s="44">
        <f t="shared" si="16"/>
        <v>8</v>
      </c>
      <c r="M45" s="44">
        <f t="shared" si="16"/>
        <v>8</v>
      </c>
      <c r="N45" s="45">
        <f t="shared" si="10"/>
        <v>0.2</v>
      </c>
      <c r="O45" s="49">
        <v>0</v>
      </c>
      <c r="P45" s="54">
        <f>K45+4</f>
        <v>164</v>
      </c>
      <c r="Q45" s="44">
        <f t="shared" ref="Q45:R60" si="19">Q44</f>
        <v>150</v>
      </c>
      <c r="R45" s="50">
        <f t="shared" si="19"/>
        <v>210</v>
      </c>
    </row>
    <row r="46" spans="1:18" x14ac:dyDescent="0.25">
      <c r="A46" s="41" t="e">
        <f t="shared" si="17"/>
        <v>#REF!</v>
      </c>
      <c r="B46" s="42">
        <f t="shared" si="17"/>
        <v>36</v>
      </c>
      <c r="C46" s="41" t="s">
        <v>1071</v>
      </c>
      <c r="D46" s="43">
        <f t="shared" si="0"/>
        <v>9.8000000000000007</v>
      </c>
      <c r="E46" s="61">
        <f t="shared" si="14"/>
        <v>1.8130000000000002</v>
      </c>
      <c r="F46" s="61">
        <f t="shared" si="2"/>
        <v>42</v>
      </c>
      <c r="G46" s="64">
        <f t="shared" si="15"/>
        <v>0.58988764044943809</v>
      </c>
      <c r="H46" s="51">
        <f t="shared" si="8"/>
        <v>5.1334382022471905</v>
      </c>
      <c r="I46" s="42" t="str">
        <f t="shared" si="18"/>
        <v>IEC</v>
      </c>
      <c r="J46" s="50">
        <f t="shared" si="16"/>
        <v>10.5</v>
      </c>
      <c r="K46" s="49">
        <f t="shared" si="16"/>
        <v>160</v>
      </c>
      <c r="L46" s="44">
        <f t="shared" si="16"/>
        <v>8</v>
      </c>
      <c r="M46" s="44">
        <f t="shared" si="16"/>
        <v>8</v>
      </c>
      <c r="N46" s="45">
        <f t="shared" si="10"/>
        <v>0.2</v>
      </c>
      <c r="O46" s="49">
        <v>0</v>
      </c>
      <c r="P46" s="54">
        <f>K46+5.25</f>
        <v>165.25</v>
      </c>
      <c r="Q46" s="44">
        <f t="shared" si="19"/>
        <v>150</v>
      </c>
      <c r="R46" s="50">
        <f t="shared" si="19"/>
        <v>210</v>
      </c>
    </row>
    <row r="47" spans="1:18" x14ac:dyDescent="0.25">
      <c r="A47" s="41" t="e">
        <f t="shared" si="17"/>
        <v>#REF!</v>
      </c>
      <c r="B47" s="42">
        <f t="shared" si="17"/>
        <v>37</v>
      </c>
      <c r="C47" s="41" t="s">
        <v>1072</v>
      </c>
      <c r="D47" s="43">
        <f t="shared" si="0"/>
        <v>9.8000000000000007</v>
      </c>
      <c r="E47" s="61">
        <f t="shared" si="14"/>
        <v>1.8130000000000002</v>
      </c>
      <c r="F47" s="61">
        <f t="shared" si="2"/>
        <v>42</v>
      </c>
      <c r="G47" s="64">
        <f t="shared" si="15"/>
        <v>0.58988764044943809</v>
      </c>
      <c r="H47" s="51">
        <f t="shared" si="8"/>
        <v>5.1334382022471905</v>
      </c>
      <c r="I47" s="42" t="str">
        <f t="shared" si="18"/>
        <v>IEC</v>
      </c>
      <c r="J47" s="50">
        <f t="shared" si="16"/>
        <v>10.5</v>
      </c>
      <c r="K47" s="49">
        <f t="shared" si="16"/>
        <v>160</v>
      </c>
      <c r="L47" s="44">
        <f t="shared" si="16"/>
        <v>8</v>
      </c>
      <c r="M47" s="44">
        <f t="shared" si="16"/>
        <v>8</v>
      </c>
      <c r="N47" s="45">
        <f t="shared" si="10"/>
        <v>0.2</v>
      </c>
      <c r="O47" s="49">
        <v>30</v>
      </c>
      <c r="P47" s="54">
        <f>K47</f>
        <v>160</v>
      </c>
      <c r="Q47" s="44">
        <f t="shared" si="19"/>
        <v>150</v>
      </c>
      <c r="R47" s="50">
        <f t="shared" si="19"/>
        <v>210</v>
      </c>
    </row>
    <row r="48" spans="1:18" x14ac:dyDescent="0.25">
      <c r="A48" s="41" t="e">
        <f t="shared" si="17"/>
        <v>#REF!</v>
      </c>
      <c r="B48" s="42">
        <f t="shared" si="17"/>
        <v>38</v>
      </c>
      <c r="C48" s="41" t="s">
        <v>1073</v>
      </c>
      <c r="D48" s="43">
        <f t="shared" si="0"/>
        <v>9.8000000000000007</v>
      </c>
      <c r="E48" s="61">
        <f t="shared" si="14"/>
        <v>1.8130000000000002</v>
      </c>
      <c r="F48" s="61">
        <f t="shared" si="2"/>
        <v>42</v>
      </c>
      <c r="G48" s="64">
        <f t="shared" si="15"/>
        <v>0.58988764044943809</v>
      </c>
      <c r="H48" s="51">
        <f t="shared" si="8"/>
        <v>5.1334382022471905</v>
      </c>
      <c r="I48" s="42" t="str">
        <f t="shared" si="18"/>
        <v>IEC</v>
      </c>
      <c r="J48" s="50">
        <f t="shared" si="16"/>
        <v>10.5</v>
      </c>
      <c r="K48" s="49">
        <f t="shared" si="16"/>
        <v>160</v>
      </c>
      <c r="L48" s="44">
        <f t="shared" si="16"/>
        <v>8</v>
      </c>
      <c r="M48" s="44">
        <f t="shared" si="16"/>
        <v>8</v>
      </c>
      <c r="N48" s="45">
        <f t="shared" si="10"/>
        <v>0.2</v>
      </c>
      <c r="O48" s="49">
        <v>30</v>
      </c>
      <c r="P48" s="54">
        <f>K48+2.46</f>
        <v>162.46</v>
      </c>
      <c r="Q48" s="44">
        <f t="shared" si="19"/>
        <v>150</v>
      </c>
      <c r="R48" s="50">
        <f t="shared" si="19"/>
        <v>210</v>
      </c>
    </row>
    <row r="49" spans="1:18" x14ac:dyDescent="0.25">
      <c r="A49" s="41" t="e">
        <f t="shared" si="17"/>
        <v>#REF!</v>
      </c>
      <c r="B49" s="42">
        <f t="shared" si="17"/>
        <v>39</v>
      </c>
      <c r="C49" s="41" t="s">
        <v>1074</v>
      </c>
      <c r="D49" s="43">
        <f t="shared" si="0"/>
        <v>9.8000000000000007</v>
      </c>
      <c r="E49" s="61">
        <f t="shared" si="14"/>
        <v>1.8130000000000002</v>
      </c>
      <c r="F49" s="61">
        <f t="shared" si="2"/>
        <v>42</v>
      </c>
      <c r="G49" s="64">
        <f t="shared" si="15"/>
        <v>0.58988764044943809</v>
      </c>
      <c r="H49" s="51">
        <f t="shared" si="8"/>
        <v>5.1334382022471905</v>
      </c>
      <c r="I49" s="42" t="str">
        <f t="shared" si="18"/>
        <v>IEC</v>
      </c>
      <c r="J49" s="50">
        <f t="shared" si="16"/>
        <v>10.5</v>
      </c>
      <c r="K49" s="49">
        <f t="shared" si="16"/>
        <v>160</v>
      </c>
      <c r="L49" s="44">
        <f t="shared" si="16"/>
        <v>8</v>
      </c>
      <c r="M49" s="44">
        <f t="shared" si="16"/>
        <v>8</v>
      </c>
      <c r="N49" s="45">
        <f t="shared" si="10"/>
        <v>0.2</v>
      </c>
      <c r="O49" s="49">
        <v>30</v>
      </c>
      <c r="P49" s="54">
        <f>K49+4</f>
        <v>164</v>
      </c>
      <c r="Q49" s="44">
        <f t="shared" si="19"/>
        <v>150</v>
      </c>
      <c r="R49" s="50">
        <f t="shared" si="19"/>
        <v>210</v>
      </c>
    </row>
    <row r="50" spans="1:18" x14ac:dyDescent="0.25">
      <c r="A50" s="41" t="e">
        <f t="shared" si="17"/>
        <v>#REF!</v>
      </c>
      <c r="B50" s="42">
        <f t="shared" si="17"/>
        <v>40</v>
      </c>
      <c r="C50" s="41" t="s">
        <v>1075</v>
      </c>
      <c r="D50" s="43">
        <f t="shared" si="0"/>
        <v>9.8000000000000007</v>
      </c>
      <c r="E50" s="61">
        <f t="shared" si="14"/>
        <v>1.8130000000000002</v>
      </c>
      <c r="F50" s="61">
        <f t="shared" si="2"/>
        <v>42</v>
      </c>
      <c r="G50" s="64">
        <f t="shared" si="15"/>
        <v>0.58988764044943809</v>
      </c>
      <c r="H50" s="51">
        <f t="shared" si="8"/>
        <v>5.1334382022471905</v>
      </c>
      <c r="I50" s="42" t="str">
        <f t="shared" si="18"/>
        <v>IEC</v>
      </c>
      <c r="J50" s="50">
        <f t="shared" si="16"/>
        <v>10.5</v>
      </c>
      <c r="K50" s="49">
        <f t="shared" si="16"/>
        <v>160</v>
      </c>
      <c r="L50" s="44">
        <f t="shared" si="16"/>
        <v>8</v>
      </c>
      <c r="M50" s="44">
        <f t="shared" si="16"/>
        <v>8</v>
      </c>
      <c r="N50" s="45">
        <f t="shared" si="10"/>
        <v>0.2</v>
      </c>
      <c r="O50" s="49">
        <v>30</v>
      </c>
      <c r="P50" s="54">
        <f>K50+5.25</f>
        <v>165.25</v>
      </c>
      <c r="Q50" s="44">
        <f t="shared" si="19"/>
        <v>150</v>
      </c>
      <c r="R50" s="50">
        <f t="shared" si="19"/>
        <v>210</v>
      </c>
    </row>
    <row r="51" spans="1:18" x14ac:dyDescent="0.25">
      <c r="A51" s="41" t="e">
        <f t="shared" si="17"/>
        <v>#REF!</v>
      </c>
      <c r="B51" s="42">
        <f t="shared" si="17"/>
        <v>41</v>
      </c>
      <c r="C51" s="41" t="s">
        <v>1076</v>
      </c>
      <c r="D51" s="43">
        <f t="shared" si="0"/>
        <v>9.8000000000000007</v>
      </c>
      <c r="E51" s="61">
        <f t="shared" si="14"/>
        <v>1.8130000000000002</v>
      </c>
      <c r="F51" s="61">
        <f t="shared" si="2"/>
        <v>42</v>
      </c>
      <c r="G51" s="64">
        <f t="shared" si="15"/>
        <v>0.58988764044943809</v>
      </c>
      <c r="H51" s="51">
        <f t="shared" si="8"/>
        <v>5.1334382022471905</v>
      </c>
      <c r="I51" s="42" t="str">
        <f t="shared" si="18"/>
        <v>IEC</v>
      </c>
      <c r="J51" s="50">
        <f t="shared" si="16"/>
        <v>10.5</v>
      </c>
      <c r="K51" s="49">
        <f t="shared" si="16"/>
        <v>160</v>
      </c>
      <c r="L51" s="44">
        <f t="shared" si="16"/>
        <v>8</v>
      </c>
      <c r="M51" s="44">
        <f t="shared" si="16"/>
        <v>8</v>
      </c>
      <c r="N51" s="45">
        <f t="shared" si="10"/>
        <v>0.2</v>
      </c>
      <c r="O51" s="49">
        <v>60</v>
      </c>
      <c r="P51" s="54">
        <f>K51</f>
        <v>160</v>
      </c>
      <c r="Q51" s="44">
        <f t="shared" si="19"/>
        <v>150</v>
      </c>
      <c r="R51" s="50">
        <f t="shared" si="19"/>
        <v>210</v>
      </c>
    </row>
    <row r="52" spans="1:18" x14ac:dyDescent="0.25">
      <c r="A52" s="41" t="e">
        <f t="shared" si="17"/>
        <v>#REF!</v>
      </c>
      <c r="B52" s="42">
        <f t="shared" si="17"/>
        <v>42</v>
      </c>
      <c r="C52" s="41" t="s">
        <v>1077</v>
      </c>
      <c r="D52" s="43">
        <f t="shared" si="0"/>
        <v>9.8000000000000007</v>
      </c>
      <c r="E52" s="61">
        <f t="shared" si="14"/>
        <v>1.8130000000000002</v>
      </c>
      <c r="F52" s="61">
        <f t="shared" si="2"/>
        <v>42</v>
      </c>
      <c r="G52" s="64">
        <f t="shared" si="15"/>
        <v>0.58988764044943809</v>
      </c>
      <c r="H52" s="51">
        <f t="shared" si="8"/>
        <v>5.1334382022471905</v>
      </c>
      <c r="I52" s="42" t="str">
        <f t="shared" si="18"/>
        <v>IEC</v>
      </c>
      <c r="J52" s="50">
        <f t="shared" si="16"/>
        <v>10.5</v>
      </c>
      <c r="K52" s="49">
        <f t="shared" si="16"/>
        <v>160</v>
      </c>
      <c r="L52" s="44">
        <f t="shared" si="16"/>
        <v>8</v>
      </c>
      <c r="M52" s="44">
        <f t="shared" si="16"/>
        <v>8</v>
      </c>
      <c r="N52" s="45">
        <f t="shared" si="10"/>
        <v>0.2</v>
      </c>
      <c r="O52" s="49">
        <v>60</v>
      </c>
      <c r="P52" s="54">
        <f>K52+2.46</f>
        <v>162.46</v>
      </c>
      <c r="Q52" s="44">
        <f t="shared" si="19"/>
        <v>150</v>
      </c>
      <c r="R52" s="50">
        <f t="shared" si="19"/>
        <v>210</v>
      </c>
    </row>
    <row r="53" spans="1:18" x14ac:dyDescent="0.25">
      <c r="A53" s="41" t="e">
        <f t="shared" si="17"/>
        <v>#REF!</v>
      </c>
      <c r="B53" s="42">
        <f t="shared" si="17"/>
        <v>43</v>
      </c>
      <c r="C53" s="41" t="s">
        <v>1078</v>
      </c>
      <c r="D53" s="43">
        <f t="shared" si="0"/>
        <v>9.8000000000000007</v>
      </c>
      <c r="E53" s="61">
        <f t="shared" si="14"/>
        <v>1.8130000000000002</v>
      </c>
      <c r="F53" s="61">
        <f t="shared" si="2"/>
        <v>42</v>
      </c>
      <c r="G53" s="64">
        <f t="shared" si="15"/>
        <v>0.58988764044943809</v>
      </c>
      <c r="H53" s="51">
        <f t="shared" si="8"/>
        <v>5.1334382022471905</v>
      </c>
      <c r="I53" s="42" t="str">
        <f t="shared" si="18"/>
        <v>IEC</v>
      </c>
      <c r="J53" s="50">
        <f t="shared" si="16"/>
        <v>10.5</v>
      </c>
      <c r="K53" s="49">
        <f t="shared" si="16"/>
        <v>160</v>
      </c>
      <c r="L53" s="44">
        <f t="shared" si="16"/>
        <v>8</v>
      </c>
      <c r="M53" s="44">
        <f t="shared" si="16"/>
        <v>8</v>
      </c>
      <c r="N53" s="45">
        <f t="shared" si="10"/>
        <v>0.2</v>
      </c>
      <c r="O53" s="49">
        <v>60</v>
      </c>
      <c r="P53" s="54">
        <f>K53+4</f>
        <v>164</v>
      </c>
      <c r="Q53" s="44">
        <f t="shared" si="19"/>
        <v>150</v>
      </c>
      <c r="R53" s="50">
        <f t="shared" si="19"/>
        <v>210</v>
      </c>
    </row>
    <row r="54" spans="1:18" x14ac:dyDescent="0.25">
      <c r="A54" s="41" t="e">
        <f t="shared" si="17"/>
        <v>#REF!</v>
      </c>
      <c r="B54" s="42">
        <f t="shared" si="17"/>
        <v>44</v>
      </c>
      <c r="C54" s="41" t="s">
        <v>1079</v>
      </c>
      <c r="D54" s="43">
        <f t="shared" si="0"/>
        <v>9.8000000000000007</v>
      </c>
      <c r="E54" s="61">
        <f t="shared" si="14"/>
        <v>1.8130000000000002</v>
      </c>
      <c r="F54" s="61">
        <f t="shared" si="2"/>
        <v>42</v>
      </c>
      <c r="G54" s="64">
        <f t="shared" si="15"/>
        <v>0.58988764044943809</v>
      </c>
      <c r="H54" s="51">
        <f t="shared" si="8"/>
        <v>5.1334382022471905</v>
      </c>
      <c r="I54" s="42" t="str">
        <f t="shared" si="18"/>
        <v>IEC</v>
      </c>
      <c r="J54" s="50">
        <f t="shared" si="16"/>
        <v>10.5</v>
      </c>
      <c r="K54" s="49">
        <f t="shared" si="16"/>
        <v>160</v>
      </c>
      <c r="L54" s="44">
        <f t="shared" si="16"/>
        <v>8</v>
      </c>
      <c r="M54" s="44">
        <f t="shared" si="16"/>
        <v>8</v>
      </c>
      <c r="N54" s="45">
        <f t="shared" si="10"/>
        <v>0.2</v>
      </c>
      <c r="O54" s="49">
        <v>60</v>
      </c>
      <c r="P54" s="54">
        <f>K54+5.25</f>
        <v>165.25</v>
      </c>
      <c r="Q54" s="44">
        <f t="shared" si="19"/>
        <v>150</v>
      </c>
      <c r="R54" s="50">
        <f t="shared" si="19"/>
        <v>210</v>
      </c>
    </row>
    <row r="55" spans="1:18" x14ac:dyDescent="0.25">
      <c r="A55" s="41" t="e">
        <f t="shared" si="17"/>
        <v>#REF!</v>
      </c>
      <c r="B55" s="42">
        <f t="shared" si="17"/>
        <v>45</v>
      </c>
      <c r="C55" s="41" t="s">
        <v>1080</v>
      </c>
      <c r="D55" s="43">
        <f t="shared" si="0"/>
        <v>9.8000000000000007</v>
      </c>
      <c r="E55" s="61">
        <f t="shared" si="14"/>
        <v>1.8130000000000002</v>
      </c>
      <c r="F55" s="61">
        <f t="shared" si="2"/>
        <v>42</v>
      </c>
      <c r="G55" s="64">
        <f t="shared" si="15"/>
        <v>0.58988764044943809</v>
      </c>
      <c r="H55" s="51">
        <f t="shared" si="8"/>
        <v>5.1334382022471905</v>
      </c>
      <c r="I55" s="42" t="str">
        <f t="shared" si="18"/>
        <v>IEC</v>
      </c>
      <c r="J55" s="50">
        <f t="shared" si="16"/>
        <v>10.5</v>
      </c>
      <c r="K55" s="49">
        <f t="shared" si="16"/>
        <v>160</v>
      </c>
      <c r="L55" s="44">
        <f t="shared" si="16"/>
        <v>8</v>
      </c>
      <c r="M55" s="44">
        <f t="shared" si="16"/>
        <v>8</v>
      </c>
      <c r="N55" s="45">
        <f t="shared" si="10"/>
        <v>0.2</v>
      </c>
      <c r="O55" s="49">
        <v>90</v>
      </c>
      <c r="P55" s="54">
        <f>K55</f>
        <v>160</v>
      </c>
      <c r="Q55" s="44">
        <f t="shared" si="19"/>
        <v>150</v>
      </c>
      <c r="R55" s="50">
        <f t="shared" si="19"/>
        <v>210</v>
      </c>
    </row>
    <row r="56" spans="1:18" x14ac:dyDescent="0.25">
      <c r="A56" s="41" t="e">
        <f t="shared" si="17"/>
        <v>#REF!</v>
      </c>
      <c r="B56" s="42">
        <f t="shared" si="17"/>
        <v>46</v>
      </c>
      <c r="C56" s="41" t="s">
        <v>1081</v>
      </c>
      <c r="D56" s="43">
        <f t="shared" si="0"/>
        <v>9.8000000000000007</v>
      </c>
      <c r="E56" s="61">
        <f t="shared" si="14"/>
        <v>1.8130000000000002</v>
      </c>
      <c r="F56" s="61">
        <f t="shared" si="2"/>
        <v>42</v>
      </c>
      <c r="G56" s="64">
        <f t="shared" si="15"/>
        <v>0.58988764044943809</v>
      </c>
      <c r="H56" s="51">
        <f t="shared" si="8"/>
        <v>5.1334382022471905</v>
      </c>
      <c r="I56" s="42" t="str">
        <f t="shared" si="18"/>
        <v>IEC</v>
      </c>
      <c r="J56" s="50">
        <f t="shared" si="16"/>
        <v>10.5</v>
      </c>
      <c r="K56" s="49">
        <f t="shared" si="16"/>
        <v>160</v>
      </c>
      <c r="L56" s="44">
        <f t="shared" si="16"/>
        <v>8</v>
      </c>
      <c r="M56" s="44">
        <f t="shared" si="16"/>
        <v>8</v>
      </c>
      <c r="N56" s="45">
        <f t="shared" si="10"/>
        <v>0.2</v>
      </c>
      <c r="O56" s="49">
        <v>90</v>
      </c>
      <c r="P56" s="54">
        <f>K56+2.46</f>
        <v>162.46</v>
      </c>
      <c r="Q56" s="44">
        <f t="shared" si="19"/>
        <v>150</v>
      </c>
      <c r="R56" s="50">
        <f t="shared" si="19"/>
        <v>210</v>
      </c>
    </row>
    <row r="57" spans="1:18" x14ac:dyDescent="0.25">
      <c r="A57" s="41" t="e">
        <f t="shared" si="17"/>
        <v>#REF!</v>
      </c>
      <c r="B57" s="42">
        <f t="shared" si="17"/>
        <v>47</v>
      </c>
      <c r="C57" s="41" t="s">
        <v>1082</v>
      </c>
      <c r="D57" s="43">
        <f t="shared" si="0"/>
        <v>9.8000000000000007</v>
      </c>
      <c r="E57" s="61">
        <f t="shared" si="14"/>
        <v>1.8130000000000002</v>
      </c>
      <c r="F57" s="61">
        <f t="shared" si="2"/>
        <v>42</v>
      </c>
      <c r="G57" s="64">
        <f t="shared" si="15"/>
        <v>0.58988764044943809</v>
      </c>
      <c r="H57" s="51">
        <f t="shared" si="8"/>
        <v>5.1334382022471905</v>
      </c>
      <c r="I57" s="42" t="str">
        <f t="shared" si="18"/>
        <v>IEC</v>
      </c>
      <c r="J57" s="50">
        <f t="shared" si="16"/>
        <v>10.5</v>
      </c>
      <c r="K57" s="49">
        <f t="shared" si="16"/>
        <v>160</v>
      </c>
      <c r="L57" s="44">
        <f t="shared" si="16"/>
        <v>8</v>
      </c>
      <c r="M57" s="44">
        <f t="shared" si="16"/>
        <v>8</v>
      </c>
      <c r="N57" s="45">
        <f t="shared" si="10"/>
        <v>0.2</v>
      </c>
      <c r="O57" s="49">
        <v>90</v>
      </c>
      <c r="P57" s="54">
        <f>K57+4</f>
        <v>164</v>
      </c>
      <c r="Q57" s="44">
        <f t="shared" si="19"/>
        <v>150</v>
      </c>
      <c r="R57" s="50">
        <f t="shared" si="19"/>
        <v>210</v>
      </c>
    </row>
    <row r="58" spans="1:18" ht="15.75" thickBot="1" x14ac:dyDescent="0.3">
      <c r="A58" s="41" t="e">
        <f t="shared" si="17"/>
        <v>#REF!</v>
      </c>
      <c r="B58" s="42">
        <f t="shared" si="17"/>
        <v>48</v>
      </c>
      <c r="C58" s="41" t="s">
        <v>1083</v>
      </c>
      <c r="D58" s="43">
        <f t="shared" si="0"/>
        <v>9.8000000000000007</v>
      </c>
      <c r="E58" s="61">
        <f t="shared" si="14"/>
        <v>1.8130000000000002</v>
      </c>
      <c r="F58" s="61">
        <f t="shared" si="2"/>
        <v>42</v>
      </c>
      <c r="G58" s="64">
        <f t="shared" si="15"/>
        <v>0.58988764044943809</v>
      </c>
      <c r="H58" s="51">
        <f t="shared" si="8"/>
        <v>5.1334382022471905</v>
      </c>
      <c r="I58" s="42" t="str">
        <f t="shared" si="18"/>
        <v>IEC</v>
      </c>
      <c r="J58" s="50">
        <f t="shared" si="16"/>
        <v>10.5</v>
      </c>
      <c r="K58" s="49">
        <f t="shared" si="16"/>
        <v>160</v>
      </c>
      <c r="L58" s="44">
        <f t="shared" si="16"/>
        <v>8</v>
      </c>
      <c r="M58" s="44">
        <f t="shared" si="16"/>
        <v>8</v>
      </c>
      <c r="N58" s="45">
        <f t="shared" si="10"/>
        <v>0.2</v>
      </c>
      <c r="O58" s="49">
        <v>90</v>
      </c>
      <c r="P58" s="54">
        <f>K58+5.25</f>
        <v>165.25</v>
      </c>
      <c r="Q58" s="44">
        <f t="shared" si="19"/>
        <v>150</v>
      </c>
      <c r="R58" s="50">
        <f t="shared" si="19"/>
        <v>210</v>
      </c>
    </row>
    <row r="59" spans="1:18" x14ac:dyDescent="0.25">
      <c r="A59" s="41" t="e">
        <f t="shared" si="17"/>
        <v>#REF!</v>
      </c>
      <c r="B59" s="42">
        <f t="shared" si="17"/>
        <v>49</v>
      </c>
      <c r="C59" s="41" t="s">
        <v>1084</v>
      </c>
      <c r="D59" s="43">
        <f t="shared" ref="D59:D106" si="20">vr_a</f>
        <v>11.8</v>
      </c>
      <c r="E59" s="61">
        <f t="shared" si="14"/>
        <v>2.0230000000000001</v>
      </c>
      <c r="F59" s="61">
        <f t="shared" si="2"/>
        <v>42</v>
      </c>
      <c r="G59" s="64">
        <f t="shared" si="15"/>
        <v>0.58988764044943809</v>
      </c>
      <c r="H59" s="51">
        <f t="shared" si="8"/>
        <v>5.7280449438202234</v>
      </c>
      <c r="I59" s="42" t="str">
        <f t="shared" si="18"/>
        <v>IEC</v>
      </c>
      <c r="J59" s="50">
        <f t="shared" si="16"/>
        <v>10.5</v>
      </c>
      <c r="K59" s="49">
        <f t="shared" si="16"/>
        <v>160</v>
      </c>
      <c r="L59" s="44">
        <f t="shared" si="16"/>
        <v>8</v>
      </c>
      <c r="M59" s="35">
        <f>yaw_min</f>
        <v>-8</v>
      </c>
      <c r="N59" s="45">
        <f t="shared" si="10"/>
        <v>0.2</v>
      </c>
      <c r="O59" s="49">
        <v>0</v>
      </c>
      <c r="P59" s="54">
        <f>K59</f>
        <v>160</v>
      </c>
      <c r="Q59" s="44">
        <f t="shared" si="19"/>
        <v>150</v>
      </c>
      <c r="R59" s="50">
        <f t="shared" si="19"/>
        <v>210</v>
      </c>
    </row>
    <row r="60" spans="1:18" x14ac:dyDescent="0.25">
      <c r="A60" s="41" t="e">
        <f t="shared" si="17"/>
        <v>#REF!</v>
      </c>
      <c r="B60" s="42">
        <f>B59+1</f>
        <v>50</v>
      </c>
      <c r="C60" s="41" t="s">
        <v>1085</v>
      </c>
      <c r="D60" s="43">
        <f t="shared" si="20"/>
        <v>11.8</v>
      </c>
      <c r="E60" s="61">
        <f t="shared" si="14"/>
        <v>2.0230000000000001</v>
      </c>
      <c r="F60" s="61">
        <f t="shared" si="2"/>
        <v>42</v>
      </c>
      <c r="G60" s="64">
        <f t="shared" si="15"/>
        <v>0.58988764044943809</v>
      </c>
      <c r="H60" s="51">
        <f t="shared" si="8"/>
        <v>5.7280449438202234</v>
      </c>
      <c r="I60" s="42" t="str">
        <f>I59</f>
        <v>IEC</v>
      </c>
      <c r="J60" s="50">
        <f t="shared" ref="J60:M75" si="21">J59</f>
        <v>10.5</v>
      </c>
      <c r="K60" s="49">
        <f>K59</f>
        <v>160</v>
      </c>
      <c r="L60" s="44">
        <f>L59</f>
        <v>8</v>
      </c>
      <c r="M60" s="44">
        <f>M59</f>
        <v>-8</v>
      </c>
      <c r="N60" s="45">
        <f t="shared" si="10"/>
        <v>0.2</v>
      </c>
      <c r="O60" s="49">
        <v>0</v>
      </c>
      <c r="P60" s="54">
        <f>K60+2.46</f>
        <v>162.46</v>
      </c>
      <c r="Q60" s="44">
        <f t="shared" si="19"/>
        <v>150</v>
      </c>
      <c r="R60" s="50">
        <f>R59</f>
        <v>210</v>
      </c>
    </row>
    <row r="61" spans="1:18" x14ac:dyDescent="0.25">
      <c r="A61" s="41" t="e">
        <f t="shared" ref="A61:B76" si="22">A60+1</f>
        <v>#REF!</v>
      </c>
      <c r="B61" s="42">
        <f t="shared" si="22"/>
        <v>51</v>
      </c>
      <c r="C61" s="41" t="s">
        <v>1086</v>
      </c>
      <c r="D61" s="43">
        <f t="shared" si="20"/>
        <v>11.8</v>
      </c>
      <c r="E61" s="61">
        <f t="shared" si="14"/>
        <v>2.0230000000000001</v>
      </c>
      <c r="F61" s="61">
        <f t="shared" si="2"/>
        <v>42</v>
      </c>
      <c r="G61" s="64">
        <f t="shared" si="15"/>
        <v>0.58988764044943809</v>
      </c>
      <c r="H61" s="51">
        <f t="shared" si="8"/>
        <v>5.7280449438202234</v>
      </c>
      <c r="I61" s="42" t="str">
        <f t="shared" ref="I61:I75" si="23">I60</f>
        <v>IEC</v>
      </c>
      <c r="J61" s="50">
        <f t="shared" si="21"/>
        <v>10.5</v>
      </c>
      <c r="K61" s="49">
        <f t="shared" si="21"/>
        <v>160</v>
      </c>
      <c r="L61" s="44">
        <f t="shared" si="21"/>
        <v>8</v>
      </c>
      <c r="M61" s="44">
        <f t="shared" si="21"/>
        <v>-8</v>
      </c>
      <c r="N61" s="45">
        <f t="shared" si="10"/>
        <v>0.2</v>
      </c>
      <c r="O61" s="49">
        <v>0</v>
      </c>
      <c r="P61" s="54">
        <f>K61+4</f>
        <v>164</v>
      </c>
      <c r="Q61" s="44">
        <f t="shared" ref="Q61:R76" si="24">Q60</f>
        <v>150</v>
      </c>
      <c r="R61" s="50">
        <f t="shared" si="24"/>
        <v>210</v>
      </c>
    </row>
    <row r="62" spans="1:18" x14ac:dyDescent="0.25">
      <c r="A62" s="41" t="e">
        <f t="shared" si="22"/>
        <v>#REF!</v>
      </c>
      <c r="B62" s="42">
        <f t="shared" si="22"/>
        <v>52</v>
      </c>
      <c r="C62" s="41" t="s">
        <v>1087</v>
      </c>
      <c r="D62" s="43">
        <f t="shared" si="20"/>
        <v>11.8</v>
      </c>
      <c r="E62" s="61">
        <f t="shared" si="14"/>
        <v>2.0230000000000001</v>
      </c>
      <c r="F62" s="61">
        <f t="shared" si="2"/>
        <v>42</v>
      </c>
      <c r="G62" s="64">
        <f t="shared" si="15"/>
        <v>0.58988764044943809</v>
      </c>
      <c r="H62" s="51">
        <f t="shared" si="8"/>
        <v>5.7280449438202234</v>
      </c>
      <c r="I62" s="42" t="str">
        <f t="shared" si="23"/>
        <v>IEC</v>
      </c>
      <c r="J62" s="50">
        <f t="shared" si="21"/>
        <v>10.5</v>
      </c>
      <c r="K62" s="49">
        <f t="shared" si="21"/>
        <v>160</v>
      </c>
      <c r="L62" s="44">
        <f t="shared" si="21"/>
        <v>8</v>
      </c>
      <c r="M62" s="44">
        <f t="shared" si="21"/>
        <v>-8</v>
      </c>
      <c r="N62" s="45">
        <f t="shared" si="10"/>
        <v>0.2</v>
      </c>
      <c r="O62" s="49">
        <v>0</v>
      </c>
      <c r="P62" s="54">
        <f>K62+5.25</f>
        <v>165.25</v>
      </c>
      <c r="Q62" s="44">
        <f t="shared" si="24"/>
        <v>150</v>
      </c>
      <c r="R62" s="50">
        <f t="shared" si="24"/>
        <v>210</v>
      </c>
    </row>
    <row r="63" spans="1:18" x14ac:dyDescent="0.25">
      <c r="A63" s="41" t="e">
        <f t="shared" si="22"/>
        <v>#REF!</v>
      </c>
      <c r="B63" s="42">
        <f t="shared" si="22"/>
        <v>53</v>
      </c>
      <c r="C63" s="41" t="s">
        <v>1088</v>
      </c>
      <c r="D63" s="43">
        <f t="shared" si="20"/>
        <v>11.8</v>
      </c>
      <c r="E63" s="61">
        <f t="shared" si="14"/>
        <v>2.0230000000000001</v>
      </c>
      <c r="F63" s="61">
        <f t="shared" si="2"/>
        <v>42</v>
      </c>
      <c r="G63" s="64">
        <f t="shared" si="15"/>
        <v>0.58988764044943809</v>
      </c>
      <c r="H63" s="51">
        <f t="shared" si="8"/>
        <v>5.7280449438202234</v>
      </c>
      <c r="I63" s="42" t="str">
        <f t="shared" si="23"/>
        <v>IEC</v>
      </c>
      <c r="J63" s="50">
        <f t="shared" si="21"/>
        <v>10.5</v>
      </c>
      <c r="K63" s="49">
        <f t="shared" si="21"/>
        <v>160</v>
      </c>
      <c r="L63" s="44">
        <f t="shared" si="21"/>
        <v>8</v>
      </c>
      <c r="M63" s="44">
        <f t="shared" si="21"/>
        <v>-8</v>
      </c>
      <c r="N63" s="45">
        <f t="shared" si="10"/>
        <v>0.2</v>
      </c>
      <c r="O63" s="49">
        <v>30</v>
      </c>
      <c r="P63" s="54">
        <f>K63</f>
        <v>160</v>
      </c>
      <c r="Q63" s="44">
        <f t="shared" si="24"/>
        <v>150</v>
      </c>
      <c r="R63" s="50">
        <f t="shared" si="24"/>
        <v>210</v>
      </c>
    </row>
    <row r="64" spans="1:18" x14ac:dyDescent="0.25">
      <c r="A64" s="41" t="e">
        <f t="shared" si="22"/>
        <v>#REF!</v>
      </c>
      <c r="B64" s="42">
        <f t="shared" si="22"/>
        <v>54</v>
      </c>
      <c r="C64" s="41" t="s">
        <v>1089</v>
      </c>
      <c r="D64" s="43">
        <f t="shared" si="20"/>
        <v>11.8</v>
      </c>
      <c r="E64" s="61">
        <f t="shared" si="14"/>
        <v>2.0230000000000001</v>
      </c>
      <c r="F64" s="61">
        <f t="shared" si="2"/>
        <v>42</v>
      </c>
      <c r="G64" s="64">
        <f t="shared" si="15"/>
        <v>0.58988764044943809</v>
      </c>
      <c r="H64" s="51">
        <f t="shared" si="8"/>
        <v>5.7280449438202234</v>
      </c>
      <c r="I64" s="42" t="str">
        <f t="shared" si="23"/>
        <v>IEC</v>
      </c>
      <c r="J64" s="50">
        <f t="shared" si="21"/>
        <v>10.5</v>
      </c>
      <c r="K64" s="49">
        <f t="shared" si="21"/>
        <v>160</v>
      </c>
      <c r="L64" s="44">
        <f t="shared" si="21"/>
        <v>8</v>
      </c>
      <c r="M64" s="44">
        <f t="shared" si="21"/>
        <v>-8</v>
      </c>
      <c r="N64" s="45">
        <f t="shared" si="10"/>
        <v>0.2</v>
      </c>
      <c r="O64" s="49">
        <v>30</v>
      </c>
      <c r="P64" s="54">
        <f>K64+2.46</f>
        <v>162.46</v>
      </c>
      <c r="Q64" s="44">
        <f t="shared" si="24"/>
        <v>150</v>
      </c>
      <c r="R64" s="50">
        <f t="shared" si="24"/>
        <v>210</v>
      </c>
    </row>
    <row r="65" spans="1:18" x14ac:dyDescent="0.25">
      <c r="A65" s="41" t="e">
        <f t="shared" si="22"/>
        <v>#REF!</v>
      </c>
      <c r="B65" s="42">
        <f t="shared" si="22"/>
        <v>55</v>
      </c>
      <c r="C65" s="41" t="s">
        <v>1090</v>
      </c>
      <c r="D65" s="43">
        <f t="shared" si="20"/>
        <v>11.8</v>
      </c>
      <c r="E65" s="61">
        <f t="shared" si="14"/>
        <v>2.0230000000000001</v>
      </c>
      <c r="F65" s="61">
        <f t="shared" si="2"/>
        <v>42</v>
      </c>
      <c r="G65" s="64">
        <f t="shared" si="15"/>
        <v>0.58988764044943809</v>
      </c>
      <c r="H65" s="51">
        <f t="shared" si="8"/>
        <v>5.7280449438202234</v>
      </c>
      <c r="I65" s="42" t="str">
        <f t="shared" si="23"/>
        <v>IEC</v>
      </c>
      <c r="J65" s="50">
        <f t="shared" si="21"/>
        <v>10.5</v>
      </c>
      <c r="K65" s="49">
        <f t="shared" si="21"/>
        <v>160</v>
      </c>
      <c r="L65" s="44">
        <f t="shared" si="21"/>
        <v>8</v>
      </c>
      <c r="M65" s="44">
        <f t="shared" si="21"/>
        <v>-8</v>
      </c>
      <c r="N65" s="45">
        <f t="shared" si="10"/>
        <v>0.2</v>
      </c>
      <c r="O65" s="49">
        <v>30</v>
      </c>
      <c r="P65" s="54">
        <f>K65+4</f>
        <v>164</v>
      </c>
      <c r="Q65" s="44">
        <f t="shared" si="24"/>
        <v>150</v>
      </c>
      <c r="R65" s="50">
        <f t="shared" si="24"/>
        <v>210</v>
      </c>
    </row>
    <row r="66" spans="1:18" x14ac:dyDescent="0.25">
      <c r="A66" s="41" t="e">
        <f t="shared" si="22"/>
        <v>#REF!</v>
      </c>
      <c r="B66" s="42">
        <f t="shared" si="22"/>
        <v>56</v>
      </c>
      <c r="C66" s="41" t="s">
        <v>1091</v>
      </c>
      <c r="D66" s="43">
        <f t="shared" si="20"/>
        <v>11.8</v>
      </c>
      <c r="E66" s="61">
        <f t="shared" si="14"/>
        <v>2.0230000000000001</v>
      </c>
      <c r="F66" s="61">
        <f t="shared" si="2"/>
        <v>42</v>
      </c>
      <c r="G66" s="64">
        <f t="shared" si="15"/>
        <v>0.58988764044943809</v>
      </c>
      <c r="H66" s="51">
        <f t="shared" si="8"/>
        <v>5.7280449438202234</v>
      </c>
      <c r="I66" s="42" t="str">
        <f t="shared" si="23"/>
        <v>IEC</v>
      </c>
      <c r="J66" s="50">
        <f t="shared" si="21"/>
        <v>10.5</v>
      </c>
      <c r="K66" s="49">
        <f t="shared" si="21"/>
        <v>160</v>
      </c>
      <c r="L66" s="44">
        <f t="shared" si="21"/>
        <v>8</v>
      </c>
      <c r="M66" s="44">
        <f t="shared" si="21"/>
        <v>-8</v>
      </c>
      <c r="N66" s="45">
        <f t="shared" si="10"/>
        <v>0.2</v>
      </c>
      <c r="O66" s="49">
        <v>30</v>
      </c>
      <c r="P66" s="54">
        <f>K66+5.25</f>
        <v>165.25</v>
      </c>
      <c r="Q66" s="44">
        <f t="shared" si="24"/>
        <v>150</v>
      </c>
      <c r="R66" s="50">
        <f t="shared" si="24"/>
        <v>210</v>
      </c>
    </row>
    <row r="67" spans="1:18" x14ac:dyDescent="0.25">
      <c r="A67" s="41" t="e">
        <f t="shared" si="22"/>
        <v>#REF!</v>
      </c>
      <c r="B67" s="42">
        <f t="shared" si="22"/>
        <v>57</v>
      </c>
      <c r="C67" s="41" t="s">
        <v>1092</v>
      </c>
      <c r="D67" s="43">
        <f t="shared" si="20"/>
        <v>11.8</v>
      </c>
      <c r="E67" s="61">
        <f t="shared" si="14"/>
        <v>2.0230000000000001</v>
      </c>
      <c r="F67" s="61">
        <f t="shared" si="2"/>
        <v>42</v>
      </c>
      <c r="G67" s="64">
        <f t="shared" si="15"/>
        <v>0.58988764044943809</v>
      </c>
      <c r="H67" s="51">
        <f t="shared" si="8"/>
        <v>5.7280449438202234</v>
      </c>
      <c r="I67" s="42" t="str">
        <f t="shared" si="23"/>
        <v>IEC</v>
      </c>
      <c r="J67" s="50">
        <f t="shared" si="21"/>
        <v>10.5</v>
      </c>
      <c r="K67" s="49">
        <f t="shared" si="21"/>
        <v>160</v>
      </c>
      <c r="L67" s="44">
        <f t="shared" si="21"/>
        <v>8</v>
      </c>
      <c r="M67" s="44">
        <f t="shared" si="21"/>
        <v>-8</v>
      </c>
      <c r="N67" s="45">
        <f t="shared" si="10"/>
        <v>0.2</v>
      </c>
      <c r="O67" s="49">
        <v>60</v>
      </c>
      <c r="P67" s="54">
        <f>K67</f>
        <v>160</v>
      </c>
      <c r="Q67" s="44">
        <f t="shared" si="24"/>
        <v>150</v>
      </c>
      <c r="R67" s="50">
        <f t="shared" si="24"/>
        <v>210</v>
      </c>
    </row>
    <row r="68" spans="1:18" x14ac:dyDescent="0.25">
      <c r="A68" s="41" t="e">
        <f t="shared" si="22"/>
        <v>#REF!</v>
      </c>
      <c r="B68" s="42">
        <f t="shared" si="22"/>
        <v>58</v>
      </c>
      <c r="C68" s="41" t="s">
        <v>1093</v>
      </c>
      <c r="D68" s="43">
        <f t="shared" si="20"/>
        <v>11.8</v>
      </c>
      <c r="E68" s="61">
        <f t="shared" si="14"/>
        <v>2.0230000000000001</v>
      </c>
      <c r="F68" s="61">
        <f t="shared" si="2"/>
        <v>42</v>
      </c>
      <c r="G68" s="64">
        <f t="shared" si="15"/>
        <v>0.58988764044943809</v>
      </c>
      <c r="H68" s="51">
        <f t="shared" si="8"/>
        <v>5.7280449438202234</v>
      </c>
      <c r="I68" s="42" t="str">
        <f t="shared" si="23"/>
        <v>IEC</v>
      </c>
      <c r="J68" s="50">
        <f t="shared" si="21"/>
        <v>10.5</v>
      </c>
      <c r="K68" s="49">
        <f t="shared" si="21"/>
        <v>160</v>
      </c>
      <c r="L68" s="44">
        <f t="shared" si="21"/>
        <v>8</v>
      </c>
      <c r="M68" s="44">
        <f t="shared" si="21"/>
        <v>-8</v>
      </c>
      <c r="N68" s="45">
        <f t="shared" si="10"/>
        <v>0.2</v>
      </c>
      <c r="O68" s="49">
        <v>60</v>
      </c>
      <c r="P68" s="54">
        <f>K68+2.46</f>
        <v>162.46</v>
      </c>
      <c r="Q68" s="44">
        <f t="shared" si="24"/>
        <v>150</v>
      </c>
      <c r="R68" s="50">
        <f t="shared" si="24"/>
        <v>210</v>
      </c>
    </row>
    <row r="69" spans="1:18" x14ac:dyDescent="0.25">
      <c r="A69" s="41" t="e">
        <f t="shared" si="22"/>
        <v>#REF!</v>
      </c>
      <c r="B69" s="42">
        <f t="shared" si="22"/>
        <v>59</v>
      </c>
      <c r="C69" s="41" t="s">
        <v>1094</v>
      </c>
      <c r="D69" s="43">
        <f t="shared" si="20"/>
        <v>11.8</v>
      </c>
      <c r="E69" s="61">
        <f t="shared" si="14"/>
        <v>2.0230000000000001</v>
      </c>
      <c r="F69" s="61">
        <f t="shared" si="2"/>
        <v>42</v>
      </c>
      <c r="G69" s="64">
        <f t="shared" si="15"/>
        <v>0.58988764044943809</v>
      </c>
      <c r="H69" s="51">
        <f t="shared" si="8"/>
        <v>5.7280449438202234</v>
      </c>
      <c r="I69" s="42" t="str">
        <f t="shared" si="23"/>
        <v>IEC</v>
      </c>
      <c r="J69" s="50">
        <f t="shared" si="21"/>
        <v>10.5</v>
      </c>
      <c r="K69" s="49">
        <f t="shared" si="21"/>
        <v>160</v>
      </c>
      <c r="L69" s="44">
        <f t="shared" si="21"/>
        <v>8</v>
      </c>
      <c r="M69" s="44">
        <f t="shared" si="21"/>
        <v>-8</v>
      </c>
      <c r="N69" s="45">
        <f t="shared" si="10"/>
        <v>0.2</v>
      </c>
      <c r="O69" s="49">
        <v>60</v>
      </c>
      <c r="P69" s="54">
        <f>K69+4</f>
        <v>164</v>
      </c>
      <c r="Q69" s="44">
        <f t="shared" si="24"/>
        <v>150</v>
      </c>
      <c r="R69" s="50">
        <f t="shared" si="24"/>
        <v>210</v>
      </c>
    </row>
    <row r="70" spans="1:18" x14ac:dyDescent="0.25">
      <c r="A70" s="41" t="e">
        <f t="shared" si="22"/>
        <v>#REF!</v>
      </c>
      <c r="B70" s="42">
        <f t="shared" si="22"/>
        <v>60</v>
      </c>
      <c r="C70" s="41" t="s">
        <v>1095</v>
      </c>
      <c r="D70" s="43">
        <f t="shared" si="20"/>
        <v>11.8</v>
      </c>
      <c r="E70" s="61">
        <f t="shared" si="14"/>
        <v>2.0230000000000001</v>
      </c>
      <c r="F70" s="61">
        <f t="shared" si="2"/>
        <v>42</v>
      </c>
      <c r="G70" s="64">
        <f t="shared" si="15"/>
        <v>0.58988764044943809</v>
      </c>
      <c r="H70" s="51">
        <f t="shared" si="8"/>
        <v>5.7280449438202234</v>
      </c>
      <c r="I70" s="42" t="str">
        <f t="shared" si="23"/>
        <v>IEC</v>
      </c>
      <c r="J70" s="50">
        <f t="shared" si="21"/>
        <v>10.5</v>
      </c>
      <c r="K70" s="49">
        <f t="shared" si="21"/>
        <v>160</v>
      </c>
      <c r="L70" s="44">
        <f t="shared" si="21"/>
        <v>8</v>
      </c>
      <c r="M70" s="44">
        <f t="shared" si="21"/>
        <v>-8</v>
      </c>
      <c r="N70" s="45">
        <f t="shared" si="10"/>
        <v>0.2</v>
      </c>
      <c r="O70" s="49">
        <v>60</v>
      </c>
      <c r="P70" s="54">
        <f>K70+5.25</f>
        <v>165.25</v>
      </c>
      <c r="Q70" s="44">
        <f t="shared" si="24"/>
        <v>150</v>
      </c>
      <c r="R70" s="50">
        <f t="shared" si="24"/>
        <v>210</v>
      </c>
    </row>
    <row r="71" spans="1:18" x14ac:dyDescent="0.25">
      <c r="A71" s="41" t="e">
        <f t="shared" si="22"/>
        <v>#REF!</v>
      </c>
      <c r="B71" s="42">
        <f t="shared" si="22"/>
        <v>61</v>
      </c>
      <c r="C71" s="41" t="s">
        <v>1096</v>
      </c>
      <c r="D71" s="43">
        <f t="shared" si="20"/>
        <v>11.8</v>
      </c>
      <c r="E71" s="61">
        <f t="shared" si="14"/>
        <v>2.0230000000000001</v>
      </c>
      <c r="F71" s="61">
        <f t="shared" si="2"/>
        <v>42</v>
      </c>
      <c r="G71" s="64">
        <f t="shared" si="15"/>
        <v>0.58988764044943809</v>
      </c>
      <c r="H71" s="51">
        <f t="shared" si="8"/>
        <v>5.7280449438202234</v>
      </c>
      <c r="I71" s="42" t="str">
        <f t="shared" si="23"/>
        <v>IEC</v>
      </c>
      <c r="J71" s="50">
        <f t="shared" si="21"/>
        <v>10.5</v>
      </c>
      <c r="K71" s="49">
        <f t="shared" si="21"/>
        <v>160</v>
      </c>
      <c r="L71" s="44">
        <f t="shared" si="21"/>
        <v>8</v>
      </c>
      <c r="M71" s="44">
        <f t="shared" si="21"/>
        <v>-8</v>
      </c>
      <c r="N71" s="45">
        <f t="shared" si="10"/>
        <v>0.2</v>
      </c>
      <c r="O71" s="49">
        <v>90</v>
      </c>
      <c r="P71" s="54">
        <f>K71</f>
        <v>160</v>
      </c>
      <c r="Q71" s="44">
        <f t="shared" si="24"/>
        <v>150</v>
      </c>
      <c r="R71" s="50">
        <f t="shared" si="24"/>
        <v>210</v>
      </c>
    </row>
    <row r="72" spans="1:18" x14ac:dyDescent="0.25">
      <c r="A72" s="41" t="e">
        <f t="shared" si="22"/>
        <v>#REF!</v>
      </c>
      <c r="B72" s="42">
        <f t="shared" si="22"/>
        <v>62</v>
      </c>
      <c r="C72" s="41" t="s">
        <v>1097</v>
      </c>
      <c r="D72" s="43">
        <f t="shared" si="20"/>
        <v>11.8</v>
      </c>
      <c r="E72" s="61">
        <f t="shared" si="14"/>
        <v>2.0230000000000001</v>
      </c>
      <c r="F72" s="61">
        <f t="shared" si="2"/>
        <v>42</v>
      </c>
      <c r="G72" s="64">
        <f t="shared" si="15"/>
        <v>0.58988764044943809</v>
      </c>
      <c r="H72" s="51">
        <f t="shared" si="8"/>
        <v>5.7280449438202234</v>
      </c>
      <c r="I72" s="42" t="str">
        <f t="shared" si="23"/>
        <v>IEC</v>
      </c>
      <c r="J72" s="50">
        <f t="shared" si="21"/>
        <v>10.5</v>
      </c>
      <c r="K72" s="49">
        <f t="shared" si="21"/>
        <v>160</v>
      </c>
      <c r="L72" s="44">
        <f t="shared" si="21"/>
        <v>8</v>
      </c>
      <c r="M72" s="44">
        <f t="shared" si="21"/>
        <v>-8</v>
      </c>
      <c r="N72" s="45">
        <f t="shared" si="10"/>
        <v>0.2</v>
      </c>
      <c r="O72" s="49">
        <v>90</v>
      </c>
      <c r="P72" s="54">
        <f>K72+2.46</f>
        <v>162.46</v>
      </c>
      <c r="Q72" s="44">
        <f t="shared" si="24"/>
        <v>150</v>
      </c>
      <c r="R72" s="50">
        <f t="shared" si="24"/>
        <v>210</v>
      </c>
    </row>
    <row r="73" spans="1:18" x14ac:dyDescent="0.25">
      <c r="A73" s="41" t="e">
        <f t="shared" si="22"/>
        <v>#REF!</v>
      </c>
      <c r="B73" s="42">
        <f t="shared" si="22"/>
        <v>63</v>
      </c>
      <c r="C73" s="41" t="s">
        <v>1098</v>
      </c>
      <c r="D73" s="43">
        <f t="shared" si="20"/>
        <v>11.8</v>
      </c>
      <c r="E73" s="61">
        <f t="shared" si="14"/>
        <v>2.0230000000000001</v>
      </c>
      <c r="F73" s="61">
        <f t="shared" si="2"/>
        <v>42</v>
      </c>
      <c r="G73" s="64">
        <f t="shared" si="15"/>
        <v>0.58988764044943809</v>
      </c>
      <c r="H73" s="51">
        <f t="shared" si="8"/>
        <v>5.7280449438202234</v>
      </c>
      <c r="I73" s="42" t="str">
        <f t="shared" si="23"/>
        <v>IEC</v>
      </c>
      <c r="J73" s="50">
        <f t="shared" si="21"/>
        <v>10.5</v>
      </c>
      <c r="K73" s="49">
        <f t="shared" si="21"/>
        <v>160</v>
      </c>
      <c r="L73" s="44">
        <f t="shared" si="21"/>
        <v>8</v>
      </c>
      <c r="M73" s="44">
        <f t="shared" si="21"/>
        <v>-8</v>
      </c>
      <c r="N73" s="45">
        <f t="shared" si="10"/>
        <v>0.2</v>
      </c>
      <c r="O73" s="49">
        <v>90</v>
      </c>
      <c r="P73" s="54">
        <f>K73+4</f>
        <v>164</v>
      </c>
      <c r="Q73" s="44">
        <f t="shared" si="24"/>
        <v>150</v>
      </c>
      <c r="R73" s="50">
        <f t="shared" si="24"/>
        <v>210</v>
      </c>
    </row>
    <row r="74" spans="1:18" x14ac:dyDescent="0.25">
      <c r="A74" s="41" t="e">
        <f t="shared" si="22"/>
        <v>#REF!</v>
      </c>
      <c r="B74" s="42">
        <f t="shared" si="22"/>
        <v>64</v>
      </c>
      <c r="C74" s="41" t="s">
        <v>1099</v>
      </c>
      <c r="D74" s="43">
        <f t="shared" si="20"/>
        <v>11.8</v>
      </c>
      <c r="E74" s="61">
        <f t="shared" si="14"/>
        <v>2.0230000000000001</v>
      </c>
      <c r="F74" s="61">
        <f t="shared" si="2"/>
        <v>42</v>
      </c>
      <c r="G74" s="64">
        <f t="shared" si="15"/>
        <v>0.58988764044943809</v>
      </c>
      <c r="H74" s="51">
        <f t="shared" si="8"/>
        <v>5.7280449438202234</v>
      </c>
      <c r="I74" s="42" t="str">
        <f t="shared" si="23"/>
        <v>IEC</v>
      </c>
      <c r="J74" s="50">
        <f t="shared" si="21"/>
        <v>10.5</v>
      </c>
      <c r="K74" s="49">
        <f t="shared" si="21"/>
        <v>160</v>
      </c>
      <c r="L74" s="44">
        <f t="shared" si="21"/>
        <v>8</v>
      </c>
      <c r="M74" s="44">
        <f t="shared" si="21"/>
        <v>-8</v>
      </c>
      <c r="N74" s="45">
        <f t="shared" si="10"/>
        <v>0.2</v>
      </c>
      <c r="O74" s="49">
        <v>90</v>
      </c>
      <c r="P74" s="54">
        <f>K74+5.25</f>
        <v>165.25</v>
      </c>
      <c r="Q74" s="44">
        <f t="shared" si="24"/>
        <v>150</v>
      </c>
      <c r="R74" s="50">
        <f t="shared" si="24"/>
        <v>210</v>
      </c>
    </row>
    <row r="75" spans="1:18" x14ac:dyDescent="0.25">
      <c r="A75" s="41" t="e">
        <f t="shared" si="22"/>
        <v>#REF!</v>
      </c>
      <c r="B75" s="42">
        <f t="shared" si="22"/>
        <v>65</v>
      </c>
      <c r="C75" s="41" t="s">
        <v>1100</v>
      </c>
      <c r="D75" s="43">
        <f t="shared" si="20"/>
        <v>11.8</v>
      </c>
      <c r="E75" s="61">
        <f t="shared" ref="E75:E106" si="25">I_ref*(0.75*D75+5.6)</f>
        <v>2.0230000000000001</v>
      </c>
      <c r="F75" s="61">
        <f t="shared" ref="F75:F138" si="26">tur_scale</f>
        <v>42</v>
      </c>
      <c r="G75" s="64">
        <f t="shared" ref="G75:G106" si="27">1/(1+0.2*(diameter/F75))</f>
        <v>0.58988764044943809</v>
      </c>
      <c r="H75" s="51">
        <f t="shared" si="8"/>
        <v>5.7280449438202234</v>
      </c>
      <c r="I75" s="42" t="str">
        <f t="shared" si="23"/>
        <v>IEC</v>
      </c>
      <c r="J75" s="50">
        <f t="shared" si="21"/>
        <v>10.5</v>
      </c>
      <c r="K75" s="49">
        <f t="shared" si="21"/>
        <v>160</v>
      </c>
      <c r="L75" s="44">
        <f t="shared" si="21"/>
        <v>8</v>
      </c>
      <c r="M75" s="44">
        <f>yaw_null</f>
        <v>0</v>
      </c>
      <c r="N75" s="45">
        <f t="shared" si="10"/>
        <v>0.2</v>
      </c>
      <c r="O75" s="49">
        <v>0</v>
      </c>
      <c r="P75" s="54">
        <f>K75</f>
        <v>160</v>
      </c>
      <c r="Q75" s="44">
        <f t="shared" si="24"/>
        <v>150</v>
      </c>
      <c r="R75" s="50">
        <f t="shared" si="24"/>
        <v>210</v>
      </c>
    </row>
    <row r="76" spans="1:18" x14ac:dyDescent="0.25">
      <c r="A76" s="41" t="e">
        <f t="shared" si="22"/>
        <v>#REF!</v>
      </c>
      <c r="B76" s="42">
        <f>B75+1</f>
        <v>66</v>
      </c>
      <c r="C76" s="41" t="s">
        <v>1101</v>
      </c>
      <c r="D76" s="43">
        <f t="shared" si="20"/>
        <v>11.8</v>
      </c>
      <c r="E76" s="61">
        <f t="shared" si="25"/>
        <v>2.0230000000000001</v>
      </c>
      <c r="F76" s="61">
        <f t="shared" si="26"/>
        <v>42</v>
      </c>
      <c r="G76" s="64">
        <f t="shared" si="27"/>
        <v>0.58988764044943809</v>
      </c>
      <c r="H76" s="51">
        <f t="shared" si="8"/>
        <v>5.7280449438202234</v>
      </c>
      <c r="I76" s="42" t="str">
        <f>I75</f>
        <v>IEC</v>
      </c>
      <c r="J76" s="50">
        <f t="shared" ref="J76" si="28">J75</f>
        <v>10.5</v>
      </c>
      <c r="K76" s="49">
        <f>K75</f>
        <v>160</v>
      </c>
      <c r="L76" s="44">
        <f>L75</f>
        <v>8</v>
      </c>
      <c r="M76" s="44">
        <f>M75</f>
        <v>0</v>
      </c>
      <c r="N76" s="45">
        <f t="shared" si="10"/>
        <v>0.2</v>
      </c>
      <c r="O76" s="49">
        <v>0</v>
      </c>
      <c r="P76" s="54">
        <f>K76+2.46</f>
        <v>162.46</v>
      </c>
      <c r="Q76" s="44">
        <f t="shared" si="24"/>
        <v>150</v>
      </c>
      <c r="R76" s="50">
        <f>R75</f>
        <v>210</v>
      </c>
    </row>
    <row r="77" spans="1:18" x14ac:dyDescent="0.25">
      <c r="A77" s="41" t="e">
        <f t="shared" ref="A77:B92" si="29">A76+1</f>
        <v>#REF!</v>
      </c>
      <c r="B77" s="42">
        <f t="shared" si="29"/>
        <v>67</v>
      </c>
      <c r="C77" s="41" t="s">
        <v>1102</v>
      </c>
      <c r="D77" s="43">
        <f t="shared" si="20"/>
        <v>11.8</v>
      </c>
      <c r="E77" s="61">
        <f t="shared" si="25"/>
        <v>2.0230000000000001</v>
      </c>
      <c r="F77" s="61">
        <f t="shared" si="26"/>
        <v>42</v>
      </c>
      <c r="G77" s="64">
        <f t="shared" si="27"/>
        <v>0.58988764044943809</v>
      </c>
      <c r="H77" s="51">
        <f t="shared" si="8"/>
        <v>5.7280449438202234</v>
      </c>
      <c r="I77" s="42" t="str">
        <f t="shared" ref="I77:M92" si="30">I76</f>
        <v>IEC</v>
      </c>
      <c r="J77" s="50">
        <f t="shared" si="30"/>
        <v>10.5</v>
      </c>
      <c r="K77" s="49">
        <f t="shared" si="30"/>
        <v>160</v>
      </c>
      <c r="L77" s="44">
        <f t="shared" si="30"/>
        <v>8</v>
      </c>
      <c r="M77" s="44">
        <f t="shared" si="30"/>
        <v>0</v>
      </c>
      <c r="N77" s="45">
        <f t="shared" si="10"/>
        <v>0.2</v>
      </c>
      <c r="O77" s="49">
        <v>0</v>
      </c>
      <c r="P77" s="54">
        <f>K77+4</f>
        <v>164</v>
      </c>
      <c r="Q77" s="44">
        <f t="shared" ref="Q77:R92" si="31">Q76</f>
        <v>150</v>
      </c>
      <c r="R77" s="50">
        <f t="shared" si="31"/>
        <v>210</v>
      </c>
    </row>
    <row r="78" spans="1:18" x14ac:dyDescent="0.25">
      <c r="A78" s="41" t="e">
        <f t="shared" si="29"/>
        <v>#REF!</v>
      </c>
      <c r="B78" s="42">
        <f t="shared" si="29"/>
        <v>68</v>
      </c>
      <c r="C78" s="41" t="s">
        <v>1103</v>
      </c>
      <c r="D78" s="43">
        <f t="shared" si="20"/>
        <v>11.8</v>
      </c>
      <c r="E78" s="61">
        <f t="shared" si="25"/>
        <v>2.0230000000000001</v>
      </c>
      <c r="F78" s="61">
        <f t="shared" si="26"/>
        <v>42</v>
      </c>
      <c r="G78" s="64">
        <f t="shared" si="27"/>
        <v>0.58988764044943809</v>
      </c>
      <c r="H78" s="51">
        <f t="shared" si="8"/>
        <v>5.7280449438202234</v>
      </c>
      <c r="I78" s="42" t="str">
        <f t="shared" si="30"/>
        <v>IEC</v>
      </c>
      <c r="J78" s="50">
        <f t="shared" si="30"/>
        <v>10.5</v>
      </c>
      <c r="K78" s="49">
        <f t="shared" si="30"/>
        <v>160</v>
      </c>
      <c r="L78" s="44">
        <f t="shared" si="30"/>
        <v>8</v>
      </c>
      <c r="M78" s="44">
        <f t="shared" si="30"/>
        <v>0</v>
      </c>
      <c r="N78" s="45">
        <f t="shared" si="10"/>
        <v>0.2</v>
      </c>
      <c r="O78" s="49">
        <v>0</v>
      </c>
      <c r="P78" s="54">
        <f>K78+5.25</f>
        <v>165.25</v>
      </c>
      <c r="Q78" s="44">
        <f t="shared" si="31"/>
        <v>150</v>
      </c>
      <c r="R78" s="50">
        <f t="shared" si="31"/>
        <v>210</v>
      </c>
    </row>
    <row r="79" spans="1:18" x14ac:dyDescent="0.25">
      <c r="A79" s="41" t="e">
        <f t="shared" si="29"/>
        <v>#REF!</v>
      </c>
      <c r="B79" s="42">
        <f t="shared" si="29"/>
        <v>69</v>
      </c>
      <c r="C79" s="41" t="s">
        <v>1104</v>
      </c>
      <c r="D79" s="43">
        <f t="shared" si="20"/>
        <v>11.8</v>
      </c>
      <c r="E79" s="61">
        <f t="shared" si="25"/>
        <v>2.0230000000000001</v>
      </c>
      <c r="F79" s="61">
        <f t="shared" si="26"/>
        <v>42</v>
      </c>
      <c r="G79" s="64">
        <f t="shared" si="27"/>
        <v>0.58988764044943809</v>
      </c>
      <c r="H79" s="51">
        <f t="shared" si="8"/>
        <v>5.7280449438202234</v>
      </c>
      <c r="I79" s="42" t="str">
        <f t="shared" si="30"/>
        <v>IEC</v>
      </c>
      <c r="J79" s="50">
        <f t="shared" si="30"/>
        <v>10.5</v>
      </c>
      <c r="K79" s="49">
        <f t="shared" si="30"/>
        <v>160</v>
      </c>
      <c r="L79" s="44">
        <f t="shared" si="30"/>
        <v>8</v>
      </c>
      <c r="M79" s="44">
        <f t="shared" si="30"/>
        <v>0</v>
      </c>
      <c r="N79" s="45">
        <f t="shared" si="10"/>
        <v>0.2</v>
      </c>
      <c r="O79" s="49">
        <v>30</v>
      </c>
      <c r="P79" s="54">
        <f>K79</f>
        <v>160</v>
      </c>
      <c r="Q79" s="44">
        <f t="shared" si="31"/>
        <v>150</v>
      </c>
      <c r="R79" s="50">
        <f t="shared" si="31"/>
        <v>210</v>
      </c>
    </row>
    <row r="80" spans="1:18" x14ac:dyDescent="0.25">
      <c r="A80" s="41" t="e">
        <f t="shared" si="29"/>
        <v>#REF!</v>
      </c>
      <c r="B80" s="42">
        <f t="shared" si="29"/>
        <v>70</v>
      </c>
      <c r="C80" s="41" t="s">
        <v>1105</v>
      </c>
      <c r="D80" s="43">
        <f t="shared" si="20"/>
        <v>11.8</v>
      </c>
      <c r="E80" s="61">
        <f t="shared" si="25"/>
        <v>2.0230000000000001</v>
      </c>
      <c r="F80" s="61">
        <f t="shared" si="26"/>
        <v>42</v>
      </c>
      <c r="G80" s="64">
        <f t="shared" si="27"/>
        <v>0.58988764044943809</v>
      </c>
      <c r="H80" s="51">
        <f t="shared" si="8"/>
        <v>5.7280449438202234</v>
      </c>
      <c r="I80" s="42" t="str">
        <f t="shared" si="30"/>
        <v>IEC</v>
      </c>
      <c r="J80" s="50">
        <f t="shared" si="30"/>
        <v>10.5</v>
      </c>
      <c r="K80" s="49">
        <f t="shared" si="30"/>
        <v>160</v>
      </c>
      <c r="L80" s="44">
        <f t="shared" si="30"/>
        <v>8</v>
      </c>
      <c r="M80" s="44">
        <f t="shared" si="30"/>
        <v>0</v>
      </c>
      <c r="N80" s="45">
        <f t="shared" si="10"/>
        <v>0.2</v>
      </c>
      <c r="O80" s="49">
        <v>30</v>
      </c>
      <c r="P80" s="54">
        <f>K80+2.46</f>
        <v>162.46</v>
      </c>
      <c r="Q80" s="44">
        <f t="shared" si="31"/>
        <v>150</v>
      </c>
      <c r="R80" s="50">
        <f t="shared" si="31"/>
        <v>210</v>
      </c>
    </row>
    <row r="81" spans="1:18" x14ac:dyDescent="0.25">
      <c r="A81" s="41" t="e">
        <f t="shared" si="29"/>
        <v>#REF!</v>
      </c>
      <c r="B81" s="42">
        <f t="shared" si="29"/>
        <v>71</v>
      </c>
      <c r="C81" s="41" t="s">
        <v>1106</v>
      </c>
      <c r="D81" s="43">
        <f t="shared" si="20"/>
        <v>11.8</v>
      </c>
      <c r="E81" s="61">
        <f t="shared" si="25"/>
        <v>2.0230000000000001</v>
      </c>
      <c r="F81" s="61">
        <f t="shared" si="26"/>
        <v>42</v>
      </c>
      <c r="G81" s="64">
        <f t="shared" si="27"/>
        <v>0.58988764044943809</v>
      </c>
      <c r="H81" s="51">
        <f t="shared" si="8"/>
        <v>5.7280449438202234</v>
      </c>
      <c r="I81" s="42" t="str">
        <f t="shared" si="30"/>
        <v>IEC</v>
      </c>
      <c r="J81" s="50">
        <f t="shared" si="30"/>
        <v>10.5</v>
      </c>
      <c r="K81" s="49">
        <f t="shared" si="30"/>
        <v>160</v>
      </c>
      <c r="L81" s="44">
        <f t="shared" si="30"/>
        <v>8</v>
      </c>
      <c r="M81" s="44">
        <f t="shared" si="30"/>
        <v>0</v>
      </c>
      <c r="N81" s="45">
        <f t="shared" si="10"/>
        <v>0.2</v>
      </c>
      <c r="O81" s="49">
        <v>30</v>
      </c>
      <c r="P81" s="54">
        <f>K81+4</f>
        <v>164</v>
      </c>
      <c r="Q81" s="44">
        <f t="shared" si="31"/>
        <v>150</v>
      </c>
      <c r="R81" s="50">
        <f t="shared" si="31"/>
        <v>210</v>
      </c>
    </row>
    <row r="82" spans="1:18" x14ac:dyDescent="0.25">
      <c r="A82" s="41" t="e">
        <f t="shared" si="29"/>
        <v>#REF!</v>
      </c>
      <c r="B82" s="42">
        <f t="shared" si="29"/>
        <v>72</v>
      </c>
      <c r="C82" s="41" t="s">
        <v>1107</v>
      </c>
      <c r="D82" s="43">
        <f t="shared" si="20"/>
        <v>11.8</v>
      </c>
      <c r="E82" s="61">
        <f t="shared" si="25"/>
        <v>2.0230000000000001</v>
      </c>
      <c r="F82" s="61">
        <f t="shared" si="26"/>
        <v>42</v>
      </c>
      <c r="G82" s="64">
        <f t="shared" si="27"/>
        <v>0.58988764044943809</v>
      </c>
      <c r="H82" s="51">
        <f t="shared" si="8"/>
        <v>5.7280449438202234</v>
      </c>
      <c r="I82" s="42" t="str">
        <f t="shared" si="30"/>
        <v>IEC</v>
      </c>
      <c r="J82" s="50">
        <f t="shared" si="30"/>
        <v>10.5</v>
      </c>
      <c r="K82" s="49">
        <f t="shared" si="30"/>
        <v>160</v>
      </c>
      <c r="L82" s="44">
        <f t="shared" si="30"/>
        <v>8</v>
      </c>
      <c r="M82" s="44">
        <f t="shared" si="30"/>
        <v>0</v>
      </c>
      <c r="N82" s="45">
        <f t="shared" si="10"/>
        <v>0.2</v>
      </c>
      <c r="O82" s="49">
        <v>30</v>
      </c>
      <c r="P82" s="54">
        <f>K82+5.25</f>
        <v>165.25</v>
      </c>
      <c r="Q82" s="44">
        <f t="shared" si="31"/>
        <v>150</v>
      </c>
      <c r="R82" s="50">
        <f t="shared" si="31"/>
        <v>210</v>
      </c>
    </row>
    <row r="83" spans="1:18" x14ac:dyDescent="0.25">
      <c r="A83" s="41" t="e">
        <f t="shared" si="29"/>
        <v>#REF!</v>
      </c>
      <c r="B83" s="42">
        <f t="shared" si="29"/>
        <v>73</v>
      </c>
      <c r="C83" s="41" t="s">
        <v>1108</v>
      </c>
      <c r="D83" s="43">
        <f t="shared" si="20"/>
        <v>11.8</v>
      </c>
      <c r="E83" s="61">
        <f t="shared" si="25"/>
        <v>2.0230000000000001</v>
      </c>
      <c r="F83" s="61">
        <f t="shared" si="26"/>
        <v>42</v>
      </c>
      <c r="G83" s="64">
        <f t="shared" si="27"/>
        <v>0.58988764044943809</v>
      </c>
      <c r="H83" s="51">
        <f t="shared" si="8"/>
        <v>5.7280449438202234</v>
      </c>
      <c r="I83" s="42" t="str">
        <f t="shared" si="30"/>
        <v>IEC</v>
      </c>
      <c r="J83" s="50">
        <f t="shared" si="30"/>
        <v>10.5</v>
      </c>
      <c r="K83" s="49">
        <f t="shared" si="30"/>
        <v>160</v>
      </c>
      <c r="L83" s="44">
        <f t="shared" si="30"/>
        <v>8</v>
      </c>
      <c r="M83" s="44">
        <f t="shared" si="30"/>
        <v>0</v>
      </c>
      <c r="N83" s="45">
        <f t="shared" si="10"/>
        <v>0.2</v>
      </c>
      <c r="O83" s="49">
        <v>60</v>
      </c>
      <c r="P83" s="54">
        <f>K83</f>
        <v>160</v>
      </c>
      <c r="Q83" s="44">
        <f t="shared" si="31"/>
        <v>150</v>
      </c>
      <c r="R83" s="50">
        <f t="shared" si="31"/>
        <v>210</v>
      </c>
    </row>
    <row r="84" spans="1:18" x14ac:dyDescent="0.25">
      <c r="A84" s="41" t="e">
        <f t="shared" si="29"/>
        <v>#REF!</v>
      </c>
      <c r="B84" s="42">
        <f t="shared" si="29"/>
        <v>74</v>
      </c>
      <c r="C84" s="41" t="s">
        <v>1109</v>
      </c>
      <c r="D84" s="43">
        <f t="shared" si="20"/>
        <v>11.8</v>
      </c>
      <c r="E84" s="61">
        <f t="shared" si="25"/>
        <v>2.0230000000000001</v>
      </c>
      <c r="F84" s="61">
        <f t="shared" si="26"/>
        <v>42</v>
      </c>
      <c r="G84" s="64">
        <f t="shared" si="27"/>
        <v>0.58988764044943809</v>
      </c>
      <c r="H84" s="51">
        <f t="shared" si="8"/>
        <v>5.7280449438202234</v>
      </c>
      <c r="I84" s="42" t="str">
        <f t="shared" si="30"/>
        <v>IEC</v>
      </c>
      <c r="J84" s="50">
        <f t="shared" si="30"/>
        <v>10.5</v>
      </c>
      <c r="K84" s="49">
        <f t="shared" si="30"/>
        <v>160</v>
      </c>
      <c r="L84" s="44">
        <f t="shared" si="30"/>
        <v>8</v>
      </c>
      <c r="M84" s="44">
        <f t="shared" si="30"/>
        <v>0</v>
      </c>
      <c r="N84" s="45">
        <f t="shared" si="10"/>
        <v>0.2</v>
      </c>
      <c r="O84" s="49">
        <v>60</v>
      </c>
      <c r="P84" s="54">
        <f>K84+2.46</f>
        <v>162.46</v>
      </c>
      <c r="Q84" s="44">
        <f t="shared" si="31"/>
        <v>150</v>
      </c>
      <c r="R84" s="50">
        <f t="shared" si="31"/>
        <v>210</v>
      </c>
    </row>
    <row r="85" spans="1:18" x14ac:dyDescent="0.25">
      <c r="A85" s="41" t="e">
        <f t="shared" si="29"/>
        <v>#REF!</v>
      </c>
      <c r="B85" s="42">
        <f t="shared" si="29"/>
        <v>75</v>
      </c>
      <c r="C85" s="41" t="s">
        <v>1110</v>
      </c>
      <c r="D85" s="43">
        <f t="shared" si="20"/>
        <v>11.8</v>
      </c>
      <c r="E85" s="61">
        <f t="shared" si="25"/>
        <v>2.0230000000000001</v>
      </c>
      <c r="F85" s="61">
        <f t="shared" si="26"/>
        <v>42</v>
      </c>
      <c r="G85" s="64">
        <f t="shared" si="27"/>
        <v>0.58988764044943809</v>
      </c>
      <c r="H85" s="51">
        <f t="shared" si="8"/>
        <v>5.7280449438202234</v>
      </c>
      <c r="I85" s="42" t="str">
        <f t="shared" si="30"/>
        <v>IEC</v>
      </c>
      <c r="J85" s="50">
        <f t="shared" si="30"/>
        <v>10.5</v>
      </c>
      <c r="K85" s="49">
        <f t="shared" si="30"/>
        <v>160</v>
      </c>
      <c r="L85" s="44">
        <f t="shared" si="30"/>
        <v>8</v>
      </c>
      <c r="M85" s="44">
        <f t="shared" si="30"/>
        <v>0</v>
      </c>
      <c r="N85" s="45">
        <f t="shared" si="10"/>
        <v>0.2</v>
      </c>
      <c r="O85" s="49">
        <v>60</v>
      </c>
      <c r="P85" s="54">
        <f>K85+4</f>
        <v>164</v>
      </c>
      <c r="Q85" s="44">
        <f t="shared" si="31"/>
        <v>150</v>
      </c>
      <c r="R85" s="50">
        <f t="shared" si="31"/>
        <v>210</v>
      </c>
    </row>
    <row r="86" spans="1:18" x14ac:dyDescent="0.25">
      <c r="A86" s="41" t="e">
        <f t="shared" si="29"/>
        <v>#REF!</v>
      </c>
      <c r="B86" s="42">
        <f t="shared" si="29"/>
        <v>76</v>
      </c>
      <c r="C86" s="41" t="s">
        <v>1111</v>
      </c>
      <c r="D86" s="43">
        <f t="shared" si="20"/>
        <v>11.8</v>
      </c>
      <c r="E86" s="61">
        <f t="shared" si="25"/>
        <v>2.0230000000000001</v>
      </c>
      <c r="F86" s="61">
        <f t="shared" si="26"/>
        <v>42</v>
      </c>
      <c r="G86" s="64">
        <f t="shared" si="27"/>
        <v>0.58988764044943809</v>
      </c>
      <c r="H86" s="51">
        <f t="shared" ref="H86:H149" si="32">4.8*E86*G86</f>
        <v>5.7280449438202234</v>
      </c>
      <c r="I86" s="42" t="str">
        <f t="shared" si="30"/>
        <v>IEC</v>
      </c>
      <c r="J86" s="50">
        <f t="shared" si="30"/>
        <v>10.5</v>
      </c>
      <c r="K86" s="49">
        <f t="shared" si="30"/>
        <v>160</v>
      </c>
      <c r="L86" s="44">
        <f t="shared" si="30"/>
        <v>8</v>
      </c>
      <c r="M86" s="44">
        <f t="shared" si="30"/>
        <v>0</v>
      </c>
      <c r="N86" s="45">
        <f t="shared" si="10"/>
        <v>0.2</v>
      </c>
      <c r="O86" s="49">
        <v>60</v>
      </c>
      <c r="P86" s="54">
        <f>K86+5.25</f>
        <v>165.25</v>
      </c>
      <c r="Q86" s="44">
        <f t="shared" si="31"/>
        <v>150</v>
      </c>
      <c r="R86" s="50">
        <f t="shared" si="31"/>
        <v>210</v>
      </c>
    </row>
    <row r="87" spans="1:18" x14ac:dyDescent="0.25">
      <c r="A87" s="41" t="e">
        <f t="shared" si="29"/>
        <v>#REF!</v>
      </c>
      <c r="B87" s="42">
        <f t="shared" si="29"/>
        <v>77</v>
      </c>
      <c r="C87" s="41" t="s">
        <v>1112</v>
      </c>
      <c r="D87" s="43">
        <f t="shared" si="20"/>
        <v>11.8</v>
      </c>
      <c r="E87" s="61">
        <f t="shared" si="25"/>
        <v>2.0230000000000001</v>
      </c>
      <c r="F87" s="61">
        <f t="shared" si="26"/>
        <v>42</v>
      </c>
      <c r="G87" s="64">
        <f t="shared" si="27"/>
        <v>0.58988764044943809</v>
      </c>
      <c r="H87" s="51">
        <f t="shared" si="32"/>
        <v>5.7280449438202234</v>
      </c>
      <c r="I87" s="42" t="str">
        <f t="shared" si="30"/>
        <v>IEC</v>
      </c>
      <c r="J87" s="50">
        <f t="shared" si="30"/>
        <v>10.5</v>
      </c>
      <c r="K87" s="49">
        <f t="shared" si="30"/>
        <v>160</v>
      </c>
      <c r="L87" s="44">
        <f t="shared" si="30"/>
        <v>8</v>
      </c>
      <c r="M87" s="44">
        <f t="shared" si="30"/>
        <v>0</v>
      </c>
      <c r="N87" s="45">
        <f t="shared" si="10"/>
        <v>0.2</v>
      </c>
      <c r="O87" s="49">
        <v>90</v>
      </c>
      <c r="P87" s="54">
        <f>K87</f>
        <v>160</v>
      </c>
      <c r="Q87" s="44">
        <f t="shared" si="31"/>
        <v>150</v>
      </c>
      <c r="R87" s="50">
        <f t="shared" si="31"/>
        <v>210</v>
      </c>
    </row>
    <row r="88" spans="1:18" x14ac:dyDescent="0.25">
      <c r="A88" s="41" t="e">
        <f t="shared" si="29"/>
        <v>#REF!</v>
      </c>
      <c r="B88" s="42">
        <f t="shared" si="29"/>
        <v>78</v>
      </c>
      <c r="C88" s="41" t="s">
        <v>1113</v>
      </c>
      <c r="D88" s="43">
        <f t="shared" si="20"/>
        <v>11.8</v>
      </c>
      <c r="E88" s="61">
        <f t="shared" si="25"/>
        <v>2.0230000000000001</v>
      </c>
      <c r="F88" s="61">
        <f t="shared" si="26"/>
        <v>42</v>
      </c>
      <c r="G88" s="64">
        <f t="shared" si="27"/>
        <v>0.58988764044943809</v>
      </c>
      <c r="H88" s="51">
        <f t="shared" si="32"/>
        <v>5.7280449438202234</v>
      </c>
      <c r="I88" s="42" t="str">
        <f t="shared" si="30"/>
        <v>IEC</v>
      </c>
      <c r="J88" s="50">
        <f t="shared" si="30"/>
        <v>10.5</v>
      </c>
      <c r="K88" s="49">
        <f t="shared" si="30"/>
        <v>160</v>
      </c>
      <c r="L88" s="44">
        <f t="shared" si="30"/>
        <v>8</v>
      </c>
      <c r="M88" s="44">
        <f t="shared" si="30"/>
        <v>0</v>
      </c>
      <c r="N88" s="45">
        <f t="shared" si="10"/>
        <v>0.2</v>
      </c>
      <c r="O88" s="49">
        <v>90</v>
      </c>
      <c r="P88" s="54">
        <f>K88+2.46</f>
        <v>162.46</v>
      </c>
      <c r="Q88" s="44">
        <f t="shared" si="31"/>
        <v>150</v>
      </c>
      <c r="R88" s="50">
        <f t="shared" si="31"/>
        <v>210</v>
      </c>
    </row>
    <row r="89" spans="1:18" x14ac:dyDescent="0.25">
      <c r="A89" s="41" t="e">
        <f t="shared" si="29"/>
        <v>#REF!</v>
      </c>
      <c r="B89" s="42">
        <f t="shared" si="29"/>
        <v>79</v>
      </c>
      <c r="C89" s="41" t="s">
        <v>1114</v>
      </c>
      <c r="D89" s="43">
        <f t="shared" si="20"/>
        <v>11.8</v>
      </c>
      <c r="E89" s="61">
        <f t="shared" si="25"/>
        <v>2.0230000000000001</v>
      </c>
      <c r="F89" s="61">
        <f t="shared" si="26"/>
        <v>42</v>
      </c>
      <c r="G89" s="64">
        <f t="shared" si="27"/>
        <v>0.58988764044943809</v>
      </c>
      <c r="H89" s="51">
        <f t="shared" si="32"/>
        <v>5.7280449438202234</v>
      </c>
      <c r="I89" s="42" t="str">
        <f t="shared" si="30"/>
        <v>IEC</v>
      </c>
      <c r="J89" s="50">
        <f t="shared" si="30"/>
        <v>10.5</v>
      </c>
      <c r="K89" s="49">
        <f t="shared" si="30"/>
        <v>160</v>
      </c>
      <c r="L89" s="44">
        <f t="shared" si="30"/>
        <v>8</v>
      </c>
      <c r="M89" s="44">
        <f t="shared" si="30"/>
        <v>0</v>
      </c>
      <c r="N89" s="45">
        <f t="shared" si="10"/>
        <v>0.2</v>
      </c>
      <c r="O89" s="49">
        <v>90</v>
      </c>
      <c r="P89" s="54">
        <f>K89+4</f>
        <v>164</v>
      </c>
      <c r="Q89" s="44">
        <f t="shared" si="31"/>
        <v>150</v>
      </c>
      <c r="R89" s="50">
        <f t="shared" si="31"/>
        <v>210</v>
      </c>
    </row>
    <row r="90" spans="1:18" x14ac:dyDescent="0.25">
      <c r="A90" s="41" t="e">
        <f t="shared" si="29"/>
        <v>#REF!</v>
      </c>
      <c r="B90" s="42">
        <f t="shared" si="29"/>
        <v>80</v>
      </c>
      <c r="C90" s="41" t="s">
        <v>1115</v>
      </c>
      <c r="D90" s="43">
        <f t="shared" si="20"/>
        <v>11.8</v>
      </c>
      <c r="E90" s="61">
        <f t="shared" si="25"/>
        <v>2.0230000000000001</v>
      </c>
      <c r="F90" s="61">
        <f t="shared" si="26"/>
        <v>42</v>
      </c>
      <c r="G90" s="64">
        <f t="shared" si="27"/>
        <v>0.58988764044943809</v>
      </c>
      <c r="H90" s="51">
        <f t="shared" si="32"/>
        <v>5.7280449438202234</v>
      </c>
      <c r="I90" s="42" t="str">
        <f t="shared" si="30"/>
        <v>IEC</v>
      </c>
      <c r="J90" s="50">
        <f t="shared" si="30"/>
        <v>10.5</v>
      </c>
      <c r="K90" s="49">
        <f t="shared" si="30"/>
        <v>160</v>
      </c>
      <c r="L90" s="44">
        <f t="shared" si="30"/>
        <v>8</v>
      </c>
      <c r="M90" s="44">
        <f t="shared" si="30"/>
        <v>0</v>
      </c>
      <c r="N90" s="45">
        <f t="shared" si="10"/>
        <v>0.2</v>
      </c>
      <c r="O90" s="49">
        <v>90</v>
      </c>
      <c r="P90" s="54">
        <f>K90+5.25</f>
        <v>165.25</v>
      </c>
      <c r="Q90" s="44">
        <f t="shared" si="31"/>
        <v>150</v>
      </c>
      <c r="R90" s="50">
        <f t="shared" si="31"/>
        <v>210</v>
      </c>
    </row>
    <row r="91" spans="1:18" x14ac:dyDescent="0.25">
      <c r="A91" s="41" t="e">
        <f t="shared" si="29"/>
        <v>#REF!</v>
      </c>
      <c r="B91" s="42">
        <f t="shared" si="29"/>
        <v>81</v>
      </c>
      <c r="C91" s="41" t="s">
        <v>1116</v>
      </c>
      <c r="D91" s="43">
        <f t="shared" si="20"/>
        <v>11.8</v>
      </c>
      <c r="E91" s="61">
        <f t="shared" si="25"/>
        <v>2.0230000000000001</v>
      </c>
      <c r="F91" s="61">
        <f t="shared" si="26"/>
        <v>42</v>
      </c>
      <c r="G91" s="64">
        <f t="shared" si="27"/>
        <v>0.58988764044943809</v>
      </c>
      <c r="H91" s="51">
        <f t="shared" si="32"/>
        <v>5.7280449438202234</v>
      </c>
      <c r="I91" s="42" t="str">
        <f t="shared" si="30"/>
        <v>IEC</v>
      </c>
      <c r="J91" s="50">
        <f t="shared" si="30"/>
        <v>10.5</v>
      </c>
      <c r="K91" s="49">
        <f t="shared" si="30"/>
        <v>160</v>
      </c>
      <c r="L91" s="44">
        <f t="shared" si="30"/>
        <v>8</v>
      </c>
      <c r="M91" s="44">
        <f>yaw_max</f>
        <v>8</v>
      </c>
      <c r="N91" s="45">
        <f t="shared" si="10"/>
        <v>0.2</v>
      </c>
      <c r="O91" s="49">
        <v>0</v>
      </c>
      <c r="P91" s="54">
        <f>K91</f>
        <v>160</v>
      </c>
      <c r="Q91" s="44">
        <f t="shared" si="31"/>
        <v>150</v>
      </c>
      <c r="R91" s="50">
        <f t="shared" si="31"/>
        <v>210</v>
      </c>
    </row>
    <row r="92" spans="1:18" x14ac:dyDescent="0.25">
      <c r="A92" s="41" t="e">
        <f t="shared" si="29"/>
        <v>#REF!</v>
      </c>
      <c r="B92" s="42">
        <f>B91+1</f>
        <v>82</v>
      </c>
      <c r="C92" s="41" t="s">
        <v>1117</v>
      </c>
      <c r="D92" s="43">
        <f t="shared" si="20"/>
        <v>11.8</v>
      </c>
      <c r="E92" s="61">
        <f t="shared" si="25"/>
        <v>2.0230000000000001</v>
      </c>
      <c r="F92" s="61">
        <f t="shared" si="26"/>
        <v>42</v>
      </c>
      <c r="G92" s="64">
        <f t="shared" si="27"/>
        <v>0.58988764044943809</v>
      </c>
      <c r="H92" s="51">
        <f t="shared" si="32"/>
        <v>5.7280449438202234</v>
      </c>
      <c r="I92" s="42" t="str">
        <f>I91</f>
        <v>IEC</v>
      </c>
      <c r="J92" s="50">
        <f t="shared" si="30"/>
        <v>10.5</v>
      </c>
      <c r="K92" s="49">
        <f>K91</f>
        <v>160</v>
      </c>
      <c r="L92" s="44">
        <f>L91</f>
        <v>8</v>
      </c>
      <c r="M92" s="44">
        <f>M91</f>
        <v>8</v>
      </c>
      <c r="N92" s="45">
        <f t="shared" ref="N92:N155" si="33">N91</f>
        <v>0.2</v>
      </c>
      <c r="O92" s="49">
        <v>0</v>
      </c>
      <c r="P92" s="54">
        <f>K92+2.46</f>
        <v>162.46</v>
      </c>
      <c r="Q92" s="44">
        <f t="shared" si="31"/>
        <v>150</v>
      </c>
      <c r="R92" s="50">
        <f>R91</f>
        <v>210</v>
      </c>
    </row>
    <row r="93" spans="1:18" x14ac:dyDescent="0.25">
      <c r="A93" s="41" t="e">
        <f t="shared" ref="A93:B108" si="34">A92+1</f>
        <v>#REF!</v>
      </c>
      <c r="B93" s="42">
        <f t="shared" si="34"/>
        <v>83</v>
      </c>
      <c r="C93" s="41" t="s">
        <v>1118</v>
      </c>
      <c r="D93" s="43">
        <f t="shared" si="20"/>
        <v>11.8</v>
      </c>
      <c r="E93" s="61">
        <f t="shared" si="25"/>
        <v>2.0230000000000001</v>
      </c>
      <c r="F93" s="61">
        <f t="shared" si="26"/>
        <v>42</v>
      </c>
      <c r="G93" s="64">
        <f t="shared" si="27"/>
        <v>0.58988764044943809</v>
      </c>
      <c r="H93" s="51">
        <f t="shared" si="32"/>
        <v>5.7280449438202234</v>
      </c>
      <c r="I93" s="42" t="str">
        <f t="shared" ref="I93:M108" si="35">I92</f>
        <v>IEC</v>
      </c>
      <c r="J93" s="50">
        <f t="shared" si="35"/>
        <v>10.5</v>
      </c>
      <c r="K93" s="49">
        <f t="shared" si="35"/>
        <v>160</v>
      </c>
      <c r="L93" s="44">
        <f t="shared" si="35"/>
        <v>8</v>
      </c>
      <c r="M93" s="44">
        <f t="shared" si="35"/>
        <v>8</v>
      </c>
      <c r="N93" s="45">
        <f t="shared" si="33"/>
        <v>0.2</v>
      </c>
      <c r="O93" s="49">
        <v>0</v>
      </c>
      <c r="P93" s="54">
        <f>K93+4</f>
        <v>164</v>
      </c>
      <c r="Q93" s="44">
        <f t="shared" ref="Q93:R108" si="36">Q92</f>
        <v>150</v>
      </c>
      <c r="R93" s="50">
        <f t="shared" si="36"/>
        <v>210</v>
      </c>
    </row>
    <row r="94" spans="1:18" x14ac:dyDescent="0.25">
      <c r="A94" s="41" t="e">
        <f t="shared" si="34"/>
        <v>#REF!</v>
      </c>
      <c r="B94" s="42">
        <f t="shared" si="34"/>
        <v>84</v>
      </c>
      <c r="C94" s="41" t="s">
        <v>1119</v>
      </c>
      <c r="D94" s="43">
        <f t="shared" si="20"/>
        <v>11.8</v>
      </c>
      <c r="E94" s="61">
        <f t="shared" si="25"/>
        <v>2.0230000000000001</v>
      </c>
      <c r="F94" s="61">
        <f t="shared" si="26"/>
        <v>42</v>
      </c>
      <c r="G94" s="64">
        <f t="shared" si="27"/>
        <v>0.58988764044943809</v>
      </c>
      <c r="H94" s="51">
        <f t="shared" si="32"/>
        <v>5.7280449438202234</v>
      </c>
      <c r="I94" s="42" t="str">
        <f t="shared" si="35"/>
        <v>IEC</v>
      </c>
      <c r="J94" s="50">
        <f t="shared" si="35"/>
        <v>10.5</v>
      </c>
      <c r="K94" s="49">
        <f t="shared" si="35"/>
        <v>160</v>
      </c>
      <c r="L94" s="44">
        <f t="shared" si="35"/>
        <v>8</v>
      </c>
      <c r="M94" s="44">
        <f t="shared" si="35"/>
        <v>8</v>
      </c>
      <c r="N94" s="45">
        <f t="shared" si="33"/>
        <v>0.2</v>
      </c>
      <c r="O94" s="49">
        <v>0</v>
      </c>
      <c r="P94" s="54">
        <f>K94+5.25</f>
        <v>165.25</v>
      </c>
      <c r="Q94" s="44">
        <f t="shared" si="36"/>
        <v>150</v>
      </c>
      <c r="R94" s="50">
        <f t="shared" si="36"/>
        <v>210</v>
      </c>
    </row>
    <row r="95" spans="1:18" x14ac:dyDescent="0.25">
      <c r="A95" s="41" t="e">
        <f t="shared" si="34"/>
        <v>#REF!</v>
      </c>
      <c r="B95" s="42">
        <f t="shared" si="34"/>
        <v>85</v>
      </c>
      <c r="C95" s="41" t="s">
        <v>1120</v>
      </c>
      <c r="D95" s="43">
        <f t="shared" si="20"/>
        <v>11.8</v>
      </c>
      <c r="E95" s="61">
        <f t="shared" si="25"/>
        <v>2.0230000000000001</v>
      </c>
      <c r="F95" s="61">
        <f t="shared" si="26"/>
        <v>42</v>
      </c>
      <c r="G95" s="64">
        <f t="shared" si="27"/>
        <v>0.58988764044943809</v>
      </c>
      <c r="H95" s="51">
        <f t="shared" si="32"/>
        <v>5.7280449438202234</v>
      </c>
      <c r="I95" s="42" t="str">
        <f t="shared" si="35"/>
        <v>IEC</v>
      </c>
      <c r="J95" s="50">
        <f t="shared" si="35"/>
        <v>10.5</v>
      </c>
      <c r="K95" s="49">
        <f t="shared" si="35"/>
        <v>160</v>
      </c>
      <c r="L95" s="44">
        <f t="shared" si="35"/>
        <v>8</v>
      </c>
      <c r="M95" s="44">
        <f t="shared" si="35"/>
        <v>8</v>
      </c>
      <c r="N95" s="45">
        <f t="shared" si="33"/>
        <v>0.2</v>
      </c>
      <c r="O95" s="49">
        <v>30</v>
      </c>
      <c r="P95" s="54">
        <f>K95</f>
        <v>160</v>
      </c>
      <c r="Q95" s="44">
        <f t="shared" si="36"/>
        <v>150</v>
      </c>
      <c r="R95" s="50">
        <f t="shared" si="36"/>
        <v>210</v>
      </c>
    </row>
    <row r="96" spans="1:18" x14ac:dyDescent="0.25">
      <c r="A96" s="41" t="e">
        <f t="shared" si="34"/>
        <v>#REF!</v>
      </c>
      <c r="B96" s="42">
        <f t="shared" si="34"/>
        <v>86</v>
      </c>
      <c r="C96" s="41" t="s">
        <v>1121</v>
      </c>
      <c r="D96" s="43">
        <f t="shared" si="20"/>
        <v>11.8</v>
      </c>
      <c r="E96" s="61">
        <f t="shared" si="25"/>
        <v>2.0230000000000001</v>
      </c>
      <c r="F96" s="61">
        <f t="shared" si="26"/>
        <v>42</v>
      </c>
      <c r="G96" s="64">
        <f t="shared" si="27"/>
        <v>0.58988764044943809</v>
      </c>
      <c r="H96" s="51">
        <f t="shared" si="32"/>
        <v>5.7280449438202234</v>
      </c>
      <c r="I96" s="42" t="str">
        <f t="shared" si="35"/>
        <v>IEC</v>
      </c>
      <c r="J96" s="50">
        <f t="shared" si="35"/>
        <v>10.5</v>
      </c>
      <c r="K96" s="49">
        <f t="shared" si="35"/>
        <v>160</v>
      </c>
      <c r="L96" s="44">
        <f t="shared" si="35"/>
        <v>8</v>
      </c>
      <c r="M96" s="44">
        <f t="shared" si="35"/>
        <v>8</v>
      </c>
      <c r="N96" s="45">
        <f t="shared" si="33"/>
        <v>0.2</v>
      </c>
      <c r="O96" s="49">
        <v>30</v>
      </c>
      <c r="P96" s="54">
        <f>K96+2.46</f>
        <v>162.46</v>
      </c>
      <c r="Q96" s="44">
        <f t="shared" si="36"/>
        <v>150</v>
      </c>
      <c r="R96" s="50">
        <f t="shared" si="36"/>
        <v>210</v>
      </c>
    </row>
    <row r="97" spans="1:18" x14ac:dyDescent="0.25">
      <c r="A97" s="41" t="e">
        <f t="shared" si="34"/>
        <v>#REF!</v>
      </c>
      <c r="B97" s="42">
        <f t="shared" si="34"/>
        <v>87</v>
      </c>
      <c r="C97" s="41" t="s">
        <v>1122</v>
      </c>
      <c r="D97" s="43">
        <f t="shared" si="20"/>
        <v>11.8</v>
      </c>
      <c r="E97" s="61">
        <f t="shared" si="25"/>
        <v>2.0230000000000001</v>
      </c>
      <c r="F97" s="61">
        <f t="shared" si="26"/>
        <v>42</v>
      </c>
      <c r="G97" s="64">
        <f t="shared" si="27"/>
        <v>0.58988764044943809</v>
      </c>
      <c r="H97" s="51">
        <f t="shared" si="32"/>
        <v>5.7280449438202234</v>
      </c>
      <c r="I97" s="42" t="str">
        <f t="shared" si="35"/>
        <v>IEC</v>
      </c>
      <c r="J97" s="50">
        <f t="shared" si="35"/>
        <v>10.5</v>
      </c>
      <c r="K97" s="49">
        <f t="shared" si="35"/>
        <v>160</v>
      </c>
      <c r="L97" s="44">
        <f t="shared" si="35"/>
        <v>8</v>
      </c>
      <c r="M97" s="44">
        <f t="shared" si="35"/>
        <v>8</v>
      </c>
      <c r="N97" s="45">
        <f t="shared" si="33"/>
        <v>0.2</v>
      </c>
      <c r="O97" s="49">
        <v>30</v>
      </c>
      <c r="P97" s="54">
        <f>K97+4</f>
        <v>164</v>
      </c>
      <c r="Q97" s="44">
        <f t="shared" si="36"/>
        <v>150</v>
      </c>
      <c r="R97" s="50">
        <f t="shared" si="36"/>
        <v>210</v>
      </c>
    </row>
    <row r="98" spans="1:18" x14ac:dyDescent="0.25">
      <c r="A98" s="41" t="e">
        <f t="shared" si="34"/>
        <v>#REF!</v>
      </c>
      <c r="B98" s="42">
        <f t="shared" si="34"/>
        <v>88</v>
      </c>
      <c r="C98" s="41" t="s">
        <v>1123</v>
      </c>
      <c r="D98" s="43">
        <f t="shared" si="20"/>
        <v>11.8</v>
      </c>
      <c r="E98" s="61">
        <f t="shared" si="25"/>
        <v>2.0230000000000001</v>
      </c>
      <c r="F98" s="61">
        <f t="shared" si="26"/>
        <v>42</v>
      </c>
      <c r="G98" s="64">
        <f t="shared" si="27"/>
        <v>0.58988764044943809</v>
      </c>
      <c r="H98" s="51">
        <f t="shared" si="32"/>
        <v>5.7280449438202234</v>
      </c>
      <c r="I98" s="42" t="str">
        <f t="shared" si="35"/>
        <v>IEC</v>
      </c>
      <c r="J98" s="50">
        <f t="shared" si="35"/>
        <v>10.5</v>
      </c>
      <c r="K98" s="49">
        <f t="shared" si="35"/>
        <v>160</v>
      </c>
      <c r="L98" s="44">
        <f t="shared" si="35"/>
        <v>8</v>
      </c>
      <c r="M98" s="44">
        <f t="shared" si="35"/>
        <v>8</v>
      </c>
      <c r="N98" s="45">
        <f t="shared" si="33"/>
        <v>0.2</v>
      </c>
      <c r="O98" s="49">
        <v>30</v>
      </c>
      <c r="P98" s="54">
        <f>K98+5.25</f>
        <v>165.25</v>
      </c>
      <c r="Q98" s="44">
        <f t="shared" si="36"/>
        <v>150</v>
      </c>
      <c r="R98" s="50">
        <f t="shared" si="36"/>
        <v>210</v>
      </c>
    </row>
    <row r="99" spans="1:18" x14ac:dyDescent="0.25">
      <c r="A99" s="41" t="e">
        <f t="shared" si="34"/>
        <v>#REF!</v>
      </c>
      <c r="B99" s="42">
        <f t="shared" si="34"/>
        <v>89</v>
      </c>
      <c r="C99" s="41" t="s">
        <v>1124</v>
      </c>
      <c r="D99" s="43">
        <f t="shared" si="20"/>
        <v>11.8</v>
      </c>
      <c r="E99" s="61">
        <f t="shared" si="25"/>
        <v>2.0230000000000001</v>
      </c>
      <c r="F99" s="61">
        <f t="shared" si="26"/>
        <v>42</v>
      </c>
      <c r="G99" s="64">
        <f t="shared" si="27"/>
        <v>0.58988764044943809</v>
      </c>
      <c r="H99" s="51">
        <f t="shared" si="32"/>
        <v>5.7280449438202234</v>
      </c>
      <c r="I99" s="42" t="str">
        <f t="shared" si="35"/>
        <v>IEC</v>
      </c>
      <c r="J99" s="50">
        <f t="shared" si="35"/>
        <v>10.5</v>
      </c>
      <c r="K99" s="49">
        <f t="shared" si="35"/>
        <v>160</v>
      </c>
      <c r="L99" s="44">
        <f t="shared" si="35"/>
        <v>8</v>
      </c>
      <c r="M99" s="44">
        <f t="shared" si="35"/>
        <v>8</v>
      </c>
      <c r="N99" s="45">
        <f t="shared" si="33"/>
        <v>0.2</v>
      </c>
      <c r="O99" s="49">
        <v>60</v>
      </c>
      <c r="P99" s="54">
        <f>K99</f>
        <v>160</v>
      </c>
      <c r="Q99" s="44">
        <f t="shared" si="36"/>
        <v>150</v>
      </c>
      <c r="R99" s="50">
        <f t="shared" si="36"/>
        <v>210</v>
      </c>
    </row>
    <row r="100" spans="1:18" x14ac:dyDescent="0.25">
      <c r="A100" s="41" t="e">
        <f t="shared" si="34"/>
        <v>#REF!</v>
      </c>
      <c r="B100" s="42">
        <f t="shared" si="34"/>
        <v>90</v>
      </c>
      <c r="C100" s="41" t="s">
        <v>1125</v>
      </c>
      <c r="D100" s="43">
        <f t="shared" si="20"/>
        <v>11.8</v>
      </c>
      <c r="E100" s="61">
        <f t="shared" si="25"/>
        <v>2.0230000000000001</v>
      </c>
      <c r="F100" s="61">
        <f t="shared" si="26"/>
        <v>42</v>
      </c>
      <c r="G100" s="64">
        <f t="shared" si="27"/>
        <v>0.58988764044943809</v>
      </c>
      <c r="H100" s="51">
        <f t="shared" si="32"/>
        <v>5.7280449438202234</v>
      </c>
      <c r="I100" s="42" t="str">
        <f t="shared" si="35"/>
        <v>IEC</v>
      </c>
      <c r="J100" s="50">
        <f t="shared" si="35"/>
        <v>10.5</v>
      </c>
      <c r="K100" s="49">
        <f t="shared" si="35"/>
        <v>160</v>
      </c>
      <c r="L100" s="44">
        <f t="shared" si="35"/>
        <v>8</v>
      </c>
      <c r="M100" s="44">
        <f t="shared" si="35"/>
        <v>8</v>
      </c>
      <c r="N100" s="45">
        <f t="shared" si="33"/>
        <v>0.2</v>
      </c>
      <c r="O100" s="49">
        <v>60</v>
      </c>
      <c r="P100" s="54">
        <f>K100+2.46</f>
        <v>162.46</v>
      </c>
      <c r="Q100" s="44">
        <f t="shared" si="36"/>
        <v>150</v>
      </c>
      <c r="R100" s="50">
        <f t="shared" si="36"/>
        <v>210</v>
      </c>
    </row>
    <row r="101" spans="1:18" x14ac:dyDescent="0.25">
      <c r="A101" s="41" t="e">
        <f t="shared" si="34"/>
        <v>#REF!</v>
      </c>
      <c r="B101" s="42">
        <f t="shared" si="34"/>
        <v>91</v>
      </c>
      <c r="C101" s="41" t="s">
        <v>1126</v>
      </c>
      <c r="D101" s="43">
        <f t="shared" si="20"/>
        <v>11.8</v>
      </c>
      <c r="E101" s="61">
        <f t="shared" si="25"/>
        <v>2.0230000000000001</v>
      </c>
      <c r="F101" s="61">
        <f t="shared" si="26"/>
        <v>42</v>
      </c>
      <c r="G101" s="64">
        <f t="shared" si="27"/>
        <v>0.58988764044943809</v>
      </c>
      <c r="H101" s="51">
        <f t="shared" si="32"/>
        <v>5.7280449438202234</v>
      </c>
      <c r="I101" s="42" t="str">
        <f t="shared" si="35"/>
        <v>IEC</v>
      </c>
      <c r="J101" s="50">
        <f t="shared" si="35"/>
        <v>10.5</v>
      </c>
      <c r="K101" s="49">
        <f t="shared" si="35"/>
        <v>160</v>
      </c>
      <c r="L101" s="44">
        <f t="shared" si="35"/>
        <v>8</v>
      </c>
      <c r="M101" s="44">
        <f t="shared" si="35"/>
        <v>8</v>
      </c>
      <c r="N101" s="45">
        <f t="shared" si="33"/>
        <v>0.2</v>
      </c>
      <c r="O101" s="49">
        <v>60</v>
      </c>
      <c r="P101" s="54">
        <f>K101+4</f>
        <v>164</v>
      </c>
      <c r="Q101" s="44">
        <f t="shared" si="36"/>
        <v>150</v>
      </c>
      <c r="R101" s="50">
        <f t="shared" si="36"/>
        <v>210</v>
      </c>
    </row>
    <row r="102" spans="1:18" x14ac:dyDescent="0.25">
      <c r="A102" s="41" t="e">
        <f t="shared" si="34"/>
        <v>#REF!</v>
      </c>
      <c r="B102" s="42">
        <f t="shared" si="34"/>
        <v>92</v>
      </c>
      <c r="C102" s="41" t="s">
        <v>1127</v>
      </c>
      <c r="D102" s="43">
        <f t="shared" si="20"/>
        <v>11.8</v>
      </c>
      <c r="E102" s="61">
        <f t="shared" si="25"/>
        <v>2.0230000000000001</v>
      </c>
      <c r="F102" s="61">
        <f t="shared" si="26"/>
        <v>42</v>
      </c>
      <c r="G102" s="64">
        <f t="shared" si="27"/>
        <v>0.58988764044943809</v>
      </c>
      <c r="H102" s="51">
        <f t="shared" si="32"/>
        <v>5.7280449438202234</v>
      </c>
      <c r="I102" s="42" t="str">
        <f t="shared" si="35"/>
        <v>IEC</v>
      </c>
      <c r="J102" s="50">
        <f t="shared" si="35"/>
        <v>10.5</v>
      </c>
      <c r="K102" s="49">
        <f t="shared" si="35"/>
        <v>160</v>
      </c>
      <c r="L102" s="44">
        <f t="shared" si="35"/>
        <v>8</v>
      </c>
      <c r="M102" s="44">
        <f t="shared" si="35"/>
        <v>8</v>
      </c>
      <c r="N102" s="45">
        <f t="shared" si="33"/>
        <v>0.2</v>
      </c>
      <c r="O102" s="49">
        <v>60</v>
      </c>
      <c r="P102" s="54">
        <f>K102+5.25</f>
        <v>165.25</v>
      </c>
      <c r="Q102" s="44">
        <f t="shared" si="36"/>
        <v>150</v>
      </c>
      <c r="R102" s="50">
        <f t="shared" si="36"/>
        <v>210</v>
      </c>
    </row>
    <row r="103" spans="1:18" x14ac:dyDescent="0.25">
      <c r="A103" s="41" t="e">
        <f t="shared" si="34"/>
        <v>#REF!</v>
      </c>
      <c r="B103" s="42">
        <f t="shared" si="34"/>
        <v>93</v>
      </c>
      <c r="C103" s="41" t="s">
        <v>1128</v>
      </c>
      <c r="D103" s="43">
        <f t="shared" si="20"/>
        <v>11.8</v>
      </c>
      <c r="E103" s="61">
        <f t="shared" si="25"/>
        <v>2.0230000000000001</v>
      </c>
      <c r="F103" s="61">
        <f t="shared" si="26"/>
        <v>42</v>
      </c>
      <c r="G103" s="64">
        <f t="shared" si="27"/>
        <v>0.58988764044943809</v>
      </c>
      <c r="H103" s="51">
        <f t="shared" si="32"/>
        <v>5.7280449438202234</v>
      </c>
      <c r="I103" s="42" t="str">
        <f t="shared" si="35"/>
        <v>IEC</v>
      </c>
      <c r="J103" s="50">
        <f t="shared" si="35"/>
        <v>10.5</v>
      </c>
      <c r="K103" s="49">
        <f t="shared" si="35"/>
        <v>160</v>
      </c>
      <c r="L103" s="44">
        <f t="shared" si="35"/>
        <v>8</v>
      </c>
      <c r="M103" s="44">
        <f t="shared" si="35"/>
        <v>8</v>
      </c>
      <c r="N103" s="45">
        <f t="shared" si="33"/>
        <v>0.2</v>
      </c>
      <c r="O103" s="49">
        <v>90</v>
      </c>
      <c r="P103" s="54">
        <f>K103</f>
        <v>160</v>
      </c>
      <c r="Q103" s="44">
        <f t="shared" si="36"/>
        <v>150</v>
      </c>
      <c r="R103" s="50">
        <f t="shared" si="36"/>
        <v>210</v>
      </c>
    </row>
    <row r="104" spans="1:18" x14ac:dyDescent="0.25">
      <c r="A104" s="41" t="e">
        <f t="shared" si="34"/>
        <v>#REF!</v>
      </c>
      <c r="B104" s="42">
        <f t="shared" si="34"/>
        <v>94</v>
      </c>
      <c r="C104" s="41" t="s">
        <v>1129</v>
      </c>
      <c r="D104" s="43">
        <f t="shared" si="20"/>
        <v>11.8</v>
      </c>
      <c r="E104" s="61">
        <f t="shared" si="25"/>
        <v>2.0230000000000001</v>
      </c>
      <c r="F104" s="61">
        <f t="shared" si="26"/>
        <v>42</v>
      </c>
      <c r="G104" s="64">
        <f t="shared" si="27"/>
        <v>0.58988764044943809</v>
      </c>
      <c r="H104" s="51">
        <f t="shared" si="32"/>
        <v>5.7280449438202234</v>
      </c>
      <c r="I104" s="42" t="str">
        <f t="shared" si="35"/>
        <v>IEC</v>
      </c>
      <c r="J104" s="50">
        <f t="shared" si="35"/>
        <v>10.5</v>
      </c>
      <c r="K104" s="49">
        <f t="shared" si="35"/>
        <v>160</v>
      </c>
      <c r="L104" s="44">
        <f t="shared" si="35"/>
        <v>8</v>
      </c>
      <c r="M104" s="44">
        <f t="shared" si="35"/>
        <v>8</v>
      </c>
      <c r="N104" s="45">
        <f t="shared" si="33"/>
        <v>0.2</v>
      </c>
      <c r="O104" s="49">
        <v>90</v>
      </c>
      <c r="P104" s="54">
        <f>K104+2.46</f>
        <v>162.46</v>
      </c>
      <c r="Q104" s="44">
        <f t="shared" si="36"/>
        <v>150</v>
      </c>
      <c r="R104" s="50">
        <f t="shared" si="36"/>
        <v>210</v>
      </c>
    </row>
    <row r="105" spans="1:18" x14ac:dyDescent="0.25">
      <c r="A105" s="41" t="e">
        <f t="shared" si="34"/>
        <v>#REF!</v>
      </c>
      <c r="B105" s="42">
        <f t="shared" si="34"/>
        <v>95</v>
      </c>
      <c r="C105" s="41" t="s">
        <v>1130</v>
      </c>
      <c r="D105" s="43">
        <f t="shared" si="20"/>
        <v>11.8</v>
      </c>
      <c r="E105" s="61">
        <f t="shared" si="25"/>
        <v>2.0230000000000001</v>
      </c>
      <c r="F105" s="61">
        <f t="shared" si="26"/>
        <v>42</v>
      </c>
      <c r="G105" s="64">
        <f t="shared" si="27"/>
        <v>0.58988764044943809</v>
      </c>
      <c r="H105" s="51">
        <f t="shared" si="32"/>
        <v>5.7280449438202234</v>
      </c>
      <c r="I105" s="42" t="str">
        <f t="shared" si="35"/>
        <v>IEC</v>
      </c>
      <c r="J105" s="50">
        <f t="shared" si="35"/>
        <v>10.5</v>
      </c>
      <c r="K105" s="49">
        <f t="shared" si="35"/>
        <v>160</v>
      </c>
      <c r="L105" s="44">
        <f t="shared" si="35"/>
        <v>8</v>
      </c>
      <c r="M105" s="44">
        <f t="shared" si="35"/>
        <v>8</v>
      </c>
      <c r="N105" s="45">
        <f t="shared" si="33"/>
        <v>0.2</v>
      </c>
      <c r="O105" s="49">
        <v>90</v>
      </c>
      <c r="P105" s="54">
        <f>K105+4</f>
        <v>164</v>
      </c>
      <c r="Q105" s="44">
        <f t="shared" si="36"/>
        <v>150</v>
      </c>
      <c r="R105" s="50">
        <f t="shared" si="36"/>
        <v>210</v>
      </c>
    </row>
    <row r="106" spans="1:18" ht="15.75" thickBot="1" x14ac:dyDescent="0.3">
      <c r="A106" s="41" t="e">
        <f t="shared" si="34"/>
        <v>#REF!</v>
      </c>
      <c r="B106" s="42">
        <f t="shared" si="34"/>
        <v>96</v>
      </c>
      <c r="C106" s="41" t="s">
        <v>1131</v>
      </c>
      <c r="D106" s="43">
        <f t="shared" si="20"/>
        <v>11.8</v>
      </c>
      <c r="E106" s="61">
        <f t="shared" si="25"/>
        <v>2.0230000000000001</v>
      </c>
      <c r="F106" s="61">
        <f t="shared" si="26"/>
        <v>42</v>
      </c>
      <c r="G106" s="64">
        <f t="shared" si="27"/>
        <v>0.58988764044943809</v>
      </c>
      <c r="H106" s="51">
        <f t="shared" si="32"/>
        <v>5.7280449438202234</v>
      </c>
      <c r="I106" s="42" t="str">
        <f t="shared" si="35"/>
        <v>IEC</v>
      </c>
      <c r="J106" s="50">
        <f t="shared" si="35"/>
        <v>10.5</v>
      </c>
      <c r="K106" s="49">
        <f t="shared" si="35"/>
        <v>160</v>
      </c>
      <c r="L106" s="44">
        <f t="shared" si="35"/>
        <v>8</v>
      </c>
      <c r="M106" s="44">
        <f t="shared" si="35"/>
        <v>8</v>
      </c>
      <c r="N106" s="45">
        <f t="shared" si="33"/>
        <v>0.2</v>
      </c>
      <c r="O106" s="49">
        <v>90</v>
      </c>
      <c r="P106" s="54">
        <f>K106+5.25</f>
        <v>165.25</v>
      </c>
      <c r="Q106" s="44">
        <f t="shared" si="36"/>
        <v>150</v>
      </c>
      <c r="R106" s="50">
        <f t="shared" si="36"/>
        <v>210</v>
      </c>
    </row>
    <row r="107" spans="1:18" x14ac:dyDescent="0.25">
      <c r="A107" s="41" t="e">
        <f t="shared" si="34"/>
        <v>#REF!</v>
      </c>
      <c r="B107" s="42">
        <f t="shared" si="34"/>
        <v>97</v>
      </c>
      <c r="C107" s="41" t="s">
        <v>1132</v>
      </c>
      <c r="D107" s="43">
        <f t="shared" ref="D107:D154" si="37">v_c</f>
        <v>20</v>
      </c>
      <c r="E107" s="61">
        <f t="shared" ref="E107:E138" si="38">I_ref*(0.75*D107+5.6)</f>
        <v>2.8840000000000003</v>
      </c>
      <c r="F107" s="61">
        <f t="shared" si="26"/>
        <v>42</v>
      </c>
      <c r="G107" s="64">
        <f t="shared" ref="G107:G138" si="39">1/(1+0.2*(diameter/F107))</f>
        <v>0.58988764044943809</v>
      </c>
      <c r="H107" s="51">
        <f t="shared" si="32"/>
        <v>8.1659325842696617</v>
      </c>
      <c r="I107" s="42" t="str">
        <f t="shared" si="35"/>
        <v>IEC</v>
      </c>
      <c r="J107" s="50">
        <f t="shared" si="35"/>
        <v>10.5</v>
      </c>
      <c r="K107" s="49">
        <f t="shared" si="35"/>
        <v>160</v>
      </c>
      <c r="L107" s="44">
        <f t="shared" si="35"/>
        <v>8</v>
      </c>
      <c r="M107" s="35">
        <f>yaw_min</f>
        <v>-8</v>
      </c>
      <c r="N107" s="45">
        <f t="shared" si="33"/>
        <v>0.2</v>
      </c>
      <c r="O107" s="49">
        <v>0</v>
      </c>
      <c r="P107" s="54">
        <f>K107</f>
        <v>160</v>
      </c>
      <c r="Q107" s="44">
        <f t="shared" si="36"/>
        <v>150</v>
      </c>
      <c r="R107" s="50">
        <f t="shared" si="36"/>
        <v>210</v>
      </c>
    </row>
    <row r="108" spans="1:18" x14ac:dyDescent="0.25">
      <c r="A108" s="41" t="e">
        <f t="shared" si="34"/>
        <v>#REF!</v>
      </c>
      <c r="B108" s="42">
        <f>B107+1</f>
        <v>98</v>
      </c>
      <c r="C108" s="41" t="s">
        <v>1133</v>
      </c>
      <c r="D108" s="43">
        <f t="shared" si="37"/>
        <v>20</v>
      </c>
      <c r="E108" s="61">
        <f t="shared" si="38"/>
        <v>2.8840000000000003</v>
      </c>
      <c r="F108" s="61">
        <f t="shared" si="26"/>
        <v>42</v>
      </c>
      <c r="G108" s="64">
        <f t="shared" si="39"/>
        <v>0.58988764044943809</v>
      </c>
      <c r="H108" s="51">
        <f t="shared" si="32"/>
        <v>8.1659325842696617</v>
      </c>
      <c r="I108" s="42" t="str">
        <f>I107</f>
        <v>IEC</v>
      </c>
      <c r="J108" s="50">
        <f t="shared" si="35"/>
        <v>10.5</v>
      </c>
      <c r="K108" s="49">
        <f>K107</f>
        <v>160</v>
      </c>
      <c r="L108" s="44">
        <f>L107</f>
        <v>8</v>
      </c>
      <c r="M108" s="44">
        <f>M107</f>
        <v>-8</v>
      </c>
      <c r="N108" s="45">
        <f t="shared" si="33"/>
        <v>0.2</v>
      </c>
      <c r="O108" s="49">
        <v>0</v>
      </c>
      <c r="P108" s="54">
        <f>K108+2.46</f>
        <v>162.46</v>
      </c>
      <c r="Q108" s="44">
        <f t="shared" si="36"/>
        <v>150</v>
      </c>
      <c r="R108" s="50">
        <f>R107</f>
        <v>210</v>
      </c>
    </row>
    <row r="109" spans="1:18" x14ac:dyDescent="0.25">
      <c r="A109" s="41" t="e">
        <f t="shared" ref="A109:B124" si="40">A108+1</f>
        <v>#REF!</v>
      </c>
      <c r="B109" s="42">
        <f t="shared" si="40"/>
        <v>99</v>
      </c>
      <c r="C109" s="41" t="s">
        <v>1134</v>
      </c>
      <c r="D109" s="43">
        <f t="shared" si="37"/>
        <v>20</v>
      </c>
      <c r="E109" s="61">
        <f t="shared" si="38"/>
        <v>2.8840000000000003</v>
      </c>
      <c r="F109" s="61">
        <f t="shared" si="26"/>
        <v>42</v>
      </c>
      <c r="G109" s="64">
        <f t="shared" si="39"/>
        <v>0.58988764044943809</v>
      </c>
      <c r="H109" s="51">
        <f t="shared" si="32"/>
        <v>8.1659325842696617</v>
      </c>
      <c r="I109" s="42" t="str">
        <f t="shared" ref="I109:M124" si="41">I108</f>
        <v>IEC</v>
      </c>
      <c r="J109" s="50">
        <f t="shared" si="41"/>
        <v>10.5</v>
      </c>
      <c r="K109" s="49">
        <f t="shared" si="41"/>
        <v>160</v>
      </c>
      <c r="L109" s="44">
        <f t="shared" si="41"/>
        <v>8</v>
      </c>
      <c r="M109" s="44">
        <f t="shared" si="41"/>
        <v>-8</v>
      </c>
      <c r="N109" s="45">
        <f t="shared" si="33"/>
        <v>0.2</v>
      </c>
      <c r="O109" s="49">
        <v>0</v>
      </c>
      <c r="P109" s="54">
        <f>K109+4</f>
        <v>164</v>
      </c>
      <c r="Q109" s="44">
        <f t="shared" ref="Q109:R124" si="42">Q108</f>
        <v>150</v>
      </c>
      <c r="R109" s="50">
        <f t="shared" si="42"/>
        <v>210</v>
      </c>
    </row>
    <row r="110" spans="1:18" x14ac:dyDescent="0.25">
      <c r="A110" s="41" t="e">
        <f t="shared" si="40"/>
        <v>#REF!</v>
      </c>
      <c r="B110" s="42">
        <f t="shared" si="40"/>
        <v>100</v>
      </c>
      <c r="C110" s="41" t="s">
        <v>1135</v>
      </c>
      <c r="D110" s="43">
        <f t="shared" si="37"/>
        <v>20</v>
      </c>
      <c r="E110" s="61">
        <f t="shared" si="38"/>
        <v>2.8840000000000003</v>
      </c>
      <c r="F110" s="61">
        <f t="shared" si="26"/>
        <v>42</v>
      </c>
      <c r="G110" s="64">
        <f t="shared" si="39"/>
        <v>0.58988764044943809</v>
      </c>
      <c r="H110" s="51">
        <f t="shared" si="32"/>
        <v>8.1659325842696617</v>
      </c>
      <c r="I110" s="42" t="str">
        <f t="shared" si="41"/>
        <v>IEC</v>
      </c>
      <c r="J110" s="50">
        <f t="shared" si="41"/>
        <v>10.5</v>
      </c>
      <c r="K110" s="49">
        <f t="shared" si="41"/>
        <v>160</v>
      </c>
      <c r="L110" s="44">
        <f t="shared" si="41"/>
        <v>8</v>
      </c>
      <c r="M110" s="44">
        <f t="shared" si="41"/>
        <v>-8</v>
      </c>
      <c r="N110" s="45">
        <f t="shared" si="33"/>
        <v>0.2</v>
      </c>
      <c r="O110" s="49">
        <v>0</v>
      </c>
      <c r="P110" s="54">
        <f>K110+5.25</f>
        <v>165.25</v>
      </c>
      <c r="Q110" s="44">
        <f t="shared" si="42"/>
        <v>150</v>
      </c>
      <c r="R110" s="50">
        <f t="shared" si="42"/>
        <v>210</v>
      </c>
    </row>
    <row r="111" spans="1:18" x14ac:dyDescent="0.25">
      <c r="A111" s="41" t="e">
        <f t="shared" si="40"/>
        <v>#REF!</v>
      </c>
      <c r="B111" s="42">
        <f t="shared" si="40"/>
        <v>101</v>
      </c>
      <c r="C111" s="41" t="s">
        <v>1136</v>
      </c>
      <c r="D111" s="43">
        <f t="shared" si="37"/>
        <v>20</v>
      </c>
      <c r="E111" s="61">
        <f t="shared" si="38"/>
        <v>2.8840000000000003</v>
      </c>
      <c r="F111" s="61">
        <f t="shared" si="26"/>
        <v>42</v>
      </c>
      <c r="G111" s="64">
        <f t="shared" si="39"/>
        <v>0.58988764044943809</v>
      </c>
      <c r="H111" s="51">
        <f t="shared" si="32"/>
        <v>8.1659325842696617</v>
      </c>
      <c r="I111" s="42" t="str">
        <f t="shared" si="41"/>
        <v>IEC</v>
      </c>
      <c r="J111" s="50">
        <f t="shared" si="41"/>
        <v>10.5</v>
      </c>
      <c r="K111" s="49">
        <f t="shared" si="41"/>
        <v>160</v>
      </c>
      <c r="L111" s="44">
        <f t="shared" si="41"/>
        <v>8</v>
      </c>
      <c r="M111" s="44">
        <f t="shared" si="41"/>
        <v>-8</v>
      </c>
      <c r="N111" s="45">
        <f t="shared" si="33"/>
        <v>0.2</v>
      </c>
      <c r="O111" s="49">
        <v>30</v>
      </c>
      <c r="P111" s="54">
        <f>K111</f>
        <v>160</v>
      </c>
      <c r="Q111" s="44">
        <f t="shared" si="42"/>
        <v>150</v>
      </c>
      <c r="R111" s="50">
        <f t="shared" si="42"/>
        <v>210</v>
      </c>
    </row>
    <row r="112" spans="1:18" x14ac:dyDescent="0.25">
      <c r="A112" s="41" t="e">
        <f t="shared" si="40"/>
        <v>#REF!</v>
      </c>
      <c r="B112" s="42">
        <f t="shared" si="40"/>
        <v>102</v>
      </c>
      <c r="C112" s="41" t="s">
        <v>1137</v>
      </c>
      <c r="D112" s="43">
        <f t="shared" si="37"/>
        <v>20</v>
      </c>
      <c r="E112" s="61">
        <f t="shared" si="38"/>
        <v>2.8840000000000003</v>
      </c>
      <c r="F112" s="61">
        <f t="shared" si="26"/>
        <v>42</v>
      </c>
      <c r="G112" s="64">
        <f t="shared" si="39"/>
        <v>0.58988764044943809</v>
      </c>
      <c r="H112" s="51">
        <f t="shared" si="32"/>
        <v>8.1659325842696617</v>
      </c>
      <c r="I112" s="42" t="str">
        <f t="shared" si="41"/>
        <v>IEC</v>
      </c>
      <c r="J112" s="50">
        <f t="shared" si="41"/>
        <v>10.5</v>
      </c>
      <c r="K112" s="49">
        <f t="shared" si="41"/>
        <v>160</v>
      </c>
      <c r="L112" s="44">
        <f t="shared" si="41"/>
        <v>8</v>
      </c>
      <c r="M112" s="44">
        <f t="shared" si="41"/>
        <v>-8</v>
      </c>
      <c r="N112" s="45">
        <f t="shared" si="33"/>
        <v>0.2</v>
      </c>
      <c r="O112" s="49">
        <v>30</v>
      </c>
      <c r="P112" s="54">
        <f>K112+2.46</f>
        <v>162.46</v>
      </c>
      <c r="Q112" s="44">
        <f t="shared" si="42"/>
        <v>150</v>
      </c>
      <c r="R112" s="50">
        <f t="shared" si="42"/>
        <v>210</v>
      </c>
    </row>
    <row r="113" spans="1:18" x14ac:dyDescent="0.25">
      <c r="A113" s="41" t="e">
        <f t="shared" si="40"/>
        <v>#REF!</v>
      </c>
      <c r="B113" s="42">
        <f t="shared" si="40"/>
        <v>103</v>
      </c>
      <c r="C113" s="41" t="s">
        <v>1138</v>
      </c>
      <c r="D113" s="43">
        <f t="shared" si="37"/>
        <v>20</v>
      </c>
      <c r="E113" s="61">
        <f t="shared" si="38"/>
        <v>2.8840000000000003</v>
      </c>
      <c r="F113" s="61">
        <f t="shared" si="26"/>
        <v>42</v>
      </c>
      <c r="G113" s="64">
        <f t="shared" si="39"/>
        <v>0.58988764044943809</v>
      </c>
      <c r="H113" s="51">
        <f t="shared" si="32"/>
        <v>8.1659325842696617</v>
      </c>
      <c r="I113" s="42" t="str">
        <f t="shared" si="41"/>
        <v>IEC</v>
      </c>
      <c r="J113" s="50">
        <f t="shared" si="41"/>
        <v>10.5</v>
      </c>
      <c r="K113" s="49">
        <f t="shared" si="41"/>
        <v>160</v>
      </c>
      <c r="L113" s="44">
        <f t="shared" si="41"/>
        <v>8</v>
      </c>
      <c r="M113" s="44">
        <f t="shared" si="41"/>
        <v>-8</v>
      </c>
      <c r="N113" s="45">
        <f t="shared" si="33"/>
        <v>0.2</v>
      </c>
      <c r="O113" s="49">
        <v>30</v>
      </c>
      <c r="P113" s="54">
        <f>K113+4</f>
        <v>164</v>
      </c>
      <c r="Q113" s="44">
        <f t="shared" si="42"/>
        <v>150</v>
      </c>
      <c r="R113" s="50">
        <f t="shared" si="42"/>
        <v>210</v>
      </c>
    </row>
    <row r="114" spans="1:18" x14ac:dyDescent="0.25">
      <c r="A114" s="41" t="e">
        <f t="shared" si="40"/>
        <v>#REF!</v>
      </c>
      <c r="B114" s="42">
        <f t="shared" si="40"/>
        <v>104</v>
      </c>
      <c r="C114" s="41" t="s">
        <v>1139</v>
      </c>
      <c r="D114" s="43">
        <f t="shared" si="37"/>
        <v>20</v>
      </c>
      <c r="E114" s="61">
        <f t="shared" si="38"/>
        <v>2.8840000000000003</v>
      </c>
      <c r="F114" s="61">
        <f t="shared" si="26"/>
        <v>42</v>
      </c>
      <c r="G114" s="64">
        <f t="shared" si="39"/>
        <v>0.58988764044943809</v>
      </c>
      <c r="H114" s="51">
        <f t="shared" si="32"/>
        <v>8.1659325842696617</v>
      </c>
      <c r="I114" s="42" t="str">
        <f t="shared" si="41"/>
        <v>IEC</v>
      </c>
      <c r="J114" s="50">
        <f t="shared" si="41"/>
        <v>10.5</v>
      </c>
      <c r="K114" s="49">
        <f t="shared" si="41"/>
        <v>160</v>
      </c>
      <c r="L114" s="44">
        <f t="shared" si="41"/>
        <v>8</v>
      </c>
      <c r="M114" s="44">
        <f t="shared" si="41"/>
        <v>-8</v>
      </c>
      <c r="N114" s="45">
        <f t="shared" si="33"/>
        <v>0.2</v>
      </c>
      <c r="O114" s="49">
        <v>30</v>
      </c>
      <c r="P114" s="54">
        <f>K114+5.25</f>
        <v>165.25</v>
      </c>
      <c r="Q114" s="44">
        <f t="shared" si="42"/>
        <v>150</v>
      </c>
      <c r="R114" s="50">
        <f t="shared" si="42"/>
        <v>210</v>
      </c>
    </row>
    <row r="115" spans="1:18" x14ac:dyDescent="0.25">
      <c r="A115" s="41" t="e">
        <f t="shared" si="40"/>
        <v>#REF!</v>
      </c>
      <c r="B115" s="42">
        <f t="shared" si="40"/>
        <v>105</v>
      </c>
      <c r="C115" s="41" t="s">
        <v>1140</v>
      </c>
      <c r="D115" s="43">
        <f t="shared" si="37"/>
        <v>20</v>
      </c>
      <c r="E115" s="61">
        <f t="shared" si="38"/>
        <v>2.8840000000000003</v>
      </c>
      <c r="F115" s="61">
        <f t="shared" si="26"/>
        <v>42</v>
      </c>
      <c r="G115" s="64">
        <f t="shared" si="39"/>
        <v>0.58988764044943809</v>
      </c>
      <c r="H115" s="51">
        <f t="shared" si="32"/>
        <v>8.1659325842696617</v>
      </c>
      <c r="I115" s="42" t="str">
        <f t="shared" si="41"/>
        <v>IEC</v>
      </c>
      <c r="J115" s="50">
        <f t="shared" si="41"/>
        <v>10.5</v>
      </c>
      <c r="K115" s="49">
        <f t="shared" si="41"/>
        <v>160</v>
      </c>
      <c r="L115" s="44">
        <f t="shared" si="41"/>
        <v>8</v>
      </c>
      <c r="M115" s="44">
        <f t="shared" si="41"/>
        <v>-8</v>
      </c>
      <c r="N115" s="45">
        <f t="shared" si="33"/>
        <v>0.2</v>
      </c>
      <c r="O115" s="49">
        <v>60</v>
      </c>
      <c r="P115" s="54">
        <f>K115</f>
        <v>160</v>
      </c>
      <c r="Q115" s="44">
        <f t="shared" si="42"/>
        <v>150</v>
      </c>
      <c r="R115" s="50">
        <f t="shared" si="42"/>
        <v>210</v>
      </c>
    </row>
    <row r="116" spans="1:18" x14ac:dyDescent="0.25">
      <c r="A116" s="41" t="e">
        <f t="shared" si="40"/>
        <v>#REF!</v>
      </c>
      <c r="B116" s="42">
        <f t="shared" si="40"/>
        <v>106</v>
      </c>
      <c r="C116" s="41" t="s">
        <v>1141</v>
      </c>
      <c r="D116" s="43">
        <f t="shared" si="37"/>
        <v>20</v>
      </c>
      <c r="E116" s="61">
        <f t="shared" si="38"/>
        <v>2.8840000000000003</v>
      </c>
      <c r="F116" s="61">
        <f t="shared" si="26"/>
        <v>42</v>
      </c>
      <c r="G116" s="64">
        <f t="shared" si="39"/>
        <v>0.58988764044943809</v>
      </c>
      <c r="H116" s="51">
        <f t="shared" si="32"/>
        <v>8.1659325842696617</v>
      </c>
      <c r="I116" s="42" t="str">
        <f t="shared" si="41"/>
        <v>IEC</v>
      </c>
      <c r="J116" s="50">
        <f t="shared" si="41"/>
        <v>10.5</v>
      </c>
      <c r="K116" s="49">
        <f t="shared" si="41"/>
        <v>160</v>
      </c>
      <c r="L116" s="44">
        <f t="shared" si="41"/>
        <v>8</v>
      </c>
      <c r="M116" s="44">
        <f t="shared" si="41"/>
        <v>-8</v>
      </c>
      <c r="N116" s="45">
        <f t="shared" si="33"/>
        <v>0.2</v>
      </c>
      <c r="O116" s="49">
        <v>60</v>
      </c>
      <c r="P116" s="54">
        <f>K116+2.46</f>
        <v>162.46</v>
      </c>
      <c r="Q116" s="44">
        <f t="shared" si="42"/>
        <v>150</v>
      </c>
      <c r="R116" s="50">
        <f t="shared" si="42"/>
        <v>210</v>
      </c>
    </row>
    <row r="117" spans="1:18" x14ac:dyDescent="0.25">
      <c r="A117" s="41" t="e">
        <f t="shared" si="40"/>
        <v>#REF!</v>
      </c>
      <c r="B117" s="42">
        <f t="shared" si="40"/>
        <v>107</v>
      </c>
      <c r="C117" s="41" t="s">
        <v>1142</v>
      </c>
      <c r="D117" s="43">
        <f t="shared" si="37"/>
        <v>20</v>
      </c>
      <c r="E117" s="61">
        <f t="shared" si="38"/>
        <v>2.8840000000000003</v>
      </c>
      <c r="F117" s="61">
        <f t="shared" si="26"/>
        <v>42</v>
      </c>
      <c r="G117" s="64">
        <f t="shared" si="39"/>
        <v>0.58988764044943809</v>
      </c>
      <c r="H117" s="51">
        <f t="shared" si="32"/>
        <v>8.1659325842696617</v>
      </c>
      <c r="I117" s="42" t="str">
        <f t="shared" si="41"/>
        <v>IEC</v>
      </c>
      <c r="J117" s="50">
        <f t="shared" si="41"/>
        <v>10.5</v>
      </c>
      <c r="K117" s="49">
        <f t="shared" si="41"/>
        <v>160</v>
      </c>
      <c r="L117" s="44">
        <f t="shared" si="41"/>
        <v>8</v>
      </c>
      <c r="M117" s="44">
        <f t="shared" si="41"/>
        <v>-8</v>
      </c>
      <c r="N117" s="45">
        <f t="shared" si="33"/>
        <v>0.2</v>
      </c>
      <c r="O117" s="49">
        <v>60</v>
      </c>
      <c r="P117" s="54">
        <f>K117+4</f>
        <v>164</v>
      </c>
      <c r="Q117" s="44">
        <f t="shared" si="42"/>
        <v>150</v>
      </c>
      <c r="R117" s="50">
        <f t="shared" si="42"/>
        <v>210</v>
      </c>
    </row>
    <row r="118" spans="1:18" x14ac:dyDescent="0.25">
      <c r="A118" s="41" t="e">
        <f t="shared" si="40"/>
        <v>#REF!</v>
      </c>
      <c r="B118" s="42">
        <f t="shared" si="40"/>
        <v>108</v>
      </c>
      <c r="C118" s="41" t="s">
        <v>1143</v>
      </c>
      <c r="D118" s="43">
        <f t="shared" si="37"/>
        <v>20</v>
      </c>
      <c r="E118" s="61">
        <f t="shared" si="38"/>
        <v>2.8840000000000003</v>
      </c>
      <c r="F118" s="61">
        <f t="shared" si="26"/>
        <v>42</v>
      </c>
      <c r="G118" s="64">
        <f t="shared" si="39"/>
        <v>0.58988764044943809</v>
      </c>
      <c r="H118" s="51">
        <f t="shared" si="32"/>
        <v>8.1659325842696617</v>
      </c>
      <c r="I118" s="42" t="str">
        <f t="shared" si="41"/>
        <v>IEC</v>
      </c>
      <c r="J118" s="50">
        <f t="shared" si="41"/>
        <v>10.5</v>
      </c>
      <c r="K118" s="49">
        <f t="shared" si="41"/>
        <v>160</v>
      </c>
      <c r="L118" s="44">
        <f t="shared" si="41"/>
        <v>8</v>
      </c>
      <c r="M118" s="44">
        <f t="shared" si="41"/>
        <v>-8</v>
      </c>
      <c r="N118" s="45">
        <f t="shared" si="33"/>
        <v>0.2</v>
      </c>
      <c r="O118" s="49">
        <v>60</v>
      </c>
      <c r="P118" s="54">
        <f>K118+5.25</f>
        <v>165.25</v>
      </c>
      <c r="Q118" s="44">
        <f t="shared" si="42"/>
        <v>150</v>
      </c>
      <c r="R118" s="50">
        <f t="shared" si="42"/>
        <v>210</v>
      </c>
    </row>
    <row r="119" spans="1:18" x14ac:dyDescent="0.25">
      <c r="A119" s="41" t="e">
        <f t="shared" si="40"/>
        <v>#REF!</v>
      </c>
      <c r="B119" s="42">
        <f t="shared" si="40"/>
        <v>109</v>
      </c>
      <c r="C119" s="41" t="s">
        <v>1144</v>
      </c>
      <c r="D119" s="43">
        <f t="shared" si="37"/>
        <v>20</v>
      </c>
      <c r="E119" s="61">
        <f t="shared" si="38"/>
        <v>2.8840000000000003</v>
      </c>
      <c r="F119" s="61">
        <f t="shared" si="26"/>
        <v>42</v>
      </c>
      <c r="G119" s="64">
        <f t="shared" si="39"/>
        <v>0.58988764044943809</v>
      </c>
      <c r="H119" s="51">
        <f t="shared" si="32"/>
        <v>8.1659325842696617</v>
      </c>
      <c r="I119" s="42" t="str">
        <f t="shared" si="41"/>
        <v>IEC</v>
      </c>
      <c r="J119" s="50">
        <f t="shared" si="41"/>
        <v>10.5</v>
      </c>
      <c r="K119" s="49">
        <f t="shared" si="41"/>
        <v>160</v>
      </c>
      <c r="L119" s="44">
        <f t="shared" si="41"/>
        <v>8</v>
      </c>
      <c r="M119" s="44">
        <f t="shared" si="41"/>
        <v>-8</v>
      </c>
      <c r="N119" s="45">
        <f t="shared" si="33"/>
        <v>0.2</v>
      </c>
      <c r="O119" s="49">
        <v>90</v>
      </c>
      <c r="P119" s="54">
        <f>K119</f>
        <v>160</v>
      </c>
      <c r="Q119" s="44">
        <f t="shared" si="42"/>
        <v>150</v>
      </c>
      <c r="R119" s="50">
        <f t="shared" si="42"/>
        <v>210</v>
      </c>
    </row>
    <row r="120" spans="1:18" x14ac:dyDescent="0.25">
      <c r="A120" s="41" t="e">
        <f t="shared" si="40"/>
        <v>#REF!</v>
      </c>
      <c r="B120" s="42">
        <f t="shared" si="40"/>
        <v>110</v>
      </c>
      <c r="C120" s="41" t="s">
        <v>1145</v>
      </c>
      <c r="D120" s="43">
        <f t="shared" si="37"/>
        <v>20</v>
      </c>
      <c r="E120" s="61">
        <f t="shared" si="38"/>
        <v>2.8840000000000003</v>
      </c>
      <c r="F120" s="61">
        <f t="shared" si="26"/>
        <v>42</v>
      </c>
      <c r="G120" s="64">
        <f t="shared" si="39"/>
        <v>0.58988764044943809</v>
      </c>
      <c r="H120" s="51">
        <f t="shared" si="32"/>
        <v>8.1659325842696617</v>
      </c>
      <c r="I120" s="42" t="str">
        <f t="shared" si="41"/>
        <v>IEC</v>
      </c>
      <c r="J120" s="50">
        <f t="shared" si="41"/>
        <v>10.5</v>
      </c>
      <c r="K120" s="49">
        <f t="shared" si="41"/>
        <v>160</v>
      </c>
      <c r="L120" s="44">
        <f t="shared" si="41"/>
        <v>8</v>
      </c>
      <c r="M120" s="44">
        <f t="shared" si="41"/>
        <v>-8</v>
      </c>
      <c r="N120" s="45">
        <f t="shared" si="33"/>
        <v>0.2</v>
      </c>
      <c r="O120" s="49">
        <v>90</v>
      </c>
      <c r="P120" s="54">
        <f>K120+2.46</f>
        <v>162.46</v>
      </c>
      <c r="Q120" s="44">
        <f t="shared" si="42"/>
        <v>150</v>
      </c>
      <c r="R120" s="50">
        <f t="shared" si="42"/>
        <v>210</v>
      </c>
    </row>
    <row r="121" spans="1:18" x14ac:dyDescent="0.25">
      <c r="A121" s="41" t="e">
        <f t="shared" si="40"/>
        <v>#REF!</v>
      </c>
      <c r="B121" s="42">
        <f t="shared" si="40"/>
        <v>111</v>
      </c>
      <c r="C121" s="41" t="s">
        <v>1146</v>
      </c>
      <c r="D121" s="43">
        <f t="shared" si="37"/>
        <v>20</v>
      </c>
      <c r="E121" s="61">
        <f t="shared" si="38"/>
        <v>2.8840000000000003</v>
      </c>
      <c r="F121" s="61">
        <f t="shared" si="26"/>
        <v>42</v>
      </c>
      <c r="G121" s="64">
        <f t="shared" si="39"/>
        <v>0.58988764044943809</v>
      </c>
      <c r="H121" s="51">
        <f t="shared" si="32"/>
        <v>8.1659325842696617</v>
      </c>
      <c r="I121" s="42" t="str">
        <f t="shared" si="41"/>
        <v>IEC</v>
      </c>
      <c r="J121" s="50">
        <f t="shared" si="41"/>
        <v>10.5</v>
      </c>
      <c r="K121" s="49">
        <f t="shared" si="41"/>
        <v>160</v>
      </c>
      <c r="L121" s="44">
        <f t="shared" si="41"/>
        <v>8</v>
      </c>
      <c r="M121" s="44">
        <f t="shared" si="41"/>
        <v>-8</v>
      </c>
      <c r="N121" s="45">
        <f t="shared" si="33"/>
        <v>0.2</v>
      </c>
      <c r="O121" s="49">
        <v>90</v>
      </c>
      <c r="P121" s="54">
        <f>K121+4</f>
        <v>164</v>
      </c>
      <c r="Q121" s="44">
        <f t="shared" si="42"/>
        <v>150</v>
      </c>
      <c r="R121" s="50">
        <f t="shared" si="42"/>
        <v>210</v>
      </c>
    </row>
    <row r="122" spans="1:18" x14ac:dyDescent="0.25">
      <c r="A122" s="41" t="e">
        <f t="shared" si="40"/>
        <v>#REF!</v>
      </c>
      <c r="B122" s="42">
        <f t="shared" si="40"/>
        <v>112</v>
      </c>
      <c r="C122" s="41" t="s">
        <v>1147</v>
      </c>
      <c r="D122" s="43">
        <f t="shared" si="37"/>
        <v>20</v>
      </c>
      <c r="E122" s="61">
        <f t="shared" si="38"/>
        <v>2.8840000000000003</v>
      </c>
      <c r="F122" s="61">
        <f t="shared" si="26"/>
        <v>42</v>
      </c>
      <c r="G122" s="64">
        <f t="shared" si="39"/>
        <v>0.58988764044943809</v>
      </c>
      <c r="H122" s="51">
        <f t="shared" si="32"/>
        <v>8.1659325842696617</v>
      </c>
      <c r="I122" s="42" t="str">
        <f t="shared" si="41"/>
        <v>IEC</v>
      </c>
      <c r="J122" s="50">
        <f t="shared" si="41"/>
        <v>10.5</v>
      </c>
      <c r="K122" s="49">
        <f t="shared" si="41"/>
        <v>160</v>
      </c>
      <c r="L122" s="44">
        <f t="shared" si="41"/>
        <v>8</v>
      </c>
      <c r="M122" s="44">
        <f t="shared" si="41"/>
        <v>-8</v>
      </c>
      <c r="N122" s="45">
        <f t="shared" si="33"/>
        <v>0.2</v>
      </c>
      <c r="O122" s="49">
        <v>90</v>
      </c>
      <c r="P122" s="54">
        <f>K122+5.25</f>
        <v>165.25</v>
      </c>
      <c r="Q122" s="44">
        <f t="shared" si="42"/>
        <v>150</v>
      </c>
      <c r="R122" s="50">
        <f t="shared" si="42"/>
        <v>210</v>
      </c>
    </row>
    <row r="123" spans="1:18" x14ac:dyDescent="0.25">
      <c r="A123" s="41" t="e">
        <f t="shared" si="40"/>
        <v>#REF!</v>
      </c>
      <c r="B123" s="42">
        <f t="shared" si="40"/>
        <v>113</v>
      </c>
      <c r="C123" s="41" t="s">
        <v>1148</v>
      </c>
      <c r="D123" s="43">
        <f t="shared" si="37"/>
        <v>20</v>
      </c>
      <c r="E123" s="61">
        <f t="shared" si="38"/>
        <v>2.8840000000000003</v>
      </c>
      <c r="F123" s="61">
        <f t="shared" si="26"/>
        <v>42</v>
      </c>
      <c r="G123" s="64">
        <f t="shared" si="39"/>
        <v>0.58988764044943809</v>
      </c>
      <c r="H123" s="51">
        <f t="shared" si="32"/>
        <v>8.1659325842696617</v>
      </c>
      <c r="I123" s="42" t="str">
        <f t="shared" si="41"/>
        <v>IEC</v>
      </c>
      <c r="J123" s="50">
        <f t="shared" si="41"/>
        <v>10.5</v>
      </c>
      <c r="K123" s="49">
        <f t="shared" si="41"/>
        <v>160</v>
      </c>
      <c r="L123" s="44">
        <f t="shared" si="41"/>
        <v>8</v>
      </c>
      <c r="M123" s="44">
        <f>yaw_null</f>
        <v>0</v>
      </c>
      <c r="N123" s="45">
        <f t="shared" si="33"/>
        <v>0.2</v>
      </c>
      <c r="O123" s="49">
        <v>0</v>
      </c>
      <c r="P123" s="54">
        <f>K123</f>
        <v>160</v>
      </c>
      <c r="Q123" s="44">
        <f t="shared" si="42"/>
        <v>150</v>
      </c>
      <c r="R123" s="50">
        <f t="shared" si="42"/>
        <v>210</v>
      </c>
    </row>
    <row r="124" spans="1:18" x14ac:dyDescent="0.25">
      <c r="A124" s="41" t="e">
        <f t="shared" si="40"/>
        <v>#REF!</v>
      </c>
      <c r="B124" s="42">
        <f>B123+1</f>
        <v>114</v>
      </c>
      <c r="C124" s="41" t="s">
        <v>1149</v>
      </c>
      <c r="D124" s="43">
        <f t="shared" si="37"/>
        <v>20</v>
      </c>
      <c r="E124" s="61">
        <f t="shared" si="38"/>
        <v>2.8840000000000003</v>
      </c>
      <c r="F124" s="61">
        <f t="shared" si="26"/>
        <v>42</v>
      </c>
      <c r="G124" s="64">
        <f t="shared" si="39"/>
        <v>0.58988764044943809</v>
      </c>
      <c r="H124" s="51">
        <f t="shared" si="32"/>
        <v>8.1659325842696617</v>
      </c>
      <c r="I124" s="42" t="str">
        <f>I123</f>
        <v>IEC</v>
      </c>
      <c r="J124" s="50">
        <f t="shared" si="41"/>
        <v>10.5</v>
      </c>
      <c r="K124" s="49">
        <f>K123</f>
        <v>160</v>
      </c>
      <c r="L124" s="44">
        <f>L123</f>
        <v>8</v>
      </c>
      <c r="M124" s="44">
        <f>M123</f>
        <v>0</v>
      </c>
      <c r="N124" s="45">
        <f t="shared" si="33"/>
        <v>0.2</v>
      </c>
      <c r="O124" s="49">
        <v>0</v>
      </c>
      <c r="P124" s="54">
        <f>K124+2.46</f>
        <v>162.46</v>
      </c>
      <c r="Q124" s="44">
        <f t="shared" si="42"/>
        <v>150</v>
      </c>
      <c r="R124" s="50">
        <f>R123</f>
        <v>210</v>
      </c>
    </row>
    <row r="125" spans="1:18" x14ac:dyDescent="0.25">
      <c r="A125" s="41" t="e">
        <f t="shared" ref="A125:B140" si="43">A124+1</f>
        <v>#REF!</v>
      </c>
      <c r="B125" s="42">
        <f t="shared" si="43"/>
        <v>115</v>
      </c>
      <c r="C125" s="41" t="s">
        <v>1150</v>
      </c>
      <c r="D125" s="43">
        <f t="shared" si="37"/>
        <v>20</v>
      </c>
      <c r="E125" s="61">
        <f t="shared" si="38"/>
        <v>2.8840000000000003</v>
      </c>
      <c r="F125" s="61">
        <f t="shared" si="26"/>
        <v>42</v>
      </c>
      <c r="G125" s="64">
        <f t="shared" si="39"/>
        <v>0.58988764044943809</v>
      </c>
      <c r="H125" s="51">
        <f t="shared" si="32"/>
        <v>8.1659325842696617</v>
      </c>
      <c r="I125" s="42" t="str">
        <f t="shared" ref="I125:M140" si="44">I124</f>
        <v>IEC</v>
      </c>
      <c r="J125" s="50">
        <f t="shared" si="44"/>
        <v>10.5</v>
      </c>
      <c r="K125" s="49">
        <f t="shared" si="44"/>
        <v>160</v>
      </c>
      <c r="L125" s="44">
        <f t="shared" si="44"/>
        <v>8</v>
      </c>
      <c r="M125" s="44">
        <f t="shared" si="44"/>
        <v>0</v>
      </c>
      <c r="N125" s="45">
        <f t="shared" si="33"/>
        <v>0.2</v>
      </c>
      <c r="O125" s="49">
        <v>0</v>
      </c>
      <c r="P125" s="54">
        <f>K125+4</f>
        <v>164</v>
      </c>
      <c r="Q125" s="44">
        <f t="shared" ref="Q125:R140" si="45">Q124</f>
        <v>150</v>
      </c>
      <c r="R125" s="50">
        <f t="shared" si="45"/>
        <v>210</v>
      </c>
    </row>
    <row r="126" spans="1:18" x14ac:dyDescent="0.25">
      <c r="A126" s="41" t="e">
        <f t="shared" si="43"/>
        <v>#REF!</v>
      </c>
      <c r="B126" s="42">
        <f t="shared" si="43"/>
        <v>116</v>
      </c>
      <c r="C126" s="41" t="s">
        <v>1151</v>
      </c>
      <c r="D126" s="43">
        <f t="shared" si="37"/>
        <v>20</v>
      </c>
      <c r="E126" s="61">
        <f t="shared" si="38"/>
        <v>2.8840000000000003</v>
      </c>
      <c r="F126" s="61">
        <f t="shared" si="26"/>
        <v>42</v>
      </c>
      <c r="G126" s="64">
        <f t="shared" si="39"/>
        <v>0.58988764044943809</v>
      </c>
      <c r="H126" s="51">
        <f t="shared" si="32"/>
        <v>8.1659325842696617</v>
      </c>
      <c r="I126" s="42" t="str">
        <f t="shared" si="44"/>
        <v>IEC</v>
      </c>
      <c r="J126" s="50">
        <f t="shared" si="44"/>
        <v>10.5</v>
      </c>
      <c r="K126" s="49">
        <f t="shared" si="44"/>
        <v>160</v>
      </c>
      <c r="L126" s="44">
        <f t="shared" si="44"/>
        <v>8</v>
      </c>
      <c r="M126" s="44">
        <f t="shared" si="44"/>
        <v>0</v>
      </c>
      <c r="N126" s="45">
        <f t="shared" si="33"/>
        <v>0.2</v>
      </c>
      <c r="O126" s="49">
        <v>0</v>
      </c>
      <c r="P126" s="54">
        <f>K126+5.25</f>
        <v>165.25</v>
      </c>
      <c r="Q126" s="44">
        <f t="shared" si="45"/>
        <v>150</v>
      </c>
      <c r="R126" s="50">
        <f t="shared" si="45"/>
        <v>210</v>
      </c>
    </row>
    <row r="127" spans="1:18" x14ac:dyDescent="0.25">
      <c r="A127" s="41" t="e">
        <f t="shared" si="43"/>
        <v>#REF!</v>
      </c>
      <c r="B127" s="42">
        <f t="shared" si="43"/>
        <v>117</v>
      </c>
      <c r="C127" s="41" t="s">
        <v>1152</v>
      </c>
      <c r="D127" s="43">
        <f t="shared" si="37"/>
        <v>20</v>
      </c>
      <c r="E127" s="61">
        <f t="shared" si="38"/>
        <v>2.8840000000000003</v>
      </c>
      <c r="F127" s="61">
        <f t="shared" si="26"/>
        <v>42</v>
      </c>
      <c r="G127" s="64">
        <f t="shared" si="39"/>
        <v>0.58988764044943809</v>
      </c>
      <c r="H127" s="51">
        <f t="shared" si="32"/>
        <v>8.1659325842696617</v>
      </c>
      <c r="I127" s="42" t="str">
        <f t="shared" si="44"/>
        <v>IEC</v>
      </c>
      <c r="J127" s="50">
        <f t="shared" si="44"/>
        <v>10.5</v>
      </c>
      <c r="K127" s="49">
        <f t="shared" si="44"/>
        <v>160</v>
      </c>
      <c r="L127" s="44">
        <f t="shared" si="44"/>
        <v>8</v>
      </c>
      <c r="M127" s="44">
        <f t="shared" si="44"/>
        <v>0</v>
      </c>
      <c r="N127" s="45">
        <f t="shared" si="33"/>
        <v>0.2</v>
      </c>
      <c r="O127" s="49">
        <v>30</v>
      </c>
      <c r="P127" s="54">
        <f>K127</f>
        <v>160</v>
      </c>
      <c r="Q127" s="44">
        <f t="shared" si="45"/>
        <v>150</v>
      </c>
      <c r="R127" s="50">
        <f t="shared" si="45"/>
        <v>210</v>
      </c>
    </row>
    <row r="128" spans="1:18" x14ac:dyDescent="0.25">
      <c r="A128" s="41" t="e">
        <f t="shared" si="43"/>
        <v>#REF!</v>
      </c>
      <c r="B128" s="42">
        <f t="shared" si="43"/>
        <v>118</v>
      </c>
      <c r="C128" s="41" t="s">
        <v>1153</v>
      </c>
      <c r="D128" s="43">
        <f t="shared" si="37"/>
        <v>20</v>
      </c>
      <c r="E128" s="61">
        <f t="shared" si="38"/>
        <v>2.8840000000000003</v>
      </c>
      <c r="F128" s="61">
        <f t="shared" si="26"/>
        <v>42</v>
      </c>
      <c r="G128" s="64">
        <f t="shared" si="39"/>
        <v>0.58988764044943809</v>
      </c>
      <c r="H128" s="51">
        <f t="shared" si="32"/>
        <v>8.1659325842696617</v>
      </c>
      <c r="I128" s="42" t="str">
        <f t="shared" si="44"/>
        <v>IEC</v>
      </c>
      <c r="J128" s="50">
        <f t="shared" si="44"/>
        <v>10.5</v>
      </c>
      <c r="K128" s="49">
        <f t="shared" si="44"/>
        <v>160</v>
      </c>
      <c r="L128" s="44">
        <f t="shared" si="44"/>
        <v>8</v>
      </c>
      <c r="M128" s="44">
        <f t="shared" si="44"/>
        <v>0</v>
      </c>
      <c r="N128" s="45">
        <f t="shared" si="33"/>
        <v>0.2</v>
      </c>
      <c r="O128" s="49">
        <v>30</v>
      </c>
      <c r="P128" s="54">
        <f>K128+2.46</f>
        <v>162.46</v>
      </c>
      <c r="Q128" s="44">
        <f t="shared" si="45"/>
        <v>150</v>
      </c>
      <c r="R128" s="50">
        <f t="shared" si="45"/>
        <v>210</v>
      </c>
    </row>
    <row r="129" spans="1:18" x14ac:dyDescent="0.25">
      <c r="A129" s="41" t="e">
        <f t="shared" si="43"/>
        <v>#REF!</v>
      </c>
      <c r="B129" s="42">
        <f t="shared" si="43"/>
        <v>119</v>
      </c>
      <c r="C129" s="41" t="s">
        <v>1154</v>
      </c>
      <c r="D129" s="43">
        <f t="shared" si="37"/>
        <v>20</v>
      </c>
      <c r="E129" s="61">
        <f t="shared" si="38"/>
        <v>2.8840000000000003</v>
      </c>
      <c r="F129" s="61">
        <f t="shared" si="26"/>
        <v>42</v>
      </c>
      <c r="G129" s="64">
        <f t="shared" si="39"/>
        <v>0.58988764044943809</v>
      </c>
      <c r="H129" s="51">
        <f t="shared" si="32"/>
        <v>8.1659325842696617</v>
      </c>
      <c r="I129" s="42" t="str">
        <f t="shared" si="44"/>
        <v>IEC</v>
      </c>
      <c r="J129" s="50">
        <f t="shared" si="44"/>
        <v>10.5</v>
      </c>
      <c r="K129" s="49">
        <f t="shared" si="44"/>
        <v>160</v>
      </c>
      <c r="L129" s="44">
        <f t="shared" si="44"/>
        <v>8</v>
      </c>
      <c r="M129" s="44">
        <f t="shared" si="44"/>
        <v>0</v>
      </c>
      <c r="N129" s="45">
        <f t="shared" si="33"/>
        <v>0.2</v>
      </c>
      <c r="O129" s="49">
        <v>30</v>
      </c>
      <c r="P129" s="54">
        <f>K129+4</f>
        <v>164</v>
      </c>
      <c r="Q129" s="44">
        <f t="shared" si="45"/>
        <v>150</v>
      </c>
      <c r="R129" s="50">
        <f t="shared" si="45"/>
        <v>210</v>
      </c>
    </row>
    <row r="130" spans="1:18" x14ac:dyDescent="0.25">
      <c r="A130" s="41" t="e">
        <f t="shared" si="43"/>
        <v>#REF!</v>
      </c>
      <c r="B130" s="42">
        <f t="shared" si="43"/>
        <v>120</v>
      </c>
      <c r="C130" s="41" t="s">
        <v>1155</v>
      </c>
      <c r="D130" s="43">
        <f t="shared" si="37"/>
        <v>20</v>
      </c>
      <c r="E130" s="61">
        <f t="shared" si="38"/>
        <v>2.8840000000000003</v>
      </c>
      <c r="F130" s="61">
        <f t="shared" si="26"/>
        <v>42</v>
      </c>
      <c r="G130" s="64">
        <f t="shared" si="39"/>
        <v>0.58988764044943809</v>
      </c>
      <c r="H130" s="51">
        <f t="shared" si="32"/>
        <v>8.1659325842696617</v>
      </c>
      <c r="I130" s="42" t="str">
        <f t="shared" si="44"/>
        <v>IEC</v>
      </c>
      <c r="J130" s="50">
        <f t="shared" si="44"/>
        <v>10.5</v>
      </c>
      <c r="K130" s="49">
        <f t="shared" si="44"/>
        <v>160</v>
      </c>
      <c r="L130" s="44">
        <f t="shared" si="44"/>
        <v>8</v>
      </c>
      <c r="M130" s="44">
        <f t="shared" si="44"/>
        <v>0</v>
      </c>
      <c r="N130" s="45">
        <f t="shared" si="33"/>
        <v>0.2</v>
      </c>
      <c r="O130" s="49">
        <v>30</v>
      </c>
      <c r="P130" s="54">
        <f>K130+5.25</f>
        <v>165.25</v>
      </c>
      <c r="Q130" s="44">
        <f t="shared" si="45"/>
        <v>150</v>
      </c>
      <c r="R130" s="50">
        <f t="shared" si="45"/>
        <v>210</v>
      </c>
    </row>
    <row r="131" spans="1:18" x14ac:dyDescent="0.25">
      <c r="A131" s="41" t="e">
        <f t="shared" si="43"/>
        <v>#REF!</v>
      </c>
      <c r="B131" s="42">
        <f t="shared" si="43"/>
        <v>121</v>
      </c>
      <c r="C131" s="41" t="s">
        <v>1156</v>
      </c>
      <c r="D131" s="43">
        <f t="shared" si="37"/>
        <v>20</v>
      </c>
      <c r="E131" s="61">
        <f t="shared" si="38"/>
        <v>2.8840000000000003</v>
      </c>
      <c r="F131" s="61">
        <f t="shared" si="26"/>
        <v>42</v>
      </c>
      <c r="G131" s="64">
        <f t="shared" si="39"/>
        <v>0.58988764044943809</v>
      </c>
      <c r="H131" s="51">
        <f t="shared" si="32"/>
        <v>8.1659325842696617</v>
      </c>
      <c r="I131" s="42" t="str">
        <f t="shared" si="44"/>
        <v>IEC</v>
      </c>
      <c r="J131" s="50">
        <f t="shared" si="44"/>
        <v>10.5</v>
      </c>
      <c r="K131" s="49">
        <f t="shared" si="44"/>
        <v>160</v>
      </c>
      <c r="L131" s="44">
        <f t="shared" si="44"/>
        <v>8</v>
      </c>
      <c r="M131" s="44">
        <f t="shared" si="44"/>
        <v>0</v>
      </c>
      <c r="N131" s="45">
        <f t="shared" si="33"/>
        <v>0.2</v>
      </c>
      <c r="O131" s="49">
        <v>60</v>
      </c>
      <c r="P131" s="54">
        <f>K131</f>
        <v>160</v>
      </c>
      <c r="Q131" s="44">
        <f t="shared" si="45"/>
        <v>150</v>
      </c>
      <c r="R131" s="50">
        <f t="shared" si="45"/>
        <v>210</v>
      </c>
    </row>
    <row r="132" spans="1:18" x14ac:dyDescent="0.25">
      <c r="A132" s="41" t="e">
        <f t="shared" si="43"/>
        <v>#REF!</v>
      </c>
      <c r="B132" s="42">
        <f t="shared" si="43"/>
        <v>122</v>
      </c>
      <c r="C132" s="41" t="s">
        <v>1157</v>
      </c>
      <c r="D132" s="43">
        <f t="shared" si="37"/>
        <v>20</v>
      </c>
      <c r="E132" s="61">
        <f t="shared" si="38"/>
        <v>2.8840000000000003</v>
      </c>
      <c r="F132" s="61">
        <f t="shared" si="26"/>
        <v>42</v>
      </c>
      <c r="G132" s="64">
        <f t="shared" si="39"/>
        <v>0.58988764044943809</v>
      </c>
      <c r="H132" s="51">
        <f t="shared" si="32"/>
        <v>8.1659325842696617</v>
      </c>
      <c r="I132" s="42" t="str">
        <f t="shared" si="44"/>
        <v>IEC</v>
      </c>
      <c r="J132" s="50">
        <f t="shared" si="44"/>
        <v>10.5</v>
      </c>
      <c r="K132" s="49">
        <f t="shared" si="44"/>
        <v>160</v>
      </c>
      <c r="L132" s="44">
        <f t="shared" si="44"/>
        <v>8</v>
      </c>
      <c r="M132" s="44">
        <f t="shared" si="44"/>
        <v>0</v>
      </c>
      <c r="N132" s="45">
        <f t="shared" si="33"/>
        <v>0.2</v>
      </c>
      <c r="O132" s="49">
        <v>60</v>
      </c>
      <c r="P132" s="54">
        <f>K132+2.46</f>
        <v>162.46</v>
      </c>
      <c r="Q132" s="44">
        <f t="shared" si="45"/>
        <v>150</v>
      </c>
      <c r="R132" s="50">
        <f t="shared" si="45"/>
        <v>210</v>
      </c>
    </row>
    <row r="133" spans="1:18" x14ac:dyDescent="0.25">
      <c r="A133" s="41" t="e">
        <f t="shared" si="43"/>
        <v>#REF!</v>
      </c>
      <c r="B133" s="42">
        <f t="shared" si="43"/>
        <v>123</v>
      </c>
      <c r="C133" s="41" t="s">
        <v>1158</v>
      </c>
      <c r="D133" s="43">
        <f t="shared" si="37"/>
        <v>20</v>
      </c>
      <c r="E133" s="61">
        <f t="shared" si="38"/>
        <v>2.8840000000000003</v>
      </c>
      <c r="F133" s="61">
        <f t="shared" si="26"/>
        <v>42</v>
      </c>
      <c r="G133" s="64">
        <f t="shared" si="39"/>
        <v>0.58988764044943809</v>
      </c>
      <c r="H133" s="51">
        <f t="shared" si="32"/>
        <v>8.1659325842696617</v>
      </c>
      <c r="I133" s="42" t="str">
        <f t="shared" si="44"/>
        <v>IEC</v>
      </c>
      <c r="J133" s="50">
        <f t="shared" si="44"/>
        <v>10.5</v>
      </c>
      <c r="K133" s="49">
        <f t="shared" si="44"/>
        <v>160</v>
      </c>
      <c r="L133" s="44">
        <f t="shared" si="44"/>
        <v>8</v>
      </c>
      <c r="M133" s="44">
        <f t="shared" si="44"/>
        <v>0</v>
      </c>
      <c r="N133" s="45">
        <f t="shared" si="33"/>
        <v>0.2</v>
      </c>
      <c r="O133" s="49">
        <v>60</v>
      </c>
      <c r="P133" s="54">
        <f>K133+4</f>
        <v>164</v>
      </c>
      <c r="Q133" s="44">
        <f t="shared" si="45"/>
        <v>150</v>
      </c>
      <c r="R133" s="50">
        <f t="shared" si="45"/>
        <v>210</v>
      </c>
    </row>
    <row r="134" spans="1:18" x14ac:dyDescent="0.25">
      <c r="A134" s="41" t="e">
        <f t="shared" si="43"/>
        <v>#REF!</v>
      </c>
      <c r="B134" s="42">
        <f t="shared" si="43"/>
        <v>124</v>
      </c>
      <c r="C134" s="41" t="s">
        <v>1159</v>
      </c>
      <c r="D134" s="43">
        <f t="shared" si="37"/>
        <v>20</v>
      </c>
      <c r="E134" s="61">
        <f t="shared" si="38"/>
        <v>2.8840000000000003</v>
      </c>
      <c r="F134" s="61">
        <f t="shared" si="26"/>
        <v>42</v>
      </c>
      <c r="G134" s="64">
        <f t="shared" si="39"/>
        <v>0.58988764044943809</v>
      </c>
      <c r="H134" s="51">
        <f t="shared" si="32"/>
        <v>8.1659325842696617</v>
      </c>
      <c r="I134" s="42" t="str">
        <f t="shared" si="44"/>
        <v>IEC</v>
      </c>
      <c r="J134" s="50">
        <f t="shared" si="44"/>
        <v>10.5</v>
      </c>
      <c r="K134" s="49">
        <f t="shared" si="44"/>
        <v>160</v>
      </c>
      <c r="L134" s="44">
        <f t="shared" si="44"/>
        <v>8</v>
      </c>
      <c r="M134" s="44">
        <f t="shared" si="44"/>
        <v>0</v>
      </c>
      <c r="N134" s="45">
        <f t="shared" si="33"/>
        <v>0.2</v>
      </c>
      <c r="O134" s="49">
        <v>60</v>
      </c>
      <c r="P134" s="54">
        <f>K134+5.25</f>
        <v>165.25</v>
      </c>
      <c r="Q134" s="44">
        <f t="shared" si="45"/>
        <v>150</v>
      </c>
      <c r="R134" s="50">
        <f t="shared" si="45"/>
        <v>210</v>
      </c>
    </row>
    <row r="135" spans="1:18" x14ac:dyDescent="0.25">
      <c r="A135" s="41" t="e">
        <f t="shared" si="43"/>
        <v>#REF!</v>
      </c>
      <c r="B135" s="42">
        <f t="shared" si="43"/>
        <v>125</v>
      </c>
      <c r="C135" s="41" t="s">
        <v>1160</v>
      </c>
      <c r="D135" s="43">
        <f t="shared" si="37"/>
        <v>20</v>
      </c>
      <c r="E135" s="61">
        <f t="shared" si="38"/>
        <v>2.8840000000000003</v>
      </c>
      <c r="F135" s="61">
        <f t="shared" si="26"/>
        <v>42</v>
      </c>
      <c r="G135" s="64">
        <f t="shared" si="39"/>
        <v>0.58988764044943809</v>
      </c>
      <c r="H135" s="51">
        <f t="shared" si="32"/>
        <v>8.1659325842696617</v>
      </c>
      <c r="I135" s="42" t="str">
        <f t="shared" si="44"/>
        <v>IEC</v>
      </c>
      <c r="J135" s="50">
        <f t="shared" si="44"/>
        <v>10.5</v>
      </c>
      <c r="K135" s="49">
        <f t="shared" si="44"/>
        <v>160</v>
      </c>
      <c r="L135" s="44">
        <f t="shared" si="44"/>
        <v>8</v>
      </c>
      <c r="M135" s="44">
        <f t="shared" si="44"/>
        <v>0</v>
      </c>
      <c r="N135" s="45">
        <f t="shared" si="33"/>
        <v>0.2</v>
      </c>
      <c r="O135" s="49">
        <v>90</v>
      </c>
      <c r="P135" s="54">
        <f>K135</f>
        <v>160</v>
      </c>
      <c r="Q135" s="44">
        <f t="shared" si="45"/>
        <v>150</v>
      </c>
      <c r="R135" s="50">
        <f t="shared" si="45"/>
        <v>210</v>
      </c>
    </row>
    <row r="136" spans="1:18" x14ac:dyDescent="0.25">
      <c r="A136" s="41" t="e">
        <f t="shared" si="43"/>
        <v>#REF!</v>
      </c>
      <c r="B136" s="42">
        <f t="shared" si="43"/>
        <v>126</v>
      </c>
      <c r="C136" s="41" t="s">
        <v>1161</v>
      </c>
      <c r="D136" s="43">
        <f t="shared" si="37"/>
        <v>20</v>
      </c>
      <c r="E136" s="61">
        <f t="shared" si="38"/>
        <v>2.8840000000000003</v>
      </c>
      <c r="F136" s="61">
        <f t="shared" si="26"/>
        <v>42</v>
      </c>
      <c r="G136" s="64">
        <f t="shared" si="39"/>
        <v>0.58988764044943809</v>
      </c>
      <c r="H136" s="51">
        <f t="shared" si="32"/>
        <v>8.1659325842696617</v>
      </c>
      <c r="I136" s="42" t="str">
        <f t="shared" si="44"/>
        <v>IEC</v>
      </c>
      <c r="J136" s="50">
        <f t="shared" si="44"/>
        <v>10.5</v>
      </c>
      <c r="K136" s="49">
        <f t="shared" si="44"/>
        <v>160</v>
      </c>
      <c r="L136" s="44">
        <f t="shared" si="44"/>
        <v>8</v>
      </c>
      <c r="M136" s="44">
        <f t="shared" si="44"/>
        <v>0</v>
      </c>
      <c r="N136" s="45">
        <f t="shared" si="33"/>
        <v>0.2</v>
      </c>
      <c r="O136" s="49">
        <v>90</v>
      </c>
      <c r="P136" s="54">
        <f>K136+2.46</f>
        <v>162.46</v>
      </c>
      <c r="Q136" s="44">
        <f t="shared" si="45"/>
        <v>150</v>
      </c>
      <c r="R136" s="50">
        <f t="shared" si="45"/>
        <v>210</v>
      </c>
    </row>
    <row r="137" spans="1:18" x14ac:dyDescent="0.25">
      <c r="A137" s="41" t="e">
        <f t="shared" si="43"/>
        <v>#REF!</v>
      </c>
      <c r="B137" s="42">
        <f t="shared" si="43"/>
        <v>127</v>
      </c>
      <c r="C137" s="41" t="s">
        <v>1162</v>
      </c>
      <c r="D137" s="43">
        <f t="shared" si="37"/>
        <v>20</v>
      </c>
      <c r="E137" s="61">
        <f t="shared" si="38"/>
        <v>2.8840000000000003</v>
      </c>
      <c r="F137" s="61">
        <f t="shared" si="26"/>
        <v>42</v>
      </c>
      <c r="G137" s="64">
        <f t="shared" si="39"/>
        <v>0.58988764044943809</v>
      </c>
      <c r="H137" s="51">
        <f t="shared" si="32"/>
        <v>8.1659325842696617</v>
      </c>
      <c r="I137" s="42" t="str">
        <f t="shared" si="44"/>
        <v>IEC</v>
      </c>
      <c r="J137" s="50">
        <f t="shared" si="44"/>
        <v>10.5</v>
      </c>
      <c r="K137" s="49">
        <f t="shared" si="44"/>
        <v>160</v>
      </c>
      <c r="L137" s="44">
        <f t="shared" si="44"/>
        <v>8</v>
      </c>
      <c r="M137" s="44">
        <f t="shared" si="44"/>
        <v>0</v>
      </c>
      <c r="N137" s="45">
        <f t="shared" si="33"/>
        <v>0.2</v>
      </c>
      <c r="O137" s="49">
        <v>90</v>
      </c>
      <c r="P137" s="54">
        <f>K137+4</f>
        <v>164</v>
      </c>
      <c r="Q137" s="44">
        <f t="shared" si="45"/>
        <v>150</v>
      </c>
      <c r="R137" s="50">
        <f t="shared" si="45"/>
        <v>210</v>
      </c>
    </row>
    <row r="138" spans="1:18" x14ac:dyDescent="0.25">
      <c r="A138" s="41" t="e">
        <f t="shared" si="43"/>
        <v>#REF!</v>
      </c>
      <c r="B138" s="42">
        <f t="shared" si="43"/>
        <v>128</v>
      </c>
      <c r="C138" s="41" t="s">
        <v>1163</v>
      </c>
      <c r="D138" s="43">
        <f t="shared" si="37"/>
        <v>20</v>
      </c>
      <c r="E138" s="61">
        <f t="shared" si="38"/>
        <v>2.8840000000000003</v>
      </c>
      <c r="F138" s="61">
        <f t="shared" si="26"/>
        <v>42</v>
      </c>
      <c r="G138" s="64">
        <f t="shared" si="39"/>
        <v>0.58988764044943809</v>
      </c>
      <c r="H138" s="51">
        <f t="shared" si="32"/>
        <v>8.1659325842696617</v>
      </c>
      <c r="I138" s="42" t="str">
        <f t="shared" si="44"/>
        <v>IEC</v>
      </c>
      <c r="J138" s="50">
        <f t="shared" si="44"/>
        <v>10.5</v>
      </c>
      <c r="K138" s="49">
        <f t="shared" si="44"/>
        <v>160</v>
      </c>
      <c r="L138" s="44">
        <f t="shared" si="44"/>
        <v>8</v>
      </c>
      <c r="M138" s="44">
        <f t="shared" si="44"/>
        <v>0</v>
      </c>
      <c r="N138" s="45">
        <f t="shared" si="33"/>
        <v>0.2</v>
      </c>
      <c r="O138" s="49">
        <v>90</v>
      </c>
      <c r="P138" s="54">
        <f>K138+5.25</f>
        <v>165.25</v>
      </c>
      <c r="Q138" s="44">
        <f t="shared" si="45"/>
        <v>150</v>
      </c>
      <c r="R138" s="50">
        <f t="shared" si="45"/>
        <v>210</v>
      </c>
    </row>
    <row r="139" spans="1:18" x14ac:dyDescent="0.25">
      <c r="A139" s="41" t="e">
        <f t="shared" si="43"/>
        <v>#REF!</v>
      </c>
      <c r="B139" s="42">
        <f t="shared" si="43"/>
        <v>129</v>
      </c>
      <c r="C139" s="41" t="s">
        <v>1164</v>
      </c>
      <c r="D139" s="43">
        <f t="shared" si="37"/>
        <v>20</v>
      </c>
      <c r="E139" s="61">
        <f t="shared" ref="E139:E170" si="46">I_ref*(0.75*D139+5.6)</f>
        <v>2.8840000000000003</v>
      </c>
      <c r="F139" s="61">
        <f t="shared" ref="F139:F202" si="47">tur_scale</f>
        <v>42</v>
      </c>
      <c r="G139" s="64">
        <f t="shared" ref="G139:G170" si="48">1/(1+0.2*(diameter/F139))</f>
        <v>0.58988764044943809</v>
      </c>
      <c r="H139" s="51">
        <f t="shared" si="32"/>
        <v>8.1659325842696617</v>
      </c>
      <c r="I139" s="42" t="str">
        <f t="shared" si="44"/>
        <v>IEC</v>
      </c>
      <c r="J139" s="50">
        <f t="shared" si="44"/>
        <v>10.5</v>
      </c>
      <c r="K139" s="49">
        <f t="shared" si="44"/>
        <v>160</v>
      </c>
      <c r="L139" s="44">
        <f t="shared" si="44"/>
        <v>8</v>
      </c>
      <c r="M139" s="44">
        <f>yaw_max</f>
        <v>8</v>
      </c>
      <c r="N139" s="45">
        <f t="shared" si="33"/>
        <v>0.2</v>
      </c>
      <c r="O139" s="49">
        <v>0</v>
      </c>
      <c r="P139" s="54">
        <f>K139</f>
        <v>160</v>
      </c>
      <c r="Q139" s="44">
        <f t="shared" si="45"/>
        <v>150</v>
      </c>
      <c r="R139" s="50">
        <f t="shared" si="45"/>
        <v>210</v>
      </c>
    </row>
    <row r="140" spans="1:18" x14ac:dyDescent="0.25">
      <c r="A140" s="41" t="e">
        <f t="shared" si="43"/>
        <v>#REF!</v>
      </c>
      <c r="B140" s="42">
        <f>B139+1</f>
        <v>130</v>
      </c>
      <c r="C140" s="41" t="s">
        <v>1165</v>
      </c>
      <c r="D140" s="43">
        <f t="shared" si="37"/>
        <v>20</v>
      </c>
      <c r="E140" s="61">
        <f t="shared" si="46"/>
        <v>2.8840000000000003</v>
      </c>
      <c r="F140" s="61">
        <f t="shared" si="47"/>
        <v>42</v>
      </c>
      <c r="G140" s="64">
        <f t="shared" si="48"/>
        <v>0.58988764044943809</v>
      </c>
      <c r="H140" s="51">
        <f t="shared" si="32"/>
        <v>8.1659325842696617</v>
      </c>
      <c r="I140" s="42" t="str">
        <f>I139</f>
        <v>IEC</v>
      </c>
      <c r="J140" s="50">
        <f t="shared" si="44"/>
        <v>10.5</v>
      </c>
      <c r="K140" s="49">
        <f>K139</f>
        <v>160</v>
      </c>
      <c r="L140" s="44">
        <f>L139</f>
        <v>8</v>
      </c>
      <c r="M140" s="44">
        <f>M139</f>
        <v>8</v>
      </c>
      <c r="N140" s="45">
        <f t="shared" si="33"/>
        <v>0.2</v>
      </c>
      <c r="O140" s="49">
        <v>0</v>
      </c>
      <c r="P140" s="54">
        <f>K140+2.46</f>
        <v>162.46</v>
      </c>
      <c r="Q140" s="44">
        <f t="shared" si="45"/>
        <v>150</v>
      </c>
      <c r="R140" s="50">
        <f>R139</f>
        <v>210</v>
      </c>
    </row>
    <row r="141" spans="1:18" x14ac:dyDescent="0.25">
      <c r="A141" s="41" t="e">
        <f t="shared" ref="A141:B156" si="49">A140+1</f>
        <v>#REF!</v>
      </c>
      <c r="B141" s="42">
        <f t="shared" si="49"/>
        <v>131</v>
      </c>
      <c r="C141" s="41" t="s">
        <v>1166</v>
      </c>
      <c r="D141" s="43">
        <f t="shared" si="37"/>
        <v>20</v>
      </c>
      <c r="E141" s="61">
        <f t="shared" si="46"/>
        <v>2.8840000000000003</v>
      </c>
      <c r="F141" s="61">
        <f t="shared" si="47"/>
        <v>42</v>
      </c>
      <c r="G141" s="64">
        <f t="shared" si="48"/>
        <v>0.58988764044943809</v>
      </c>
      <c r="H141" s="51">
        <f t="shared" si="32"/>
        <v>8.1659325842696617</v>
      </c>
      <c r="I141" s="42" t="str">
        <f t="shared" ref="I141:M156" si="50">I140</f>
        <v>IEC</v>
      </c>
      <c r="J141" s="50">
        <f t="shared" si="50"/>
        <v>10.5</v>
      </c>
      <c r="K141" s="49">
        <f t="shared" si="50"/>
        <v>160</v>
      </c>
      <c r="L141" s="44">
        <f t="shared" si="50"/>
        <v>8</v>
      </c>
      <c r="M141" s="44">
        <f t="shared" si="50"/>
        <v>8</v>
      </c>
      <c r="N141" s="45">
        <f t="shared" si="33"/>
        <v>0.2</v>
      </c>
      <c r="O141" s="49">
        <v>0</v>
      </c>
      <c r="P141" s="54">
        <f>K141+4</f>
        <v>164</v>
      </c>
      <c r="Q141" s="44">
        <f t="shared" ref="Q141:R156" si="51">Q140</f>
        <v>150</v>
      </c>
      <c r="R141" s="50">
        <f t="shared" si="51"/>
        <v>210</v>
      </c>
    </row>
    <row r="142" spans="1:18" x14ac:dyDescent="0.25">
      <c r="A142" s="41" t="e">
        <f t="shared" si="49"/>
        <v>#REF!</v>
      </c>
      <c r="B142" s="42">
        <f t="shared" si="49"/>
        <v>132</v>
      </c>
      <c r="C142" s="41" t="s">
        <v>1167</v>
      </c>
      <c r="D142" s="43">
        <f t="shared" si="37"/>
        <v>20</v>
      </c>
      <c r="E142" s="61">
        <f t="shared" si="46"/>
        <v>2.8840000000000003</v>
      </c>
      <c r="F142" s="61">
        <f t="shared" si="47"/>
        <v>42</v>
      </c>
      <c r="G142" s="64">
        <f t="shared" si="48"/>
        <v>0.58988764044943809</v>
      </c>
      <c r="H142" s="51">
        <f t="shared" si="32"/>
        <v>8.1659325842696617</v>
      </c>
      <c r="I142" s="42" t="str">
        <f t="shared" si="50"/>
        <v>IEC</v>
      </c>
      <c r="J142" s="50">
        <f t="shared" si="50"/>
        <v>10.5</v>
      </c>
      <c r="K142" s="49">
        <f t="shared" si="50"/>
        <v>160</v>
      </c>
      <c r="L142" s="44">
        <f t="shared" si="50"/>
        <v>8</v>
      </c>
      <c r="M142" s="44">
        <f t="shared" si="50"/>
        <v>8</v>
      </c>
      <c r="N142" s="45">
        <f t="shared" si="33"/>
        <v>0.2</v>
      </c>
      <c r="O142" s="49">
        <v>0</v>
      </c>
      <c r="P142" s="54">
        <f>K142+5.25</f>
        <v>165.25</v>
      </c>
      <c r="Q142" s="44">
        <f t="shared" si="51"/>
        <v>150</v>
      </c>
      <c r="R142" s="50">
        <f t="shared" si="51"/>
        <v>210</v>
      </c>
    </row>
    <row r="143" spans="1:18" x14ac:dyDescent="0.25">
      <c r="A143" s="41" t="e">
        <f t="shared" si="49"/>
        <v>#REF!</v>
      </c>
      <c r="B143" s="42">
        <f t="shared" si="49"/>
        <v>133</v>
      </c>
      <c r="C143" s="41" t="s">
        <v>1168</v>
      </c>
      <c r="D143" s="43">
        <f t="shared" si="37"/>
        <v>20</v>
      </c>
      <c r="E143" s="61">
        <f t="shared" si="46"/>
        <v>2.8840000000000003</v>
      </c>
      <c r="F143" s="61">
        <f t="shared" si="47"/>
        <v>42</v>
      </c>
      <c r="G143" s="64">
        <f t="shared" si="48"/>
        <v>0.58988764044943809</v>
      </c>
      <c r="H143" s="51">
        <f t="shared" si="32"/>
        <v>8.1659325842696617</v>
      </c>
      <c r="I143" s="42" t="str">
        <f t="shared" si="50"/>
        <v>IEC</v>
      </c>
      <c r="J143" s="50">
        <f t="shared" si="50"/>
        <v>10.5</v>
      </c>
      <c r="K143" s="49">
        <f t="shared" si="50"/>
        <v>160</v>
      </c>
      <c r="L143" s="44">
        <f t="shared" si="50"/>
        <v>8</v>
      </c>
      <c r="M143" s="44">
        <f t="shared" si="50"/>
        <v>8</v>
      </c>
      <c r="N143" s="45">
        <f t="shared" si="33"/>
        <v>0.2</v>
      </c>
      <c r="O143" s="49">
        <v>30</v>
      </c>
      <c r="P143" s="54">
        <f>K143</f>
        <v>160</v>
      </c>
      <c r="Q143" s="44">
        <f t="shared" si="51"/>
        <v>150</v>
      </c>
      <c r="R143" s="50">
        <f t="shared" si="51"/>
        <v>210</v>
      </c>
    </row>
    <row r="144" spans="1:18" x14ac:dyDescent="0.25">
      <c r="A144" s="41" t="e">
        <f t="shared" si="49"/>
        <v>#REF!</v>
      </c>
      <c r="B144" s="42">
        <f t="shared" si="49"/>
        <v>134</v>
      </c>
      <c r="C144" s="41" t="s">
        <v>1169</v>
      </c>
      <c r="D144" s="43">
        <f t="shared" si="37"/>
        <v>20</v>
      </c>
      <c r="E144" s="61">
        <f t="shared" si="46"/>
        <v>2.8840000000000003</v>
      </c>
      <c r="F144" s="61">
        <f t="shared" si="47"/>
        <v>42</v>
      </c>
      <c r="G144" s="64">
        <f t="shared" si="48"/>
        <v>0.58988764044943809</v>
      </c>
      <c r="H144" s="51">
        <f t="shared" si="32"/>
        <v>8.1659325842696617</v>
      </c>
      <c r="I144" s="42" t="str">
        <f t="shared" si="50"/>
        <v>IEC</v>
      </c>
      <c r="J144" s="50">
        <f t="shared" si="50"/>
        <v>10.5</v>
      </c>
      <c r="K144" s="49">
        <f t="shared" si="50"/>
        <v>160</v>
      </c>
      <c r="L144" s="44">
        <f t="shared" si="50"/>
        <v>8</v>
      </c>
      <c r="M144" s="44">
        <f t="shared" si="50"/>
        <v>8</v>
      </c>
      <c r="N144" s="45">
        <f t="shared" si="33"/>
        <v>0.2</v>
      </c>
      <c r="O144" s="49">
        <v>30</v>
      </c>
      <c r="P144" s="54">
        <f>K144+2.46</f>
        <v>162.46</v>
      </c>
      <c r="Q144" s="44">
        <f t="shared" si="51"/>
        <v>150</v>
      </c>
      <c r="R144" s="50">
        <f t="shared" si="51"/>
        <v>210</v>
      </c>
    </row>
    <row r="145" spans="1:18" x14ac:dyDescent="0.25">
      <c r="A145" s="41" t="e">
        <f t="shared" si="49"/>
        <v>#REF!</v>
      </c>
      <c r="B145" s="42">
        <f t="shared" si="49"/>
        <v>135</v>
      </c>
      <c r="C145" s="41" t="s">
        <v>1170</v>
      </c>
      <c r="D145" s="43">
        <f t="shared" si="37"/>
        <v>20</v>
      </c>
      <c r="E145" s="61">
        <f t="shared" si="46"/>
        <v>2.8840000000000003</v>
      </c>
      <c r="F145" s="61">
        <f t="shared" si="47"/>
        <v>42</v>
      </c>
      <c r="G145" s="64">
        <f t="shared" si="48"/>
        <v>0.58988764044943809</v>
      </c>
      <c r="H145" s="51">
        <f t="shared" si="32"/>
        <v>8.1659325842696617</v>
      </c>
      <c r="I145" s="42" t="str">
        <f t="shared" si="50"/>
        <v>IEC</v>
      </c>
      <c r="J145" s="50">
        <f t="shared" si="50"/>
        <v>10.5</v>
      </c>
      <c r="K145" s="49">
        <f t="shared" si="50"/>
        <v>160</v>
      </c>
      <c r="L145" s="44">
        <f t="shared" si="50"/>
        <v>8</v>
      </c>
      <c r="M145" s="44">
        <f t="shared" si="50"/>
        <v>8</v>
      </c>
      <c r="N145" s="45">
        <f t="shared" si="33"/>
        <v>0.2</v>
      </c>
      <c r="O145" s="49">
        <v>30</v>
      </c>
      <c r="P145" s="54">
        <f>K145+4</f>
        <v>164</v>
      </c>
      <c r="Q145" s="44">
        <f t="shared" si="51"/>
        <v>150</v>
      </c>
      <c r="R145" s="50">
        <f t="shared" si="51"/>
        <v>210</v>
      </c>
    </row>
    <row r="146" spans="1:18" x14ac:dyDescent="0.25">
      <c r="A146" s="41" t="e">
        <f t="shared" si="49"/>
        <v>#REF!</v>
      </c>
      <c r="B146" s="42">
        <f t="shared" si="49"/>
        <v>136</v>
      </c>
      <c r="C146" s="41" t="s">
        <v>1171</v>
      </c>
      <c r="D146" s="43">
        <f t="shared" si="37"/>
        <v>20</v>
      </c>
      <c r="E146" s="61">
        <f t="shared" si="46"/>
        <v>2.8840000000000003</v>
      </c>
      <c r="F146" s="61">
        <f t="shared" si="47"/>
        <v>42</v>
      </c>
      <c r="G146" s="64">
        <f t="shared" si="48"/>
        <v>0.58988764044943809</v>
      </c>
      <c r="H146" s="51">
        <f t="shared" si="32"/>
        <v>8.1659325842696617</v>
      </c>
      <c r="I146" s="42" t="str">
        <f t="shared" si="50"/>
        <v>IEC</v>
      </c>
      <c r="J146" s="50">
        <f t="shared" si="50"/>
        <v>10.5</v>
      </c>
      <c r="K146" s="49">
        <f t="shared" si="50"/>
        <v>160</v>
      </c>
      <c r="L146" s="44">
        <f t="shared" si="50"/>
        <v>8</v>
      </c>
      <c r="M146" s="44">
        <f t="shared" si="50"/>
        <v>8</v>
      </c>
      <c r="N146" s="45">
        <f t="shared" si="33"/>
        <v>0.2</v>
      </c>
      <c r="O146" s="49">
        <v>30</v>
      </c>
      <c r="P146" s="54">
        <f>K146+5.25</f>
        <v>165.25</v>
      </c>
      <c r="Q146" s="44">
        <f t="shared" si="51"/>
        <v>150</v>
      </c>
      <c r="R146" s="50">
        <f t="shared" si="51"/>
        <v>210</v>
      </c>
    </row>
    <row r="147" spans="1:18" x14ac:dyDescent="0.25">
      <c r="A147" s="41" t="e">
        <f t="shared" si="49"/>
        <v>#REF!</v>
      </c>
      <c r="B147" s="42">
        <f t="shared" si="49"/>
        <v>137</v>
      </c>
      <c r="C147" s="41" t="s">
        <v>1172</v>
      </c>
      <c r="D147" s="43">
        <f t="shared" si="37"/>
        <v>20</v>
      </c>
      <c r="E147" s="61">
        <f t="shared" si="46"/>
        <v>2.8840000000000003</v>
      </c>
      <c r="F147" s="61">
        <f t="shared" si="47"/>
        <v>42</v>
      </c>
      <c r="G147" s="64">
        <f t="shared" si="48"/>
        <v>0.58988764044943809</v>
      </c>
      <c r="H147" s="51">
        <f t="shared" si="32"/>
        <v>8.1659325842696617</v>
      </c>
      <c r="I147" s="42" t="str">
        <f t="shared" si="50"/>
        <v>IEC</v>
      </c>
      <c r="J147" s="50">
        <f t="shared" si="50"/>
        <v>10.5</v>
      </c>
      <c r="K147" s="49">
        <f t="shared" si="50"/>
        <v>160</v>
      </c>
      <c r="L147" s="44">
        <f t="shared" si="50"/>
        <v>8</v>
      </c>
      <c r="M147" s="44">
        <f t="shared" si="50"/>
        <v>8</v>
      </c>
      <c r="N147" s="45">
        <f t="shared" si="33"/>
        <v>0.2</v>
      </c>
      <c r="O147" s="49">
        <v>60</v>
      </c>
      <c r="P147" s="54">
        <f>K147</f>
        <v>160</v>
      </c>
      <c r="Q147" s="44">
        <f t="shared" si="51"/>
        <v>150</v>
      </c>
      <c r="R147" s="50">
        <f t="shared" si="51"/>
        <v>210</v>
      </c>
    </row>
    <row r="148" spans="1:18" x14ac:dyDescent="0.25">
      <c r="A148" s="41" t="e">
        <f t="shared" si="49"/>
        <v>#REF!</v>
      </c>
      <c r="B148" s="42">
        <f t="shared" si="49"/>
        <v>138</v>
      </c>
      <c r="C148" s="41" t="s">
        <v>1173</v>
      </c>
      <c r="D148" s="43">
        <f t="shared" si="37"/>
        <v>20</v>
      </c>
      <c r="E148" s="61">
        <f t="shared" si="46"/>
        <v>2.8840000000000003</v>
      </c>
      <c r="F148" s="61">
        <f t="shared" si="47"/>
        <v>42</v>
      </c>
      <c r="G148" s="64">
        <f t="shared" si="48"/>
        <v>0.58988764044943809</v>
      </c>
      <c r="H148" s="51">
        <f t="shared" si="32"/>
        <v>8.1659325842696617</v>
      </c>
      <c r="I148" s="42" t="str">
        <f t="shared" si="50"/>
        <v>IEC</v>
      </c>
      <c r="J148" s="50">
        <f t="shared" si="50"/>
        <v>10.5</v>
      </c>
      <c r="K148" s="49">
        <f t="shared" si="50"/>
        <v>160</v>
      </c>
      <c r="L148" s="44">
        <f t="shared" si="50"/>
        <v>8</v>
      </c>
      <c r="M148" s="44">
        <f t="shared" si="50"/>
        <v>8</v>
      </c>
      <c r="N148" s="45">
        <f t="shared" si="33"/>
        <v>0.2</v>
      </c>
      <c r="O148" s="49">
        <v>60</v>
      </c>
      <c r="P148" s="54">
        <f>K148+2.46</f>
        <v>162.46</v>
      </c>
      <c r="Q148" s="44">
        <f t="shared" si="51"/>
        <v>150</v>
      </c>
      <c r="R148" s="50">
        <f t="shared" si="51"/>
        <v>210</v>
      </c>
    </row>
    <row r="149" spans="1:18" x14ac:dyDescent="0.25">
      <c r="A149" s="41" t="e">
        <f t="shared" si="49"/>
        <v>#REF!</v>
      </c>
      <c r="B149" s="42">
        <f t="shared" si="49"/>
        <v>139</v>
      </c>
      <c r="C149" s="41" t="s">
        <v>1174</v>
      </c>
      <c r="D149" s="43">
        <f t="shared" si="37"/>
        <v>20</v>
      </c>
      <c r="E149" s="61">
        <f t="shared" si="46"/>
        <v>2.8840000000000003</v>
      </c>
      <c r="F149" s="61">
        <f t="shared" si="47"/>
        <v>42</v>
      </c>
      <c r="G149" s="64">
        <f t="shared" si="48"/>
        <v>0.58988764044943809</v>
      </c>
      <c r="H149" s="51">
        <f t="shared" si="32"/>
        <v>8.1659325842696617</v>
      </c>
      <c r="I149" s="42" t="str">
        <f t="shared" si="50"/>
        <v>IEC</v>
      </c>
      <c r="J149" s="50">
        <f t="shared" si="50"/>
        <v>10.5</v>
      </c>
      <c r="K149" s="49">
        <f t="shared" si="50"/>
        <v>160</v>
      </c>
      <c r="L149" s="44">
        <f t="shared" si="50"/>
        <v>8</v>
      </c>
      <c r="M149" s="44">
        <f t="shared" si="50"/>
        <v>8</v>
      </c>
      <c r="N149" s="45">
        <f t="shared" si="33"/>
        <v>0.2</v>
      </c>
      <c r="O149" s="49">
        <v>60</v>
      </c>
      <c r="P149" s="54">
        <f>K149+4</f>
        <v>164</v>
      </c>
      <c r="Q149" s="44">
        <f t="shared" si="51"/>
        <v>150</v>
      </c>
      <c r="R149" s="50">
        <f t="shared" si="51"/>
        <v>210</v>
      </c>
    </row>
    <row r="150" spans="1:18" x14ac:dyDescent="0.25">
      <c r="A150" s="41" t="e">
        <f t="shared" si="49"/>
        <v>#REF!</v>
      </c>
      <c r="B150" s="42">
        <f t="shared" si="49"/>
        <v>140</v>
      </c>
      <c r="C150" s="41" t="s">
        <v>1175</v>
      </c>
      <c r="D150" s="43">
        <f t="shared" si="37"/>
        <v>20</v>
      </c>
      <c r="E150" s="61">
        <f t="shared" si="46"/>
        <v>2.8840000000000003</v>
      </c>
      <c r="F150" s="61">
        <f t="shared" si="47"/>
        <v>42</v>
      </c>
      <c r="G150" s="64">
        <f t="shared" si="48"/>
        <v>0.58988764044943809</v>
      </c>
      <c r="H150" s="51">
        <f t="shared" ref="H150:H202" si="52">4.8*E150*G150</f>
        <v>8.1659325842696617</v>
      </c>
      <c r="I150" s="42" t="str">
        <f t="shared" si="50"/>
        <v>IEC</v>
      </c>
      <c r="J150" s="50">
        <f t="shared" si="50"/>
        <v>10.5</v>
      </c>
      <c r="K150" s="49">
        <f t="shared" si="50"/>
        <v>160</v>
      </c>
      <c r="L150" s="44">
        <f t="shared" si="50"/>
        <v>8</v>
      </c>
      <c r="M150" s="44">
        <f t="shared" si="50"/>
        <v>8</v>
      </c>
      <c r="N150" s="45">
        <f t="shared" si="33"/>
        <v>0.2</v>
      </c>
      <c r="O150" s="49">
        <v>60</v>
      </c>
      <c r="P150" s="54">
        <f>K150+5.25</f>
        <v>165.25</v>
      </c>
      <c r="Q150" s="44">
        <f t="shared" si="51"/>
        <v>150</v>
      </c>
      <c r="R150" s="50">
        <f t="shared" si="51"/>
        <v>210</v>
      </c>
    </row>
    <row r="151" spans="1:18" x14ac:dyDescent="0.25">
      <c r="A151" s="41" t="e">
        <f t="shared" si="49"/>
        <v>#REF!</v>
      </c>
      <c r="B151" s="42">
        <f t="shared" si="49"/>
        <v>141</v>
      </c>
      <c r="C151" s="41" t="s">
        <v>1176</v>
      </c>
      <c r="D151" s="43">
        <f t="shared" si="37"/>
        <v>20</v>
      </c>
      <c r="E151" s="61">
        <f t="shared" si="46"/>
        <v>2.8840000000000003</v>
      </c>
      <c r="F151" s="61">
        <f t="shared" si="47"/>
        <v>42</v>
      </c>
      <c r="G151" s="64">
        <f t="shared" si="48"/>
        <v>0.58988764044943809</v>
      </c>
      <c r="H151" s="51">
        <f t="shared" si="52"/>
        <v>8.1659325842696617</v>
      </c>
      <c r="I151" s="42" t="str">
        <f t="shared" si="50"/>
        <v>IEC</v>
      </c>
      <c r="J151" s="50">
        <f t="shared" si="50"/>
        <v>10.5</v>
      </c>
      <c r="K151" s="49">
        <f t="shared" si="50"/>
        <v>160</v>
      </c>
      <c r="L151" s="44">
        <f t="shared" si="50"/>
        <v>8</v>
      </c>
      <c r="M151" s="44">
        <f t="shared" si="50"/>
        <v>8</v>
      </c>
      <c r="N151" s="45">
        <f t="shared" si="33"/>
        <v>0.2</v>
      </c>
      <c r="O151" s="49">
        <v>90</v>
      </c>
      <c r="P151" s="54">
        <f>K151</f>
        <v>160</v>
      </c>
      <c r="Q151" s="44">
        <f t="shared" si="51"/>
        <v>150</v>
      </c>
      <c r="R151" s="50">
        <f t="shared" si="51"/>
        <v>210</v>
      </c>
    </row>
    <row r="152" spans="1:18" x14ac:dyDescent="0.25">
      <c r="A152" s="41" t="e">
        <f t="shared" si="49"/>
        <v>#REF!</v>
      </c>
      <c r="B152" s="42">
        <f t="shared" si="49"/>
        <v>142</v>
      </c>
      <c r="C152" s="41" t="s">
        <v>1177</v>
      </c>
      <c r="D152" s="43">
        <f t="shared" si="37"/>
        <v>20</v>
      </c>
      <c r="E152" s="61">
        <f t="shared" si="46"/>
        <v>2.8840000000000003</v>
      </c>
      <c r="F152" s="61">
        <f t="shared" si="47"/>
        <v>42</v>
      </c>
      <c r="G152" s="64">
        <f t="shared" si="48"/>
        <v>0.58988764044943809</v>
      </c>
      <c r="H152" s="51">
        <f t="shared" si="52"/>
        <v>8.1659325842696617</v>
      </c>
      <c r="I152" s="42" t="str">
        <f t="shared" si="50"/>
        <v>IEC</v>
      </c>
      <c r="J152" s="50">
        <f t="shared" si="50"/>
        <v>10.5</v>
      </c>
      <c r="K152" s="49">
        <f t="shared" si="50"/>
        <v>160</v>
      </c>
      <c r="L152" s="44">
        <f t="shared" si="50"/>
        <v>8</v>
      </c>
      <c r="M152" s="44">
        <f t="shared" si="50"/>
        <v>8</v>
      </c>
      <c r="N152" s="45">
        <f t="shared" si="33"/>
        <v>0.2</v>
      </c>
      <c r="O152" s="49">
        <v>90</v>
      </c>
      <c r="P152" s="54">
        <f>K152+2.46</f>
        <v>162.46</v>
      </c>
      <c r="Q152" s="44">
        <f t="shared" si="51"/>
        <v>150</v>
      </c>
      <c r="R152" s="50">
        <f t="shared" si="51"/>
        <v>210</v>
      </c>
    </row>
    <row r="153" spans="1:18" x14ac:dyDescent="0.25">
      <c r="A153" s="41" t="e">
        <f t="shared" si="49"/>
        <v>#REF!</v>
      </c>
      <c r="B153" s="42">
        <f t="shared" si="49"/>
        <v>143</v>
      </c>
      <c r="C153" s="41" t="s">
        <v>1178</v>
      </c>
      <c r="D153" s="43">
        <f t="shared" si="37"/>
        <v>20</v>
      </c>
      <c r="E153" s="61">
        <f t="shared" si="46"/>
        <v>2.8840000000000003</v>
      </c>
      <c r="F153" s="61">
        <f t="shared" si="47"/>
        <v>42</v>
      </c>
      <c r="G153" s="64">
        <f t="shared" si="48"/>
        <v>0.58988764044943809</v>
      </c>
      <c r="H153" s="51">
        <f t="shared" si="52"/>
        <v>8.1659325842696617</v>
      </c>
      <c r="I153" s="42" t="str">
        <f t="shared" si="50"/>
        <v>IEC</v>
      </c>
      <c r="J153" s="50">
        <f t="shared" si="50"/>
        <v>10.5</v>
      </c>
      <c r="K153" s="49">
        <f t="shared" si="50"/>
        <v>160</v>
      </c>
      <c r="L153" s="44">
        <f t="shared" si="50"/>
        <v>8</v>
      </c>
      <c r="M153" s="44">
        <f t="shared" si="50"/>
        <v>8</v>
      </c>
      <c r="N153" s="45">
        <f t="shared" si="33"/>
        <v>0.2</v>
      </c>
      <c r="O153" s="49">
        <v>90</v>
      </c>
      <c r="P153" s="54">
        <f>K153+4</f>
        <v>164</v>
      </c>
      <c r="Q153" s="44">
        <f t="shared" si="51"/>
        <v>150</v>
      </c>
      <c r="R153" s="50">
        <f t="shared" si="51"/>
        <v>210</v>
      </c>
    </row>
    <row r="154" spans="1:18" ht="15.75" thickBot="1" x14ac:dyDescent="0.3">
      <c r="A154" s="41" t="e">
        <f t="shared" si="49"/>
        <v>#REF!</v>
      </c>
      <c r="B154" s="42">
        <f t="shared" si="49"/>
        <v>144</v>
      </c>
      <c r="C154" s="41" t="s">
        <v>1179</v>
      </c>
      <c r="D154" s="43">
        <f t="shared" si="37"/>
        <v>20</v>
      </c>
      <c r="E154" s="61">
        <f t="shared" si="46"/>
        <v>2.8840000000000003</v>
      </c>
      <c r="F154" s="61">
        <f t="shared" si="47"/>
        <v>42</v>
      </c>
      <c r="G154" s="64">
        <f t="shared" si="48"/>
        <v>0.58988764044943809</v>
      </c>
      <c r="H154" s="51">
        <f t="shared" si="52"/>
        <v>8.1659325842696617</v>
      </c>
      <c r="I154" s="42" t="str">
        <f t="shared" si="50"/>
        <v>IEC</v>
      </c>
      <c r="J154" s="50">
        <f t="shared" si="50"/>
        <v>10.5</v>
      </c>
      <c r="K154" s="49">
        <f t="shared" si="50"/>
        <v>160</v>
      </c>
      <c r="L154" s="44">
        <f t="shared" si="50"/>
        <v>8</v>
      </c>
      <c r="M154" s="44">
        <f t="shared" si="50"/>
        <v>8</v>
      </c>
      <c r="N154" s="45">
        <f t="shared" si="33"/>
        <v>0.2</v>
      </c>
      <c r="O154" s="49">
        <v>90</v>
      </c>
      <c r="P154" s="54">
        <f>K154+5.25</f>
        <v>165.25</v>
      </c>
      <c r="Q154" s="44">
        <f t="shared" si="51"/>
        <v>150</v>
      </c>
      <c r="R154" s="50">
        <f t="shared" si="51"/>
        <v>210</v>
      </c>
    </row>
    <row r="155" spans="1:18" x14ac:dyDescent="0.25">
      <c r="A155" s="41" t="e">
        <f t="shared" si="49"/>
        <v>#REF!</v>
      </c>
      <c r="B155" s="42">
        <f t="shared" si="49"/>
        <v>145</v>
      </c>
      <c r="C155" s="41" t="s">
        <v>1180</v>
      </c>
      <c r="D155" s="43">
        <f t="shared" ref="D155:D202" si="53">v_out</f>
        <v>25</v>
      </c>
      <c r="E155" s="61">
        <f t="shared" si="46"/>
        <v>3.4090000000000007</v>
      </c>
      <c r="F155" s="61">
        <f t="shared" si="47"/>
        <v>42</v>
      </c>
      <c r="G155" s="64">
        <f t="shared" si="48"/>
        <v>0.58988764044943809</v>
      </c>
      <c r="H155" s="51">
        <f t="shared" si="52"/>
        <v>9.6524494382022468</v>
      </c>
      <c r="I155" s="42" t="str">
        <f t="shared" si="50"/>
        <v>IEC</v>
      </c>
      <c r="J155" s="50">
        <f t="shared" si="50"/>
        <v>10.5</v>
      </c>
      <c r="K155" s="49">
        <f t="shared" si="50"/>
        <v>160</v>
      </c>
      <c r="L155" s="44">
        <f t="shared" si="50"/>
        <v>8</v>
      </c>
      <c r="M155" s="35">
        <f>yaw_min</f>
        <v>-8</v>
      </c>
      <c r="N155" s="45">
        <f t="shared" si="33"/>
        <v>0.2</v>
      </c>
      <c r="O155" s="49">
        <v>0</v>
      </c>
      <c r="P155" s="54">
        <f>K155</f>
        <v>160</v>
      </c>
      <c r="Q155" s="44">
        <f t="shared" si="51"/>
        <v>150</v>
      </c>
      <c r="R155" s="50">
        <f t="shared" si="51"/>
        <v>210</v>
      </c>
    </row>
    <row r="156" spans="1:18" x14ac:dyDescent="0.25">
      <c r="A156" s="41" t="e">
        <f t="shared" si="49"/>
        <v>#REF!</v>
      </c>
      <c r="B156" s="42">
        <f>B155+1</f>
        <v>146</v>
      </c>
      <c r="C156" s="41" t="s">
        <v>1181</v>
      </c>
      <c r="D156" s="43">
        <f t="shared" si="53"/>
        <v>25</v>
      </c>
      <c r="E156" s="61">
        <f t="shared" si="46"/>
        <v>3.4090000000000007</v>
      </c>
      <c r="F156" s="61">
        <f t="shared" si="47"/>
        <v>42</v>
      </c>
      <c r="G156" s="64">
        <f t="shared" si="48"/>
        <v>0.58988764044943809</v>
      </c>
      <c r="H156" s="51">
        <f t="shared" si="52"/>
        <v>9.6524494382022468</v>
      </c>
      <c r="I156" s="42" t="str">
        <f>I155</f>
        <v>IEC</v>
      </c>
      <c r="J156" s="50">
        <f t="shared" si="50"/>
        <v>10.5</v>
      </c>
      <c r="K156" s="49">
        <f>K155</f>
        <v>160</v>
      </c>
      <c r="L156" s="44">
        <f>L155</f>
        <v>8</v>
      </c>
      <c r="M156" s="44">
        <f>M155</f>
        <v>-8</v>
      </c>
      <c r="N156" s="45">
        <f t="shared" ref="N156:N202" si="54">N155</f>
        <v>0.2</v>
      </c>
      <c r="O156" s="49">
        <v>0</v>
      </c>
      <c r="P156" s="54">
        <f>K156+2.46</f>
        <v>162.46</v>
      </c>
      <c r="Q156" s="44">
        <f t="shared" si="51"/>
        <v>150</v>
      </c>
      <c r="R156" s="50">
        <f>R155</f>
        <v>210</v>
      </c>
    </row>
    <row r="157" spans="1:18" x14ac:dyDescent="0.25">
      <c r="A157" s="41" t="e">
        <f t="shared" ref="A157:B172" si="55">A156+1</f>
        <v>#REF!</v>
      </c>
      <c r="B157" s="42">
        <f t="shared" si="55"/>
        <v>147</v>
      </c>
      <c r="C157" s="41" t="s">
        <v>1182</v>
      </c>
      <c r="D157" s="43">
        <f t="shared" si="53"/>
        <v>25</v>
      </c>
      <c r="E157" s="61">
        <f t="shared" si="46"/>
        <v>3.4090000000000007</v>
      </c>
      <c r="F157" s="61">
        <f t="shared" si="47"/>
        <v>42</v>
      </c>
      <c r="G157" s="64">
        <f t="shared" si="48"/>
        <v>0.58988764044943809</v>
      </c>
      <c r="H157" s="51">
        <f t="shared" si="52"/>
        <v>9.6524494382022468</v>
      </c>
      <c r="I157" s="42" t="str">
        <f t="shared" ref="I157:M172" si="56">I156</f>
        <v>IEC</v>
      </c>
      <c r="J157" s="50">
        <f t="shared" si="56"/>
        <v>10.5</v>
      </c>
      <c r="K157" s="49">
        <f t="shared" si="56"/>
        <v>160</v>
      </c>
      <c r="L157" s="44">
        <f t="shared" si="56"/>
        <v>8</v>
      </c>
      <c r="M157" s="44">
        <f t="shared" si="56"/>
        <v>-8</v>
      </c>
      <c r="N157" s="45">
        <f t="shared" si="54"/>
        <v>0.2</v>
      </c>
      <c r="O157" s="49">
        <v>0</v>
      </c>
      <c r="P157" s="54">
        <f>K157+4</f>
        <v>164</v>
      </c>
      <c r="Q157" s="44">
        <f t="shared" ref="Q157:R172" si="57">Q156</f>
        <v>150</v>
      </c>
      <c r="R157" s="50">
        <f t="shared" si="57"/>
        <v>210</v>
      </c>
    </row>
    <row r="158" spans="1:18" x14ac:dyDescent="0.25">
      <c r="A158" s="41" t="e">
        <f t="shared" si="55"/>
        <v>#REF!</v>
      </c>
      <c r="B158" s="42">
        <f t="shared" si="55"/>
        <v>148</v>
      </c>
      <c r="C158" s="41" t="s">
        <v>1183</v>
      </c>
      <c r="D158" s="43">
        <f t="shared" si="53"/>
        <v>25</v>
      </c>
      <c r="E158" s="61">
        <f t="shared" si="46"/>
        <v>3.4090000000000007</v>
      </c>
      <c r="F158" s="61">
        <f t="shared" si="47"/>
        <v>42</v>
      </c>
      <c r="G158" s="64">
        <f t="shared" si="48"/>
        <v>0.58988764044943809</v>
      </c>
      <c r="H158" s="51">
        <f t="shared" si="52"/>
        <v>9.6524494382022468</v>
      </c>
      <c r="I158" s="42" t="str">
        <f t="shared" si="56"/>
        <v>IEC</v>
      </c>
      <c r="J158" s="50">
        <f t="shared" si="56"/>
        <v>10.5</v>
      </c>
      <c r="K158" s="49">
        <f t="shared" si="56"/>
        <v>160</v>
      </c>
      <c r="L158" s="44">
        <f t="shared" si="56"/>
        <v>8</v>
      </c>
      <c r="M158" s="44">
        <f t="shared" si="56"/>
        <v>-8</v>
      </c>
      <c r="N158" s="45">
        <f t="shared" si="54"/>
        <v>0.2</v>
      </c>
      <c r="O158" s="49">
        <v>0</v>
      </c>
      <c r="P158" s="54">
        <f>K158+5.25</f>
        <v>165.25</v>
      </c>
      <c r="Q158" s="44">
        <f t="shared" si="57"/>
        <v>150</v>
      </c>
      <c r="R158" s="50">
        <f t="shared" si="57"/>
        <v>210</v>
      </c>
    </row>
    <row r="159" spans="1:18" x14ac:dyDescent="0.25">
      <c r="A159" s="41" t="e">
        <f t="shared" si="55"/>
        <v>#REF!</v>
      </c>
      <c r="B159" s="42">
        <f t="shared" si="55"/>
        <v>149</v>
      </c>
      <c r="C159" s="41" t="s">
        <v>1184</v>
      </c>
      <c r="D159" s="43">
        <f t="shared" si="53"/>
        <v>25</v>
      </c>
      <c r="E159" s="61">
        <f t="shared" si="46"/>
        <v>3.4090000000000007</v>
      </c>
      <c r="F159" s="61">
        <f t="shared" si="47"/>
        <v>42</v>
      </c>
      <c r="G159" s="64">
        <f t="shared" si="48"/>
        <v>0.58988764044943809</v>
      </c>
      <c r="H159" s="51">
        <f t="shared" si="52"/>
        <v>9.6524494382022468</v>
      </c>
      <c r="I159" s="42" t="str">
        <f t="shared" si="56"/>
        <v>IEC</v>
      </c>
      <c r="J159" s="50">
        <f t="shared" si="56"/>
        <v>10.5</v>
      </c>
      <c r="K159" s="49">
        <f t="shared" si="56"/>
        <v>160</v>
      </c>
      <c r="L159" s="44">
        <f t="shared" si="56"/>
        <v>8</v>
      </c>
      <c r="M159" s="44">
        <f t="shared" si="56"/>
        <v>-8</v>
      </c>
      <c r="N159" s="45">
        <f t="shared" si="54"/>
        <v>0.2</v>
      </c>
      <c r="O159" s="49">
        <v>30</v>
      </c>
      <c r="P159" s="54">
        <f>K159</f>
        <v>160</v>
      </c>
      <c r="Q159" s="44">
        <f t="shared" si="57"/>
        <v>150</v>
      </c>
      <c r="R159" s="50">
        <f t="shared" si="57"/>
        <v>210</v>
      </c>
    </row>
    <row r="160" spans="1:18" x14ac:dyDescent="0.25">
      <c r="A160" s="41" t="e">
        <f t="shared" si="55"/>
        <v>#REF!</v>
      </c>
      <c r="B160" s="42">
        <f t="shared" si="55"/>
        <v>150</v>
      </c>
      <c r="C160" s="41" t="s">
        <v>1185</v>
      </c>
      <c r="D160" s="43">
        <f t="shared" si="53"/>
        <v>25</v>
      </c>
      <c r="E160" s="61">
        <f t="shared" si="46"/>
        <v>3.4090000000000007</v>
      </c>
      <c r="F160" s="61">
        <f t="shared" si="47"/>
        <v>42</v>
      </c>
      <c r="G160" s="64">
        <f t="shared" si="48"/>
        <v>0.58988764044943809</v>
      </c>
      <c r="H160" s="51">
        <f t="shared" si="52"/>
        <v>9.6524494382022468</v>
      </c>
      <c r="I160" s="42" t="str">
        <f t="shared" si="56"/>
        <v>IEC</v>
      </c>
      <c r="J160" s="50">
        <f t="shared" si="56"/>
        <v>10.5</v>
      </c>
      <c r="K160" s="49">
        <f t="shared" si="56"/>
        <v>160</v>
      </c>
      <c r="L160" s="44">
        <f t="shared" si="56"/>
        <v>8</v>
      </c>
      <c r="M160" s="44">
        <f t="shared" si="56"/>
        <v>-8</v>
      </c>
      <c r="N160" s="45">
        <f t="shared" si="54"/>
        <v>0.2</v>
      </c>
      <c r="O160" s="49">
        <v>30</v>
      </c>
      <c r="P160" s="54">
        <f>K160+2.46</f>
        <v>162.46</v>
      </c>
      <c r="Q160" s="44">
        <f t="shared" si="57"/>
        <v>150</v>
      </c>
      <c r="R160" s="50">
        <f t="shared" si="57"/>
        <v>210</v>
      </c>
    </row>
    <row r="161" spans="1:18" x14ac:dyDescent="0.25">
      <c r="A161" s="41" t="e">
        <f t="shared" si="55"/>
        <v>#REF!</v>
      </c>
      <c r="B161" s="42">
        <f t="shared" si="55"/>
        <v>151</v>
      </c>
      <c r="C161" s="41" t="s">
        <v>1186</v>
      </c>
      <c r="D161" s="43">
        <f t="shared" si="53"/>
        <v>25</v>
      </c>
      <c r="E161" s="61">
        <f t="shared" si="46"/>
        <v>3.4090000000000007</v>
      </c>
      <c r="F161" s="61">
        <f t="shared" si="47"/>
        <v>42</v>
      </c>
      <c r="G161" s="64">
        <f t="shared" si="48"/>
        <v>0.58988764044943809</v>
      </c>
      <c r="H161" s="51">
        <f t="shared" si="52"/>
        <v>9.6524494382022468</v>
      </c>
      <c r="I161" s="42" t="str">
        <f t="shared" si="56"/>
        <v>IEC</v>
      </c>
      <c r="J161" s="50">
        <f t="shared" si="56"/>
        <v>10.5</v>
      </c>
      <c r="K161" s="49">
        <f t="shared" si="56"/>
        <v>160</v>
      </c>
      <c r="L161" s="44">
        <f t="shared" si="56"/>
        <v>8</v>
      </c>
      <c r="M161" s="44">
        <f t="shared" si="56"/>
        <v>-8</v>
      </c>
      <c r="N161" s="45">
        <f t="shared" si="54"/>
        <v>0.2</v>
      </c>
      <c r="O161" s="49">
        <v>30</v>
      </c>
      <c r="P161" s="54">
        <f>K161+4</f>
        <v>164</v>
      </c>
      <c r="Q161" s="44">
        <f t="shared" si="57"/>
        <v>150</v>
      </c>
      <c r="R161" s="50">
        <f t="shared" si="57"/>
        <v>210</v>
      </c>
    </row>
    <row r="162" spans="1:18" x14ac:dyDescent="0.25">
      <c r="A162" s="41" t="e">
        <f t="shared" si="55"/>
        <v>#REF!</v>
      </c>
      <c r="B162" s="42">
        <f t="shared" si="55"/>
        <v>152</v>
      </c>
      <c r="C162" s="41" t="s">
        <v>1187</v>
      </c>
      <c r="D162" s="43">
        <f t="shared" si="53"/>
        <v>25</v>
      </c>
      <c r="E162" s="61">
        <f t="shared" si="46"/>
        <v>3.4090000000000007</v>
      </c>
      <c r="F162" s="61">
        <f t="shared" si="47"/>
        <v>42</v>
      </c>
      <c r="G162" s="64">
        <f t="shared" si="48"/>
        <v>0.58988764044943809</v>
      </c>
      <c r="H162" s="51">
        <f t="shared" si="52"/>
        <v>9.6524494382022468</v>
      </c>
      <c r="I162" s="42" t="str">
        <f t="shared" si="56"/>
        <v>IEC</v>
      </c>
      <c r="J162" s="50">
        <f t="shared" si="56"/>
        <v>10.5</v>
      </c>
      <c r="K162" s="49">
        <f t="shared" si="56"/>
        <v>160</v>
      </c>
      <c r="L162" s="44">
        <f t="shared" si="56"/>
        <v>8</v>
      </c>
      <c r="M162" s="44">
        <f t="shared" si="56"/>
        <v>-8</v>
      </c>
      <c r="N162" s="45">
        <f t="shared" si="54"/>
        <v>0.2</v>
      </c>
      <c r="O162" s="49">
        <v>30</v>
      </c>
      <c r="P162" s="54">
        <f>K162+5.25</f>
        <v>165.25</v>
      </c>
      <c r="Q162" s="44">
        <f t="shared" si="57"/>
        <v>150</v>
      </c>
      <c r="R162" s="50">
        <f t="shared" si="57"/>
        <v>210</v>
      </c>
    </row>
    <row r="163" spans="1:18" x14ac:dyDescent="0.25">
      <c r="A163" s="41" t="e">
        <f t="shared" si="55"/>
        <v>#REF!</v>
      </c>
      <c r="B163" s="42">
        <f t="shared" si="55"/>
        <v>153</v>
      </c>
      <c r="C163" s="41" t="s">
        <v>1188</v>
      </c>
      <c r="D163" s="43">
        <f t="shared" si="53"/>
        <v>25</v>
      </c>
      <c r="E163" s="61">
        <f t="shared" si="46"/>
        <v>3.4090000000000007</v>
      </c>
      <c r="F163" s="61">
        <f t="shared" si="47"/>
        <v>42</v>
      </c>
      <c r="G163" s="64">
        <f t="shared" si="48"/>
        <v>0.58988764044943809</v>
      </c>
      <c r="H163" s="51">
        <f t="shared" si="52"/>
        <v>9.6524494382022468</v>
      </c>
      <c r="I163" s="42" t="str">
        <f t="shared" si="56"/>
        <v>IEC</v>
      </c>
      <c r="J163" s="50">
        <f t="shared" si="56"/>
        <v>10.5</v>
      </c>
      <c r="K163" s="49">
        <f t="shared" si="56"/>
        <v>160</v>
      </c>
      <c r="L163" s="44">
        <f t="shared" si="56"/>
        <v>8</v>
      </c>
      <c r="M163" s="44">
        <f t="shared" si="56"/>
        <v>-8</v>
      </c>
      <c r="N163" s="45">
        <f t="shared" si="54"/>
        <v>0.2</v>
      </c>
      <c r="O163" s="49">
        <v>60</v>
      </c>
      <c r="P163" s="54">
        <f>K163</f>
        <v>160</v>
      </c>
      <c r="Q163" s="44">
        <f t="shared" si="57"/>
        <v>150</v>
      </c>
      <c r="R163" s="50">
        <f t="shared" si="57"/>
        <v>210</v>
      </c>
    </row>
    <row r="164" spans="1:18" x14ac:dyDescent="0.25">
      <c r="A164" s="41" t="e">
        <f t="shared" si="55"/>
        <v>#REF!</v>
      </c>
      <c r="B164" s="42">
        <f t="shared" si="55"/>
        <v>154</v>
      </c>
      <c r="C164" s="41" t="s">
        <v>1189</v>
      </c>
      <c r="D164" s="43">
        <f t="shared" si="53"/>
        <v>25</v>
      </c>
      <c r="E164" s="61">
        <f t="shared" si="46"/>
        <v>3.4090000000000007</v>
      </c>
      <c r="F164" s="61">
        <f t="shared" si="47"/>
        <v>42</v>
      </c>
      <c r="G164" s="64">
        <f t="shared" si="48"/>
        <v>0.58988764044943809</v>
      </c>
      <c r="H164" s="51">
        <f t="shared" si="52"/>
        <v>9.6524494382022468</v>
      </c>
      <c r="I164" s="42" t="str">
        <f t="shared" si="56"/>
        <v>IEC</v>
      </c>
      <c r="J164" s="50">
        <f t="shared" si="56"/>
        <v>10.5</v>
      </c>
      <c r="K164" s="49">
        <f t="shared" si="56"/>
        <v>160</v>
      </c>
      <c r="L164" s="44">
        <f t="shared" si="56"/>
        <v>8</v>
      </c>
      <c r="M164" s="44">
        <f t="shared" si="56"/>
        <v>-8</v>
      </c>
      <c r="N164" s="45">
        <f t="shared" si="54"/>
        <v>0.2</v>
      </c>
      <c r="O164" s="49">
        <v>60</v>
      </c>
      <c r="P164" s="54">
        <f>K164+2.46</f>
        <v>162.46</v>
      </c>
      <c r="Q164" s="44">
        <f t="shared" si="57"/>
        <v>150</v>
      </c>
      <c r="R164" s="50">
        <f t="shared" si="57"/>
        <v>210</v>
      </c>
    </row>
    <row r="165" spans="1:18" x14ac:dyDescent="0.25">
      <c r="A165" s="41" t="e">
        <f t="shared" si="55"/>
        <v>#REF!</v>
      </c>
      <c r="B165" s="42">
        <f t="shared" si="55"/>
        <v>155</v>
      </c>
      <c r="C165" s="41" t="s">
        <v>1190</v>
      </c>
      <c r="D165" s="43">
        <f t="shared" si="53"/>
        <v>25</v>
      </c>
      <c r="E165" s="61">
        <f t="shared" si="46"/>
        <v>3.4090000000000007</v>
      </c>
      <c r="F165" s="61">
        <f t="shared" si="47"/>
        <v>42</v>
      </c>
      <c r="G165" s="64">
        <f t="shared" si="48"/>
        <v>0.58988764044943809</v>
      </c>
      <c r="H165" s="51">
        <f t="shared" si="52"/>
        <v>9.6524494382022468</v>
      </c>
      <c r="I165" s="42" t="str">
        <f t="shared" si="56"/>
        <v>IEC</v>
      </c>
      <c r="J165" s="50">
        <f t="shared" si="56"/>
        <v>10.5</v>
      </c>
      <c r="K165" s="49">
        <f t="shared" si="56"/>
        <v>160</v>
      </c>
      <c r="L165" s="44">
        <f t="shared" si="56"/>
        <v>8</v>
      </c>
      <c r="M165" s="44">
        <f t="shared" si="56"/>
        <v>-8</v>
      </c>
      <c r="N165" s="45">
        <f t="shared" si="54"/>
        <v>0.2</v>
      </c>
      <c r="O165" s="49">
        <v>60</v>
      </c>
      <c r="P165" s="54">
        <f>K165+4</f>
        <v>164</v>
      </c>
      <c r="Q165" s="44">
        <f t="shared" si="57"/>
        <v>150</v>
      </c>
      <c r="R165" s="50">
        <f t="shared" si="57"/>
        <v>210</v>
      </c>
    </row>
    <row r="166" spans="1:18" x14ac:dyDescent="0.25">
      <c r="A166" s="41" t="e">
        <f t="shared" si="55"/>
        <v>#REF!</v>
      </c>
      <c r="B166" s="42">
        <f t="shared" si="55"/>
        <v>156</v>
      </c>
      <c r="C166" s="41" t="s">
        <v>1191</v>
      </c>
      <c r="D166" s="43">
        <f t="shared" si="53"/>
        <v>25</v>
      </c>
      <c r="E166" s="61">
        <f t="shared" si="46"/>
        <v>3.4090000000000007</v>
      </c>
      <c r="F166" s="61">
        <f t="shared" si="47"/>
        <v>42</v>
      </c>
      <c r="G166" s="64">
        <f t="shared" si="48"/>
        <v>0.58988764044943809</v>
      </c>
      <c r="H166" s="51">
        <f t="shared" si="52"/>
        <v>9.6524494382022468</v>
      </c>
      <c r="I166" s="42" t="str">
        <f t="shared" si="56"/>
        <v>IEC</v>
      </c>
      <c r="J166" s="50">
        <f t="shared" si="56"/>
        <v>10.5</v>
      </c>
      <c r="K166" s="49">
        <f t="shared" si="56"/>
        <v>160</v>
      </c>
      <c r="L166" s="44">
        <f t="shared" si="56"/>
        <v>8</v>
      </c>
      <c r="M166" s="44">
        <f t="shared" si="56"/>
        <v>-8</v>
      </c>
      <c r="N166" s="45">
        <f t="shared" si="54"/>
        <v>0.2</v>
      </c>
      <c r="O166" s="49">
        <v>60</v>
      </c>
      <c r="P166" s="54">
        <f>K166+5.25</f>
        <v>165.25</v>
      </c>
      <c r="Q166" s="44">
        <f t="shared" si="57"/>
        <v>150</v>
      </c>
      <c r="R166" s="50">
        <f t="shared" si="57"/>
        <v>210</v>
      </c>
    </row>
    <row r="167" spans="1:18" x14ac:dyDescent="0.25">
      <c r="A167" s="41" t="e">
        <f t="shared" si="55"/>
        <v>#REF!</v>
      </c>
      <c r="B167" s="42">
        <f t="shared" si="55"/>
        <v>157</v>
      </c>
      <c r="C167" s="41" t="s">
        <v>1192</v>
      </c>
      <c r="D167" s="43">
        <f t="shared" si="53"/>
        <v>25</v>
      </c>
      <c r="E167" s="61">
        <f t="shared" si="46"/>
        <v>3.4090000000000007</v>
      </c>
      <c r="F167" s="61">
        <f t="shared" si="47"/>
        <v>42</v>
      </c>
      <c r="G167" s="64">
        <f t="shared" si="48"/>
        <v>0.58988764044943809</v>
      </c>
      <c r="H167" s="51">
        <f t="shared" si="52"/>
        <v>9.6524494382022468</v>
      </c>
      <c r="I167" s="42" t="str">
        <f t="shared" si="56"/>
        <v>IEC</v>
      </c>
      <c r="J167" s="50">
        <f t="shared" si="56"/>
        <v>10.5</v>
      </c>
      <c r="K167" s="49">
        <f t="shared" si="56"/>
        <v>160</v>
      </c>
      <c r="L167" s="44">
        <f t="shared" si="56"/>
        <v>8</v>
      </c>
      <c r="M167" s="44">
        <f t="shared" si="56"/>
        <v>-8</v>
      </c>
      <c r="N167" s="45">
        <f t="shared" si="54"/>
        <v>0.2</v>
      </c>
      <c r="O167" s="49">
        <v>90</v>
      </c>
      <c r="P167" s="54">
        <f>K167</f>
        <v>160</v>
      </c>
      <c r="Q167" s="44">
        <f t="shared" si="57"/>
        <v>150</v>
      </c>
      <c r="R167" s="50">
        <f t="shared" si="57"/>
        <v>210</v>
      </c>
    </row>
    <row r="168" spans="1:18" x14ac:dyDescent="0.25">
      <c r="A168" s="41" t="e">
        <f t="shared" si="55"/>
        <v>#REF!</v>
      </c>
      <c r="B168" s="42">
        <f t="shared" si="55"/>
        <v>158</v>
      </c>
      <c r="C168" s="41" t="s">
        <v>1193</v>
      </c>
      <c r="D168" s="43">
        <f t="shared" si="53"/>
        <v>25</v>
      </c>
      <c r="E168" s="61">
        <f t="shared" si="46"/>
        <v>3.4090000000000007</v>
      </c>
      <c r="F168" s="61">
        <f t="shared" si="47"/>
        <v>42</v>
      </c>
      <c r="G168" s="64">
        <f t="shared" si="48"/>
        <v>0.58988764044943809</v>
      </c>
      <c r="H168" s="51">
        <f t="shared" si="52"/>
        <v>9.6524494382022468</v>
      </c>
      <c r="I168" s="42" t="str">
        <f t="shared" si="56"/>
        <v>IEC</v>
      </c>
      <c r="J168" s="50">
        <f t="shared" si="56"/>
        <v>10.5</v>
      </c>
      <c r="K168" s="49">
        <f t="shared" si="56"/>
        <v>160</v>
      </c>
      <c r="L168" s="44">
        <f t="shared" si="56"/>
        <v>8</v>
      </c>
      <c r="M168" s="44">
        <f t="shared" si="56"/>
        <v>-8</v>
      </c>
      <c r="N168" s="45">
        <f t="shared" si="54"/>
        <v>0.2</v>
      </c>
      <c r="O168" s="49">
        <v>90</v>
      </c>
      <c r="P168" s="54">
        <f>K168+2.46</f>
        <v>162.46</v>
      </c>
      <c r="Q168" s="44">
        <f t="shared" si="57"/>
        <v>150</v>
      </c>
      <c r="R168" s="50">
        <f t="shared" si="57"/>
        <v>210</v>
      </c>
    </row>
    <row r="169" spans="1:18" x14ac:dyDescent="0.25">
      <c r="A169" s="41" t="e">
        <f t="shared" si="55"/>
        <v>#REF!</v>
      </c>
      <c r="B169" s="42">
        <f t="shared" si="55"/>
        <v>159</v>
      </c>
      <c r="C169" s="41" t="s">
        <v>1194</v>
      </c>
      <c r="D169" s="43">
        <f t="shared" si="53"/>
        <v>25</v>
      </c>
      <c r="E169" s="61">
        <f t="shared" si="46"/>
        <v>3.4090000000000007</v>
      </c>
      <c r="F169" s="61">
        <f t="shared" si="47"/>
        <v>42</v>
      </c>
      <c r="G169" s="64">
        <f t="shared" si="48"/>
        <v>0.58988764044943809</v>
      </c>
      <c r="H169" s="51">
        <f t="shared" si="52"/>
        <v>9.6524494382022468</v>
      </c>
      <c r="I169" s="42" t="str">
        <f t="shared" si="56"/>
        <v>IEC</v>
      </c>
      <c r="J169" s="50">
        <f t="shared" si="56"/>
        <v>10.5</v>
      </c>
      <c r="K169" s="49">
        <f t="shared" si="56"/>
        <v>160</v>
      </c>
      <c r="L169" s="44">
        <f t="shared" si="56"/>
        <v>8</v>
      </c>
      <c r="M169" s="44">
        <f t="shared" si="56"/>
        <v>-8</v>
      </c>
      <c r="N169" s="45">
        <f t="shared" si="54"/>
        <v>0.2</v>
      </c>
      <c r="O169" s="49">
        <v>90</v>
      </c>
      <c r="P169" s="54">
        <f>K169+4</f>
        <v>164</v>
      </c>
      <c r="Q169" s="44">
        <f t="shared" si="57"/>
        <v>150</v>
      </c>
      <c r="R169" s="50">
        <f t="shared" si="57"/>
        <v>210</v>
      </c>
    </row>
    <row r="170" spans="1:18" x14ac:dyDescent="0.25">
      <c r="A170" s="41" t="e">
        <f t="shared" si="55"/>
        <v>#REF!</v>
      </c>
      <c r="B170" s="42">
        <f t="shared" si="55"/>
        <v>160</v>
      </c>
      <c r="C170" s="41" t="s">
        <v>1195</v>
      </c>
      <c r="D170" s="43">
        <f t="shared" si="53"/>
        <v>25</v>
      </c>
      <c r="E170" s="61">
        <f t="shared" si="46"/>
        <v>3.4090000000000007</v>
      </c>
      <c r="F170" s="61">
        <f t="shared" si="47"/>
        <v>42</v>
      </c>
      <c r="G170" s="64">
        <f t="shared" si="48"/>
        <v>0.58988764044943809</v>
      </c>
      <c r="H170" s="51">
        <f t="shared" si="52"/>
        <v>9.6524494382022468</v>
      </c>
      <c r="I170" s="42" t="str">
        <f t="shared" si="56"/>
        <v>IEC</v>
      </c>
      <c r="J170" s="50">
        <f t="shared" si="56"/>
        <v>10.5</v>
      </c>
      <c r="K170" s="49">
        <f t="shared" si="56"/>
        <v>160</v>
      </c>
      <c r="L170" s="44">
        <f t="shared" si="56"/>
        <v>8</v>
      </c>
      <c r="M170" s="44">
        <f t="shared" si="56"/>
        <v>-8</v>
      </c>
      <c r="N170" s="45">
        <f t="shared" si="54"/>
        <v>0.2</v>
      </c>
      <c r="O170" s="49">
        <v>90</v>
      </c>
      <c r="P170" s="54">
        <f>K170+5.25</f>
        <v>165.25</v>
      </c>
      <c r="Q170" s="44">
        <f t="shared" si="57"/>
        <v>150</v>
      </c>
      <c r="R170" s="50">
        <f t="shared" si="57"/>
        <v>210</v>
      </c>
    </row>
    <row r="171" spans="1:18" x14ac:dyDescent="0.25">
      <c r="A171" s="41" t="e">
        <f t="shared" si="55"/>
        <v>#REF!</v>
      </c>
      <c r="B171" s="42">
        <f t="shared" si="55"/>
        <v>161</v>
      </c>
      <c r="C171" s="41" t="s">
        <v>1196</v>
      </c>
      <c r="D171" s="43">
        <f t="shared" si="53"/>
        <v>25</v>
      </c>
      <c r="E171" s="61">
        <f t="shared" ref="E171:E202" si="58">I_ref*(0.75*D171+5.6)</f>
        <v>3.4090000000000007</v>
      </c>
      <c r="F171" s="61">
        <f t="shared" si="47"/>
        <v>42</v>
      </c>
      <c r="G171" s="64">
        <f t="shared" ref="G171:G202" si="59">1/(1+0.2*(diameter/F171))</f>
        <v>0.58988764044943809</v>
      </c>
      <c r="H171" s="51">
        <f t="shared" si="52"/>
        <v>9.6524494382022468</v>
      </c>
      <c r="I171" s="42" t="str">
        <f t="shared" si="56"/>
        <v>IEC</v>
      </c>
      <c r="J171" s="50">
        <f t="shared" si="56"/>
        <v>10.5</v>
      </c>
      <c r="K171" s="49">
        <f t="shared" si="56"/>
        <v>160</v>
      </c>
      <c r="L171" s="44">
        <f t="shared" si="56"/>
        <v>8</v>
      </c>
      <c r="M171" s="44">
        <f>yaw_null</f>
        <v>0</v>
      </c>
      <c r="N171" s="45">
        <f t="shared" si="54"/>
        <v>0.2</v>
      </c>
      <c r="O171" s="49">
        <v>0</v>
      </c>
      <c r="P171" s="54">
        <f>K171</f>
        <v>160</v>
      </c>
      <c r="Q171" s="44">
        <f t="shared" si="57"/>
        <v>150</v>
      </c>
      <c r="R171" s="50">
        <f t="shared" si="57"/>
        <v>210</v>
      </c>
    </row>
    <row r="172" spans="1:18" x14ac:dyDescent="0.25">
      <c r="A172" s="41" t="e">
        <f t="shared" si="55"/>
        <v>#REF!</v>
      </c>
      <c r="B172" s="42">
        <f>B171+1</f>
        <v>162</v>
      </c>
      <c r="C172" s="41" t="s">
        <v>1197</v>
      </c>
      <c r="D172" s="43">
        <f t="shared" si="53"/>
        <v>25</v>
      </c>
      <c r="E172" s="61">
        <f t="shared" si="58"/>
        <v>3.4090000000000007</v>
      </c>
      <c r="F172" s="61">
        <f t="shared" si="47"/>
        <v>42</v>
      </c>
      <c r="G172" s="64">
        <f t="shared" si="59"/>
        <v>0.58988764044943809</v>
      </c>
      <c r="H172" s="51">
        <f t="shared" si="52"/>
        <v>9.6524494382022468</v>
      </c>
      <c r="I172" s="42" t="str">
        <f>I171</f>
        <v>IEC</v>
      </c>
      <c r="J172" s="50">
        <f t="shared" si="56"/>
        <v>10.5</v>
      </c>
      <c r="K172" s="49">
        <f>K171</f>
        <v>160</v>
      </c>
      <c r="L172" s="44">
        <f>L171</f>
        <v>8</v>
      </c>
      <c r="M172" s="44">
        <f>M171</f>
        <v>0</v>
      </c>
      <c r="N172" s="45">
        <f t="shared" si="54"/>
        <v>0.2</v>
      </c>
      <c r="O172" s="49">
        <v>0</v>
      </c>
      <c r="P172" s="54">
        <f>K172+2.46</f>
        <v>162.46</v>
      </c>
      <c r="Q172" s="44">
        <f t="shared" si="57"/>
        <v>150</v>
      </c>
      <c r="R172" s="50">
        <f>R171</f>
        <v>210</v>
      </c>
    </row>
    <row r="173" spans="1:18" x14ac:dyDescent="0.25">
      <c r="A173" s="41" t="e">
        <f t="shared" ref="A173:B188" si="60">A172+1</f>
        <v>#REF!</v>
      </c>
      <c r="B173" s="42">
        <f t="shared" si="60"/>
        <v>163</v>
      </c>
      <c r="C173" s="41" t="s">
        <v>1198</v>
      </c>
      <c r="D173" s="43">
        <f t="shared" si="53"/>
        <v>25</v>
      </c>
      <c r="E173" s="61">
        <f t="shared" si="58"/>
        <v>3.4090000000000007</v>
      </c>
      <c r="F173" s="61">
        <f t="shared" si="47"/>
        <v>42</v>
      </c>
      <c r="G173" s="64">
        <f t="shared" si="59"/>
        <v>0.58988764044943809</v>
      </c>
      <c r="H173" s="51">
        <f t="shared" si="52"/>
        <v>9.6524494382022468</v>
      </c>
      <c r="I173" s="42" t="str">
        <f t="shared" ref="I173:M188" si="61">I172</f>
        <v>IEC</v>
      </c>
      <c r="J173" s="50">
        <f t="shared" si="61"/>
        <v>10.5</v>
      </c>
      <c r="K173" s="49">
        <f t="shared" si="61"/>
        <v>160</v>
      </c>
      <c r="L173" s="44">
        <f t="shared" si="61"/>
        <v>8</v>
      </c>
      <c r="M173" s="44">
        <f t="shared" si="61"/>
        <v>0</v>
      </c>
      <c r="N173" s="45">
        <f t="shared" si="54"/>
        <v>0.2</v>
      </c>
      <c r="O173" s="49">
        <v>0</v>
      </c>
      <c r="P173" s="54">
        <f>K173+4</f>
        <v>164</v>
      </c>
      <c r="Q173" s="44">
        <f t="shared" ref="Q173:R188" si="62">Q172</f>
        <v>150</v>
      </c>
      <c r="R173" s="50">
        <f t="shared" si="62"/>
        <v>210</v>
      </c>
    </row>
    <row r="174" spans="1:18" x14ac:dyDescent="0.25">
      <c r="A174" s="41" t="e">
        <f t="shared" si="60"/>
        <v>#REF!</v>
      </c>
      <c r="B174" s="42">
        <f t="shared" si="60"/>
        <v>164</v>
      </c>
      <c r="C174" s="41" t="s">
        <v>1199</v>
      </c>
      <c r="D174" s="43">
        <f t="shared" si="53"/>
        <v>25</v>
      </c>
      <c r="E174" s="61">
        <f t="shared" si="58"/>
        <v>3.4090000000000007</v>
      </c>
      <c r="F174" s="61">
        <f t="shared" si="47"/>
        <v>42</v>
      </c>
      <c r="G174" s="64">
        <f t="shared" si="59"/>
        <v>0.58988764044943809</v>
      </c>
      <c r="H174" s="51">
        <f t="shared" si="52"/>
        <v>9.6524494382022468</v>
      </c>
      <c r="I174" s="42" t="str">
        <f t="shared" si="61"/>
        <v>IEC</v>
      </c>
      <c r="J174" s="50">
        <f t="shared" si="61"/>
        <v>10.5</v>
      </c>
      <c r="K174" s="49">
        <f t="shared" si="61"/>
        <v>160</v>
      </c>
      <c r="L174" s="44">
        <f t="shared" si="61"/>
        <v>8</v>
      </c>
      <c r="M174" s="44">
        <f t="shared" si="61"/>
        <v>0</v>
      </c>
      <c r="N174" s="45">
        <f t="shared" si="54"/>
        <v>0.2</v>
      </c>
      <c r="O174" s="49">
        <v>0</v>
      </c>
      <c r="P174" s="54">
        <f>K174+5.25</f>
        <v>165.25</v>
      </c>
      <c r="Q174" s="44">
        <f t="shared" si="62"/>
        <v>150</v>
      </c>
      <c r="R174" s="50">
        <f t="shared" si="62"/>
        <v>210</v>
      </c>
    </row>
    <row r="175" spans="1:18" x14ac:dyDescent="0.25">
      <c r="A175" s="41" t="e">
        <f t="shared" si="60"/>
        <v>#REF!</v>
      </c>
      <c r="B175" s="42">
        <f t="shared" si="60"/>
        <v>165</v>
      </c>
      <c r="C175" s="41" t="s">
        <v>1200</v>
      </c>
      <c r="D175" s="43">
        <f t="shared" si="53"/>
        <v>25</v>
      </c>
      <c r="E175" s="61">
        <f t="shared" si="58"/>
        <v>3.4090000000000007</v>
      </c>
      <c r="F175" s="61">
        <f t="shared" si="47"/>
        <v>42</v>
      </c>
      <c r="G175" s="64">
        <f t="shared" si="59"/>
        <v>0.58988764044943809</v>
      </c>
      <c r="H175" s="51">
        <f t="shared" si="52"/>
        <v>9.6524494382022468</v>
      </c>
      <c r="I175" s="42" t="str">
        <f t="shared" si="61"/>
        <v>IEC</v>
      </c>
      <c r="J175" s="50">
        <f t="shared" si="61"/>
        <v>10.5</v>
      </c>
      <c r="K175" s="49">
        <f t="shared" si="61"/>
        <v>160</v>
      </c>
      <c r="L175" s="44">
        <f t="shared" si="61"/>
        <v>8</v>
      </c>
      <c r="M175" s="44">
        <f t="shared" si="61"/>
        <v>0</v>
      </c>
      <c r="N175" s="45">
        <f t="shared" si="54"/>
        <v>0.2</v>
      </c>
      <c r="O175" s="49">
        <v>30</v>
      </c>
      <c r="P175" s="54">
        <f>K175</f>
        <v>160</v>
      </c>
      <c r="Q175" s="44">
        <f t="shared" si="62"/>
        <v>150</v>
      </c>
      <c r="R175" s="50">
        <f t="shared" si="62"/>
        <v>210</v>
      </c>
    </row>
    <row r="176" spans="1:18" x14ac:dyDescent="0.25">
      <c r="A176" s="41" t="e">
        <f t="shared" si="60"/>
        <v>#REF!</v>
      </c>
      <c r="B176" s="42">
        <f t="shared" si="60"/>
        <v>166</v>
      </c>
      <c r="C176" s="41" t="s">
        <v>1201</v>
      </c>
      <c r="D176" s="43">
        <f t="shared" si="53"/>
        <v>25</v>
      </c>
      <c r="E176" s="61">
        <f t="shared" si="58"/>
        <v>3.4090000000000007</v>
      </c>
      <c r="F176" s="61">
        <f t="shared" si="47"/>
        <v>42</v>
      </c>
      <c r="G176" s="64">
        <f t="shared" si="59"/>
        <v>0.58988764044943809</v>
      </c>
      <c r="H176" s="51">
        <f t="shared" si="52"/>
        <v>9.6524494382022468</v>
      </c>
      <c r="I176" s="42" t="str">
        <f t="shared" si="61"/>
        <v>IEC</v>
      </c>
      <c r="J176" s="50">
        <f t="shared" si="61"/>
        <v>10.5</v>
      </c>
      <c r="K176" s="49">
        <f t="shared" si="61"/>
        <v>160</v>
      </c>
      <c r="L176" s="44">
        <f t="shared" si="61"/>
        <v>8</v>
      </c>
      <c r="M176" s="44">
        <f t="shared" si="61"/>
        <v>0</v>
      </c>
      <c r="N176" s="45">
        <f t="shared" si="54"/>
        <v>0.2</v>
      </c>
      <c r="O176" s="49">
        <v>30</v>
      </c>
      <c r="P176" s="54">
        <f>K176+2.46</f>
        <v>162.46</v>
      </c>
      <c r="Q176" s="44">
        <f t="shared" si="62"/>
        <v>150</v>
      </c>
      <c r="R176" s="50">
        <f t="shared" si="62"/>
        <v>210</v>
      </c>
    </row>
    <row r="177" spans="1:18" x14ac:dyDescent="0.25">
      <c r="A177" s="41" t="e">
        <f t="shared" si="60"/>
        <v>#REF!</v>
      </c>
      <c r="B177" s="42">
        <f t="shared" si="60"/>
        <v>167</v>
      </c>
      <c r="C177" s="41" t="s">
        <v>1202</v>
      </c>
      <c r="D177" s="43">
        <f t="shared" si="53"/>
        <v>25</v>
      </c>
      <c r="E177" s="61">
        <f t="shared" si="58"/>
        <v>3.4090000000000007</v>
      </c>
      <c r="F177" s="61">
        <f t="shared" si="47"/>
        <v>42</v>
      </c>
      <c r="G177" s="64">
        <f t="shared" si="59"/>
        <v>0.58988764044943809</v>
      </c>
      <c r="H177" s="51">
        <f t="shared" si="52"/>
        <v>9.6524494382022468</v>
      </c>
      <c r="I177" s="42" t="str">
        <f t="shared" si="61"/>
        <v>IEC</v>
      </c>
      <c r="J177" s="50">
        <f t="shared" si="61"/>
        <v>10.5</v>
      </c>
      <c r="K177" s="49">
        <f t="shared" si="61"/>
        <v>160</v>
      </c>
      <c r="L177" s="44">
        <f t="shared" si="61"/>
        <v>8</v>
      </c>
      <c r="M177" s="44">
        <f t="shared" si="61"/>
        <v>0</v>
      </c>
      <c r="N177" s="45">
        <f t="shared" si="54"/>
        <v>0.2</v>
      </c>
      <c r="O177" s="49">
        <v>30</v>
      </c>
      <c r="P177" s="54">
        <f>K177+4</f>
        <v>164</v>
      </c>
      <c r="Q177" s="44">
        <f t="shared" si="62"/>
        <v>150</v>
      </c>
      <c r="R177" s="50">
        <f t="shared" si="62"/>
        <v>210</v>
      </c>
    </row>
    <row r="178" spans="1:18" x14ac:dyDescent="0.25">
      <c r="A178" s="41" t="e">
        <f t="shared" si="60"/>
        <v>#REF!</v>
      </c>
      <c r="B178" s="42">
        <f t="shared" si="60"/>
        <v>168</v>
      </c>
      <c r="C178" s="41" t="s">
        <v>1203</v>
      </c>
      <c r="D178" s="43">
        <f t="shared" si="53"/>
        <v>25</v>
      </c>
      <c r="E178" s="61">
        <f t="shared" si="58"/>
        <v>3.4090000000000007</v>
      </c>
      <c r="F178" s="61">
        <f t="shared" si="47"/>
        <v>42</v>
      </c>
      <c r="G178" s="64">
        <f t="shared" si="59"/>
        <v>0.58988764044943809</v>
      </c>
      <c r="H178" s="51">
        <f t="shared" si="52"/>
        <v>9.6524494382022468</v>
      </c>
      <c r="I178" s="42" t="str">
        <f t="shared" si="61"/>
        <v>IEC</v>
      </c>
      <c r="J178" s="50">
        <f t="shared" si="61"/>
        <v>10.5</v>
      </c>
      <c r="K178" s="49">
        <f t="shared" si="61"/>
        <v>160</v>
      </c>
      <c r="L178" s="44">
        <f t="shared" si="61"/>
        <v>8</v>
      </c>
      <c r="M178" s="44">
        <f t="shared" si="61"/>
        <v>0</v>
      </c>
      <c r="N178" s="45">
        <f t="shared" si="54"/>
        <v>0.2</v>
      </c>
      <c r="O178" s="49">
        <v>30</v>
      </c>
      <c r="P178" s="54">
        <f>K178+5.25</f>
        <v>165.25</v>
      </c>
      <c r="Q178" s="44">
        <f t="shared" si="62"/>
        <v>150</v>
      </c>
      <c r="R178" s="50">
        <f t="shared" si="62"/>
        <v>210</v>
      </c>
    </row>
    <row r="179" spans="1:18" x14ac:dyDescent="0.25">
      <c r="A179" s="41" t="e">
        <f t="shared" si="60"/>
        <v>#REF!</v>
      </c>
      <c r="B179" s="42">
        <f t="shared" si="60"/>
        <v>169</v>
      </c>
      <c r="C179" s="41" t="s">
        <v>1204</v>
      </c>
      <c r="D179" s="43">
        <f t="shared" si="53"/>
        <v>25</v>
      </c>
      <c r="E179" s="61">
        <f t="shared" si="58"/>
        <v>3.4090000000000007</v>
      </c>
      <c r="F179" s="61">
        <f t="shared" si="47"/>
        <v>42</v>
      </c>
      <c r="G179" s="64">
        <f t="shared" si="59"/>
        <v>0.58988764044943809</v>
      </c>
      <c r="H179" s="51">
        <f t="shared" si="52"/>
        <v>9.6524494382022468</v>
      </c>
      <c r="I179" s="42" t="str">
        <f t="shared" si="61"/>
        <v>IEC</v>
      </c>
      <c r="J179" s="50">
        <f t="shared" si="61"/>
        <v>10.5</v>
      </c>
      <c r="K179" s="49">
        <f t="shared" si="61"/>
        <v>160</v>
      </c>
      <c r="L179" s="44">
        <f t="shared" si="61"/>
        <v>8</v>
      </c>
      <c r="M179" s="44">
        <f t="shared" si="61"/>
        <v>0</v>
      </c>
      <c r="N179" s="45">
        <f t="shared" si="54"/>
        <v>0.2</v>
      </c>
      <c r="O179" s="49">
        <v>60</v>
      </c>
      <c r="P179" s="54">
        <f>K179</f>
        <v>160</v>
      </c>
      <c r="Q179" s="44">
        <f t="shared" si="62"/>
        <v>150</v>
      </c>
      <c r="R179" s="50">
        <f t="shared" si="62"/>
        <v>210</v>
      </c>
    </row>
    <row r="180" spans="1:18" x14ac:dyDescent="0.25">
      <c r="A180" s="41" t="e">
        <f t="shared" si="60"/>
        <v>#REF!</v>
      </c>
      <c r="B180" s="42">
        <f t="shared" si="60"/>
        <v>170</v>
      </c>
      <c r="C180" s="41" t="s">
        <v>1205</v>
      </c>
      <c r="D180" s="43">
        <f t="shared" si="53"/>
        <v>25</v>
      </c>
      <c r="E180" s="61">
        <f t="shared" si="58"/>
        <v>3.4090000000000007</v>
      </c>
      <c r="F180" s="61">
        <f t="shared" si="47"/>
        <v>42</v>
      </c>
      <c r="G180" s="64">
        <f t="shared" si="59"/>
        <v>0.58988764044943809</v>
      </c>
      <c r="H180" s="51">
        <f t="shared" si="52"/>
        <v>9.6524494382022468</v>
      </c>
      <c r="I180" s="42" t="str">
        <f t="shared" si="61"/>
        <v>IEC</v>
      </c>
      <c r="J180" s="50">
        <f t="shared" si="61"/>
        <v>10.5</v>
      </c>
      <c r="K180" s="49">
        <f t="shared" si="61"/>
        <v>160</v>
      </c>
      <c r="L180" s="44">
        <f t="shared" si="61"/>
        <v>8</v>
      </c>
      <c r="M180" s="44">
        <f t="shared" si="61"/>
        <v>0</v>
      </c>
      <c r="N180" s="45">
        <f t="shared" si="54"/>
        <v>0.2</v>
      </c>
      <c r="O180" s="49">
        <v>60</v>
      </c>
      <c r="P180" s="54">
        <f>K180+2.46</f>
        <v>162.46</v>
      </c>
      <c r="Q180" s="44">
        <f t="shared" si="62"/>
        <v>150</v>
      </c>
      <c r="R180" s="50">
        <f t="shared" si="62"/>
        <v>210</v>
      </c>
    </row>
    <row r="181" spans="1:18" x14ac:dyDescent="0.25">
      <c r="A181" s="41" t="e">
        <f t="shared" si="60"/>
        <v>#REF!</v>
      </c>
      <c r="B181" s="42">
        <f t="shared" si="60"/>
        <v>171</v>
      </c>
      <c r="C181" s="41" t="s">
        <v>1206</v>
      </c>
      <c r="D181" s="43">
        <f t="shared" si="53"/>
        <v>25</v>
      </c>
      <c r="E181" s="61">
        <f t="shared" si="58"/>
        <v>3.4090000000000007</v>
      </c>
      <c r="F181" s="61">
        <f t="shared" si="47"/>
        <v>42</v>
      </c>
      <c r="G181" s="64">
        <f t="shared" si="59"/>
        <v>0.58988764044943809</v>
      </c>
      <c r="H181" s="51">
        <f t="shared" si="52"/>
        <v>9.6524494382022468</v>
      </c>
      <c r="I181" s="42" t="str">
        <f t="shared" si="61"/>
        <v>IEC</v>
      </c>
      <c r="J181" s="50">
        <f t="shared" si="61"/>
        <v>10.5</v>
      </c>
      <c r="K181" s="49">
        <f t="shared" si="61"/>
        <v>160</v>
      </c>
      <c r="L181" s="44">
        <f t="shared" si="61"/>
        <v>8</v>
      </c>
      <c r="M181" s="44">
        <f t="shared" si="61"/>
        <v>0</v>
      </c>
      <c r="N181" s="45">
        <f t="shared" si="54"/>
        <v>0.2</v>
      </c>
      <c r="O181" s="49">
        <v>60</v>
      </c>
      <c r="P181" s="54">
        <f>K181+4</f>
        <v>164</v>
      </c>
      <c r="Q181" s="44">
        <f t="shared" si="62"/>
        <v>150</v>
      </c>
      <c r="R181" s="50">
        <f t="shared" si="62"/>
        <v>210</v>
      </c>
    </row>
    <row r="182" spans="1:18" x14ac:dyDescent="0.25">
      <c r="A182" s="41" t="e">
        <f t="shared" si="60"/>
        <v>#REF!</v>
      </c>
      <c r="B182" s="42">
        <f t="shared" si="60"/>
        <v>172</v>
      </c>
      <c r="C182" s="41" t="s">
        <v>1207</v>
      </c>
      <c r="D182" s="43">
        <f t="shared" si="53"/>
        <v>25</v>
      </c>
      <c r="E182" s="61">
        <f t="shared" si="58"/>
        <v>3.4090000000000007</v>
      </c>
      <c r="F182" s="61">
        <f t="shared" si="47"/>
        <v>42</v>
      </c>
      <c r="G182" s="64">
        <f t="shared" si="59"/>
        <v>0.58988764044943809</v>
      </c>
      <c r="H182" s="51">
        <f t="shared" si="52"/>
        <v>9.6524494382022468</v>
      </c>
      <c r="I182" s="42" t="str">
        <f t="shared" si="61"/>
        <v>IEC</v>
      </c>
      <c r="J182" s="50">
        <f t="shared" si="61"/>
        <v>10.5</v>
      </c>
      <c r="K182" s="49">
        <f t="shared" si="61"/>
        <v>160</v>
      </c>
      <c r="L182" s="44">
        <f t="shared" si="61"/>
        <v>8</v>
      </c>
      <c r="M182" s="44">
        <f t="shared" si="61"/>
        <v>0</v>
      </c>
      <c r="N182" s="45">
        <f t="shared" si="54"/>
        <v>0.2</v>
      </c>
      <c r="O182" s="49">
        <v>60</v>
      </c>
      <c r="P182" s="54">
        <f>K182+5.25</f>
        <v>165.25</v>
      </c>
      <c r="Q182" s="44">
        <f t="shared" si="62"/>
        <v>150</v>
      </c>
      <c r="R182" s="50">
        <f t="shared" si="62"/>
        <v>210</v>
      </c>
    </row>
    <row r="183" spans="1:18" x14ac:dyDescent="0.25">
      <c r="A183" s="41" t="e">
        <f t="shared" si="60"/>
        <v>#REF!</v>
      </c>
      <c r="B183" s="42">
        <f t="shared" si="60"/>
        <v>173</v>
      </c>
      <c r="C183" s="41" t="s">
        <v>1208</v>
      </c>
      <c r="D183" s="43">
        <f t="shared" si="53"/>
        <v>25</v>
      </c>
      <c r="E183" s="61">
        <f t="shared" si="58"/>
        <v>3.4090000000000007</v>
      </c>
      <c r="F183" s="61">
        <f t="shared" si="47"/>
        <v>42</v>
      </c>
      <c r="G183" s="64">
        <f t="shared" si="59"/>
        <v>0.58988764044943809</v>
      </c>
      <c r="H183" s="51">
        <f t="shared" si="52"/>
        <v>9.6524494382022468</v>
      </c>
      <c r="I183" s="42" t="str">
        <f t="shared" si="61"/>
        <v>IEC</v>
      </c>
      <c r="J183" s="50">
        <f t="shared" si="61"/>
        <v>10.5</v>
      </c>
      <c r="K183" s="49">
        <f t="shared" si="61"/>
        <v>160</v>
      </c>
      <c r="L183" s="44">
        <f t="shared" si="61"/>
        <v>8</v>
      </c>
      <c r="M183" s="44">
        <f t="shared" si="61"/>
        <v>0</v>
      </c>
      <c r="N183" s="45">
        <f t="shared" si="54"/>
        <v>0.2</v>
      </c>
      <c r="O183" s="49">
        <v>90</v>
      </c>
      <c r="P183" s="54">
        <f>K183</f>
        <v>160</v>
      </c>
      <c r="Q183" s="44">
        <f t="shared" si="62"/>
        <v>150</v>
      </c>
      <c r="R183" s="50">
        <f t="shared" si="62"/>
        <v>210</v>
      </c>
    </row>
    <row r="184" spans="1:18" x14ac:dyDescent="0.25">
      <c r="A184" s="41" t="e">
        <f t="shared" si="60"/>
        <v>#REF!</v>
      </c>
      <c r="B184" s="42">
        <f t="shared" si="60"/>
        <v>174</v>
      </c>
      <c r="C184" s="41" t="s">
        <v>1209</v>
      </c>
      <c r="D184" s="43">
        <f t="shared" si="53"/>
        <v>25</v>
      </c>
      <c r="E184" s="61">
        <f t="shared" si="58"/>
        <v>3.4090000000000007</v>
      </c>
      <c r="F184" s="61">
        <f t="shared" si="47"/>
        <v>42</v>
      </c>
      <c r="G184" s="64">
        <f t="shared" si="59"/>
        <v>0.58988764044943809</v>
      </c>
      <c r="H184" s="51">
        <f t="shared" si="52"/>
        <v>9.6524494382022468</v>
      </c>
      <c r="I184" s="42" t="str">
        <f t="shared" si="61"/>
        <v>IEC</v>
      </c>
      <c r="J184" s="50">
        <f t="shared" si="61"/>
        <v>10.5</v>
      </c>
      <c r="K184" s="49">
        <f t="shared" si="61"/>
        <v>160</v>
      </c>
      <c r="L184" s="44">
        <f t="shared" si="61"/>
        <v>8</v>
      </c>
      <c r="M184" s="44">
        <f t="shared" si="61"/>
        <v>0</v>
      </c>
      <c r="N184" s="45">
        <f t="shared" si="54"/>
        <v>0.2</v>
      </c>
      <c r="O184" s="49">
        <v>90</v>
      </c>
      <c r="P184" s="54">
        <f>K184+2.46</f>
        <v>162.46</v>
      </c>
      <c r="Q184" s="44">
        <f t="shared" si="62"/>
        <v>150</v>
      </c>
      <c r="R184" s="50">
        <f t="shared" si="62"/>
        <v>210</v>
      </c>
    </row>
    <row r="185" spans="1:18" x14ac:dyDescent="0.25">
      <c r="A185" s="41" t="e">
        <f t="shared" si="60"/>
        <v>#REF!</v>
      </c>
      <c r="B185" s="42">
        <f t="shared" si="60"/>
        <v>175</v>
      </c>
      <c r="C185" s="41" t="s">
        <v>1210</v>
      </c>
      <c r="D185" s="43">
        <f t="shared" si="53"/>
        <v>25</v>
      </c>
      <c r="E185" s="61">
        <f t="shared" si="58"/>
        <v>3.4090000000000007</v>
      </c>
      <c r="F185" s="61">
        <f t="shared" si="47"/>
        <v>42</v>
      </c>
      <c r="G185" s="64">
        <f t="shared" si="59"/>
        <v>0.58988764044943809</v>
      </c>
      <c r="H185" s="51">
        <f t="shared" si="52"/>
        <v>9.6524494382022468</v>
      </c>
      <c r="I185" s="42" t="str">
        <f t="shared" si="61"/>
        <v>IEC</v>
      </c>
      <c r="J185" s="50">
        <f t="shared" si="61"/>
        <v>10.5</v>
      </c>
      <c r="K185" s="49">
        <f t="shared" si="61"/>
        <v>160</v>
      </c>
      <c r="L185" s="44">
        <f t="shared" si="61"/>
        <v>8</v>
      </c>
      <c r="M185" s="44">
        <f t="shared" si="61"/>
        <v>0</v>
      </c>
      <c r="N185" s="45">
        <f t="shared" si="54"/>
        <v>0.2</v>
      </c>
      <c r="O185" s="49">
        <v>90</v>
      </c>
      <c r="P185" s="54">
        <f>K185+4</f>
        <v>164</v>
      </c>
      <c r="Q185" s="44">
        <f t="shared" si="62"/>
        <v>150</v>
      </c>
      <c r="R185" s="50">
        <f t="shared" si="62"/>
        <v>210</v>
      </c>
    </row>
    <row r="186" spans="1:18" x14ac:dyDescent="0.25">
      <c r="A186" s="41" t="e">
        <f t="shared" si="60"/>
        <v>#REF!</v>
      </c>
      <c r="B186" s="42">
        <f t="shared" si="60"/>
        <v>176</v>
      </c>
      <c r="C186" s="41" t="s">
        <v>1211</v>
      </c>
      <c r="D186" s="43">
        <f t="shared" si="53"/>
        <v>25</v>
      </c>
      <c r="E186" s="61">
        <f t="shared" si="58"/>
        <v>3.4090000000000007</v>
      </c>
      <c r="F186" s="61">
        <f t="shared" si="47"/>
        <v>42</v>
      </c>
      <c r="G186" s="64">
        <f t="shared" si="59"/>
        <v>0.58988764044943809</v>
      </c>
      <c r="H186" s="51">
        <f t="shared" si="52"/>
        <v>9.6524494382022468</v>
      </c>
      <c r="I186" s="42" t="str">
        <f t="shared" si="61"/>
        <v>IEC</v>
      </c>
      <c r="J186" s="50">
        <f t="shared" si="61"/>
        <v>10.5</v>
      </c>
      <c r="K186" s="49">
        <f t="shared" si="61"/>
        <v>160</v>
      </c>
      <c r="L186" s="44">
        <f t="shared" si="61"/>
        <v>8</v>
      </c>
      <c r="M186" s="44">
        <f t="shared" si="61"/>
        <v>0</v>
      </c>
      <c r="N186" s="45">
        <f t="shared" si="54"/>
        <v>0.2</v>
      </c>
      <c r="O186" s="49">
        <v>90</v>
      </c>
      <c r="P186" s="54">
        <f>K186+5.25</f>
        <v>165.25</v>
      </c>
      <c r="Q186" s="44">
        <f t="shared" si="62"/>
        <v>150</v>
      </c>
      <c r="R186" s="50">
        <f t="shared" si="62"/>
        <v>210</v>
      </c>
    </row>
    <row r="187" spans="1:18" x14ac:dyDescent="0.25">
      <c r="A187" s="41" t="e">
        <f t="shared" si="60"/>
        <v>#REF!</v>
      </c>
      <c r="B187" s="42">
        <f t="shared" si="60"/>
        <v>177</v>
      </c>
      <c r="C187" s="41" t="s">
        <v>1212</v>
      </c>
      <c r="D187" s="43">
        <f t="shared" si="53"/>
        <v>25</v>
      </c>
      <c r="E187" s="61">
        <f t="shared" si="58"/>
        <v>3.4090000000000007</v>
      </c>
      <c r="F187" s="61">
        <f t="shared" si="47"/>
        <v>42</v>
      </c>
      <c r="G187" s="64">
        <f t="shared" si="59"/>
        <v>0.58988764044943809</v>
      </c>
      <c r="H187" s="51">
        <f t="shared" si="52"/>
        <v>9.6524494382022468</v>
      </c>
      <c r="I187" s="42" t="str">
        <f t="shared" si="61"/>
        <v>IEC</v>
      </c>
      <c r="J187" s="50">
        <f t="shared" si="61"/>
        <v>10.5</v>
      </c>
      <c r="K187" s="49">
        <f t="shared" si="61"/>
        <v>160</v>
      </c>
      <c r="L187" s="44">
        <f t="shared" si="61"/>
        <v>8</v>
      </c>
      <c r="M187" s="44">
        <f>yaw_max</f>
        <v>8</v>
      </c>
      <c r="N187" s="45">
        <f t="shared" si="54"/>
        <v>0.2</v>
      </c>
      <c r="O187" s="49">
        <v>0</v>
      </c>
      <c r="P187" s="54">
        <f>K187</f>
        <v>160</v>
      </c>
      <c r="Q187" s="44">
        <f t="shared" si="62"/>
        <v>150</v>
      </c>
      <c r="R187" s="50">
        <f t="shared" si="62"/>
        <v>210</v>
      </c>
    </row>
    <row r="188" spans="1:18" x14ac:dyDescent="0.25">
      <c r="A188" s="41" t="e">
        <f t="shared" si="60"/>
        <v>#REF!</v>
      </c>
      <c r="B188" s="42">
        <f>B187+1</f>
        <v>178</v>
      </c>
      <c r="C188" s="41" t="s">
        <v>1213</v>
      </c>
      <c r="D188" s="43">
        <f t="shared" si="53"/>
        <v>25</v>
      </c>
      <c r="E188" s="61">
        <f t="shared" si="58"/>
        <v>3.4090000000000007</v>
      </c>
      <c r="F188" s="61">
        <f t="shared" si="47"/>
        <v>42</v>
      </c>
      <c r="G188" s="64">
        <f t="shared" si="59"/>
        <v>0.58988764044943809</v>
      </c>
      <c r="H188" s="51">
        <f t="shared" si="52"/>
        <v>9.6524494382022468</v>
      </c>
      <c r="I188" s="42" t="str">
        <f>I187</f>
        <v>IEC</v>
      </c>
      <c r="J188" s="50">
        <f t="shared" si="61"/>
        <v>10.5</v>
      </c>
      <c r="K188" s="49">
        <f>K187</f>
        <v>160</v>
      </c>
      <c r="L188" s="44">
        <f>L187</f>
        <v>8</v>
      </c>
      <c r="M188" s="44">
        <f>M187</f>
        <v>8</v>
      </c>
      <c r="N188" s="45">
        <f t="shared" si="54"/>
        <v>0.2</v>
      </c>
      <c r="O188" s="49">
        <v>0</v>
      </c>
      <c r="P188" s="54">
        <f>K188+2.46</f>
        <v>162.46</v>
      </c>
      <c r="Q188" s="44">
        <f t="shared" si="62"/>
        <v>150</v>
      </c>
      <c r="R188" s="50">
        <f>R187</f>
        <v>210</v>
      </c>
    </row>
    <row r="189" spans="1:18" x14ac:dyDescent="0.25">
      <c r="A189" s="41" t="e">
        <f t="shared" ref="A189:B202" si="63">A188+1</f>
        <v>#REF!</v>
      </c>
      <c r="B189" s="42">
        <f t="shared" si="63"/>
        <v>179</v>
      </c>
      <c r="C189" s="41" t="s">
        <v>1214</v>
      </c>
      <c r="D189" s="43">
        <f t="shared" si="53"/>
        <v>25</v>
      </c>
      <c r="E189" s="61">
        <f t="shared" si="58"/>
        <v>3.4090000000000007</v>
      </c>
      <c r="F189" s="61">
        <f t="shared" si="47"/>
        <v>42</v>
      </c>
      <c r="G189" s="64">
        <f t="shared" si="59"/>
        <v>0.58988764044943809</v>
      </c>
      <c r="H189" s="51">
        <f t="shared" si="52"/>
        <v>9.6524494382022468</v>
      </c>
      <c r="I189" s="42" t="str">
        <f t="shared" ref="I189:M202" si="64">I188</f>
        <v>IEC</v>
      </c>
      <c r="J189" s="50">
        <f t="shared" si="64"/>
        <v>10.5</v>
      </c>
      <c r="K189" s="49">
        <f t="shared" si="64"/>
        <v>160</v>
      </c>
      <c r="L189" s="44">
        <f t="shared" si="64"/>
        <v>8</v>
      </c>
      <c r="M189" s="44">
        <f t="shared" si="64"/>
        <v>8</v>
      </c>
      <c r="N189" s="45">
        <f t="shared" si="54"/>
        <v>0.2</v>
      </c>
      <c r="O189" s="49">
        <v>0</v>
      </c>
      <c r="P189" s="54">
        <f>K189+4</f>
        <v>164</v>
      </c>
      <c r="Q189" s="44">
        <f t="shared" ref="Q189:R202" si="65">Q188</f>
        <v>150</v>
      </c>
      <c r="R189" s="50">
        <f t="shared" si="65"/>
        <v>210</v>
      </c>
    </row>
    <row r="190" spans="1:18" x14ac:dyDescent="0.25">
      <c r="A190" s="41" t="e">
        <f t="shared" si="63"/>
        <v>#REF!</v>
      </c>
      <c r="B190" s="42">
        <f t="shared" si="63"/>
        <v>180</v>
      </c>
      <c r="C190" s="41" t="s">
        <v>1215</v>
      </c>
      <c r="D190" s="43">
        <f t="shared" si="53"/>
        <v>25</v>
      </c>
      <c r="E190" s="61">
        <f t="shared" si="58"/>
        <v>3.4090000000000007</v>
      </c>
      <c r="F190" s="61">
        <f t="shared" si="47"/>
        <v>42</v>
      </c>
      <c r="G190" s="64">
        <f t="shared" si="59"/>
        <v>0.58988764044943809</v>
      </c>
      <c r="H190" s="51">
        <f t="shared" si="52"/>
        <v>9.6524494382022468</v>
      </c>
      <c r="I190" s="42" t="str">
        <f t="shared" si="64"/>
        <v>IEC</v>
      </c>
      <c r="J190" s="50">
        <f t="shared" si="64"/>
        <v>10.5</v>
      </c>
      <c r="K190" s="49">
        <f t="shared" si="64"/>
        <v>160</v>
      </c>
      <c r="L190" s="44">
        <f t="shared" si="64"/>
        <v>8</v>
      </c>
      <c r="M190" s="44">
        <f t="shared" si="64"/>
        <v>8</v>
      </c>
      <c r="N190" s="45">
        <f t="shared" si="54"/>
        <v>0.2</v>
      </c>
      <c r="O190" s="49">
        <v>0</v>
      </c>
      <c r="P190" s="54">
        <f>K190+5.25</f>
        <v>165.25</v>
      </c>
      <c r="Q190" s="44">
        <f t="shared" si="65"/>
        <v>150</v>
      </c>
      <c r="R190" s="50">
        <f t="shared" si="65"/>
        <v>210</v>
      </c>
    </row>
    <row r="191" spans="1:18" x14ac:dyDescent="0.25">
      <c r="A191" s="41" t="e">
        <f t="shared" si="63"/>
        <v>#REF!</v>
      </c>
      <c r="B191" s="42">
        <f t="shared" si="63"/>
        <v>181</v>
      </c>
      <c r="C191" s="41" t="s">
        <v>1216</v>
      </c>
      <c r="D191" s="43">
        <f t="shared" si="53"/>
        <v>25</v>
      </c>
      <c r="E191" s="61">
        <f t="shared" si="58"/>
        <v>3.4090000000000007</v>
      </c>
      <c r="F191" s="61">
        <f t="shared" si="47"/>
        <v>42</v>
      </c>
      <c r="G191" s="64">
        <f t="shared" si="59"/>
        <v>0.58988764044943809</v>
      </c>
      <c r="H191" s="51">
        <f t="shared" si="52"/>
        <v>9.6524494382022468</v>
      </c>
      <c r="I191" s="42" t="str">
        <f t="shared" si="64"/>
        <v>IEC</v>
      </c>
      <c r="J191" s="50">
        <f t="shared" si="64"/>
        <v>10.5</v>
      </c>
      <c r="K191" s="49">
        <f t="shared" si="64"/>
        <v>160</v>
      </c>
      <c r="L191" s="44">
        <f t="shared" si="64"/>
        <v>8</v>
      </c>
      <c r="M191" s="44">
        <f t="shared" si="64"/>
        <v>8</v>
      </c>
      <c r="N191" s="45">
        <f t="shared" si="54"/>
        <v>0.2</v>
      </c>
      <c r="O191" s="49">
        <v>30</v>
      </c>
      <c r="P191" s="54">
        <f>K191</f>
        <v>160</v>
      </c>
      <c r="Q191" s="44">
        <f t="shared" si="65"/>
        <v>150</v>
      </c>
      <c r="R191" s="50">
        <f t="shared" si="65"/>
        <v>210</v>
      </c>
    </row>
    <row r="192" spans="1:18" x14ac:dyDescent="0.25">
      <c r="A192" s="41" t="e">
        <f t="shared" si="63"/>
        <v>#REF!</v>
      </c>
      <c r="B192" s="42">
        <f t="shared" si="63"/>
        <v>182</v>
      </c>
      <c r="C192" s="41" t="s">
        <v>1217</v>
      </c>
      <c r="D192" s="43">
        <f t="shared" si="53"/>
        <v>25</v>
      </c>
      <c r="E192" s="61">
        <f t="shared" si="58"/>
        <v>3.4090000000000007</v>
      </c>
      <c r="F192" s="61">
        <f t="shared" si="47"/>
        <v>42</v>
      </c>
      <c r="G192" s="64">
        <f t="shared" si="59"/>
        <v>0.58988764044943809</v>
      </c>
      <c r="H192" s="51">
        <f t="shared" si="52"/>
        <v>9.6524494382022468</v>
      </c>
      <c r="I192" s="42" t="str">
        <f t="shared" si="64"/>
        <v>IEC</v>
      </c>
      <c r="J192" s="50">
        <f t="shared" si="64"/>
        <v>10.5</v>
      </c>
      <c r="K192" s="49">
        <f t="shared" si="64"/>
        <v>160</v>
      </c>
      <c r="L192" s="44">
        <f t="shared" si="64"/>
        <v>8</v>
      </c>
      <c r="M192" s="44">
        <f t="shared" si="64"/>
        <v>8</v>
      </c>
      <c r="N192" s="45">
        <f t="shared" si="54"/>
        <v>0.2</v>
      </c>
      <c r="O192" s="49">
        <v>30</v>
      </c>
      <c r="P192" s="54">
        <f>K192+2.46</f>
        <v>162.46</v>
      </c>
      <c r="Q192" s="44">
        <f t="shared" si="65"/>
        <v>150</v>
      </c>
      <c r="R192" s="50">
        <f t="shared" si="65"/>
        <v>210</v>
      </c>
    </row>
    <row r="193" spans="1:18" x14ac:dyDescent="0.25">
      <c r="A193" s="41" t="e">
        <f t="shared" si="63"/>
        <v>#REF!</v>
      </c>
      <c r="B193" s="42">
        <f t="shared" si="63"/>
        <v>183</v>
      </c>
      <c r="C193" s="41" t="s">
        <v>1218</v>
      </c>
      <c r="D193" s="43">
        <f t="shared" si="53"/>
        <v>25</v>
      </c>
      <c r="E193" s="61">
        <f t="shared" si="58"/>
        <v>3.4090000000000007</v>
      </c>
      <c r="F193" s="61">
        <f t="shared" si="47"/>
        <v>42</v>
      </c>
      <c r="G193" s="64">
        <f t="shared" si="59"/>
        <v>0.58988764044943809</v>
      </c>
      <c r="H193" s="51">
        <f t="shared" si="52"/>
        <v>9.6524494382022468</v>
      </c>
      <c r="I193" s="42" t="str">
        <f t="shared" si="64"/>
        <v>IEC</v>
      </c>
      <c r="J193" s="50">
        <f t="shared" si="64"/>
        <v>10.5</v>
      </c>
      <c r="K193" s="49">
        <f t="shared" si="64"/>
        <v>160</v>
      </c>
      <c r="L193" s="44">
        <f t="shared" si="64"/>
        <v>8</v>
      </c>
      <c r="M193" s="44">
        <f t="shared" si="64"/>
        <v>8</v>
      </c>
      <c r="N193" s="45">
        <f t="shared" si="54"/>
        <v>0.2</v>
      </c>
      <c r="O193" s="49">
        <v>30</v>
      </c>
      <c r="P193" s="54">
        <f>K193+4</f>
        <v>164</v>
      </c>
      <c r="Q193" s="44">
        <f t="shared" si="65"/>
        <v>150</v>
      </c>
      <c r="R193" s="50">
        <f t="shared" si="65"/>
        <v>210</v>
      </c>
    </row>
    <row r="194" spans="1:18" x14ac:dyDescent="0.25">
      <c r="A194" s="41" t="e">
        <f t="shared" si="63"/>
        <v>#REF!</v>
      </c>
      <c r="B194" s="42">
        <f t="shared" si="63"/>
        <v>184</v>
      </c>
      <c r="C194" s="41" t="s">
        <v>1219</v>
      </c>
      <c r="D194" s="43">
        <f t="shared" si="53"/>
        <v>25</v>
      </c>
      <c r="E194" s="61">
        <f t="shared" si="58"/>
        <v>3.4090000000000007</v>
      </c>
      <c r="F194" s="61">
        <f t="shared" si="47"/>
        <v>42</v>
      </c>
      <c r="G194" s="64">
        <f t="shared" si="59"/>
        <v>0.58988764044943809</v>
      </c>
      <c r="H194" s="51">
        <f t="shared" si="52"/>
        <v>9.6524494382022468</v>
      </c>
      <c r="I194" s="42" t="str">
        <f t="shared" si="64"/>
        <v>IEC</v>
      </c>
      <c r="J194" s="50">
        <f t="shared" si="64"/>
        <v>10.5</v>
      </c>
      <c r="K194" s="49">
        <f t="shared" si="64"/>
        <v>160</v>
      </c>
      <c r="L194" s="44">
        <f t="shared" si="64"/>
        <v>8</v>
      </c>
      <c r="M194" s="44">
        <f t="shared" si="64"/>
        <v>8</v>
      </c>
      <c r="N194" s="45">
        <f t="shared" si="54"/>
        <v>0.2</v>
      </c>
      <c r="O194" s="49">
        <v>30</v>
      </c>
      <c r="P194" s="54">
        <f>K194+5.25</f>
        <v>165.25</v>
      </c>
      <c r="Q194" s="44">
        <f t="shared" si="65"/>
        <v>150</v>
      </c>
      <c r="R194" s="50">
        <f t="shared" si="65"/>
        <v>210</v>
      </c>
    </row>
    <row r="195" spans="1:18" x14ac:dyDescent="0.25">
      <c r="A195" s="41" t="e">
        <f t="shared" si="63"/>
        <v>#REF!</v>
      </c>
      <c r="B195" s="42">
        <f t="shared" si="63"/>
        <v>185</v>
      </c>
      <c r="C195" s="41" t="s">
        <v>1220</v>
      </c>
      <c r="D195" s="43">
        <f t="shared" si="53"/>
        <v>25</v>
      </c>
      <c r="E195" s="61">
        <f t="shared" si="58"/>
        <v>3.4090000000000007</v>
      </c>
      <c r="F195" s="61">
        <f t="shared" si="47"/>
        <v>42</v>
      </c>
      <c r="G195" s="64">
        <f t="shared" si="59"/>
        <v>0.58988764044943809</v>
      </c>
      <c r="H195" s="51">
        <f t="shared" si="52"/>
        <v>9.6524494382022468</v>
      </c>
      <c r="I195" s="42" t="str">
        <f t="shared" si="64"/>
        <v>IEC</v>
      </c>
      <c r="J195" s="50">
        <f t="shared" si="64"/>
        <v>10.5</v>
      </c>
      <c r="K195" s="49">
        <f t="shared" si="64"/>
        <v>160</v>
      </c>
      <c r="L195" s="44">
        <f t="shared" si="64"/>
        <v>8</v>
      </c>
      <c r="M195" s="44">
        <f t="shared" si="64"/>
        <v>8</v>
      </c>
      <c r="N195" s="45">
        <f t="shared" si="54"/>
        <v>0.2</v>
      </c>
      <c r="O195" s="49">
        <v>60</v>
      </c>
      <c r="P195" s="54">
        <f>K195</f>
        <v>160</v>
      </c>
      <c r="Q195" s="44">
        <f t="shared" si="65"/>
        <v>150</v>
      </c>
      <c r="R195" s="50">
        <f t="shared" si="65"/>
        <v>210</v>
      </c>
    </row>
    <row r="196" spans="1:18" x14ac:dyDescent="0.25">
      <c r="A196" s="41" t="e">
        <f t="shared" si="63"/>
        <v>#REF!</v>
      </c>
      <c r="B196" s="42">
        <f t="shared" si="63"/>
        <v>186</v>
      </c>
      <c r="C196" s="41" t="s">
        <v>1221</v>
      </c>
      <c r="D196" s="43">
        <f t="shared" si="53"/>
        <v>25</v>
      </c>
      <c r="E196" s="61">
        <f t="shared" si="58"/>
        <v>3.4090000000000007</v>
      </c>
      <c r="F196" s="61">
        <f t="shared" si="47"/>
        <v>42</v>
      </c>
      <c r="G196" s="64">
        <f t="shared" si="59"/>
        <v>0.58988764044943809</v>
      </c>
      <c r="H196" s="51">
        <f t="shared" si="52"/>
        <v>9.6524494382022468</v>
      </c>
      <c r="I196" s="42" t="str">
        <f t="shared" si="64"/>
        <v>IEC</v>
      </c>
      <c r="J196" s="50">
        <f t="shared" si="64"/>
        <v>10.5</v>
      </c>
      <c r="K196" s="49">
        <f t="shared" si="64"/>
        <v>160</v>
      </c>
      <c r="L196" s="44">
        <f t="shared" si="64"/>
        <v>8</v>
      </c>
      <c r="M196" s="44">
        <f t="shared" si="64"/>
        <v>8</v>
      </c>
      <c r="N196" s="45">
        <f t="shared" si="54"/>
        <v>0.2</v>
      </c>
      <c r="O196" s="49">
        <v>60</v>
      </c>
      <c r="P196" s="54">
        <f>K196+2.46</f>
        <v>162.46</v>
      </c>
      <c r="Q196" s="44">
        <f t="shared" si="65"/>
        <v>150</v>
      </c>
      <c r="R196" s="50">
        <f t="shared" si="65"/>
        <v>210</v>
      </c>
    </row>
    <row r="197" spans="1:18" x14ac:dyDescent="0.25">
      <c r="A197" s="41" t="e">
        <f t="shared" si="63"/>
        <v>#REF!</v>
      </c>
      <c r="B197" s="42">
        <f t="shared" si="63"/>
        <v>187</v>
      </c>
      <c r="C197" s="41" t="s">
        <v>1222</v>
      </c>
      <c r="D197" s="43">
        <f t="shared" si="53"/>
        <v>25</v>
      </c>
      <c r="E197" s="61">
        <f t="shared" si="58"/>
        <v>3.4090000000000007</v>
      </c>
      <c r="F197" s="61">
        <f t="shared" si="47"/>
        <v>42</v>
      </c>
      <c r="G197" s="64">
        <f t="shared" si="59"/>
        <v>0.58988764044943809</v>
      </c>
      <c r="H197" s="51">
        <f t="shared" si="52"/>
        <v>9.6524494382022468</v>
      </c>
      <c r="I197" s="42" t="str">
        <f t="shared" si="64"/>
        <v>IEC</v>
      </c>
      <c r="J197" s="50">
        <f t="shared" si="64"/>
        <v>10.5</v>
      </c>
      <c r="K197" s="49">
        <f t="shared" si="64"/>
        <v>160</v>
      </c>
      <c r="L197" s="44">
        <f t="shared" si="64"/>
        <v>8</v>
      </c>
      <c r="M197" s="44">
        <f t="shared" si="64"/>
        <v>8</v>
      </c>
      <c r="N197" s="45">
        <f t="shared" si="54"/>
        <v>0.2</v>
      </c>
      <c r="O197" s="49">
        <v>60</v>
      </c>
      <c r="P197" s="54">
        <f>K197+4</f>
        <v>164</v>
      </c>
      <c r="Q197" s="44">
        <f t="shared" si="65"/>
        <v>150</v>
      </c>
      <c r="R197" s="50">
        <f t="shared" si="65"/>
        <v>210</v>
      </c>
    </row>
    <row r="198" spans="1:18" x14ac:dyDescent="0.25">
      <c r="A198" s="41" t="e">
        <f t="shared" si="63"/>
        <v>#REF!</v>
      </c>
      <c r="B198" s="42">
        <f t="shared" si="63"/>
        <v>188</v>
      </c>
      <c r="C198" s="41" t="s">
        <v>1223</v>
      </c>
      <c r="D198" s="43">
        <f t="shared" si="53"/>
        <v>25</v>
      </c>
      <c r="E198" s="61">
        <f t="shared" si="58"/>
        <v>3.4090000000000007</v>
      </c>
      <c r="F198" s="61">
        <f t="shared" si="47"/>
        <v>42</v>
      </c>
      <c r="G198" s="64">
        <f t="shared" si="59"/>
        <v>0.58988764044943809</v>
      </c>
      <c r="H198" s="51">
        <f t="shared" si="52"/>
        <v>9.6524494382022468</v>
      </c>
      <c r="I198" s="42" t="str">
        <f t="shared" si="64"/>
        <v>IEC</v>
      </c>
      <c r="J198" s="50">
        <f t="shared" si="64"/>
        <v>10.5</v>
      </c>
      <c r="K198" s="49">
        <f t="shared" si="64"/>
        <v>160</v>
      </c>
      <c r="L198" s="44">
        <f t="shared" si="64"/>
        <v>8</v>
      </c>
      <c r="M198" s="44">
        <f t="shared" si="64"/>
        <v>8</v>
      </c>
      <c r="N198" s="45">
        <f t="shared" si="54"/>
        <v>0.2</v>
      </c>
      <c r="O198" s="49">
        <v>60</v>
      </c>
      <c r="P198" s="54">
        <f>K198+5.25</f>
        <v>165.25</v>
      </c>
      <c r="Q198" s="44">
        <f t="shared" si="65"/>
        <v>150</v>
      </c>
      <c r="R198" s="50">
        <f t="shared" si="65"/>
        <v>210</v>
      </c>
    </row>
    <row r="199" spans="1:18" x14ac:dyDescent="0.25">
      <c r="A199" s="41" t="e">
        <f t="shared" si="63"/>
        <v>#REF!</v>
      </c>
      <c r="B199" s="42">
        <f t="shared" si="63"/>
        <v>189</v>
      </c>
      <c r="C199" s="41" t="s">
        <v>1224</v>
      </c>
      <c r="D199" s="43">
        <f t="shared" si="53"/>
        <v>25</v>
      </c>
      <c r="E199" s="61">
        <f t="shared" si="58"/>
        <v>3.4090000000000007</v>
      </c>
      <c r="F199" s="61">
        <f t="shared" si="47"/>
        <v>42</v>
      </c>
      <c r="G199" s="64">
        <f t="shared" si="59"/>
        <v>0.58988764044943809</v>
      </c>
      <c r="H199" s="51">
        <f t="shared" si="52"/>
        <v>9.6524494382022468</v>
      </c>
      <c r="I199" s="42" t="str">
        <f t="shared" si="64"/>
        <v>IEC</v>
      </c>
      <c r="J199" s="50">
        <f t="shared" si="64"/>
        <v>10.5</v>
      </c>
      <c r="K199" s="49">
        <f t="shared" si="64"/>
        <v>160</v>
      </c>
      <c r="L199" s="44">
        <f t="shared" si="64"/>
        <v>8</v>
      </c>
      <c r="M199" s="44">
        <f t="shared" si="64"/>
        <v>8</v>
      </c>
      <c r="N199" s="45">
        <f t="shared" si="54"/>
        <v>0.2</v>
      </c>
      <c r="O199" s="49">
        <v>90</v>
      </c>
      <c r="P199" s="54">
        <f>K199</f>
        <v>160</v>
      </c>
      <c r="Q199" s="44">
        <f t="shared" si="65"/>
        <v>150</v>
      </c>
      <c r="R199" s="50">
        <f t="shared" si="65"/>
        <v>210</v>
      </c>
    </row>
    <row r="200" spans="1:18" x14ac:dyDescent="0.25">
      <c r="A200" s="41" t="e">
        <f t="shared" si="63"/>
        <v>#REF!</v>
      </c>
      <c r="B200" s="42">
        <f t="shared" si="63"/>
        <v>190</v>
      </c>
      <c r="C200" s="41" t="s">
        <v>1225</v>
      </c>
      <c r="D200" s="43">
        <f t="shared" si="53"/>
        <v>25</v>
      </c>
      <c r="E200" s="61">
        <f t="shared" si="58"/>
        <v>3.4090000000000007</v>
      </c>
      <c r="F200" s="61">
        <f t="shared" si="47"/>
        <v>42</v>
      </c>
      <c r="G200" s="64">
        <f t="shared" si="59"/>
        <v>0.58988764044943809</v>
      </c>
      <c r="H200" s="51">
        <f t="shared" si="52"/>
        <v>9.6524494382022468</v>
      </c>
      <c r="I200" s="42" t="str">
        <f t="shared" si="64"/>
        <v>IEC</v>
      </c>
      <c r="J200" s="50">
        <f t="shared" si="64"/>
        <v>10.5</v>
      </c>
      <c r="K200" s="49">
        <f t="shared" si="64"/>
        <v>160</v>
      </c>
      <c r="L200" s="44">
        <f t="shared" si="64"/>
        <v>8</v>
      </c>
      <c r="M200" s="44">
        <f t="shared" si="64"/>
        <v>8</v>
      </c>
      <c r="N200" s="45">
        <f t="shared" si="54"/>
        <v>0.2</v>
      </c>
      <c r="O200" s="49">
        <v>90</v>
      </c>
      <c r="P200" s="54">
        <f>K200+2.46</f>
        <v>162.46</v>
      </c>
      <c r="Q200" s="44">
        <f t="shared" si="65"/>
        <v>150</v>
      </c>
      <c r="R200" s="50">
        <f t="shared" si="65"/>
        <v>210</v>
      </c>
    </row>
    <row r="201" spans="1:18" x14ac:dyDescent="0.25">
      <c r="A201" s="41" t="e">
        <f t="shared" si="63"/>
        <v>#REF!</v>
      </c>
      <c r="B201" s="42">
        <f t="shared" si="63"/>
        <v>191</v>
      </c>
      <c r="C201" s="41" t="s">
        <v>1226</v>
      </c>
      <c r="D201" s="43">
        <f t="shared" si="53"/>
        <v>25</v>
      </c>
      <c r="E201" s="61">
        <f t="shared" si="58"/>
        <v>3.4090000000000007</v>
      </c>
      <c r="F201" s="61">
        <f t="shared" si="47"/>
        <v>42</v>
      </c>
      <c r="G201" s="64">
        <f t="shared" si="59"/>
        <v>0.58988764044943809</v>
      </c>
      <c r="H201" s="51">
        <f t="shared" si="52"/>
        <v>9.6524494382022468</v>
      </c>
      <c r="I201" s="42" t="str">
        <f t="shared" si="64"/>
        <v>IEC</v>
      </c>
      <c r="J201" s="50">
        <f t="shared" si="64"/>
        <v>10.5</v>
      </c>
      <c r="K201" s="49">
        <f t="shared" si="64"/>
        <v>160</v>
      </c>
      <c r="L201" s="44">
        <f t="shared" si="64"/>
        <v>8</v>
      </c>
      <c r="M201" s="44">
        <f t="shared" si="64"/>
        <v>8</v>
      </c>
      <c r="N201" s="45">
        <f t="shared" si="54"/>
        <v>0.2</v>
      </c>
      <c r="O201" s="49">
        <v>90</v>
      </c>
      <c r="P201" s="54">
        <f>K201+4</f>
        <v>164</v>
      </c>
      <c r="Q201" s="44">
        <f t="shared" si="65"/>
        <v>150</v>
      </c>
      <c r="R201" s="50">
        <f t="shared" si="65"/>
        <v>210</v>
      </c>
    </row>
    <row r="202" spans="1:18" x14ac:dyDescent="0.25">
      <c r="A202" s="41" t="e">
        <f t="shared" si="63"/>
        <v>#REF!</v>
      </c>
      <c r="B202" s="42">
        <f t="shared" si="63"/>
        <v>192</v>
      </c>
      <c r="C202" s="41" t="s">
        <v>1227</v>
      </c>
      <c r="D202" s="43">
        <f t="shared" si="53"/>
        <v>25</v>
      </c>
      <c r="E202" s="61">
        <f t="shared" si="58"/>
        <v>3.4090000000000007</v>
      </c>
      <c r="F202" s="61">
        <f t="shared" si="47"/>
        <v>42</v>
      </c>
      <c r="G202" s="64">
        <f t="shared" si="59"/>
        <v>0.58988764044943809</v>
      </c>
      <c r="H202" s="51">
        <f t="shared" si="52"/>
        <v>9.6524494382022468</v>
      </c>
      <c r="I202" s="42" t="str">
        <f t="shared" si="64"/>
        <v>IEC</v>
      </c>
      <c r="J202" s="50">
        <f t="shared" si="64"/>
        <v>10.5</v>
      </c>
      <c r="K202" s="49">
        <f t="shared" si="64"/>
        <v>160</v>
      </c>
      <c r="L202" s="44">
        <f t="shared" si="64"/>
        <v>8</v>
      </c>
      <c r="M202" s="44">
        <f t="shared" si="64"/>
        <v>8</v>
      </c>
      <c r="N202" s="45">
        <f t="shared" si="54"/>
        <v>0.2</v>
      </c>
      <c r="O202" s="49">
        <v>90</v>
      </c>
      <c r="P202" s="54">
        <f>K202+5.25</f>
        <v>165.25</v>
      </c>
      <c r="Q202" s="44">
        <f t="shared" si="65"/>
        <v>150</v>
      </c>
      <c r="R202" s="50">
        <f t="shared" si="65"/>
        <v>210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R202"/>
  <sheetViews>
    <sheetView zoomScale="85" zoomScaleNormal="85" workbookViewId="0">
      <selection activeCell="X39" sqref="X39"/>
    </sheetView>
  </sheetViews>
  <sheetFormatPr defaultColWidth="9" defaultRowHeight="15" x14ac:dyDescent="0.15"/>
  <cols>
    <col min="1" max="1" width="6.75" style="23" customWidth="1"/>
    <col min="2" max="2" width="7.375" style="23" customWidth="1"/>
    <col min="3" max="3" width="9.25" style="23" customWidth="1"/>
    <col min="4" max="4" width="6.25" style="23" customWidth="1"/>
    <col min="5" max="5" width="7" style="23" customWidth="1"/>
    <col min="6" max="6" width="7.125" style="23" customWidth="1"/>
    <col min="7" max="7" width="8.375" style="23" customWidth="1"/>
    <col min="8" max="9" width="7.125" style="23" customWidth="1"/>
    <col min="10" max="10" width="6.75" style="23" customWidth="1"/>
    <col min="11" max="11" width="8.375" style="23" customWidth="1"/>
    <col min="12" max="12" width="7.75" style="23" customWidth="1"/>
    <col min="13" max="13" width="7.25" style="23" customWidth="1"/>
    <col min="14" max="14" width="5.875" style="23" customWidth="1"/>
    <col min="15" max="15" width="7.75" style="23" customWidth="1"/>
    <col min="16" max="16" width="7.625" style="23" customWidth="1"/>
    <col min="17" max="17" width="6.875" style="23" customWidth="1"/>
    <col min="18" max="18" width="7.875" style="23" customWidth="1"/>
    <col min="19" max="16384" width="9" style="23"/>
  </cols>
  <sheetData>
    <row r="1" spans="1:18" x14ac:dyDescent="0.15">
      <c r="H1" s="22" t="s">
        <v>135</v>
      </c>
      <c r="I1" s="22" t="s">
        <v>1229</v>
      </c>
    </row>
    <row r="2" spans="1:18" x14ac:dyDescent="0.15">
      <c r="B2" s="22" t="s">
        <v>1228</v>
      </c>
      <c r="C2" s="22"/>
      <c r="D2" s="22"/>
      <c r="E2" s="22"/>
      <c r="I2" s="22" t="s">
        <v>1035</v>
      </c>
    </row>
    <row r="3" spans="1:18" x14ac:dyDescent="0.15">
      <c r="B3" s="22" t="s">
        <v>88</v>
      </c>
      <c r="C3" s="22"/>
      <c r="D3" s="22"/>
      <c r="E3" s="93" t="s">
        <v>1033</v>
      </c>
      <c r="I3" s="22" t="s">
        <v>915</v>
      </c>
    </row>
    <row r="4" spans="1:18" x14ac:dyDescent="0.15">
      <c r="B4" s="22" t="s">
        <v>89</v>
      </c>
      <c r="C4" s="22"/>
      <c r="D4" s="22"/>
      <c r="E4" s="22" t="s">
        <v>108</v>
      </c>
      <c r="I4" s="22" t="s">
        <v>163</v>
      </c>
    </row>
    <row r="5" spans="1:18" x14ac:dyDescent="0.15">
      <c r="B5" s="22" t="s">
        <v>91</v>
      </c>
      <c r="C5" s="22"/>
      <c r="D5" s="22"/>
      <c r="E5" s="22" t="s">
        <v>99</v>
      </c>
      <c r="I5" s="22" t="s">
        <v>154</v>
      </c>
    </row>
    <row r="6" spans="1:18" x14ac:dyDescent="0.15">
      <c r="B6" s="22" t="s">
        <v>93</v>
      </c>
      <c r="C6" s="22"/>
      <c r="D6" s="22"/>
      <c r="E6" s="22" t="s">
        <v>100</v>
      </c>
      <c r="I6" s="22" t="s">
        <v>155</v>
      </c>
    </row>
    <row r="7" spans="1:18" x14ac:dyDescent="0.15">
      <c r="A7" s="46"/>
      <c r="B7" s="46"/>
      <c r="C7" s="46"/>
      <c r="D7" s="46"/>
      <c r="E7" s="46"/>
      <c r="F7" s="46"/>
      <c r="G7" s="46"/>
      <c r="I7" s="22" t="s">
        <v>156</v>
      </c>
      <c r="K7" s="46"/>
      <c r="L7" s="46"/>
      <c r="M7" s="46"/>
      <c r="N7" s="46"/>
      <c r="O7" s="46"/>
      <c r="P7" s="46"/>
      <c r="Q7" s="46"/>
      <c r="R7" s="46"/>
    </row>
    <row r="8" spans="1:18" ht="15.75" thickBot="1" x14ac:dyDescent="0.2">
      <c r="A8" s="46"/>
      <c r="B8" s="46"/>
      <c r="C8" s="46"/>
      <c r="D8" s="46"/>
      <c r="E8" s="46"/>
      <c r="F8" s="46"/>
      <c r="G8" s="46"/>
      <c r="I8" s="22" t="s">
        <v>157</v>
      </c>
      <c r="K8" s="46"/>
      <c r="L8" s="46"/>
      <c r="M8" s="46"/>
      <c r="N8" s="46"/>
      <c r="O8" s="46"/>
      <c r="P8" s="46"/>
      <c r="Q8" s="46"/>
      <c r="R8" s="46"/>
    </row>
    <row r="9" spans="1:18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62" t="s">
        <v>152</v>
      </c>
      <c r="G9" s="62" t="s">
        <v>87</v>
      </c>
      <c r="H9" s="27" t="s">
        <v>15</v>
      </c>
      <c r="I9" s="27" t="s">
        <v>8</v>
      </c>
      <c r="J9" s="47" t="s">
        <v>21</v>
      </c>
      <c r="K9" s="25" t="s">
        <v>147</v>
      </c>
      <c r="L9" s="25" t="s">
        <v>144</v>
      </c>
      <c r="M9" s="25" t="s">
        <v>2</v>
      </c>
      <c r="N9" s="25" t="s">
        <v>141</v>
      </c>
      <c r="O9" s="25" t="s">
        <v>13</v>
      </c>
      <c r="P9" s="47" t="s">
        <v>161</v>
      </c>
      <c r="Q9" s="27" t="s">
        <v>138</v>
      </c>
      <c r="R9" s="27" t="s">
        <v>139</v>
      </c>
    </row>
    <row r="10" spans="1:18" ht="15.75" thickBot="1" x14ac:dyDescent="0.3">
      <c r="A10" s="29" t="s">
        <v>76</v>
      </c>
      <c r="B10" s="30" t="str">
        <f>B2</f>
        <v>DLCT2</v>
      </c>
      <c r="C10" s="29"/>
      <c r="D10" s="30" t="s">
        <v>4</v>
      </c>
      <c r="E10" s="59" t="s">
        <v>4</v>
      </c>
      <c r="F10" s="59" t="s">
        <v>14</v>
      </c>
      <c r="G10" s="59"/>
      <c r="H10" s="30" t="s">
        <v>4</v>
      </c>
      <c r="I10" s="32"/>
      <c r="J10" s="32" t="s">
        <v>17</v>
      </c>
      <c r="K10" s="32" t="s">
        <v>7</v>
      </c>
      <c r="L10" s="30" t="s">
        <v>6</v>
      </c>
      <c r="M10" s="30" t="s">
        <v>6</v>
      </c>
      <c r="N10" s="30"/>
      <c r="O10" s="32" t="s">
        <v>7</v>
      </c>
      <c r="P10" s="32" t="s">
        <v>17</v>
      </c>
      <c r="Q10" s="32" t="s">
        <v>7</v>
      </c>
      <c r="R10" s="32" t="s">
        <v>7</v>
      </c>
    </row>
    <row r="11" spans="1:18" x14ac:dyDescent="0.25">
      <c r="A11" s="24">
        <f>'DLC41'!A37+1</f>
        <v>3605</v>
      </c>
      <c r="B11" s="27">
        <v>1</v>
      </c>
      <c r="C11" s="24" t="s">
        <v>1230</v>
      </c>
      <c r="D11" s="34">
        <f t="shared" ref="D11:D58" si="0">v_r</f>
        <v>9.8000000000000007</v>
      </c>
      <c r="E11" s="60">
        <f t="shared" ref="E11:E74" si="1">I_ref*(0.75*D11+5.6)</f>
        <v>1.8130000000000002</v>
      </c>
      <c r="F11" s="60">
        <v>42</v>
      </c>
      <c r="G11" s="63">
        <f t="shared" ref="G11:G42" si="2">1/(1+0.2*(diameter/F11))</f>
        <v>0.58988764044943809</v>
      </c>
      <c r="H11" s="51">
        <f>4.8*E11*G11</f>
        <v>5.1334382022471905</v>
      </c>
      <c r="I11" s="42" t="s">
        <v>16</v>
      </c>
      <c r="J11" s="50">
        <v>10.5</v>
      </c>
      <c r="K11" s="49">
        <f>trig_t</f>
        <v>160</v>
      </c>
      <c r="L11" s="35">
        <f>inflow</f>
        <v>8</v>
      </c>
      <c r="M11" s="35">
        <f>yaw_min</f>
        <v>-8</v>
      </c>
      <c r="N11" s="36">
        <f>alpha_n</f>
        <v>0.2</v>
      </c>
      <c r="O11" s="49">
        <v>0</v>
      </c>
      <c r="P11" s="52">
        <f>K11</f>
        <v>160</v>
      </c>
      <c r="Q11" s="35">
        <f>t_out</f>
        <v>150</v>
      </c>
      <c r="R11" s="50">
        <f>Q11+2*T_s2</f>
        <v>270</v>
      </c>
    </row>
    <row r="12" spans="1:18" x14ac:dyDescent="0.25">
      <c r="A12" s="41">
        <f>A11+1</f>
        <v>3606</v>
      </c>
      <c r="B12" s="42">
        <f>B11+1</f>
        <v>2</v>
      </c>
      <c r="C12" s="41" t="s">
        <v>1231</v>
      </c>
      <c r="D12" s="43">
        <f t="shared" si="0"/>
        <v>9.8000000000000007</v>
      </c>
      <c r="E12" s="61">
        <f t="shared" si="1"/>
        <v>1.8130000000000002</v>
      </c>
      <c r="F12" s="61">
        <f>F11</f>
        <v>42</v>
      </c>
      <c r="G12" s="64">
        <f t="shared" si="2"/>
        <v>0.58988764044943809</v>
      </c>
      <c r="H12" s="51">
        <f>4.8*E12*G12</f>
        <v>5.1334382022471905</v>
      </c>
      <c r="I12" s="42" t="str">
        <f t="shared" ref="I12:N27" si="3">I11</f>
        <v>IEC</v>
      </c>
      <c r="J12" s="50">
        <f t="shared" si="3"/>
        <v>10.5</v>
      </c>
      <c r="K12" s="49">
        <f t="shared" si="3"/>
        <v>160</v>
      </c>
      <c r="L12" s="44">
        <f t="shared" si="3"/>
        <v>8</v>
      </c>
      <c r="M12" s="44">
        <f t="shared" si="3"/>
        <v>-8</v>
      </c>
      <c r="N12" s="45">
        <f t="shared" si="3"/>
        <v>0.2</v>
      </c>
      <c r="O12" s="49">
        <v>0</v>
      </c>
      <c r="P12" s="54">
        <f>K12+2.46</f>
        <v>162.46</v>
      </c>
      <c r="Q12" s="44">
        <f>Q11</f>
        <v>150</v>
      </c>
      <c r="R12" s="50">
        <f>R11</f>
        <v>270</v>
      </c>
    </row>
    <row r="13" spans="1:18" x14ac:dyDescent="0.25">
      <c r="A13" s="41">
        <f t="shared" ref="A13:B28" si="4">A12+1</f>
        <v>3607</v>
      </c>
      <c r="B13" s="42">
        <f t="shared" si="4"/>
        <v>3</v>
      </c>
      <c r="C13" s="41" t="s">
        <v>1232</v>
      </c>
      <c r="D13" s="43">
        <f t="shared" si="0"/>
        <v>9.8000000000000007</v>
      </c>
      <c r="E13" s="61">
        <f t="shared" si="1"/>
        <v>1.8130000000000002</v>
      </c>
      <c r="F13" s="61">
        <f>F12</f>
        <v>42</v>
      </c>
      <c r="G13" s="64">
        <f t="shared" si="2"/>
        <v>0.58988764044943809</v>
      </c>
      <c r="H13" s="51">
        <f t="shared" ref="H13:H76" si="5">4.8*E13*G13</f>
        <v>5.1334382022471905</v>
      </c>
      <c r="I13" s="42" t="str">
        <f t="shared" si="3"/>
        <v>IEC</v>
      </c>
      <c r="J13" s="50">
        <f t="shared" si="3"/>
        <v>10.5</v>
      </c>
      <c r="K13" s="49">
        <f t="shared" si="3"/>
        <v>160</v>
      </c>
      <c r="L13" s="44">
        <f t="shared" si="3"/>
        <v>8</v>
      </c>
      <c r="M13" s="44">
        <f t="shared" si="3"/>
        <v>-8</v>
      </c>
      <c r="N13" s="45">
        <f t="shared" si="3"/>
        <v>0.2</v>
      </c>
      <c r="O13" s="49">
        <v>0</v>
      </c>
      <c r="P13" s="54">
        <f>K13+4</f>
        <v>164</v>
      </c>
      <c r="Q13" s="44">
        <f t="shared" ref="Q13:R28" si="6">Q12</f>
        <v>150</v>
      </c>
      <c r="R13" s="50">
        <f t="shared" si="6"/>
        <v>270</v>
      </c>
    </row>
    <row r="14" spans="1:18" x14ac:dyDescent="0.25">
      <c r="A14" s="41">
        <f t="shared" si="4"/>
        <v>3608</v>
      </c>
      <c r="B14" s="42">
        <f t="shared" si="4"/>
        <v>4</v>
      </c>
      <c r="C14" s="41" t="s">
        <v>1233</v>
      </c>
      <c r="D14" s="43">
        <f t="shared" si="0"/>
        <v>9.8000000000000007</v>
      </c>
      <c r="E14" s="61">
        <f t="shared" si="1"/>
        <v>1.8130000000000002</v>
      </c>
      <c r="F14" s="61">
        <f t="shared" ref="F14:F27" si="7">F13</f>
        <v>42</v>
      </c>
      <c r="G14" s="64">
        <f t="shared" si="2"/>
        <v>0.58988764044943809</v>
      </c>
      <c r="H14" s="51">
        <f t="shared" si="5"/>
        <v>5.1334382022471905</v>
      </c>
      <c r="I14" s="42" t="str">
        <f t="shared" si="3"/>
        <v>IEC</v>
      </c>
      <c r="J14" s="50">
        <f t="shared" si="3"/>
        <v>10.5</v>
      </c>
      <c r="K14" s="49">
        <f t="shared" si="3"/>
        <v>160</v>
      </c>
      <c r="L14" s="44">
        <f t="shared" si="3"/>
        <v>8</v>
      </c>
      <c r="M14" s="44">
        <f t="shared" si="3"/>
        <v>-8</v>
      </c>
      <c r="N14" s="45">
        <f t="shared" si="3"/>
        <v>0.2</v>
      </c>
      <c r="O14" s="49">
        <v>0</v>
      </c>
      <c r="P14" s="54">
        <f>K14+5.25</f>
        <v>165.25</v>
      </c>
      <c r="Q14" s="44">
        <f t="shared" si="6"/>
        <v>150</v>
      </c>
      <c r="R14" s="50">
        <f t="shared" si="6"/>
        <v>270</v>
      </c>
    </row>
    <row r="15" spans="1:18" x14ac:dyDescent="0.25">
      <c r="A15" s="41">
        <f t="shared" si="4"/>
        <v>3609</v>
      </c>
      <c r="B15" s="42">
        <f t="shared" si="4"/>
        <v>5</v>
      </c>
      <c r="C15" s="41" t="s">
        <v>1234</v>
      </c>
      <c r="D15" s="43">
        <f t="shared" si="0"/>
        <v>9.8000000000000007</v>
      </c>
      <c r="E15" s="61">
        <f t="shared" si="1"/>
        <v>1.8130000000000002</v>
      </c>
      <c r="F15" s="61">
        <f t="shared" si="7"/>
        <v>42</v>
      </c>
      <c r="G15" s="64">
        <f t="shared" si="2"/>
        <v>0.58988764044943809</v>
      </c>
      <c r="H15" s="51">
        <f t="shared" si="5"/>
        <v>5.1334382022471905</v>
      </c>
      <c r="I15" s="42" t="str">
        <f t="shared" si="3"/>
        <v>IEC</v>
      </c>
      <c r="J15" s="50">
        <f t="shared" si="3"/>
        <v>10.5</v>
      </c>
      <c r="K15" s="49">
        <f t="shared" si="3"/>
        <v>160</v>
      </c>
      <c r="L15" s="44">
        <f t="shared" si="3"/>
        <v>8</v>
      </c>
      <c r="M15" s="44">
        <f t="shared" si="3"/>
        <v>-8</v>
      </c>
      <c r="N15" s="45">
        <f t="shared" si="3"/>
        <v>0.2</v>
      </c>
      <c r="O15" s="49">
        <v>30</v>
      </c>
      <c r="P15" s="54">
        <f>K15</f>
        <v>160</v>
      </c>
      <c r="Q15" s="44">
        <f t="shared" si="6"/>
        <v>150</v>
      </c>
      <c r="R15" s="50">
        <f t="shared" si="6"/>
        <v>270</v>
      </c>
    </row>
    <row r="16" spans="1:18" x14ac:dyDescent="0.25">
      <c r="A16" s="41">
        <f t="shared" si="4"/>
        <v>3610</v>
      </c>
      <c r="B16" s="42">
        <f t="shared" si="4"/>
        <v>6</v>
      </c>
      <c r="C16" s="41" t="s">
        <v>1235</v>
      </c>
      <c r="D16" s="43">
        <f t="shared" si="0"/>
        <v>9.8000000000000007</v>
      </c>
      <c r="E16" s="61">
        <f t="shared" si="1"/>
        <v>1.8130000000000002</v>
      </c>
      <c r="F16" s="61">
        <f t="shared" si="7"/>
        <v>42</v>
      </c>
      <c r="G16" s="64">
        <f t="shared" si="2"/>
        <v>0.58988764044943809</v>
      </c>
      <c r="H16" s="51">
        <f t="shared" si="5"/>
        <v>5.1334382022471905</v>
      </c>
      <c r="I16" s="42" t="str">
        <f t="shared" si="3"/>
        <v>IEC</v>
      </c>
      <c r="J16" s="50">
        <f t="shared" si="3"/>
        <v>10.5</v>
      </c>
      <c r="K16" s="49">
        <f t="shared" si="3"/>
        <v>160</v>
      </c>
      <c r="L16" s="44">
        <f t="shared" si="3"/>
        <v>8</v>
      </c>
      <c r="M16" s="44">
        <f t="shared" si="3"/>
        <v>-8</v>
      </c>
      <c r="N16" s="45">
        <f t="shared" si="3"/>
        <v>0.2</v>
      </c>
      <c r="O16" s="49">
        <v>30</v>
      </c>
      <c r="P16" s="54">
        <f>K16+2.46</f>
        <v>162.46</v>
      </c>
      <c r="Q16" s="44">
        <f t="shared" si="6"/>
        <v>150</v>
      </c>
      <c r="R16" s="50">
        <f t="shared" si="6"/>
        <v>270</v>
      </c>
    </row>
    <row r="17" spans="1:18" x14ac:dyDescent="0.25">
      <c r="A17" s="41">
        <f t="shared" si="4"/>
        <v>3611</v>
      </c>
      <c r="B17" s="42">
        <f t="shared" si="4"/>
        <v>7</v>
      </c>
      <c r="C17" s="41" t="s">
        <v>1236</v>
      </c>
      <c r="D17" s="43">
        <f t="shared" si="0"/>
        <v>9.8000000000000007</v>
      </c>
      <c r="E17" s="61">
        <f t="shared" si="1"/>
        <v>1.8130000000000002</v>
      </c>
      <c r="F17" s="61">
        <f t="shared" si="7"/>
        <v>42</v>
      </c>
      <c r="G17" s="64">
        <f t="shared" si="2"/>
        <v>0.58988764044943809</v>
      </c>
      <c r="H17" s="51">
        <f t="shared" si="5"/>
        <v>5.1334382022471905</v>
      </c>
      <c r="I17" s="42" t="str">
        <f t="shared" si="3"/>
        <v>IEC</v>
      </c>
      <c r="J17" s="50">
        <f t="shared" si="3"/>
        <v>10.5</v>
      </c>
      <c r="K17" s="49">
        <f t="shared" si="3"/>
        <v>160</v>
      </c>
      <c r="L17" s="44">
        <f t="shared" si="3"/>
        <v>8</v>
      </c>
      <c r="M17" s="44">
        <f t="shared" si="3"/>
        <v>-8</v>
      </c>
      <c r="N17" s="45">
        <f t="shared" si="3"/>
        <v>0.2</v>
      </c>
      <c r="O17" s="49">
        <v>30</v>
      </c>
      <c r="P17" s="54">
        <f>K17+4</f>
        <v>164</v>
      </c>
      <c r="Q17" s="44">
        <f t="shared" si="6"/>
        <v>150</v>
      </c>
      <c r="R17" s="50">
        <f t="shared" si="6"/>
        <v>270</v>
      </c>
    </row>
    <row r="18" spans="1:18" x14ac:dyDescent="0.25">
      <c r="A18" s="41">
        <f t="shared" si="4"/>
        <v>3612</v>
      </c>
      <c r="B18" s="42">
        <f t="shared" si="4"/>
        <v>8</v>
      </c>
      <c r="C18" s="41" t="s">
        <v>1237</v>
      </c>
      <c r="D18" s="43">
        <f t="shared" si="0"/>
        <v>9.8000000000000007</v>
      </c>
      <c r="E18" s="61">
        <f t="shared" si="1"/>
        <v>1.8130000000000002</v>
      </c>
      <c r="F18" s="61">
        <f t="shared" si="7"/>
        <v>42</v>
      </c>
      <c r="G18" s="64">
        <f t="shared" si="2"/>
        <v>0.58988764044943809</v>
      </c>
      <c r="H18" s="51">
        <f t="shared" si="5"/>
        <v>5.1334382022471905</v>
      </c>
      <c r="I18" s="42" t="str">
        <f t="shared" si="3"/>
        <v>IEC</v>
      </c>
      <c r="J18" s="50">
        <f t="shared" si="3"/>
        <v>10.5</v>
      </c>
      <c r="K18" s="49">
        <f t="shared" si="3"/>
        <v>160</v>
      </c>
      <c r="L18" s="44">
        <f t="shared" si="3"/>
        <v>8</v>
      </c>
      <c r="M18" s="44">
        <f t="shared" si="3"/>
        <v>-8</v>
      </c>
      <c r="N18" s="45">
        <f t="shared" si="3"/>
        <v>0.2</v>
      </c>
      <c r="O18" s="49">
        <v>30</v>
      </c>
      <c r="P18" s="54">
        <f>K18+5.25</f>
        <v>165.25</v>
      </c>
      <c r="Q18" s="44">
        <f t="shared" si="6"/>
        <v>150</v>
      </c>
      <c r="R18" s="50">
        <f t="shared" si="6"/>
        <v>270</v>
      </c>
    </row>
    <row r="19" spans="1:18" x14ac:dyDescent="0.25">
      <c r="A19" s="41">
        <f t="shared" si="4"/>
        <v>3613</v>
      </c>
      <c r="B19" s="42">
        <f t="shared" si="4"/>
        <v>9</v>
      </c>
      <c r="C19" s="41" t="s">
        <v>1238</v>
      </c>
      <c r="D19" s="43">
        <f t="shared" si="0"/>
        <v>9.8000000000000007</v>
      </c>
      <c r="E19" s="61">
        <f t="shared" si="1"/>
        <v>1.8130000000000002</v>
      </c>
      <c r="F19" s="61">
        <f t="shared" si="7"/>
        <v>42</v>
      </c>
      <c r="G19" s="64">
        <f t="shared" si="2"/>
        <v>0.58988764044943809</v>
      </c>
      <c r="H19" s="51">
        <f t="shared" si="5"/>
        <v>5.1334382022471905</v>
      </c>
      <c r="I19" s="42" t="str">
        <f t="shared" si="3"/>
        <v>IEC</v>
      </c>
      <c r="J19" s="50">
        <f t="shared" si="3"/>
        <v>10.5</v>
      </c>
      <c r="K19" s="49">
        <f t="shared" si="3"/>
        <v>160</v>
      </c>
      <c r="L19" s="44">
        <f t="shared" si="3"/>
        <v>8</v>
      </c>
      <c r="M19" s="44">
        <f t="shared" si="3"/>
        <v>-8</v>
      </c>
      <c r="N19" s="45">
        <f t="shared" si="3"/>
        <v>0.2</v>
      </c>
      <c r="O19" s="49">
        <v>60</v>
      </c>
      <c r="P19" s="54">
        <f>K19</f>
        <v>160</v>
      </c>
      <c r="Q19" s="44">
        <f t="shared" si="6"/>
        <v>150</v>
      </c>
      <c r="R19" s="50">
        <f t="shared" si="6"/>
        <v>270</v>
      </c>
    </row>
    <row r="20" spans="1:18" x14ac:dyDescent="0.25">
      <c r="A20" s="41">
        <f t="shared" si="4"/>
        <v>3614</v>
      </c>
      <c r="B20" s="42">
        <f t="shared" si="4"/>
        <v>10</v>
      </c>
      <c r="C20" s="41" t="s">
        <v>1239</v>
      </c>
      <c r="D20" s="43">
        <f t="shared" si="0"/>
        <v>9.8000000000000007</v>
      </c>
      <c r="E20" s="61">
        <f t="shared" si="1"/>
        <v>1.8130000000000002</v>
      </c>
      <c r="F20" s="61">
        <f t="shared" si="7"/>
        <v>42</v>
      </c>
      <c r="G20" s="64">
        <f t="shared" si="2"/>
        <v>0.58988764044943809</v>
      </c>
      <c r="H20" s="51">
        <f t="shared" si="5"/>
        <v>5.1334382022471905</v>
      </c>
      <c r="I20" s="42" t="str">
        <f t="shared" si="3"/>
        <v>IEC</v>
      </c>
      <c r="J20" s="50">
        <f t="shared" si="3"/>
        <v>10.5</v>
      </c>
      <c r="K20" s="49">
        <f t="shared" si="3"/>
        <v>160</v>
      </c>
      <c r="L20" s="44">
        <f t="shared" si="3"/>
        <v>8</v>
      </c>
      <c r="M20" s="44">
        <f t="shared" si="3"/>
        <v>-8</v>
      </c>
      <c r="N20" s="45">
        <f t="shared" si="3"/>
        <v>0.2</v>
      </c>
      <c r="O20" s="49">
        <v>60</v>
      </c>
      <c r="P20" s="54">
        <f>K20+2.46</f>
        <v>162.46</v>
      </c>
      <c r="Q20" s="44">
        <f t="shared" si="6"/>
        <v>150</v>
      </c>
      <c r="R20" s="50">
        <f t="shared" si="6"/>
        <v>270</v>
      </c>
    </row>
    <row r="21" spans="1:18" x14ac:dyDescent="0.25">
      <c r="A21" s="41">
        <f t="shared" si="4"/>
        <v>3615</v>
      </c>
      <c r="B21" s="42">
        <f t="shared" si="4"/>
        <v>11</v>
      </c>
      <c r="C21" s="41" t="s">
        <v>1240</v>
      </c>
      <c r="D21" s="43">
        <f t="shared" si="0"/>
        <v>9.8000000000000007</v>
      </c>
      <c r="E21" s="61">
        <f t="shared" si="1"/>
        <v>1.8130000000000002</v>
      </c>
      <c r="F21" s="61">
        <f t="shared" si="7"/>
        <v>42</v>
      </c>
      <c r="G21" s="64">
        <f t="shared" si="2"/>
        <v>0.58988764044943809</v>
      </c>
      <c r="H21" s="51">
        <f t="shared" si="5"/>
        <v>5.1334382022471905</v>
      </c>
      <c r="I21" s="42" t="str">
        <f t="shared" si="3"/>
        <v>IEC</v>
      </c>
      <c r="J21" s="50">
        <f t="shared" si="3"/>
        <v>10.5</v>
      </c>
      <c r="K21" s="49">
        <f t="shared" si="3"/>
        <v>160</v>
      </c>
      <c r="L21" s="44">
        <f t="shared" si="3"/>
        <v>8</v>
      </c>
      <c r="M21" s="44">
        <f t="shared" si="3"/>
        <v>-8</v>
      </c>
      <c r="N21" s="45">
        <f t="shared" si="3"/>
        <v>0.2</v>
      </c>
      <c r="O21" s="49">
        <v>60</v>
      </c>
      <c r="P21" s="54">
        <f>K21+4</f>
        <v>164</v>
      </c>
      <c r="Q21" s="44">
        <f t="shared" si="6"/>
        <v>150</v>
      </c>
      <c r="R21" s="50">
        <f t="shared" si="6"/>
        <v>270</v>
      </c>
    </row>
    <row r="22" spans="1:18" x14ac:dyDescent="0.25">
      <c r="A22" s="41">
        <f t="shared" si="4"/>
        <v>3616</v>
      </c>
      <c r="B22" s="42">
        <f t="shared" si="4"/>
        <v>12</v>
      </c>
      <c r="C22" s="41" t="s">
        <v>1241</v>
      </c>
      <c r="D22" s="43">
        <f t="shared" si="0"/>
        <v>9.8000000000000007</v>
      </c>
      <c r="E22" s="61">
        <f t="shared" si="1"/>
        <v>1.8130000000000002</v>
      </c>
      <c r="F22" s="61">
        <f t="shared" si="7"/>
        <v>42</v>
      </c>
      <c r="G22" s="64">
        <f t="shared" si="2"/>
        <v>0.58988764044943809</v>
      </c>
      <c r="H22" s="51">
        <f t="shared" si="5"/>
        <v>5.1334382022471905</v>
      </c>
      <c r="I22" s="42" t="str">
        <f t="shared" si="3"/>
        <v>IEC</v>
      </c>
      <c r="J22" s="50">
        <f t="shared" si="3"/>
        <v>10.5</v>
      </c>
      <c r="K22" s="49">
        <f t="shared" si="3"/>
        <v>160</v>
      </c>
      <c r="L22" s="44">
        <f t="shared" si="3"/>
        <v>8</v>
      </c>
      <c r="M22" s="44">
        <f t="shared" si="3"/>
        <v>-8</v>
      </c>
      <c r="N22" s="45">
        <f t="shared" si="3"/>
        <v>0.2</v>
      </c>
      <c r="O22" s="49">
        <v>60</v>
      </c>
      <c r="P22" s="54">
        <f>K22+5.25</f>
        <v>165.25</v>
      </c>
      <c r="Q22" s="44">
        <f t="shared" si="6"/>
        <v>150</v>
      </c>
      <c r="R22" s="50">
        <f t="shared" si="6"/>
        <v>270</v>
      </c>
    </row>
    <row r="23" spans="1:18" x14ac:dyDescent="0.25">
      <c r="A23" s="41">
        <f t="shared" si="4"/>
        <v>3617</v>
      </c>
      <c r="B23" s="42">
        <f t="shared" si="4"/>
        <v>13</v>
      </c>
      <c r="C23" s="41" t="s">
        <v>1242</v>
      </c>
      <c r="D23" s="43">
        <f t="shared" si="0"/>
        <v>9.8000000000000007</v>
      </c>
      <c r="E23" s="61">
        <f t="shared" si="1"/>
        <v>1.8130000000000002</v>
      </c>
      <c r="F23" s="61">
        <f t="shared" si="7"/>
        <v>42</v>
      </c>
      <c r="G23" s="64">
        <f t="shared" si="2"/>
        <v>0.58988764044943809</v>
      </c>
      <c r="H23" s="51">
        <f t="shared" si="5"/>
        <v>5.1334382022471905</v>
      </c>
      <c r="I23" s="42" t="str">
        <f t="shared" si="3"/>
        <v>IEC</v>
      </c>
      <c r="J23" s="50">
        <f t="shared" si="3"/>
        <v>10.5</v>
      </c>
      <c r="K23" s="49">
        <f t="shared" si="3"/>
        <v>160</v>
      </c>
      <c r="L23" s="44">
        <f t="shared" si="3"/>
        <v>8</v>
      </c>
      <c r="M23" s="44">
        <f t="shared" si="3"/>
        <v>-8</v>
      </c>
      <c r="N23" s="45">
        <f t="shared" si="3"/>
        <v>0.2</v>
      </c>
      <c r="O23" s="49">
        <v>90</v>
      </c>
      <c r="P23" s="54">
        <f>K23</f>
        <v>160</v>
      </c>
      <c r="Q23" s="44">
        <f t="shared" si="6"/>
        <v>150</v>
      </c>
      <c r="R23" s="50">
        <f t="shared" si="6"/>
        <v>270</v>
      </c>
    </row>
    <row r="24" spans="1:18" x14ac:dyDescent="0.25">
      <c r="A24" s="41">
        <f t="shared" si="4"/>
        <v>3618</v>
      </c>
      <c r="B24" s="42">
        <f t="shared" si="4"/>
        <v>14</v>
      </c>
      <c r="C24" s="41" t="s">
        <v>1243</v>
      </c>
      <c r="D24" s="43">
        <f t="shared" si="0"/>
        <v>9.8000000000000007</v>
      </c>
      <c r="E24" s="61">
        <f t="shared" si="1"/>
        <v>1.8130000000000002</v>
      </c>
      <c r="F24" s="61">
        <f t="shared" si="7"/>
        <v>42</v>
      </c>
      <c r="G24" s="64">
        <f t="shared" si="2"/>
        <v>0.58988764044943809</v>
      </c>
      <c r="H24" s="51">
        <f t="shared" si="5"/>
        <v>5.1334382022471905</v>
      </c>
      <c r="I24" s="42" t="str">
        <f t="shared" si="3"/>
        <v>IEC</v>
      </c>
      <c r="J24" s="50">
        <f t="shared" si="3"/>
        <v>10.5</v>
      </c>
      <c r="K24" s="49">
        <f t="shared" si="3"/>
        <v>160</v>
      </c>
      <c r="L24" s="44">
        <f t="shared" si="3"/>
        <v>8</v>
      </c>
      <c r="M24" s="44">
        <f t="shared" si="3"/>
        <v>-8</v>
      </c>
      <c r="N24" s="45">
        <f t="shared" si="3"/>
        <v>0.2</v>
      </c>
      <c r="O24" s="49">
        <v>90</v>
      </c>
      <c r="P24" s="54">
        <f>K24+2.46</f>
        <v>162.46</v>
      </c>
      <c r="Q24" s="44">
        <f t="shared" si="6"/>
        <v>150</v>
      </c>
      <c r="R24" s="50">
        <f t="shared" si="6"/>
        <v>270</v>
      </c>
    </row>
    <row r="25" spans="1:18" x14ac:dyDescent="0.25">
      <c r="A25" s="41">
        <f t="shared" si="4"/>
        <v>3619</v>
      </c>
      <c r="B25" s="42">
        <f t="shared" si="4"/>
        <v>15</v>
      </c>
      <c r="C25" s="41" t="s">
        <v>1244</v>
      </c>
      <c r="D25" s="43">
        <f t="shared" si="0"/>
        <v>9.8000000000000007</v>
      </c>
      <c r="E25" s="61">
        <f t="shared" si="1"/>
        <v>1.8130000000000002</v>
      </c>
      <c r="F25" s="61">
        <f t="shared" si="7"/>
        <v>42</v>
      </c>
      <c r="G25" s="64">
        <f t="shared" si="2"/>
        <v>0.58988764044943809</v>
      </c>
      <c r="H25" s="51">
        <f t="shared" si="5"/>
        <v>5.1334382022471905</v>
      </c>
      <c r="I25" s="42" t="str">
        <f t="shared" si="3"/>
        <v>IEC</v>
      </c>
      <c r="J25" s="50">
        <f t="shared" si="3"/>
        <v>10.5</v>
      </c>
      <c r="K25" s="49">
        <f t="shared" si="3"/>
        <v>160</v>
      </c>
      <c r="L25" s="44">
        <f t="shared" si="3"/>
        <v>8</v>
      </c>
      <c r="M25" s="44">
        <f t="shared" si="3"/>
        <v>-8</v>
      </c>
      <c r="N25" s="45">
        <f t="shared" si="3"/>
        <v>0.2</v>
      </c>
      <c r="O25" s="49">
        <v>90</v>
      </c>
      <c r="P25" s="54">
        <f>K25+4</f>
        <v>164</v>
      </c>
      <c r="Q25" s="44">
        <f t="shared" si="6"/>
        <v>150</v>
      </c>
      <c r="R25" s="50">
        <f t="shared" si="6"/>
        <v>270</v>
      </c>
    </row>
    <row r="26" spans="1:18" x14ac:dyDescent="0.25">
      <c r="A26" s="41">
        <f t="shared" si="4"/>
        <v>3620</v>
      </c>
      <c r="B26" s="42">
        <f t="shared" si="4"/>
        <v>16</v>
      </c>
      <c r="C26" s="41" t="s">
        <v>1245</v>
      </c>
      <c r="D26" s="43">
        <f t="shared" si="0"/>
        <v>9.8000000000000007</v>
      </c>
      <c r="E26" s="61">
        <f t="shared" si="1"/>
        <v>1.8130000000000002</v>
      </c>
      <c r="F26" s="61">
        <f t="shared" si="7"/>
        <v>42</v>
      </c>
      <c r="G26" s="64">
        <f t="shared" si="2"/>
        <v>0.58988764044943809</v>
      </c>
      <c r="H26" s="51">
        <f t="shared" si="5"/>
        <v>5.1334382022471905</v>
      </c>
      <c r="I26" s="42" t="str">
        <f t="shared" si="3"/>
        <v>IEC</v>
      </c>
      <c r="J26" s="50">
        <f t="shared" si="3"/>
        <v>10.5</v>
      </c>
      <c r="K26" s="49">
        <f t="shared" si="3"/>
        <v>160</v>
      </c>
      <c r="L26" s="44">
        <f t="shared" si="3"/>
        <v>8</v>
      </c>
      <c r="M26" s="44">
        <f t="shared" si="3"/>
        <v>-8</v>
      </c>
      <c r="N26" s="45">
        <f t="shared" si="3"/>
        <v>0.2</v>
      </c>
      <c r="O26" s="49">
        <v>90</v>
      </c>
      <c r="P26" s="54">
        <f>K26+5.25</f>
        <v>165.25</v>
      </c>
      <c r="Q26" s="44">
        <f t="shared" si="6"/>
        <v>150</v>
      </c>
      <c r="R26" s="50">
        <f t="shared" si="6"/>
        <v>270</v>
      </c>
    </row>
    <row r="27" spans="1:18" x14ac:dyDescent="0.25">
      <c r="A27" s="41">
        <f t="shared" si="4"/>
        <v>3621</v>
      </c>
      <c r="B27" s="42">
        <f t="shared" si="4"/>
        <v>17</v>
      </c>
      <c r="C27" s="41" t="s">
        <v>1246</v>
      </c>
      <c r="D27" s="43">
        <f t="shared" si="0"/>
        <v>9.8000000000000007</v>
      </c>
      <c r="E27" s="61">
        <f t="shared" si="1"/>
        <v>1.8130000000000002</v>
      </c>
      <c r="F27" s="61">
        <f t="shared" si="7"/>
        <v>42</v>
      </c>
      <c r="G27" s="64">
        <f t="shared" si="2"/>
        <v>0.58988764044943809</v>
      </c>
      <c r="H27" s="51">
        <f t="shared" si="5"/>
        <v>5.1334382022471905</v>
      </c>
      <c r="I27" s="42" t="str">
        <f t="shared" si="3"/>
        <v>IEC</v>
      </c>
      <c r="J27" s="50">
        <f t="shared" si="3"/>
        <v>10.5</v>
      </c>
      <c r="K27" s="49">
        <f t="shared" si="3"/>
        <v>160</v>
      </c>
      <c r="L27" s="44">
        <f t="shared" si="3"/>
        <v>8</v>
      </c>
      <c r="M27" s="44">
        <f>yaw_null</f>
        <v>0</v>
      </c>
      <c r="N27" s="45">
        <f t="shared" si="3"/>
        <v>0.2</v>
      </c>
      <c r="O27" s="49">
        <v>0</v>
      </c>
      <c r="P27" s="54">
        <f>K27</f>
        <v>160</v>
      </c>
      <c r="Q27" s="44">
        <f t="shared" si="6"/>
        <v>150</v>
      </c>
      <c r="R27" s="50">
        <f t="shared" si="6"/>
        <v>270</v>
      </c>
    </row>
    <row r="28" spans="1:18" x14ac:dyDescent="0.25">
      <c r="A28" s="41">
        <f t="shared" si="4"/>
        <v>3622</v>
      </c>
      <c r="B28" s="42">
        <f>B27+1</f>
        <v>18</v>
      </c>
      <c r="C28" s="41" t="s">
        <v>1247</v>
      </c>
      <c r="D28" s="43">
        <f t="shared" si="0"/>
        <v>9.8000000000000007</v>
      </c>
      <c r="E28" s="61">
        <f t="shared" si="1"/>
        <v>1.8130000000000002</v>
      </c>
      <c r="F28" s="61">
        <f>F27</f>
        <v>42</v>
      </c>
      <c r="G28" s="64">
        <f t="shared" si="2"/>
        <v>0.58988764044943809</v>
      </c>
      <c r="H28" s="51">
        <f t="shared" si="5"/>
        <v>5.1334382022471905</v>
      </c>
      <c r="I28" s="42" t="str">
        <f>I27</f>
        <v>IEC</v>
      </c>
      <c r="J28" s="50">
        <f t="shared" ref="J28:M43" si="8">J27</f>
        <v>10.5</v>
      </c>
      <c r="K28" s="49">
        <f>K27</f>
        <v>160</v>
      </c>
      <c r="L28" s="44">
        <f>L27</f>
        <v>8</v>
      </c>
      <c r="M28" s="44">
        <f>M27</f>
        <v>0</v>
      </c>
      <c r="N28" s="45">
        <f t="shared" ref="N28:N91" si="9">N27</f>
        <v>0.2</v>
      </c>
      <c r="O28" s="49">
        <v>0</v>
      </c>
      <c r="P28" s="54">
        <f>K28+2.46</f>
        <v>162.46</v>
      </c>
      <c r="Q28" s="44">
        <f t="shared" si="6"/>
        <v>150</v>
      </c>
      <c r="R28" s="50">
        <f>R27</f>
        <v>270</v>
      </c>
    </row>
    <row r="29" spans="1:18" x14ac:dyDescent="0.25">
      <c r="A29" s="41">
        <f t="shared" ref="A29:B44" si="10">A28+1</f>
        <v>3623</v>
      </c>
      <c r="B29" s="42">
        <f t="shared" si="10"/>
        <v>19</v>
      </c>
      <c r="C29" s="41" t="s">
        <v>1248</v>
      </c>
      <c r="D29" s="43">
        <f t="shared" si="0"/>
        <v>9.8000000000000007</v>
      </c>
      <c r="E29" s="61">
        <f t="shared" si="1"/>
        <v>1.8130000000000002</v>
      </c>
      <c r="F29" s="61">
        <f>F28</f>
        <v>42</v>
      </c>
      <c r="G29" s="64">
        <f t="shared" si="2"/>
        <v>0.58988764044943809</v>
      </c>
      <c r="H29" s="51">
        <f t="shared" si="5"/>
        <v>5.1334382022471905</v>
      </c>
      <c r="I29" s="42" t="str">
        <f t="shared" ref="I29:I43" si="11">I28</f>
        <v>IEC</v>
      </c>
      <c r="J29" s="50">
        <f t="shared" si="8"/>
        <v>10.5</v>
      </c>
      <c r="K29" s="49">
        <f t="shared" si="8"/>
        <v>160</v>
      </c>
      <c r="L29" s="44">
        <f t="shared" si="8"/>
        <v>8</v>
      </c>
      <c r="M29" s="44">
        <f t="shared" si="8"/>
        <v>0</v>
      </c>
      <c r="N29" s="45">
        <f t="shared" si="9"/>
        <v>0.2</v>
      </c>
      <c r="O29" s="49">
        <v>0</v>
      </c>
      <c r="P29" s="54">
        <f>K29+4</f>
        <v>164</v>
      </c>
      <c r="Q29" s="44">
        <f t="shared" ref="Q29:R44" si="12">Q28</f>
        <v>150</v>
      </c>
      <c r="R29" s="50">
        <f t="shared" si="12"/>
        <v>270</v>
      </c>
    </row>
    <row r="30" spans="1:18" x14ac:dyDescent="0.25">
      <c r="A30" s="41">
        <f t="shared" si="10"/>
        <v>3624</v>
      </c>
      <c r="B30" s="42">
        <f t="shared" si="10"/>
        <v>20</v>
      </c>
      <c r="C30" s="41" t="s">
        <v>1249</v>
      </c>
      <c r="D30" s="43">
        <f t="shared" si="0"/>
        <v>9.8000000000000007</v>
      </c>
      <c r="E30" s="61">
        <f t="shared" si="1"/>
        <v>1.8130000000000002</v>
      </c>
      <c r="F30" s="61">
        <f t="shared" ref="F30:F43" si="13">F29</f>
        <v>42</v>
      </c>
      <c r="G30" s="64">
        <f t="shared" si="2"/>
        <v>0.58988764044943809</v>
      </c>
      <c r="H30" s="51">
        <f t="shared" si="5"/>
        <v>5.1334382022471905</v>
      </c>
      <c r="I30" s="42" t="str">
        <f t="shared" si="11"/>
        <v>IEC</v>
      </c>
      <c r="J30" s="50">
        <f t="shared" si="8"/>
        <v>10.5</v>
      </c>
      <c r="K30" s="49">
        <f t="shared" si="8"/>
        <v>160</v>
      </c>
      <c r="L30" s="44">
        <f t="shared" si="8"/>
        <v>8</v>
      </c>
      <c r="M30" s="44">
        <f t="shared" si="8"/>
        <v>0</v>
      </c>
      <c r="N30" s="45">
        <f t="shared" si="9"/>
        <v>0.2</v>
      </c>
      <c r="O30" s="49">
        <v>0</v>
      </c>
      <c r="P30" s="54">
        <f>K30+5.25</f>
        <v>165.25</v>
      </c>
      <c r="Q30" s="44">
        <f t="shared" si="12"/>
        <v>150</v>
      </c>
      <c r="R30" s="50">
        <f t="shared" si="12"/>
        <v>270</v>
      </c>
    </row>
    <row r="31" spans="1:18" x14ac:dyDescent="0.25">
      <c r="A31" s="41">
        <f t="shared" si="10"/>
        <v>3625</v>
      </c>
      <c r="B31" s="42">
        <f t="shared" si="10"/>
        <v>21</v>
      </c>
      <c r="C31" s="41" t="s">
        <v>1250</v>
      </c>
      <c r="D31" s="43">
        <f t="shared" si="0"/>
        <v>9.8000000000000007</v>
      </c>
      <c r="E31" s="61">
        <f t="shared" si="1"/>
        <v>1.8130000000000002</v>
      </c>
      <c r="F31" s="61">
        <f t="shared" si="13"/>
        <v>42</v>
      </c>
      <c r="G31" s="64">
        <f t="shared" si="2"/>
        <v>0.58988764044943809</v>
      </c>
      <c r="H31" s="51">
        <f t="shared" si="5"/>
        <v>5.1334382022471905</v>
      </c>
      <c r="I31" s="42" t="str">
        <f t="shared" si="11"/>
        <v>IEC</v>
      </c>
      <c r="J31" s="50">
        <f t="shared" si="8"/>
        <v>10.5</v>
      </c>
      <c r="K31" s="49">
        <f t="shared" si="8"/>
        <v>160</v>
      </c>
      <c r="L31" s="44">
        <f t="shared" si="8"/>
        <v>8</v>
      </c>
      <c r="M31" s="44">
        <f t="shared" si="8"/>
        <v>0</v>
      </c>
      <c r="N31" s="45">
        <f t="shared" si="9"/>
        <v>0.2</v>
      </c>
      <c r="O31" s="49">
        <v>30</v>
      </c>
      <c r="P31" s="54">
        <f>K31</f>
        <v>160</v>
      </c>
      <c r="Q31" s="44">
        <f t="shared" si="12"/>
        <v>150</v>
      </c>
      <c r="R31" s="50">
        <f t="shared" si="12"/>
        <v>270</v>
      </c>
    </row>
    <row r="32" spans="1:18" x14ac:dyDescent="0.25">
      <c r="A32" s="41">
        <f t="shared" si="10"/>
        <v>3626</v>
      </c>
      <c r="B32" s="42">
        <f t="shared" si="10"/>
        <v>22</v>
      </c>
      <c r="C32" s="41" t="s">
        <v>1251</v>
      </c>
      <c r="D32" s="43">
        <f t="shared" si="0"/>
        <v>9.8000000000000007</v>
      </c>
      <c r="E32" s="61">
        <f t="shared" si="1"/>
        <v>1.8130000000000002</v>
      </c>
      <c r="F32" s="61">
        <f t="shared" si="13"/>
        <v>42</v>
      </c>
      <c r="G32" s="64">
        <f t="shared" si="2"/>
        <v>0.58988764044943809</v>
      </c>
      <c r="H32" s="51">
        <f t="shared" si="5"/>
        <v>5.1334382022471905</v>
      </c>
      <c r="I32" s="42" t="str">
        <f t="shared" si="11"/>
        <v>IEC</v>
      </c>
      <c r="J32" s="50">
        <f t="shared" si="8"/>
        <v>10.5</v>
      </c>
      <c r="K32" s="49">
        <f t="shared" si="8"/>
        <v>160</v>
      </c>
      <c r="L32" s="44">
        <f t="shared" si="8"/>
        <v>8</v>
      </c>
      <c r="M32" s="44">
        <f t="shared" si="8"/>
        <v>0</v>
      </c>
      <c r="N32" s="45">
        <f t="shared" si="9"/>
        <v>0.2</v>
      </c>
      <c r="O32" s="49">
        <v>30</v>
      </c>
      <c r="P32" s="54">
        <f>K32+2.46</f>
        <v>162.46</v>
      </c>
      <c r="Q32" s="44">
        <f t="shared" si="12"/>
        <v>150</v>
      </c>
      <c r="R32" s="50">
        <f t="shared" si="12"/>
        <v>270</v>
      </c>
    </row>
    <row r="33" spans="1:18" x14ac:dyDescent="0.25">
      <c r="A33" s="41">
        <f t="shared" si="10"/>
        <v>3627</v>
      </c>
      <c r="B33" s="42">
        <f t="shared" si="10"/>
        <v>23</v>
      </c>
      <c r="C33" s="41" t="s">
        <v>1252</v>
      </c>
      <c r="D33" s="43">
        <f t="shared" si="0"/>
        <v>9.8000000000000007</v>
      </c>
      <c r="E33" s="61">
        <f t="shared" si="1"/>
        <v>1.8130000000000002</v>
      </c>
      <c r="F33" s="61">
        <f t="shared" si="13"/>
        <v>42</v>
      </c>
      <c r="G33" s="64">
        <f t="shared" si="2"/>
        <v>0.58988764044943809</v>
      </c>
      <c r="H33" s="51">
        <f t="shared" si="5"/>
        <v>5.1334382022471905</v>
      </c>
      <c r="I33" s="42" t="str">
        <f t="shared" si="11"/>
        <v>IEC</v>
      </c>
      <c r="J33" s="50">
        <f t="shared" si="8"/>
        <v>10.5</v>
      </c>
      <c r="K33" s="49">
        <f t="shared" si="8"/>
        <v>160</v>
      </c>
      <c r="L33" s="44">
        <f t="shared" si="8"/>
        <v>8</v>
      </c>
      <c r="M33" s="44">
        <f t="shared" si="8"/>
        <v>0</v>
      </c>
      <c r="N33" s="45">
        <f t="shared" si="9"/>
        <v>0.2</v>
      </c>
      <c r="O33" s="49">
        <v>30</v>
      </c>
      <c r="P33" s="54">
        <f>K33+4</f>
        <v>164</v>
      </c>
      <c r="Q33" s="44">
        <f t="shared" si="12"/>
        <v>150</v>
      </c>
      <c r="R33" s="50">
        <f t="shared" si="12"/>
        <v>270</v>
      </c>
    </row>
    <row r="34" spans="1:18" x14ac:dyDescent="0.25">
      <c r="A34" s="41">
        <f t="shared" si="10"/>
        <v>3628</v>
      </c>
      <c r="B34" s="42">
        <f t="shared" si="10"/>
        <v>24</v>
      </c>
      <c r="C34" s="41" t="s">
        <v>1253</v>
      </c>
      <c r="D34" s="43">
        <f t="shared" si="0"/>
        <v>9.8000000000000007</v>
      </c>
      <c r="E34" s="61">
        <f t="shared" si="1"/>
        <v>1.8130000000000002</v>
      </c>
      <c r="F34" s="61">
        <f t="shared" si="13"/>
        <v>42</v>
      </c>
      <c r="G34" s="64">
        <f t="shared" si="2"/>
        <v>0.58988764044943809</v>
      </c>
      <c r="H34" s="51">
        <f t="shared" si="5"/>
        <v>5.1334382022471905</v>
      </c>
      <c r="I34" s="42" t="str">
        <f t="shared" si="11"/>
        <v>IEC</v>
      </c>
      <c r="J34" s="50">
        <f t="shared" si="8"/>
        <v>10.5</v>
      </c>
      <c r="K34" s="49">
        <f t="shared" si="8"/>
        <v>160</v>
      </c>
      <c r="L34" s="44">
        <f t="shared" si="8"/>
        <v>8</v>
      </c>
      <c r="M34" s="44">
        <f t="shared" si="8"/>
        <v>0</v>
      </c>
      <c r="N34" s="45">
        <f t="shared" si="9"/>
        <v>0.2</v>
      </c>
      <c r="O34" s="49">
        <v>30</v>
      </c>
      <c r="P34" s="54">
        <f>K34+5.25</f>
        <v>165.25</v>
      </c>
      <c r="Q34" s="44">
        <f t="shared" si="12"/>
        <v>150</v>
      </c>
      <c r="R34" s="50">
        <f t="shared" si="12"/>
        <v>270</v>
      </c>
    </row>
    <row r="35" spans="1:18" x14ac:dyDescent="0.25">
      <c r="A35" s="41">
        <f t="shared" si="10"/>
        <v>3629</v>
      </c>
      <c r="B35" s="42">
        <f t="shared" si="10"/>
        <v>25</v>
      </c>
      <c r="C35" s="41" t="s">
        <v>1254</v>
      </c>
      <c r="D35" s="43">
        <f t="shared" si="0"/>
        <v>9.8000000000000007</v>
      </c>
      <c r="E35" s="61">
        <f t="shared" si="1"/>
        <v>1.8130000000000002</v>
      </c>
      <c r="F35" s="61">
        <f t="shared" si="13"/>
        <v>42</v>
      </c>
      <c r="G35" s="64">
        <f t="shared" si="2"/>
        <v>0.58988764044943809</v>
      </c>
      <c r="H35" s="51">
        <f t="shared" si="5"/>
        <v>5.1334382022471905</v>
      </c>
      <c r="I35" s="42" t="str">
        <f t="shared" si="11"/>
        <v>IEC</v>
      </c>
      <c r="J35" s="50">
        <f t="shared" si="8"/>
        <v>10.5</v>
      </c>
      <c r="K35" s="49">
        <f t="shared" si="8"/>
        <v>160</v>
      </c>
      <c r="L35" s="44">
        <f t="shared" si="8"/>
        <v>8</v>
      </c>
      <c r="M35" s="44">
        <f t="shared" si="8"/>
        <v>0</v>
      </c>
      <c r="N35" s="45">
        <f t="shared" si="9"/>
        <v>0.2</v>
      </c>
      <c r="O35" s="49">
        <v>60</v>
      </c>
      <c r="P35" s="54">
        <f>K35</f>
        <v>160</v>
      </c>
      <c r="Q35" s="44">
        <f t="shared" si="12"/>
        <v>150</v>
      </c>
      <c r="R35" s="50">
        <f t="shared" si="12"/>
        <v>270</v>
      </c>
    </row>
    <row r="36" spans="1:18" x14ac:dyDescent="0.25">
      <c r="A36" s="41">
        <f t="shared" si="10"/>
        <v>3630</v>
      </c>
      <c r="B36" s="42">
        <f t="shared" si="10"/>
        <v>26</v>
      </c>
      <c r="C36" s="41" t="s">
        <v>1255</v>
      </c>
      <c r="D36" s="43">
        <f t="shared" si="0"/>
        <v>9.8000000000000007</v>
      </c>
      <c r="E36" s="61">
        <f t="shared" si="1"/>
        <v>1.8130000000000002</v>
      </c>
      <c r="F36" s="61">
        <f t="shared" si="13"/>
        <v>42</v>
      </c>
      <c r="G36" s="64">
        <f t="shared" si="2"/>
        <v>0.58988764044943809</v>
      </c>
      <c r="H36" s="51">
        <f t="shared" si="5"/>
        <v>5.1334382022471905</v>
      </c>
      <c r="I36" s="42" t="str">
        <f t="shared" si="11"/>
        <v>IEC</v>
      </c>
      <c r="J36" s="50">
        <f t="shared" si="8"/>
        <v>10.5</v>
      </c>
      <c r="K36" s="49">
        <f t="shared" si="8"/>
        <v>160</v>
      </c>
      <c r="L36" s="44">
        <f t="shared" si="8"/>
        <v>8</v>
      </c>
      <c r="M36" s="44">
        <f t="shared" si="8"/>
        <v>0</v>
      </c>
      <c r="N36" s="45">
        <f t="shared" si="9"/>
        <v>0.2</v>
      </c>
      <c r="O36" s="49">
        <v>60</v>
      </c>
      <c r="P36" s="54">
        <f>K36+2.46</f>
        <v>162.46</v>
      </c>
      <c r="Q36" s="44">
        <f t="shared" si="12"/>
        <v>150</v>
      </c>
      <c r="R36" s="50">
        <f t="shared" si="12"/>
        <v>270</v>
      </c>
    </row>
    <row r="37" spans="1:18" x14ac:dyDescent="0.25">
      <c r="A37" s="41">
        <f t="shared" si="10"/>
        <v>3631</v>
      </c>
      <c r="B37" s="42">
        <f t="shared" si="10"/>
        <v>27</v>
      </c>
      <c r="C37" s="41" t="s">
        <v>1256</v>
      </c>
      <c r="D37" s="43">
        <f t="shared" si="0"/>
        <v>9.8000000000000007</v>
      </c>
      <c r="E37" s="61">
        <f t="shared" si="1"/>
        <v>1.8130000000000002</v>
      </c>
      <c r="F37" s="61">
        <f t="shared" si="13"/>
        <v>42</v>
      </c>
      <c r="G37" s="64">
        <f t="shared" si="2"/>
        <v>0.58988764044943809</v>
      </c>
      <c r="H37" s="51">
        <f t="shared" si="5"/>
        <v>5.1334382022471905</v>
      </c>
      <c r="I37" s="42" t="str">
        <f t="shared" si="11"/>
        <v>IEC</v>
      </c>
      <c r="J37" s="50">
        <f t="shared" si="8"/>
        <v>10.5</v>
      </c>
      <c r="K37" s="49">
        <f t="shared" si="8"/>
        <v>160</v>
      </c>
      <c r="L37" s="44">
        <f t="shared" si="8"/>
        <v>8</v>
      </c>
      <c r="M37" s="44">
        <f t="shared" si="8"/>
        <v>0</v>
      </c>
      <c r="N37" s="45">
        <f t="shared" si="9"/>
        <v>0.2</v>
      </c>
      <c r="O37" s="49">
        <v>60</v>
      </c>
      <c r="P37" s="54">
        <f>K37+4</f>
        <v>164</v>
      </c>
      <c r="Q37" s="44">
        <f t="shared" si="12"/>
        <v>150</v>
      </c>
      <c r="R37" s="50">
        <f t="shared" si="12"/>
        <v>270</v>
      </c>
    </row>
    <row r="38" spans="1:18" x14ac:dyDescent="0.25">
      <c r="A38" s="41">
        <f t="shared" si="10"/>
        <v>3632</v>
      </c>
      <c r="B38" s="42">
        <f t="shared" si="10"/>
        <v>28</v>
      </c>
      <c r="C38" s="41" t="s">
        <v>1257</v>
      </c>
      <c r="D38" s="43">
        <f t="shared" si="0"/>
        <v>9.8000000000000007</v>
      </c>
      <c r="E38" s="61">
        <f t="shared" si="1"/>
        <v>1.8130000000000002</v>
      </c>
      <c r="F38" s="61">
        <f t="shared" si="13"/>
        <v>42</v>
      </c>
      <c r="G38" s="64">
        <f t="shared" si="2"/>
        <v>0.58988764044943809</v>
      </c>
      <c r="H38" s="51">
        <f t="shared" si="5"/>
        <v>5.1334382022471905</v>
      </c>
      <c r="I38" s="42" t="str">
        <f t="shared" si="11"/>
        <v>IEC</v>
      </c>
      <c r="J38" s="50">
        <f t="shared" si="8"/>
        <v>10.5</v>
      </c>
      <c r="K38" s="49">
        <f t="shared" si="8"/>
        <v>160</v>
      </c>
      <c r="L38" s="44">
        <f t="shared" si="8"/>
        <v>8</v>
      </c>
      <c r="M38" s="44">
        <f t="shared" si="8"/>
        <v>0</v>
      </c>
      <c r="N38" s="45">
        <f t="shared" si="9"/>
        <v>0.2</v>
      </c>
      <c r="O38" s="49">
        <v>60</v>
      </c>
      <c r="P38" s="54">
        <f>K38+5.25</f>
        <v>165.25</v>
      </c>
      <c r="Q38" s="44">
        <f t="shared" si="12"/>
        <v>150</v>
      </c>
      <c r="R38" s="50">
        <f t="shared" si="12"/>
        <v>270</v>
      </c>
    </row>
    <row r="39" spans="1:18" x14ac:dyDescent="0.25">
      <c r="A39" s="41">
        <f t="shared" si="10"/>
        <v>3633</v>
      </c>
      <c r="B39" s="42">
        <f t="shared" si="10"/>
        <v>29</v>
      </c>
      <c r="C39" s="41" t="s">
        <v>1258</v>
      </c>
      <c r="D39" s="43">
        <f t="shared" si="0"/>
        <v>9.8000000000000007</v>
      </c>
      <c r="E39" s="61">
        <f t="shared" si="1"/>
        <v>1.8130000000000002</v>
      </c>
      <c r="F39" s="61">
        <f t="shared" si="13"/>
        <v>42</v>
      </c>
      <c r="G39" s="64">
        <f t="shared" si="2"/>
        <v>0.58988764044943809</v>
      </c>
      <c r="H39" s="51">
        <f t="shared" si="5"/>
        <v>5.1334382022471905</v>
      </c>
      <c r="I39" s="42" t="str">
        <f t="shared" si="11"/>
        <v>IEC</v>
      </c>
      <c r="J39" s="50">
        <f t="shared" si="8"/>
        <v>10.5</v>
      </c>
      <c r="K39" s="49">
        <f t="shared" si="8"/>
        <v>160</v>
      </c>
      <c r="L39" s="44">
        <f t="shared" si="8"/>
        <v>8</v>
      </c>
      <c r="M39" s="44">
        <f t="shared" si="8"/>
        <v>0</v>
      </c>
      <c r="N39" s="45">
        <f t="shared" si="9"/>
        <v>0.2</v>
      </c>
      <c r="O39" s="49">
        <v>90</v>
      </c>
      <c r="P39" s="54">
        <f>K39</f>
        <v>160</v>
      </c>
      <c r="Q39" s="44">
        <f t="shared" si="12"/>
        <v>150</v>
      </c>
      <c r="R39" s="50">
        <f t="shared" si="12"/>
        <v>270</v>
      </c>
    </row>
    <row r="40" spans="1:18" x14ac:dyDescent="0.25">
      <c r="A40" s="41">
        <f t="shared" si="10"/>
        <v>3634</v>
      </c>
      <c r="B40" s="42">
        <f t="shared" si="10"/>
        <v>30</v>
      </c>
      <c r="C40" s="41" t="s">
        <v>1259</v>
      </c>
      <c r="D40" s="43">
        <f t="shared" si="0"/>
        <v>9.8000000000000007</v>
      </c>
      <c r="E40" s="61">
        <f t="shared" si="1"/>
        <v>1.8130000000000002</v>
      </c>
      <c r="F40" s="61">
        <f t="shared" si="13"/>
        <v>42</v>
      </c>
      <c r="G40" s="64">
        <f t="shared" si="2"/>
        <v>0.58988764044943809</v>
      </c>
      <c r="H40" s="51">
        <f t="shared" si="5"/>
        <v>5.1334382022471905</v>
      </c>
      <c r="I40" s="42" t="str">
        <f t="shared" si="11"/>
        <v>IEC</v>
      </c>
      <c r="J40" s="50">
        <f t="shared" si="8"/>
        <v>10.5</v>
      </c>
      <c r="K40" s="49">
        <f t="shared" si="8"/>
        <v>160</v>
      </c>
      <c r="L40" s="44">
        <f t="shared" si="8"/>
        <v>8</v>
      </c>
      <c r="M40" s="44">
        <f t="shared" si="8"/>
        <v>0</v>
      </c>
      <c r="N40" s="45">
        <f t="shared" si="9"/>
        <v>0.2</v>
      </c>
      <c r="O40" s="49">
        <v>90</v>
      </c>
      <c r="P40" s="54">
        <f>K40+2.46</f>
        <v>162.46</v>
      </c>
      <c r="Q40" s="44">
        <f t="shared" si="12"/>
        <v>150</v>
      </c>
      <c r="R40" s="50">
        <f t="shared" si="12"/>
        <v>270</v>
      </c>
    </row>
    <row r="41" spans="1:18" x14ac:dyDescent="0.25">
      <c r="A41" s="41">
        <f t="shared" si="10"/>
        <v>3635</v>
      </c>
      <c r="B41" s="42">
        <f t="shared" si="10"/>
        <v>31</v>
      </c>
      <c r="C41" s="41" t="s">
        <v>1260</v>
      </c>
      <c r="D41" s="43">
        <f t="shared" si="0"/>
        <v>9.8000000000000007</v>
      </c>
      <c r="E41" s="61">
        <f t="shared" si="1"/>
        <v>1.8130000000000002</v>
      </c>
      <c r="F41" s="61">
        <f t="shared" si="13"/>
        <v>42</v>
      </c>
      <c r="G41" s="64">
        <f t="shared" si="2"/>
        <v>0.58988764044943809</v>
      </c>
      <c r="H41" s="51">
        <f t="shared" si="5"/>
        <v>5.1334382022471905</v>
      </c>
      <c r="I41" s="42" t="str">
        <f t="shared" si="11"/>
        <v>IEC</v>
      </c>
      <c r="J41" s="50">
        <f t="shared" si="8"/>
        <v>10.5</v>
      </c>
      <c r="K41" s="49">
        <f t="shared" si="8"/>
        <v>160</v>
      </c>
      <c r="L41" s="44">
        <f t="shared" si="8"/>
        <v>8</v>
      </c>
      <c r="M41" s="44">
        <f t="shared" si="8"/>
        <v>0</v>
      </c>
      <c r="N41" s="45">
        <f t="shared" si="9"/>
        <v>0.2</v>
      </c>
      <c r="O41" s="49">
        <v>90</v>
      </c>
      <c r="P41" s="54">
        <f>K41+4</f>
        <v>164</v>
      </c>
      <c r="Q41" s="44">
        <f t="shared" si="12"/>
        <v>150</v>
      </c>
      <c r="R41" s="50">
        <f t="shared" si="12"/>
        <v>270</v>
      </c>
    </row>
    <row r="42" spans="1:18" x14ac:dyDescent="0.25">
      <c r="A42" s="41">
        <f t="shared" si="10"/>
        <v>3636</v>
      </c>
      <c r="B42" s="42">
        <f t="shared" si="10"/>
        <v>32</v>
      </c>
      <c r="C42" s="41" t="s">
        <v>1261</v>
      </c>
      <c r="D42" s="43">
        <f t="shared" si="0"/>
        <v>9.8000000000000007</v>
      </c>
      <c r="E42" s="61">
        <f t="shared" si="1"/>
        <v>1.8130000000000002</v>
      </c>
      <c r="F42" s="61">
        <f t="shared" si="13"/>
        <v>42</v>
      </c>
      <c r="G42" s="64">
        <f t="shared" si="2"/>
        <v>0.58988764044943809</v>
      </c>
      <c r="H42" s="51">
        <f t="shared" si="5"/>
        <v>5.1334382022471905</v>
      </c>
      <c r="I42" s="42" t="str">
        <f t="shared" si="11"/>
        <v>IEC</v>
      </c>
      <c r="J42" s="50">
        <f t="shared" si="8"/>
        <v>10.5</v>
      </c>
      <c r="K42" s="49">
        <f t="shared" si="8"/>
        <v>160</v>
      </c>
      <c r="L42" s="44">
        <f t="shared" si="8"/>
        <v>8</v>
      </c>
      <c r="M42" s="44">
        <f t="shared" si="8"/>
        <v>0</v>
      </c>
      <c r="N42" s="45">
        <f t="shared" si="9"/>
        <v>0.2</v>
      </c>
      <c r="O42" s="49">
        <v>90</v>
      </c>
      <c r="P42" s="54">
        <f>K42+5.25</f>
        <v>165.25</v>
      </c>
      <c r="Q42" s="44">
        <f t="shared" si="12"/>
        <v>150</v>
      </c>
      <c r="R42" s="50">
        <f t="shared" si="12"/>
        <v>270</v>
      </c>
    </row>
    <row r="43" spans="1:18" x14ac:dyDescent="0.25">
      <c r="A43" s="41">
        <f t="shared" si="10"/>
        <v>3637</v>
      </c>
      <c r="B43" s="42">
        <f>B42+1</f>
        <v>33</v>
      </c>
      <c r="C43" s="41" t="s">
        <v>1262</v>
      </c>
      <c r="D43" s="43">
        <f t="shared" si="0"/>
        <v>9.8000000000000007</v>
      </c>
      <c r="E43" s="61">
        <f t="shared" si="1"/>
        <v>1.8130000000000002</v>
      </c>
      <c r="F43" s="61">
        <f t="shared" si="13"/>
        <v>42</v>
      </c>
      <c r="G43" s="64">
        <f t="shared" ref="G43:G74" si="14">1/(1+0.2*(diameter/F43))</f>
        <v>0.58988764044943809</v>
      </c>
      <c r="H43" s="51">
        <f t="shared" si="5"/>
        <v>5.1334382022471905</v>
      </c>
      <c r="I43" s="42" t="str">
        <f t="shared" si="11"/>
        <v>IEC</v>
      </c>
      <c r="J43" s="50">
        <f t="shared" si="8"/>
        <v>10.5</v>
      </c>
      <c r="K43" s="49">
        <f t="shared" si="8"/>
        <v>160</v>
      </c>
      <c r="L43" s="44">
        <f t="shared" si="8"/>
        <v>8</v>
      </c>
      <c r="M43" s="44">
        <f>yaw_max</f>
        <v>8</v>
      </c>
      <c r="N43" s="45">
        <f t="shared" si="9"/>
        <v>0.2</v>
      </c>
      <c r="O43" s="49">
        <v>0</v>
      </c>
      <c r="P43" s="54">
        <f>K43</f>
        <v>160</v>
      </c>
      <c r="Q43" s="44">
        <f t="shared" si="12"/>
        <v>150</v>
      </c>
      <c r="R43" s="50">
        <f t="shared" si="12"/>
        <v>270</v>
      </c>
    </row>
    <row r="44" spans="1:18" x14ac:dyDescent="0.25">
      <c r="A44" s="41">
        <f t="shared" si="10"/>
        <v>3638</v>
      </c>
      <c r="B44" s="42">
        <f>B43+1</f>
        <v>34</v>
      </c>
      <c r="C44" s="41" t="s">
        <v>1263</v>
      </c>
      <c r="D44" s="43">
        <f t="shared" si="0"/>
        <v>9.8000000000000007</v>
      </c>
      <c r="E44" s="61">
        <f t="shared" si="1"/>
        <v>1.8130000000000002</v>
      </c>
      <c r="F44" s="61">
        <f>F43</f>
        <v>42</v>
      </c>
      <c r="G44" s="64">
        <f t="shared" si="14"/>
        <v>0.58988764044943809</v>
      </c>
      <c r="H44" s="51">
        <f t="shared" si="5"/>
        <v>5.1334382022471905</v>
      </c>
      <c r="I44" s="42" t="str">
        <f>I43</f>
        <v>IEC</v>
      </c>
      <c r="J44" s="50">
        <f t="shared" ref="J44:M59" si="15">J43</f>
        <v>10.5</v>
      </c>
      <c r="K44" s="49">
        <f>K43</f>
        <v>160</v>
      </c>
      <c r="L44" s="44">
        <f>L43</f>
        <v>8</v>
      </c>
      <c r="M44" s="44">
        <f>M43</f>
        <v>8</v>
      </c>
      <c r="N44" s="45">
        <f t="shared" si="9"/>
        <v>0.2</v>
      </c>
      <c r="O44" s="49">
        <v>0</v>
      </c>
      <c r="P44" s="54">
        <f>K44+2.46</f>
        <v>162.46</v>
      </c>
      <c r="Q44" s="44">
        <f t="shared" si="12"/>
        <v>150</v>
      </c>
      <c r="R44" s="50">
        <f>R43</f>
        <v>270</v>
      </c>
    </row>
    <row r="45" spans="1:18" x14ac:dyDescent="0.25">
      <c r="A45" s="41">
        <f t="shared" ref="A45:B60" si="16">A44+1</f>
        <v>3639</v>
      </c>
      <c r="B45" s="42">
        <f t="shared" si="16"/>
        <v>35</v>
      </c>
      <c r="C45" s="41" t="s">
        <v>1264</v>
      </c>
      <c r="D45" s="43">
        <f t="shared" si="0"/>
        <v>9.8000000000000007</v>
      </c>
      <c r="E45" s="61">
        <f t="shared" si="1"/>
        <v>1.8130000000000002</v>
      </c>
      <c r="F45" s="61">
        <f>F44</f>
        <v>42</v>
      </c>
      <c r="G45" s="64">
        <f t="shared" si="14"/>
        <v>0.58988764044943809</v>
      </c>
      <c r="H45" s="51">
        <f t="shared" si="5"/>
        <v>5.1334382022471905</v>
      </c>
      <c r="I45" s="42" t="str">
        <f t="shared" ref="I45:I59" si="17">I44</f>
        <v>IEC</v>
      </c>
      <c r="J45" s="50">
        <f t="shared" si="15"/>
        <v>10.5</v>
      </c>
      <c r="K45" s="49">
        <f t="shared" si="15"/>
        <v>160</v>
      </c>
      <c r="L45" s="44">
        <f t="shared" si="15"/>
        <v>8</v>
      </c>
      <c r="M45" s="44">
        <f t="shared" si="15"/>
        <v>8</v>
      </c>
      <c r="N45" s="45">
        <f t="shared" si="9"/>
        <v>0.2</v>
      </c>
      <c r="O45" s="49">
        <v>0</v>
      </c>
      <c r="P45" s="54">
        <f>K45+4</f>
        <v>164</v>
      </c>
      <c r="Q45" s="44">
        <f t="shared" ref="Q45:R60" si="18">Q44</f>
        <v>150</v>
      </c>
      <c r="R45" s="50">
        <f t="shared" si="18"/>
        <v>270</v>
      </c>
    </row>
    <row r="46" spans="1:18" x14ac:dyDescent="0.25">
      <c r="A46" s="41">
        <f t="shared" si="16"/>
        <v>3640</v>
      </c>
      <c r="B46" s="42">
        <f t="shared" si="16"/>
        <v>36</v>
      </c>
      <c r="C46" s="41" t="s">
        <v>1265</v>
      </c>
      <c r="D46" s="43">
        <f t="shared" si="0"/>
        <v>9.8000000000000007</v>
      </c>
      <c r="E46" s="61">
        <f t="shared" si="1"/>
        <v>1.8130000000000002</v>
      </c>
      <c r="F46" s="61">
        <f t="shared" ref="F46:F59" si="19">F45</f>
        <v>42</v>
      </c>
      <c r="G46" s="64">
        <f t="shared" si="14"/>
        <v>0.58988764044943809</v>
      </c>
      <c r="H46" s="51">
        <f t="shared" si="5"/>
        <v>5.1334382022471905</v>
      </c>
      <c r="I46" s="42" t="str">
        <f t="shared" si="17"/>
        <v>IEC</v>
      </c>
      <c r="J46" s="50">
        <f t="shared" si="15"/>
        <v>10.5</v>
      </c>
      <c r="K46" s="49">
        <f t="shared" si="15"/>
        <v>160</v>
      </c>
      <c r="L46" s="44">
        <f t="shared" si="15"/>
        <v>8</v>
      </c>
      <c r="M46" s="44">
        <f t="shared" si="15"/>
        <v>8</v>
      </c>
      <c r="N46" s="45">
        <f t="shared" si="9"/>
        <v>0.2</v>
      </c>
      <c r="O46" s="49">
        <v>0</v>
      </c>
      <c r="P46" s="54">
        <f>K46+5.25</f>
        <v>165.25</v>
      </c>
      <c r="Q46" s="44">
        <f t="shared" si="18"/>
        <v>150</v>
      </c>
      <c r="R46" s="50">
        <f t="shared" si="18"/>
        <v>270</v>
      </c>
    </row>
    <row r="47" spans="1:18" x14ac:dyDescent="0.25">
      <c r="A47" s="41">
        <f t="shared" si="16"/>
        <v>3641</v>
      </c>
      <c r="B47" s="42">
        <f t="shared" si="16"/>
        <v>37</v>
      </c>
      <c r="C47" s="41" t="s">
        <v>1266</v>
      </c>
      <c r="D47" s="43">
        <f t="shared" si="0"/>
        <v>9.8000000000000007</v>
      </c>
      <c r="E47" s="61">
        <f t="shared" si="1"/>
        <v>1.8130000000000002</v>
      </c>
      <c r="F47" s="61">
        <f t="shared" si="19"/>
        <v>42</v>
      </c>
      <c r="G47" s="64">
        <f t="shared" si="14"/>
        <v>0.58988764044943809</v>
      </c>
      <c r="H47" s="51">
        <f t="shared" si="5"/>
        <v>5.1334382022471905</v>
      </c>
      <c r="I47" s="42" t="str">
        <f t="shared" si="17"/>
        <v>IEC</v>
      </c>
      <c r="J47" s="50">
        <f t="shared" si="15"/>
        <v>10.5</v>
      </c>
      <c r="K47" s="49">
        <f t="shared" si="15"/>
        <v>160</v>
      </c>
      <c r="L47" s="44">
        <f t="shared" si="15"/>
        <v>8</v>
      </c>
      <c r="M47" s="44">
        <f t="shared" si="15"/>
        <v>8</v>
      </c>
      <c r="N47" s="45">
        <f t="shared" si="9"/>
        <v>0.2</v>
      </c>
      <c r="O47" s="49">
        <v>30</v>
      </c>
      <c r="P47" s="54">
        <f>K47</f>
        <v>160</v>
      </c>
      <c r="Q47" s="44">
        <f t="shared" si="18"/>
        <v>150</v>
      </c>
      <c r="R47" s="50">
        <f t="shared" si="18"/>
        <v>270</v>
      </c>
    </row>
    <row r="48" spans="1:18" x14ac:dyDescent="0.25">
      <c r="A48" s="41">
        <f t="shared" si="16"/>
        <v>3642</v>
      </c>
      <c r="B48" s="42">
        <f t="shared" si="16"/>
        <v>38</v>
      </c>
      <c r="C48" s="41" t="s">
        <v>1267</v>
      </c>
      <c r="D48" s="43">
        <f t="shared" si="0"/>
        <v>9.8000000000000007</v>
      </c>
      <c r="E48" s="61">
        <f t="shared" si="1"/>
        <v>1.8130000000000002</v>
      </c>
      <c r="F48" s="61">
        <f t="shared" si="19"/>
        <v>42</v>
      </c>
      <c r="G48" s="64">
        <f t="shared" si="14"/>
        <v>0.58988764044943809</v>
      </c>
      <c r="H48" s="51">
        <f t="shared" si="5"/>
        <v>5.1334382022471905</v>
      </c>
      <c r="I48" s="42" t="str">
        <f t="shared" si="17"/>
        <v>IEC</v>
      </c>
      <c r="J48" s="50">
        <f t="shared" si="15"/>
        <v>10.5</v>
      </c>
      <c r="K48" s="49">
        <f t="shared" si="15"/>
        <v>160</v>
      </c>
      <c r="L48" s="44">
        <f t="shared" si="15"/>
        <v>8</v>
      </c>
      <c r="M48" s="44">
        <f t="shared" si="15"/>
        <v>8</v>
      </c>
      <c r="N48" s="45">
        <f t="shared" si="9"/>
        <v>0.2</v>
      </c>
      <c r="O48" s="49">
        <v>30</v>
      </c>
      <c r="P48" s="54">
        <f>K48+2.46</f>
        <v>162.46</v>
      </c>
      <c r="Q48" s="44">
        <f t="shared" si="18"/>
        <v>150</v>
      </c>
      <c r="R48" s="50">
        <f t="shared" si="18"/>
        <v>270</v>
      </c>
    </row>
    <row r="49" spans="1:18" x14ac:dyDescent="0.25">
      <c r="A49" s="41">
        <f t="shared" si="16"/>
        <v>3643</v>
      </c>
      <c r="B49" s="42">
        <f t="shared" si="16"/>
        <v>39</v>
      </c>
      <c r="C49" s="41" t="s">
        <v>1268</v>
      </c>
      <c r="D49" s="43">
        <f t="shared" si="0"/>
        <v>9.8000000000000007</v>
      </c>
      <c r="E49" s="61">
        <f t="shared" si="1"/>
        <v>1.8130000000000002</v>
      </c>
      <c r="F49" s="61">
        <f t="shared" si="19"/>
        <v>42</v>
      </c>
      <c r="G49" s="64">
        <f t="shared" si="14"/>
        <v>0.58988764044943809</v>
      </c>
      <c r="H49" s="51">
        <f t="shared" si="5"/>
        <v>5.1334382022471905</v>
      </c>
      <c r="I49" s="42" t="str">
        <f t="shared" si="17"/>
        <v>IEC</v>
      </c>
      <c r="J49" s="50">
        <f t="shared" si="15"/>
        <v>10.5</v>
      </c>
      <c r="K49" s="49">
        <f t="shared" si="15"/>
        <v>160</v>
      </c>
      <c r="L49" s="44">
        <f t="shared" si="15"/>
        <v>8</v>
      </c>
      <c r="M49" s="44">
        <f t="shared" si="15"/>
        <v>8</v>
      </c>
      <c r="N49" s="45">
        <f t="shared" si="9"/>
        <v>0.2</v>
      </c>
      <c r="O49" s="49">
        <v>30</v>
      </c>
      <c r="P49" s="54">
        <f>K49+4</f>
        <v>164</v>
      </c>
      <c r="Q49" s="44">
        <f t="shared" si="18"/>
        <v>150</v>
      </c>
      <c r="R49" s="50">
        <f t="shared" si="18"/>
        <v>270</v>
      </c>
    </row>
    <row r="50" spans="1:18" x14ac:dyDescent="0.25">
      <c r="A50" s="41">
        <f t="shared" si="16"/>
        <v>3644</v>
      </c>
      <c r="B50" s="42">
        <f t="shared" si="16"/>
        <v>40</v>
      </c>
      <c r="C50" s="41" t="s">
        <v>1269</v>
      </c>
      <c r="D50" s="43">
        <f t="shared" si="0"/>
        <v>9.8000000000000007</v>
      </c>
      <c r="E50" s="61">
        <f t="shared" si="1"/>
        <v>1.8130000000000002</v>
      </c>
      <c r="F50" s="61">
        <f t="shared" si="19"/>
        <v>42</v>
      </c>
      <c r="G50" s="64">
        <f t="shared" si="14"/>
        <v>0.58988764044943809</v>
      </c>
      <c r="H50" s="51">
        <f t="shared" si="5"/>
        <v>5.1334382022471905</v>
      </c>
      <c r="I50" s="42" t="str">
        <f t="shared" si="17"/>
        <v>IEC</v>
      </c>
      <c r="J50" s="50">
        <f t="shared" si="15"/>
        <v>10.5</v>
      </c>
      <c r="K50" s="49">
        <f t="shared" si="15"/>
        <v>160</v>
      </c>
      <c r="L50" s="44">
        <f t="shared" si="15"/>
        <v>8</v>
      </c>
      <c r="M50" s="44">
        <f t="shared" si="15"/>
        <v>8</v>
      </c>
      <c r="N50" s="45">
        <f t="shared" si="9"/>
        <v>0.2</v>
      </c>
      <c r="O50" s="49">
        <v>30</v>
      </c>
      <c r="P50" s="54">
        <f>K50+5.25</f>
        <v>165.25</v>
      </c>
      <c r="Q50" s="44">
        <f t="shared" si="18"/>
        <v>150</v>
      </c>
      <c r="R50" s="50">
        <f t="shared" si="18"/>
        <v>270</v>
      </c>
    </row>
    <row r="51" spans="1:18" x14ac:dyDescent="0.25">
      <c r="A51" s="41">
        <f t="shared" si="16"/>
        <v>3645</v>
      </c>
      <c r="B51" s="42">
        <f t="shared" si="16"/>
        <v>41</v>
      </c>
      <c r="C51" s="41" t="s">
        <v>1270</v>
      </c>
      <c r="D51" s="43">
        <f t="shared" si="0"/>
        <v>9.8000000000000007</v>
      </c>
      <c r="E51" s="61">
        <f t="shared" si="1"/>
        <v>1.8130000000000002</v>
      </c>
      <c r="F51" s="61">
        <f t="shared" si="19"/>
        <v>42</v>
      </c>
      <c r="G51" s="64">
        <f t="shared" si="14"/>
        <v>0.58988764044943809</v>
      </c>
      <c r="H51" s="51">
        <f t="shared" si="5"/>
        <v>5.1334382022471905</v>
      </c>
      <c r="I51" s="42" t="str">
        <f t="shared" si="17"/>
        <v>IEC</v>
      </c>
      <c r="J51" s="50">
        <f t="shared" si="15"/>
        <v>10.5</v>
      </c>
      <c r="K51" s="49">
        <f t="shared" si="15"/>
        <v>160</v>
      </c>
      <c r="L51" s="44">
        <f t="shared" si="15"/>
        <v>8</v>
      </c>
      <c r="M51" s="44">
        <f t="shared" si="15"/>
        <v>8</v>
      </c>
      <c r="N51" s="45">
        <f t="shared" si="9"/>
        <v>0.2</v>
      </c>
      <c r="O51" s="49">
        <v>60</v>
      </c>
      <c r="P51" s="54">
        <f>K51</f>
        <v>160</v>
      </c>
      <c r="Q51" s="44">
        <f t="shared" si="18"/>
        <v>150</v>
      </c>
      <c r="R51" s="50">
        <f t="shared" si="18"/>
        <v>270</v>
      </c>
    </row>
    <row r="52" spans="1:18" x14ac:dyDescent="0.25">
      <c r="A52" s="41">
        <f t="shared" si="16"/>
        <v>3646</v>
      </c>
      <c r="B52" s="42">
        <f t="shared" si="16"/>
        <v>42</v>
      </c>
      <c r="C52" s="41" t="s">
        <v>1271</v>
      </c>
      <c r="D52" s="43">
        <f t="shared" si="0"/>
        <v>9.8000000000000007</v>
      </c>
      <c r="E52" s="61">
        <f t="shared" si="1"/>
        <v>1.8130000000000002</v>
      </c>
      <c r="F52" s="61">
        <f t="shared" si="19"/>
        <v>42</v>
      </c>
      <c r="G52" s="64">
        <f t="shared" si="14"/>
        <v>0.58988764044943809</v>
      </c>
      <c r="H52" s="51">
        <f t="shared" si="5"/>
        <v>5.1334382022471905</v>
      </c>
      <c r="I52" s="42" t="str">
        <f t="shared" si="17"/>
        <v>IEC</v>
      </c>
      <c r="J52" s="50">
        <f t="shared" si="15"/>
        <v>10.5</v>
      </c>
      <c r="K52" s="49">
        <f t="shared" si="15"/>
        <v>160</v>
      </c>
      <c r="L52" s="44">
        <f t="shared" si="15"/>
        <v>8</v>
      </c>
      <c r="M52" s="44">
        <f t="shared" si="15"/>
        <v>8</v>
      </c>
      <c r="N52" s="45">
        <f t="shared" si="9"/>
        <v>0.2</v>
      </c>
      <c r="O52" s="49">
        <v>60</v>
      </c>
      <c r="P52" s="54">
        <f>K52+2.46</f>
        <v>162.46</v>
      </c>
      <c r="Q52" s="44">
        <f t="shared" si="18"/>
        <v>150</v>
      </c>
      <c r="R52" s="50">
        <f t="shared" si="18"/>
        <v>270</v>
      </c>
    </row>
    <row r="53" spans="1:18" x14ac:dyDescent="0.25">
      <c r="A53" s="41">
        <f t="shared" si="16"/>
        <v>3647</v>
      </c>
      <c r="B53" s="42">
        <f t="shared" si="16"/>
        <v>43</v>
      </c>
      <c r="C53" s="41" t="s">
        <v>1272</v>
      </c>
      <c r="D53" s="43">
        <f t="shared" si="0"/>
        <v>9.8000000000000007</v>
      </c>
      <c r="E53" s="61">
        <f t="shared" si="1"/>
        <v>1.8130000000000002</v>
      </c>
      <c r="F53" s="61">
        <f t="shared" si="19"/>
        <v>42</v>
      </c>
      <c r="G53" s="64">
        <f t="shared" si="14"/>
        <v>0.58988764044943809</v>
      </c>
      <c r="H53" s="51">
        <f t="shared" si="5"/>
        <v>5.1334382022471905</v>
      </c>
      <c r="I53" s="42" t="str">
        <f t="shared" si="17"/>
        <v>IEC</v>
      </c>
      <c r="J53" s="50">
        <f t="shared" si="15"/>
        <v>10.5</v>
      </c>
      <c r="K53" s="49">
        <f t="shared" si="15"/>
        <v>160</v>
      </c>
      <c r="L53" s="44">
        <f t="shared" si="15"/>
        <v>8</v>
      </c>
      <c r="M53" s="44">
        <f t="shared" si="15"/>
        <v>8</v>
      </c>
      <c r="N53" s="45">
        <f t="shared" si="9"/>
        <v>0.2</v>
      </c>
      <c r="O53" s="49">
        <v>60</v>
      </c>
      <c r="P53" s="54">
        <f>K53+4</f>
        <v>164</v>
      </c>
      <c r="Q53" s="44">
        <f t="shared" si="18"/>
        <v>150</v>
      </c>
      <c r="R53" s="50">
        <f t="shared" si="18"/>
        <v>270</v>
      </c>
    </row>
    <row r="54" spans="1:18" x14ac:dyDescent="0.25">
      <c r="A54" s="41">
        <f t="shared" si="16"/>
        <v>3648</v>
      </c>
      <c r="B54" s="42">
        <f t="shared" si="16"/>
        <v>44</v>
      </c>
      <c r="C54" s="41" t="s">
        <v>1273</v>
      </c>
      <c r="D54" s="43">
        <f t="shared" si="0"/>
        <v>9.8000000000000007</v>
      </c>
      <c r="E54" s="61">
        <f t="shared" si="1"/>
        <v>1.8130000000000002</v>
      </c>
      <c r="F54" s="61">
        <f t="shared" si="19"/>
        <v>42</v>
      </c>
      <c r="G54" s="64">
        <f t="shared" si="14"/>
        <v>0.58988764044943809</v>
      </c>
      <c r="H54" s="51">
        <f t="shared" si="5"/>
        <v>5.1334382022471905</v>
      </c>
      <c r="I54" s="42" t="str">
        <f t="shared" si="17"/>
        <v>IEC</v>
      </c>
      <c r="J54" s="50">
        <f t="shared" si="15"/>
        <v>10.5</v>
      </c>
      <c r="K54" s="49">
        <f t="shared" si="15"/>
        <v>160</v>
      </c>
      <c r="L54" s="44">
        <f t="shared" si="15"/>
        <v>8</v>
      </c>
      <c r="M54" s="44">
        <f t="shared" si="15"/>
        <v>8</v>
      </c>
      <c r="N54" s="45">
        <f t="shared" si="9"/>
        <v>0.2</v>
      </c>
      <c r="O54" s="49">
        <v>60</v>
      </c>
      <c r="P54" s="54">
        <f>K54+5.25</f>
        <v>165.25</v>
      </c>
      <c r="Q54" s="44">
        <f t="shared" si="18"/>
        <v>150</v>
      </c>
      <c r="R54" s="50">
        <f t="shared" si="18"/>
        <v>270</v>
      </c>
    </row>
    <row r="55" spans="1:18" x14ac:dyDescent="0.25">
      <c r="A55" s="41">
        <f t="shared" si="16"/>
        <v>3649</v>
      </c>
      <c r="B55" s="42">
        <f t="shared" si="16"/>
        <v>45</v>
      </c>
      <c r="C55" s="41" t="s">
        <v>1274</v>
      </c>
      <c r="D55" s="43">
        <f t="shared" si="0"/>
        <v>9.8000000000000007</v>
      </c>
      <c r="E55" s="61">
        <f t="shared" si="1"/>
        <v>1.8130000000000002</v>
      </c>
      <c r="F55" s="61">
        <f t="shared" si="19"/>
        <v>42</v>
      </c>
      <c r="G55" s="64">
        <f t="shared" si="14"/>
        <v>0.58988764044943809</v>
      </c>
      <c r="H55" s="51">
        <f t="shared" si="5"/>
        <v>5.1334382022471905</v>
      </c>
      <c r="I55" s="42" t="str">
        <f t="shared" si="17"/>
        <v>IEC</v>
      </c>
      <c r="J55" s="50">
        <f t="shared" si="15"/>
        <v>10.5</v>
      </c>
      <c r="K55" s="49">
        <f t="shared" si="15"/>
        <v>160</v>
      </c>
      <c r="L55" s="44">
        <f t="shared" si="15"/>
        <v>8</v>
      </c>
      <c r="M55" s="44">
        <f t="shared" si="15"/>
        <v>8</v>
      </c>
      <c r="N55" s="45">
        <f t="shared" si="9"/>
        <v>0.2</v>
      </c>
      <c r="O55" s="49">
        <v>90</v>
      </c>
      <c r="P55" s="54">
        <f>K55</f>
        <v>160</v>
      </c>
      <c r="Q55" s="44">
        <f t="shared" si="18"/>
        <v>150</v>
      </c>
      <c r="R55" s="50">
        <f t="shared" si="18"/>
        <v>270</v>
      </c>
    </row>
    <row r="56" spans="1:18" x14ac:dyDescent="0.25">
      <c r="A56" s="41">
        <f t="shared" si="16"/>
        <v>3650</v>
      </c>
      <c r="B56" s="42">
        <f t="shared" si="16"/>
        <v>46</v>
      </c>
      <c r="C56" s="41" t="s">
        <v>1275</v>
      </c>
      <c r="D56" s="43">
        <f t="shared" si="0"/>
        <v>9.8000000000000007</v>
      </c>
      <c r="E56" s="61">
        <f t="shared" si="1"/>
        <v>1.8130000000000002</v>
      </c>
      <c r="F56" s="61">
        <f t="shared" si="19"/>
        <v>42</v>
      </c>
      <c r="G56" s="64">
        <f t="shared" si="14"/>
        <v>0.58988764044943809</v>
      </c>
      <c r="H56" s="51">
        <f t="shared" si="5"/>
        <v>5.1334382022471905</v>
      </c>
      <c r="I56" s="42" t="str">
        <f t="shared" si="17"/>
        <v>IEC</v>
      </c>
      <c r="J56" s="50">
        <f t="shared" si="15"/>
        <v>10.5</v>
      </c>
      <c r="K56" s="49">
        <f t="shared" si="15"/>
        <v>160</v>
      </c>
      <c r="L56" s="44">
        <f t="shared" si="15"/>
        <v>8</v>
      </c>
      <c r="M56" s="44">
        <f t="shared" si="15"/>
        <v>8</v>
      </c>
      <c r="N56" s="45">
        <f t="shared" si="9"/>
        <v>0.2</v>
      </c>
      <c r="O56" s="49">
        <v>90</v>
      </c>
      <c r="P56" s="54">
        <f>K56+2.46</f>
        <v>162.46</v>
      </c>
      <c r="Q56" s="44">
        <f t="shared" si="18"/>
        <v>150</v>
      </c>
      <c r="R56" s="50">
        <f t="shared" si="18"/>
        <v>270</v>
      </c>
    </row>
    <row r="57" spans="1:18" x14ac:dyDescent="0.25">
      <c r="A57" s="41">
        <f t="shared" si="16"/>
        <v>3651</v>
      </c>
      <c r="B57" s="42">
        <f t="shared" si="16"/>
        <v>47</v>
      </c>
      <c r="C57" s="41" t="s">
        <v>1276</v>
      </c>
      <c r="D57" s="43">
        <f t="shared" si="0"/>
        <v>9.8000000000000007</v>
      </c>
      <c r="E57" s="61">
        <f t="shared" si="1"/>
        <v>1.8130000000000002</v>
      </c>
      <c r="F57" s="61">
        <f t="shared" si="19"/>
        <v>42</v>
      </c>
      <c r="G57" s="64">
        <f t="shared" si="14"/>
        <v>0.58988764044943809</v>
      </c>
      <c r="H57" s="51">
        <f t="shared" si="5"/>
        <v>5.1334382022471905</v>
      </c>
      <c r="I57" s="42" t="str">
        <f t="shared" si="17"/>
        <v>IEC</v>
      </c>
      <c r="J57" s="50">
        <f t="shared" si="15"/>
        <v>10.5</v>
      </c>
      <c r="K57" s="49">
        <f t="shared" si="15"/>
        <v>160</v>
      </c>
      <c r="L57" s="44">
        <f t="shared" si="15"/>
        <v>8</v>
      </c>
      <c r="M57" s="44">
        <f t="shared" si="15"/>
        <v>8</v>
      </c>
      <c r="N57" s="45">
        <f t="shared" si="9"/>
        <v>0.2</v>
      </c>
      <c r="O57" s="49">
        <v>90</v>
      </c>
      <c r="P57" s="54">
        <f>K57+4</f>
        <v>164</v>
      </c>
      <c r="Q57" s="44">
        <f t="shared" si="18"/>
        <v>150</v>
      </c>
      <c r="R57" s="50">
        <f t="shared" si="18"/>
        <v>270</v>
      </c>
    </row>
    <row r="58" spans="1:18" ht="15.75" thickBot="1" x14ac:dyDescent="0.3">
      <c r="A58" s="41">
        <f t="shared" si="16"/>
        <v>3652</v>
      </c>
      <c r="B58" s="42">
        <f t="shared" si="16"/>
        <v>48</v>
      </c>
      <c r="C58" s="41" t="s">
        <v>1277</v>
      </c>
      <c r="D58" s="43">
        <f t="shared" si="0"/>
        <v>9.8000000000000007</v>
      </c>
      <c r="E58" s="61">
        <f t="shared" si="1"/>
        <v>1.8130000000000002</v>
      </c>
      <c r="F58" s="61">
        <f t="shared" si="19"/>
        <v>42</v>
      </c>
      <c r="G58" s="64">
        <f t="shared" si="14"/>
        <v>0.58988764044943809</v>
      </c>
      <c r="H58" s="51">
        <f t="shared" si="5"/>
        <v>5.1334382022471905</v>
      </c>
      <c r="I58" s="42" t="str">
        <f t="shared" si="17"/>
        <v>IEC</v>
      </c>
      <c r="J58" s="50">
        <f t="shared" si="15"/>
        <v>10.5</v>
      </c>
      <c r="K58" s="49">
        <f t="shared" si="15"/>
        <v>160</v>
      </c>
      <c r="L58" s="44">
        <f t="shared" si="15"/>
        <v>8</v>
      </c>
      <c r="M58" s="44">
        <f t="shared" si="15"/>
        <v>8</v>
      </c>
      <c r="N58" s="45">
        <f t="shared" si="9"/>
        <v>0.2</v>
      </c>
      <c r="O58" s="49">
        <v>90</v>
      </c>
      <c r="P58" s="54">
        <f>K58+5.25</f>
        <v>165.25</v>
      </c>
      <c r="Q58" s="44">
        <f t="shared" si="18"/>
        <v>150</v>
      </c>
      <c r="R58" s="50">
        <f t="shared" si="18"/>
        <v>270</v>
      </c>
    </row>
    <row r="59" spans="1:18" x14ac:dyDescent="0.25">
      <c r="A59" s="41">
        <f t="shared" si="16"/>
        <v>3653</v>
      </c>
      <c r="B59" s="42">
        <f>B58+1</f>
        <v>49</v>
      </c>
      <c r="C59" s="41" t="s">
        <v>1278</v>
      </c>
      <c r="D59" s="43">
        <f t="shared" ref="D59:D106" si="20">vr_a</f>
        <v>11.8</v>
      </c>
      <c r="E59" s="61">
        <f t="shared" si="1"/>
        <v>2.0230000000000001</v>
      </c>
      <c r="F59" s="61">
        <f t="shared" si="19"/>
        <v>42</v>
      </c>
      <c r="G59" s="64">
        <f t="shared" si="14"/>
        <v>0.58988764044943809</v>
      </c>
      <c r="H59" s="51">
        <f t="shared" si="5"/>
        <v>5.7280449438202234</v>
      </c>
      <c r="I59" s="42" t="str">
        <f t="shared" si="17"/>
        <v>IEC</v>
      </c>
      <c r="J59" s="50">
        <f t="shared" si="15"/>
        <v>10.5</v>
      </c>
      <c r="K59" s="49">
        <f t="shared" si="15"/>
        <v>160</v>
      </c>
      <c r="L59" s="44">
        <f t="shared" si="15"/>
        <v>8</v>
      </c>
      <c r="M59" s="35">
        <f>yaw_min</f>
        <v>-8</v>
      </c>
      <c r="N59" s="45">
        <f t="shared" si="9"/>
        <v>0.2</v>
      </c>
      <c r="O59" s="49">
        <v>0</v>
      </c>
      <c r="P59" s="54">
        <f>K59</f>
        <v>160</v>
      </c>
      <c r="Q59" s="44">
        <f t="shared" si="18"/>
        <v>150</v>
      </c>
      <c r="R59" s="50">
        <f t="shared" si="18"/>
        <v>270</v>
      </c>
    </row>
    <row r="60" spans="1:18" x14ac:dyDescent="0.25">
      <c r="A60" s="41">
        <f t="shared" si="16"/>
        <v>3654</v>
      </c>
      <c r="B60" s="42">
        <f t="shared" si="16"/>
        <v>50</v>
      </c>
      <c r="C60" s="41" t="s">
        <v>1279</v>
      </c>
      <c r="D60" s="43">
        <f t="shared" si="20"/>
        <v>11.8</v>
      </c>
      <c r="E60" s="61">
        <f t="shared" si="1"/>
        <v>2.0230000000000001</v>
      </c>
      <c r="F60" s="61">
        <f>F59</f>
        <v>42</v>
      </c>
      <c r="G60" s="64">
        <f t="shared" si="14"/>
        <v>0.58988764044943809</v>
      </c>
      <c r="H60" s="51">
        <f t="shared" si="5"/>
        <v>5.7280449438202234</v>
      </c>
      <c r="I60" s="42" t="str">
        <f>I59</f>
        <v>IEC</v>
      </c>
      <c r="J60" s="50">
        <f t="shared" ref="J60:M75" si="21">J59</f>
        <v>10.5</v>
      </c>
      <c r="K60" s="49">
        <f>K59</f>
        <v>160</v>
      </c>
      <c r="L60" s="44">
        <f>L59</f>
        <v>8</v>
      </c>
      <c r="M60" s="44">
        <f>M59</f>
        <v>-8</v>
      </c>
      <c r="N60" s="45">
        <f t="shared" si="9"/>
        <v>0.2</v>
      </c>
      <c r="O60" s="49">
        <v>0</v>
      </c>
      <c r="P60" s="54">
        <f>K60+2.46</f>
        <v>162.46</v>
      </c>
      <c r="Q60" s="44">
        <f t="shared" si="18"/>
        <v>150</v>
      </c>
      <c r="R60" s="50">
        <f>R59</f>
        <v>270</v>
      </c>
    </row>
    <row r="61" spans="1:18" x14ac:dyDescent="0.25">
      <c r="A61" s="41">
        <f t="shared" ref="A61:B76" si="22">A60+1</f>
        <v>3655</v>
      </c>
      <c r="B61" s="42">
        <f t="shared" si="22"/>
        <v>51</v>
      </c>
      <c r="C61" s="41" t="s">
        <v>1280</v>
      </c>
      <c r="D61" s="43">
        <f t="shared" si="20"/>
        <v>11.8</v>
      </c>
      <c r="E61" s="61">
        <f t="shared" si="1"/>
        <v>2.0230000000000001</v>
      </c>
      <c r="F61" s="61">
        <f>F60</f>
        <v>42</v>
      </c>
      <c r="G61" s="64">
        <f t="shared" si="14"/>
        <v>0.58988764044943809</v>
      </c>
      <c r="H61" s="51">
        <f t="shared" si="5"/>
        <v>5.7280449438202234</v>
      </c>
      <c r="I61" s="42" t="str">
        <f t="shared" ref="I61:I75" si="23">I60</f>
        <v>IEC</v>
      </c>
      <c r="J61" s="50">
        <f t="shared" si="21"/>
        <v>10.5</v>
      </c>
      <c r="K61" s="49">
        <f t="shared" si="21"/>
        <v>160</v>
      </c>
      <c r="L61" s="44">
        <f t="shared" si="21"/>
        <v>8</v>
      </c>
      <c r="M61" s="44">
        <f t="shared" si="21"/>
        <v>-8</v>
      </c>
      <c r="N61" s="45">
        <f t="shared" si="9"/>
        <v>0.2</v>
      </c>
      <c r="O61" s="49">
        <v>0</v>
      </c>
      <c r="P61" s="54">
        <f>K61+4</f>
        <v>164</v>
      </c>
      <c r="Q61" s="44">
        <f t="shared" ref="Q61:R76" si="24">Q60</f>
        <v>150</v>
      </c>
      <c r="R61" s="50">
        <f t="shared" si="24"/>
        <v>270</v>
      </c>
    </row>
    <row r="62" spans="1:18" x14ac:dyDescent="0.25">
      <c r="A62" s="41">
        <f t="shared" si="22"/>
        <v>3656</v>
      </c>
      <c r="B62" s="42">
        <f t="shared" si="22"/>
        <v>52</v>
      </c>
      <c r="C62" s="41" t="s">
        <v>1281</v>
      </c>
      <c r="D62" s="43">
        <f t="shared" si="20"/>
        <v>11.8</v>
      </c>
      <c r="E62" s="61">
        <f t="shared" si="1"/>
        <v>2.0230000000000001</v>
      </c>
      <c r="F62" s="61">
        <f t="shared" ref="F62:F75" si="25">F61</f>
        <v>42</v>
      </c>
      <c r="G62" s="64">
        <f t="shared" si="14"/>
        <v>0.58988764044943809</v>
      </c>
      <c r="H62" s="51">
        <f t="shared" si="5"/>
        <v>5.7280449438202234</v>
      </c>
      <c r="I62" s="42" t="str">
        <f t="shared" si="23"/>
        <v>IEC</v>
      </c>
      <c r="J62" s="50">
        <f t="shared" si="21"/>
        <v>10.5</v>
      </c>
      <c r="K62" s="49">
        <f t="shared" si="21"/>
        <v>160</v>
      </c>
      <c r="L62" s="44">
        <f t="shared" si="21"/>
        <v>8</v>
      </c>
      <c r="M62" s="44">
        <f t="shared" si="21"/>
        <v>-8</v>
      </c>
      <c r="N62" s="45">
        <f t="shared" si="9"/>
        <v>0.2</v>
      </c>
      <c r="O62" s="49">
        <v>0</v>
      </c>
      <c r="P62" s="54">
        <f>K62+5.25</f>
        <v>165.25</v>
      </c>
      <c r="Q62" s="44">
        <f t="shared" si="24"/>
        <v>150</v>
      </c>
      <c r="R62" s="50">
        <f t="shared" si="24"/>
        <v>270</v>
      </c>
    </row>
    <row r="63" spans="1:18" x14ac:dyDescent="0.25">
      <c r="A63" s="41">
        <f t="shared" si="22"/>
        <v>3657</v>
      </c>
      <c r="B63" s="42">
        <f t="shared" si="22"/>
        <v>53</v>
      </c>
      <c r="C63" s="41" t="s">
        <v>1282</v>
      </c>
      <c r="D63" s="43">
        <f t="shared" si="20"/>
        <v>11.8</v>
      </c>
      <c r="E63" s="61">
        <f t="shared" si="1"/>
        <v>2.0230000000000001</v>
      </c>
      <c r="F63" s="61">
        <f t="shared" si="25"/>
        <v>42</v>
      </c>
      <c r="G63" s="64">
        <f t="shared" si="14"/>
        <v>0.58988764044943809</v>
      </c>
      <c r="H63" s="51">
        <f t="shared" si="5"/>
        <v>5.7280449438202234</v>
      </c>
      <c r="I63" s="42" t="str">
        <f t="shared" si="23"/>
        <v>IEC</v>
      </c>
      <c r="J63" s="50">
        <f t="shared" si="21"/>
        <v>10.5</v>
      </c>
      <c r="K63" s="49">
        <f t="shared" si="21"/>
        <v>160</v>
      </c>
      <c r="L63" s="44">
        <f t="shared" si="21"/>
        <v>8</v>
      </c>
      <c r="M63" s="44">
        <f t="shared" si="21"/>
        <v>-8</v>
      </c>
      <c r="N63" s="45">
        <f t="shared" si="9"/>
        <v>0.2</v>
      </c>
      <c r="O63" s="49">
        <v>30</v>
      </c>
      <c r="P63" s="54">
        <f>K63</f>
        <v>160</v>
      </c>
      <c r="Q63" s="44">
        <f t="shared" si="24"/>
        <v>150</v>
      </c>
      <c r="R63" s="50">
        <f t="shared" si="24"/>
        <v>270</v>
      </c>
    </row>
    <row r="64" spans="1:18" x14ac:dyDescent="0.25">
      <c r="A64" s="41">
        <f t="shared" si="22"/>
        <v>3658</v>
      </c>
      <c r="B64" s="42">
        <f t="shared" si="22"/>
        <v>54</v>
      </c>
      <c r="C64" s="41" t="s">
        <v>1283</v>
      </c>
      <c r="D64" s="43">
        <f t="shared" si="20"/>
        <v>11.8</v>
      </c>
      <c r="E64" s="61">
        <f t="shared" si="1"/>
        <v>2.0230000000000001</v>
      </c>
      <c r="F64" s="61">
        <f t="shared" si="25"/>
        <v>42</v>
      </c>
      <c r="G64" s="64">
        <f t="shared" si="14"/>
        <v>0.58988764044943809</v>
      </c>
      <c r="H64" s="51">
        <f t="shared" si="5"/>
        <v>5.7280449438202234</v>
      </c>
      <c r="I64" s="42" t="str">
        <f t="shared" si="23"/>
        <v>IEC</v>
      </c>
      <c r="J64" s="50">
        <f t="shared" si="21"/>
        <v>10.5</v>
      </c>
      <c r="K64" s="49">
        <f t="shared" si="21"/>
        <v>160</v>
      </c>
      <c r="L64" s="44">
        <f t="shared" si="21"/>
        <v>8</v>
      </c>
      <c r="M64" s="44">
        <f t="shared" si="21"/>
        <v>-8</v>
      </c>
      <c r="N64" s="45">
        <f t="shared" si="9"/>
        <v>0.2</v>
      </c>
      <c r="O64" s="49">
        <v>30</v>
      </c>
      <c r="P64" s="54">
        <f>K64+2.46</f>
        <v>162.46</v>
      </c>
      <c r="Q64" s="44">
        <f t="shared" si="24"/>
        <v>150</v>
      </c>
      <c r="R64" s="50">
        <f t="shared" si="24"/>
        <v>270</v>
      </c>
    </row>
    <row r="65" spans="1:18" x14ac:dyDescent="0.25">
      <c r="A65" s="41">
        <f t="shared" si="22"/>
        <v>3659</v>
      </c>
      <c r="B65" s="42">
        <f t="shared" si="22"/>
        <v>55</v>
      </c>
      <c r="C65" s="41" t="s">
        <v>1284</v>
      </c>
      <c r="D65" s="43">
        <f t="shared" si="20"/>
        <v>11.8</v>
      </c>
      <c r="E65" s="61">
        <f t="shared" si="1"/>
        <v>2.0230000000000001</v>
      </c>
      <c r="F65" s="61">
        <f t="shared" si="25"/>
        <v>42</v>
      </c>
      <c r="G65" s="64">
        <f t="shared" si="14"/>
        <v>0.58988764044943809</v>
      </c>
      <c r="H65" s="51">
        <f t="shared" si="5"/>
        <v>5.7280449438202234</v>
      </c>
      <c r="I65" s="42" t="str">
        <f t="shared" si="23"/>
        <v>IEC</v>
      </c>
      <c r="J65" s="50">
        <f t="shared" si="21"/>
        <v>10.5</v>
      </c>
      <c r="K65" s="49">
        <f t="shared" si="21"/>
        <v>160</v>
      </c>
      <c r="L65" s="44">
        <f t="shared" si="21"/>
        <v>8</v>
      </c>
      <c r="M65" s="44">
        <f t="shared" si="21"/>
        <v>-8</v>
      </c>
      <c r="N65" s="45">
        <f t="shared" si="9"/>
        <v>0.2</v>
      </c>
      <c r="O65" s="49">
        <v>30</v>
      </c>
      <c r="P65" s="54">
        <f>K65+4</f>
        <v>164</v>
      </c>
      <c r="Q65" s="44">
        <f t="shared" si="24"/>
        <v>150</v>
      </c>
      <c r="R65" s="50">
        <f t="shared" si="24"/>
        <v>270</v>
      </c>
    </row>
    <row r="66" spans="1:18" x14ac:dyDescent="0.25">
      <c r="A66" s="41">
        <f t="shared" si="22"/>
        <v>3660</v>
      </c>
      <c r="B66" s="42">
        <f t="shared" si="22"/>
        <v>56</v>
      </c>
      <c r="C66" s="41" t="s">
        <v>1285</v>
      </c>
      <c r="D66" s="43">
        <f t="shared" si="20"/>
        <v>11.8</v>
      </c>
      <c r="E66" s="61">
        <f t="shared" si="1"/>
        <v>2.0230000000000001</v>
      </c>
      <c r="F66" s="61">
        <f t="shared" si="25"/>
        <v>42</v>
      </c>
      <c r="G66" s="64">
        <f t="shared" si="14"/>
        <v>0.58988764044943809</v>
      </c>
      <c r="H66" s="51">
        <f t="shared" si="5"/>
        <v>5.7280449438202234</v>
      </c>
      <c r="I66" s="42" t="str">
        <f t="shared" si="23"/>
        <v>IEC</v>
      </c>
      <c r="J66" s="50">
        <f t="shared" si="21"/>
        <v>10.5</v>
      </c>
      <c r="K66" s="49">
        <f t="shared" si="21"/>
        <v>160</v>
      </c>
      <c r="L66" s="44">
        <f t="shared" si="21"/>
        <v>8</v>
      </c>
      <c r="M66" s="44">
        <f t="shared" si="21"/>
        <v>-8</v>
      </c>
      <c r="N66" s="45">
        <f t="shared" si="9"/>
        <v>0.2</v>
      </c>
      <c r="O66" s="49">
        <v>30</v>
      </c>
      <c r="P66" s="54">
        <f>K66+5.25</f>
        <v>165.25</v>
      </c>
      <c r="Q66" s="44">
        <f t="shared" si="24"/>
        <v>150</v>
      </c>
      <c r="R66" s="50">
        <f t="shared" si="24"/>
        <v>270</v>
      </c>
    </row>
    <row r="67" spans="1:18" x14ac:dyDescent="0.25">
      <c r="A67" s="41">
        <f t="shared" si="22"/>
        <v>3661</v>
      </c>
      <c r="B67" s="42">
        <f t="shared" si="22"/>
        <v>57</v>
      </c>
      <c r="C67" s="41" t="s">
        <v>1286</v>
      </c>
      <c r="D67" s="43">
        <f t="shared" si="20"/>
        <v>11.8</v>
      </c>
      <c r="E67" s="61">
        <f t="shared" si="1"/>
        <v>2.0230000000000001</v>
      </c>
      <c r="F67" s="61">
        <f t="shared" si="25"/>
        <v>42</v>
      </c>
      <c r="G67" s="64">
        <f t="shared" si="14"/>
        <v>0.58988764044943809</v>
      </c>
      <c r="H67" s="51">
        <f t="shared" si="5"/>
        <v>5.7280449438202234</v>
      </c>
      <c r="I67" s="42" t="str">
        <f t="shared" si="23"/>
        <v>IEC</v>
      </c>
      <c r="J67" s="50">
        <f t="shared" si="21"/>
        <v>10.5</v>
      </c>
      <c r="K67" s="49">
        <f t="shared" si="21"/>
        <v>160</v>
      </c>
      <c r="L67" s="44">
        <f t="shared" si="21"/>
        <v>8</v>
      </c>
      <c r="M67" s="44">
        <f t="shared" si="21"/>
        <v>-8</v>
      </c>
      <c r="N67" s="45">
        <f t="shared" si="9"/>
        <v>0.2</v>
      </c>
      <c r="O67" s="49">
        <v>60</v>
      </c>
      <c r="P67" s="54">
        <f>K67</f>
        <v>160</v>
      </c>
      <c r="Q67" s="44">
        <f t="shared" si="24"/>
        <v>150</v>
      </c>
      <c r="R67" s="50">
        <f t="shared" si="24"/>
        <v>270</v>
      </c>
    </row>
    <row r="68" spans="1:18" x14ac:dyDescent="0.25">
      <c r="A68" s="41">
        <f t="shared" si="22"/>
        <v>3662</v>
      </c>
      <c r="B68" s="42">
        <f t="shared" si="22"/>
        <v>58</v>
      </c>
      <c r="C68" s="41" t="s">
        <v>1287</v>
      </c>
      <c r="D68" s="43">
        <f t="shared" si="20"/>
        <v>11.8</v>
      </c>
      <c r="E68" s="61">
        <f t="shared" si="1"/>
        <v>2.0230000000000001</v>
      </c>
      <c r="F68" s="61">
        <f t="shared" si="25"/>
        <v>42</v>
      </c>
      <c r="G68" s="64">
        <f t="shared" si="14"/>
        <v>0.58988764044943809</v>
      </c>
      <c r="H68" s="51">
        <f t="shared" si="5"/>
        <v>5.7280449438202234</v>
      </c>
      <c r="I68" s="42" t="str">
        <f t="shared" si="23"/>
        <v>IEC</v>
      </c>
      <c r="J68" s="50">
        <f t="shared" si="21"/>
        <v>10.5</v>
      </c>
      <c r="K68" s="49">
        <f t="shared" si="21"/>
        <v>160</v>
      </c>
      <c r="L68" s="44">
        <f t="shared" si="21"/>
        <v>8</v>
      </c>
      <c r="M68" s="44">
        <f t="shared" si="21"/>
        <v>-8</v>
      </c>
      <c r="N68" s="45">
        <f t="shared" si="9"/>
        <v>0.2</v>
      </c>
      <c r="O68" s="49">
        <v>60</v>
      </c>
      <c r="P68" s="54">
        <f>K68+2.46</f>
        <v>162.46</v>
      </c>
      <c r="Q68" s="44">
        <f t="shared" si="24"/>
        <v>150</v>
      </c>
      <c r="R68" s="50">
        <f t="shared" si="24"/>
        <v>270</v>
      </c>
    </row>
    <row r="69" spans="1:18" x14ac:dyDescent="0.25">
      <c r="A69" s="41">
        <f t="shared" si="22"/>
        <v>3663</v>
      </c>
      <c r="B69" s="42">
        <f t="shared" si="22"/>
        <v>59</v>
      </c>
      <c r="C69" s="41" t="s">
        <v>1288</v>
      </c>
      <c r="D69" s="43">
        <f t="shared" si="20"/>
        <v>11.8</v>
      </c>
      <c r="E69" s="61">
        <f t="shared" si="1"/>
        <v>2.0230000000000001</v>
      </c>
      <c r="F69" s="61">
        <f t="shared" si="25"/>
        <v>42</v>
      </c>
      <c r="G69" s="64">
        <f t="shared" si="14"/>
        <v>0.58988764044943809</v>
      </c>
      <c r="H69" s="51">
        <f t="shared" si="5"/>
        <v>5.7280449438202234</v>
      </c>
      <c r="I69" s="42" t="str">
        <f t="shared" si="23"/>
        <v>IEC</v>
      </c>
      <c r="J69" s="50">
        <f t="shared" si="21"/>
        <v>10.5</v>
      </c>
      <c r="K69" s="49">
        <f t="shared" si="21"/>
        <v>160</v>
      </c>
      <c r="L69" s="44">
        <f t="shared" si="21"/>
        <v>8</v>
      </c>
      <c r="M69" s="44">
        <f t="shared" si="21"/>
        <v>-8</v>
      </c>
      <c r="N69" s="45">
        <f t="shared" si="9"/>
        <v>0.2</v>
      </c>
      <c r="O69" s="49">
        <v>60</v>
      </c>
      <c r="P69" s="54">
        <f>K69+4</f>
        <v>164</v>
      </c>
      <c r="Q69" s="44">
        <f t="shared" si="24"/>
        <v>150</v>
      </c>
      <c r="R69" s="50">
        <f t="shared" si="24"/>
        <v>270</v>
      </c>
    </row>
    <row r="70" spans="1:18" x14ac:dyDescent="0.25">
      <c r="A70" s="41">
        <f t="shared" si="22"/>
        <v>3664</v>
      </c>
      <c r="B70" s="42">
        <f t="shared" si="22"/>
        <v>60</v>
      </c>
      <c r="C70" s="41" t="s">
        <v>1289</v>
      </c>
      <c r="D70" s="43">
        <f t="shared" si="20"/>
        <v>11.8</v>
      </c>
      <c r="E70" s="61">
        <f t="shared" si="1"/>
        <v>2.0230000000000001</v>
      </c>
      <c r="F70" s="61">
        <f t="shared" si="25"/>
        <v>42</v>
      </c>
      <c r="G70" s="64">
        <f t="shared" si="14"/>
        <v>0.58988764044943809</v>
      </c>
      <c r="H70" s="51">
        <f t="shared" si="5"/>
        <v>5.7280449438202234</v>
      </c>
      <c r="I70" s="42" t="str">
        <f t="shared" si="23"/>
        <v>IEC</v>
      </c>
      <c r="J70" s="50">
        <f t="shared" si="21"/>
        <v>10.5</v>
      </c>
      <c r="K70" s="49">
        <f t="shared" si="21"/>
        <v>160</v>
      </c>
      <c r="L70" s="44">
        <f t="shared" si="21"/>
        <v>8</v>
      </c>
      <c r="M70" s="44">
        <f t="shared" si="21"/>
        <v>-8</v>
      </c>
      <c r="N70" s="45">
        <f t="shared" si="9"/>
        <v>0.2</v>
      </c>
      <c r="O70" s="49">
        <v>60</v>
      </c>
      <c r="P70" s="54">
        <f>K70+5.25</f>
        <v>165.25</v>
      </c>
      <c r="Q70" s="44">
        <f t="shared" si="24"/>
        <v>150</v>
      </c>
      <c r="R70" s="50">
        <f t="shared" si="24"/>
        <v>270</v>
      </c>
    </row>
    <row r="71" spans="1:18" x14ac:dyDescent="0.25">
      <c r="A71" s="41">
        <f t="shared" si="22"/>
        <v>3665</v>
      </c>
      <c r="B71" s="42">
        <f t="shared" si="22"/>
        <v>61</v>
      </c>
      <c r="C71" s="41" t="s">
        <v>1290</v>
      </c>
      <c r="D71" s="43">
        <f t="shared" si="20"/>
        <v>11.8</v>
      </c>
      <c r="E71" s="61">
        <f t="shared" si="1"/>
        <v>2.0230000000000001</v>
      </c>
      <c r="F71" s="61">
        <f t="shared" si="25"/>
        <v>42</v>
      </c>
      <c r="G71" s="64">
        <f t="shared" si="14"/>
        <v>0.58988764044943809</v>
      </c>
      <c r="H71" s="51">
        <f t="shared" si="5"/>
        <v>5.7280449438202234</v>
      </c>
      <c r="I71" s="42" t="str">
        <f t="shared" si="23"/>
        <v>IEC</v>
      </c>
      <c r="J71" s="50">
        <f t="shared" si="21"/>
        <v>10.5</v>
      </c>
      <c r="K71" s="49">
        <f t="shared" si="21"/>
        <v>160</v>
      </c>
      <c r="L71" s="44">
        <f t="shared" si="21"/>
        <v>8</v>
      </c>
      <c r="M71" s="44">
        <f t="shared" si="21"/>
        <v>-8</v>
      </c>
      <c r="N71" s="45">
        <f t="shared" si="9"/>
        <v>0.2</v>
      </c>
      <c r="O71" s="49">
        <v>90</v>
      </c>
      <c r="P71" s="54">
        <f>K71</f>
        <v>160</v>
      </c>
      <c r="Q71" s="44">
        <f t="shared" si="24"/>
        <v>150</v>
      </c>
      <c r="R71" s="50">
        <f t="shared" si="24"/>
        <v>270</v>
      </c>
    </row>
    <row r="72" spans="1:18" x14ac:dyDescent="0.25">
      <c r="A72" s="41">
        <f t="shared" si="22"/>
        <v>3666</v>
      </c>
      <c r="B72" s="42">
        <f t="shared" si="22"/>
        <v>62</v>
      </c>
      <c r="C72" s="41" t="s">
        <v>1291</v>
      </c>
      <c r="D72" s="43">
        <f t="shared" si="20"/>
        <v>11.8</v>
      </c>
      <c r="E72" s="61">
        <f t="shared" si="1"/>
        <v>2.0230000000000001</v>
      </c>
      <c r="F72" s="61">
        <f t="shared" si="25"/>
        <v>42</v>
      </c>
      <c r="G72" s="64">
        <f t="shared" si="14"/>
        <v>0.58988764044943809</v>
      </c>
      <c r="H72" s="51">
        <f t="shared" si="5"/>
        <v>5.7280449438202234</v>
      </c>
      <c r="I72" s="42" t="str">
        <f t="shared" si="23"/>
        <v>IEC</v>
      </c>
      <c r="J72" s="50">
        <f t="shared" si="21"/>
        <v>10.5</v>
      </c>
      <c r="K72" s="49">
        <f t="shared" si="21"/>
        <v>160</v>
      </c>
      <c r="L72" s="44">
        <f t="shared" si="21"/>
        <v>8</v>
      </c>
      <c r="M72" s="44">
        <f t="shared" si="21"/>
        <v>-8</v>
      </c>
      <c r="N72" s="45">
        <f t="shared" si="9"/>
        <v>0.2</v>
      </c>
      <c r="O72" s="49">
        <v>90</v>
      </c>
      <c r="P72" s="54">
        <f>K72+2.46</f>
        <v>162.46</v>
      </c>
      <c r="Q72" s="44">
        <f t="shared" si="24"/>
        <v>150</v>
      </c>
      <c r="R72" s="50">
        <f t="shared" si="24"/>
        <v>270</v>
      </c>
    </row>
    <row r="73" spans="1:18" x14ac:dyDescent="0.25">
      <c r="A73" s="41">
        <f t="shared" si="22"/>
        <v>3667</v>
      </c>
      <c r="B73" s="42">
        <f t="shared" si="22"/>
        <v>63</v>
      </c>
      <c r="C73" s="41" t="s">
        <v>1292</v>
      </c>
      <c r="D73" s="43">
        <f t="shared" si="20"/>
        <v>11.8</v>
      </c>
      <c r="E73" s="61">
        <f t="shared" si="1"/>
        <v>2.0230000000000001</v>
      </c>
      <c r="F73" s="61">
        <f t="shared" si="25"/>
        <v>42</v>
      </c>
      <c r="G73" s="64">
        <f t="shared" si="14"/>
        <v>0.58988764044943809</v>
      </c>
      <c r="H73" s="51">
        <f t="shared" si="5"/>
        <v>5.7280449438202234</v>
      </c>
      <c r="I73" s="42" t="str">
        <f t="shared" si="23"/>
        <v>IEC</v>
      </c>
      <c r="J73" s="50">
        <f t="shared" si="21"/>
        <v>10.5</v>
      </c>
      <c r="K73" s="49">
        <f t="shared" si="21"/>
        <v>160</v>
      </c>
      <c r="L73" s="44">
        <f t="shared" si="21"/>
        <v>8</v>
      </c>
      <c r="M73" s="44">
        <f t="shared" si="21"/>
        <v>-8</v>
      </c>
      <c r="N73" s="45">
        <f t="shared" si="9"/>
        <v>0.2</v>
      </c>
      <c r="O73" s="49">
        <v>90</v>
      </c>
      <c r="P73" s="54">
        <f>K73+4</f>
        <v>164</v>
      </c>
      <c r="Q73" s="44">
        <f t="shared" si="24"/>
        <v>150</v>
      </c>
      <c r="R73" s="50">
        <f t="shared" si="24"/>
        <v>270</v>
      </c>
    </row>
    <row r="74" spans="1:18" x14ac:dyDescent="0.25">
      <c r="A74" s="41">
        <f t="shared" si="22"/>
        <v>3668</v>
      </c>
      <c r="B74" s="42">
        <f t="shared" si="22"/>
        <v>64</v>
      </c>
      <c r="C74" s="41" t="s">
        <v>1293</v>
      </c>
      <c r="D74" s="43">
        <f t="shared" si="20"/>
        <v>11.8</v>
      </c>
      <c r="E74" s="61">
        <f t="shared" si="1"/>
        <v>2.0230000000000001</v>
      </c>
      <c r="F74" s="61">
        <f t="shared" si="25"/>
        <v>42</v>
      </c>
      <c r="G74" s="64">
        <f t="shared" si="14"/>
        <v>0.58988764044943809</v>
      </c>
      <c r="H74" s="51">
        <f t="shared" si="5"/>
        <v>5.7280449438202234</v>
      </c>
      <c r="I74" s="42" t="str">
        <f t="shared" si="23"/>
        <v>IEC</v>
      </c>
      <c r="J74" s="50">
        <f t="shared" si="21"/>
        <v>10.5</v>
      </c>
      <c r="K74" s="49">
        <f t="shared" si="21"/>
        <v>160</v>
      </c>
      <c r="L74" s="44">
        <f t="shared" si="21"/>
        <v>8</v>
      </c>
      <c r="M74" s="44">
        <f t="shared" si="21"/>
        <v>-8</v>
      </c>
      <c r="N74" s="45">
        <f t="shared" si="9"/>
        <v>0.2</v>
      </c>
      <c r="O74" s="49">
        <v>90</v>
      </c>
      <c r="P74" s="54">
        <f>K74+5.25</f>
        <v>165.25</v>
      </c>
      <c r="Q74" s="44">
        <f t="shared" si="24"/>
        <v>150</v>
      </c>
      <c r="R74" s="50">
        <f t="shared" si="24"/>
        <v>270</v>
      </c>
    </row>
    <row r="75" spans="1:18" x14ac:dyDescent="0.25">
      <c r="A75" s="41">
        <f t="shared" si="22"/>
        <v>3669</v>
      </c>
      <c r="B75" s="42">
        <f>B74+1</f>
        <v>65</v>
      </c>
      <c r="C75" s="41" t="s">
        <v>1294</v>
      </c>
      <c r="D75" s="43">
        <f t="shared" si="20"/>
        <v>11.8</v>
      </c>
      <c r="E75" s="61">
        <f t="shared" ref="E75:E138" si="26">I_ref*(0.75*D75+5.6)</f>
        <v>2.0230000000000001</v>
      </c>
      <c r="F75" s="61">
        <f t="shared" si="25"/>
        <v>42</v>
      </c>
      <c r="G75" s="64">
        <f t="shared" ref="G75:G106" si="27">1/(1+0.2*(diameter/F75))</f>
        <v>0.58988764044943809</v>
      </c>
      <c r="H75" s="51">
        <f t="shared" si="5"/>
        <v>5.7280449438202234</v>
      </c>
      <c r="I75" s="42" t="str">
        <f t="shared" si="23"/>
        <v>IEC</v>
      </c>
      <c r="J75" s="50">
        <f t="shared" si="21"/>
        <v>10.5</v>
      </c>
      <c r="K75" s="49">
        <f t="shared" si="21"/>
        <v>160</v>
      </c>
      <c r="L75" s="44">
        <f t="shared" si="21"/>
        <v>8</v>
      </c>
      <c r="M75" s="44">
        <f>yaw_null</f>
        <v>0</v>
      </c>
      <c r="N75" s="45">
        <f t="shared" si="9"/>
        <v>0.2</v>
      </c>
      <c r="O75" s="49">
        <v>0</v>
      </c>
      <c r="P75" s="54">
        <f>K75</f>
        <v>160</v>
      </c>
      <c r="Q75" s="44">
        <f t="shared" si="24"/>
        <v>150</v>
      </c>
      <c r="R75" s="50">
        <f t="shared" si="24"/>
        <v>270</v>
      </c>
    </row>
    <row r="76" spans="1:18" x14ac:dyDescent="0.25">
      <c r="A76" s="41">
        <f t="shared" si="22"/>
        <v>3670</v>
      </c>
      <c r="B76" s="42">
        <f t="shared" si="22"/>
        <v>66</v>
      </c>
      <c r="C76" s="41" t="s">
        <v>1295</v>
      </c>
      <c r="D76" s="43">
        <f t="shared" si="20"/>
        <v>11.8</v>
      </c>
      <c r="E76" s="61">
        <f t="shared" si="26"/>
        <v>2.0230000000000001</v>
      </c>
      <c r="F76" s="61">
        <f>F75</f>
        <v>42</v>
      </c>
      <c r="G76" s="64">
        <f t="shared" si="27"/>
        <v>0.58988764044943809</v>
      </c>
      <c r="H76" s="51">
        <f t="shared" si="5"/>
        <v>5.7280449438202234</v>
      </c>
      <c r="I76" s="42" t="str">
        <f>I75</f>
        <v>IEC</v>
      </c>
      <c r="J76" s="50">
        <f>J75</f>
        <v>10.5</v>
      </c>
      <c r="K76" s="49">
        <f>K75</f>
        <v>160</v>
      </c>
      <c r="L76" s="44">
        <f>L75</f>
        <v>8</v>
      </c>
      <c r="M76" s="44">
        <f>M75</f>
        <v>0</v>
      </c>
      <c r="N76" s="45">
        <f t="shared" si="9"/>
        <v>0.2</v>
      </c>
      <c r="O76" s="49">
        <v>0</v>
      </c>
      <c r="P76" s="54">
        <f>K76+2.46</f>
        <v>162.46</v>
      </c>
      <c r="Q76" s="44">
        <f t="shared" si="24"/>
        <v>150</v>
      </c>
      <c r="R76" s="50">
        <f>R75</f>
        <v>270</v>
      </c>
    </row>
    <row r="77" spans="1:18" x14ac:dyDescent="0.25">
      <c r="A77" s="41">
        <f t="shared" ref="A77:B92" si="28">A76+1</f>
        <v>3671</v>
      </c>
      <c r="B77" s="42">
        <f t="shared" si="28"/>
        <v>67</v>
      </c>
      <c r="C77" s="41" t="s">
        <v>1296</v>
      </c>
      <c r="D77" s="43">
        <f t="shared" si="20"/>
        <v>11.8</v>
      </c>
      <c r="E77" s="61">
        <f t="shared" si="26"/>
        <v>2.0230000000000001</v>
      </c>
      <c r="F77" s="61">
        <f>F76</f>
        <v>42</v>
      </c>
      <c r="G77" s="64">
        <f t="shared" si="27"/>
        <v>0.58988764044943809</v>
      </c>
      <c r="H77" s="51">
        <f t="shared" ref="H77:H140" si="29">4.8*E77*G77</f>
        <v>5.7280449438202234</v>
      </c>
      <c r="I77" s="42" t="str">
        <f t="shared" ref="I77:M92" si="30">I76</f>
        <v>IEC</v>
      </c>
      <c r="J77" s="50">
        <f t="shared" si="30"/>
        <v>10.5</v>
      </c>
      <c r="K77" s="49">
        <f t="shared" si="30"/>
        <v>160</v>
      </c>
      <c r="L77" s="44">
        <f t="shared" si="30"/>
        <v>8</v>
      </c>
      <c r="M77" s="44">
        <f t="shared" si="30"/>
        <v>0</v>
      </c>
      <c r="N77" s="45">
        <f t="shared" si="9"/>
        <v>0.2</v>
      </c>
      <c r="O77" s="49">
        <v>0</v>
      </c>
      <c r="P77" s="54">
        <f>K77+4</f>
        <v>164</v>
      </c>
      <c r="Q77" s="44">
        <f t="shared" ref="Q77:R92" si="31">Q76</f>
        <v>150</v>
      </c>
      <c r="R77" s="50">
        <f t="shared" si="31"/>
        <v>270</v>
      </c>
    </row>
    <row r="78" spans="1:18" x14ac:dyDescent="0.25">
      <c r="A78" s="41">
        <f t="shared" si="28"/>
        <v>3672</v>
      </c>
      <c r="B78" s="42">
        <f t="shared" si="28"/>
        <v>68</v>
      </c>
      <c r="C78" s="41" t="s">
        <v>1297</v>
      </c>
      <c r="D78" s="43">
        <f t="shared" si="20"/>
        <v>11.8</v>
      </c>
      <c r="E78" s="61">
        <f t="shared" si="26"/>
        <v>2.0230000000000001</v>
      </c>
      <c r="F78" s="61">
        <f t="shared" ref="F78:F91" si="32">F77</f>
        <v>42</v>
      </c>
      <c r="G78" s="64">
        <f t="shared" si="27"/>
        <v>0.58988764044943809</v>
      </c>
      <c r="H78" s="51">
        <f t="shared" si="29"/>
        <v>5.7280449438202234</v>
      </c>
      <c r="I78" s="42" t="str">
        <f t="shared" si="30"/>
        <v>IEC</v>
      </c>
      <c r="J78" s="50">
        <f t="shared" si="30"/>
        <v>10.5</v>
      </c>
      <c r="K78" s="49">
        <f t="shared" si="30"/>
        <v>160</v>
      </c>
      <c r="L78" s="44">
        <f t="shared" si="30"/>
        <v>8</v>
      </c>
      <c r="M78" s="44">
        <f t="shared" si="30"/>
        <v>0</v>
      </c>
      <c r="N78" s="45">
        <f t="shared" si="9"/>
        <v>0.2</v>
      </c>
      <c r="O78" s="49">
        <v>0</v>
      </c>
      <c r="P78" s="54">
        <f>K78+5.25</f>
        <v>165.25</v>
      </c>
      <c r="Q78" s="44">
        <f t="shared" si="31"/>
        <v>150</v>
      </c>
      <c r="R78" s="50">
        <f t="shared" si="31"/>
        <v>270</v>
      </c>
    </row>
    <row r="79" spans="1:18" x14ac:dyDescent="0.25">
      <c r="A79" s="41">
        <f t="shared" si="28"/>
        <v>3673</v>
      </c>
      <c r="B79" s="42">
        <f t="shared" si="28"/>
        <v>69</v>
      </c>
      <c r="C79" s="41" t="s">
        <v>1298</v>
      </c>
      <c r="D79" s="43">
        <f t="shared" si="20"/>
        <v>11.8</v>
      </c>
      <c r="E79" s="61">
        <f t="shared" si="26"/>
        <v>2.0230000000000001</v>
      </c>
      <c r="F79" s="61">
        <f t="shared" si="32"/>
        <v>42</v>
      </c>
      <c r="G79" s="64">
        <f t="shared" si="27"/>
        <v>0.58988764044943809</v>
      </c>
      <c r="H79" s="51">
        <f t="shared" si="29"/>
        <v>5.7280449438202234</v>
      </c>
      <c r="I79" s="42" t="str">
        <f t="shared" si="30"/>
        <v>IEC</v>
      </c>
      <c r="J79" s="50">
        <f t="shared" si="30"/>
        <v>10.5</v>
      </c>
      <c r="K79" s="49">
        <f t="shared" si="30"/>
        <v>160</v>
      </c>
      <c r="L79" s="44">
        <f t="shared" si="30"/>
        <v>8</v>
      </c>
      <c r="M79" s="44">
        <f t="shared" si="30"/>
        <v>0</v>
      </c>
      <c r="N79" s="45">
        <f t="shared" si="9"/>
        <v>0.2</v>
      </c>
      <c r="O79" s="49">
        <v>30</v>
      </c>
      <c r="P79" s="54">
        <f>K79</f>
        <v>160</v>
      </c>
      <c r="Q79" s="44">
        <f t="shared" si="31"/>
        <v>150</v>
      </c>
      <c r="R79" s="50">
        <f t="shared" si="31"/>
        <v>270</v>
      </c>
    </row>
    <row r="80" spans="1:18" x14ac:dyDescent="0.25">
      <c r="A80" s="41">
        <f t="shared" si="28"/>
        <v>3674</v>
      </c>
      <c r="B80" s="42">
        <f t="shared" si="28"/>
        <v>70</v>
      </c>
      <c r="C80" s="41" t="s">
        <v>1299</v>
      </c>
      <c r="D80" s="43">
        <f t="shared" si="20"/>
        <v>11.8</v>
      </c>
      <c r="E80" s="61">
        <f t="shared" si="26"/>
        <v>2.0230000000000001</v>
      </c>
      <c r="F80" s="61">
        <f t="shared" si="32"/>
        <v>42</v>
      </c>
      <c r="G80" s="64">
        <f t="shared" si="27"/>
        <v>0.58988764044943809</v>
      </c>
      <c r="H80" s="51">
        <f t="shared" si="29"/>
        <v>5.7280449438202234</v>
      </c>
      <c r="I80" s="42" t="str">
        <f t="shared" si="30"/>
        <v>IEC</v>
      </c>
      <c r="J80" s="50">
        <f t="shared" si="30"/>
        <v>10.5</v>
      </c>
      <c r="K80" s="49">
        <f t="shared" si="30"/>
        <v>160</v>
      </c>
      <c r="L80" s="44">
        <f t="shared" si="30"/>
        <v>8</v>
      </c>
      <c r="M80" s="44">
        <f t="shared" si="30"/>
        <v>0</v>
      </c>
      <c r="N80" s="45">
        <f t="shared" si="9"/>
        <v>0.2</v>
      </c>
      <c r="O80" s="49">
        <v>30</v>
      </c>
      <c r="P80" s="54">
        <f>K80+2.46</f>
        <v>162.46</v>
      </c>
      <c r="Q80" s="44">
        <f t="shared" si="31"/>
        <v>150</v>
      </c>
      <c r="R80" s="50">
        <f t="shared" si="31"/>
        <v>270</v>
      </c>
    </row>
    <row r="81" spans="1:18" x14ac:dyDescent="0.25">
      <c r="A81" s="41">
        <f t="shared" si="28"/>
        <v>3675</v>
      </c>
      <c r="B81" s="42">
        <f t="shared" si="28"/>
        <v>71</v>
      </c>
      <c r="C81" s="41" t="s">
        <v>1300</v>
      </c>
      <c r="D81" s="43">
        <f t="shared" si="20"/>
        <v>11.8</v>
      </c>
      <c r="E81" s="61">
        <f t="shared" si="26"/>
        <v>2.0230000000000001</v>
      </c>
      <c r="F81" s="61">
        <f t="shared" si="32"/>
        <v>42</v>
      </c>
      <c r="G81" s="64">
        <f t="shared" si="27"/>
        <v>0.58988764044943809</v>
      </c>
      <c r="H81" s="51">
        <f t="shared" si="29"/>
        <v>5.7280449438202234</v>
      </c>
      <c r="I81" s="42" t="str">
        <f t="shared" si="30"/>
        <v>IEC</v>
      </c>
      <c r="J81" s="50">
        <f t="shared" si="30"/>
        <v>10.5</v>
      </c>
      <c r="K81" s="49">
        <f t="shared" si="30"/>
        <v>160</v>
      </c>
      <c r="L81" s="44">
        <f t="shared" si="30"/>
        <v>8</v>
      </c>
      <c r="M81" s="44">
        <f t="shared" si="30"/>
        <v>0</v>
      </c>
      <c r="N81" s="45">
        <f t="shared" si="9"/>
        <v>0.2</v>
      </c>
      <c r="O81" s="49">
        <v>30</v>
      </c>
      <c r="P81" s="54">
        <f>K81+4</f>
        <v>164</v>
      </c>
      <c r="Q81" s="44">
        <f t="shared" si="31"/>
        <v>150</v>
      </c>
      <c r="R81" s="50">
        <f t="shared" si="31"/>
        <v>270</v>
      </c>
    </row>
    <row r="82" spans="1:18" x14ac:dyDescent="0.25">
      <c r="A82" s="41">
        <f t="shared" si="28"/>
        <v>3676</v>
      </c>
      <c r="B82" s="42">
        <f t="shared" si="28"/>
        <v>72</v>
      </c>
      <c r="C82" s="41" t="s">
        <v>1301</v>
      </c>
      <c r="D82" s="43">
        <f t="shared" si="20"/>
        <v>11.8</v>
      </c>
      <c r="E82" s="61">
        <f t="shared" si="26"/>
        <v>2.0230000000000001</v>
      </c>
      <c r="F82" s="61">
        <f t="shared" si="32"/>
        <v>42</v>
      </c>
      <c r="G82" s="64">
        <f t="shared" si="27"/>
        <v>0.58988764044943809</v>
      </c>
      <c r="H82" s="51">
        <f t="shared" si="29"/>
        <v>5.7280449438202234</v>
      </c>
      <c r="I82" s="42" t="str">
        <f t="shared" si="30"/>
        <v>IEC</v>
      </c>
      <c r="J82" s="50">
        <f t="shared" si="30"/>
        <v>10.5</v>
      </c>
      <c r="K82" s="49">
        <f t="shared" si="30"/>
        <v>160</v>
      </c>
      <c r="L82" s="44">
        <f t="shared" si="30"/>
        <v>8</v>
      </c>
      <c r="M82" s="44">
        <f t="shared" si="30"/>
        <v>0</v>
      </c>
      <c r="N82" s="45">
        <f t="shared" si="9"/>
        <v>0.2</v>
      </c>
      <c r="O82" s="49">
        <v>30</v>
      </c>
      <c r="P82" s="54">
        <f>K82+5.25</f>
        <v>165.25</v>
      </c>
      <c r="Q82" s="44">
        <f t="shared" si="31"/>
        <v>150</v>
      </c>
      <c r="R82" s="50">
        <f t="shared" si="31"/>
        <v>270</v>
      </c>
    </row>
    <row r="83" spans="1:18" x14ac:dyDescent="0.25">
      <c r="A83" s="41">
        <f t="shared" si="28"/>
        <v>3677</v>
      </c>
      <c r="B83" s="42">
        <f t="shared" si="28"/>
        <v>73</v>
      </c>
      <c r="C83" s="41" t="s">
        <v>1302</v>
      </c>
      <c r="D83" s="43">
        <f t="shared" si="20"/>
        <v>11.8</v>
      </c>
      <c r="E83" s="61">
        <f t="shared" si="26"/>
        <v>2.0230000000000001</v>
      </c>
      <c r="F83" s="61">
        <f t="shared" si="32"/>
        <v>42</v>
      </c>
      <c r="G83" s="64">
        <f t="shared" si="27"/>
        <v>0.58988764044943809</v>
      </c>
      <c r="H83" s="51">
        <f t="shared" si="29"/>
        <v>5.7280449438202234</v>
      </c>
      <c r="I83" s="42" t="str">
        <f t="shared" si="30"/>
        <v>IEC</v>
      </c>
      <c r="J83" s="50">
        <f t="shared" si="30"/>
        <v>10.5</v>
      </c>
      <c r="K83" s="49">
        <f t="shared" si="30"/>
        <v>160</v>
      </c>
      <c r="L83" s="44">
        <f t="shared" si="30"/>
        <v>8</v>
      </c>
      <c r="M83" s="44">
        <f t="shared" si="30"/>
        <v>0</v>
      </c>
      <c r="N83" s="45">
        <f t="shared" si="9"/>
        <v>0.2</v>
      </c>
      <c r="O83" s="49">
        <v>60</v>
      </c>
      <c r="P83" s="54">
        <f>K83</f>
        <v>160</v>
      </c>
      <c r="Q83" s="44">
        <f t="shared" si="31"/>
        <v>150</v>
      </c>
      <c r="R83" s="50">
        <f t="shared" si="31"/>
        <v>270</v>
      </c>
    </row>
    <row r="84" spans="1:18" x14ac:dyDescent="0.25">
      <c r="A84" s="41">
        <f t="shared" si="28"/>
        <v>3678</v>
      </c>
      <c r="B84" s="42">
        <f t="shared" si="28"/>
        <v>74</v>
      </c>
      <c r="C84" s="41" t="s">
        <v>1303</v>
      </c>
      <c r="D84" s="43">
        <f t="shared" si="20"/>
        <v>11.8</v>
      </c>
      <c r="E84" s="61">
        <f t="shared" si="26"/>
        <v>2.0230000000000001</v>
      </c>
      <c r="F84" s="61">
        <f t="shared" si="32"/>
        <v>42</v>
      </c>
      <c r="G84" s="64">
        <f t="shared" si="27"/>
        <v>0.58988764044943809</v>
      </c>
      <c r="H84" s="51">
        <f t="shared" si="29"/>
        <v>5.7280449438202234</v>
      </c>
      <c r="I84" s="42" t="str">
        <f t="shared" si="30"/>
        <v>IEC</v>
      </c>
      <c r="J84" s="50">
        <f t="shared" si="30"/>
        <v>10.5</v>
      </c>
      <c r="K84" s="49">
        <f t="shared" si="30"/>
        <v>160</v>
      </c>
      <c r="L84" s="44">
        <f t="shared" si="30"/>
        <v>8</v>
      </c>
      <c r="M84" s="44">
        <f t="shared" si="30"/>
        <v>0</v>
      </c>
      <c r="N84" s="45">
        <f t="shared" si="9"/>
        <v>0.2</v>
      </c>
      <c r="O84" s="49">
        <v>60</v>
      </c>
      <c r="P84" s="54">
        <f>K84+2.46</f>
        <v>162.46</v>
      </c>
      <c r="Q84" s="44">
        <f t="shared" si="31"/>
        <v>150</v>
      </c>
      <c r="R84" s="50">
        <f t="shared" si="31"/>
        <v>270</v>
      </c>
    </row>
    <row r="85" spans="1:18" x14ac:dyDescent="0.25">
      <c r="A85" s="41">
        <f t="shared" si="28"/>
        <v>3679</v>
      </c>
      <c r="B85" s="42">
        <f t="shared" si="28"/>
        <v>75</v>
      </c>
      <c r="C85" s="41" t="s">
        <v>1304</v>
      </c>
      <c r="D85" s="43">
        <f t="shared" si="20"/>
        <v>11.8</v>
      </c>
      <c r="E85" s="61">
        <f t="shared" si="26"/>
        <v>2.0230000000000001</v>
      </c>
      <c r="F85" s="61">
        <f t="shared" si="32"/>
        <v>42</v>
      </c>
      <c r="G85" s="64">
        <f t="shared" si="27"/>
        <v>0.58988764044943809</v>
      </c>
      <c r="H85" s="51">
        <f t="shared" si="29"/>
        <v>5.7280449438202234</v>
      </c>
      <c r="I85" s="42" t="str">
        <f t="shared" si="30"/>
        <v>IEC</v>
      </c>
      <c r="J85" s="50">
        <f t="shared" si="30"/>
        <v>10.5</v>
      </c>
      <c r="K85" s="49">
        <f t="shared" si="30"/>
        <v>160</v>
      </c>
      <c r="L85" s="44">
        <f t="shared" si="30"/>
        <v>8</v>
      </c>
      <c r="M85" s="44">
        <f t="shared" si="30"/>
        <v>0</v>
      </c>
      <c r="N85" s="45">
        <f t="shared" si="9"/>
        <v>0.2</v>
      </c>
      <c r="O85" s="49">
        <v>60</v>
      </c>
      <c r="P85" s="54">
        <f>K85+4</f>
        <v>164</v>
      </c>
      <c r="Q85" s="44">
        <f t="shared" si="31"/>
        <v>150</v>
      </c>
      <c r="R85" s="50">
        <f t="shared" si="31"/>
        <v>270</v>
      </c>
    </row>
    <row r="86" spans="1:18" x14ac:dyDescent="0.25">
      <c r="A86" s="41">
        <f t="shared" si="28"/>
        <v>3680</v>
      </c>
      <c r="B86" s="42">
        <f t="shared" si="28"/>
        <v>76</v>
      </c>
      <c r="C86" s="41" t="s">
        <v>1305</v>
      </c>
      <c r="D86" s="43">
        <f t="shared" si="20"/>
        <v>11.8</v>
      </c>
      <c r="E86" s="61">
        <f t="shared" si="26"/>
        <v>2.0230000000000001</v>
      </c>
      <c r="F86" s="61">
        <f t="shared" si="32"/>
        <v>42</v>
      </c>
      <c r="G86" s="64">
        <f t="shared" si="27"/>
        <v>0.58988764044943809</v>
      </c>
      <c r="H86" s="51">
        <f t="shared" si="29"/>
        <v>5.7280449438202234</v>
      </c>
      <c r="I86" s="42" t="str">
        <f t="shared" si="30"/>
        <v>IEC</v>
      </c>
      <c r="J86" s="50">
        <f t="shared" si="30"/>
        <v>10.5</v>
      </c>
      <c r="K86" s="49">
        <f t="shared" si="30"/>
        <v>160</v>
      </c>
      <c r="L86" s="44">
        <f t="shared" si="30"/>
        <v>8</v>
      </c>
      <c r="M86" s="44">
        <f t="shared" si="30"/>
        <v>0</v>
      </c>
      <c r="N86" s="45">
        <f t="shared" si="9"/>
        <v>0.2</v>
      </c>
      <c r="O86" s="49">
        <v>60</v>
      </c>
      <c r="P86" s="54">
        <f>K86+5.25</f>
        <v>165.25</v>
      </c>
      <c r="Q86" s="44">
        <f t="shared" si="31"/>
        <v>150</v>
      </c>
      <c r="R86" s="50">
        <f t="shared" si="31"/>
        <v>270</v>
      </c>
    </row>
    <row r="87" spans="1:18" x14ac:dyDescent="0.25">
      <c r="A87" s="41">
        <f t="shared" si="28"/>
        <v>3681</v>
      </c>
      <c r="B87" s="42">
        <f t="shared" si="28"/>
        <v>77</v>
      </c>
      <c r="C87" s="41" t="s">
        <v>1306</v>
      </c>
      <c r="D87" s="43">
        <f t="shared" si="20"/>
        <v>11.8</v>
      </c>
      <c r="E87" s="61">
        <f t="shared" si="26"/>
        <v>2.0230000000000001</v>
      </c>
      <c r="F87" s="61">
        <f t="shared" si="32"/>
        <v>42</v>
      </c>
      <c r="G87" s="64">
        <f t="shared" si="27"/>
        <v>0.58988764044943809</v>
      </c>
      <c r="H87" s="51">
        <f t="shared" si="29"/>
        <v>5.7280449438202234</v>
      </c>
      <c r="I87" s="42" t="str">
        <f t="shared" si="30"/>
        <v>IEC</v>
      </c>
      <c r="J87" s="50">
        <f t="shared" si="30"/>
        <v>10.5</v>
      </c>
      <c r="K87" s="49">
        <f t="shared" si="30"/>
        <v>160</v>
      </c>
      <c r="L87" s="44">
        <f t="shared" si="30"/>
        <v>8</v>
      </c>
      <c r="M87" s="44">
        <f t="shared" si="30"/>
        <v>0</v>
      </c>
      <c r="N87" s="45">
        <f t="shared" si="9"/>
        <v>0.2</v>
      </c>
      <c r="O87" s="49">
        <v>90</v>
      </c>
      <c r="P87" s="54">
        <f>K87</f>
        <v>160</v>
      </c>
      <c r="Q87" s="44">
        <f t="shared" si="31"/>
        <v>150</v>
      </c>
      <c r="R87" s="50">
        <f t="shared" si="31"/>
        <v>270</v>
      </c>
    </row>
    <row r="88" spans="1:18" x14ac:dyDescent="0.25">
      <c r="A88" s="41">
        <f t="shared" si="28"/>
        <v>3682</v>
      </c>
      <c r="B88" s="42">
        <f t="shared" si="28"/>
        <v>78</v>
      </c>
      <c r="C88" s="41" t="s">
        <v>1307</v>
      </c>
      <c r="D88" s="43">
        <f t="shared" si="20"/>
        <v>11.8</v>
      </c>
      <c r="E88" s="61">
        <f t="shared" si="26"/>
        <v>2.0230000000000001</v>
      </c>
      <c r="F88" s="61">
        <f t="shared" si="32"/>
        <v>42</v>
      </c>
      <c r="G88" s="64">
        <f t="shared" si="27"/>
        <v>0.58988764044943809</v>
      </c>
      <c r="H88" s="51">
        <f t="shared" si="29"/>
        <v>5.7280449438202234</v>
      </c>
      <c r="I88" s="42" t="str">
        <f t="shared" si="30"/>
        <v>IEC</v>
      </c>
      <c r="J88" s="50">
        <f t="shared" si="30"/>
        <v>10.5</v>
      </c>
      <c r="K88" s="49">
        <f t="shared" si="30"/>
        <v>160</v>
      </c>
      <c r="L88" s="44">
        <f t="shared" si="30"/>
        <v>8</v>
      </c>
      <c r="M88" s="44">
        <f t="shared" si="30"/>
        <v>0</v>
      </c>
      <c r="N88" s="45">
        <f t="shared" si="9"/>
        <v>0.2</v>
      </c>
      <c r="O88" s="49">
        <v>90</v>
      </c>
      <c r="P88" s="54">
        <f>K88+2.46</f>
        <v>162.46</v>
      </c>
      <c r="Q88" s="44">
        <f t="shared" si="31"/>
        <v>150</v>
      </c>
      <c r="R88" s="50">
        <f t="shared" si="31"/>
        <v>270</v>
      </c>
    </row>
    <row r="89" spans="1:18" x14ac:dyDescent="0.25">
      <c r="A89" s="41">
        <f t="shared" si="28"/>
        <v>3683</v>
      </c>
      <c r="B89" s="42">
        <f t="shared" si="28"/>
        <v>79</v>
      </c>
      <c r="C89" s="41" t="s">
        <v>1308</v>
      </c>
      <c r="D89" s="43">
        <f t="shared" si="20"/>
        <v>11.8</v>
      </c>
      <c r="E89" s="61">
        <f t="shared" si="26"/>
        <v>2.0230000000000001</v>
      </c>
      <c r="F89" s="61">
        <f t="shared" si="32"/>
        <v>42</v>
      </c>
      <c r="G89" s="64">
        <f t="shared" si="27"/>
        <v>0.58988764044943809</v>
      </c>
      <c r="H89" s="51">
        <f t="shared" si="29"/>
        <v>5.7280449438202234</v>
      </c>
      <c r="I89" s="42" t="str">
        <f t="shared" si="30"/>
        <v>IEC</v>
      </c>
      <c r="J89" s="50">
        <f t="shared" si="30"/>
        <v>10.5</v>
      </c>
      <c r="K89" s="49">
        <f t="shared" si="30"/>
        <v>160</v>
      </c>
      <c r="L89" s="44">
        <f t="shared" si="30"/>
        <v>8</v>
      </c>
      <c r="M89" s="44">
        <f t="shared" si="30"/>
        <v>0</v>
      </c>
      <c r="N89" s="45">
        <f t="shared" si="9"/>
        <v>0.2</v>
      </c>
      <c r="O89" s="49">
        <v>90</v>
      </c>
      <c r="P89" s="54">
        <f>K89+4</f>
        <v>164</v>
      </c>
      <c r="Q89" s="44">
        <f t="shared" si="31"/>
        <v>150</v>
      </c>
      <c r="R89" s="50">
        <f t="shared" si="31"/>
        <v>270</v>
      </c>
    </row>
    <row r="90" spans="1:18" x14ac:dyDescent="0.25">
      <c r="A90" s="41">
        <f t="shared" si="28"/>
        <v>3684</v>
      </c>
      <c r="B90" s="42">
        <f t="shared" si="28"/>
        <v>80</v>
      </c>
      <c r="C90" s="41" t="s">
        <v>1309</v>
      </c>
      <c r="D90" s="43">
        <f t="shared" si="20"/>
        <v>11.8</v>
      </c>
      <c r="E90" s="61">
        <f t="shared" si="26"/>
        <v>2.0230000000000001</v>
      </c>
      <c r="F90" s="61">
        <f t="shared" si="32"/>
        <v>42</v>
      </c>
      <c r="G90" s="64">
        <f t="shared" si="27"/>
        <v>0.58988764044943809</v>
      </c>
      <c r="H90" s="51">
        <f t="shared" si="29"/>
        <v>5.7280449438202234</v>
      </c>
      <c r="I90" s="42" t="str">
        <f t="shared" si="30"/>
        <v>IEC</v>
      </c>
      <c r="J90" s="50">
        <f t="shared" si="30"/>
        <v>10.5</v>
      </c>
      <c r="K90" s="49">
        <f t="shared" si="30"/>
        <v>160</v>
      </c>
      <c r="L90" s="44">
        <f t="shared" si="30"/>
        <v>8</v>
      </c>
      <c r="M90" s="44">
        <f t="shared" si="30"/>
        <v>0</v>
      </c>
      <c r="N90" s="45">
        <f t="shared" si="9"/>
        <v>0.2</v>
      </c>
      <c r="O90" s="49">
        <v>90</v>
      </c>
      <c r="P90" s="54">
        <f>K90+5.25</f>
        <v>165.25</v>
      </c>
      <c r="Q90" s="44">
        <f t="shared" si="31"/>
        <v>150</v>
      </c>
      <c r="R90" s="50">
        <f t="shared" si="31"/>
        <v>270</v>
      </c>
    </row>
    <row r="91" spans="1:18" x14ac:dyDescent="0.25">
      <c r="A91" s="41">
        <f t="shared" si="28"/>
        <v>3685</v>
      </c>
      <c r="B91" s="42">
        <f t="shared" si="28"/>
        <v>81</v>
      </c>
      <c r="C91" s="41" t="s">
        <v>1310</v>
      </c>
      <c r="D91" s="43">
        <f t="shared" si="20"/>
        <v>11.8</v>
      </c>
      <c r="E91" s="61">
        <f t="shared" si="26"/>
        <v>2.0230000000000001</v>
      </c>
      <c r="F91" s="61">
        <f t="shared" si="32"/>
        <v>42</v>
      </c>
      <c r="G91" s="64">
        <f t="shared" si="27"/>
        <v>0.58988764044943809</v>
      </c>
      <c r="H91" s="51">
        <f t="shared" si="29"/>
        <v>5.7280449438202234</v>
      </c>
      <c r="I91" s="42" t="str">
        <f t="shared" si="30"/>
        <v>IEC</v>
      </c>
      <c r="J91" s="50">
        <f t="shared" si="30"/>
        <v>10.5</v>
      </c>
      <c r="K91" s="49">
        <f t="shared" si="30"/>
        <v>160</v>
      </c>
      <c r="L91" s="44">
        <f t="shared" si="30"/>
        <v>8</v>
      </c>
      <c r="M91" s="44">
        <f>yaw_max</f>
        <v>8</v>
      </c>
      <c r="N91" s="45">
        <f t="shared" si="9"/>
        <v>0.2</v>
      </c>
      <c r="O91" s="49">
        <v>0</v>
      </c>
      <c r="P91" s="54">
        <f>K91</f>
        <v>160</v>
      </c>
      <c r="Q91" s="44">
        <f t="shared" si="31"/>
        <v>150</v>
      </c>
      <c r="R91" s="50">
        <f t="shared" si="31"/>
        <v>270</v>
      </c>
    </row>
    <row r="92" spans="1:18" x14ac:dyDescent="0.25">
      <c r="A92" s="41">
        <f t="shared" si="28"/>
        <v>3686</v>
      </c>
      <c r="B92" s="42">
        <f t="shared" si="28"/>
        <v>82</v>
      </c>
      <c r="C92" s="41" t="s">
        <v>1311</v>
      </c>
      <c r="D92" s="43">
        <f t="shared" si="20"/>
        <v>11.8</v>
      </c>
      <c r="E92" s="61">
        <f t="shared" si="26"/>
        <v>2.0230000000000001</v>
      </c>
      <c r="F92" s="61">
        <f>F91</f>
        <v>42</v>
      </c>
      <c r="G92" s="64">
        <f t="shared" si="27"/>
        <v>0.58988764044943809</v>
      </c>
      <c r="H92" s="51">
        <f t="shared" si="29"/>
        <v>5.7280449438202234</v>
      </c>
      <c r="I92" s="42" t="str">
        <f>I91</f>
        <v>IEC</v>
      </c>
      <c r="J92" s="50">
        <f t="shared" si="30"/>
        <v>10.5</v>
      </c>
      <c r="K92" s="49">
        <f>K91</f>
        <v>160</v>
      </c>
      <c r="L92" s="44">
        <f>L91</f>
        <v>8</v>
      </c>
      <c r="M92" s="44">
        <f>M91</f>
        <v>8</v>
      </c>
      <c r="N92" s="45">
        <f t="shared" ref="N92:N155" si="33">N91</f>
        <v>0.2</v>
      </c>
      <c r="O92" s="49">
        <v>0</v>
      </c>
      <c r="P92" s="54">
        <f>K92+2.46</f>
        <v>162.46</v>
      </c>
      <c r="Q92" s="44">
        <f t="shared" si="31"/>
        <v>150</v>
      </c>
      <c r="R92" s="50">
        <f>R91</f>
        <v>270</v>
      </c>
    </row>
    <row r="93" spans="1:18" x14ac:dyDescent="0.25">
      <c r="A93" s="41">
        <f t="shared" ref="A93:B108" si="34">A92+1</f>
        <v>3687</v>
      </c>
      <c r="B93" s="42">
        <f t="shared" si="34"/>
        <v>83</v>
      </c>
      <c r="C93" s="41" t="s">
        <v>1312</v>
      </c>
      <c r="D93" s="43">
        <f t="shared" si="20"/>
        <v>11.8</v>
      </c>
      <c r="E93" s="61">
        <f t="shared" si="26"/>
        <v>2.0230000000000001</v>
      </c>
      <c r="F93" s="61">
        <f>F92</f>
        <v>42</v>
      </c>
      <c r="G93" s="64">
        <f t="shared" si="27"/>
        <v>0.58988764044943809</v>
      </c>
      <c r="H93" s="51">
        <f t="shared" si="29"/>
        <v>5.7280449438202234</v>
      </c>
      <c r="I93" s="42" t="str">
        <f t="shared" ref="I93:M108" si="35">I92</f>
        <v>IEC</v>
      </c>
      <c r="J93" s="50">
        <f t="shared" si="35"/>
        <v>10.5</v>
      </c>
      <c r="K93" s="49">
        <f t="shared" si="35"/>
        <v>160</v>
      </c>
      <c r="L93" s="44">
        <f t="shared" si="35"/>
        <v>8</v>
      </c>
      <c r="M93" s="44">
        <f t="shared" si="35"/>
        <v>8</v>
      </c>
      <c r="N93" s="45">
        <f t="shared" si="33"/>
        <v>0.2</v>
      </c>
      <c r="O93" s="49">
        <v>0</v>
      </c>
      <c r="P93" s="54">
        <f>K93+4</f>
        <v>164</v>
      </c>
      <c r="Q93" s="44">
        <f t="shared" ref="Q93:R108" si="36">Q92</f>
        <v>150</v>
      </c>
      <c r="R93" s="50">
        <f t="shared" si="36"/>
        <v>270</v>
      </c>
    </row>
    <row r="94" spans="1:18" x14ac:dyDescent="0.25">
      <c r="A94" s="41">
        <f t="shared" si="34"/>
        <v>3688</v>
      </c>
      <c r="B94" s="42">
        <f t="shared" si="34"/>
        <v>84</v>
      </c>
      <c r="C94" s="41" t="s">
        <v>1313</v>
      </c>
      <c r="D94" s="43">
        <f t="shared" si="20"/>
        <v>11.8</v>
      </c>
      <c r="E94" s="61">
        <f t="shared" si="26"/>
        <v>2.0230000000000001</v>
      </c>
      <c r="F94" s="61">
        <f t="shared" ref="F94:F107" si="37">F93</f>
        <v>42</v>
      </c>
      <c r="G94" s="64">
        <f t="shared" si="27"/>
        <v>0.58988764044943809</v>
      </c>
      <c r="H94" s="51">
        <f t="shared" si="29"/>
        <v>5.7280449438202234</v>
      </c>
      <c r="I94" s="42" t="str">
        <f t="shared" si="35"/>
        <v>IEC</v>
      </c>
      <c r="J94" s="50">
        <f t="shared" si="35"/>
        <v>10.5</v>
      </c>
      <c r="K94" s="49">
        <f t="shared" si="35"/>
        <v>160</v>
      </c>
      <c r="L94" s="44">
        <f t="shared" si="35"/>
        <v>8</v>
      </c>
      <c r="M94" s="44">
        <f t="shared" si="35"/>
        <v>8</v>
      </c>
      <c r="N94" s="45">
        <f t="shared" si="33"/>
        <v>0.2</v>
      </c>
      <c r="O94" s="49">
        <v>0</v>
      </c>
      <c r="P94" s="54">
        <f>K94+5.25</f>
        <v>165.25</v>
      </c>
      <c r="Q94" s="44">
        <f t="shared" si="36"/>
        <v>150</v>
      </c>
      <c r="R94" s="50">
        <f t="shared" si="36"/>
        <v>270</v>
      </c>
    </row>
    <row r="95" spans="1:18" x14ac:dyDescent="0.25">
      <c r="A95" s="41">
        <f t="shared" si="34"/>
        <v>3689</v>
      </c>
      <c r="B95" s="42">
        <f t="shared" si="34"/>
        <v>85</v>
      </c>
      <c r="C95" s="41" t="s">
        <v>1314</v>
      </c>
      <c r="D95" s="43">
        <f t="shared" si="20"/>
        <v>11.8</v>
      </c>
      <c r="E95" s="61">
        <f t="shared" si="26"/>
        <v>2.0230000000000001</v>
      </c>
      <c r="F95" s="61">
        <f t="shared" si="37"/>
        <v>42</v>
      </c>
      <c r="G95" s="64">
        <f t="shared" si="27"/>
        <v>0.58988764044943809</v>
      </c>
      <c r="H95" s="51">
        <f t="shared" si="29"/>
        <v>5.7280449438202234</v>
      </c>
      <c r="I95" s="42" t="str">
        <f t="shared" si="35"/>
        <v>IEC</v>
      </c>
      <c r="J95" s="50">
        <f t="shared" si="35"/>
        <v>10.5</v>
      </c>
      <c r="K95" s="49">
        <f t="shared" si="35"/>
        <v>160</v>
      </c>
      <c r="L95" s="44">
        <f t="shared" si="35"/>
        <v>8</v>
      </c>
      <c r="M95" s="44">
        <f t="shared" si="35"/>
        <v>8</v>
      </c>
      <c r="N95" s="45">
        <f t="shared" si="33"/>
        <v>0.2</v>
      </c>
      <c r="O95" s="49">
        <v>30</v>
      </c>
      <c r="P95" s="54">
        <f>K95</f>
        <v>160</v>
      </c>
      <c r="Q95" s="44">
        <f t="shared" si="36"/>
        <v>150</v>
      </c>
      <c r="R95" s="50">
        <f t="shared" si="36"/>
        <v>270</v>
      </c>
    </row>
    <row r="96" spans="1:18" x14ac:dyDescent="0.25">
      <c r="A96" s="41">
        <f t="shared" si="34"/>
        <v>3690</v>
      </c>
      <c r="B96" s="42">
        <f t="shared" si="34"/>
        <v>86</v>
      </c>
      <c r="C96" s="41" t="s">
        <v>1315</v>
      </c>
      <c r="D96" s="43">
        <f t="shared" si="20"/>
        <v>11.8</v>
      </c>
      <c r="E96" s="61">
        <f t="shared" si="26"/>
        <v>2.0230000000000001</v>
      </c>
      <c r="F96" s="61">
        <f t="shared" si="37"/>
        <v>42</v>
      </c>
      <c r="G96" s="64">
        <f t="shared" si="27"/>
        <v>0.58988764044943809</v>
      </c>
      <c r="H96" s="51">
        <f t="shared" si="29"/>
        <v>5.7280449438202234</v>
      </c>
      <c r="I96" s="42" t="str">
        <f t="shared" si="35"/>
        <v>IEC</v>
      </c>
      <c r="J96" s="50">
        <f t="shared" si="35"/>
        <v>10.5</v>
      </c>
      <c r="K96" s="49">
        <f t="shared" si="35"/>
        <v>160</v>
      </c>
      <c r="L96" s="44">
        <f t="shared" si="35"/>
        <v>8</v>
      </c>
      <c r="M96" s="44">
        <f t="shared" si="35"/>
        <v>8</v>
      </c>
      <c r="N96" s="45">
        <f t="shared" si="33"/>
        <v>0.2</v>
      </c>
      <c r="O96" s="49">
        <v>30</v>
      </c>
      <c r="P96" s="54">
        <f>K96+2.46</f>
        <v>162.46</v>
      </c>
      <c r="Q96" s="44">
        <f t="shared" si="36"/>
        <v>150</v>
      </c>
      <c r="R96" s="50">
        <f t="shared" si="36"/>
        <v>270</v>
      </c>
    </row>
    <row r="97" spans="1:18" x14ac:dyDescent="0.25">
      <c r="A97" s="41">
        <f t="shared" si="34"/>
        <v>3691</v>
      </c>
      <c r="B97" s="42">
        <f t="shared" si="34"/>
        <v>87</v>
      </c>
      <c r="C97" s="41" t="s">
        <v>1316</v>
      </c>
      <c r="D97" s="43">
        <f t="shared" si="20"/>
        <v>11.8</v>
      </c>
      <c r="E97" s="61">
        <f t="shared" si="26"/>
        <v>2.0230000000000001</v>
      </c>
      <c r="F97" s="61">
        <f t="shared" si="37"/>
        <v>42</v>
      </c>
      <c r="G97" s="64">
        <f t="shared" si="27"/>
        <v>0.58988764044943809</v>
      </c>
      <c r="H97" s="51">
        <f t="shared" si="29"/>
        <v>5.7280449438202234</v>
      </c>
      <c r="I97" s="42" t="str">
        <f t="shared" si="35"/>
        <v>IEC</v>
      </c>
      <c r="J97" s="50">
        <f t="shared" si="35"/>
        <v>10.5</v>
      </c>
      <c r="K97" s="49">
        <f t="shared" si="35"/>
        <v>160</v>
      </c>
      <c r="L97" s="44">
        <f t="shared" si="35"/>
        <v>8</v>
      </c>
      <c r="M97" s="44">
        <f t="shared" si="35"/>
        <v>8</v>
      </c>
      <c r="N97" s="45">
        <f t="shared" si="33"/>
        <v>0.2</v>
      </c>
      <c r="O97" s="49">
        <v>30</v>
      </c>
      <c r="P97" s="54">
        <f>K97+4</f>
        <v>164</v>
      </c>
      <c r="Q97" s="44">
        <f t="shared" si="36"/>
        <v>150</v>
      </c>
      <c r="R97" s="50">
        <f t="shared" si="36"/>
        <v>270</v>
      </c>
    </row>
    <row r="98" spans="1:18" x14ac:dyDescent="0.25">
      <c r="A98" s="41">
        <f t="shared" si="34"/>
        <v>3692</v>
      </c>
      <c r="B98" s="42">
        <f t="shared" si="34"/>
        <v>88</v>
      </c>
      <c r="C98" s="41" t="s">
        <v>1317</v>
      </c>
      <c r="D98" s="43">
        <f t="shared" si="20"/>
        <v>11.8</v>
      </c>
      <c r="E98" s="61">
        <f t="shared" si="26"/>
        <v>2.0230000000000001</v>
      </c>
      <c r="F98" s="61">
        <f t="shared" si="37"/>
        <v>42</v>
      </c>
      <c r="G98" s="64">
        <f t="shared" si="27"/>
        <v>0.58988764044943809</v>
      </c>
      <c r="H98" s="51">
        <f t="shared" si="29"/>
        <v>5.7280449438202234</v>
      </c>
      <c r="I98" s="42" t="str">
        <f t="shared" si="35"/>
        <v>IEC</v>
      </c>
      <c r="J98" s="50">
        <f t="shared" si="35"/>
        <v>10.5</v>
      </c>
      <c r="K98" s="49">
        <f t="shared" si="35"/>
        <v>160</v>
      </c>
      <c r="L98" s="44">
        <f t="shared" si="35"/>
        <v>8</v>
      </c>
      <c r="M98" s="44">
        <f t="shared" si="35"/>
        <v>8</v>
      </c>
      <c r="N98" s="45">
        <f t="shared" si="33"/>
        <v>0.2</v>
      </c>
      <c r="O98" s="49">
        <v>30</v>
      </c>
      <c r="P98" s="54">
        <f>K98+5.25</f>
        <v>165.25</v>
      </c>
      <c r="Q98" s="44">
        <f t="shared" si="36"/>
        <v>150</v>
      </c>
      <c r="R98" s="50">
        <f t="shared" si="36"/>
        <v>270</v>
      </c>
    </row>
    <row r="99" spans="1:18" x14ac:dyDescent="0.25">
      <c r="A99" s="41">
        <f t="shared" si="34"/>
        <v>3693</v>
      </c>
      <c r="B99" s="42">
        <f t="shared" si="34"/>
        <v>89</v>
      </c>
      <c r="C99" s="41" t="s">
        <v>1318</v>
      </c>
      <c r="D99" s="43">
        <f t="shared" si="20"/>
        <v>11.8</v>
      </c>
      <c r="E99" s="61">
        <f t="shared" si="26"/>
        <v>2.0230000000000001</v>
      </c>
      <c r="F99" s="61">
        <f t="shared" si="37"/>
        <v>42</v>
      </c>
      <c r="G99" s="64">
        <f t="shared" si="27"/>
        <v>0.58988764044943809</v>
      </c>
      <c r="H99" s="51">
        <f t="shared" si="29"/>
        <v>5.7280449438202234</v>
      </c>
      <c r="I99" s="42" t="str">
        <f t="shared" si="35"/>
        <v>IEC</v>
      </c>
      <c r="J99" s="50">
        <f t="shared" si="35"/>
        <v>10.5</v>
      </c>
      <c r="K99" s="49">
        <f t="shared" si="35"/>
        <v>160</v>
      </c>
      <c r="L99" s="44">
        <f t="shared" si="35"/>
        <v>8</v>
      </c>
      <c r="M99" s="44">
        <f t="shared" si="35"/>
        <v>8</v>
      </c>
      <c r="N99" s="45">
        <f t="shared" si="33"/>
        <v>0.2</v>
      </c>
      <c r="O99" s="49">
        <v>60</v>
      </c>
      <c r="P99" s="54">
        <f>K99</f>
        <v>160</v>
      </c>
      <c r="Q99" s="44">
        <f t="shared" si="36"/>
        <v>150</v>
      </c>
      <c r="R99" s="50">
        <f t="shared" si="36"/>
        <v>270</v>
      </c>
    </row>
    <row r="100" spans="1:18" x14ac:dyDescent="0.25">
      <c r="A100" s="41">
        <f t="shared" si="34"/>
        <v>3694</v>
      </c>
      <c r="B100" s="42">
        <f t="shared" si="34"/>
        <v>90</v>
      </c>
      <c r="C100" s="41" t="s">
        <v>1319</v>
      </c>
      <c r="D100" s="43">
        <f t="shared" si="20"/>
        <v>11.8</v>
      </c>
      <c r="E100" s="61">
        <f t="shared" si="26"/>
        <v>2.0230000000000001</v>
      </c>
      <c r="F100" s="61">
        <f t="shared" si="37"/>
        <v>42</v>
      </c>
      <c r="G100" s="64">
        <f t="shared" si="27"/>
        <v>0.58988764044943809</v>
      </c>
      <c r="H100" s="51">
        <f t="shared" si="29"/>
        <v>5.7280449438202234</v>
      </c>
      <c r="I100" s="42" t="str">
        <f t="shared" si="35"/>
        <v>IEC</v>
      </c>
      <c r="J100" s="50">
        <f t="shared" si="35"/>
        <v>10.5</v>
      </c>
      <c r="K100" s="49">
        <f t="shared" si="35"/>
        <v>160</v>
      </c>
      <c r="L100" s="44">
        <f t="shared" si="35"/>
        <v>8</v>
      </c>
      <c r="M100" s="44">
        <f t="shared" si="35"/>
        <v>8</v>
      </c>
      <c r="N100" s="45">
        <f t="shared" si="33"/>
        <v>0.2</v>
      </c>
      <c r="O100" s="49">
        <v>60</v>
      </c>
      <c r="P100" s="54">
        <f>K100+2.46</f>
        <v>162.46</v>
      </c>
      <c r="Q100" s="44">
        <f t="shared" si="36"/>
        <v>150</v>
      </c>
      <c r="R100" s="50">
        <f t="shared" si="36"/>
        <v>270</v>
      </c>
    </row>
    <row r="101" spans="1:18" x14ac:dyDescent="0.25">
      <c r="A101" s="41">
        <f t="shared" si="34"/>
        <v>3695</v>
      </c>
      <c r="B101" s="42">
        <f t="shared" si="34"/>
        <v>91</v>
      </c>
      <c r="C101" s="41" t="s">
        <v>1320</v>
      </c>
      <c r="D101" s="43">
        <f t="shared" si="20"/>
        <v>11.8</v>
      </c>
      <c r="E101" s="61">
        <f t="shared" si="26"/>
        <v>2.0230000000000001</v>
      </c>
      <c r="F101" s="61">
        <f t="shared" si="37"/>
        <v>42</v>
      </c>
      <c r="G101" s="64">
        <f t="shared" si="27"/>
        <v>0.58988764044943809</v>
      </c>
      <c r="H101" s="51">
        <f t="shared" si="29"/>
        <v>5.7280449438202234</v>
      </c>
      <c r="I101" s="42" t="str">
        <f t="shared" si="35"/>
        <v>IEC</v>
      </c>
      <c r="J101" s="50">
        <f t="shared" si="35"/>
        <v>10.5</v>
      </c>
      <c r="K101" s="49">
        <f t="shared" si="35"/>
        <v>160</v>
      </c>
      <c r="L101" s="44">
        <f t="shared" si="35"/>
        <v>8</v>
      </c>
      <c r="M101" s="44">
        <f t="shared" si="35"/>
        <v>8</v>
      </c>
      <c r="N101" s="45">
        <f t="shared" si="33"/>
        <v>0.2</v>
      </c>
      <c r="O101" s="49">
        <v>60</v>
      </c>
      <c r="P101" s="54">
        <f>K101+4</f>
        <v>164</v>
      </c>
      <c r="Q101" s="44">
        <f t="shared" si="36"/>
        <v>150</v>
      </c>
      <c r="R101" s="50">
        <f t="shared" si="36"/>
        <v>270</v>
      </c>
    </row>
    <row r="102" spans="1:18" x14ac:dyDescent="0.25">
      <c r="A102" s="41">
        <f t="shared" si="34"/>
        <v>3696</v>
      </c>
      <c r="B102" s="42">
        <f t="shared" si="34"/>
        <v>92</v>
      </c>
      <c r="C102" s="41" t="s">
        <v>1321</v>
      </c>
      <c r="D102" s="43">
        <f t="shared" si="20"/>
        <v>11.8</v>
      </c>
      <c r="E102" s="61">
        <f t="shared" si="26"/>
        <v>2.0230000000000001</v>
      </c>
      <c r="F102" s="61">
        <f t="shared" si="37"/>
        <v>42</v>
      </c>
      <c r="G102" s="64">
        <f t="shared" si="27"/>
        <v>0.58988764044943809</v>
      </c>
      <c r="H102" s="51">
        <f t="shared" si="29"/>
        <v>5.7280449438202234</v>
      </c>
      <c r="I102" s="42" t="str">
        <f t="shared" si="35"/>
        <v>IEC</v>
      </c>
      <c r="J102" s="50">
        <f t="shared" si="35"/>
        <v>10.5</v>
      </c>
      <c r="K102" s="49">
        <f t="shared" si="35"/>
        <v>160</v>
      </c>
      <c r="L102" s="44">
        <f t="shared" si="35"/>
        <v>8</v>
      </c>
      <c r="M102" s="44">
        <f t="shared" si="35"/>
        <v>8</v>
      </c>
      <c r="N102" s="45">
        <f t="shared" si="33"/>
        <v>0.2</v>
      </c>
      <c r="O102" s="49">
        <v>60</v>
      </c>
      <c r="P102" s="54">
        <f>K102+5.25</f>
        <v>165.25</v>
      </c>
      <c r="Q102" s="44">
        <f t="shared" si="36"/>
        <v>150</v>
      </c>
      <c r="R102" s="50">
        <f t="shared" si="36"/>
        <v>270</v>
      </c>
    </row>
    <row r="103" spans="1:18" x14ac:dyDescent="0.25">
      <c r="A103" s="41">
        <f t="shared" si="34"/>
        <v>3697</v>
      </c>
      <c r="B103" s="42">
        <f t="shared" si="34"/>
        <v>93</v>
      </c>
      <c r="C103" s="41" t="s">
        <v>1322</v>
      </c>
      <c r="D103" s="43">
        <f t="shared" si="20"/>
        <v>11.8</v>
      </c>
      <c r="E103" s="61">
        <f t="shared" si="26"/>
        <v>2.0230000000000001</v>
      </c>
      <c r="F103" s="61">
        <f t="shared" si="37"/>
        <v>42</v>
      </c>
      <c r="G103" s="64">
        <f t="shared" si="27"/>
        <v>0.58988764044943809</v>
      </c>
      <c r="H103" s="51">
        <f t="shared" si="29"/>
        <v>5.7280449438202234</v>
      </c>
      <c r="I103" s="42" t="str">
        <f t="shared" si="35"/>
        <v>IEC</v>
      </c>
      <c r="J103" s="50">
        <f t="shared" si="35"/>
        <v>10.5</v>
      </c>
      <c r="K103" s="49">
        <f t="shared" si="35"/>
        <v>160</v>
      </c>
      <c r="L103" s="44">
        <f t="shared" si="35"/>
        <v>8</v>
      </c>
      <c r="M103" s="44">
        <f t="shared" si="35"/>
        <v>8</v>
      </c>
      <c r="N103" s="45">
        <f t="shared" si="33"/>
        <v>0.2</v>
      </c>
      <c r="O103" s="49">
        <v>90</v>
      </c>
      <c r="P103" s="54">
        <f>K103</f>
        <v>160</v>
      </c>
      <c r="Q103" s="44">
        <f t="shared" si="36"/>
        <v>150</v>
      </c>
      <c r="R103" s="50">
        <f t="shared" si="36"/>
        <v>270</v>
      </c>
    </row>
    <row r="104" spans="1:18" x14ac:dyDescent="0.25">
      <c r="A104" s="41">
        <f t="shared" si="34"/>
        <v>3698</v>
      </c>
      <c r="B104" s="42">
        <f t="shared" si="34"/>
        <v>94</v>
      </c>
      <c r="C104" s="41" t="s">
        <v>1323</v>
      </c>
      <c r="D104" s="43">
        <f t="shared" si="20"/>
        <v>11.8</v>
      </c>
      <c r="E104" s="61">
        <f t="shared" si="26"/>
        <v>2.0230000000000001</v>
      </c>
      <c r="F104" s="61">
        <f t="shared" si="37"/>
        <v>42</v>
      </c>
      <c r="G104" s="64">
        <f t="shared" si="27"/>
        <v>0.58988764044943809</v>
      </c>
      <c r="H104" s="51">
        <f t="shared" si="29"/>
        <v>5.7280449438202234</v>
      </c>
      <c r="I104" s="42" t="str">
        <f t="shared" si="35"/>
        <v>IEC</v>
      </c>
      <c r="J104" s="50">
        <f t="shared" si="35"/>
        <v>10.5</v>
      </c>
      <c r="K104" s="49">
        <f t="shared" si="35"/>
        <v>160</v>
      </c>
      <c r="L104" s="44">
        <f t="shared" si="35"/>
        <v>8</v>
      </c>
      <c r="M104" s="44">
        <f t="shared" si="35"/>
        <v>8</v>
      </c>
      <c r="N104" s="45">
        <f t="shared" si="33"/>
        <v>0.2</v>
      </c>
      <c r="O104" s="49">
        <v>90</v>
      </c>
      <c r="P104" s="54">
        <f>K104+2.46</f>
        <v>162.46</v>
      </c>
      <c r="Q104" s="44">
        <f t="shared" si="36"/>
        <v>150</v>
      </c>
      <c r="R104" s="50">
        <f t="shared" si="36"/>
        <v>270</v>
      </c>
    </row>
    <row r="105" spans="1:18" x14ac:dyDescent="0.25">
      <c r="A105" s="41">
        <f t="shared" si="34"/>
        <v>3699</v>
      </c>
      <c r="B105" s="42">
        <f t="shared" si="34"/>
        <v>95</v>
      </c>
      <c r="C105" s="41" t="s">
        <v>1324</v>
      </c>
      <c r="D105" s="43">
        <f t="shared" si="20"/>
        <v>11.8</v>
      </c>
      <c r="E105" s="61">
        <f t="shared" si="26"/>
        <v>2.0230000000000001</v>
      </c>
      <c r="F105" s="61">
        <f t="shared" si="37"/>
        <v>42</v>
      </c>
      <c r="G105" s="64">
        <f t="shared" si="27"/>
        <v>0.58988764044943809</v>
      </c>
      <c r="H105" s="51">
        <f t="shared" si="29"/>
        <v>5.7280449438202234</v>
      </c>
      <c r="I105" s="42" t="str">
        <f t="shared" si="35"/>
        <v>IEC</v>
      </c>
      <c r="J105" s="50">
        <f t="shared" si="35"/>
        <v>10.5</v>
      </c>
      <c r="K105" s="49">
        <f t="shared" si="35"/>
        <v>160</v>
      </c>
      <c r="L105" s="44">
        <f t="shared" si="35"/>
        <v>8</v>
      </c>
      <c r="M105" s="44">
        <f t="shared" si="35"/>
        <v>8</v>
      </c>
      <c r="N105" s="45">
        <f t="shared" si="33"/>
        <v>0.2</v>
      </c>
      <c r="O105" s="49">
        <v>90</v>
      </c>
      <c r="P105" s="54">
        <f>K105+4</f>
        <v>164</v>
      </c>
      <c r="Q105" s="44">
        <f t="shared" si="36"/>
        <v>150</v>
      </c>
      <c r="R105" s="50">
        <f t="shared" si="36"/>
        <v>270</v>
      </c>
    </row>
    <row r="106" spans="1:18" ht="15.75" thickBot="1" x14ac:dyDescent="0.3">
      <c r="A106" s="41">
        <f t="shared" si="34"/>
        <v>3700</v>
      </c>
      <c r="B106" s="42">
        <f t="shared" si="34"/>
        <v>96</v>
      </c>
      <c r="C106" s="41" t="s">
        <v>1325</v>
      </c>
      <c r="D106" s="43">
        <f t="shared" si="20"/>
        <v>11.8</v>
      </c>
      <c r="E106" s="61">
        <f t="shared" si="26"/>
        <v>2.0230000000000001</v>
      </c>
      <c r="F106" s="61">
        <f t="shared" si="37"/>
        <v>42</v>
      </c>
      <c r="G106" s="64">
        <f t="shared" si="27"/>
        <v>0.58988764044943809</v>
      </c>
      <c r="H106" s="51">
        <f t="shared" si="29"/>
        <v>5.7280449438202234</v>
      </c>
      <c r="I106" s="42" t="str">
        <f t="shared" si="35"/>
        <v>IEC</v>
      </c>
      <c r="J106" s="50">
        <f t="shared" si="35"/>
        <v>10.5</v>
      </c>
      <c r="K106" s="49">
        <f t="shared" si="35"/>
        <v>160</v>
      </c>
      <c r="L106" s="44">
        <f t="shared" si="35"/>
        <v>8</v>
      </c>
      <c r="M106" s="44">
        <f t="shared" si="35"/>
        <v>8</v>
      </c>
      <c r="N106" s="45">
        <f t="shared" si="33"/>
        <v>0.2</v>
      </c>
      <c r="O106" s="49">
        <v>90</v>
      </c>
      <c r="P106" s="54">
        <f>K106+5.25</f>
        <v>165.25</v>
      </c>
      <c r="Q106" s="44">
        <f t="shared" si="36"/>
        <v>150</v>
      </c>
      <c r="R106" s="50">
        <f t="shared" si="36"/>
        <v>270</v>
      </c>
    </row>
    <row r="107" spans="1:18" x14ac:dyDescent="0.25">
      <c r="A107" s="41">
        <f t="shared" si="34"/>
        <v>3701</v>
      </c>
      <c r="B107" s="42">
        <f t="shared" si="34"/>
        <v>97</v>
      </c>
      <c r="C107" s="41" t="s">
        <v>1326</v>
      </c>
      <c r="D107" s="43">
        <f t="shared" ref="D107:D154" si="38">v_c</f>
        <v>20</v>
      </c>
      <c r="E107" s="61">
        <f t="shared" si="26"/>
        <v>2.8840000000000003</v>
      </c>
      <c r="F107" s="61">
        <f t="shared" si="37"/>
        <v>42</v>
      </c>
      <c r="G107" s="64">
        <f t="shared" ref="G107:G138" si="39">1/(1+0.2*(diameter/F107))</f>
        <v>0.58988764044943809</v>
      </c>
      <c r="H107" s="51">
        <f t="shared" si="29"/>
        <v>8.1659325842696617</v>
      </c>
      <c r="I107" s="42" t="str">
        <f t="shared" si="35"/>
        <v>IEC</v>
      </c>
      <c r="J107" s="50">
        <f t="shared" si="35"/>
        <v>10.5</v>
      </c>
      <c r="K107" s="49">
        <f t="shared" si="35"/>
        <v>160</v>
      </c>
      <c r="L107" s="44">
        <f t="shared" si="35"/>
        <v>8</v>
      </c>
      <c r="M107" s="35">
        <f>yaw_min</f>
        <v>-8</v>
      </c>
      <c r="N107" s="45">
        <f t="shared" si="33"/>
        <v>0.2</v>
      </c>
      <c r="O107" s="49">
        <v>0</v>
      </c>
      <c r="P107" s="54">
        <f>K107</f>
        <v>160</v>
      </c>
      <c r="Q107" s="44">
        <f t="shared" si="36"/>
        <v>150</v>
      </c>
      <c r="R107" s="50">
        <f t="shared" si="36"/>
        <v>270</v>
      </c>
    </row>
    <row r="108" spans="1:18" x14ac:dyDescent="0.25">
      <c r="A108" s="41">
        <f t="shared" si="34"/>
        <v>3702</v>
      </c>
      <c r="B108" s="42">
        <f t="shared" si="34"/>
        <v>98</v>
      </c>
      <c r="C108" s="41" t="s">
        <v>1327</v>
      </c>
      <c r="D108" s="43">
        <f t="shared" si="38"/>
        <v>20</v>
      </c>
      <c r="E108" s="61">
        <f t="shared" si="26"/>
        <v>2.8840000000000003</v>
      </c>
      <c r="F108" s="61">
        <f>F107</f>
        <v>42</v>
      </c>
      <c r="G108" s="64">
        <f t="shared" si="39"/>
        <v>0.58988764044943809</v>
      </c>
      <c r="H108" s="51">
        <f t="shared" si="29"/>
        <v>8.1659325842696617</v>
      </c>
      <c r="I108" s="42" t="str">
        <f>I107</f>
        <v>IEC</v>
      </c>
      <c r="J108" s="50">
        <f t="shared" si="35"/>
        <v>10.5</v>
      </c>
      <c r="K108" s="49">
        <f>K107</f>
        <v>160</v>
      </c>
      <c r="L108" s="44">
        <f>L107</f>
        <v>8</v>
      </c>
      <c r="M108" s="44">
        <f>M107</f>
        <v>-8</v>
      </c>
      <c r="N108" s="45">
        <f t="shared" si="33"/>
        <v>0.2</v>
      </c>
      <c r="O108" s="49">
        <v>0</v>
      </c>
      <c r="P108" s="54">
        <f>K108+2.46</f>
        <v>162.46</v>
      </c>
      <c r="Q108" s="44">
        <f t="shared" si="36"/>
        <v>150</v>
      </c>
      <c r="R108" s="50">
        <f>R107</f>
        <v>270</v>
      </c>
    </row>
    <row r="109" spans="1:18" x14ac:dyDescent="0.25">
      <c r="A109" s="41">
        <f t="shared" ref="A109:B124" si="40">A108+1</f>
        <v>3703</v>
      </c>
      <c r="B109" s="42">
        <f t="shared" si="40"/>
        <v>99</v>
      </c>
      <c r="C109" s="41" t="s">
        <v>1328</v>
      </c>
      <c r="D109" s="43">
        <f t="shared" si="38"/>
        <v>20</v>
      </c>
      <c r="E109" s="61">
        <f t="shared" si="26"/>
        <v>2.8840000000000003</v>
      </c>
      <c r="F109" s="61">
        <f>F108</f>
        <v>42</v>
      </c>
      <c r="G109" s="64">
        <f t="shared" si="39"/>
        <v>0.58988764044943809</v>
      </c>
      <c r="H109" s="51">
        <f t="shared" si="29"/>
        <v>8.1659325842696617</v>
      </c>
      <c r="I109" s="42" t="str">
        <f t="shared" ref="I109:M124" si="41">I108</f>
        <v>IEC</v>
      </c>
      <c r="J109" s="50">
        <f t="shared" si="41"/>
        <v>10.5</v>
      </c>
      <c r="K109" s="49">
        <f t="shared" si="41"/>
        <v>160</v>
      </c>
      <c r="L109" s="44">
        <f t="shared" si="41"/>
        <v>8</v>
      </c>
      <c r="M109" s="44">
        <f t="shared" si="41"/>
        <v>-8</v>
      </c>
      <c r="N109" s="45">
        <f t="shared" si="33"/>
        <v>0.2</v>
      </c>
      <c r="O109" s="49">
        <v>0</v>
      </c>
      <c r="P109" s="54">
        <f>K109+4</f>
        <v>164</v>
      </c>
      <c r="Q109" s="44">
        <f t="shared" ref="Q109:R124" si="42">Q108</f>
        <v>150</v>
      </c>
      <c r="R109" s="50">
        <f t="shared" si="42"/>
        <v>270</v>
      </c>
    </row>
    <row r="110" spans="1:18" x14ac:dyDescent="0.25">
      <c r="A110" s="41">
        <f t="shared" si="40"/>
        <v>3704</v>
      </c>
      <c r="B110" s="42">
        <f t="shared" si="40"/>
        <v>100</v>
      </c>
      <c r="C110" s="41" t="s">
        <v>1329</v>
      </c>
      <c r="D110" s="43">
        <f t="shared" si="38"/>
        <v>20</v>
      </c>
      <c r="E110" s="61">
        <f t="shared" si="26"/>
        <v>2.8840000000000003</v>
      </c>
      <c r="F110" s="61">
        <f t="shared" ref="F110:F123" si="43">F109</f>
        <v>42</v>
      </c>
      <c r="G110" s="64">
        <f t="shared" si="39"/>
        <v>0.58988764044943809</v>
      </c>
      <c r="H110" s="51">
        <f t="shared" si="29"/>
        <v>8.1659325842696617</v>
      </c>
      <c r="I110" s="42" t="str">
        <f t="shared" si="41"/>
        <v>IEC</v>
      </c>
      <c r="J110" s="50">
        <f t="shared" si="41"/>
        <v>10.5</v>
      </c>
      <c r="K110" s="49">
        <f t="shared" si="41"/>
        <v>160</v>
      </c>
      <c r="L110" s="44">
        <f t="shared" si="41"/>
        <v>8</v>
      </c>
      <c r="M110" s="44">
        <f t="shared" si="41"/>
        <v>-8</v>
      </c>
      <c r="N110" s="45">
        <f t="shared" si="33"/>
        <v>0.2</v>
      </c>
      <c r="O110" s="49">
        <v>0</v>
      </c>
      <c r="P110" s="54">
        <f>K110+5.25</f>
        <v>165.25</v>
      </c>
      <c r="Q110" s="44">
        <f t="shared" si="42"/>
        <v>150</v>
      </c>
      <c r="R110" s="50">
        <f t="shared" si="42"/>
        <v>270</v>
      </c>
    </row>
    <row r="111" spans="1:18" x14ac:dyDescent="0.25">
      <c r="A111" s="41">
        <f t="shared" si="40"/>
        <v>3705</v>
      </c>
      <c r="B111" s="42">
        <f t="shared" si="40"/>
        <v>101</v>
      </c>
      <c r="C111" s="41" t="s">
        <v>1330</v>
      </c>
      <c r="D111" s="43">
        <f t="shared" si="38"/>
        <v>20</v>
      </c>
      <c r="E111" s="61">
        <f t="shared" si="26"/>
        <v>2.8840000000000003</v>
      </c>
      <c r="F111" s="61">
        <f t="shared" si="43"/>
        <v>42</v>
      </c>
      <c r="G111" s="64">
        <f t="shared" si="39"/>
        <v>0.58988764044943809</v>
      </c>
      <c r="H111" s="51">
        <f t="shared" si="29"/>
        <v>8.1659325842696617</v>
      </c>
      <c r="I111" s="42" t="str">
        <f t="shared" si="41"/>
        <v>IEC</v>
      </c>
      <c r="J111" s="50">
        <f t="shared" si="41"/>
        <v>10.5</v>
      </c>
      <c r="K111" s="49">
        <f t="shared" si="41"/>
        <v>160</v>
      </c>
      <c r="L111" s="44">
        <f t="shared" si="41"/>
        <v>8</v>
      </c>
      <c r="M111" s="44">
        <f t="shared" si="41"/>
        <v>-8</v>
      </c>
      <c r="N111" s="45">
        <f t="shared" si="33"/>
        <v>0.2</v>
      </c>
      <c r="O111" s="49">
        <v>30</v>
      </c>
      <c r="P111" s="54">
        <f>K111</f>
        <v>160</v>
      </c>
      <c r="Q111" s="44">
        <f t="shared" si="42"/>
        <v>150</v>
      </c>
      <c r="R111" s="50">
        <f t="shared" si="42"/>
        <v>270</v>
      </c>
    </row>
    <row r="112" spans="1:18" x14ac:dyDescent="0.25">
      <c r="A112" s="41">
        <f t="shared" si="40"/>
        <v>3706</v>
      </c>
      <c r="B112" s="42">
        <f t="shared" si="40"/>
        <v>102</v>
      </c>
      <c r="C112" s="41" t="s">
        <v>1331</v>
      </c>
      <c r="D112" s="43">
        <f t="shared" si="38"/>
        <v>20</v>
      </c>
      <c r="E112" s="61">
        <f t="shared" si="26"/>
        <v>2.8840000000000003</v>
      </c>
      <c r="F112" s="61">
        <f t="shared" si="43"/>
        <v>42</v>
      </c>
      <c r="G112" s="64">
        <f t="shared" si="39"/>
        <v>0.58988764044943809</v>
      </c>
      <c r="H112" s="51">
        <f t="shared" si="29"/>
        <v>8.1659325842696617</v>
      </c>
      <c r="I112" s="42" t="str">
        <f t="shared" si="41"/>
        <v>IEC</v>
      </c>
      <c r="J112" s="50">
        <f t="shared" si="41"/>
        <v>10.5</v>
      </c>
      <c r="K112" s="49">
        <f t="shared" si="41"/>
        <v>160</v>
      </c>
      <c r="L112" s="44">
        <f t="shared" si="41"/>
        <v>8</v>
      </c>
      <c r="M112" s="44">
        <f t="shared" si="41"/>
        <v>-8</v>
      </c>
      <c r="N112" s="45">
        <f t="shared" si="33"/>
        <v>0.2</v>
      </c>
      <c r="O112" s="49">
        <v>30</v>
      </c>
      <c r="P112" s="54">
        <f>K112+2.46</f>
        <v>162.46</v>
      </c>
      <c r="Q112" s="44">
        <f t="shared" si="42"/>
        <v>150</v>
      </c>
      <c r="R112" s="50">
        <f t="shared" si="42"/>
        <v>270</v>
      </c>
    </row>
    <row r="113" spans="1:18" x14ac:dyDescent="0.25">
      <c r="A113" s="41">
        <f t="shared" si="40"/>
        <v>3707</v>
      </c>
      <c r="B113" s="42">
        <f t="shared" si="40"/>
        <v>103</v>
      </c>
      <c r="C113" s="41" t="s">
        <v>1332</v>
      </c>
      <c r="D113" s="43">
        <f t="shared" si="38"/>
        <v>20</v>
      </c>
      <c r="E113" s="61">
        <f t="shared" si="26"/>
        <v>2.8840000000000003</v>
      </c>
      <c r="F113" s="61">
        <f t="shared" si="43"/>
        <v>42</v>
      </c>
      <c r="G113" s="64">
        <f t="shared" si="39"/>
        <v>0.58988764044943809</v>
      </c>
      <c r="H113" s="51">
        <f t="shared" si="29"/>
        <v>8.1659325842696617</v>
      </c>
      <c r="I113" s="42" t="str">
        <f t="shared" si="41"/>
        <v>IEC</v>
      </c>
      <c r="J113" s="50">
        <f t="shared" si="41"/>
        <v>10.5</v>
      </c>
      <c r="K113" s="49">
        <f t="shared" si="41"/>
        <v>160</v>
      </c>
      <c r="L113" s="44">
        <f t="shared" si="41"/>
        <v>8</v>
      </c>
      <c r="M113" s="44">
        <f t="shared" si="41"/>
        <v>-8</v>
      </c>
      <c r="N113" s="45">
        <f t="shared" si="33"/>
        <v>0.2</v>
      </c>
      <c r="O113" s="49">
        <v>30</v>
      </c>
      <c r="P113" s="54">
        <f>K113+4</f>
        <v>164</v>
      </c>
      <c r="Q113" s="44">
        <f t="shared" si="42"/>
        <v>150</v>
      </c>
      <c r="R113" s="50">
        <f t="shared" si="42"/>
        <v>270</v>
      </c>
    </row>
    <row r="114" spans="1:18" x14ac:dyDescent="0.25">
      <c r="A114" s="41">
        <f t="shared" si="40"/>
        <v>3708</v>
      </c>
      <c r="B114" s="42">
        <f t="shared" si="40"/>
        <v>104</v>
      </c>
      <c r="C114" s="41" t="s">
        <v>1333</v>
      </c>
      <c r="D114" s="43">
        <f t="shared" si="38"/>
        <v>20</v>
      </c>
      <c r="E114" s="61">
        <f t="shared" si="26"/>
        <v>2.8840000000000003</v>
      </c>
      <c r="F114" s="61">
        <f t="shared" si="43"/>
        <v>42</v>
      </c>
      <c r="G114" s="64">
        <f t="shared" si="39"/>
        <v>0.58988764044943809</v>
      </c>
      <c r="H114" s="51">
        <f t="shared" si="29"/>
        <v>8.1659325842696617</v>
      </c>
      <c r="I114" s="42" t="str">
        <f t="shared" si="41"/>
        <v>IEC</v>
      </c>
      <c r="J114" s="50">
        <f t="shared" si="41"/>
        <v>10.5</v>
      </c>
      <c r="K114" s="49">
        <f t="shared" si="41"/>
        <v>160</v>
      </c>
      <c r="L114" s="44">
        <f t="shared" si="41"/>
        <v>8</v>
      </c>
      <c r="M114" s="44">
        <f t="shared" si="41"/>
        <v>-8</v>
      </c>
      <c r="N114" s="45">
        <f t="shared" si="33"/>
        <v>0.2</v>
      </c>
      <c r="O114" s="49">
        <v>30</v>
      </c>
      <c r="P114" s="54">
        <f>K114+5.25</f>
        <v>165.25</v>
      </c>
      <c r="Q114" s="44">
        <f t="shared" si="42"/>
        <v>150</v>
      </c>
      <c r="R114" s="50">
        <f t="shared" si="42"/>
        <v>270</v>
      </c>
    </row>
    <row r="115" spans="1:18" x14ac:dyDescent="0.25">
      <c r="A115" s="41">
        <f t="shared" si="40"/>
        <v>3709</v>
      </c>
      <c r="B115" s="42">
        <f t="shared" si="40"/>
        <v>105</v>
      </c>
      <c r="C115" s="41" t="s">
        <v>1334</v>
      </c>
      <c r="D115" s="43">
        <f t="shared" si="38"/>
        <v>20</v>
      </c>
      <c r="E115" s="61">
        <f t="shared" si="26"/>
        <v>2.8840000000000003</v>
      </c>
      <c r="F115" s="61">
        <f t="shared" si="43"/>
        <v>42</v>
      </c>
      <c r="G115" s="64">
        <f t="shared" si="39"/>
        <v>0.58988764044943809</v>
      </c>
      <c r="H115" s="51">
        <f t="shared" si="29"/>
        <v>8.1659325842696617</v>
      </c>
      <c r="I115" s="42" t="str">
        <f t="shared" si="41"/>
        <v>IEC</v>
      </c>
      <c r="J115" s="50">
        <f t="shared" si="41"/>
        <v>10.5</v>
      </c>
      <c r="K115" s="49">
        <f t="shared" si="41"/>
        <v>160</v>
      </c>
      <c r="L115" s="44">
        <f t="shared" si="41"/>
        <v>8</v>
      </c>
      <c r="M115" s="44">
        <f t="shared" si="41"/>
        <v>-8</v>
      </c>
      <c r="N115" s="45">
        <f t="shared" si="33"/>
        <v>0.2</v>
      </c>
      <c r="O115" s="49">
        <v>60</v>
      </c>
      <c r="P115" s="54">
        <f>K115</f>
        <v>160</v>
      </c>
      <c r="Q115" s="44">
        <f t="shared" si="42"/>
        <v>150</v>
      </c>
      <c r="R115" s="50">
        <f t="shared" si="42"/>
        <v>270</v>
      </c>
    </row>
    <row r="116" spans="1:18" x14ac:dyDescent="0.25">
      <c r="A116" s="41">
        <f t="shared" si="40"/>
        <v>3710</v>
      </c>
      <c r="B116" s="42">
        <f t="shared" si="40"/>
        <v>106</v>
      </c>
      <c r="C116" s="41" t="s">
        <v>1335</v>
      </c>
      <c r="D116" s="43">
        <f t="shared" si="38"/>
        <v>20</v>
      </c>
      <c r="E116" s="61">
        <f t="shared" si="26"/>
        <v>2.8840000000000003</v>
      </c>
      <c r="F116" s="61">
        <f t="shared" si="43"/>
        <v>42</v>
      </c>
      <c r="G116" s="64">
        <f t="shared" si="39"/>
        <v>0.58988764044943809</v>
      </c>
      <c r="H116" s="51">
        <f t="shared" si="29"/>
        <v>8.1659325842696617</v>
      </c>
      <c r="I116" s="42" t="str">
        <f t="shared" si="41"/>
        <v>IEC</v>
      </c>
      <c r="J116" s="50">
        <f t="shared" si="41"/>
        <v>10.5</v>
      </c>
      <c r="K116" s="49">
        <f t="shared" si="41"/>
        <v>160</v>
      </c>
      <c r="L116" s="44">
        <f t="shared" si="41"/>
        <v>8</v>
      </c>
      <c r="M116" s="44">
        <f t="shared" si="41"/>
        <v>-8</v>
      </c>
      <c r="N116" s="45">
        <f t="shared" si="33"/>
        <v>0.2</v>
      </c>
      <c r="O116" s="49">
        <v>60</v>
      </c>
      <c r="P116" s="54">
        <f>K116+2.46</f>
        <v>162.46</v>
      </c>
      <c r="Q116" s="44">
        <f t="shared" si="42"/>
        <v>150</v>
      </c>
      <c r="R116" s="50">
        <f t="shared" si="42"/>
        <v>270</v>
      </c>
    </row>
    <row r="117" spans="1:18" x14ac:dyDescent="0.25">
      <c r="A117" s="41">
        <f t="shared" si="40"/>
        <v>3711</v>
      </c>
      <c r="B117" s="42">
        <f t="shared" si="40"/>
        <v>107</v>
      </c>
      <c r="C117" s="41" t="s">
        <v>1336</v>
      </c>
      <c r="D117" s="43">
        <f t="shared" si="38"/>
        <v>20</v>
      </c>
      <c r="E117" s="61">
        <f t="shared" si="26"/>
        <v>2.8840000000000003</v>
      </c>
      <c r="F117" s="61">
        <f t="shared" si="43"/>
        <v>42</v>
      </c>
      <c r="G117" s="64">
        <f t="shared" si="39"/>
        <v>0.58988764044943809</v>
      </c>
      <c r="H117" s="51">
        <f t="shared" si="29"/>
        <v>8.1659325842696617</v>
      </c>
      <c r="I117" s="42" t="str">
        <f t="shared" si="41"/>
        <v>IEC</v>
      </c>
      <c r="J117" s="50">
        <f t="shared" si="41"/>
        <v>10.5</v>
      </c>
      <c r="K117" s="49">
        <f t="shared" si="41"/>
        <v>160</v>
      </c>
      <c r="L117" s="44">
        <f t="shared" si="41"/>
        <v>8</v>
      </c>
      <c r="M117" s="44">
        <f t="shared" si="41"/>
        <v>-8</v>
      </c>
      <c r="N117" s="45">
        <f t="shared" si="33"/>
        <v>0.2</v>
      </c>
      <c r="O117" s="49">
        <v>60</v>
      </c>
      <c r="P117" s="54">
        <f>K117+4</f>
        <v>164</v>
      </c>
      <c r="Q117" s="44">
        <f t="shared" si="42"/>
        <v>150</v>
      </c>
      <c r="R117" s="50">
        <f t="shared" si="42"/>
        <v>270</v>
      </c>
    </row>
    <row r="118" spans="1:18" x14ac:dyDescent="0.25">
      <c r="A118" s="41">
        <f t="shared" si="40"/>
        <v>3712</v>
      </c>
      <c r="B118" s="42">
        <f t="shared" si="40"/>
        <v>108</v>
      </c>
      <c r="C118" s="41" t="s">
        <v>1337</v>
      </c>
      <c r="D118" s="43">
        <f t="shared" si="38"/>
        <v>20</v>
      </c>
      <c r="E118" s="61">
        <f t="shared" si="26"/>
        <v>2.8840000000000003</v>
      </c>
      <c r="F118" s="61">
        <f t="shared" si="43"/>
        <v>42</v>
      </c>
      <c r="G118" s="64">
        <f t="shared" si="39"/>
        <v>0.58988764044943809</v>
      </c>
      <c r="H118" s="51">
        <f t="shared" si="29"/>
        <v>8.1659325842696617</v>
      </c>
      <c r="I118" s="42" t="str">
        <f t="shared" si="41"/>
        <v>IEC</v>
      </c>
      <c r="J118" s="50">
        <f t="shared" si="41"/>
        <v>10.5</v>
      </c>
      <c r="K118" s="49">
        <f t="shared" si="41"/>
        <v>160</v>
      </c>
      <c r="L118" s="44">
        <f t="shared" si="41"/>
        <v>8</v>
      </c>
      <c r="M118" s="44">
        <f t="shared" si="41"/>
        <v>-8</v>
      </c>
      <c r="N118" s="45">
        <f t="shared" si="33"/>
        <v>0.2</v>
      </c>
      <c r="O118" s="49">
        <v>60</v>
      </c>
      <c r="P118" s="54">
        <f>K118+5.25</f>
        <v>165.25</v>
      </c>
      <c r="Q118" s="44">
        <f t="shared" si="42"/>
        <v>150</v>
      </c>
      <c r="R118" s="50">
        <f t="shared" si="42"/>
        <v>270</v>
      </c>
    </row>
    <row r="119" spans="1:18" x14ac:dyDescent="0.25">
      <c r="A119" s="41">
        <f t="shared" si="40"/>
        <v>3713</v>
      </c>
      <c r="B119" s="42">
        <f t="shared" si="40"/>
        <v>109</v>
      </c>
      <c r="C119" s="41" t="s">
        <v>1338</v>
      </c>
      <c r="D119" s="43">
        <f t="shared" si="38"/>
        <v>20</v>
      </c>
      <c r="E119" s="61">
        <f t="shared" si="26"/>
        <v>2.8840000000000003</v>
      </c>
      <c r="F119" s="61">
        <f t="shared" si="43"/>
        <v>42</v>
      </c>
      <c r="G119" s="64">
        <f t="shared" si="39"/>
        <v>0.58988764044943809</v>
      </c>
      <c r="H119" s="51">
        <f t="shared" si="29"/>
        <v>8.1659325842696617</v>
      </c>
      <c r="I119" s="42" t="str">
        <f t="shared" si="41"/>
        <v>IEC</v>
      </c>
      <c r="J119" s="50">
        <f t="shared" si="41"/>
        <v>10.5</v>
      </c>
      <c r="K119" s="49">
        <f t="shared" si="41"/>
        <v>160</v>
      </c>
      <c r="L119" s="44">
        <f t="shared" si="41"/>
        <v>8</v>
      </c>
      <c r="M119" s="44">
        <f t="shared" si="41"/>
        <v>-8</v>
      </c>
      <c r="N119" s="45">
        <f t="shared" si="33"/>
        <v>0.2</v>
      </c>
      <c r="O119" s="49">
        <v>90</v>
      </c>
      <c r="P119" s="54">
        <f>K119</f>
        <v>160</v>
      </c>
      <c r="Q119" s="44">
        <f t="shared" si="42"/>
        <v>150</v>
      </c>
      <c r="R119" s="50">
        <f t="shared" si="42"/>
        <v>270</v>
      </c>
    </row>
    <row r="120" spans="1:18" x14ac:dyDescent="0.25">
      <c r="A120" s="41">
        <f t="shared" si="40"/>
        <v>3714</v>
      </c>
      <c r="B120" s="42">
        <f t="shared" si="40"/>
        <v>110</v>
      </c>
      <c r="C120" s="41" t="s">
        <v>1339</v>
      </c>
      <c r="D120" s="43">
        <f t="shared" si="38"/>
        <v>20</v>
      </c>
      <c r="E120" s="61">
        <f t="shared" si="26"/>
        <v>2.8840000000000003</v>
      </c>
      <c r="F120" s="61">
        <f t="shared" si="43"/>
        <v>42</v>
      </c>
      <c r="G120" s="64">
        <f t="shared" si="39"/>
        <v>0.58988764044943809</v>
      </c>
      <c r="H120" s="51">
        <f t="shared" si="29"/>
        <v>8.1659325842696617</v>
      </c>
      <c r="I120" s="42" t="str">
        <f t="shared" si="41"/>
        <v>IEC</v>
      </c>
      <c r="J120" s="50">
        <f t="shared" si="41"/>
        <v>10.5</v>
      </c>
      <c r="K120" s="49">
        <f t="shared" si="41"/>
        <v>160</v>
      </c>
      <c r="L120" s="44">
        <f t="shared" si="41"/>
        <v>8</v>
      </c>
      <c r="M120" s="44">
        <f t="shared" si="41"/>
        <v>-8</v>
      </c>
      <c r="N120" s="45">
        <f t="shared" si="33"/>
        <v>0.2</v>
      </c>
      <c r="O120" s="49">
        <v>90</v>
      </c>
      <c r="P120" s="54">
        <f>K120+2.46</f>
        <v>162.46</v>
      </c>
      <c r="Q120" s="44">
        <f t="shared" si="42"/>
        <v>150</v>
      </c>
      <c r="R120" s="50">
        <f t="shared" si="42"/>
        <v>270</v>
      </c>
    </row>
    <row r="121" spans="1:18" x14ac:dyDescent="0.25">
      <c r="A121" s="41">
        <f t="shared" si="40"/>
        <v>3715</v>
      </c>
      <c r="B121" s="42">
        <f t="shared" si="40"/>
        <v>111</v>
      </c>
      <c r="C121" s="41" t="s">
        <v>1340</v>
      </c>
      <c r="D121" s="43">
        <f t="shared" si="38"/>
        <v>20</v>
      </c>
      <c r="E121" s="61">
        <f t="shared" si="26"/>
        <v>2.8840000000000003</v>
      </c>
      <c r="F121" s="61">
        <f t="shared" si="43"/>
        <v>42</v>
      </c>
      <c r="G121" s="64">
        <f t="shared" si="39"/>
        <v>0.58988764044943809</v>
      </c>
      <c r="H121" s="51">
        <f t="shared" si="29"/>
        <v>8.1659325842696617</v>
      </c>
      <c r="I121" s="42" t="str">
        <f t="shared" si="41"/>
        <v>IEC</v>
      </c>
      <c r="J121" s="50">
        <f t="shared" si="41"/>
        <v>10.5</v>
      </c>
      <c r="K121" s="49">
        <f t="shared" si="41"/>
        <v>160</v>
      </c>
      <c r="L121" s="44">
        <f t="shared" si="41"/>
        <v>8</v>
      </c>
      <c r="M121" s="44">
        <f t="shared" si="41"/>
        <v>-8</v>
      </c>
      <c r="N121" s="45">
        <f t="shared" si="33"/>
        <v>0.2</v>
      </c>
      <c r="O121" s="49">
        <v>90</v>
      </c>
      <c r="P121" s="54">
        <f>K121+4</f>
        <v>164</v>
      </c>
      <c r="Q121" s="44">
        <f t="shared" si="42"/>
        <v>150</v>
      </c>
      <c r="R121" s="50">
        <f t="shared" si="42"/>
        <v>270</v>
      </c>
    </row>
    <row r="122" spans="1:18" x14ac:dyDescent="0.25">
      <c r="A122" s="41">
        <f t="shared" si="40"/>
        <v>3716</v>
      </c>
      <c r="B122" s="42">
        <f t="shared" si="40"/>
        <v>112</v>
      </c>
      <c r="C122" s="41" t="s">
        <v>1341</v>
      </c>
      <c r="D122" s="43">
        <f t="shared" si="38"/>
        <v>20</v>
      </c>
      <c r="E122" s="61">
        <f t="shared" si="26"/>
        <v>2.8840000000000003</v>
      </c>
      <c r="F122" s="61">
        <f t="shared" si="43"/>
        <v>42</v>
      </c>
      <c r="G122" s="64">
        <f t="shared" si="39"/>
        <v>0.58988764044943809</v>
      </c>
      <c r="H122" s="51">
        <f t="shared" si="29"/>
        <v>8.1659325842696617</v>
      </c>
      <c r="I122" s="42" t="str">
        <f t="shared" si="41"/>
        <v>IEC</v>
      </c>
      <c r="J122" s="50">
        <f t="shared" si="41"/>
        <v>10.5</v>
      </c>
      <c r="K122" s="49">
        <f t="shared" si="41"/>
        <v>160</v>
      </c>
      <c r="L122" s="44">
        <f t="shared" si="41"/>
        <v>8</v>
      </c>
      <c r="M122" s="44">
        <f t="shared" si="41"/>
        <v>-8</v>
      </c>
      <c r="N122" s="45">
        <f t="shared" si="33"/>
        <v>0.2</v>
      </c>
      <c r="O122" s="49">
        <v>90</v>
      </c>
      <c r="P122" s="54">
        <f>K122+5.25</f>
        <v>165.25</v>
      </c>
      <c r="Q122" s="44">
        <f t="shared" si="42"/>
        <v>150</v>
      </c>
      <c r="R122" s="50">
        <f t="shared" si="42"/>
        <v>270</v>
      </c>
    </row>
    <row r="123" spans="1:18" x14ac:dyDescent="0.25">
      <c r="A123" s="41">
        <f t="shared" si="40"/>
        <v>3717</v>
      </c>
      <c r="B123" s="42">
        <f t="shared" si="40"/>
        <v>113</v>
      </c>
      <c r="C123" s="41" t="s">
        <v>1342</v>
      </c>
      <c r="D123" s="43">
        <f t="shared" si="38"/>
        <v>20</v>
      </c>
      <c r="E123" s="61">
        <f t="shared" si="26"/>
        <v>2.8840000000000003</v>
      </c>
      <c r="F123" s="61">
        <f t="shared" si="43"/>
        <v>42</v>
      </c>
      <c r="G123" s="64">
        <f t="shared" si="39"/>
        <v>0.58988764044943809</v>
      </c>
      <c r="H123" s="51">
        <f t="shared" si="29"/>
        <v>8.1659325842696617</v>
      </c>
      <c r="I123" s="42" t="str">
        <f t="shared" si="41"/>
        <v>IEC</v>
      </c>
      <c r="J123" s="50">
        <f t="shared" si="41"/>
        <v>10.5</v>
      </c>
      <c r="K123" s="49">
        <f t="shared" si="41"/>
        <v>160</v>
      </c>
      <c r="L123" s="44">
        <f t="shared" si="41"/>
        <v>8</v>
      </c>
      <c r="M123" s="44">
        <f>yaw_null</f>
        <v>0</v>
      </c>
      <c r="N123" s="45">
        <f t="shared" si="33"/>
        <v>0.2</v>
      </c>
      <c r="O123" s="49">
        <v>0</v>
      </c>
      <c r="P123" s="54">
        <f>K123</f>
        <v>160</v>
      </c>
      <c r="Q123" s="44">
        <f t="shared" si="42"/>
        <v>150</v>
      </c>
      <c r="R123" s="50">
        <f t="shared" si="42"/>
        <v>270</v>
      </c>
    </row>
    <row r="124" spans="1:18" x14ac:dyDescent="0.25">
      <c r="A124" s="41">
        <f t="shared" si="40"/>
        <v>3718</v>
      </c>
      <c r="B124" s="42">
        <f t="shared" si="40"/>
        <v>114</v>
      </c>
      <c r="C124" s="41" t="s">
        <v>1343</v>
      </c>
      <c r="D124" s="43">
        <f t="shared" si="38"/>
        <v>20</v>
      </c>
      <c r="E124" s="61">
        <f t="shared" si="26"/>
        <v>2.8840000000000003</v>
      </c>
      <c r="F124" s="61">
        <f>F123</f>
        <v>42</v>
      </c>
      <c r="G124" s="64">
        <f t="shared" si="39"/>
        <v>0.58988764044943809</v>
      </c>
      <c r="H124" s="51">
        <f t="shared" si="29"/>
        <v>8.1659325842696617</v>
      </c>
      <c r="I124" s="42" t="str">
        <f>I123</f>
        <v>IEC</v>
      </c>
      <c r="J124" s="50">
        <f t="shared" si="41"/>
        <v>10.5</v>
      </c>
      <c r="K124" s="49">
        <f>K123</f>
        <v>160</v>
      </c>
      <c r="L124" s="44">
        <f>L123</f>
        <v>8</v>
      </c>
      <c r="M124" s="44">
        <f>M123</f>
        <v>0</v>
      </c>
      <c r="N124" s="45">
        <f t="shared" si="33"/>
        <v>0.2</v>
      </c>
      <c r="O124" s="49">
        <v>0</v>
      </c>
      <c r="P124" s="54">
        <f>K124+2.46</f>
        <v>162.46</v>
      </c>
      <c r="Q124" s="44">
        <f t="shared" si="42"/>
        <v>150</v>
      </c>
      <c r="R124" s="50">
        <f>R123</f>
        <v>270</v>
      </c>
    </row>
    <row r="125" spans="1:18" x14ac:dyDescent="0.25">
      <c r="A125" s="41">
        <f t="shared" ref="A125:B140" si="44">A124+1</f>
        <v>3719</v>
      </c>
      <c r="B125" s="42">
        <f t="shared" si="44"/>
        <v>115</v>
      </c>
      <c r="C125" s="41" t="s">
        <v>1344</v>
      </c>
      <c r="D125" s="43">
        <f t="shared" si="38"/>
        <v>20</v>
      </c>
      <c r="E125" s="61">
        <f t="shared" si="26"/>
        <v>2.8840000000000003</v>
      </c>
      <c r="F125" s="61">
        <f>F124</f>
        <v>42</v>
      </c>
      <c r="G125" s="64">
        <f t="shared" si="39"/>
        <v>0.58988764044943809</v>
      </c>
      <c r="H125" s="51">
        <f t="shared" si="29"/>
        <v>8.1659325842696617</v>
      </c>
      <c r="I125" s="42" t="str">
        <f t="shared" ref="I125:M140" si="45">I124</f>
        <v>IEC</v>
      </c>
      <c r="J125" s="50">
        <f t="shared" si="45"/>
        <v>10.5</v>
      </c>
      <c r="K125" s="49">
        <f t="shared" si="45"/>
        <v>160</v>
      </c>
      <c r="L125" s="44">
        <f t="shared" si="45"/>
        <v>8</v>
      </c>
      <c r="M125" s="44">
        <f t="shared" si="45"/>
        <v>0</v>
      </c>
      <c r="N125" s="45">
        <f t="shared" si="33"/>
        <v>0.2</v>
      </c>
      <c r="O125" s="49">
        <v>0</v>
      </c>
      <c r="P125" s="54">
        <f>K125+4</f>
        <v>164</v>
      </c>
      <c r="Q125" s="44">
        <f t="shared" ref="Q125:R140" si="46">Q124</f>
        <v>150</v>
      </c>
      <c r="R125" s="50">
        <f t="shared" si="46"/>
        <v>270</v>
      </c>
    </row>
    <row r="126" spans="1:18" x14ac:dyDescent="0.25">
      <c r="A126" s="41">
        <f t="shared" si="44"/>
        <v>3720</v>
      </c>
      <c r="B126" s="42">
        <f t="shared" si="44"/>
        <v>116</v>
      </c>
      <c r="C126" s="41" t="s">
        <v>1345</v>
      </c>
      <c r="D126" s="43">
        <f t="shared" si="38"/>
        <v>20</v>
      </c>
      <c r="E126" s="61">
        <f t="shared" si="26"/>
        <v>2.8840000000000003</v>
      </c>
      <c r="F126" s="61">
        <f t="shared" ref="F126:F139" si="47">F125</f>
        <v>42</v>
      </c>
      <c r="G126" s="64">
        <f t="shared" si="39"/>
        <v>0.58988764044943809</v>
      </c>
      <c r="H126" s="51">
        <f t="shared" si="29"/>
        <v>8.1659325842696617</v>
      </c>
      <c r="I126" s="42" t="str">
        <f t="shared" si="45"/>
        <v>IEC</v>
      </c>
      <c r="J126" s="50">
        <f t="shared" si="45"/>
        <v>10.5</v>
      </c>
      <c r="K126" s="49">
        <f t="shared" si="45"/>
        <v>160</v>
      </c>
      <c r="L126" s="44">
        <f t="shared" si="45"/>
        <v>8</v>
      </c>
      <c r="M126" s="44">
        <f t="shared" si="45"/>
        <v>0</v>
      </c>
      <c r="N126" s="45">
        <f t="shared" si="33"/>
        <v>0.2</v>
      </c>
      <c r="O126" s="49">
        <v>0</v>
      </c>
      <c r="P126" s="54">
        <f>K126+5.25</f>
        <v>165.25</v>
      </c>
      <c r="Q126" s="44">
        <f t="shared" si="46"/>
        <v>150</v>
      </c>
      <c r="R126" s="50">
        <f t="shared" si="46"/>
        <v>270</v>
      </c>
    </row>
    <row r="127" spans="1:18" x14ac:dyDescent="0.25">
      <c r="A127" s="41">
        <f t="shared" si="44"/>
        <v>3721</v>
      </c>
      <c r="B127" s="42">
        <f t="shared" si="44"/>
        <v>117</v>
      </c>
      <c r="C127" s="41" t="s">
        <v>1346</v>
      </c>
      <c r="D127" s="43">
        <f t="shared" si="38"/>
        <v>20</v>
      </c>
      <c r="E127" s="61">
        <f t="shared" si="26"/>
        <v>2.8840000000000003</v>
      </c>
      <c r="F127" s="61">
        <f t="shared" si="47"/>
        <v>42</v>
      </c>
      <c r="G127" s="64">
        <f t="shared" si="39"/>
        <v>0.58988764044943809</v>
      </c>
      <c r="H127" s="51">
        <f t="shared" si="29"/>
        <v>8.1659325842696617</v>
      </c>
      <c r="I127" s="42" t="str">
        <f t="shared" si="45"/>
        <v>IEC</v>
      </c>
      <c r="J127" s="50">
        <f t="shared" si="45"/>
        <v>10.5</v>
      </c>
      <c r="K127" s="49">
        <f t="shared" si="45"/>
        <v>160</v>
      </c>
      <c r="L127" s="44">
        <f t="shared" si="45"/>
        <v>8</v>
      </c>
      <c r="M127" s="44">
        <f t="shared" si="45"/>
        <v>0</v>
      </c>
      <c r="N127" s="45">
        <f t="shared" si="33"/>
        <v>0.2</v>
      </c>
      <c r="O127" s="49">
        <v>30</v>
      </c>
      <c r="P127" s="54">
        <f>K127</f>
        <v>160</v>
      </c>
      <c r="Q127" s="44">
        <f t="shared" si="46"/>
        <v>150</v>
      </c>
      <c r="R127" s="50">
        <f t="shared" si="46"/>
        <v>270</v>
      </c>
    </row>
    <row r="128" spans="1:18" x14ac:dyDescent="0.25">
      <c r="A128" s="41">
        <f t="shared" si="44"/>
        <v>3722</v>
      </c>
      <c r="B128" s="42">
        <f t="shared" si="44"/>
        <v>118</v>
      </c>
      <c r="C128" s="41" t="s">
        <v>1347</v>
      </c>
      <c r="D128" s="43">
        <f t="shared" si="38"/>
        <v>20</v>
      </c>
      <c r="E128" s="61">
        <f t="shared" si="26"/>
        <v>2.8840000000000003</v>
      </c>
      <c r="F128" s="61">
        <f t="shared" si="47"/>
        <v>42</v>
      </c>
      <c r="G128" s="64">
        <f t="shared" si="39"/>
        <v>0.58988764044943809</v>
      </c>
      <c r="H128" s="51">
        <f t="shared" si="29"/>
        <v>8.1659325842696617</v>
      </c>
      <c r="I128" s="42" t="str">
        <f t="shared" si="45"/>
        <v>IEC</v>
      </c>
      <c r="J128" s="50">
        <f t="shared" si="45"/>
        <v>10.5</v>
      </c>
      <c r="K128" s="49">
        <f t="shared" si="45"/>
        <v>160</v>
      </c>
      <c r="L128" s="44">
        <f t="shared" si="45"/>
        <v>8</v>
      </c>
      <c r="M128" s="44">
        <f t="shared" si="45"/>
        <v>0</v>
      </c>
      <c r="N128" s="45">
        <f t="shared" si="33"/>
        <v>0.2</v>
      </c>
      <c r="O128" s="49">
        <v>30</v>
      </c>
      <c r="P128" s="54">
        <f>K128+2.46</f>
        <v>162.46</v>
      </c>
      <c r="Q128" s="44">
        <f t="shared" si="46"/>
        <v>150</v>
      </c>
      <c r="R128" s="50">
        <f t="shared" si="46"/>
        <v>270</v>
      </c>
    </row>
    <row r="129" spans="1:18" x14ac:dyDescent="0.25">
      <c r="A129" s="41">
        <f t="shared" si="44"/>
        <v>3723</v>
      </c>
      <c r="B129" s="42">
        <f t="shared" si="44"/>
        <v>119</v>
      </c>
      <c r="C129" s="41" t="s">
        <v>1348</v>
      </c>
      <c r="D129" s="43">
        <f t="shared" si="38"/>
        <v>20</v>
      </c>
      <c r="E129" s="61">
        <f t="shared" si="26"/>
        <v>2.8840000000000003</v>
      </c>
      <c r="F129" s="61">
        <f t="shared" si="47"/>
        <v>42</v>
      </c>
      <c r="G129" s="64">
        <f t="shared" si="39"/>
        <v>0.58988764044943809</v>
      </c>
      <c r="H129" s="51">
        <f t="shared" si="29"/>
        <v>8.1659325842696617</v>
      </c>
      <c r="I129" s="42" t="str">
        <f t="shared" si="45"/>
        <v>IEC</v>
      </c>
      <c r="J129" s="50">
        <f t="shared" si="45"/>
        <v>10.5</v>
      </c>
      <c r="K129" s="49">
        <f t="shared" si="45"/>
        <v>160</v>
      </c>
      <c r="L129" s="44">
        <f t="shared" si="45"/>
        <v>8</v>
      </c>
      <c r="M129" s="44">
        <f t="shared" si="45"/>
        <v>0</v>
      </c>
      <c r="N129" s="45">
        <f t="shared" si="33"/>
        <v>0.2</v>
      </c>
      <c r="O129" s="49">
        <v>30</v>
      </c>
      <c r="P129" s="54">
        <f>K129+4</f>
        <v>164</v>
      </c>
      <c r="Q129" s="44">
        <f t="shared" si="46"/>
        <v>150</v>
      </c>
      <c r="R129" s="50">
        <f t="shared" si="46"/>
        <v>270</v>
      </c>
    </row>
    <row r="130" spans="1:18" x14ac:dyDescent="0.25">
      <c r="A130" s="41">
        <f t="shared" si="44"/>
        <v>3724</v>
      </c>
      <c r="B130" s="42">
        <f t="shared" si="44"/>
        <v>120</v>
      </c>
      <c r="C130" s="41" t="s">
        <v>1349</v>
      </c>
      <c r="D130" s="43">
        <f t="shared" si="38"/>
        <v>20</v>
      </c>
      <c r="E130" s="61">
        <f t="shared" si="26"/>
        <v>2.8840000000000003</v>
      </c>
      <c r="F130" s="61">
        <f t="shared" si="47"/>
        <v>42</v>
      </c>
      <c r="G130" s="64">
        <f t="shared" si="39"/>
        <v>0.58988764044943809</v>
      </c>
      <c r="H130" s="51">
        <f t="shared" si="29"/>
        <v>8.1659325842696617</v>
      </c>
      <c r="I130" s="42" t="str">
        <f t="shared" si="45"/>
        <v>IEC</v>
      </c>
      <c r="J130" s="50">
        <f t="shared" si="45"/>
        <v>10.5</v>
      </c>
      <c r="K130" s="49">
        <f t="shared" si="45"/>
        <v>160</v>
      </c>
      <c r="L130" s="44">
        <f t="shared" si="45"/>
        <v>8</v>
      </c>
      <c r="M130" s="44">
        <f t="shared" si="45"/>
        <v>0</v>
      </c>
      <c r="N130" s="45">
        <f t="shared" si="33"/>
        <v>0.2</v>
      </c>
      <c r="O130" s="49">
        <v>30</v>
      </c>
      <c r="P130" s="54">
        <f>K130+5.25</f>
        <v>165.25</v>
      </c>
      <c r="Q130" s="44">
        <f t="shared" si="46"/>
        <v>150</v>
      </c>
      <c r="R130" s="50">
        <f t="shared" si="46"/>
        <v>270</v>
      </c>
    </row>
    <row r="131" spans="1:18" x14ac:dyDescent="0.25">
      <c r="A131" s="41">
        <f t="shared" si="44"/>
        <v>3725</v>
      </c>
      <c r="B131" s="42">
        <f t="shared" si="44"/>
        <v>121</v>
      </c>
      <c r="C131" s="41" t="s">
        <v>1350</v>
      </c>
      <c r="D131" s="43">
        <f t="shared" si="38"/>
        <v>20</v>
      </c>
      <c r="E131" s="61">
        <f t="shared" si="26"/>
        <v>2.8840000000000003</v>
      </c>
      <c r="F131" s="61">
        <f t="shared" si="47"/>
        <v>42</v>
      </c>
      <c r="G131" s="64">
        <f t="shared" si="39"/>
        <v>0.58988764044943809</v>
      </c>
      <c r="H131" s="51">
        <f t="shared" si="29"/>
        <v>8.1659325842696617</v>
      </c>
      <c r="I131" s="42" t="str">
        <f t="shared" si="45"/>
        <v>IEC</v>
      </c>
      <c r="J131" s="50">
        <f t="shared" si="45"/>
        <v>10.5</v>
      </c>
      <c r="K131" s="49">
        <f t="shared" si="45"/>
        <v>160</v>
      </c>
      <c r="L131" s="44">
        <f t="shared" si="45"/>
        <v>8</v>
      </c>
      <c r="M131" s="44">
        <f t="shared" si="45"/>
        <v>0</v>
      </c>
      <c r="N131" s="45">
        <f t="shared" si="33"/>
        <v>0.2</v>
      </c>
      <c r="O131" s="49">
        <v>60</v>
      </c>
      <c r="P131" s="54">
        <f>K131</f>
        <v>160</v>
      </c>
      <c r="Q131" s="44">
        <f t="shared" si="46"/>
        <v>150</v>
      </c>
      <c r="R131" s="50">
        <f t="shared" si="46"/>
        <v>270</v>
      </c>
    </row>
    <row r="132" spans="1:18" x14ac:dyDescent="0.25">
      <c r="A132" s="41">
        <f t="shared" si="44"/>
        <v>3726</v>
      </c>
      <c r="B132" s="42">
        <f t="shared" si="44"/>
        <v>122</v>
      </c>
      <c r="C132" s="41" t="s">
        <v>1351</v>
      </c>
      <c r="D132" s="43">
        <f t="shared" si="38"/>
        <v>20</v>
      </c>
      <c r="E132" s="61">
        <f t="shared" si="26"/>
        <v>2.8840000000000003</v>
      </c>
      <c r="F132" s="61">
        <f t="shared" si="47"/>
        <v>42</v>
      </c>
      <c r="G132" s="64">
        <f t="shared" si="39"/>
        <v>0.58988764044943809</v>
      </c>
      <c r="H132" s="51">
        <f t="shared" si="29"/>
        <v>8.1659325842696617</v>
      </c>
      <c r="I132" s="42" t="str">
        <f t="shared" si="45"/>
        <v>IEC</v>
      </c>
      <c r="J132" s="50">
        <f t="shared" si="45"/>
        <v>10.5</v>
      </c>
      <c r="K132" s="49">
        <f t="shared" si="45"/>
        <v>160</v>
      </c>
      <c r="L132" s="44">
        <f t="shared" si="45"/>
        <v>8</v>
      </c>
      <c r="M132" s="44">
        <f t="shared" si="45"/>
        <v>0</v>
      </c>
      <c r="N132" s="45">
        <f t="shared" si="33"/>
        <v>0.2</v>
      </c>
      <c r="O132" s="49">
        <v>60</v>
      </c>
      <c r="P132" s="54">
        <f>K132+2.46</f>
        <v>162.46</v>
      </c>
      <c r="Q132" s="44">
        <f t="shared" si="46"/>
        <v>150</v>
      </c>
      <c r="R132" s="50">
        <f t="shared" si="46"/>
        <v>270</v>
      </c>
    </row>
    <row r="133" spans="1:18" x14ac:dyDescent="0.25">
      <c r="A133" s="41">
        <f t="shared" si="44"/>
        <v>3727</v>
      </c>
      <c r="B133" s="42">
        <f t="shared" si="44"/>
        <v>123</v>
      </c>
      <c r="C133" s="41" t="s">
        <v>1352</v>
      </c>
      <c r="D133" s="43">
        <f t="shared" si="38"/>
        <v>20</v>
      </c>
      <c r="E133" s="61">
        <f t="shared" si="26"/>
        <v>2.8840000000000003</v>
      </c>
      <c r="F133" s="61">
        <f t="shared" si="47"/>
        <v>42</v>
      </c>
      <c r="G133" s="64">
        <f t="shared" si="39"/>
        <v>0.58988764044943809</v>
      </c>
      <c r="H133" s="51">
        <f t="shared" si="29"/>
        <v>8.1659325842696617</v>
      </c>
      <c r="I133" s="42" t="str">
        <f t="shared" si="45"/>
        <v>IEC</v>
      </c>
      <c r="J133" s="50">
        <f t="shared" si="45"/>
        <v>10.5</v>
      </c>
      <c r="K133" s="49">
        <f t="shared" si="45"/>
        <v>160</v>
      </c>
      <c r="L133" s="44">
        <f t="shared" si="45"/>
        <v>8</v>
      </c>
      <c r="M133" s="44">
        <f t="shared" si="45"/>
        <v>0</v>
      </c>
      <c r="N133" s="45">
        <f t="shared" si="33"/>
        <v>0.2</v>
      </c>
      <c r="O133" s="49">
        <v>60</v>
      </c>
      <c r="P133" s="54">
        <f>K133+4</f>
        <v>164</v>
      </c>
      <c r="Q133" s="44">
        <f t="shared" si="46"/>
        <v>150</v>
      </c>
      <c r="R133" s="50">
        <f t="shared" si="46"/>
        <v>270</v>
      </c>
    </row>
    <row r="134" spans="1:18" x14ac:dyDescent="0.25">
      <c r="A134" s="41">
        <f t="shared" si="44"/>
        <v>3728</v>
      </c>
      <c r="B134" s="42">
        <f t="shared" si="44"/>
        <v>124</v>
      </c>
      <c r="C134" s="41" t="s">
        <v>1353</v>
      </c>
      <c r="D134" s="43">
        <f t="shared" si="38"/>
        <v>20</v>
      </c>
      <c r="E134" s="61">
        <f t="shared" si="26"/>
        <v>2.8840000000000003</v>
      </c>
      <c r="F134" s="61">
        <f t="shared" si="47"/>
        <v>42</v>
      </c>
      <c r="G134" s="64">
        <f t="shared" si="39"/>
        <v>0.58988764044943809</v>
      </c>
      <c r="H134" s="51">
        <f t="shared" si="29"/>
        <v>8.1659325842696617</v>
      </c>
      <c r="I134" s="42" t="str">
        <f t="shared" si="45"/>
        <v>IEC</v>
      </c>
      <c r="J134" s="50">
        <f t="shared" si="45"/>
        <v>10.5</v>
      </c>
      <c r="K134" s="49">
        <f t="shared" si="45"/>
        <v>160</v>
      </c>
      <c r="L134" s="44">
        <f t="shared" si="45"/>
        <v>8</v>
      </c>
      <c r="M134" s="44">
        <f t="shared" si="45"/>
        <v>0</v>
      </c>
      <c r="N134" s="45">
        <f t="shared" si="33"/>
        <v>0.2</v>
      </c>
      <c r="O134" s="49">
        <v>60</v>
      </c>
      <c r="P134" s="54">
        <f>K134+5.25</f>
        <v>165.25</v>
      </c>
      <c r="Q134" s="44">
        <f t="shared" si="46"/>
        <v>150</v>
      </c>
      <c r="R134" s="50">
        <f t="shared" si="46"/>
        <v>270</v>
      </c>
    </row>
    <row r="135" spans="1:18" x14ac:dyDescent="0.25">
      <c r="A135" s="41">
        <f t="shared" si="44"/>
        <v>3729</v>
      </c>
      <c r="B135" s="42">
        <f t="shared" si="44"/>
        <v>125</v>
      </c>
      <c r="C135" s="41" t="s">
        <v>1354</v>
      </c>
      <c r="D135" s="43">
        <f t="shared" si="38"/>
        <v>20</v>
      </c>
      <c r="E135" s="61">
        <f t="shared" si="26"/>
        <v>2.8840000000000003</v>
      </c>
      <c r="F135" s="61">
        <f t="shared" si="47"/>
        <v>42</v>
      </c>
      <c r="G135" s="64">
        <f t="shared" si="39"/>
        <v>0.58988764044943809</v>
      </c>
      <c r="H135" s="51">
        <f t="shared" si="29"/>
        <v>8.1659325842696617</v>
      </c>
      <c r="I135" s="42" t="str">
        <f t="shared" si="45"/>
        <v>IEC</v>
      </c>
      <c r="J135" s="50">
        <f t="shared" si="45"/>
        <v>10.5</v>
      </c>
      <c r="K135" s="49">
        <f t="shared" si="45"/>
        <v>160</v>
      </c>
      <c r="L135" s="44">
        <f t="shared" si="45"/>
        <v>8</v>
      </c>
      <c r="M135" s="44">
        <f t="shared" si="45"/>
        <v>0</v>
      </c>
      <c r="N135" s="45">
        <f t="shared" si="33"/>
        <v>0.2</v>
      </c>
      <c r="O135" s="49">
        <v>90</v>
      </c>
      <c r="P135" s="54">
        <f>K135</f>
        <v>160</v>
      </c>
      <c r="Q135" s="44">
        <f t="shared" si="46"/>
        <v>150</v>
      </c>
      <c r="R135" s="50">
        <f t="shared" si="46"/>
        <v>270</v>
      </c>
    </row>
    <row r="136" spans="1:18" x14ac:dyDescent="0.25">
      <c r="A136" s="41">
        <f t="shared" si="44"/>
        <v>3730</v>
      </c>
      <c r="B136" s="42">
        <f t="shared" si="44"/>
        <v>126</v>
      </c>
      <c r="C136" s="41" t="s">
        <v>1355</v>
      </c>
      <c r="D136" s="43">
        <f t="shared" si="38"/>
        <v>20</v>
      </c>
      <c r="E136" s="61">
        <f t="shared" si="26"/>
        <v>2.8840000000000003</v>
      </c>
      <c r="F136" s="61">
        <f t="shared" si="47"/>
        <v>42</v>
      </c>
      <c r="G136" s="64">
        <f t="shared" si="39"/>
        <v>0.58988764044943809</v>
      </c>
      <c r="H136" s="51">
        <f t="shared" si="29"/>
        <v>8.1659325842696617</v>
      </c>
      <c r="I136" s="42" t="str">
        <f t="shared" si="45"/>
        <v>IEC</v>
      </c>
      <c r="J136" s="50">
        <f t="shared" si="45"/>
        <v>10.5</v>
      </c>
      <c r="K136" s="49">
        <f t="shared" si="45"/>
        <v>160</v>
      </c>
      <c r="L136" s="44">
        <f t="shared" si="45"/>
        <v>8</v>
      </c>
      <c r="M136" s="44">
        <f t="shared" si="45"/>
        <v>0</v>
      </c>
      <c r="N136" s="45">
        <f t="shared" si="33"/>
        <v>0.2</v>
      </c>
      <c r="O136" s="49">
        <v>90</v>
      </c>
      <c r="P136" s="54">
        <f>K136+2.46</f>
        <v>162.46</v>
      </c>
      <c r="Q136" s="44">
        <f t="shared" si="46"/>
        <v>150</v>
      </c>
      <c r="R136" s="50">
        <f t="shared" si="46"/>
        <v>270</v>
      </c>
    </row>
    <row r="137" spans="1:18" x14ac:dyDescent="0.25">
      <c r="A137" s="41">
        <f t="shared" si="44"/>
        <v>3731</v>
      </c>
      <c r="B137" s="42">
        <f t="shared" si="44"/>
        <v>127</v>
      </c>
      <c r="C137" s="41" t="s">
        <v>1356</v>
      </c>
      <c r="D137" s="43">
        <f t="shared" si="38"/>
        <v>20</v>
      </c>
      <c r="E137" s="61">
        <f t="shared" si="26"/>
        <v>2.8840000000000003</v>
      </c>
      <c r="F137" s="61">
        <f t="shared" si="47"/>
        <v>42</v>
      </c>
      <c r="G137" s="64">
        <f t="shared" si="39"/>
        <v>0.58988764044943809</v>
      </c>
      <c r="H137" s="51">
        <f t="shared" si="29"/>
        <v>8.1659325842696617</v>
      </c>
      <c r="I137" s="42" t="str">
        <f t="shared" si="45"/>
        <v>IEC</v>
      </c>
      <c r="J137" s="50">
        <f t="shared" si="45"/>
        <v>10.5</v>
      </c>
      <c r="K137" s="49">
        <f t="shared" si="45"/>
        <v>160</v>
      </c>
      <c r="L137" s="44">
        <f t="shared" si="45"/>
        <v>8</v>
      </c>
      <c r="M137" s="44">
        <f t="shared" si="45"/>
        <v>0</v>
      </c>
      <c r="N137" s="45">
        <f t="shared" si="33"/>
        <v>0.2</v>
      </c>
      <c r="O137" s="49">
        <v>90</v>
      </c>
      <c r="P137" s="54">
        <f>K137+4</f>
        <v>164</v>
      </c>
      <c r="Q137" s="44">
        <f t="shared" si="46"/>
        <v>150</v>
      </c>
      <c r="R137" s="50">
        <f t="shared" si="46"/>
        <v>270</v>
      </c>
    </row>
    <row r="138" spans="1:18" x14ac:dyDescent="0.25">
      <c r="A138" s="41">
        <f t="shared" si="44"/>
        <v>3732</v>
      </c>
      <c r="B138" s="42">
        <f t="shared" si="44"/>
        <v>128</v>
      </c>
      <c r="C138" s="41" t="s">
        <v>1357</v>
      </c>
      <c r="D138" s="43">
        <f t="shared" si="38"/>
        <v>20</v>
      </c>
      <c r="E138" s="61">
        <f t="shared" si="26"/>
        <v>2.8840000000000003</v>
      </c>
      <c r="F138" s="61">
        <f t="shared" si="47"/>
        <v>42</v>
      </c>
      <c r="G138" s="64">
        <f t="shared" si="39"/>
        <v>0.58988764044943809</v>
      </c>
      <c r="H138" s="51">
        <f t="shared" si="29"/>
        <v>8.1659325842696617</v>
      </c>
      <c r="I138" s="42" t="str">
        <f t="shared" si="45"/>
        <v>IEC</v>
      </c>
      <c r="J138" s="50">
        <f t="shared" si="45"/>
        <v>10.5</v>
      </c>
      <c r="K138" s="49">
        <f t="shared" si="45"/>
        <v>160</v>
      </c>
      <c r="L138" s="44">
        <f t="shared" si="45"/>
        <v>8</v>
      </c>
      <c r="M138" s="44">
        <f t="shared" si="45"/>
        <v>0</v>
      </c>
      <c r="N138" s="45">
        <f t="shared" si="33"/>
        <v>0.2</v>
      </c>
      <c r="O138" s="49">
        <v>90</v>
      </c>
      <c r="P138" s="54">
        <f>K138+5.25</f>
        <v>165.25</v>
      </c>
      <c r="Q138" s="44">
        <f t="shared" si="46"/>
        <v>150</v>
      </c>
      <c r="R138" s="50">
        <f t="shared" si="46"/>
        <v>270</v>
      </c>
    </row>
    <row r="139" spans="1:18" x14ac:dyDescent="0.25">
      <c r="A139" s="41">
        <f t="shared" si="44"/>
        <v>3733</v>
      </c>
      <c r="B139" s="42">
        <f t="shared" si="44"/>
        <v>129</v>
      </c>
      <c r="C139" s="41" t="s">
        <v>1358</v>
      </c>
      <c r="D139" s="43">
        <f t="shared" si="38"/>
        <v>20</v>
      </c>
      <c r="E139" s="61">
        <f t="shared" ref="E139:E202" si="48">I_ref*(0.75*D139+5.6)</f>
        <v>2.8840000000000003</v>
      </c>
      <c r="F139" s="61">
        <f t="shared" si="47"/>
        <v>42</v>
      </c>
      <c r="G139" s="64">
        <f t="shared" ref="G139:G170" si="49">1/(1+0.2*(diameter/F139))</f>
        <v>0.58988764044943809</v>
      </c>
      <c r="H139" s="51">
        <f t="shared" si="29"/>
        <v>8.1659325842696617</v>
      </c>
      <c r="I139" s="42" t="str">
        <f t="shared" si="45"/>
        <v>IEC</v>
      </c>
      <c r="J139" s="50">
        <f t="shared" si="45"/>
        <v>10.5</v>
      </c>
      <c r="K139" s="49">
        <f t="shared" si="45"/>
        <v>160</v>
      </c>
      <c r="L139" s="44">
        <f t="shared" si="45"/>
        <v>8</v>
      </c>
      <c r="M139" s="44">
        <f>yaw_max</f>
        <v>8</v>
      </c>
      <c r="N139" s="45">
        <f t="shared" si="33"/>
        <v>0.2</v>
      </c>
      <c r="O139" s="49">
        <v>0</v>
      </c>
      <c r="P139" s="54">
        <f>K139</f>
        <v>160</v>
      </c>
      <c r="Q139" s="44">
        <f t="shared" si="46"/>
        <v>150</v>
      </c>
      <c r="R139" s="50">
        <f t="shared" si="46"/>
        <v>270</v>
      </c>
    </row>
    <row r="140" spans="1:18" x14ac:dyDescent="0.25">
      <c r="A140" s="41">
        <f t="shared" si="44"/>
        <v>3734</v>
      </c>
      <c r="B140" s="42">
        <f t="shared" si="44"/>
        <v>130</v>
      </c>
      <c r="C140" s="41" t="s">
        <v>1359</v>
      </c>
      <c r="D140" s="43">
        <f t="shared" si="38"/>
        <v>20</v>
      </c>
      <c r="E140" s="61">
        <f t="shared" si="48"/>
        <v>2.8840000000000003</v>
      </c>
      <c r="F140" s="61">
        <f>F139</f>
        <v>42</v>
      </c>
      <c r="G140" s="64">
        <f t="shared" si="49"/>
        <v>0.58988764044943809</v>
      </c>
      <c r="H140" s="51">
        <f t="shared" si="29"/>
        <v>8.1659325842696617</v>
      </c>
      <c r="I140" s="42" t="str">
        <f>I139</f>
        <v>IEC</v>
      </c>
      <c r="J140" s="50">
        <f t="shared" si="45"/>
        <v>10.5</v>
      </c>
      <c r="K140" s="49">
        <f>K139</f>
        <v>160</v>
      </c>
      <c r="L140" s="44">
        <f>L139</f>
        <v>8</v>
      </c>
      <c r="M140" s="44">
        <f>M139</f>
        <v>8</v>
      </c>
      <c r="N140" s="45">
        <f t="shared" si="33"/>
        <v>0.2</v>
      </c>
      <c r="O140" s="49">
        <v>0</v>
      </c>
      <c r="P140" s="54">
        <f>K140+2.46</f>
        <v>162.46</v>
      </c>
      <c r="Q140" s="44">
        <f t="shared" si="46"/>
        <v>150</v>
      </c>
      <c r="R140" s="50">
        <f>R139</f>
        <v>270</v>
      </c>
    </row>
    <row r="141" spans="1:18" x14ac:dyDescent="0.25">
      <c r="A141" s="41">
        <f t="shared" ref="A141:B156" si="50">A140+1</f>
        <v>3735</v>
      </c>
      <c r="B141" s="42">
        <f t="shared" si="50"/>
        <v>131</v>
      </c>
      <c r="C141" s="41" t="s">
        <v>1360</v>
      </c>
      <c r="D141" s="43">
        <f t="shared" si="38"/>
        <v>20</v>
      </c>
      <c r="E141" s="61">
        <f t="shared" si="48"/>
        <v>2.8840000000000003</v>
      </c>
      <c r="F141" s="61">
        <f>F140</f>
        <v>42</v>
      </c>
      <c r="G141" s="64">
        <f t="shared" si="49"/>
        <v>0.58988764044943809</v>
      </c>
      <c r="H141" s="51">
        <f t="shared" ref="H141:H202" si="51">4.8*E141*G141</f>
        <v>8.1659325842696617</v>
      </c>
      <c r="I141" s="42" t="str">
        <f t="shared" ref="I141:M156" si="52">I140</f>
        <v>IEC</v>
      </c>
      <c r="J141" s="50">
        <f t="shared" si="52"/>
        <v>10.5</v>
      </c>
      <c r="K141" s="49">
        <f t="shared" si="52"/>
        <v>160</v>
      </c>
      <c r="L141" s="44">
        <f t="shared" si="52"/>
        <v>8</v>
      </c>
      <c r="M141" s="44">
        <f t="shared" si="52"/>
        <v>8</v>
      </c>
      <c r="N141" s="45">
        <f t="shared" si="33"/>
        <v>0.2</v>
      </c>
      <c r="O141" s="49">
        <v>0</v>
      </c>
      <c r="P141" s="54">
        <f>K141+4</f>
        <v>164</v>
      </c>
      <c r="Q141" s="44">
        <f t="shared" ref="Q141:R156" si="53">Q140</f>
        <v>150</v>
      </c>
      <c r="R141" s="50">
        <f t="shared" si="53"/>
        <v>270</v>
      </c>
    </row>
    <row r="142" spans="1:18" x14ac:dyDescent="0.25">
      <c r="A142" s="41">
        <f t="shared" si="50"/>
        <v>3736</v>
      </c>
      <c r="B142" s="42">
        <f t="shared" si="50"/>
        <v>132</v>
      </c>
      <c r="C142" s="41" t="s">
        <v>1361</v>
      </c>
      <c r="D142" s="43">
        <f t="shared" si="38"/>
        <v>20</v>
      </c>
      <c r="E142" s="61">
        <f t="shared" si="48"/>
        <v>2.8840000000000003</v>
      </c>
      <c r="F142" s="61">
        <f t="shared" ref="F142:F155" si="54">F141</f>
        <v>42</v>
      </c>
      <c r="G142" s="64">
        <f t="shared" si="49"/>
        <v>0.58988764044943809</v>
      </c>
      <c r="H142" s="51">
        <f t="shared" si="51"/>
        <v>8.1659325842696617</v>
      </c>
      <c r="I142" s="42" t="str">
        <f t="shared" si="52"/>
        <v>IEC</v>
      </c>
      <c r="J142" s="50">
        <f t="shared" si="52"/>
        <v>10.5</v>
      </c>
      <c r="K142" s="49">
        <f t="shared" si="52"/>
        <v>160</v>
      </c>
      <c r="L142" s="44">
        <f t="shared" si="52"/>
        <v>8</v>
      </c>
      <c r="M142" s="44">
        <f t="shared" si="52"/>
        <v>8</v>
      </c>
      <c r="N142" s="45">
        <f t="shared" si="33"/>
        <v>0.2</v>
      </c>
      <c r="O142" s="49">
        <v>0</v>
      </c>
      <c r="P142" s="54">
        <f>K142+5.25</f>
        <v>165.25</v>
      </c>
      <c r="Q142" s="44">
        <f t="shared" si="53"/>
        <v>150</v>
      </c>
      <c r="R142" s="50">
        <f t="shared" si="53"/>
        <v>270</v>
      </c>
    </row>
    <row r="143" spans="1:18" x14ac:dyDescent="0.25">
      <c r="A143" s="41">
        <f t="shared" si="50"/>
        <v>3737</v>
      </c>
      <c r="B143" s="42">
        <f t="shared" si="50"/>
        <v>133</v>
      </c>
      <c r="C143" s="41" t="s">
        <v>1362</v>
      </c>
      <c r="D143" s="43">
        <f t="shared" si="38"/>
        <v>20</v>
      </c>
      <c r="E143" s="61">
        <f t="shared" si="48"/>
        <v>2.8840000000000003</v>
      </c>
      <c r="F143" s="61">
        <f t="shared" si="54"/>
        <v>42</v>
      </c>
      <c r="G143" s="64">
        <f t="shared" si="49"/>
        <v>0.58988764044943809</v>
      </c>
      <c r="H143" s="51">
        <f t="shared" si="51"/>
        <v>8.1659325842696617</v>
      </c>
      <c r="I143" s="42" t="str">
        <f t="shared" si="52"/>
        <v>IEC</v>
      </c>
      <c r="J143" s="50">
        <f t="shared" si="52"/>
        <v>10.5</v>
      </c>
      <c r="K143" s="49">
        <f t="shared" si="52"/>
        <v>160</v>
      </c>
      <c r="L143" s="44">
        <f t="shared" si="52"/>
        <v>8</v>
      </c>
      <c r="M143" s="44">
        <f t="shared" si="52"/>
        <v>8</v>
      </c>
      <c r="N143" s="45">
        <f t="shared" si="33"/>
        <v>0.2</v>
      </c>
      <c r="O143" s="49">
        <v>30</v>
      </c>
      <c r="P143" s="54">
        <f>K143</f>
        <v>160</v>
      </c>
      <c r="Q143" s="44">
        <f t="shared" si="53"/>
        <v>150</v>
      </c>
      <c r="R143" s="50">
        <f t="shared" si="53"/>
        <v>270</v>
      </c>
    </row>
    <row r="144" spans="1:18" x14ac:dyDescent="0.25">
      <c r="A144" s="41">
        <f t="shared" si="50"/>
        <v>3738</v>
      </c>
      <c r="B144" s="42">
        <f t="shared" si="50"/>
        <v>134</v>
      </c>
      <c r="C144" s="41" t="s">
        <v>1363</v>
      </c>
      <c r="D144" s="43">
        <f t="shared" si="38"/>
        <v>20</v>
      </c>
      <c r="E144" s="61">
        <f t="shared" si="48"/>
        <v>2.8840000000000003</v>
      </c>
      <c r="F144" s="61">
        <f t="shared" si="54"/>
        <v>42</v>
      </c>
      <c r="G144" s="64">
        <f t="shared" si="49"/>
        <v>0.58988764044943809</v>
      </c>
      <c r="H144" s="51">
        <f t="shared" si="51"/>
        <v>8.1659325842696617</v>
      </c>
      <c r="I144" s="42" t="str">
        <f t="shared" si="52"/>
        <v>IEC</v>
      </c>
      <c r="J144" s="50">
        <f t="shared" si="52"/>
        <v>10.5</v>
      </c>
      <c r="K144" s="49">
        <f t="shared" si="52"/>
        <v>160</v>
      </c>
      <c r="L144" s="44">
        <f t="shared" si="52"/>
        <v>8</v>
      </c>
      <c r="M144" s="44">
        <f t="shared" si="52"/>
        <v>8</v>
      </c>
      <c r="N144" s="45">
        <f t="shared" si="33"/>
        <v>0.2</v>
      </c>
      <c r="O144" s="49">
        <v>30</v>
      </c>
      <c r="P144" s="54">
        <f>K144+2.46</f>
        <v>162.46</v>
      </c>
      <c r="Q144" s="44">
        <f t="shared" si="53"/>
        <v>150</v>
      </c>
      <c r="R144" s="50">
        <f t="shared" si="53"/>
        <v>270</v>
      </c>
    </row>
    <row r="145" spans="1:18" x14ac:dyDescent="0.25">
      <c r="A145" s="41">
        <f t="shared" si="50"/>
        <v>3739</v>
      </c>
      <c r="B145" s="42">
        <f t="shared" si="50"/>
        <v>135</v>
      </c>
      <c r="C145" s="41" t="s">
        <v>1364</v>
      </c>
      <c r="D145" s="43">
        <f t="shared" si="38"/>
        <v>20</v>
      </c>
      <c r="E145" s="61">
        <f t="shared" si="48"/>
        <v>2.8840000000000003</v>
      </c>
      <c r="F145" s="61">
        <f t="shared" si="54"/>
        <v>42</v>
      </c>
      <c r="G145" s="64">
        <f t="shared" si="49"/>
        <v>0.58988764044943809</v>
      </c>
      <c r="H145" s="51">
        <f t="shared" si="51"/>
        <v>8.1659325842696617</v>
      </c>
      <c r="I145" s="42" t="str">
        <f t="shared" si="52"/>
        <v>IEC</v>
      </c>
      <c r="J145" s="50">
        <f t="shared" si="52"/>
        <v>10.5</v>
      </c>
      <c r="K145" s="49">
        <f t="shared" si="52"/>
        <v>160</v>
      </c>
      <c r="L145" s="44">
        <f t="shared" si="52"/>
        <v>8</v>
      </c>
      <c r="M145" s="44">
        <f t="shared" si="52"/>
        <v>8</v>
      </c>
      <c r="N145" s="45">
        <f t="shared" si="33"/>
        <v>0.2</v>
      </c>
      <c r="O145" s="49">
        <v>30</v>
      </c>
      <c r="P145" s="54">
        <f>K145+4</f>
        <v>164</v>
      </c>
      <c r="Q145" s="44">
        <f t="shared" si="53"/>
        <v>150</v>
      </c>
      <c r="R145" s="50">
        <f t="shared" si="53"/>
        <v>270</v>
      </c>
    </row>
    <row r="146" spans="1:18" x14ac:dyDescent="0.25">
      <c r="A146" s="41">
        <f t="shared" si="50"/>
        <v>3740</v>
      </c>
      <c r="B146" s="42">
        <f t="shared" si="50"/>
        <v>136</v>
      </c>
      <c r="C146" s="41" t="s">
        <v>1365</v>
      </c>
      <c r="D146" s="43">
        <f t="shared" si="38"/>
        <v>20</v>
      </c>
      <c r="E146" s="61">
        <f t="shared" si="48"/>
        <v>2.8840000000000003</v>
      </c>
      <c r="F146" s="61">
        <f t="shared" si="54"/>
        <v>42</v>
      </c>
      <c r="G146" s="64">
        <f t="shared" si="49"/>
        <v>0.58988764044943809</v>
      </c>
      <c r="H146" s="51">
        <f t="shared" si="51"/>
        <v>8.1659325842696617</v>
      </c>
      <c r="I146" s="42" t="str">
        <f t="shared" si="52"/>
        <v>IEC</v>
      </c>
      <c r="J146" s="50">
        <f t="shared" si="52"/>
        <v>10.5</v>
      </c>
      <c r="K146" s="49">
        <f t="shared" si="52"/>
        <v>160</v>
      </c>
      <c r="L146" s="44">
        <f t="shared" si="52"/>
        <v>8</v>
      </c>
      <c r="M146" s="44">
        <f t="shared" si="52"/>
        <v>8</v>
      </c>
      <c r="N146" s="45">
        <f t="shared" si="33"/>
        <v>0.2</v>
      </c>
      <c r="O146" s="49">
        <v>30</v>
      </c>
      <c r="P146" s="54">
        <f>K146+5.25</f>
        <v>165.25</v>
      </c>
      <c r="Q146" s="44">
        <f t="shared" si="53"/>
        <v>150</v>
      </c>
      <c r="R146" s="50">
        <f t="shared" si="53"/>
        <v>270</v>
      </c>
    </row>
    <row r="147" spans="1:18" x14ac:dyDescent="0.25">
      <c r="A147" s="41">
        <f t="shared" si="50"/>
        <v>3741</v>
      </c>
      <c r="B147" s="42">
        <f t="shared" si="50"/>
        <v>137</v>
      </c>
      <c r="C147" s="41" t="s">
        <v>1366</v>
      </c>
      <c r="D147" s="43">
        <f t="shared" si="38"/>
        <v>20</v>
      </c>
      <c r="E147" s="61">
        <f t="shared" si="48"/>
        <v>2.8840000000000003</v>
      </c>
      <c r="F147" s="61">
        <f t="shared" si="54"/>
        <v>42</v>
      </c>
      <c r="G147" s="64">
        <f t="shared" si="49"/>
        <v>0.58988764044943809</v>
      </c>
      <c r="H147" s="51">
        <f t="shared" si="51"/>
        <v>8.1659325842696617</v>
      </c>
      <c r="I147" s="42" t="str">
        <f t="shared" si="52"/>
        <v>IEC</v>
      </c>
      <c r="J147" s="50">
        <f t="shared" si="52"/>
        <v>10.5</v>
      </c>
      <c r="K147" s="49">
        <f t="shared" si="52"/>
        <v>160</v>
      </c>
      <c r="L147" s="44">
        <f t="shared" si="52"/>
        <v>8</v>
      </c>
      <c r="M147" s="44">
        <f t="shared" si="52"/>
        <v>8</v>
      </c>
      <c r="N147" s="45">
        <f t="shared" si="33"/>
        <v>0.2</v>
      </c>
      <c r="O147" s="49">
        <v>60</v>
      </c>
      <c r="P147" s="54">
        <f>K147</f>
        <v>160</v>
      </c>
      <c r="Q147" s="44">
        <f t="shared" si="53"/>
        <v>150</v>
      </c>
      <c r="R147" s="50">
        <f t="shared" si="53"/>
        <v>270</v>
      </c>
    </row>
    <row r="148" spans="1:18" x14ac:dyDescent="0.25">
      <c r="A148" s="41">
        <f t="shared" si="50"/>
        <v>3742</v>
      </c>
      <c r="B148" s="42">
        <f t="shared" si="50"/>
        <v>138</v>
      </c>
      <c r="C148" s="41" t="s">
        <v>1367</v>
      </c>
      <c r="D148" s="43">
        <f t="shared" si="38"/>
        <v>20</v>
      </c>
      <c r="E148" s="61">
        <f t="shared" si="48"/>
        <v>2.8840000000000003</v>
      </c>
      <c r="F148" s="61">
        <f t="shared" si="54"/>
        <v>42</v>
      </c>
      <c r="G148" s="64">
        <f t="shared" si="49"/>
        <v>0.58988764044943809</v>
      </c>
      <c r="H148" s="51">
        <f t="shared" si="51"/>
        <v>8.1659325842696617</v>
      </c>
      <c r="I148" s="42" t="str">
        <f t="shared" si="52"/>
        <v>IEC</v>
      </c>
      <c r="J148" s="50">
        <f t="shared" si="52"/>
        <v>10.5</v>
      </c>
      <c r="K148" s="49">
        <f t="shared" si="52"/>
        <v>160</v>
      </c>
      <c r="L148" s="44">
        <f t="shared" si="52"/>
        <v>8</v>
      </c>
      <c r="M148" s="44">
        <f t="shared" si="52"/>
        <v>8</v>
      </c>
      <c r="N148" s="45">
        <f t="shared" si="33"/>
        <v>0.2</v>
      </c>
      <c r="O148" s="49">
        <v>60</v>
      </c>
      <c r="P148" s="54">
        <f>K148+2.46</f>
        <v>162.46</v>
      </c>
      <c r="Q148" s="44">
        <f t="shared" si="53"/>
        <v>150</v>
      </c>
      <c r="R148" s="50">
        <f t="shared" si="53"/>
        <v>270</v>
      </c>
    </row>
    <row r="149" spans="1:18" x14ac:dyDescent="0.25">
      <c r="A149" s="41">
        <f t="shared" si="50"/>
        <v>3743</v>
      </c>
      <c r="B149" s="42">
        <f t="shared" si="50"/>
        <v>139</v>
      </c>
      <c r="C149" s="41" t="s">
        <v>1368</v>
      </c>
      <c r="D149" s="43">
        <f t="shared" si="38"/>
        <v>20</v>
      </c>
      <c r="E149" s="61">
        <f t="shared" si="48"/>
        <v>2.8840000000000003</v>
      </c>
      <c r="F149" s="61">
        <f t="shared" si="54"/>
        <v>42</v>
      </c>
      <c r="G149" s="64">
        <f t="shared" si="49"/>
        <v>0.58988764044943809</v>
      </c>
      <c r="H149" s="51">
        <f t="shared" si="51"/>
        <v>8.1659325842696617</v>
      </c>
      <c r="I149" s="42" t="str">
        <f t="shared" si="52"/>
        <v>IEC</v>
      </c>
      <c r="J149" s="50">
        <f t="shared" si="52"/>
        <v>10.5</v>
      </c>
      <c r="K149" s="49">
        <f t="shared" si="52"/>
        <v>160</v>
      </c>
      <c r="L149" s="44">
        <f t="shared" si="52"/>
        <v>8</v>
      </c>
      <c r="M149" s="44">
        <f t="shared" si="52"/>
        <v>8</v>
      </c>
      <c r="N149" s="45">
        <f t="shared" si="33"/>
        <v>0.2</v>
      </c>
      <c r="O149" s="49">
        <v>60</v>
      </c>
      <c r="P149" s="54">
        <f>K149+4</f>
        <v>164</v>
      </c>
      <c r="Q149" s="44">
        <f t="shared" si="53"/>
        <v>150</v>
      </c>
      <c r="R149" s="50">
        <f t="shared" si="53"/>
        <v>270</v>
      </c>
    </row>
    <row r="150" spans="1:18" x14ac:dyDescent="0.25">
      <c r="A150" s="41">
        <f t="shared" si="50"/>
        <v>3744</v>
      </c>
      <c r="B150" s="42">
        <f t="shared" si="50"/>
        <v>140</v>
      </c>
      <c r="C150" s="41" t="s">
        <v>1369</v>
      </c>
      <c r="D150" s="43">
        <f t="shared" si="38"/>
        <v>20</v>
      </c>
      <c r="E150" s="61">
        <f t="shared" si="48"/>
        <v>2.8840000000000003</v>
      </c>
      <c r="F150" s="61">
        <f t="shared" si="54"/>
        <v>42</v>
      </c>
      <c r="G150" s="64">
        <f t="shared" si="49"/>
        <v>0.58988764044943809</v>
      </c>
      <c r="H150" s="51">
        <f t="shared" si="51"/>
        <v>8.1659325842696617</v>
      </c>
      <c r="I150" s="42" t="str">
        <f t="shared" si="52"/>
        <v>IEC</v>
      </c>
      <c r="J150" s="50">
        <f t="shared" si="52"/>
        <v>10.5</v>
      </c>
      <c r="K150" s="49">
        <f t="shared" si="52"/>
        <v>160</v>
      </c>
      <c r="L150" s="44">
        <f t="shared" si="52"/>
        <v>8</v>
      </c>
      <c r="M150" s="44">
        <f t="shared" si="52"/>
        <v>8</v>
      </c>
      <c r="N150" s="45">
        <f t="shared" si="33"/>
        <v>0.2</v>
      </c>
      <c r="O150" s="49">
        <v>60</v>
      </c>
      <c r="P150" s="54">
        <f>K150+5.25</f>
        <v>165.25</v>
      </c>
      <c r="Q150" s="44">
        <f t="shared" si="53"/>
        <v>150</v>
      </c>
      <c r="R150" s="50">
        <f t="shared" si="53"/>
        <v>270</v>
      </c>
    </row>
    <row r="151" spans="1:18" x14ac:dyDescent="0.25">
      <c r="A151" s="41">
        <f t="shared" si="50"/>
        <v>3745</v>
      </c>
      <c r="B151" s="42">
        <f t="shared" si="50"/>
        <v>141</v>
      </c>
      <c r="C151" s="41" t="s">
        <v>1370</v>
      </c>
      <c r="D151" s="43">
        <f t="shared" si="38"/>
        <v>20</v>
      </c>
      <c r="E151" s="61">
        <f t="shared" si="48"/>
        <v>2.8840000000000003</v>
      </c>
      <c r="F151" s="61">
        <f t="shared" si="54"/>
        <v>42</v>
      </c>
      <c r="G151" s="64">
        <f t="shared" si="49"/>
        <v>0.58988764044943809</v>
      </c>
      <c r="H151" s="51">
        <f t="shared" si="51"/>
        <v>8.1659325842696617</v>
      </c>
      <c r="I151" s="42" t="str">
        <f t="shared" si="52"/>
        <v>IEC</v>
      </c>
      <c r="J151" s="50">
        <f t="shared" si="52"/>
        <v>10.5</v>
      </c>
      <c r="K151" s="49">
        <f t="shared" si="52"/>
        <v>160</v>
      </c>
      <c r="L151" s="44">
        <f t="shared" si="52"/>
        <v>8</v>
      </c>
      <c r="M151" s="44">
        <f t="shared" si="52"/>
        <v>8</v>
      </c>
      <c r="N151" s="45">
        <f t="shared" si="33"/>
        <v>0.2</v>
      </c>
      <c r="O151" s="49">
        <v>90</v>
      </c>
      <c r="P151" s="54">
        <f>K151</f>
        <v>160</v>
      </c>
      <c r="Q151" s="44">
        <f t="shared" si="53"/>
        <v>150</v>
      </c>
      <c r="R151" s="50">
        <f t="shared" si="53"/>
        <v>270</v>
      </c>
    </row>
    <row r="152" spans="1:18" x14ac:dyDescent="0.25">
      <c r="A152" s="41">
        <f t="shared" si="50"/>
        <v>3746</v>
      </c>
      <c r="B152" s="42">
        <f t="shared" si="50"/>
        <v>142</v>
      </c>
      <c r="C152" s="41" t="s">
        <v>1371</v>
      </c>
      <c r="D152" s="43">
        <f t="shared" si="38"/>
        <v>20</v>
      </c>
      <c r="E152" s="61">
        <f t="shared" si="48"/>
        <v>2.8840000000000003</v>
      </c>
      <c r="F152" s="61">
        <f t="shared" si="54"/>
        <v>42</v>
      </c>
      <c r="G152" s="64">
        <f t="shared" si="49"/>
        <v>0.58988764044943809</v>
      </c>
      <c r="H152" s="51">
        <f t="shared" si="51"/>
        <v>8.1659325842696617</v>
      </c>
      <c r="I152" s="42" t="str">
        <f t="shared" si="52"/>
        <v>IEC</v>
      </c>
      <c r="J152" s="50">
        <f t="shared" si="52"/>
        <v>10.5</v>
      </c>
      <c r="K152" s="49">
        <f t="shared" si="52"/>
        <v>160</v>
      </c>
      <c r="L152" s="44">
        <f t="shared" si="52"/>
        <v>8</v>
      </c>
      <c r="M152" s="44">
        <f t="shared" si="52"/>
        <v>8</v>
      </c>
      <c r="N152" s="45">
        <f t="shared" si="33"/>
        <v>0.2</v>
      </c>
      <c r="O152" s="49">
        <v>90</v>
      </c>
      <c r="P152" s="54">
        <f>K152+2.46</f>
        <v>162.46</v>
      </c>
      <c r="Q152" s="44">
        <f t="shared" si="53"/>
        <v>150</v>
      </c>
      <c r="R152" s="50">
        <f t="shared" si="53"/>
        <v>270</v>
      </c>
    </row>
    <row r="153" spans="1:18" x14ac:dyDescent="0.25">
      <c r="A153" s="41">
        <f t="shared" si="50"/>
        <v>3747</v>
      </c>
      <c r="B153" s="42">
        <f t="shared" si="50"/>
        <v>143</v>
      </c>
      <c r="C153" s="41" t="s">
        <v>1372</v>
      </c>
      <c r="D153" s="43">
        <f t="shared" si="38"/>
        <v>20</v>
      </c>
      <c r="E153" s="61">
        <f t="shared" si="48"/>
        <v>2.8840000000000003</v>
      </c>
      <c r="F153" s="61">
        <f t="shared" si="54"/>
        <v>42</v>
      </c>
      <c r="G153" s="64">
        <f t="shared" si="49"/>
        <v>0.58988764044943809</v>
      </c>
      <c r="H153" s="51">
        <f t="shared" si="51"/>
        <v>8.1659325842696617</v>
      </c>
      <c r="I153" s="42" t="str">
        <f t="shared" si="52"/>
        <v>IEC</v>
      </c>
      <c r="J153" s="50">
        <f t="shared" si="52"/>
        <v>10.5</v>
      </c>
      <c r="K153" s="49">
        <f t="shared" si="52"/>
        <v>160</v>
      </c>
      <c r="L153" s="44">
        <f t="shared" si="52"/>
        <v>8</v>
      </c>
      <c r="M153" s="44">
        <f t="shared" si="52"/>
        <v>8</v>
      </c>
      <c r="N153" s="45">
        <f t="shared" si="33"/>
        <v>0.2</v>
      </c>
      <c r="O153" s="49">
        <v>90</v>
      </c>
      <c r="P153" s="54">
        <f>K153+4</f>
        <v>164</v>
      </c>
      <c r="Q153" s="44">
        <f t="shared" si="53"/>
        <v>150</v>
      </c>
      <c r="R153" s="50">
        <f t="shared" si="53"/>
        <v>270</v>
      </c>
    </row>
    <row r="154" spans="1:18" ht="15.75" thickBot="1" x14ac:dyDescent="0.3">
      <c r="A154" s="41">
        <f t="shared" si="50"/>
        <v>3748</v>
      </c>
      <c r="B154" s="42">
        <f t="shared" si="50"/>
        <v>144</v>
      </c>
      <c r="C154" s="41" t="s">
        <v>1373</v>
      </c>
      <c r="D154" s="43">
        <f t="shared" si="38"/>
        <v>20</v>
      </c>
      <c r="E154" s="61">
        <f t="shared" si="48"/>
        <v>2.8840000000000003</v>
      </c>
      <c r="F154" s="61">
        <f t="shared" si="54"/>
        <v>42</v>
      </c>
      <c r="G154" s="64">
        <f t="shared" si="49"/>
        <v>0.58988764044943809</v>
      </c>
      <c r="H154" s="51">
        <f t="shared" si="51"/>
        <v>8.1659325842696617</v>
      </c>
      <c r="I154" s="42" t="str">
        <f t="shared" si="52"/>
        <v>IEC</v>
      </c>
      <c r="J154" s="50">
        <f t="shared" si="52"/>
        <v>10.5</v>
      </c>
      <c r="K154" s="49">
        <f t="shared" si="52"/>
        <v>160</v>
      </c>
      <c r="L154" s="44">
        <f t="shared" si="52"/>
        <v>8</v>
      </c>
      <c r="M154" s="44">
        <f t="shared" si="52"/>
        <v>8</v>
      </c>
      <c r="N154" s="45">
        <f t="shared" si="33"/>
        <v>0.2</v>
      </c>
      <c r="O154" s="49">
        <v>90</v>
      </c>
      <c r="P154" s="54">
        <f>K154+5.25</f>
        <v>165.25</v>
      </c>
      <c r="Q154" s="44">
        <f t="shared" si="53"/>
        <v>150</v>
      </c>
      <c r="R154" s="50">
        <f t="shared" si="53"/>
        <v>270</v>
      </c>
    </row>
    <row r="155" spans="1:18" x14ac:dyDescent="0.25">
      <c r="A155" s="41">
        <f t="shared" si="50"/>
        <v>3749</v>
      </c>
      <c r="B155" s="42">
        <f t="shared" si="50"/>
        <v>145</v>
      </c>
      <c r="C155" s="41" t="s">
        <v>1374</v>
      </c>
      <c r="D155" s="43">
        <f t="shared" ref="D155:D202" si="55">v_out</f>
        <v>25</v>
      </c>
      <c r="E155" s="61">
        <f t="shared" si="48"/>
        <v>3.4090000000000007</v>
      </c>
      <c r="F155" s="61">
        <f t="shared" si="54"/>
        <v>42</v>
      </c>
      <c r="G155" s="64">
        <f t="shared" si="49"/>
        <v>0.58988764044943809</v>
      </c>
      <c r="H155" s="51">
        <f t="shared" si="51"/>
        <v>9.6524494382022468</v>
      </c>
      <c r="I155" s="42" t="str">
        <f t="shared" si="52"/>
        <v>IEC</v>
      </c>
      <c r="J155" s="50">
        <f t="shared" si="52"/>
        <v>10.5</v>
      </c>
      <c r="K155" s="49">
        <f t="shared" si="52"/>
        <v>160</v>
      </c>
      <c r="L155" s="44">
        <f t="shared" si="52"/>
        <v>8</v>
      </c>
      <c r="M155" s="35">
        <f>yaw_min</f>
        <v>-8</v>
      </c>
      <c r="N155" s="45">
        <f t="shared" si="33"/>
        <v>0.2</v>
      </c>
      <c r="O155" s="49">
        <v>0</v>
      </c>
      <c r="P155" s="54">
        <f>K155</f>
        <v>160</v>
      </c>
      <c r="Q155" s="44">
        <f t="shared" si="53"/>
        <v>150</v>
      </c>
      <c r="R155" s="50">
        <f t="shared" si="53"/>
        <v>270</v>
      </c>
    </row>
    <row r="156" spans="1:18" x14ac:dyDescent="0.25">
      <c r="A156" s="41">
        <f t="shared" si="50"/>
        <v>3750</v>
      </c>
      <c r="B156" s="42">
        <f t="shared" si="50"/>
        <v>146</v>
      </c>
      <c r="C156" s="41" t="s">
        <v>1375</v>
      </c>
      <c r="D156" s="43">
        <f t="shared" si="55"/>
        <v>25</v>
      </c>
      <c r="E156" s="61">
        <f t="shared" si="48"/>
        <v>3.4090000000000007</v>
      </c>
      <c r="F156" s="61">
        <f>F155</f>
        <v>42</v>
      </c>
      <c r="G156" s="64">
        <f t="shared" si="49"/>
        <v>0.58988764044943809</v>
      </c>
      <c r="H156" s="51">
        <f t="shared" si="51"/>
        <v>9.6524494382022468</v>
      </c>
      <c r="I156" s="42" t="str">
        <f>I155</f>
        <v>IEC</v>
      </c>
      <c r="J156" s="50">
        <f t="shared" si="52"/>
        <v>10.5</v>
      </c>
      <c r="K156" s="49">
        <f>K155</f>
        <v>160</v>
      </c>
      <c r="L156" s="44">
        <f>L155</f>
        <v>8</v>
      </c>
      <c r="M156" s="44">
        <f>M155</f>
        <v>-8</v>
      </c>
      <c r="N156" s="45">
        <f t="shared" ref="N156:N202" si="56">N155</f>
        <v>0.2</v>
      </c>
      <c r="O156" s="49">
        <v>0</v>
      </c>
      <c r="P156" s="54">
        <f>K156+2.46</f>
        <v>162.46</v>
      </c>
      <c r="Q156" s="44">
        <f t="shared" si="53"/>
        <v>150</v>
      </c>
      <c r="R156" s="50">
        <f>R155</f>
        <v>270</v>
      </c>
    </row>
    <row r="157" spans="1:18" x14ac:dyDescent="0.25">
      <c r="A157" s="41">
        <f t="shared" ref="A157:B172" si="57">A156+1</f>
        <v>3751</v>
      </c>
      <c r="B157" s="42">
        <f t="shared" si="57"/>
        <v>147</v>
      </c>
      <c r="C157" s="41" t="s">
        <v>1376</v>
      </c>
      <c r="D157" s="43">
        <f t="shared" si="55"/>
        <v>25</v>
      </c>
      <c r="E157" s="61">
        <f t="shared" si="48"/>
        <v>3.4090000000000007</v>
      </c>
      <c r="F157" s="61">
        <f>F156</f>
        <v>42</v>
      </c>
      <c r="G157" s="64">
        <f t="shared" si="49"/>
        <v>0.58988764044943809</v>
      </c>
      <c r="H157" s="51">
        <f t="shared" si="51"/>
        <v>9.6524494382022468</v>
      </c>
      <c r="I157" s="42" t="str">
        <f t="shared" ref="I157:M172" si="58">I156</f>
        <v>IEC</v>
      </c>
      <c r="J157" s="50">
        <f t="shared" si="58"/>
        <v>10.5</v>
      </c>
      <c r="K157" s="49">
        <f t="shared" si="58"/>
        <v>160</v>
      </c>
      <c r="L157" s="44">
        <f t="shared" si="58"/>
        <v>8</v>
      </c>
      <c r="M157" s="44">
        <f t="shared" si="58"/>
        <v>-8</v>
      </c>
      <c r="N157" s="45">
        <f t="shared" si="56"/>
        <v>0.2</v>
      </c>
      <c r="O157" s="49">
        <v>0</v>
      </c>
      <c r="P157" s="54">
        <f>K157+4</f>
        <v>164</v>
      </c>
      <c r="Q157" s="44">
        <f t="shared" ref="Q157:R172" si="59">Q156</f>
        <v>150</v>
      </c>
      <c r="R157" s="50">
        <f t="shared" si="59"/>
        <v>270</v>
      </c>
    </row>
    <row r="158" spans="1:18" x14ac:dyDescent="0.25">
      <c r="A158" s="41">
        <f t="shared" si="57"/>
        <v>3752</v>
      </c>
      <c r="B158" s="42">
        <f t="shared" si="57"/>
        <v>148</v>
      </c>
      <c r="C158" s="41" t="s">
        <v>1377</v>
      </c>
      <c r="D158" s="43">
        <f t="shared" si="55"/>
        <v>25</v>
      </c>
      <c r="E158" s="61">
        <f t="shared" si="48"/>
        <v>3.4090000000000007</v>
      </c>
      <c r="F158" s="61">
        <f t="shared" ref="F158:F171" si="60">F157</f>
        <v>42</v>
      </c>
      <c r="G158" s="64">
        <f t="shared" si="49"/>
        <v>0.58988764044943809</v>
      </c>
      <c r="H158" s="51">
        <f t="shared" si="51"/>
        <v>9.6524494382022468</v>
      </c>
      <c r="I158" s="42" t="str">
        <f t="shared" si="58"/>
        <v>IEC</v>
      </c>
      <c r="J158" s="50">
        <f t="shared" si="58"/>
        <v>10.5</v>
      </c>
      <c r="K158" s="49">
        <f t="shared" si="58"/>
        <v>160</v>
      </c>
      <c r="L158" s="44">
        <f t="shared" si="58"/>
        <v>8</v>
      </c>
      <c r="M158" s="44">
        <f t="shared" si="58"/>
        <v>-8</v>
      </c>
      <c r="N158" s="45">
        <f t="shared" si="56"/>
        <v>0.2</v>
      </c>
      <c r="O158" s="49">
        <v>0</v>
      </c>
      <c r="P158" s="54">
        <f>K158+5.25</f>
        <v>165.25</v>
      </c>
      <c r="Q158" s="44">
        <f t="shared" si="59"/>
        <v>150</v>
      </c>
      <c r="R158" s="50">
        <f t="shared" si="59"/>
        <v>270</v>
      </c>
    </row>
    <row r="159" spans="1:18" x14ac:dyDescent="0.25">
      <c r="A159" s="41">
        <f t="shared" si="57"/>
        <v>3753</v>
      </c>
      <c r="B159" s="42">
        <f t="shared" si="57"/>
        <v>149</v>
      </c>
      <c r="C159" s="41" t="s">
        <v>1378</v>
      </c>
      <c r="D159" s="43">
        <f t="shared" si="55"/>
        <v>25</v>
      </c>
      <c r="E159" s="61">
        <f t="shared" si="48"/>
        <v>3.4090000000000007</v>
      </c>
      <c r="F159" s="61">
        <f t="shared" si="60"/>
        <v>42</v>
      </c>
      <c r="G159" s="64">
        <f t="shared" si="49"/>
        <v>0.58988764044943809</v>
      </c>
      <c r="H159" s="51">
        <f t="shared" si="51"/>
        <v>9.6524494382022468</v>
      </c>
      <c r="I159" s="42" t="str">
        <f t="shared" si="58"/>
        <v>IEC</v>
      </c>
      <c r="J159" s="50">
        <f t="shared" si="58"/>
        <v>10.5</v>
      </c>
      <c r="K159" s="49">
        <f t="shared" si="58"/>
        <v>160</v>
      </c>
      <c r="L159" s="44">
        <f t="shared" si="58"/>
        <v>8</v>
      </c>
      <c r="M159" s="44">
        <f t="shared" si="58"/>
        <v>-8</v>
      </c>
      <c r="N159" s="45">
        <f t="shared" si="56"/>
        <v>0.2</v>
      </c>
      <c r="O159" s="49">
        <v>30</v>
      </c>
      <c r="P159" s="54">
        <f>K159</f>
        <v>160</v>
      </c>
      <c r="Q159" s="44">
        <f t="shared" si="59"/>
        <v>150</v>
      </c>
      <c r="R159" s="50">
        <f t="shared" si="59"/>
        <v>270</v>
      </c>
    </row>
    <row r="160" spans="1:18" x14ac:dyDescent="0.25">
      <c r="A160" s="41">
        <f t="shared" si="57"/>
        <v>3754</v>
      </c>
      <c r="B160" s="42">
        <f t="shared" si="57"/>
        <v>150</v>
      </c>
      <c r="C160" s="41" t="s">
        <v>1379</v>
      </c>
      <c r="D160" s="43">
        <f t="shared" si="55"/>
        <v>25</v>
      </c>
      <c r="E160" s="61">
        <f t="shared" si="48"/>
        <v>3.4090000000000007</v>
      </c>
      <c r="F160" s="61">
        <f t="shared" si="60"/>
        <v>42</v>
      </c>
      <c r="G160" s="64">
        <f t="shared" si="49"/>
        <v>0.58988764044943809</v>
      </c>
      <c r="H160" s="51">
        <f t="shared" si="51"/>
        <v>9.6524494382022468</v>
      </c>
      <c r="I160" s="42" t="str">
        <f t="shared" si="58"/>
        <v>IEC</v>
      </c>
      <c r="J160" s="50">
        <f t="shared" si="58"/>
        <v>10.5</v>
      </c>
      <c r="K160" s="49">
        <f t="shared" si="58"/>
        <v>160</v>
      </c>
      <c r="L160" s="44">
        <f t="shared" si="58"/>
        <v>8</v>
      </c>
      <c r="M160" s="44">
        <f t="shared" si="58"/>
        <v>-8</v>
      </c>
      <c r="N160" s="45">
        <f t="shared" si="56"/>
        <v>0.2</v>
      </c>
      <c r="O160" s="49">
        <v>30</v>
      </c>
      <c r="P160" s="54">
        <f>K160+2.46</f>
        <v>162.46</v>
      </c>
      <c r="Q160" s="44">
        <f t="shared" si="59"/>
        <v>150</v>
      </c>
      <c r="R160" s="50">
        <f t="shared" si="59"/>
        <v>270</v>
      </c>
    </row>
    <row r="161" spans="1:18" x14ac:dyDescent="0.25">
      <c r="A161" s="41">
        <f t="shared" si="57"/>
        <v>3755</v>
      </c>
      <c r="B161" s="42">
        <f t="shared" si="57"/>
        <v>151</v>
      </c>
      <c r="C161" s="41" t="s">
        <v>1380</v>
      </c>
      <c r="D161" s="43">
        <f t="shared" si="55"/>
        <v>25</v>
      </c>
      <c r="E161" s="61">
        <f t="shared" si="48"/>
        <v>3.4090000000000007</v>
      </c>
      <c r="F161" s="61">
        <f t="shared" si="60"/>
        <v>42</v>
      </c>
      <c r="G161" s="64">
        <f t="shared" si="49"/>
        <v>0.58988764044943809</v>
      </c>
      <c r="H161" s="51">
        <f t="shared" si="51"/>
        <v>9.6524494382022468</v>
      </c>
      <c r="I161" s="42" t="str">
        <f t="shared" si="58"/>
        <v>IEC</v>
      </c>
      <c r="J161" s="50">
        <f t="shared" si="58"/>
        <v>10.5</v>
      </c>
      <c r="K161" s="49">
        <f t="shared" si="58"/>
        <v>160</v>
      </c>
      <c r="L161" s="44">
        <f t="shared" si="58"/>
        <v>8</v>
      </c>
      <c r="M161" s="44">
        <f t="shared" si="58"/>
        <v>-8</v>
      </c>
      <c r="N161" s="45">
        <f t="shared" si="56"/>
        <v>0.2</v>
      </c>
      <c r="O161" s="49">
        <v>30</v>
      </c>
      <c r="P161" s="54">
        <f>K161+4</f>
        <v>164</v>
      </c>
      <c r="Q161" s="44">
        <f t="shared" si="59"/>
        <v>150</v>
      </c>
      <c r="R161" s="50">
        <f t="shared" si="59"/>
        <v>270</v>
      </c>
    </row>
    <row r="162" spans="1:18" x14ac:dyDescent="0.25">
      <c r="A162" s="41">
        <f t="shared" si="57"/>
        <v>3756</v>
      </c>
      <c r="B162" s="42">
        <f t="shared" si="57"/>
        <v>152</v>
      </c>
      <c r="C162" s="41" t="s">
        <v>1381</v>
      </c>
      <c r="D162" s="43">
        <f t="shared" si="55"/>
        <v>25</v>
      </c>
      <c r="E162" s="61">
        <f t="shared" si="48"/>
        <v>3.4090000000000007</v>
      </c>
      <c r="F162" s="61">
        <f t="shared" si="60"/>
        <v>42</v>
      </c>
      <c r="G162" s="64">
        <f t="shared" si="49"/>
        <v>0.58988764044943809</v>
      </c>
      <c r="H162" s="51">
        <f t="shared" si="51"/>
        <v>9.6524494382022468</v>
      </c>
      <c r="I162" s="42" t="str">
        <f t="shared" si="58"/>
        <v>IEC</v>
      </c>
      <c r="J162" s="50">
        <f t="shared" si="58"/>
        <v>10.5</v>
      </c>
      <c r="K162" s="49">
        <f t="shared" si="58"/>
        <v>160</v>
      </c>
      <c r="L162" s="44">
        <f t="shared" si="58"/>
        <v>8</v>
      </c>
      <c r="M162" s="44">
        <f t="shared" si="58"/>
        <v>-8</v>
      </c>
      <c r="N162" s="45">
        <f t="shared" si="56"/>
        <v>0.2</v>
      </c>
      <c r="O162" s="49">
        <v>30</v>
      </c>
      <c r="P162" s="54">
        <f>K162+5.25</f>
        <v>165.25</v>
      </c>
      <c r="Q162" s="44">
        <f t="shared" si="59"/>
        <v>150</v>
      </c>
      <c r="R162" s="50">
        <f t="shared" si="59"/>
        <v>270</v>
      </c>
    </row>
    <row r="163" spans="1:18" x14ac:dyDescent="0.25">
      <c r="A163" s="41">
        <f t="shared" si="57"/>
        <v>3757</v>
      </c>
      <c r="B163" s="42">
        <f t="shared" si="57"/>
        <v>153</v>
      </c>
      <c r="C163" s="41" t="s">
        <v>1382</v>
      </c>
      <c r="D163" s="43">
        <f t="shared" si="55"/>
        <v>25</v>
      </c>
      <c r="E163" s="61">
        <f t="shared" si="48"/>
        <v>3.4090000000000007</v>
      </c>
      <c r="F163" s="61">
        <f t="shared" si="60"/>
        <v>42</v>
      </c>
      <c r="G163" s="64">
        <f t="shared" si="49"/>
        <v>0.58988764044943809</v>
      </c>
      <c r="H163" s="51">
        <f t="shared" si="51"/>
        <v>9.6524494382022468</v>
      </c>
      <c r="I163" s="42" t="str">
        <f t="shared" si="58"/>
        <v>IEC</v>
      </c>
      <c r="J163" s="50">
        <f t="shared" si="58"/>
        <v>10.5</v>
      </c>
      <c r="K163" s="49">
        <f t="shared" si="58"/>
        <v>160</v>
      </c>
      <c r="L163" s="44">
        <f t="shared" si="58"/>
        <v>8</v>
      </c>
      <c r="M163" s="44">
        <f t="shared" si="58"/>
        <v>-8</v>
      </c>
      <c r="N163" s="45">
        <f t="shared" si="56"/>
        <v>0.2</v>
      </c>
      <c r="O163" s="49">
        <v>60</v>
      </c>
      <c r="P163" s="54">
        <f>K163</f>
        <v>160</v>
      </c>
      <c r="Q163" s="44">
        <f t="shared" si="59"/>
        <v>150</v>
      </c>
      <c r="R163" s="50">
        <f t="shared" si="59"/>
        <v>270</v>
      </c>
    </row>
    <row r="164" spans="1:18" x14ac:dyDescent="0.25">
      <c r="A164" s="41">
        <f t="shared" si="57"/>
        <v>3758</v>
      </c>
      <c r="B164" s="42">
        <f t="shared" si="57"/>
        <v>154</v>
      </c>
      <c r="C164" s="41" t="s">
        <v>1383</v>
      </c>
      <c r="D164" s="43">
        <f t="shared" si="55"/>
        <v>25</v>
      </c>
      <c r="E164" s="61">
        <f t="shared" si="48"/>
        <v>3.4090000000000007</v>
      </c>
      <c r="F164" s="61">
        <f t="shared" si="60"/>
        <v>42</v>
      </c>
      <c r="G164" s="64">
        <f t="shared" si="49"/>
        <v>0.58988764044943809</v>
      </c>
      <c r="H164" s="51">
        <f t="shared" si="51"/>
        <v>9.6524494382022468</v>
      </c>
      <c r="I164" s="42" t="str">
        <f t="shared" si="58"/>
        <v>IEC</v>
      </c>
      <c r="J164" s="50">
        <f t="shared" si="58"/>
        <v>10.5</v>
      </c>
      <c r="K164" s="49">
        <f t="shared" si="58"/>
        <v>160</v>
      </c>
      <c r="L164" s="44">
        <f t="shared" si="58"/>
        <v>8</v>
      </c>
      <c r="M164" s="44">
        <f t="shared" si="58"/>
        <v>-8</v>
      </c>
      <c r="N164" s="45">
        <f t="shared" si="56"/>
        <v>0.2</v>
      </c>
      <c r="O164" s="49">
        <v>60</v>
      </c>
      <c r="P164" s="54">
        <f>K164+2.46</f>
        <v>162.46</v>
      </c>
      <c r="Q164" s="44">
        <f t="shared" si="59"/>
        <v>150</v>
      </c>
      <c r="R164" s="50">
        <f t="shared" si="59"/>
        <v>270</v>
      </c>
    </row>
    <row r="165" spans="1:18" x14ac:dyDescent="0.25">
      <c r="A165" s="41">
        <f t="shared" si="57"/>
        <v>3759</v>
      </c>
      <c r="B165" s="42">
        <f t="shared" si="57"/>
        <v>155</v>
      </c>
      <c r="C165" s="41" t="s">
        <v>1384</v>
      </c>
      <c r="D165" s="43">
        <f t="shared" si="55"/>
        <v>25</v>
      </c>
      <c r="E165" s="61">
        <f t="shared" si="48"/>
        <v>3.4090000000000007</v>
      </c>
      <c r="F165" s="61">
        <f t="shared" si="60"/>
        <v>42</v>
      </c>
      <c r="G165" s="64">
        <f t="shared" si="49"/>
        <v>0.58988764044943809</v>
      </c>
      <c r="H165" s="51">
        <f t="shared" si="51"/>
        <v>9.6524494382022468</v>
      </c>
      <c r="I165" s="42" t="str">
        <f t="shared" si="58"/>
        <v>IEC</v>
      </c>
      <c r="J165" s="50">
        <f t="shared" si="58"/>
        <v>10.5</v>
      </c>
      <c r="K165" s="49">
        <f t="shared" si="58"/>
        <v>160</v>
      </c>
      <c r="L165" s="44">
        <f t="shared" si="58"/>
        <v>8</v>
      </c>
      <c r="M165" s="44">
        <f t="shared" si="58"/>
        <v>-8</v>
      </c>
      <c r="N165" s="45">
        <f t="shared" si="56"/>
        <v>0.2</v>
      </c>
      <c r="O165" s="49">
        <v>60</v>
      </c>
      <c r="P165" s="54">
        <f>K165+4</f>
        <v>164</v>
      </c>
      <c r="Q165" s="44">
        <f t="shared" si="59"/>
        <v>150</v>
      </c>
      <c r="R165" s="50">
        <f t="shared" si="59"/>
        <v>270</v>
      </c>
    </row>
    <row r="166" spans="1:18" x14ac:dyDescent="0.25">
      <c r="A166" s="41">
        <f t="shared" si="57"/>
        <v>3760</v>
      </c>
      <c r="B166" s="42">
        <f t="shared" si="57"/>
        <v>156</v>
      </c>
      <c r="C166" s="41" t="s">
        <v>1385</v>
      </c>
      <c r="D166" s="43">
        <f t="shared" si="55"/>
        <v>25</v>
      </c>
      <c r="E166" s="61">
        <f t="shared" si="48"/>
        <v>3.4090000000000007</v>
      </c>
      <c r="F166" s="61">
        <f t="shared" si="60"/>
        <v>42</v>
      </c>
      <c r="G166" s="64">
        <f t="shared" si="49"/>
        <v>0.58988764044943809</v>
      </c>
      <c r="H166" s="51">
        <f t="shared" si="51"/>
        <v>9.6524494382022468</v>
      </c>
      <c r="I166" s="42" t="str">
        <f t="shared" si="58"/>
        <v>IEC</v>
      </c>
      <c r="J166" s="50">
        <f t="shared" si="58"/>
        <v>10.5</v>
      </c>
      <c r="K166" s="49">
        <f t="shared" si="58"/>
        <v>160</v>
      </c>
      <c r="L166" s="44">
        <f t="shared" si="58"/>
        <v>8</v>
      </c>
      <c r="M166" s="44">
        <f t="shared" si="58"/>
        <v>-8</v>
      </c>
      <c r="N166" s="45">
        <f t="shared" si="56"/>
        <v>0.2</v>
      </c>
      <c r="O166" s="49">
        <v>60</v>
      </c>
      <c r="P166" s="54">
        <f>K166+5.25</f>
        <v>165.25</v>
      </c>
      <c r="Q166" s="44">
        <f t="shared" si="59"/>
        <v>150</v>
      </c>
      <c r="R166" s="50">
        <f t="shared" si="59"/>
        <v>270</v>
      </c>
    </row>
    <row r="167" spans="1:18" x14ac:dyDescent="0.25">
      <c r="A167" s="41">
        <f t="shared" si="57"/>
        <v>3761</v>
      </c>
      <c r="B167" s="42">
        <f t="shared" si="57"/>
        <v>157</v>
      </c>
      <c r="C167" s="41" t="s">
        <v>1386</v>
      </c>
      <c r="D167" s="43">
        <f t="shared" si="55"/>
        <v>25</v>
      </c>
      <c r="E167" s="61">
        <f t="shared" si="48"/>
        <v>3.4090000000000007</v>
      </c>
      <c r="F167" s="61">
        <f t="shared" si="60"/>
        <v>42</v>
      </c>
      <c r="G167" s="64">
        <f t="shared" si="49"/>
        <v>0.58988764044943809</v>
      </c>
      <c r="H167" s="51">
        <f t="shared" si="51"/>
        <v>9.6524494382022468</v>
      </c>
      <c r="I167" s="42" t="str">
        <f t="shared" si="58"/>
        <v>IEC</v>
      </c>
      <c r="J167" s="50">
        <f t="shared" si="58"/>
        <v>10.5</v>
      </c>
      <c r="K167" s="49">
        <f t="shared" si="58"/>
        <v>160</v>
      </c>
      <c r="L167" s="44">
        <f t="shared" si="58"/>
        <v>8</v>
      </c>
      <c r="M167" s="44">
        <f t="shared" si="58"/>
        <v>-8</v>
      </c>
      <c r="N167" s="45">
        <f t="shared" si="56"/>
        <v>0.2</v>
      </c>
      <c r="O167" s="49">
        <v>90</v>
      </c>
      <c r="P167" s="54">
        <f>K167</f>
        <v>160</v>
      </c>
      <c r="Q167" s="44">
        <f t="shared" si="59"/>
        <v>150</v>
      </c>
      <c r="R167" s="50">
        <f t="shared" si="59"/>
        <v>270</v>
      </c>
    </row>
    <row r="168" spans="1:18" x14ac:dyDescent="0.25">
      <c r="A168" s="41">
        <f t="shared" si="57"/>
        <v>3762</v>
      </c>
      <c r="B168" s="42">
        <f t="shared" si="57"/>
        <v>158</v>
      </c>
      <c r="C168" s="41" t="s">
        <v>1387</v>
      </c>
      <c r="D168" s="43">
        <f t="shared" si="55"/>
        <v>25</v>
      </c>
      <c r="E168" s="61">
        <f t="shared" si="48"/>
        <v>3.4090000000000007</v>
      </c>
      <c r="F168" s="61">
        <f t="shared" si="60"/>
        <v>42</v>
      </c>
      <c r="G168" s="64">
        <f t="shared" si="49"/>
        <v>0.58988764044943809</v>
      </c>
      <c r="H168" s="51">
        <f t="shared" si="51"/>
        <v>9.6524494382022468</v>
      </c>
      <c r="I168" s="42" t="str">
        <f t="shared" si="58"/>
        <v>IEC</v>
      </c>
      <c r="J168" s="50">
        <f t="shared" si="58"/>
        <v>10.5</v>
      </c>
      <c r="K168" s="49">
        <f t="shared" si="58"/>
        <v>160</v>
      </c>
      <c r="L168" s="44">
        <f t="shared" si="58"/>
        <v>8</v>
      </c>
      <c r="M168" s="44">
        <f t="shared" si="58"/>
        <v>-8</v>
      </c>
      <c r="N168" s="45">
        <f t="shared" si="56"/>
        <v>0.2</v>
      </c>
      <c r="O168" s="49">
        <v>90</v>
      </c>
      <c r="P168" s="54">
        <f>K168+2.46</f>
        <v>162.46</v>
      </c>
      <c r="Q168" s="44">
        <f t="shared" si="59"/>
        <v>150</v>
      </c>
      <c r="R168" s="50">
        <f t="shared" si="59"/>
        <v>270</v>
      </c>
    </row>
    <row r="169" spans="1:18" x14ac:dyDescent="0.25">
      <c r="A169" s="41">
        <f t="shared" si="57"/>
        <v>3763</v>
      </c>
      <c r="B169" s="42">
        <f t="shared" si="57"/>
        <v>159</v>
      </c>
      <c r="C169" s="41" t="s">
        <v>1388</v>
      </c>
      <c r="D169" s="43">
        <f t="shared" si="55"/>
        <v>25</v>
      </c>
      <c r="E169" s="61">
        <f t="shared" si="48"/>
        <v>3.4090000000000007</v>
      </c>
      <c r="F169" s="61">
        <f t="shared" si="60"/>
        <v>42</v>
      </c>
      <c r="G169" s="64">
        <f t="shared" si="49"/>
        <v>0.58988764044943809</v>
      </c>
      <c r="H169" s="51">
        <f t="shared" si="51"/>
        <v>9.6524494382022468</v>
      </c>
      <c r="I169" s="42" t="str">
        <f t="shared" si="58"/>
        <v>IEC</v>
      </c>
      <c r="J169" s="50">
        <f t="shared" si="58"/>
        <v>10.5</v>
      </c>
      <c r="K169" s="49">
        <f t="shared" si="58"/>
        <v>160</v>
      </c>
      <c r="L169" s="44">
        <f t="shared" si="58"/>
        <v>8</v>
      </c>
      <c r="M169" s="44">
        <f t="shared" si="58"/>
        <v>-8</v>
      </c>
      <c r="N169" s="45">
        <f t="shared" si="56"/>
        <v>0.2</v>
      </c>
      <c r="O169" s="49">
        <v>90</v>
      </c>
      <c r="P169" s="54">
        <f>K169+4</f>
        <v>164</v>
      </c>
      <c r="Q169" s="44">
        <f t="shared" si="59"/>
        <v>150</v>
      </c>
      <c r="R169" s="50">
        <f t="shared" si="59"/>
        <v>270</v>
      </c>
    </row>
    <row r="170" spans="1:18" x14ac:dyDescent="0.25">
      <c r="A170" s="41">
        <f t="shared" si="57"/>
        <v>3764</v>
      </c>
      <c r="B170" s="42">
        <f t="shared" si="57"/>
        <v>160</v>
      </c>
      <c r="C170" s="41" t="s">
        <v>1389</v>
      </c>
      <c r="D170" s="43">
        <f t="shared" si="55"/>
        <v>25</v>
      </c>
      <c r="E170" s="61">
        <f t="shared" si="48"/>
        <v>3.4090000000000007</v>
      </c>
      <c r="F170" s="61">
        <f t="shared" si="60"/>
        <v>42</v>
      </c>
      <c r="G170" s="64">
        <f t="shared" si="49"/>
        <v>0.58988764044943809</v>
      </c>
      <c r="H170" s="51">
        <f t="shared" si="51"/>
        <v>9.6524494382022468</v>
      </c>
      <c r="I170" s="42" t="str">
        <f t="shared" si="58"/>
        <v>IEC</v>
      </c>
      <c r="J170" s="50">
        <f t="shared" si="58"/>
        <v>10.5</v>
      </c>
      <c r="K170" s="49">
        <f t="shared" si="58"/>
        <v>160</v>
      </c>
      <c r="L170" s="44">
        <f t="shared" si="58"/>
        <v>8</v>
      </c>
      <c r="M170" s="44">
        <f t="shared" si="58"/>
        <v>-8</v>
      </c>
      <c r="N170" s="45">
        <f t="shared" si="56"/>
        <v>0.2</v>
      </c>
      <c r="O170" s="49">
        <v>90</v>
      </c>
      <c r="P170" s="54">
        <f>K170+5.25</f>
        <v>165.25</v>
      </c>
      <c r="Q170" s="44">
        <f t="shared" si="59"/>
        <v>150</v>
      </c>
      <c r="R170" s="50">
        <f t="shared" si="59"/>
        <v>270</v>
      </c>
    </row>
    <row r="171" spans="1:18" x14ac:dyDescent="0.25">
      <c r="A171" s="41">
        <f t="shared" si="57"/>
        <v>3765</v>
      </c>
      <c r="B171" s="42">
        <f t="shared" si="57"/>
        <v>161</v>
      </c>
      <c r="C171" s="41" t="s">
        <v>1390</v>
      </c>
      <c r="D171" s="43">
        <f t="shared" si="55"/>
        <v>25</v>
      </c>
      <c r="E171" s="61">
        <f t="shared" si="48"/>
        <v>3.4090000000000007</v>
      </c>
      <c r="F171" s="61">
        <f t="shared" si="60"/>
        <v>42</v>
      </c>
      <c r="G171" s="64">
        <f t="shared" ref="G171:G202" si="61">1/(1+0.2*(diameter/F171))</f>
        <v>0.58988764044943809</v>
      </c>
      <c r="H171" s="51">
        <f t="shared" si="51"/>
        <v>9.6524494382022468</v>
      </c>
      <c r="I171" s="42" t="str">
        <f t="shared" si="58"/>
        <v>IEC</v>
      </c>
      <c r="J171" s="50">
        <f t="shared" si="58"/>
        <v>10.5</v>
      </c>
      <c r="K171" s="49">
        <f t="shared" si="58"/>
        <v>160</v>
      </c>
      <c r="L171" s="44">
        <f t="shared" si="58"/>
        <v>8</v>
      </c>
      <c r="M171" s="44">
        <f>yaw_null</f>
        <v>0</v>
      </c>
      <c r="N171" s="45">
        <f t="shared" si="56"/>
        <v>0.2</v>
      </c>
      <c r="O171" s="49">
        <v>0</v>
      </c>
      <c r="P171" s="54">
        <f>K171</f>
        <v>160</v>
      </c>
      <c r="Q171" s="44">
        <f t="shared" si="59"/>
        <v>150</v>
      </c>
      <c r="R171" s="50">
        <f t="shared" si="59"/>
        <v>270</v>
      </c>
    </row>
    <row r="172" spans="1:18" x14ac:dyDescent="0.25">
      <c r="A172" s="41">
        <f t="shared" si="57"/>
        <v>3766</v>
      </c>
      <c r="B172" s="42">
        <f t="shared" si="57"/>
        <v>162</v>
      </c>
      <c r="C172" s="41" t="s">
        <v>1391</v>
      </c>
      <c r="D172" s="43">
        <f t="shared" si="55"/>
        <v>25</v>
      </c>
      <c r="E172" s="61">
        <f t="shared" si="48"/>
        <v>3.4090000000000007</v>
      </c>
      <c r="F172" s="61">
        <f>F171</f>
        <v>42</v>
      </c>
      <c r="G172" s="64">
        <f t="shared" si="61"/>
        <v>0.58988764044943809</v>
      </c>
      <c r="H172" s="51">
        <f t="shared" si="51"/>
        <v>9.6524494382022468</v>
      </c>
      <c r="I172" s="42" t="str">
        <f>I171</f>
        <v>IEC</v>
      </c>
      <c r="J172" s="50">
        <f t="shared" si="58"/>
        <v>10.5</v>
      </c>
      <c r="K172" s="49">
        <f>K171</f>
        <v>160</v>
      </c>
      <c r="L172" s="44">
        <f>L171</f>
        <v>8</v>
      </c>
      <c r="M172" s="44">
        <f>M171</f>
        <v>0</v>
      </c>
      <c r="N172" s="45">
        <f t="shared" si="56"/>
        <v>0.2</v>
      </c>
      <c r="O172" s="49">
        <v>0</v>
      </c>
      <c r="P172" s="54">
        <f>K172+2.46</f>
        <v>162.46</v>
      </c>
      <c r="Q172" s="44">
        <f t="shared" si="59"/>
        <v>150</v>
      </c>
      <c r="R172" s="50">
        <f>R171</f>
        <v>270</v>
      </c>
    </row>
    <row r="173" spans="1:18" x14ac:dyDescent="0.25">
      <c r="A173" s="41">
        <f t="shared" ref="A173:B188" si="62">A172+1</f>
        <v>3767</v>
      </c>
      <c r="B173" s="42">
        <f t="shared" si="62"/>
        <v>163</v>
      </c>
      <c r="C173" s="41" t="s">
        <v>1392</v>
      </c>
      <c r="D173" s="43">
        <f t="shared" si="55"/>
        <v>25</v>
      </c>
      <c r="E173" s="61">
        <f t="shared" si="48"/>
        <v>3.4090000000000007</v>
      </c>
      <c r="F173" s="61">
        <f>F172</f>
        <v>42</v>
      </c>
      <c r="G173" s="64">
        <f t="shared" si="61"/>
        <v>0.58988764044943809</v>
      </c>
      <c r="H173" s="51">
        <f t="shared" si="51"/>
        <v>9.6524494382022468</v>
      </c>
      <c r="I173" s="42" t="str">
        <f t="shared" ref="I173:M188" si="63">I172</f>
        <v>IEC</v>
      </c>
      <c r="J173" s="50">
        <f t="shared" si="63"/>
        <v>10.5</v>
      </c>
      <c r="K173" s="49">
        <f t="shared" si="63"/>
        <v>160</v>
      </c>
      <c r="L173" s="44">
        <f t="shared" si="63"/>
        <v>8</v>
      </c>
      <c r="M173" s="44">
        <f t="shared" si="63"/>
        <v>0</v>
      </c>
      <c r="N173" s="45">
        <f t="shared" si="56"/>
        <v>0.2</v>
      </c>
      <c r="O173" s="49">
        <v>0</v>
      </c>
      <c r="P173" s="54">
        <f>K173+4</f>
        <v>164</v>
      </c>
      <c r="Q173" s="44">
        <f t="shared" ref="Q173:R188" si="64">Q172</f>
        <v>150</v>
      </c>
      <c r="R173" s="50">
        <f t="shared" si="64"/>
        <v>270</v>
      </c>
    </row>
    <row r="174" spans="1:18" x14ac:dyDescent="0.25">
      <c r="A174" s="41">
        <f t="shared" si="62"/>
        <v>3768</v>
      </c>
      <c r="B174" s="42">
        <f t="shared" si="62"/>
        <v>164</v>
      </c>
      <c r="C174" s="41" t="s">
        <v>1393</v>
      </c>
      <c r="D174" s="43">
        <f t="shared" si="55"/>
        <v>25</v>
      </c>
      <c r="E174" s="61">
        <f t="shared" si="48"/>
        <v>3.4090000000000007</v>
      </c>
      <c r="F174" s="61">
        <f t="shared" ref="F174:F187" si="65">F173</f>
        <v>42</v>
      </c>
      <c r="G174" s="64">
        <f t="shared" si="61"/>
        <v>0.58988764044943809</v>
      </c>
      <c r="H174" s="51">
        <f t="shared" si="51"/>
        <v>9.6524494382022468</v>
      </c>
      <c r="I174" s="42" t="str">
        <f t="shared" si="63"/>
        <v>IEC</v>
      </c>
      <c r="J174" s="50">
        <f t="shared" si="63"/>
        <v>10.5</v>
      </c>
      <c r="K174" s="49">
        <f t="shared" si="63"/>
        <v>160</v>
      </c>
      <c r="L174" s="44">
        <f t="shared" si="63"/>
        <v>8</v>
      </c>
      <c r="M174" s="44">
        <f t="shared" si="63"/>
        <v>0</v>
      </c>
      <c r="N174" s="45">
        <f t="shared" si="56"/>
        <v>0.2</v>
      </c>
      <c r="O174" s="49">
        <v>0</v>
      </c>
      <c r="P174" s="54">
        <f>K174+5.25</f>
        <v>165.25</v>
      </c>
      <c r="Q174" s="44">
        <f t="shared" si="64"/>
        <v>150</v>
      </c>
      <c r="R174" s="50">
        <f t="shared" si="64"/>
        <v>270</v>
      </c>
    </row>
    <row r="175" spans="1:18" x14ac:dyDescent="0.25">
      <c r="A175" s="41">
        <f t="shared" si="62"/>
        <v>3769</v>
      </c>
      <c r="B175" s="42">
        <f t="shared" si="62"/>
        <v>165</v>
      </c>
      <c r="C175" s="41" t="s">
        <v>1394</v>
      </c>
      <c r="D175" s="43">
        <f t="shared" si="55"/>
        <v>25</v>
      </c>
      <c r="E175" s="61">
        <f t="shared" si="48"/>
        <v>3.4090000000000007</v>
      </c>
      <c r="F175" s="61">
        <f t="shared" si="65"/>
        <v>42</v>
      </c>
      <c r="G175" s="64">
        <f t="shared" si="61"/>
        <v>0.58988764044943809</v>
      </c>
      <c r="H175" s="51">
        <f t="shared" si="51"/>
        <v>9.6524494382022468</v>
      </c>
      <c r="I175" s="42" t="str">
        <f t="shared" si="63"/>
        <v>IEC</v>
      </c>
      <c r="J175" s="50">
        <f t="shared" si="63"/>
        <v>10.5</v>
      </c>
      <c r="K175" s="49">
        <f t="shared" si="63"/>
        <v>160</v>
      </c>
      <c r="L175" s="44">
        <f t="shared" si="63"/>
        <v>8</v>
      </c>
      <c r="M175" s="44">
        <f t="shared" si="63"/>
        <v>0</v>
      </c>
      <c r="N175" s="45">
        <f t="shared" si="56"/>
        <v>0.2</v>
      </c>
      <c r="O175" s="49">
        <v>30</v>
      </c>
      <c r="P175" s="54">
        <f>K175</f>
        <v>160</v>
      </c>
      <c r="Q175" s="44">
        <f t="shared" si="64"/>
        <v>150</v>
      </c>
      <c r="R175" s="50">
        <f t="shared" si="64"/>
        <v>270</v>
      </c>
    </row>
    <row r="176" spans="1:18" x14ac:dyDescent="0.25">
      <c r="A176" s="41">
        <f t="shared" si="62"/>
        <v>3770</v>
      </c>
      <c r="B176" s="42">
        <f t="shared" si="62"/>
        <v>166</v>
      </c>
      <c r="C176" s="41" t="s">
        <v>1395</v>
      </c>
      <c r="D176" s="43">
        <f t="shared" si="55"/>
        <v>25</v>
      </c>
      <c r="E176" s="61">
        <f t="shared" si="48"/>
        <v>3.4090000000000007</v>
      </c>
      <c r="F176" s="61">
        <f t="shared" si="65"/>
        <v>42</v>
      </c>
      <c r="G176" s="64">
        <f t="shared" si="61"/>
        <v>0.58988764044943809</v>
      </c>
      <c r="H176" s="51">
        <f t="shared" si="51"/>
        <v>9.6524494382022468</v>
      </c>
      <c r="I176" s="42" t="str">
        <f t="shared" si="63"/>
        <v>IEC</v>
      </c>
      <c r="J176" s="50">
        <f t="shared" si="63"/>
        <v>10.5</v>
      </c>
      <c r="K176" s="49">
        <f t="shared" si="63"/>
        <v>160</v>
      </c>
      <c r="L176" s="44">
        <f t="shared" si="63"/>
        <v>8</v>
      </c>
      <c r="M176" s="44">
        <f t="shared" si="63"/>
        <v>0</v>
      </c>
      <c r="N176" s="45">
        <f t="shared" si="56"/>
        <v>0.2</v>
      </c>
      <c r="O176" s="49">
        <v>30</v>
      </c>
      <c r="P176" s="54">
        <f>K176+2.46</f>
        <v>162.46</v>
      </c>
      <c r="Q176" s="44">
        <f t="shared" si="64"/>
        <v>150</v>
      </c>
      <c r="R176" s="50">
        <f t="shared" si="64"/>
        <v>270</v>
      </c>
    </row>
    <row r="177" spans="1:18" x14ac:dyDescent="0.25">
      <c r="A177" s="41">
        <f t="shared" si="62"/>
        <v>3771</v>
      </c>
      <c r="B177" s="42">
        <f t="shared" si="62"/>
        <v>167</v>
      </c>
      <c r="C177" s="41" t="s">
        <v>1396</v>
      </c>
      <c r="D177" s="43">
        <f t="shared" si="55"/>
        <v>25</v>
      </c>
      <c r="E177" s="61">
        <f t="shared" si="48"/>
        <v>3.4090000000000007</v>
      </c>
      <c r="F177" s="61">
        <f t="shared" si="65"/>
        <v>42</v>
      </c>
      <c r="G177" s="64">
        <f t="shared" si="61"/>
        <v>0.58988764044943809</v>
      </c>
      <c r="H177" s="51">
        <f t="shared" si="51"/>
        <v>9.6524494382022468</v>
      </c>
      <c r="I177" s="42" t="str">
        <f t="shared" si="63"/>
        <v>IEC</v>
      </c>
      <c r="J177" s="50">
        <f t="shared" si="63"/>
        <v>10.5</v>
      </c>
      <c r="K177" s="49">
        <f t="shared" si="63"/>
        <v>160</v>
      </c>
      <c r="L177" s="44">
        <f t="shared" si="63"/>
        <v>8</v>
      </c>
      <c r="M177" s="44">
        <f t="shared" si="63"/>
        <v>0</v>
      </c>
      <c r="N177" s="45">
        <f t="shared" si="56"/>
        <v>0.2</v>
      </c>
      <c r="O177" s="49">
        <v>30</v>
      </c>
      <c r="P177" s="54">
        <f>K177+4</f>
        <v>164</v>
      </c>
      <c r="Q177" s="44">
        <f t="shared" si="64"/>
        <v>150</v>
      </c>
      <c r="R177" s="50">
        <f t="shared" si="64"/>
        <v>270</v>
      </c>
    </row>
    <row r="178" spans="1:18" x14ac:dyDescent="0.25">
      <c r="A178" s="41">
        <f t="shared" si="62"/>
        <v>3772</v>
      </c>
      <c r="B178" s="42">
        <f t="shared" si="62"/>
        <v>168</v>
      </c>
      <c r="C178" s="41" t="s">
        <v>1397</v>
      </c>
      <c r="D178" s="43">
        <f t="shared" si="55"/>
        <v>25</v>
      </c>
      <c r="E178" s="61">
        <f t="shared" si="48"/>
        <v>3.4090000000000007</v>
      </c>
      <c r="F178" s="61">
        <f t="shared" si="65"/>
        <v>42</v>
      </c>
      <c r="G178" s="64">
        <f t="shared" si="61"/>
        <v>0.58988764044943809</v>
      </c>
      <c r="H178" s="51">
        <f t="shared" si="51"/>
        <v>9.6524494382022468</v>
      </c>
      <c r="I178" s="42" t="str">
        <f t="shared" si="63"/>
        <v>IEC</v>
      </c>
      <c r="J178" s="50">
        <f t="shared" si="63"/>
        <v>10.5</v>
      </c>
      <c r="K178" s="49">
        <f t="shared" si="63"/>
        <v>160</v>
      </c>
      <c r="L178" s="44">
        <f t="shared" si="63"/>
        <v>8</v>
      </c>
      <c r="M178" s="44">
        <f t="shared" si="63"/>
        <v>0</v>
      </c>
      <c r="N178" s="45">
        <f t="shared" si="56"/>
        <v>0.2</v>
      </c>
      <c r="O178" s="49">
        <v>30</v>
      </c>
      <c r="P178" s="54">
        <f>K178+5.25</f>
        <v>165.25</v>
      </c>
      <c r="Q178" s="44">
        <f t="shared" si="64"/>
        <v>150</v>
      </c>
      <c r="R178" s="50">
        <f t="shared" si="64"/>
        <v>270</v>
      </c>
    </row>
    <row r="179" spans="1:18" x14ac:dyDescent="0.25">
      <c r="A179" s="41">
        <f t="shared" si="62"/>
        <v>3773</v>
      </c>
      <c r="B179" s="42">
        <f t="shared" si="62"/>
        <v>169</v>
      </c>
      <c r="C179" s="41" t="s">
        <v>1398</v>
      </c>
      <c r="D179" s="43">
        <f t="shared" si="55"/>
        <v>25</v>
      </c>
      <c r="E179" s="61">
        <f t="shared" si="48"/>
        <v>3.4090000000000007</v>
      </c>
      <c r="F179" s="61">
        <f t="shared" si="65"/>
        <v>42</v>
      </c>
      <c r="G179" s="64">
        <f t="shared" si="61"/>
        <v>0.58988764044943809</v>
      </c>
      <c r="H179" s="51">
        <f t="shared" si="51"/>
        <v>9.6524494382022468</v>
      </c>
      <c r="I179" s="42" t="str">
        <f t="shared" si="63"/>
        <v>IEC</v>
      </c>
      <c r="J179" s="50">
        <f t="shared" si="63"/>
        <v>10.5</v>
      </c>
      <c r="K179" s="49">
        <f t="shared" si="63"/>
        <v>160</v>
      </c>
      <c r="L179" s="44">
        <f t="shared" si="63"/>
        <v>8</v>
      </c>
      <c r="M179" s="44">
        <f t="shared" si="63"/>
        <v>0</v>
      </c>
      <c r="N179" s="45">
        <f t="shared" si="56"/>
        <v>0.2</v>
      </c>
      <c r="O179" s="49">
        <v>60</v>
      </c>
      <c r="P179" s="54">
        <f>K179</f>
        <v>160</v>
      </c>
      <c r="Q179" s="44">
        <f t="shared" si="64"/>
        <v>150</v>
      </c>
      <c r="R179" s="50">
        <f t="shared" si="64"/>
        <v>270</v>
      </c>
    </row>
    <row r="180" spans="1:18" x14ac:dyDescent="0.25">
      <c r="A180" s="41">
        <f t="shared" si="62"/>
        <v>3774</v>
      </c>
      <c r="B180" s="42">
        <f t="shared" si="62"/>
        <v>170</v>
      </c>
      <c r="C180" s="41" t="s">
        <v>1399</v>
      </c>
      <c r="D180" s="43">
        <f t="shared" si="55"/>
        <v>25</v>
      </c>
      <c r="E180" s="61">
        <f t="shared" si="48"/>
        <v>3.4090000000000007</v>
      </c>
      <c r="F180" s="61">
        <f t="shared" si="65"/>
        <v>42</v>
      </c>
      <c r="G180" s="64">
        <f t="shared" si="61"/>
        <v>0.58988764044943809</v>
      </c>
      <c r="H180" s="51">
        <f t="shared" si="51"/>
        <v>9.6524494382022468</v>
      </c>
      <c r="I180" s="42" t="str">
        <f t="shared" si="63"/>
        <v>IEC</v>
      </c>
      <c r="J180" s="50">
        <f t="shared" si="63"/>
        <v>10.5</v>
      </c>
      <c r="K180" s="49">
        <f t="shared" si="63"/>
        <v>160</v>
      </c>
      <c r="L180" s="44">
        <f t="shared" si="63"/>
        <v>8</v>
      </c>
      <c r="M180" s="44">
        <f t="shared" si="63"/>
        <v>0</v>
      </c>
      <c r="N180" s="45">
        <f t="shared" si="56"/>
        <v>0.2</v>
      </c>
      <c r="O180" s="49">
        <v>60</v>
      </c>
      <c r="P180" s="54">
        <f>K180+2.46</f>
        <v>162.46</v>
      </c>
      <c r="Q180" s="44">
        <f t="shared" si="64"/>
        <v>150</v>
      </c>
      <c r="R180" s="50">
        <f t="shared" si="64"/>
        <v>270</v>
      </c>
    </row>
    <row r="181" spans="1:18" x14ac:dyDescent="0.25">
      <c r="A181" s="41">
        <f t="shared" si="62"/>
        <v>3775</v>
      </c>
      <c r="B181" s="42">
        <f t="shared" si="62"/>
        <v>171</v>
      </c>
      <c r="C181" s="41" t="s">
        <v>1400</v>
      </c>
      <c r="D181" s="43">
        <f t="shared" si="55"/>
        <v>25</v>
      </c>
      <c r="E181" s="61">
        <f t="shared" si="48"/>
        <v>3.4090000000000007</v>
      </c>
      <c r="F181" s="61">
        <f t="shared" si="65"/>
        <v>42</v>
      </c>
      <c r="G181" s="64">
        <f t="shared" si="61"/>
        <v>0.58988764044943809</v>
      </c>
      <c r="H181" s="51">
        <f t="shared" si="51"/>
        <v>9.6524494382022468</v>
      </c>
      <c r="I181" s="42" t="str">
        <f t="shared" si="63"/>
        <v>IEC</v>
      </c>
      <c r="J181" s="50">
        <f t="shared" si="63"/>
        <v>10.5</v>
      </c>
      <c r="K181" s="49">
        <f t="shared" si="63"/>
        <v>160</v>
      </c>
      <c r="L181" s="44">
        <f t="shared" si="63"/>
        <v>8</v>
      </c>
      <c r="M181" s="44">
        <f t="shared" si="63"/>
        <v>0</v>
      </c>
      <c r="N181" s="45">
        <f t="shared" si="56"/>
        <v>0.2</v>
      </c>
      <c r="O181" s="49">
        <v>60</v>
      </c>
      <c r="P181" s="54">
        <f>K181+4</f>
        <v>164</v>
      </c>
      <c r="Q181" s="44">
        <f t="shared" si="64"/>
        <v>150</v>
      </c>
      <c r="R181" s="50">
        <f t="shared" si="64"/>
        <v>270</v>
      </c>
    </row>
    <row r="182" spans="1:18" x14ac:dyDescent="0.25">
      <c r="A182" s="41">
        <f t="shared" si="62"/>
        <v>3776</v>
      </c>
      <c r="B182" s="42">
        <f t="shared" si="62"/>
        <v>172</v>
      </c>
      <c r="C182" s="41" t="s">
        <v>1401</v>
      </c>
      <c r="D182" s="43">
        <f t="shared" si="55"/>
        <v>25</v>
      </c>
      <c r="E182" s="61">
        <f t="shared" si="48"/>
        <v>3.4090000000000007</v>
      </c>
      <c r="F182" s="61">
        <f t="shared" si="65"/>
        <v>42</v>
      </c>
      <c r="G182" s="64">
        <f t="shared" si="61"/>
        <v>0.58988764044943809</v>
      </c>
      <c r="H182" s="51">
        <f t="shared" si="51"/>
        <v>9.6524494382022468</v>
      </c>
      <c r="I182" s="42" t="str">
        <f t="shared" si="63"/>
        <v>IEC</v>
      </c>
      <c r="J182" s="50">
        <f t="shared" si="63"/>
        <v>10.5</v>
      </c>
      <c r="K182" s="49">
        <f t="shared" si="63"/>
        <v>160</v>
      </c>
      <c r="L182" s="44">
        <f t="shared" si="63"/>
        <v>8</v>
      </c>
      <c r="M182" s="44">
        <f t="shared" si="63"/>
        <v>0</v>
      </c>
      <c r="N182" s="45">
        <f t="shared" si="56"/>
        <v>0.2</v>
      </c>
      <c r="O182" s="49">
        <v>60</v>
      </c>
      <c r="P182" s="54">
        <f>K182+5.25</f>
        <v>165.25</v>
      </c>
      <c r="Q182" s="44">
        <f t="shared" si="64"/>
        <v>150</v>
      </c>
      <c r="R182" s="50">
        <f t="shared" si="64"/>
        <v>270</v>
      </c>
    </row>
    <row r="183" spans="1:18" x14ac:dyDescent="0.25">
      <c r="A183" s="41">
        <f t="shared" si="62"/>
        <v>3777</v>
      </c>
      <c r="B183" s="42">
        <f t="shared" si="62"/>
        <v>173</v>
      </c>
      <c r="C183" s="41" t="s">
        <v>1402</v>
      </c>
      <c r="D183" s="43">
        <f t="shared" si="55"/>
        <v>25</v>
      </c>
      <c r="E183" s="61">
        <f t="shared" si="48"/>
        <v>3.4090000000000007</v>
      </c>
      <c r="F183" s="61">
        <f t="shared" si="65"/>
        <v>42</v>
      </c>
      <c r="G183" s="64">
        <f t="shared" si="61"/>
        <v>0.58988764044943809</v>
      </c>
      <c r="H183" s="51">
        <f t="shared" si="51"/>
        <v>9.6524494382022468</v>
      </c>
      <c r="I183" s="42" t="str">
        <f t="shared" si="63"/>
        <v>IEC</v>
      </c>
      <c r="J183" s="50">
        <f t="shared" si="63"/>
        <v>10.5</v>
      </c>
      <c r="K183" s="49">
        <f t="shared" si="63"/>
        <v>160</v>
      </c>
      <c r="L183" s="44">
        <f t="shared" si="63"/>
        <v>8</v>
      </c>
      <c r="M183" s="44">
        <f t="shared" si="63"/>
        <v>0</v>
      </c>
      <c r="N183" s="45">
        <f t="shared" si="56"/>
        <v>0.2</v>
      </c>
      <c r="O183" s="49">
        <v>90</v>
      </c>
      <c r="P183" s="54">
        <f>K183</f>
        <v>160</v>
      </c>
      <c r="Q183" s="44">
        <f t="shared" si="64"/>
        <v>150</v>
      </c>
      <c r="R183" s="50">
        <f t="shared" si="64"/>
        <v>270</v>
      </c>
    </row>
    <row r="184" spans="1:18" x14ac:dyDescent="0.25">
      <c r="A184" s="41">
        <f t="shared" si="62"/>
        <v>3778</v>
      </c>
      <c r="B184" s="42">
        <f t="shared" si="62"/>
        <v>174</v>
      </c>
      <c r="C184" s="41" t="s">
        <v>1403</v>
      </c>
      <c r="D184" s="43">
        <f t="shared" si="55"/>
        <v>25</v>
      </c>
      <c r="E184" s="61">
        <f t="shared" si="48"/>
        <v>3.4090000000000007</v>
      </c>
      <c r="F184" s="61">
        <f t="shared" si="65"/>
        <v>42</v>
      </c>
      <c r="G184" s="64">
        <f t="shared" si="61"/>
        <v>0.58988764044943809</v>
      </c>
      <c r="H184" s="51">
        <f t="shared" si="51"/>
        <v>9.6524494382022468</v>
      </c>
      <c r="I184" s="42" t="str">
        <f t="shared" si="63"/>
        <v>IEC</v>
      </c>
      <c r="J184" s="50">
        <f t="shared" si="63"/>
        <v>10.5</v>
      </c>
      <c r="K184" s="49">
        <f t="shared" si="63"/>
        <v>160</v>
      </c>
      <c r="L184" s="44">
        <f t="shared" si="63"/>
        <v>8</v>
      </c>
      <c r="M184" s="44">
        <f t="shared" si="63"/>
        <v>0</v>
      </c>
      <c r="N184" s="45">
        <f t="shared" si="56"/>
        <v>0.2</v>
      </c>
      <c r="O184" s="49">
        <v>90</v>
      </c>
      <c r="P184" s="54">
        <f>K184+2.46</f>
        <v>162.46</v>
      </c>
      <c r="Q184" s="44">
        <f t="shared" si="64"/>
        <v>150</v>
      </c>
      <c r="R184" s="50">
        <f t="shared" si="64"/>
        <v>270</v>
      </c>
    </row>
    <row r="185" spans="1:18" x14ac:dyDescent="0.25">
      <c r="A185" s="41">
        <f t="shared" si="62"/>
        <v>3779</v>
      </c>
      <c r="B185" s="42">
        <f t="shared" si="62"/>
        <v>175</v>
      </c>
      <c r="C185" s="41" t="s">
        <v>1404</v>
      </c>
      <c r="D185" s="43">
        <f t="shared" si="55"/>
        <v>25</v>
      </c>
      <c r="E185" s="61">
        <f t="shared" si="48"/>
        <v>3.4090000000000007</v>
      </c>
      <c r="F185" s="61">
        <f t="shared" si="65"/>
        <v>42</v>
      </c>
      <c r="G185" s="64">
        <f t="shared" si="61"/>
        <v>0.58988764044943809</v>
      </c>
      <c r="H185" s="51">
        <f t="shared" si="51"/>
        <v>9.6524494382022468</v>
      </c>
      <c r="I185" s="42" t="str">
        <f t="shared" si="63"/>
        <v>IEC</v>
      </c>
      <c r="J185" s="50">
        <f t="shared" si="63"/>
        <v>10.5</v>
      </c>
      <c r="K185" s="49">
        <f t="shared" si="63"/>
        <v>160</v>
      </c>
      <c r="L185" s="44">
        <f t="shared" si="63"/>
        <v>8</v>
      </c>
      <c r="M185" s="44">
        <f t="shared" si="63"/>
        <v>0</v>
      </c>
      <c r="N185" s="45">
        <f t="shared" si="56"/>
        <v>0.2</v>
      </c>
      <c r="O185" s="49">
        <v>90</v>
      </c>
      <c r="P185" s="54">
        <f>K185+4</f>
        <v>164</v>
      </c>
      <c r="Q185" s="44">
        <f t="shared" si="64"/>
        <v>150</v>
      </c>
      <c r="R185" s="50">
        <f t="shared" si="64"/>
        <v>270</v>
      </c>
    </row>
    <row r="186" spans="1:18" x14ac:dyDescent="0.25">
      <c r="A186" s="41">
        <f t="shared" si="62"/>
        <v>3780</v>
      </c>
      <c r="B186" s="42">
        <f t="shared" si="62"/>
        <v>176</v>
      </c>
      <c r="C186" s="41" t="s">
        <v>1405</v>
      </c>
      <c r="D186" s="43">
        <f t="shared" si="55"/>
        <v>25</v>
      </c>
      <c r="E186" s="61">
        <f t="shared" si="48"/>
        <v>3.4090000000000007</v>
      </c>
      <c r="F186" s="61">
        <f t="shared" si="65"/>
        <v>42</v>
      </c>
      <c r="G186" s="64">
        <f t="shared" si="61"/>
        <v>0.58988764044943809</v>
      </c>
      <c r="H186" s="51">
        <f t="shared" si="51"/>
        <v>9.6524494382022468</v>
      </c>
      <c r="I186" s="42" t="str">
        <f t="shared" si="63"/>
        <v>IEC</v>
      </c>
      <c r="J186" s="50">
        <f t="shared" si="63"/>
        <v>10.5</v>
      </c>
      <c r="K186" s="49">
        <f t="shared" si="63"/>
        <v>160</v>
      </c>
      <c r="L186" s="44">
        <f t="shared" si="63"/>
        <v>8</v>
      </c>
      <c r="M186" s="44">
        <f t="shared" si="63"/>
        <v>0</v>
      </c>
      <c r="N186" s="45">
        <f t="shared" si="56"/>
        <v>0.2</v>
      </c>
      <c r="O186" s="49">
        <v>90</v>
      </c>
      <c r="P186" s="54">
        <f>K186+5.25</f>
        <v>165.25</v>
      </c>
      <c r="Q186" s="44">
        <f t="shared" si="64"/>
        <v>150</v>
      </c>
      <c r="R186" s="50">
        <f t="shared" si="64"/>
        <v>270</v>
      </c>
    </row>
    <row r="187" spans="1:18" x14ac:dyDescent="0.25">
      <c r="A187" s="41">
        <f t="shared" si="62"/>
        <v>3781</v>
      </c>
      <c r="B187" s="42">
        <f t="shared" si="62"/>
        <v>177</v>
      </c>
      <c r="C187" s="41" t="s">
        <v>1406</v>
      </c>
      <c r="D187" s="43">
        <f t="shared" si="55"/>
        <v>25</v>
      </c>
      <c r="E187" s="61">
        <f t="shared" si="48"/>
        <v>3.4090000000000007</v>
      </c>
      <c r="F187" s="61">
        <f t="shared" si="65"/>
        <v>42</v>
      </c>
      <c r="G187" s="64">
        <f t="shared" si="61"/>
        <v>0.58988764044943809</v>
      </c>
      <c r="H187" s="51">
        <f t="shared" si="51"/>
        <v>9.6524494382022468</v>
      </c>
      <c r="I187" s="42" t="str">
        <f t="shared" si="63"/>
        <v>IEC</v>
      </c>
      <c r="J187" s="50">
        <f t="shared" si="63"/>
        <v>10.5</v>
      </c>
      <c r="K187" s="49">
        <f t="shared" si="63"/>
        <v>160</v>
      </c>
      <c r="L187" s="44">
        <f t="shared" si="63"/>
        <v>8</v>
      </c>
      <c r="M187" s="44">
        <f>yaw_max</f>
        <v>8</v>
      </c>
      <c r="N187" s="45">
        <f t="shared" si="56"/>
        <v>0.2</v>
      </c>
      <c r="O187" s="49">
        <v>0</v>
      </c>
      <c r="P187" s="54">
        <f>K187</f>
        <v>160</v>
      </c>
      <c r="Q187" s="44">
        <f t="shared" si="64"/>
        <v>150</v>
      </c>
      <c r="R187" s="50">
        <f t="shared" si="64"/>
        <v>270</v>
      </c>
    </row>
    <row r="188" spans="1:18" x14ac:dyDescent="0.25">
      <c r="A188" s="41">
        <f t="shared" si="62"/>
        <v>3782</v>
      </c>
      <c r="B188" s="42">
        <f t="shared" si="62"/>
        <v>178</v>
      </c>
      <c r="C188" s="41" t="s">
        <v>1407</v>
      </c>
      <c r="D188" s="43">
        <f t="shared" si="55"/>
        <v>25</v>
      </c>
      <c r="E188" s="61">
        <f t="shared" si="48"/>
        <v>3.4090000000000007</v>
      </c>
      <c r="F188" s="61">
        <f>F187</f>
        <v>42</v>
      </c>
      <c r="G188" s="64">
        <f t="shared" si="61"/>
        <v>0.58988764044943809</v>
      </c>
      <c r="H188" s="51">
        <f t="shared" si="51"/>
        <v>9.6524494382022468</v>
      </c>
      <c r="I188" s="42" t="str">
        <f>I187</f>
        <v>IEC</v>
      </c>
      <c r="J188" s="50">
        <f t="shared" si="63"/>
        <v>10.5</v>
      </c>
      <c r="K188" s="49">
        <f>K187</f>
        <v>160</v>
      </c>
      <c r="L188" s="44">
        <f>L187</f>
        <v>8</v>
      </c>
      <c r="M188" s="44">
        <f>M187</f>
        <v>8</v>
      </c>
      <c r="N188" s="45">
        <f t="shared" si="56"/>
        <v>0.2</v>
      </c>
      <c r="O188" s="49">
        <v>0</v>
      </c>
      <c r="P188" s="54">
        <f>K188+2.46</f>
        <v>162.46</v>
      </c>
      <c r="Q188" s="44">
        <f t="shared" si="64"/>
        <v>150</v>
      </c>
      <c r="R188" s="50">
        <f>R187</f>
        <v>270</v>
      </c>
    </row>
    <row r="189" spans="1:18" x14ac:dyDescent="0.25">
      <c r="A189" s="41">
        <f t="shared" ref="A189:B202" si="66">A188+1</f>
        <v>3783</v>
      </c>
      <c r="B189" s="42">
        <f t="shared" si="66"/>
        <v>179</v>
      </c>
      <c r="C189" s="41" t="s">
        <v>1408</v>
      </c>
      <c r="D189" s="43">
        <f t="shared" si="55"/>
        <v>25</v>
      </c>
      <c r="E189" s="61">
        <f t="shared" si="48"/>
        <v>3.4090000000000007</v>
      </c>
      <c r="F189" s="61">
        <f>F188</f>
        <v>42</v>
      </c>
      <c r="G189" s="64">
        <f t="shared" si="61"/>
        <v>0.58988764044943809</v>
      </c>
      <c r="H189" s="51">
        <f t="shared" si="51"/>
        <v>9.6524494382022468</v>
      </c>
      <c r="I189" s="42" t="str">
        <f t="shared" ref="I189:M202" si="67">I188</f>
        <v>IEC</v>
      </c>
      <c r="J189" s="50">
        <f t="shared" si="67"/>
        <v>10.5</v>
      </c>
      <c r="K189" s="49">
        <f t="shared" si="67"/>
        <v>160</v>
      </c>
      <c r="L189" s="44">
        <f t="shared" si="67"/>
        <v>8</v>
      </c>
      <c r="M189" s="44">
        <f t="shared" si="67"/>
        <v>8</v>
      </c>
      <c r="N189" s="45">
        <f t="shared" si="56"/>
        <v>0.2</v>
      </c>
      <c r="O189" s="49">
        <v>0</v>
      </c>
      <c r="P189" s="54">
        <f>K189+4</f>
        <v>164</v>
      </c>
      <c r="Q189" s="44">
        <f t="shared" ref="Q189:R202" si="68">Q188</f>
        <v>150</v>
      </c>
      <c r="R189" s="50">
        <f t="shared" si="68"/>
        <v>270</v>
      </c>
    </row>
    <row r="190" spans="1:18" x14ac:dyDescent="0.25">
      <c r="A190" s="41">
        <f t="shared" si="66"/>
        <v>3784</v>
      </c>
      <c r="B190" s="42">
        <f t="shared" si="66"/>
        <v>180</v>
      </c>
      <c r="C190" s="41" t="s">
        <v>1409</v>
      </c>
      <c r="D190" s="43">
        <f t="shared" si="55"/>
        <v>25</v>
      </c>
      <c r="E190" s="61">
        <f t="shared" si="48"/>
        <v>3.4090000000000007</v>
      </c>
      <c r="F190" s="61">
        <f t="shared" ref="F190:F202" si="69">F189</f>
        <v>42</v>
      </c>
      <c r="G190" s="64">
        <f t="shared" si="61"/>
        <v>0.58988764044943809</v>
      </c>
      <c r="H190" s="51">
        <f t="shared" si="51"/>
        <v>9.6524494382022468</v>
      </c>
      <c r="I190" s="42" t="str">
        <f t="shared" si="67"/>
        <v>IEC</v>
      </c>
      <c r="J190" s="50">
        <f t="shared" si="67"/>
        <v>10.5</v>
      </c>
      <c r="K190" s="49">
        <f t="shared" si="67"/>
        <v>160</v>
      </c>
      <c r="L190" s="44">
        <f t="shared" si="67"/>
        <v>8</v>
      </c>
      <c r="M190" s="44">
        <f t="shared" si="67"/>
        <v>8</v>
      </c>
      <c r="N190" s="45">
        <f t="shared" si="56"/>
        <v>0.2</v>
      </c>
      <c r="O190" s="49">
        <v>0</v>
      </c>
      <c r="P190" s="54">
        <f>K190+5.25</f>
        <v>165.25</v>
      </c>
      <c r="Q190" s="44">
        <f t="shared" si="68"/>
        <v>150</v>
      </c>
      <c r="R190" s="50">
        <f t="shared" si="68"/>
        <v>270</v>
      </c>
    </row>
    <row r="191" spans="1:18" x14ac:dyDescent="0.25">
      <c r="A191" s="41">
        <f t="shared" si="66"/>
        <v>3785</v>
      </c>
      <c r="B191" s="42">
        <f t="shared" si="66"/>
        <v>181</v>
      </c>
      <c r="C191" s="41" t="s">
        <v>1410</v>
      </c>
      <c r="D191" s="43">
        <f t="shared" si="55"/>
        <v>25</v>
      </c>
      <c r="E191" s="61">
        <f t="shared" si="48"/>
        <v>3.4090000000000007</v>
      </c>
      <c r="F191" s="61">
        <f t="shared" si="69"/>
        <v>42</v>
      </c>
      <c r="G191" s="64">
        <f t="shared" si="61"/>
        <v>0.58988764044943809</v>
      </c>
      <c r="H191" s="51">
        <f t="shared" si="51"/>
        <v>9.6524494382022468</v>
      </c>
      <c r="I191" s="42" t="str">
        <f t="shared" si="67"/>
        <v>IEC</v>
      </c>
      <c r="J191" s="50">
        <f t="shared" si="67"/>
        <v>10.5</v>
      </c>
      <c r="K191" s="49">
        <f t="shared" si="67"/>
        <v>160</v>
      </c>
      <c r="L191" s="44">
        <f t="shared" si="67"/>
        <v>8</v>
      </c>
      <c r="M191" s="44">
        <f t="shared" si="67"/>
        <v>8</v>
      </c>
      <c r="N191" s="45">
        <f t="shared" si="56"/>
        <v>0.2</v>
      </c>
      <c r="O191" s="49">
        <v>30</v>
      </c>
      <c r="P191" s="54">
        <f>K191</f>
        <v>160</v>
      </c>
      <c r="Q191" s="44">
        <f t="shared" si="68"/>
        <v>150</v>
      </c>
      <c r="R191" s="50">
        <f t="shared" si="68"/>
        <v>270</v>
      </c>
    </row>
    <row r="192" spans="1:18" x14ac:dyDescent="0.25">
      <c r="A192" s="41">
        <f t="shared" si="66"/>
        <v>3786</v>
      </c>
      <c r="B192" s="42">
        <f t="shared" si="66"/>
        <v>182</v>
      </c>
      <c r="C192" s="41" t="s">
        <v>1411</v>
      </c>
      <c r="D192" s="43">
        <f t="shared" si="55"/>
        <v>25</v>
      </c>
      <c r="E192" s="61">
        <f t="shared" si="48"/>
        <v>3.4090000000000007</v>
      </c>
      <c r="F192" s="61">
        <f t="shared" si="69"/>
        <v>42</v>
      </c>
      <c r="G192" s="64">
        <f t="shared" si="61"/>
        <v>0.58988764044943809</v>
      </c>
      <c r="H192" s="51">
        <f t="shared" si="51"/>
        <v>9.6524494382022468</v>
      </c>
      <c r="I192" s="42" t="str">
        <f t="shared" si="67"/>
        <v>IEC</v>
      </c>
      <c r="J192" s="50">
        <f t="shared" si="67"/>
        <v>10.5</v>
      </c>
      <c r="K192" s="49">
        <f t="shared" si="67"/>
        <v>160</v>
      </c>
      <c r="L192" s="44">
        <f t="shared" si="67"/>
        <v>8</v>
      </c>
      <c r="M192" s="44">
        <f t="shared" si="67"/>
        <v>8</v>
      </c>
      <c r="N192" s="45">
        <f t="shared" si="56"/>
        <v>0.2</v>
      </c>
      <c r="O192" s="49">
        <v>30</v>
      </c>
      <c r="P192" s="54">
        <f>K192+2.46</f>
        <v>162.46</v>
      </c>
      <c r="Q192" s="44">
        <f t="shared" si="68"/>
        <v>150</v>
      </c>
      <c r="R192" s="50">
        <f t="shared" si="68"/>
        <v>270</v>
      </c>
    </row>
    <row r="193" spans="1:18" x14ac:dyDescent="0.25">
      <c r="A193" s="41">
        <f t="shared" si="66"/>
        <v>3787</v>
      </c>
      <c r="B193" s="42">
        <f t="shared" si="66"/>
        <v>183</v>
      </c>
      <c r="C193" s="41" t="s">
        <v>1412</v>
      </c>
      <c r="D193" s="43">
        <f t="shared" si="55"/>
        <v>25</v>
      </c>
      <c r="E193" s="61">
        <f t="shared" si="48"/>
        <v>3.4090000000000007</v>
      </c>
      <c r="F193" s="61">
        <f t="shared" si="69"/>
        <v>42</v>
      </c>
      <c r="G193" s="64">
        <f t="shared" si="61"/>
        <v>0.58988764044943809</v>
      </c>
      <c r="H193" s="51">
        <f t="shared" si="51"/>
        <v>9.6524494382022468</v>
      </c>
      <c r="I193" s="42" t="str">
        <f t="shared" si="67"/>
        <v>IEC</v>
      </c>
      <c r="J193" s="50">
        <f t="shared" si="67"/>
        <v>10.5</v>
      </c>
      <c r="K193" s="49">
        <f t="shared" si="67"/>
        <v>160</v>
      </c>
      <c r="L193" s="44">
        <f t="shared" si="67"/>
        <v>8</v>
      </c>
      <c r="M193" s="44">
        <f t="shared" si="67"/>
        <v>8</v>
      </c>
      <c r="N193" s="45">
        <f t="shared" si="56"/>
        <v>0.2</v>
      </c>
      <c r="O193" s="49">
        <v>30</v>
      </c>
      <c r="P193" s="54">
        <f>K193+4</f>
        <v>164</v>
      </c>
      <c r="Q193" s="44">
        <f t="shared" si="68"/>
        <v>150</v>
      </c>
      <c r="R193" s="50">
        <f t="shared" si="68"/>
        <v>270</v>
      </c>
    </row>
    <row r="194" spans="1:18" x14ac:dyDescent="0.25">
      <c r="A194" s="41">
        <f t="shared" si="66"/>
        <v>3788</v>
      </c>
      <c r="B194" s="42">
        <f t="shared" si="66"/>
        <v>184</v>
      </c>
      <c r="C194" s="41" t="s">
        <v>1413</v>
      </c>
      <c r="D194" s="43">
        <f t="shared" si="55"/>
        <v>25</v>
      </c>
      <c r="E194" s="61">
        <f t="shared" si="48"/>
        <v>3.4090000000000007</v>
      </c>
      <c r="F194" s="61">
        <f t="shared" si="69"/>
        <v>42</v>
      </c>
      <c r="G194" s="64">
        <f t="shared" si="61"/>
        <v>0.58988764044943809</v>
      </c>
      <c r="H194" s="51">
        <f t="shared" si="51"/>
        <v>9.6524494382022468</v>
      </c>
      <c r="I194" s="42" t="str">
        <f t="shared" si="67"/>
        <v>IEC</v>
      </c>
      <c r="J194" s="50">
        <f t="shared" si="67"/>
        <v>10.5</v>
      </c>
      <c r="K194" s="49">
        <f t="shared" si="67"/>
        <v>160</v>
      </c>
      <c r="L194" s="44">
        <f t="shared" si="67"/>
        <v>8</v>
      </c>
      <c r="M194" s="44">
        <f t="shared" si="67"/>
        <v>8</v>
      </c>
      <c r="N194" s="45">
        <f t="shared" si="56"/>
        <v>0.2</v>
      </c>
      <c r="O194" s="49">
        <v>30</v>
      </c>
      <c r="P194" s="54">
        <f>K194+5.25</f>
        <v>165.25</v>
      </c>
      <c r="Q194" s="44">
        <f t="shared" si="68"/>
        <v>150</v>
      </c>
      <c r="R194" s="50">
        <f t="shared" si="68"/>
        <v>270</v>
      </c>
    </row>
    <row r="195" spans="1:18" x14ac:dyDescent="0.25">
      <c r="A195" s="41">
        <f t="shared" si="66"/>
        <v>3789</v>
      </c>
      <c r="B195" s="42">
        <f t="shared" si="66"/>
        <v>185</v>
      </c>
      <c r="C195" s="41" t="s">
        <v>1414</v>
      </c>
      <c r="D195" s="43">
        <f t="shared" si="55"/>
        <v>25</v>
      </c>
      <c r="E195" s="61">
        <f t="shared" si="48"/>
        <v>3.4090000000000007</v>
      </c>
      <c r="F195" s="61">
        <f t="shared" si="69"/>
        <v>42</v>
      </c>
      <c r="G195" s="64">
        <f t="shared" si="61"/>
        <v>0.58988764044943809</v>
      </c>
      <c r="H195" s="51">
        <f t="shared" si="51"/>
        <v>9.6524494382022468</v>
      </c>
      <c r="I195" s="42" t="str">
        <f t="shared" si="67"/>
        <v>IEC</v>
      </c>
      <c r="J195" s="50">
        <f t="shared" si="67"/>
        <v>10.5</v>
      </c>
      <c r="K195" s="49">
        <f t="shared" si="67"/>
        <v>160</v>
      </c>
      <c r="L195" s="44">
        <f t="shared" si="67"/>
        <v>8</v>
      </c>
      <c r="M195" s="44">
        <f t="shared" si="67"/>
        <v>8</v>
      </c>
      <c r="N195" s="45">
        <f t="shared" si="56"/>
        <v>0.2</v>
      </c>
      <c r="O195" s="49">
        <v>60</v>
      </c>
      <c r="P195" s="54">
        <f>K195</f>
        <v>160</v>
      </c>
      <c r="Q195" s="44">
        <f t="shared" si="68"/>
        <v>150</v>
      </c>
      <c r="R195" s="50">
        <f t="shared" si="68"/>
        <v>270</v>
      </c>
    </row>
    <row r="196" spans="1:18" x14ac:dyDescent="0.25">
      <c r="A196" s="41">
        <f t="shared" si="66"/>
        <v>3790</v>
      </c>
      <c r="B196" s="42">
        <f t="shared" si="66"/>
        <v>186</v>
      </c>
      <c r="C196" s="41" t="s">
        <v>1415</v>
      </c>
      <c r="D196" s="43">
        <f t="shared" si="55"/>
        <v>25</v>
      </c>
      <c r="E196" s="61">
        <f t="shared" si="48"/>
        <v>3.4090000000000007</v>
      </c>
      <c r="F196" s="61">
        <f t="shared" si="69"/>
        <v>42</v>
      </c>
      <c r="G196" s="64">
        <f t="shared" si="61"/>
        <v>0.58988764044943809</v>
      </c>
      <c r="H196" s="51">
        <f t="shared" si="51"/>
        <v>9.6524494382022468</v>
      </c>
      <c r="I196" s="42" t="str">
        <f t="shared" si="67"/>
        <v>IEC</v>
      </c>
      <c r="J196" s="50">
        <f t="shared" si="67"/>
        <v>10.5</v>
      </c>
      <c r="K196" s="49">
        <f t="shared" si="67"/>
        <v>160</v>
      </c>
      <c r="L196" s="44">
        <f t="shared" si="67"/>
        <v>8</v>
      </c>
      <c r="M196" s="44">
        <f t="shared" si="67"/>
        <v>8</v>
      </c>
      <c r="N196" s="45">
        <f t="shared" si="56"/>
        <v>0.2</v>
      </c>
      <c r="O196" s="49">
        <v>60</v>
      </c>
      <c r="P196" s="54">
        <f>K196+2.46</f>
        <v>162.46</v>
      </c>
      <c r="Q196" s="44">
        <f t="shared" si="68"/>
        <v>150</v>
      </c>
      <c r="R196" s="50">
        <f t="shared" si="68"/>
        <v>270</v>
      </c>
    </row>
    <row r="197" spans="1:18" x14ac:dyDescent="0.25">
      <c r="A197" s="41">
        <f t="shared" si="66"/>
        <v>3791</v>
      </c>
      <c r="B197" s="42">
        <f t="shared" si="66"/>
        <v>187</v>
      </c>
      <c r="C197" s="41" t="s">
        <v>1416</v>
      </c>
      <c r="D197" s="43">
        <f t="shared" si="55"/>
        <v>25</v>
      </c>
      <c r="E197" s="61">
        <f t="shared" si="48"/>
        <v>3.4090000000000007</v>
      </c>
      <c r="F197" s="61">
        <f t="shared" si="69"/>
        <v>42</v>
      </c>
      <c r="G197" s="64">
        <f t="shared" si="61"/>
        <v>0.58988764044943809</v>
      </c>
      <c r="H197" s="51">
        <f t="shared" si="51"/>
        <v>9.6524494382022468</v>
      </c>
      <c r="I197" s="42" t="str">
        <f t="shared" si="67"/>
        <v>IEC</v>
      </c>
      <c r="J197" s="50">
        <f t="shared" si="67"/>
        <v>10.5</v>
      </c>
      <c r="K197" s="49">
        <f t="shared" si="67"/>
        <v>160</v>
      </c>
      <c r="L197" s="44">
        <f t="shared" si="67"/>
        <v>8</v>
      </c>
      <c r="M197" s="44">
        <f t="shared" si="67"/>
        <v>8</v>
      </c>
      <c r="N197" s="45">
        <f t="shared" si="56"/>
        <v>0.2</v>
      </c>
      <c r="O197" s="49">
        <v>60</v>
      </c>
      <c r="P197" s="54">
        <f>K197+4</f>
        <v>164</v>
      </c>
      <c r="Q197" s="44">
        <f t="shared" si="68"/>
        <v>150</v>
      </c>
      <c r="R197" s="50">
        <f t="shared" si="68"/>
        <v>270</v>
      </c>
    </row>
    <row r="198" spans="1:18" x14ac:dyDescent="0.25">
      <c r="A198" s="41">
        <f t="shared" si="66"/>
        <v>3792</v>
      </c>
      <c r="B198" s="42">
        <f t="shared" si="66"/>
        <v>188</v>
      </c>
      <c r="C198" s="41" t="s">
        <v>1417</v>
      </c>
      <c r="D198" s="43">
        <f t="shared" si="55"/>
        <v>25</v>
      </c>
      <c r="E198" s="61">
        <f t="shared" si="48"/>
        <v>3.4090000000000007</v>
      </c>
      <c r="F198" s="61">
        <f t="shared" si="69"/>
        <v>42</v>
      </c>
      <c r="G198" s="64">
        <f t="shared" si="61"/>
        <v>0.58988764044943809</v>
      </c>
      <c r="H198" s="51">
        <f t="shared" si="51"/>
        <v>9.6524494382022468</v>
      </c>
      <c r="I198" s="42" t="str">
        <f t="shared" si="67"/>
        <v>IEC</v>
      </c>
      <c r="J198" s="50">
        <f t="shared" si="67"/>
        <v>10.5</v>
      </c>
      <c r="K198" s="49">
        <f t="shared" si="67"/>
        <v>160</v>
      </c>
      <c r="L198" s="44">
        <f t="shared" si="67"/>
        <v>8</v>
      </c>
      <c r="M198" s="44">
        <f t="shared" si="67"/>
        <v>8</v>
      </c>
      <c r="N198" s="45">
        <f t="shared" si="56"/>
        <v>0.2</v>
      </c>
      <c r="O198" s="49">
        <v>60</v>
      </c>
      <c r="P198" s="54">
        <f>K198+5.25</f>
        <v>165.25</v>
      </c>
      <c r="Q198" s="44">
        <f t="shared" si="68"/>
        <v>150</v>
      </c>
      <c r="R198" s="50">
        <f t="shared" si="68"/>
        <v>270</v>
      </c>
    </row>
    <row r="199" spans="1:18" x14ac:dyDescent="0.25">
      <c r="A199" s="41">
        <f t="shared" si="66"/>
        <v>3793</v>
      </c>
      <c r="B199" s="42">
        <f t="shared" si="66"/>
        <v>189</v>
      </c>
      <c r="C199" s="41" t="s">
        <v>1418</v>
      </c>
      <c r="D199" s="43">
        <f t="shared" si="55"/>
        <v>25</v>
      </c>
      <c r="E199" s="61">
        <f t="shared" si="48"/>
        <v>3.4090000000000007</v>
      </c>
      <c r="F199" s="61">
        <f t="shared" si="69"/>
        <v>42</v>
      </c>
      <c r="G199" s="64">
        <f t="shared" si="61"/>
        <v>0.58988764044943809</v>
      </c>
      <c r="H199" s="51">
        <f t="shared" si="51"/>
        <v>9.6524494382022468</v>
      </c>
      <c r="I199" s="42" t="str">
        <f t="shared" si="67"/>
        <v>IEC</v>
      </c>
      <c r="J199" s="50">
        <f t="shared" si="67"/>
        <v>10.5</v>
      </c>
      <c r="K199" s="49">
        <f t="shared" si="67"/>
        <v>160</v>
      </c>
      <c r="L199" s="44">
        <f t="shared" si="67"/>
        <v>8</v>
      </c>
      <c r="M199" s="44">
        <f t="shared" si="67"/>
        <v>8</v>
      </c>
      <c r="N199" s="45">
        <f t="shared" si="56"/>
        <v>0.2</v>
      </c>
      <c r="O199" s="49">
        <v>90</v>
      </c>
      <c r="P199" s="54">
        <f>K199</f>
        <v>160</v>
      </c>
      <c r="Q199" s="44">
        <f t="shared" si="68"/>
        <v>150</v>
      </c>
      <c r="R199" s="50">
        <f t="shared" si="68"/>
        <v>270</v>
      </c>
    </row>
    <row r="200" spans="1:18" x14ac:dyDescent="0.25">
      <c r="A200" s="41">
        <f t="shared" si="66"/>
        <v>3794</v>
      </c>
      <c r="B200" s="42">
        <f t="shared" si="66"/>
        <v>190</v>
      </c>
      <c r="C200" s="41" t="s">
        <v>1419</v>
      </c>
      <c r="D200" s="43">
        <f t="shared" si="55"/>
        <v>25</v>
      </c>
      <c r="E200" s="61">
        <f t="shared" si="48"/>
        <v>3.4090000000000007</v>
      </c>
      <c r="F200" s="61">
        <f t="shared" si="69"/>
        <v>42</v>
      </c>
      <c r="G200" s="64">
        <f t="shared" si="61"/>
        <v>0.58988764044943809</v>
      </c>
      <c r="H200" s="51">
        <f t="shared" si="51"/>
        <v>9.6524494382022468</v>
      </c>
      <c r="I200" s="42" t="str">
        <f t="shared" si="67"/>
        <v>IEC</v>
      </c>
      <c r="J200" s="50">
        <f t="shared" si="67"/>
        <v>10.5</v>
      </c>
      <c r="K200" s="49">
        <f t="shared" si="67"/>
        <v>160</v>
      </c>
      <c r="L200" s="44">
        <f t="shared" si="67"/>
        <v>8</v>
      </c>
      <c r="M200" s="44">
        <f t="shared" si="67"/>
        <v>8</v>
      </c>
      <c r="N200" s="45">
        <f t="shared" si="56"/>
        <v>0.2</v>
      </c>
      <c r="O200" s="49">
        <v>90</v>
      </c>
      <c r="P200" s="54">
        <f>K200+2.46</f>
        <v>162.46</v>
      </c>
      <c r="Q200" s="44">
        <f t="shared" si="68"/>
        <v>150</v>
      </c>
      <c r="R200" s="50">
        <f t="shared" si="68"/>
        <v>270</v>
      </c>
    </row>
    <row r="201" spans="1:18" x14ac:dyDescent="0.25">
      <c r="A201" s="41">
        <f t="shared" si="66"/>
        <v>3795</v>
      </c>
      <c r="B201" s="42">
        <f t="shared" si="66"/>
        <v>191</v>
      </c>
      <c r="C201" s="41" t="s">
        <v>1420</v>
      </c>
      <c r="D201" s="43">
        <f t="shared" si="55"/>
        <v>25</v>
      </c>
      <c r="E201" s="61">
        <f t="shared" si="48"/>
        <v>3.4090000000000007</v>
      </c>
      <c r="F201" s="61">
        <f t="shared" si="69"/>
        <v>42</v>
      </c>
      <c r="G201" s="64">
        <f t="shared" si="61"/>
        <v>0.58988764044943809</v>
      </c>
      <c r="H201" s="51">
        <f t="shared" si="51"/>
        <v>9.6524494382022468</v>
      </c>
      <c r="I201" s="42" t="str">
        <f t="shared" si="67"/>
        <v>IEC</v>
      </c>
      <c r="J201" s="50">
        <f t="shared" si="67"/>
        <v>10.5</v>
      </c>
      <c r="K201" s="49">
        <f t="shared" si="67"/>
        <v>160</v>
      </c>
      <c r="L201" s="44">
        <f t="shared" si="67"/>
        <v>8</v>
      </c>
      <c r="M201" s="44">
        <f t="shared" si="67"/>
        <v>8</v>
      </c>
      <c r="N201" s="45">
        <f t="shared" si="56"/>
        <v>0.2</v>
      </c>
      <c r="O201" s="49">
        <v>90</v>
      </c>
      <c r="P201" s="54">
        <f>K201+4</f>
        <v>164</v>
      </c>
      <c r="Q201" s="44">
        <f t="shared" si="68"/>
        <v>150</v>
      </c>
      <c r="R201" s="50">
        <f t="shared" si="68"/>
        <v>270</v>
      </c>
    </row>
    <row r="202" spans="1:18" x14ac:dyDescent="0.25">
      <c r="A202" s="41">
        <f t="shared" si="66"/>
        <v>3796</v>
      </c>
      <c r="B202" s="42">
        <f t="shared" si="66"/>
        <v>192</v>
      </c>
      <c r="C202" s="41" t="s">
        <v>1421</v>
      </c>
      <c r="D202" s="43">
        <f t="shared" si="55"/>
        <v>25</v>
      </c>
      <c r="E202" s="61">
        <f t="shared" si="48"/>
        <v>3.4090000000000007</v>
      </c>
      <c r="F202" s="61">
        <f t="shared" si="69"/>
        <v>42</v>
      </c>
      <c r="G202" s="64">
        <f t="shared" si="61"/>
        <v>0.58988764044943809</v>
      </c>
      <c r="H202" s="51">
        <f t="shared" si="51"/>
        <v>9.6524494382022468</v>
      </c>
      <c r="I202" s="42" t="str">
        <f t="shared" si="67"/>
        <v>IEC</v>
      </c>
      <c r="J202" s="50">
        <f t="shared" si="67"/>
        <v>10.5</v>
      </c>
      <c r="K202" s="49">
        <f t="shared" si="67"/>
        <v>160</v>
      </c>
      <c r="L202" s="44">
        <f t="shared" si="67"/>
        <v>8</v>
      </c>
      <c r="M202" s="44">
        <f t="shared" si="67"/>
        <v>8</v>
      </c>
      <c r="N202" s="45">
        <f t="shared" si="56"/>
        <v>0.2</v>
      </c>
      <c r="O202" s="49">
        <v>90</v>
      </c>
      <c r="P202" s="54">
        <f>K202+5.25</f>
        <v>165.25</v>
      </c>
      <c r="Q202" s="44">
        <f t="shared" si="68"/>
        <v>150</v>
      </c>
      <c r="R202" s="50">
        <f t="shared" si="68"/>
        <v>270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298"/>
  <sheetViews>
    <sheetView zoomScale="85" zoomScaleNormal="85" workbookViewId="0">
      <selection activeCell="X39" sqref="X39"/>
    </sheetView>
  </sheetViews>
  <sheetFormatPr defaultColWidth="9" defaultRowHeight="15" x14ac:dyDescent="0.15"/>
  <cols>
    <col min="1" max="1" width="7.375" style="23" customWidth="1"/>
    <col min="2" max="2" width="7.125" style="23" customWidth="1"/>
    <col min="3" max="3" width="9.375" style="23" customWidth="1"/>
    <col min="4" max="4" width="6.75" style="23" customWidth="1"/>
    <col min="5" max="5" width="6.875" style="23" customWidth="1"/>
    <col min="6" max="6" width="7.25" style="23" customWidth="1"/>
    <col min="7" max="7" width="7.375" style="23" customWidth="1"/>
    <col min="8" max="8" width="8" style="23" customWidth="1"/>
    <col min="9" max="9" width="7.75" style="23" customWidth="1"/>
    <col min="10" max="11" width="7.375" style="23" customWidth="1"/>
    <col min="12" max="12" width="6.75" style="23" customWidth="1"/>
    <col min="13" max="13" width="8.25" style="23" customWidth="1"/>
    <col min="14" max="14" width="7.625" style="23" customWidth="1"/>
    <col min="15" max="15" width="7.125" style="23" customWidth="1"/>
    <col min="16" max="16" width="8.125" style="23" customWidth="1"/>
    <col min="17" max="16384" width="9" style="23"/>
  </cols>
  <sheetData>
    <row r="1" spans="1:16" x14ac:dyDescent="0.15">
      <c r="H1" s="22" t="s">
        <v>135</v>
      </c>
      <c r="I1" s="22" t="s">
        <v>1713</v>
      </c>
    </row>
    <row r="2" spans="1:16" x14ac:dyDescent="0.15">
      <c r="B2" s="22" t="s">
        <v>1422</v>
      </c>
      <c r="C2" s="22"/>
      <c r="D2" s="22"/>
      <c r="E2" s="22"/>
      <c r="H2" s="22"/>
      <c r="I2" s="22" t="s">
        <v>1035</v>
      </c>
    </row>
    <row r="3" spans="1:16" x14ac:dyDescent="0.15">
      <c r="B3" s="22" t="s">
        <v>88</v>
      </c>
      <c r="C3" s="22"/>
      <c r="D3" s="22"/>
      <c r="E3" s="93" t="s">
        <v>1714</v>
      </c>
      <c r="H3" s="22"/>
      <c r="I3" s="22" t="s">
        <v>1711</v>
      </c>
    </row>
    <row r="4" spans="1:16" x14ac:dyDescent="0.15">
      <c r="B4" s="22" t="s">
        <v>89</v>
      </c>
      <c r="C4" s="22"/>
      <c r="D4" s="22"/>
      <c r="E4" s="22" t="s">
        <v>108</v>
      </c>
      <c r="H4" s="22"/>
      <c r="I4" s="22" t="s">
        <v>1712</v>
      </c>
    </row>
    <row r="5" spans="1:16" x14ac:dyDescent="0.15">
      <c r="B5" s="22" t="s">
        <v>91</v>
      </c>
      <c r="C5" s="22"/>
      <c r="D5" s="22"/>
      <c r="E5" s="22" t="s">
        <v>99</v>
      </c>
      <c r="H5" s="22"/>
      <c r="I5" s="22"/>
    </row>
    <row r="6" spans="1:16" x14ac:dyDescent="0.15">
      <c r="B6" s="22" t="s">
        <v>93</v>
      </c>
      <c r="C6" s="22"/>
      <c r="D6" s="22"/>
      <c r="E6" s="22" t="s">
        <v>100</v>
      </c>
      <c r="H6" s="22"/>
      <c r="I6" s="22"/>
    </row>
    <row r="7" spans="1:16" x14ac:dyDescent="0.15">
      <c r="H7" s="22"/>
      <c r="I7" s="22"/>
      <c r="N7" s="46"/>
    </row>
    <row r="8" spans="1:16" ht="15.75" thickBot="1" x14ac:dyDescent="0.2">
      <c r="A8" s="139"/>
      <c r="B8" s="139"/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  <c r="N8" s="139"/>
      <c r="O8" s="139"/>
      <c r="P8" s="139"/>
    </row>
    <row r="9" spans="1:16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25" t="s">
        <v>143</v>
      </c>
      <c r="F9" s="25" t="s">
        <v>146</v>
      </c>
      <c r="G9" s="27" t="s">
        <v>8</v>
      </c>
      <c r="H9" s="47" t="s">
        <v>21</v>
      </c>
      <c r="I9" s="25" t="s">
        <v>147</v>
      </c>
      <c r="J9" s="25" t="s">
        <v>1</v>
      </c>
      <c r="K9" s="25" t="s">
        <v>2</v>
      </c>
      <c r="L9" s="25" t="s">
        <v>10</v>
      </c>
      <c r="M9" s="25" t="s">
        <v>13</v>
      </c>
      <c r="N9" s="47" t="s">
        <v>161</v>
      </c>
      <c r="O9" s="27" t="s">
        <v>138</v>
      </c>
      <c r="P9" s="27" t="s">
        <v>139</v>
      </c>
    </row>
    <row r="10" spans="1:16" ht="15.75" thickBot="1" x14ac:dyDescent="0.3">
      <c r="A10" s="29" t="s">
        <v>76</v>
      </c>
      <c r="B10" s="30" t="str">
        <f>B2</f>
        <v>DLCT3</v>
      </c>
      <c r="C10" s="29"/>
      <c r="D10" s="30" t="s">
        <v>4</v>
      </c>
      <c r="E10" s="30" t="s">
        <v>4</v>
      </c>
      <c r="F10" s="30" t="s">
        <v>1718</v>
      </c>
      <c r="G10" s="32"/>
      <c r="H10" s="32" t="s">
        <v>17</v>
      </c>
      <c r="I10" s="32" t="s">
        <v>7</v>
      </c>
      <c r="J10" s="30" t="s">
        <v>6</v>
      </c>
      <c r="K10" s="30" t="s">
        <v>6</v>
      </c>
      <c r="L10" s="30"/>
      <c r="M10" s="32" t="s">
        <v>7</v>
      </c>
      <c r="N10" s="32" t="s">
        <v>17</v>
      </c>
      <c r="O10" s="32" t="s">
        <v>7</v>
      </c>
      <c r="P10" s="32" t="s">
        <v>7</v>
      </c>
    </row>
    <row r="11" spans="1:16" x14ac:dyDescent="0.25">
      <c r="A11" s="24">
        <f>'DLC13'!A100+1</f>
        <v>859</v>
      </c>
      <c r="B11" s="27">
        <v>1</v>
      </c>
      <c r="C11" s="24" t="s">
        <v>1423</v>
      </c>
      <c r="D11" s="34">
        <f t="shared" ref="D11:D42" si="0">v_r</f>
        <v>9.8000000000000007</v>
      </c>
      <c r="E11" s="35">
        <f>ECD_v</f>
        <v>15</v>
      </c>
      <c r="F11" s="35">
        <f>720/D11</f>
        <v>73.469387755102034</v>
      </c>
      <c r="G11" s="42" t="s">
        <v>12</v>
      </c>
      <c r="H11" s="50">
        <f>ECD_t</f>
        <v>10</v>
      </c>
      <c r="I11" s="49">
        <f>trig_t</f>
        <v>160</v>
      </c>
      <c r="J11" s="35">
        <f>inflow</f>
        <v>8</v>
      </c>
      <c r="K11" s="35">
        <f>yaw_min</f>
        <v>-8</v>
      </c>
      <c r="L11" s="36">
        <f>alpha_n</f>
        <v>0.2</v>
      </c>
      <c r="M11" s="49">
        <v>0</v>
      </c>
      <c r="N11" s="52">
        <f>I11</f>
        <v>160</v>
      </c>
      <c r="O11" s="35">
        <f>t_out</f>
        <v>150</v>
      </c>
      <c r="P11" s="50">
        <f>O11+2*T_s2</f>
        <v>270</v>
      </c>
    </row>
    <row r="12" spans="1:16" x14ac:dyDescent="0.25">
      <c r="A12" s="41">
        <f t="shared" ref="A12:B27" si="1">A11+1</f>
        <v>860</v>
      </c>
      <c r="B12" s="42">
        <f t="shared" si="1"/>
        <v>2</v>
      </c>
      <c r="C12" s="41" t="s">
        <v>1424</v>
      </c>
      <c r="D12" s="43">
        <f t="shared" si="0"/>
        <v>9.8000000000000007</v>
      </c>
      <c r="E12" s="44">
        <f t="shared" ref="E12:L27" si="2">E11</f>
        <v>15</v>
      </c>
      <c r="F12" s="44">
        <f t="shared" si="2"/>
        <v>73.469387755102034</v>
      </c>
      <c r="G12" s="42" t="str">
        <f t="shared" si="2"/>
        <v>Half</v>
      </c>
      <c r="H12" s="50">
        <f t="shared" si="2"/>
        <v>10</v>
      </c>
      <c r="I12" s="49">
        <f t="shared" si="2"/>
        <v>160</v>
      </c>
      <c r="J12" s="44">
        <f t="shared" si="2"/>
        <v>8</v>
      </c>
      <c r="K12" s="44">
        <f t="shared" si="2"/>
        <v>-8</v>
      </c>
      <c r="L12" s="45">
        <f t="shared" si="2"/>
        <v>0.2</v>
      </c>
      <c r="M12" s="49">
        <v>0</v>
      </c>
      <c r="N12" s="54">
        <f>I12+5</f>
        <v>165</v>
      </c>
      <c r="O12" s="44">
        <f>O11</f>
        <v>150</v>
      </c>
      <c r="P12" s="50">
        <f>P11</f>
        <v>270</v>
      </c>
    </row>
    <row r="13" spans="1:16" x14ac:dyDescent="0.25">
      <c r="A13" s="41">
        <f t="shared" si="1"/>
        <v>861</v>
      </c>
      <c r="B13" s="42">
        <f t="shared" si="1"/>
        <v>3</v>
      </c>
      <c r="C13" s="41" t="s">
        <v>1425</v>
      </c>
      <c r="D13" s="43">
        <f t="shared" si="0"/>
        <v>9.8000000000000007</v>
      </c>
      <c r="E13" s="44">
        <f t="shared" si="2"/>
        <v>15</v>
      </c>
      <c r="F13" s="44">
        <f>F12</f>
        <v>73.469387755102034</v>
      </c>
      <c r="G13" s="42" t="str">
        <f t="shared" si="2"/>
        <v>Half</v>
      </c>
      <c r="H13" s="50">
        <f t="shared" si="2"/>
        <v>10</v>
      </c>
      <c r="I13" s="49">
        <f t="shared" si="2"/>
        <v>160</v>
      </c>
      <c r="J13" s="44">
        <f t="shared" si="2"/>
        <v>8</v>
      </c>
      <c r="K13" s="44">
        <f t="shared" si="2"/>
        <v>-8</v>
      </c>
      <c r="L13" s="45">
        <f t="shared" si="2"/>
        <v>0.2</v>
      </c>
      <c r="M13" s="49">
        <v>0</v>
      </c>
      <c r="N13" s="54">
        <f>I13+10</f>
        <v>170</v>
      </c>
      <c r="O13" s="44">
        <f t="shared" ref="O13:P28" si="3">O12</f>
        <v>150</v>
      </c>
      <c r="P13" s="50">
        <f t="shared" si="3"/>
        <v>270</v>
      </c>
    </row>
    <row r="14" spans="1:16" x14ac:dyDescent="0.25">
      <c r="A14" s="41">
        <f t="shared" si="1"/>
        <v>862</v>
      </c>
      <c r="B14" s="42">
        <f t="shared" si="1"/>
        <v>4</v>
      </c>
      <c r="C14" s="41" t="s">
        <v>1426</v>
      </c>
      <c r="D14" s="43">
        <f t="shared" si="0"/>
        <v>9.8000000000000007</v>
      </c>
      <c r="E14" s="44">
        <f t="shared" si="2"/>
        <v>15</v>
      </c>
      <c r="F14" s="44">
        <f>F13</f>
        <v>73.469387755102034</v>
      </c>
      <c r="G14" s="42" t="str">
        <f t="shared" si="2"/>
        <v>Half</v>
      </c>
      <c r="H14" s="50">
        <f t="shared" si="2"/>
        <v>10</v>
      </c>
      <c r="I14" s="49">
        <f t="shared" si="2"/>
        <v>160</v>
      </c>
      <c r="J14" s="44">
        <f t="shared" si="2"/>
        <v>8</v>
      </c>
      <c r="K14" s="44">
        <f t="shared" si="2"/>
        <v>-8</v>
      </c>
      <c r="L14" s="45">
        <f t="shared" si="2"/>
        <v>0.2</v>
      </c>
      <c r="M14" s="49">
        <v>30</v>
      </c>
      <c r="N14" s="54">
        <f>I14</f>
        <v>160</v>
      </c>
      <c r="O14" s="44">
        <f t="shared" si="3"/>
        <v>150</v>
      </c>
      <c r="P14" s="50">
        <f t="shared" si="3"/>
        <v>270</v>
      </c>
    </row>
    <row r="15" spans="1:16" x14ac:dyDescent="0.25">
      <c r="A15" s="41">
        <f t="shared" si="1"/>
        <v>863</v>
      </c>
      <c r="B15" s="42">
        <f t="shared" si="1"/>
        <v>5</v>
      </c>
      <c r="C15" s="41" t="s">
        <v>1427</v>
      </c>
      <c r="D15" s="43">
        <f t="shared" si="0"/>
        <v>9.8000000000000007</v>
      </c>
      <c r="E15" s="44">
        <f t="shared" si="2"/>
        <v>15</v>
      </c>
      <c r="F15" s="44">
        <f t="shared" si="2"/>
        <v>73.469387755102034</v>
      </c>
      <c r="G15" s="42" t="str">
        <f t="shared" si="2"/>
        <v>Half</v>
      </c>
      <c r="H15" s="50">
        <f t="shared" si="2"/>
        <v>10</v>
      </c>
      <c r="I15" s="49">
        <f t="shared" si="2"/>
        <v>160</v>
      </c>
      <c r="J15" s="44">
        <f t="shared" si="2"/>
        <v>8</v>
      </c>
      <c r="K15" s="44">
        <f t="shared" ref="K15" si="4">K14</f>
        <v>-8</v>
      </c>
      <c r="L15" s="45">
        <f t="shared" si="2"/>
        <v>0.2</v>
      </c>
      <c r="M15" s="49">
        <v>30</v>
      </c>
      <c r="N15" s="54">
        <f>I15+5</f>
        <v>165</v>
      </c>
      <c r="O15" s="44">
        <f t="shared" si="3"/>
        <v>150</v>
      </c>
      <c r="P15" s="50">
        <f t="shared" si="3"/>
        <v>270</v>
      </c>
    </row>
    <row r="16" spans="1:16" x14ac:dyDescent="0.25">
      <c r="A16" s="41">
        <f t="shared" si="1"/>
        <v>864</v>
      </c>
      <c r="B16" s="42">
        <f t="shared" si="1"/>
        <v>6</v>
      </c>
      <c r="C16" s="41" t="s">
        <v>1428</v>
      </c>
      <c r="D16" s="43">
        <f t="shared" si="0"/>
        <v>9.8000000000000007</v>
      </c>
      <c r="E16" s="44">
        <f t="shared" si="2"/>
        <v>15</v>
      </c>
      <c r="F16" s="44">
        <f t="shared" si="2"/>
        <v>73.469387755102034</v>
      </c>
      <c r="G16" s="42" t="str">
        <f t="shared" si="2"/>
        <v>Half</v>
      </c>
      <c r="H16" s="50">
        <f t="shared" si="2"/>
        <v>10</v>
      </c>
      <c r="I16" s="49">
        <f t="shared" si="2"/>
        <v>160</v>
      </c>
      <c r="J16" s="44">
        <f t="shared" si="2"/>
        <v>8</v>
      </c>
      <c r="K16" s="44">
        <f t="shared" ref="K16" si="5">K15</f>
        <v>-8</v>
      </c>
      <c r="L16" s="45">
        <f t="shared" si="2"/>
        <v>0.2</v>
      </c>
      <c r="M16" s="49">
        <v>30</v>
      </c>
      <c r="N16" s="54">
        <f>I16+10</f>
        <v>170</v>
      </c>
      <c r="O16" s="44">
        <f t="shared" si="3"/>
        <v>150</v>
      </c>
      <c r="P16" s="50">
        <f t="shared" si="3"/>
        <v>270</v>
      </c>
    </row>
    <row r="17" spans="1:16" x14ac:dyDescent="0.25">
      <c r="A17" s="41">
        <f t="shared" si="1"/>
        <v>865</v>
      </c>
      <c r="B17" s="42">
        <f t="shared" si="1"/>
        <v>7</v>
      </c>
      <c r="C17" s="41" t="s">
        <v>1429</v>
      </c>
      <c r="D17" s="43">
        <f t="shared" si="0"/>
        <v>9.8000000000000007</v>
      </c>
      <c r="E17" s="44">
        <f t="shared" si="2"/>
        <v>15</v>
      </c>
      <c r="F17" s="44">
        <f t="shared" si="2"/>
        <v>73.469387755102034</v>
      </c>
      <c r="G17" s="42" t="str">
        <f t="shared" si="2"/>
        <v>Half</v>
      </c>
      <c r="H17" s="50">
        <f t="shared" si="2"/>
        <v>10</v>
      </c>
      <c r="I17" s="49">
        <f t="shared" si="2"/>
        <v>160</v>
      </c>
      <c r="J17" s="44">
        <f t="shared" si="2"/>
        <v>8</v>
      </c>
      <c r="K17" s="44">
        <f t="shared" ref="K17" si="6">K16</f>
        <v>-8</v>
      </c>
      <c r="L17" s="45">
        <f t="shared" si="2"/>
        <v>0.2</v>
      </c>
      <c r="M17" s="49">
        <v>60</v>
      </c>
      <c r="N17" s="54">
        <f>I17</f>
        <v>160</v>
      </c>
      <c r="O17" s="44">
        <f t="shared" si="3"/>
        <v>150</v>
      </c>
      <c r="P17" s="50">
        <f t="shared" si="3"/>
        <v>270</v>
      </c>
    </row>
    <row r="18" spans="1:16" x14ac:dyDescent="0.25">
      <c r="A18" s="41">
        <f t="shared" si="1"/>
        <v>866</v>
      </c>
      <c r="B18" s="42">
        <f t="shared" si="1"/>
        <v>8</v>
      </c>
      <c r="C18" s="41" t="s">
        <v>1430</v>
      </c>
      <c r="D18" s="43">
        <f t="shared" si="0"/>
        <v>9.8000000000000007</v>
      </c>
      <c r="E18" s="44">
        <f t="shared" si="2"/>
        <v>15</v>
      </c>
      <c r="F18" s="44">
        <f>F17</f>
        <v>73.469387755102034</v>
      </c>
      <c r="G18" s="42" t="str">
        <f t="shared" si="2"/>
        <v>Half</v>
      </c>
      <c r="H18" s="50">
        <f t="shared" si="2"/>
        <v>10</v>
      </c>
      <c r="I18" s="49">
        <f t="shared" si="2"/>
        <v>160</v>
      </c>
      <c r="J18" s="44">
        <f t="shared" si="2"/>
        <v>8</v>
      </c>
      <c r="K18" s="44">
        <f t="shared" ref="K18" si="7">K17</f>
        <v>-8</v>
      </c>
      <c r="L18" s="45">
        <f t="shared" si="2"/>
        <v>0.2</v>
      </c>
      <c r="M18" s="49">
        <v>60</v>
      </c>
      <c r="N18" s="54">
        <f>I18+5</f>
        <v>165</v>
      </c>
      <c r="O18" s="44">
        <f t="shared" si="3"/>
        <v>150</v>
      </c>
      <c r="P18" s="50">
        <f t="shared" si="3"/>
        <v>270</v>
      </c>
    </row>
    <row r="19" spans="1:16" x14ac:dyDescent="0.25">
      <c r="A19" s="41">
        <f t="shared" si="1"/>
        <v>867</v>
      </c>
      <c r="B19" s="42">
        <f t="shared" si="1"/>
        <v>9</v>
      </c>
      <c r="C19" s="41" t="s">
        <v>1431</v>
      </c>
      <c r="D19" s="43">
        <f t="shared" si="0"/>
        <v>9.8000000000000007</v>
      </c>
      <c r="E19" s="44">
        <f t="shared" si="2"/>
        <v>15</v>
      </c>
      <c r="F19" s="44">
        <f t="shared" si="2"/>
        <v>73.469387755102034</v>
      </c>
      <c r="G19" s="42" t="str">
        <f t="shared" si="2"/>
        <v>Half</v>
      </c>
      <c r="H19" s="50">
        <f t="shared" si="2"/>
        <v>10</v>
      </c>
      <c r="I19" s="49">
        <f t="shared" si="2"/>
        <v>160</v>
      </c>
      <c r="J19" s="44">
        <f t="shared" si="2"/>
        <v>8</v>
      </c>
      <c r="K19" s="44">
        <f t="shared" ref="K19" si="8">K18</f>
        <v>-8</v>
      </c>
      <c r="L19" s="45">
        <f t="shared" si="2"/>
        <v>0.2</v>
      </c>
      <c r="M19" s="49">
        <v>60</v>
      </c>
      <c r="N19" s="54">
        <f>I19+10</f>
        <v>170</v>
      </c>
      <c r="O19" s="44">
        <f t="shared" si="3"/>
        <v>150</v>
      </c>
      <c r="P19" s="50">
        <f t="shared" si="3"/>
        <v>270</v>
      </c>
    </row>
    <row r="20" spans="1:16" x14ac:dyDescent="0.25">
      <c r="A20" s="41">
        <f t="shared" si="1"/>
        <v>868</v>
      </c>
      <c r="B20" s="42">
        <f t="shared" si="1"/>
        <v>10</v>
      </c>
      <c r="C20" s="41" t="s">
        <v>1432</v>
      </c>
      <c r="D20" s="43">
        <f t="shared" si="0"/>
        <v>9.8000000000000007</v>
      </c>
      <c r="E20" s="44">
        <f t="shared" si="2"/>
        <v>15</v>
      </c>
      <c r="F20" s="44">
        <f t="shared" si="2"/>
        <v>73.469387755102034</v>
      </c>
      <c r="G20" s="42" t="str">
        <f>G19</f>
        <v>Half</v>
      </c>
      <c r="H20" s="50">
        <f t="shared" si="2"/>
        <v>10</v>
      </c>
      <c r="I20" s="49">
        <f t="shared" si="2"/>
        <v>160</v>
      </c>
      <c r="J20" s="44">
        <f t="shared" si="2"/>
        <v>8</v>
      </c>
      <c r="K20" s="44">
        <f t="shared" ref="K20" si="9">K19</f>
        <v>-8</v>
      </c>
      <c r="L20" s="45">
        <f t="shared" si="2"/>
        <v>0.2</v>
      </c>
      <c r="M20" s="49">
        <v>90</v>
      </c>
      <c r="N20" s="54">
        <f>I20</f>
        <v>160</v>
      </c>
      <c r="O20" s="44">
        <f t="shared" si="3"/>
        <v>150</v>
      </c>
      <c r="P20" s="50">
        <f t="shared" si="3"/>
        <v>270</v>
      </c>
    </row>
    <row r="21" spans="1:16" x14ac:dyDescent="0.25">
      <c r="A21" s="41">
        <f t="shared" si="1"/>
        <v>869</v>
      </c>
      <c r="B21" s="42">
        <f t="shared" si="1"/>
        <v>11</v>
      </c>
      <c r="C21" s="41" t="s">
        <v>1433</v>
      </c>
      <c r="D21" s="43">
        <f t="shared" si="0"/>
        <v>9.8000000000000007</v>
      </c>
      <c r="E21" s="44">
        <f t="shared" si="2"/>
        <v>15</v>
      </c>
      <c r="F21" s="44">
        <f t="shared" ref="F21" si="10">F20</f>
        <v>73.469387755102034</v>
      </c>
      <c r="G21" s="42" t="str">
        <f>G20</f>
        <v>Half</v>
      </c>
      <c r="H21" s="50">
        <f t="shared" si="2"/>
        <v>10</v>
      </c>
      <c r="I21" s="49">
        <f t="shared" si="2"/>
        <v>160</v>
      </c>
      <c r="J21" s="44">
        <f t="shared" si="2"/>
        <v>8</v>
      </c>
      <c r="K21" s="44">
        <f t="shared" ref="K21" si="11">K20</f>
        <v>-8</v>
      </c>
      <c r="L21" s="45">
        <f t="shared" si="2"/>
        <v>0.2</v>
      </c>
      <c r="M21" s="49">
        <v>90</v>
      </c>
      <c r="N21" s="54">
        <f>I21+5</f>
        <v>165</v>
      </c>
      <c r="O21" s="44">
        <f t="shared" si="3"/>
        <v>150</v>
      </c>
      <c r="P21" s="50">
        <f t="shared" si="3"/>
        <v>270</v>
      </c>
    </row>
    <row r="22" spans="1:16" x14ac:dyDescent="0.25">
      <c r="A22" s="41">
        <f t="shared" si="1"/>
        <v>870</v>
      </c>
      <c r="B22" s="42">
        <f t="shared" si="1"/>
        <v>12</v>
      </c>
      <c r="C22" s="41" t="s">
        <v>1434</v>
      </c>
      <c r="D22" s="43">
        <f t="shared" si="0"/>
        <v>9.8000000000000007</v>
      </c>
      <c r="E22" s="44">
        <f t="shared" si="2"/>
        <v>15</v>
      </c>
      <c r="F22" s="44">
        <f t="shared" ref="F22" si="12">F21</f>
        <v>73.469387755102034</v>
      </c>
      <c r="G22" s="42" t="str">
        <f>G21</f>
        <v>Half</v>
      </c>
      <c r="H22" s="50">
        <f t="shared" si="2"/>
        <v>10</v>
      </c>
      <c r="I22" s="49">
        <f t="shared" si="2"/>
        <v>160</v>
      </c>
      <c r="J22" s="44">
        <f t="shared" si="2"/>
        <v>8</v>
      </c>
      <c r="K22" s="44">
        <f t="shared" ref="K22" si="13">K21</f>
        <v>-8</v>
      </c>
      <c r="L22" s="45">
        <f t="shared" si="2"/>
        <v>0.2</v>
      </c>
      <c r="M22" s="49">
        <v>90</v>
      </c>
      <c r="N22" s="54">
        <f>I22+10</f>
        <v>170</v>
      </c>
      <c r="O22" s="44">
        <f t="shared" si="3"/>
        <v>150</v>
      </c>
      <c r="P22" s="50">
        <f t="shared" si="3"/>
        <v>270</v>
      </c>
    </row>
    <row r="23" spans="1:16" x14ac:dyDescent="0.25">
      <c r="A23" s="41">
        <f t="shared" si="1"/>
        <v>871</v>
      </c>
      <c r="B23" s="42">
        <f t="shared" si="1"/>
        <v>13</v>
      </c>
      <c r="C23" s="41" t="s">
        <v>1435</v>
      </c>
      <c r="D23" s="43">
        <f t="shared" si="0"/>
        <v>9.8000000000000007</v>
      </c>
      <c r="E23" s="44">
        <f t="shared" si="2"/>
        <v>15</v>
      </c>
      <c r="F23" s="44">
        <f t="shared" ref="F23" si="14">F22</f>
        <v>73.469387755102034</v>
      </c>
      <c r="G23" s="42" t="str">
        <f t="shared" ref="G23:H26" si="15">G22</f>
        <v>Half</v>
      </c>
      <c r="H23" s="50">
        <f>H22</f>
        <v>10</v>
      </c>
      <c r="I23" s="49">
        <f t="shared" si="2"/>
        <v>160</v>
      </c>
      <c r="J23" s="44">
        <f t="shared" si="2"/>
        <v>8</v>
      </c>
      <c r="K23" s="44">
        <f>yaw_null</f>
        <v>0</v>
      </c>
      <c r="L23" s="45">
        <f t="shared" si="2"/>
        <v>0.2</v>
      </c>
      <c r="M23" s="49">
        <v>0</v>
      </c>
      <c r="N23" s="54">
        <f>I23</f>
        <v>160</v>
      </c>
      <c r="O23" s="44">
        <f t="shared" si="3"/>
        <v>150</v>
      </c>
      <c r="P23" s="50">
        <f t="shared" si="3"/>
        <v>270</v>
      </c>
    </row>
    <row r="24" spans="1:16" x14ac:dyDescent="0.25">
      <c r="A24" s="41">
        <f t="shared" si="1"/>
        <v>872</v>
      </c>
      <c r="B24" s="42">
        <f t="shared" si="1"/>
        <v>14</v>
      </c>
      <c r="C24" s="41" t="s">
        <v>1436</v>
      </c>
      <c r="D24" s="43">
        <f t="shared" si="0"/>
        <v>9.8000000000000007</v>
      </c>
      <c r="E24" s="44">
        <f t="shared" si="2"/>
        <v>15</v>
      </c>
      <c r="F24" s="44">
        <f t="shared" ref="F24" si="16">F23</f>
        <v>73.469387755102034</v>
      </c>
      <c r="G24" s="42" t="str">
        <f t="shared" si="15"/>
        <v>Half</v>
      </c>
      <c r="H24" s="50">
        <f t="shared" si="15"/>
        <v>10</v>
      </c>
      <c r="I24" s="49">
        <f t="shared" si="2"/>
        <v>160</v>
      </c>
      <c r="J24" s="44">
        <f t="shared" si="2"/>
        <v>8</v>
      </c>
      <c r="K24" s="44">
        <f t="shared" ref="K24" si="17">K23</f>
        <v>0</v>
      </c>
      <c r="L24" s="45">
        <f t="shared" si="2"/>
        <v>0.2</v>
      </c>
      <c r="M24" s="49">
        <v>0</v>
      </c>
      <c r="N24" s="54">
        <f>I24+5</f>
        <v>165</v>
      </c>
      <c r="O24" s="44">
        <f t="shared" si="3"/>
        <v>150</v>
      </c>
      <c r="P24" s="50">
        <f t="shared" si="3"/>
        <v>270</v>
      </c>
    </row>
    <row r="25" spans="1:16" x14ac:dyDescent="0.25">
      <c r="A25" s="41">
        <f t="shared" si="1"/>
        <v>873</v>
      </c>
      <c r="B25" s="42">
        <f t="shared" si="1"/>
        <v>15</v>
      </c>
      <c r="C25" s="41" t="s">
        <v>1437</v>
      </c>
      <c r="D25" s="43">
        <f t="shared" si="0"/>
        <v>9.8000000000000007</v>
      </c>
      <c r="E25" s="44">
        <f t="shared" si="2"/>
        <v>15</v>
      </c>
      <c r="F25" s="44">
        <f t="shared" ref="F25" si="18">F24</f>
        <v>73.469387755102034</v>
      </c>
      <c r="G25" s="42" t="str">
        <f t="shared" si="15"/>
        <v>Half</v>
      </c>
      <c r="H25" s="50">
        <f t="shared" si="15"/>
        <v>10</v>
      </c>
      <c r="I25" s="49">
        <f t="shared" si="2"/>
        <v>160</v>
      </c>
      <c r="J25" s="44">
        <f t="shared" si="2"/>
        <v>8</v>
      </c>
      <c r="K25" s="44">
        <f t="shared" ref="K25" si="19">K24</f>
        <v>0</v>
      </c>
      <c r="L25" s="45">
        <f t="shared" si="2"/>
        <v>0.2</v>
      </c>
      <c r="M25" s="49">
        <v>0</v>
      </c>
      <c r="N25" s="54">
        <f>I25+10</f>
        <v>170</v>
      </c>
      <c r="O25" s="44">
        <f t="shared" si="3"/>
        <v>150</v>
      </c>
      <c r="P25" s="50">
        <f t="shared" si="3"/>
        <v>270</v>
      </c>
    </row>
    <row r="26" spans="1:16" x14ac:dyDescent="0.25">
      <c r="A26" s="41">
        <f t="shared" si="1"/>
        <v>874</v>
      </c>
      <c r="B26" s="42">
        <f t="shared" si="1"/>
        <v>16</v>
      </c>
      <c r="C26" s="41" t="s">
        <v>1438</v>
      </c>
      <c r="D26" s="43">
        <f t="shared" si="0"/>
        <v>9.8000000000000007</v>
      </c>
      <c r="E26" s="44">
        <f t="shared" si="2"/>
        <v>15</v>
      </c>
      <c r="F26" s="44">
        <f t="shared" ref="F26" si="20">F25</f>
        <v>73.469387755102034</v>
      </c>
      <c r="G26" s="42" t="str">
        <f t="shared" si="15"/>
        <v>Half</v>
      </c>
      <c r="H26" s="50">
        <f t="shared" si="15"/>
        <v>10</v>
      </c>
      <c r="I26" s="49">
        <f t="shared" si="2"/>
        <v>160</v>
      </c>
      <c r="J26" s="44">
        <f t="shared" si="2"/>
        <v>8</v>
      </c>
      <c r="K26" s="44">
        <f t="shared" ref="K26:K34" si="21">K25</f>
        <v>0</v>
      </c>
      <c r="L26" s="45">
        <f t="shared" si="2"/>
        <v>0.2</v>
      </c>
      <c r="M26" s="49">
        <v>30</v>
      </c>
      <c r="N26" s="54">
        <f>I26</f>
        <v>160</v>
      </c>
      <c r="O26" s="44">
        <f t="shared" si="3"/>
        <v>150</v>
      </c>
      <c r="P26" s="50">
        <f t="shared" si="3"/>
        <v>270</v>
      </c>
    </row>
    <row r="27" spans="1:16" x14ac:dyDescent="0.25">
      <c r="A27" s="41">
        <f t="shared" si="1"/>
        <v>875</v>
      </c>
      <c r="B27" s="42">
        <f t="shared" si="1"/>
        <v>17</v>
      </c>
      <c r="C27" s="41" t="s">
        <v>1439</v>
      </c>
      <c r="D27" s="43">
        <f t="shared" si="0"/>
        <v>9.8000000000000007</v>
      </c>
      <c r="E27" s="44">
        <f t="shared" si="2"/>
        <v>15</v>
      </c>
      <c r="F27" s="44">
        <f t="shared" ref="F27" si="22">F26</f>
        <v>73.469387755102034</v>
      </c>
      <c r="G27" s="42" t="s">
        <v>12</v>
      </c>
      <c r="H27" s="50">
        <v>10</v>
      </c>
      <c r="I27" s="49">
        <f t="shared" si="2"/>
        <v>160</v>
      </c>
      <c r="J27" s="44">
        <f t="shared" si="2"/>
        <v>8</v>
      </c>
      <c r="K27" s="44">
        <f t="shared" si="21"/>
        <v>0</v>
      </c>
      <c r="L27" s="45">
        <f t="shared" si="2"/>
        <v>0.2</v>
      </c>
      <c r="M27" s="49">
        <v>30</v>
      </c>
      <c r="N27" s="54">
        <f>I27+5</f>
        <v>165</v>
      </c>
      <c r="O27" s="44">
        <f t="shared" si="3"/>
        <v>150</v>
      </c>
      <c r="P27" s="50">
        <f t="shared" si="3"/>
        <v>270</v>
      </c>
    </row>
    <row r="28" spans="1:16" x14ac:dyDescent="0.25">
      <c r="A28" s="41">
        <f t="shared" ref="A28:B43" si="23">A27+1</f>
        <v>876</v>
      </c>
      <c r="B28" s="42">
        <f t="shared" si="23"/>
        <v>18</v>
      </c>
      <c r="C28" s="41" t="s">
        <v>1440</v>
      </c>
      <c r="D28" s="43">
        <f t="shared" si="0"/>
        <v>9.8000000000000007</v>
      </c>
      <c r="E28" s="44">
        <f t="shared" ref="E28:H43" si="24">E27</f>
        <v>15</v>
      </c>
      <c r="F28" s="44">
        <f t="shared" si="24"/>
        <v>73.469387755102034</v>
      </c>
      <c r="G28" s="42" t="str">
        <f>G27</f>
        <v>Half</v>
      </c>
      <c r="H28" s="50">
        <f>H27</f>
        <v>10</v>
      </c>
      <c r="I28" s="49">
        <f t="shared" ref="I28:L43" si="25">I27</f>
        <v>160</v>
      </c>
      <c r="J28" s="44">
        <f t="shared" si="25"/>
        <v>8</v>
      </c>
      <c r="K28" s="44">
        <f t="shared" si="21"/>
        <v>0</v>
      </c>
      <c r="L28" s="45">
        <f t="shared" si="25"/>
        <v>0.2</v>
      </c>
      <c r="M28" s="49">
        <v>30</v>
      </c>
      <c r="N28" s="54">
        <f>I28+10</f>
        <v>170</v>
      </c>
      <c r="O28" s="44">
        <f t="shared" si="3"/>
        <v>150</v>
      </c>
      <c r="P28" s="50">
        <f t="shared" si="3"/>
        <v>270</v>
      </c>
    </row>
    <row r="29" spans="1:16" x14ac:dyDescent="0.25">
      <c r="A29" s="41">
        <f t="shared" si="23"/>
        <v>877</v>
      </c>
      <c r="B29" s="42">
        <f t="shared" si="23"/>
        <v>19</v>
      </c>
      <c r="C29" s="41" t="s">
        <v>1441</v>
      </c>
      <c r="D29" s="43">
        <f t="shared" si="0"/>
        <v>9.8000000000000007</v>
      </c>
      <c r="E29" s="44">
        <f t="shared" si="24"/>
        <v>15</v>
      </c>
      <c r="F29" s="44">
        <f t="shared" si="24"/>
        <v>73.469387755102034</v>
      </c>
      <c r="G29" s="42" t="str">
        <f t="shared" si="24"/>
        <v>Half</v>
      </c>
      <c r="H29" s="50">
        <f t="shared" si="24"/>
        <v>10</v>
      </c>
      <c r="I29" s="49">
        <f t="shared" si="25"/>
        <v>160</v>
      </c>
      <c r="J29" s="44">
        <f t="shared" si="25"/>
        <v>8</v>
      </c>
      <c r="K29" s="44">
        <f t="shared" si="21"/>
        <v>0</v>
      </c>
      <c r="L29" s="45">
        <f t="shared" si="25"/>
        <v>0.2</v>
      </c>
      <c r="M29" s="49">
        <v>60</v>
      </c>
      <c r="N29" s="54">
        <f>I29</f>
        <v>160</v>
      </c>
      <c r="O29" s="44">
        <f t="shared" ref="O29:P44" si="26">O28</f>
        <v>150</v>
      </c>
      <c r="P29" s="50">
        <f t="shared" si="26"/>
        <v>270</v>
      </c>
    </row>
    <row r="30" spans="1:16" x14ac:dyDescent="0.25">
      <c r="A30" s="41">
        <f t="shared" si="23"/>
        <v>878</v>
      </c>
      <c r="B30" s="42">
        <f t="shared" si="23"/>
        <v>20</v>
      </c>
      <c r="C30" s="41" t="s">
        <v>1442</v>
      </c>
      <c r="D30" s="43">
        <f t="shared" si="0"/>
        <v>9.8000000000000007</v>
      </c>
      <c r="E30" s="44">
        <f t="shared" si="24"/>
        <v>15</v>
      </c>
      <c r="F30" s="44">
        <f t="shared" si="24"/>
        <v>73.469387755102034</v>
      </c>
      <c r="G30" s="42" t="str">
        <f t="shared" si="24"/>
        <v>Half</v>
      </c>
      <c r="H30" s="50">
        <f t="shared" si="24"/>
        <v>10</v>
      </c>
      <c r="I30" s="49">
        <f t="shared" si="25"/>
        <v>160</v>
      </c>
      <c r="J30" s="44">
        <f t="shared" si="25"/>
        <v>8</v>
      </c>
      <c r="K30" s="44">
        <f t="shared" si="21"/>
        <v>0</v>
      </c>
      <c r="L30" s="45">
        <f t="shared" si="25"/>
        <v>0.2</v>
      </c>
      <c r="M30" s="49">
        <v>60</v>
      </c>
      <c r="N30" s="54">
        <f>I30+5</f>
        <v>165</v>
      </c>
      <c r="O30" s="44">
        <f t="shared" si="26"/>
        <v>150</v>
      </c>
      <c r="P30" s="50">
        <f t="shared" si="26"/>
        <v>270</v>
      </c>
    </row>
    <row r="31" spans="1:16" x14ac:dyDescent="0.25">
      <c r="A31" s="41">
        <f t="shared" si="23"/>
        <v>879</v>
      </c>
      <c r="B31" s="42">
        <f t="shared" si="23"/>
        <v>21</v>
      </c>
      <c r="C31" s="41" t="s">
        <v>1443</v>
      </c>
      <c r="D31" s="43">
        <f t="shared" si="0"/>
        <v>9.8000000000000007</v>
      </c>
      <c r="E31" s="44">
        <f t="shared" si="24"/>
        <v>15</v>
      </c>
      <c r="F31" s="44">
        <f t="shared" si="24"/>
        <v>73.469387755102034</v>
      </c>
      <c r="G31" s="42" t="str">
        <f t="shared" si="24"/>
        <v>Half</v>
      </c>
      <c r="H31" s="50">
        <f t="shared" si="24"/>
        <v>10</v>
      </c>
      <c r="I31" s="49">
        <f t="shared" si="25"/>
        <v>160</v>
      </c>
      <c r="J31" s="44">
        <f t="shared" si="25"/>
        <v>8</v>
      </c>
      <c r="K31" s="44">
        <f t="shared" si="21"/>
        <v>0</v>
      </c>
      <c r="L31" s="45">
        <f t="shared" si="25"/>
        <v>0.2</v>
      </c>
      <c r="M31" s="49">
        <v>60</v>
      </c>
      <c r="N31" s="54">
        <f>I31+10</f>
        <v>170</v>
      </c>
      <c r="O31" s="44">
        <f t="shared" si="26"/>
        <v>150</v>
      </c>
      <c r="P31" s="50">
        <f t="shared" si="26"/>
        <v>270</v>
      </c>
    </row>
    <row r="32" spans="1:16" x14ac:dyDescent="0.25">
      <c r="A32" s="41">
        <f t="shared" si="23"/>
        <v>880</v>
      </c>
      <c r="B32" s="42">
        <f t="shared" si="23"/>
        <v>22</v>
      </c>
      <c r="C32" s="41" t="s">
        <v>1444</v>
      </c>
      <c r="D32" s="43">
        <f t="shared" si="0"/>
        <v>9.8000000000000007</v>
      </c>
      <c r="E32" s="44">
        <f t="shared" si="24"/>
        <v>15</v>
      </c>
      <c r="F32" s="44">
        <f t="shared" si="24"/>
        <v>73.469387755102034</v>
      </c>
      <c r="G32" s="42" t="str">
        <f t="shared" si="24"/>
        <v>Half</v>
      </c>
      <c r="H32" s="50">
        <f t="shared" si="24"/>
        <v>10</v>
      </c>
      <c r="I32" s="49">
        <f t="shared" si="25"/>
        <v>160</v>
      </c>
      <c r="J32" s="44">
        <f t="shared" si="25"/>
        <v>8</v>
      </c>
      <c r="K32" s="44">
        <f t="shared" si="21"/>
        <v>0</v>
      </c>
      <c r="L32" s="45">
        <f t="shared" si="25"/>
        <v>0.2</v>
      </c>
      <c r="M32" s="49">
        <v>90</v>
      </c>
      <c r="N32" s="54">
        <f>I32</f>
        <v>160</v>
      </c>
      <c r="O32" s="44">
        <f t="shared" si="26"/>
        <v>150</v>
      </c>
      <c r="P32" s="50">
        <f t="shared" si="26"/>
        <v>270</v>
      </c>
    </row>
    <row r="33" spans="1:16" x14ac:dyDescent="0.25">
      <c r="A33" s="41">
        <f t="shared" si="23"/>
        <v>881</v>
      </c>
      <c r="B33" s="42">
        <f t="shared" si="23"/>
        <v>23</v>
      </c>
      <c r="C33" s="41" t="s">
        <v>1445</v>
      </c>
      <c r="D33" s="43">
        <f t="shared" si="0"/>
        <v>9.8000000000000007</v>
      </c>
      <c r="E33" s="44">
        <f t="shared" si="24"/>
        <v>15</v>
      </c>
      <c r="F33" s="44">
        <f t="shared" si="24"/>
        <v>73.469387755102034</v>
      </c>
      <c r="G33" s="42" t="str">
        <f t="shared" si="24"/>
        <v>Half</v>
      </c>
      <c r="H33" s="50">
        <f t="shared" si="24"/>
        <v>10</v>
      </c>
      <c r="I33" s="49">
        <f t="shared" si="25"/>
        <v>160</v>
      </c>
      <c r="J33" s="44">
        <f t="shared" si="25"/>
        <v>8</v>
      </c>
      <c r="K33" s="44">
        <f t="shared" si="21"/>
        <v>0</v>
      </c>
      <c r="L33" s="45">
        <f t="shared" si="25"/>
        <v>0.2</v>
      </c>
      <c r="M33" s="49">
        <v>90</v>
      </c>
      <c r="N33" s="54">
        <f>I33+5</f>
        <v>165</v>
      </c>
      <c r="O33" s="44">
        <f t="shared" si="26"/>
        <v>150</v>
      </c>
      <c r="P33" s="50">
        <f t="shared" si="26"/>
        <v>270</v>
      </c>
    </row>
    <row r="34" spans="1:16" x14ac:dyDescent="0.25">
      <c r="A34" s="41">
        <f t="shared" si="23"/>
        <v>882</v>
      </c>
      <c r="B34" s="42">
        <f t="shared" si="23"/>
        <v>24</v>
      </c>
      <c r="C34" s="127" t="s">
        <v>1446</v>
      </c>
      <c r="D34" s="43">
        <f t="shared" si="0"/>
        <v>9.8000000000000007</v>
      </c>
      <c r="E34" s="44">
        <f t="shared" si="24"/>
        <v>15</v>
      </c>
      <c r="F34" s="44">
        <f t="shared" si="24"/>
        <v>73.469387755102034</v>
      </c>
      <c r="G34" s="42" t="str">
        <f t="shared" si="24"/>
        <v>Half</v>
      </c>
      <c r="H34" s="50">
        <f t="shared" si="24"/>
        <v>10</v>
      </c>
      <c r="I34" s="49">
        <f t="shared" si="25"/>
        <v>160</v>
      </c>
      <c r="J34" s="44">
        <f t="shared" si="25"/>
        <v>8</v>
      </c>
      <c r="K34" s="44">
        <f t="shared" si="21"/>
        <v>0</v>
      </c>
      <c r="L34" s="45">
        <f t="shared" si="25"/>
        <v>0.2</v>
      </c>
      <c r="M34" s="49">
        <v>90</v>
      </c>
      <c r="N34" s="54">
        <f>I34+10</f>
        <v>170</v>
      </c>
      <c r="O34" s="44">
        <f t="shared" si="26"/>
        <v>150</v>
      </c>
      <c r="P34" s="50">
        <f t="shared" si="26"/>
        <v>270</v>
      </c>
    </row>
    <row r="35" spans="1:16" x14ac:dyDescent="0.25">
      <c r="A35" s="41">
        <f t="shared" si="23"/>
        <v>883</v>
      </c>
      <c r="B35" s="42">
        <f t="shared" si="23"/>
        <v>25</v>
      </c>
      <c r="C35" s="41" t="s">
        <v>1447</v>
      </c>
      <c r="D35" s="43">
        <f t="shared" si="0"/>
        <v>9.8000000000000007</v>
      </c>
      <c r="E35" s="44">
        <f t="shared" si="24"/>
        <v>15</v>
      </c>
      <c r="F35" s="44">
        <f t="shared" si="24"/>
        <v>73.469387755102034</v>
      </c>
      <c r="G35" s="42" t="str">
        <f t="shared" si="24"/>
        <v>Half</v>
      </c>
      <c r="H35" s="50">
        <f t="shared" si="24"/>
        <v>10</v>
      </c>
      <c r="I35" s="49">
        <f t="shared" si="25"/>
        <v>160</v>
      </c>
      <c r="J35" s="44">
        <f t="shared" si="25"/>
        <v>8</v>
      </c>
      <c r="K35" s="44">
        <f>yaw_max</f>
        <v>8</v>
      </c>
      <c r="L35" s="45">
        <f t="shared" ref="L35" si="27">L34</f>
        <v>0.2</v>
      </c>
      <c r="M35" s="49">
        <v>0</v>
      </c>
      <c r="N35" s="54">
        <f>I35</f>
        <v>160</v>
      </c>
      <c r="O35" s="44">
        <f t="shared" si="26"/>
        <v>150</v>
      </c>
      <c r="P35" s="50">
        <f t="shared" si="26"/>
        <v>270</v>
      </c>
    </row>
    <row r="36" spans="1:16" x14ac:dyDescent="0.25">
      <c r="A36" s="41">
        <f t="shared" si="23"/>
        <v>884</v>
      </c>
      <c r="B36" s="42">
        <f t="shared" si="23"/>
        <v>26</v>
      </c>
      <c r="C36" s="41" t="s">
        <v>1448</v>
      </c>
      <c r="D36" s="43">
        <f t="shared" si="0"/>
        <v>9.8000000000000007</v>
      </c>
      <c r="E36" s="44">
        <f t="shared" si="24"/>
        <v>15</v>
      </c>
      <c r="F36" s="44">
        <f t="shared" si="24"/>
        <v>73.469387755102034</v>
      </c>
      <c r="G36" s="42" t="str">
        <f t="shared" si="24"/>
        <v>Half</v>
      </c>
      <c r="H36" s="50">
        <f t="shared" si="24"/>
        <v>10</v>
      </c>
      <c r="I36" s="49">
        <f t="shared" si="25"/>
        <v>160</v>
      </c>
      <c r="J36" s="44">
        <f t="shared" si="25"/>
        <v>8</v>
      </c>
      <c r="K36" s="44">
        <f t="shared" si="25"/>
        <v>8</v>
      </c>
      <c r="L36" s="45">
        <f t="shared" si="25"/>
        <v>0.2</v>
      </c>
      <c r="M36" s="49">
        <v>0</v>
      </c>
      <c r="N36" s="54">
        <f>I36+5</f>
        <v>165</v>
      </c>
      <c r="O36" s="44">
        <f t="shared" si="26"/>
        <v>150</v>
      </c>
      <c r="P36" s="50">
        <f t="shared" si="26"/>
        <v>270</v>
      </c>
    </row>
    <row r="37" spans="1:16" x14ac:dyDescent="0.25">
      <c r="A37" s="41">
        <f t="shared" si="23"/>
        <v>885</v>
      </c>
      <c r="B37" s="42">
        <f t="shared" si="23"/>
        <v>27</v>
      </c>
      <c r="C37" s="41" t="s">
        <v>1449</v>
      </c>
      <c r="D37" s="43">
        <f t="shared" si="0"/>
        <v>9.8000000000000007</v>
      </c>
      <c r="E37" s="44">
        <f t="shared" si="24"/>
        <v>15</v>
      </c>
      <c r="F37" s="44">
        <f t="shared" si="24"/>
        <v>73.469387755102034</v>
      </c>
      <c r="G37" s="42" t="str">
        <f t="shared" si="24"/>
        <v>Half</v>
      </c>
      <c r="H37" s="50">
        <f t="shared" si="24"/>
        <v>10</v>
      </c>
      <c r="I37" s="49">
        <f t="shared" si="25"/>
        <v>160</v>
      </c>
      <c r="J37" s="44">
        <f t="shared" si="25"/>
        <v>8</v>
      </c>
      <c r="K37" s="44">
        <f t="shared" si="25"/>
        <v>8</v>
      </c>
      <c r="L37" s="45">
        <f t="shared" si="25"/>
        <v>0.2</v>
      </c>
      <c r="M37" s="49">
        <v>0</v>
      </c>
      <c r="N37" s="54">
        <f>I37+10</f>
        <v>170</v>
      </c>
      <c r="O37" s="44">
        <f t="shared" si="26"/>
        <v>150</v>
      </c>
      <c r="P37" s="50">
        <f t="shared" si="26"/>
        <v>270</v>
      </c>
    </row>
    <row r="38" spans="1:16" x14ac:dyDescent="0.25">
      <c r="A38" s="41">
        <f t="shared" si="23"/>
        <v>886</v>
      </c>
      <c r="B38" s="42">
        <f t="shared" si="23"/>
        <v>28</v>
      </c>
      <c r="C38" s="41" t="s">
        <v>1450</v>
      </c>
      <c r="D38" s="43">
        <f t="shared" si="0"/>
        <v>9.8000000000000007</v>
      </c>
      <c r="E38" s="44">
        <f t="shared" si="24"/>
        <v>15</v>
      </c>
      <c r="F38" s="44">
        <f t="shared" si="24"/>
        <v>73.469387755102034</v>
      </c>
      <c r="G38" s="42" t="str">
        <f t="shared" si="24"/>
        <v>Half</v>
      </c>
      <c r="H38" s="50">
        <f t="shared" si="24"/>
        <v>10</v>
      </c>
      <c r="I38" s="49">
        <f t="shared" si="25"/>
        <v>160</v>
      </c>
      <c r="J38" s="44">
        <f t="shared" si="25"/>
        <v>8</v>
      </c>
      <c r="K38" s="44">
        <f t="shared" si="25"/>
        <v>8</v>
      </c>
      <c r="L38" s="45">
        <f t="shared" si="25"/>
        <v>0.2</v>
      </c>
      <c r="M38" s="49">
        <v>30</v>
      </c>
      <c r="N38" s="54">
        <f>I38</f>
        <v>160</v>
      </c>
      <c r="O38" s="44">
        <f t="shared" si="26"/>
        <v>150</v>
      </c>
      <c r="P38" s="50">
        <f t="shared" si="26"/>
        <v>270</v>
      </c>
    </row>
    <row r="39" spans="1:16" x14ac:dyDescent="0.25">
      <c r="A39" s="41">
        <f t="shared" si="23"/>
        <v>887</v>
      </c>
      <c r="B39" s="42">
        <f t="shared" si="23"/>
        <v>29</v>
      </c>
      <c r="C39" s="41" t="s">
        <v>1451</v>
      </c>
      <c r="D39" s="43">
        <f t="shared" si="0"/>
        <v>9.8000000000000007</v>
      </c>
      <c r="E39" s="44">
        <f t="shared" si="24"/>
        <v>15</v>
      </c>
      <c r="F39" s="44">
        <f t="shared" si="24"/>
        <v>73.469387755102034</v>
      </c>
      <c r="G39" s="42" t="str">
        <f t="shared" si="24"/>
        <v>Half</v>
      </c>
      <c r="H39" s="50">
        <f>H38</f>
        <v>10</v>
      </c>
      <c r="I39" s="49">
        <f t="shared" si="25"/>
        <v>160</v>
      </c>
      <c r="J39" s="44">
        <f t="shared" si="25"/>
        <v>8</v>
      </c>
      <c r="K39" s="44">
        <f t="shared" si="25"/>
        <v>8</v>
      </c>
      <c r="L39" s="45">
        <f t="shared" si="25"/>
        <v>0.2</v>
      </c>
      <c r="M39" s="49">
        <v>30</v>
      </c>
      <c r="N39" s="54">
        <f>I39+5</f>
        <v>165</v>
      </c>
      <c r="O39" s="44">
        <f t="shared" si="26"/>
        <v>150</v>
      </c>
      <c r="P39" s="50">
        <f t="shared" si="26"/>
        <v>270</v>
      </c>
    </row>
    <row r="40" spans="1:16" x14ac:dyDescent="0.25">
      <c r="A40" s="41">
        <f t="shared" si="23"/>
        <v>888</v>
      </c>
      <c r="B40" s="42">
        <f t="shared" si="23"/>
        <v>30</v>
      </c>
      <c r="C40" s="41" t="s">
        <v>1452</v>
      </c>
      <c r="D40" s="43">
        <f t="shared" si="0"/>
        <v>9.8000000000000007</v>
      </c>
      <c r="E40" s="44">
        <f t="shared" si="24"/>
        <v>15</v>
      </c>
      <c r="F40" s="44">
        <f t="shared" si="24"/>
        <v>73.469387755102034</v>
      </c>
      <c r="G40" s="42" t="str">
        <f t="shared" si="24"/>
        <v>Half</v>
      </c>
      <c r="H40" s="50">
        <f>H39</f>
        <v>10</v>
      </c>
      <c r="I40" s="49">
        <f t="shared" si="25"/>
        <v>160</v>
      </c>
      <c r="J40" s="44">
        <f t="shared" si="25"/>
        <v>8</v>
      </c>
      <c r="K40" s="44">
        <f t="shared" si="25"/>
        <v>8</v>
      </c>
      <c r="L40" s="45">
        <f t="shared" ref="L40" si="28">L39</f>
        <v>0.2</v>
      </c>
      <c r="M40" s="49">
        <v>30</v>
      </c>
      <c r="N40" s="54">
        <f>I40+10</f>
        <v>170</v>
      </c>
      <c r="O40" s="44">
        <f t="shared" si="26"/>
        <v>150</v>
      </c>
      <c r="P40" s="50">
        <f t="shared" si="26"/>
        <v>270</v>
      </c>
    </row>
    <row r="41" spans="1:16" x14ac:dyDescent="0.25">
      <c r="A41" s="41">
        <f t="shared" si="23"/>
        <v>889</v>
      </c>
      <c r="B41" s="42">
        <f t="shared" si="23"/>
        <v>31</v>
      </c>
      <c r="C41" s="41" t="s">
        <v>1453</v>
      </c>
      <c r="D41" s="43">
        <f t="shared" si="0"/>
        <v>9.8000000000000007</v>
      </c>
      <c r="E41" s="44">
        <f t="shared" si="24"/>
        <v>15</v>
      </c>
      <c r="F41" s="44">
        <f t="shared" si="24"/>
        <v>73.469387755102034</v>
      </c>
      <c r="G41" s="42" t="str">
        <f t="shared" si="24"/>
        <v>Half</v>
      </c>
      <c r="H41" s="50">
        <f>H40</f>
        <v>10</v>
      </c>
      <c r="I41" s="49">
        <f t="shared" si="25"/>
        <v>160</v>
      </c>
      <c r="J41" s="44">
        <f t="shared" si="25"/>
        <v>8</v>
      </c>
      <c r="K41" s="44">
        <f t="shared" si="25"/>
        <v>8</v>
      </c>
      <c r="L41" s="45">
        <f t="shared" ref="L41" si="29">L40</f>
        <v>0.2</v>
      </c>
      <c r="M41" s="49">
        <v>60</v>
      </c>
      <c r="N41" s="54">
        <f>I41</f>
        <v>160</v>
      </c>
      <c r="O41" s="44">
        <f t="shared" si="26"/>
        <v>150</v>
      </c>
      <c r="P41" s="50">
        <f t="shared" si="26"/>
        <v>270</v>
      </c>
    </row>
    <row r="42" spans="1:16" x14ac:dyDescent="0.25">
      <c r="A42" s="41">
        <f t="shared" si="23"/>
        <v>890</v>
      </c>
      <c r="B42" s="42">
        <f t="shared" si="23"/>
        <v>32</v>
      </c>
      <c r="C42" s="41" t="s">
        <v>1454</v>
      </c>
      <c r="D42" s="43">
        <f t="shared" si="0"/>
        <v>9.8000000000000007</v>
      </c>
      <c r="E42" s="44">
        <f t="shared" si="24"/>
        <v>15</v>
      </c>
      <c r="F42" s="44">
        <f t="shared" si="24"/>
        <v>73.469387755102034</v>
      </c>
      <c r="G42" s="42" t="str">
        <f t="shared" si="24"/>
        <v>Half</v>
      </c>
      <c r="H42" s="50">
        <f>H41</f>
        <v>10</v>
      </c>
      <c r="I42" s="49">
        <f t="shared" si="25"/>
        <v>160</v>
      </c>
      <c r="J42" s="44">
        <f t="shared" si="25"/>
        <v>8</v>
      </c>
      <c r="K42" s="44">
        <f t="shared" si="25"/>
        <v>8</v>
      </c>
      <c r="L42" s="45">
        <f t="shared" ref="L42" si="30">L41</f>
        <v>0.2</v>
      </c>
      <c r="M42" s="49">
        <v>60</v>
      </c>
      <c r="N42" s="54">
        <f>I42+5</f>
        <v>165</v>
      </c>
      <c r="O42" s="44">
        <f t="shared" si="26"/>
        <v>150</v>
      </c>
      <c r="P42" s="50">
        <f t="shared" si="26"/>
        <v>270</v>
      </c>
    </row>
    <row r="43" spans="1:16" x14ac:dyDescent="0.25">
      <c r="A43" s="41">
        <f t="shared" si="23"/>
        <v>891</v>
      </c>
      <c r="B43" s="42">
        <f t="shared" si="23"/>
        <v>33</v>
      </c>
      <c r="C43" s="41" t="s">
        <v>1455</v>
      </c>
      <c r="D43" s="43">
        <f t="shared" ref="D43:D74" si="31">v_r</f>
        <v>9.8000000000000007</v>
      </c>
      <c r="E43" s="44">
        <f t="shared" si="24"/>
        <v>15</v>
      </c>
      <c r="F43" s="44">
        <f t="shared" si="24"/>
        <v>73.469387755102034</v>
      </c>
      <c r="G43" s="42" t="s">
        <v>12</v>
      </c>
      <c r="H43" s="50">
        <v>10</v>
      </c>
      <c r="I43" s="49">
        <f t="shared" si="25"/>
        <v>160</v>
      </c>
      <c r="J43" s="44">
        <f t="shared" si="25"/>
        <v>8</v>
      </c>
      <c r="K43" s="44">
        <f t="shared" si="25"/>
        <v>8</v>
      </c>
      <c r="L43" s="45">
        <f t="shared" ref="L43" si="32">L42</f>
        <v>0.2</v>
      </c>
      <c r="M43" s="49">
        <v>60</v>
      </c>
      <c r="N43" s="54">
        <f>I43+10</f>
        <v>170</v>
      </c>
      <c r="O43" s="44">
        <f t="shared" si="26"/>
        <v>150</v>
      </c>
      <c r="P43" s="50">
        <f t="shared" si="26"/>
        <v>270</v>
      </c>
    </row>
    <row r="44" spans="1:16" x14ac:dyDescent="0.25">
      <c r="A44" s="41">
        <f t="shared" ref="A44:B59" si="33">A43+1</f>
        <v>892</v>
      </c>
      <c r="B44" s="42">
        <f t="shared" si="33"/>
        <v>34</v>
      </c>
      <c r="C44" s="41" t="s">
        <v>1456</v>
      </c>
      <c r="D44" s="43">
        <f t="shared" si="31"/>
        <v>9.8000000000000007</v>
      </c>
      <c r="E44" s="44">
        <f t="shared" ref="E44:H46" si="34">E43</f>
        <v>15</v>
      </c>
      <c r="F44" s="44">
        <f t="shared" si="34"/>
        <v>73.469387755102034</v>
      </c>
      <c r="G44" s="42" t="str">
        <f>G43</f>
        <v>Half</v>
      </c>
      <c r="H44" s="50">
        <f>H43</f>
        <v>10</v>
      </c>
      <c r="I44" s="49">
        <f t="shared" ref="I44:L46" si="35">I43</f>
        <v>160</v>
      </c>
      <c r="J44" s="44">
        <f t="shared" si="35"/>
        <v>8</v>
      </c>
      <c r="K44" s="44">
        <f t="shared" si="35"/>
        <v>8</v>
      </c>
      <c r="L44" s="45">
        <f t="shared" si="35"/>
        <v>0.2</v>
      </c>
      <c r="M44" s="49">
        <v>90</v>
      </c>
      <c r="N44" s="54">
        <f>I44</f>
        <v>160</v>
      </c>
      <c r="O44" s="44">
        <f t="shared" si="26"/>
        <v>150</v>
      </c>
      <c r="P44" s="50">
        <f t="shared" si="26"/>
        <v>270</v>
      </c>
    </row>
    <row r="45" spans="1:16" x14ac:dyDescent="0.25">
      <c r="A45" s="41">
        <f t="shared" si="33"/>
        <v>893</v>
      </c>
      <c r="B45" s="42">
        <f t="shared" si="33"/>
        <v>35</v>
      </c>
      <c r="C45" s="41" t="s">
        <v>1457</v>
      </c>
      <c r="D45" s="43">
        <f t="shared" si="31"/>
        <v>9.8000000000000007</v>
      </c>
      <c r="E45" s="44">
        <f t="shared" si="34"/>
        <v>15</v>
      </c>
      <c r="F45" s="44">
        <f t="shared" si="34"/>
        <v>73.469387755102034</v>
      </c>
      <c r="G45" s="42" t="str">
        <f t="shared" si="34"/>
        <v>Half</v>
      </c>
      <c r="H45" s="50">
        <f t="shared" si="34"/>
        <v>10</v>
      </c>
      <c r="I45" s="49">
        <f t="shared" si="35"/>
        <v>160</v>
      </c>
      <c r="J45" s="44">
        <f t="shared" si="35"/>
        <v>8</v>
      </c>
      <c r="K45" s="44">
        <f t="shared" si="35"/>
        <v>8</v>
      </c>
      <c r="L45" s="45">
        <f t="shared" si="35"/>
        <v>0.2</v>
      </c>
      <c r="M45" s="49">
        <v>90</v>
      </c>
      <c r="N45" s="54">
        <f>I45+5</f>
        <v>165</v>
      </c>
      <c r="O45" s="44">
        <f t="shared" ref="O45:P46" si="36">O44</f>
        <v>150</v>
      </c>
      <c r="P45" s="50">
        <f t="shared" si="36"/>
        <v>270</v>
      </c>
    </row>
    <row r="46" spans="1:16" x14ac:dyDescent="0.25">
      <c r="A46" s="41">
        <f t="shared" si="33"/>
        <v>894</v>
      </c>
      <c r="B46" s="42">
        <f t="shared" si="33"/>
        <v>36</v>
      </c>
      <c r="C46" s="41" t="s">
        <v>1458</v>
      </c>
      <c r="D46" s="43">
        <f t="shared" si="31"/>
        <v>9.8000000000000007</v>
      </c>
      <c r="E46" s="44">
        <f t="shared" si="34"/>
        <v>15</v>
      </c>
      <c r="F46" s="44">
        <f t="shared" si="34"/>
        <v>73.469387755102034</v>
      </c>
      <c r="G46" s="42" t="str">
        <f t="shared" si="34"/>
        <v>Half</v>
      </c>
      <c r="H46" s="50">
        <f t="shared" si="34"/>
        <v>10</v>
      </c>
      <c r="I46" s="49">
        <f t="shared" si="35"/>
        <v>160</v>
      </c>
      <c r="J46" s="44">
        <f t="shared" si="35"/>
        <v>8</v>
      </c>
      <c r="K46" s="44">
        <f t="shared" si="35"/>
        <v>8</v>
      </c>
      <c r="L46" s="45">
        <f t="shared" si="35"/>
        <v>0.2</v>
      </c>
      <c r="M46" s="49">
        <v>90</v>
      </c>
      <c r="N46" s="54">
        <f>I46+10</f>
        <v>170</v>
      </c>
      <c r="O46" s="44">
        <f t="shared" si="36"/>
        <v>150</v>
      </c>
      <c r="P46" s="50">
        <f t="shared" si="36"/>
        <v>270</v>
      </c>
    </row>
    <row r="47" spans="1:16" x14ac:dyDescent="0.25">
      <c r="A47" s="41">
        <f t="shared" si="33"/>
        <v>895</v>
      </c>
      <c r="B47" s="42">
        <f t="shared" si="33"/>
        <v>37</v>
      </c>
      <c r="C47" s="41" t="s">
        <v>1459</v>
      </c>
      <c r="D47" s="43">
        <f t="shared" si="31"/>
        <v>9.8000000000000007</v>
      </c>
      <c r="E47" s="44">
        <f t="shared" ref="E47" si="37">E46</f>
        <v>15</v>
      </c>
      <c r="F47" s="44">
        <f>-720/D47</f>
        <v>-73.469387755102034</v>
      </c>
      <c r="G47" s="42" t="str">
        <f t="shared" ref="G47:J47" si="38">G46</f>
        <v>Half</v>
      </c>
      <c r="H47" s="50">
        <f t="shared" si="38"/>
        <v>10</v>
      </c>
      <c r="I47" s="49">
        <f t="shared" si="38"/>
        <v>160</v>
      </c>
      <c r="J47" s="44">
        <f t="shared" si="38"/>
        <v>8</v>
      </c>
      <c r="K47" s="44">
        <f>yaw_min</f>
        <v>-8</v>
      </c>
      <c r="L47" s="45">
        <f t="shared" ref="L47" si="39">L46</f>
        <v>0.2</v>
      </c>
      <c r="M47" s="49">
        <v>0</v>
      </c>
      <c r="N47" s="54">
        <f>I47</f>
        <v>160</v>
      </c>
      <c r="O47" s="44">
        <f t="shared" ref="O47:P47" si="40">O46</f>
        <v>150</v>
      </c>
      <c r="P47" s="50">
        <f t="shared" si="40"/>
        <v>270</v>
      </c>
    </row>
    <row r="48" spans="1:16" x14ac:dyDescent="0.25">
      <c r="A48" s="41">
        <f>A47+1</f>
        <v>896</v>
      </c>
      <c r="B48" s="42">
        <f>B47+1</f>
        <v>38</v>
      </c>
      <c r="C48" s="41" t="s">
        <v>1460</v>
      </c>
      <c r="D48" s="43">
        <f t="shared" si="31"/>
        <v>9.8000000000000007</v>
      </c>
      <c r="E48" s="44">
        <f t="shared" ref="E48" si="41">E47</f>
        <v>15</v>
      </c>
      <c r="F48" s="44">
        <f t="shared" ref="F48:L48" si="42">F47</f>
        <v>-73.469387755102034</v>
      </c>
      <c r="G48" s="42" t="str">
        <f t="shared" si="42"/>
        <v>Half</v>
      </c>
      <c r="H48" s="50">
        <f t="shared" si="42"/>
        <v>10</v>
      </c>
      <c r="I48" s="49">
        <f t="shared" si="42"/>
        <v>160</v>
      </c>
      <c r="J48" s="44">
        <f t="shared" si="42"/>
        <v>8</v>
      </c>
      <c r="K48" s="44">
        <f t="shared" si="42"/>
        <v>-8</v>
      </c>
      <c r="L48" s="45">
        <f t="shared" si="42"/>
        <v>0.2</v>
      </c>
      <c r="M48" s="49">
        <v>0</v>
      </c>
      <c r="N48" s="54">
        <f>I48+5</f>
        <v>165</v>
      </c>
      <c r="O48" s="44">
        <f t="shared" ref="O48:P48" si="43">O47</f>
        <v>150</v>
      </c>
      <c r="P48" s="50">
        <f t="shared" si="43"/>
        <v>270</v>
      </c>
    </row>
    <row r="49" spans="1:16" x14ac:dyDescent="0.25">
      <c r="A49" s="41">
        <f t="shared" si="33"/>
        <v>897</v>
      </c>
      <c r="B49" s="42">
        <f t="shared" si="33"/>
        <v>39</v>
      </c>
      <c r="C49" s="41" t="s">
        <v>1461</v>
      </c>
      <c r="D49" s="43">
        <f t="shared" si="31"/>
        <v>9.8000000000000007</v>
      </c>
      <c r="E49" s="44">
        <f t="shared" ref="E49" si="44">E48</f>
        <v>15</v>
      </c>
      <c r="F49" s="44">
        <f>F48</f>
        <v>-73.469387755102034</v>
      </c>
      <c r="G49" s="42" t="str">
        <f t="shared" ref="G49:L49" si="45">G48</f>
        <v>Half</v>
      </c>
      <c r="H49" s="50">
        <f t="shared" si="45"/>
        <v>10</v>
      </c>
      <c r="I49" s="49">
        <f t="shared" si="45"/>
        <v>160</v>
      </c>
      <c r="J49" s="44">
        <f t="shared" si="45"/>
        <v>8</v>
      </c>
      <c r="K49" s="44">
        <f t="shared" si="45"/>
        <v>-8</v>
      </c>
      <c r="L49" s="45">
        <f t="shared" si="45"/>
        <v>0.2</v>
      </c>
      <c r="M49" s="49">
        <v>0</v>
      </c>
      <c r="N49" s="54">
        <f>I49+10</f>
        <v>170</v>
      </c>
      <c r="O49" s="44">
        <f t="shared" ref="O49:P49" si="46">O48</f>
        <v>150</v>
      </c>
      <c r="P49" s="50">
        <f t="shared" si="46"/>
        <v>270</v>
      </c>
    </row>
    <row r="50" spans="1:16" x14ac:dyDescent="0.25">
      <c r="A50" s="41">
        <f t="shared" si="33"/>
        <v>898</v>
      </c>
      <c r="B50" s="42">
        <f t="shared" si="33"/>
        <v>40</v>
      </c>
      <c r="C50" s="41" t="s">
        <v>1462</v>
      </c>
      <c r="D50" s="43">
        <f t="shared" si="31"/>
        <v>9.8000000000000007</v>
      </c>
      <c r="E50" s="44">
        <f t="shared" ref="E50" si="47">E49</f>
        <v>15</v>
      </c>
      <c r="F50" s="44">
        <f>F49</f>
        <v>-73.469387755102034</v>
      </c>
      <c r="G50" s="42" t="str">
        <f t="shared" ref="G50:L58" si="48">G49</f>
        <v>Half</v>
      </c>
      <c r="H50" s="50">
        <f t="shared" si="48"/>
        <v>10</v>
      </c>
      <c r="I50" s="49">
        <f t="shared" si="48"/>
        <v>160</v>
      </c>
      <c r="J50" s="44">
        <f t="shared" si="48"/>
        <v>8</v>
      </c>
      <c r="K50" s="44">
        <f t="shared" si="48"/>
        <v>-8</v>
      </c>
      <c r="L50" s="45">
        <f t="shared" si="48"/>
        <v>0.2</v>
      </c>
      <c r="M50" s="49">
        <v>30</v>
      </c>
      <c r="N50" s="54">
        <f>I50</f>
        <v>160</v>
      </c>
      <c r="O50" s="44">
        <f t="shared" ref="O50:P50" si="49">O49</f>
        <v>150</v>
      </c>
      <c r="P50" s="50">
        <f t="shared" si="49"/>
        <v>270</v>
      </c>
    </row>
    <row r="51" spans="1:16" x14ac:dyDescent="0.25">
      <c r="A51" s="41">
        <f t="shared" si="33"/>
        <v>899</v>
      </c>
      <c r="B51" s="42">
        <f t="shared" si="33"/>
        <v>41</v>
      </c>
      <c r="C51" s="41" t="s">
        <v>1463</v>
      </c>
      <c r="D51" s="43">
        <f t="shared" si="31"/>
        <v>9.8000000000000007</v>
      </c>
      <c r="E51" s="44">
        <f t="shared" ref="E51:J51" si="50">E50</f>
        <v>15</v>
      </c>
      <c r="F51" s="44">
        <f t="shared" si="50"/>
        <v>-73.469387755102034</v>
      </c>
      <c r="G51" s="42" t="str">
        <f t="shared" si="50"/>
        <v>Half</v>
      </c>
      <c r="H51" s="50">
        <f t="shared" si="50"/>
        <v>10</v>
      </c>
      <c r="I51" s="49">
        <f t="shared" si="50"/>
        <v>160</v>
      </c>
      <c r="J51" s="44">
        <f t="shared" si="50"/>
        <v>8</v>
      </c>
      <c r="K51" s="44">
        <f t="shared" si="48"/>
        <v>-8</v>
      </c>
      <c r="L51" s="45">
        <f t="shared" si="48"/>
        <v>0.2</v>
      </c>
      <c r="M51" s="49">
        <v>30</v>
      </c>
      <c r="N51" s="54">
        <f>I51+5</f>
        <v>165</v>
      </c>
      <c r="O51" s="44">
        <f t="shared" ref="O51:P51" si="51">O50</f>
        <v>150</v>
      </c>
      <c r="P51" s="50">
        <f t="shared" si="51"/>
        <v>270</v>
      </c>
    </row>
    <row r="52" spans="1:16" x14ac:dyDescent="0.25">
      <c r="A52" s="41">
        <f t="shared" si="33"/>
        <v>900</v>
      </c>
      <c r="B52" s="42">
        <f t="shared" si="33"/>
        <v>42</v>
      </c>
      <c r="C52" s="41" t="s">
        <v>1464</v>
      </c>
      <c r="D52" s="43">
        <f t="shared" si="31"/>
        <v>9.8000000000000007</v>
      </c>
      <c r="E52" s="44">
        <f t="shared" ref="E52:J52" si="52">E51</f>
        <v>15</v>
      </c>
      <c r="F52" s="44">
        <f t="shared" si="52"/>
        <v>-73.469387755102034</v>
      </c>
      <c r="G52" s="42" t="str">
        <f t="shared" si="52"/>
        <v>Half</v>
      </c>
      <c r="H52" s="50">
        <f t="shared" si="52"/>
        <v>10</v>
      </c>
      <c r="I52" s="49">
        <f t="shared" si="52"/>
        <v>160</v>
      </c>
      <c r="J52" s="44">
        <f t="shared" si="52"/>
        <v>8</v>
      </c>
      <c r="K52" s="44">
        <f t="shared" si="48"/>
        <v>-8</v>
      </c>
      <c r="L52" s="45">
        <f t="shared" si="48"/>
        <v>0.2</v>
      </c>
      <c r="M52" s="49">
        <v>30</v>
      </c>
      <c r="N52" s="54">
        <f>I52+10</f>
        <v>170</v>
      </c>
      <c r="O52" s="44">
        <f t="shared" ref="O52:P52" si="53">O51</f>
        <v>150</v>
      </c>
      <c r="P52" s="50">
        <f t="shared" si="53"/>
        <v>270</v>
      </c>
    </row>
    <row r="53" spans="1:16" x14ac:dyDescent="0.25">
      <c r="A53" s="41">
        <f t="shared" si="33"/>
        <v>901</v>
      </c>
      <c r="B53" s="42">
        <f t="shared" si="33"/>
        <v>43</v>
      </c>
      <c r="C53" s="41" t="s">
        <v>1465</v>
      </c>
      <c r="D53" s="43">
        <f t="shared" si="31"/>
        <v>9.8000000000000007</v>
      </c>
      <c r="E53" s="44">
        <f t="shared" ref="E53:J53" si="54">E52</f>
        <v>15</v>
      </c>
      <c r="F53" s="44">
        <f t="shared" si="54"/>
        <v>-73.469387755102034</v>
      </c>
      <c r="G53" s="42" t="str">
        <f t="shared" si="54"/>
        <v>Half</v>
      </c>
      <c r="H53" s="50">
        <f t="shared" si="54"/>
        <v>10</v>
      </c>
      <c r="I53" s="49">
        <f t="shared" si="54"/>
        <v>160</v>
      </c>
      <c r="J53" s="44">
        <f t="shared" si="54"/>
        <v>8</v>
      </c>
      <c r="K53" s="44">
        <f t="shared" si="48"/>
        <v>-8</v>
      </c>
      <c r="L53" s="45">
        <f t="shared" si="48"/>
        <v>0.2</v>
      </c>
      <c r="M53" s="49">
        <v>60</v>
      </c>
      <c r="N53" s="54">
        <f>I53</f>
        <v>160</v>
      </c>
      <c r="O53" s="44">
        <f t="shared" ref="O53:P53" si="55">O52</f>
        <v>150</v>
      </c>
      <c r="P53" s="50">
        <f t="shared" si="55"/>
        <v>270</v>
      </c>
    </row>
    <row r="54" spans="1:16" x14ac:dyDescent="0.25">
      <c r="A54" s="41">
        <f t="shared" si="33"/>
        <v>902</v>
      </c>
      <c r="B54" s="42">
        <f t="shared" si="33"/>
        <v>44</v>
      </c>
      <c r="C54" s="41" t="s">
        <v>1466</v>
      </c>
      <c r="D54" s="43">
        <f t="shared" si="31"/>
        <v>9.8000000000000007</v>
      </c>
      <c r="E54" s="44">
        <f t="shared" ref="E54" si="56">E53</f>
        <v>15</v>
      </c>
      <c r="F54" s="44">
        <f>F53</f>
        <v>-73.469387755102034</v>
      </c>
      <c r="G54" s="42" t="str">
        <f t="shared" ref="G54:J54" si="57">G53</f>
        <v>Half</v>
      </c>
      <c r="H54" s="50">
        <f t="shared" si="57"/>
        <v>10</v>
      </c>
      <c r="I54" s="49">
        <f t="shared" si="57"/>
        <v>160</v>
      </c>
      <c r="J54" s="44">
        <f t="shared" si="57"/>
        <v>8</v>
      </c>
      <c r="K54" s="44">
        <f t="shared" si="48"/>
        <v>-8</v>
      </c>
      <c r="L54" s="45">
        <f t="shared" si="48"/>
        <v>0.2</v>
      </c>
      <c r="M54" s="49">
        <v>60</v>
      </c>
      <c r="N54" s="54">
        <f>I54+5</f>
        <v>165</v>
      </c>
      <c r="O54" s="44">
        <f t="shared" ref="O54:P54" si="58">O53</f>
        <v>150</v>
      </c>
      <c r="P54" s="50">
        <f t="shared" si="58"/>
        <v>270</v>
      </c>
    </row>
    <row r="55" spans="1:16" x14ac:dyDescent="0.25">
      <c r="A55" s="41">
        <f t="shared" si="33"/>
        <v>903</v>
      </c>
      <c r="B55" s="42">
        <f t="shared" si="33"/>
        <v>45</v>
      </c>
      <c r="C55" s="41" t="s">
        <v>1467</v>
      </c>
      <c r="D55" s="43">
        <f t="shared" si="31"/>
        <v>9.8000000000000007</v>
      </c>
      <c r="E55" s="44">
        <f t="shared" ref="E55:J55" si="59">E54</f>
        <v>15</v>
      </c>
      <c r="F55" s="44">
        <f t="shared" si="59"/>
        <v>-73.469387755102034</v>
      </c>
      <c r="G55" s="42" t="str">
        <f t="shared" si="59"/>
        <v>Half</v>
      </c>
      <c r="H55" s="50">
        <f t="shared" si="59"/>
        <v>10</v>
      </c>
      <c r="I55" s="49">
        <f t="shared" si="59"/>
        <v>160</v>
      </c>
      <c r="J55" s="44">
        <f t="shared" si="59"/>
        <v>8</v>
      </c>
      <c r="K55" s="44">
        <f t="shared" si="48"/>
        <v>-8</v>
      </c>
      <c r="L55" s="45">
        <f t="shared" si="48"/>
        <v>0.2</v>
      </c>
      <c r="M55" s="49">
        <v>60</v>
      </c>
      <c r="N55" s="54">
        <f>I55+10</f>
        <v>170</v>
      </c>
      <c r="O55" s="44">
        <f t="shared" ref="O55:P55" si="60">O54</f>
        <v>150</v>
      </c>
      <c r="P55" s="50">
        <f t="shared" si="60"/>
        <v>270</v>
      </c>
    </row>
    <row r="56" spans="1:16" x14ac:dyDescent="0.25">
      <c r="A56" s="41">
        <f t="shared" si="33"/>
        <v>904</v>
      </c>
      <c r="B56" s="42">
        <f t="shared" si="33"/>
        <v>46</v>
      </c>
      <c r="C56" s="41" t="s">
        <v>1468</v>
      </c>
      <c r="D56" s="43">
        <f t="shared" si="31"/>
        <v>9.8000000000000007</v>
      </c>
      <c r="E56" s="44">
        <f t="shared" ref="E56:L70" si="61">E55</f>
        <v>15</v>
      </c>
      <c r="F56" s="44">
        <f t="shared" si="61"/>
        <v>-73.469387755102034</v>
      </c>
      <c r="G56" s="42" t="str">
        <f>G55</f>
        <v>Half</v>
      </c>
      <c r="H56" s="50">
        <f t="shared" ref="H56:J56" si="62">H55</f>
        <v>10</v>
      </c>
      <c r="I56" s="49">
        <f t="shared" si="62"/>
        <v>160</v>
      </c>
      <c r="J56" s="44">
        <f t="shared" si="62"/>
        <v>8</v>
      </c>
      <c r="K56" s="44">
        <f t="shared" si="48"/>
        <v>-8</v>
      </c>
      <c r="L56" s="45">
        <f t="shared" si="48"/>
        <v>0.2</v>
      </c>
      <c r="M56" s="49">
        <v>90</v>
      </c>
      <c r="N56" s="54">
        <f>I56</f>
        <v>160</v>
      </c>
      <c r="O56" s="44">
        <f t="shared" ref="O56:P56" si="63">O55</f>
        <v>150</v>
      </c>
      <c r="P56" s="50">
        <f t="shared" si="63"/>
        <v>270</v>
      </c>
    </row>
    <row r="57" spans="1:16" x14ac:dyDescent="0.25">
      <c r="A57" s="41">
        <f t="shared" si="33"/>
        <v>905</v>
      </c>
      <c r="B57" s="42">
        <f t="shared" si="33"/>
        <v>47</v>
      </c>
      <c r="C57" s="41" t="s">
        <v>1469</v>
      </c>
      <c r="D57" s="43">
        <f t="shared" si="31"/>
        <v>9.8000000000000007</v>
      </c>
      <c r="E57" s="44">
        <f t="shared" ref="E57" si="64">E56</f>
        <v>15</v>
      </c>
      <c r="F57" s="44">
        <f t="shared" si="61"/>
        <v>-73.469387755102034</v>
      </c>
      <c r="G57" s="42" t="str">
        <f>G56</f>
        <v>Half</v>
      </c>
      <c r="H57" s="50">
        <f t="shared" ref="H57:J57" si="65">H56</f>
        <v>10</v>
      </c>
      <c r="I57" s="49">
        <f t="shared" si="65"/>
        <v>160</v>
      </c>
      <c r="J57" s="44">
        <f t="shared" si="65"/>
        <v>8</v>
      </c>
      <c r="K57" s="44">
        <f t="shared" si="48"/>
        <v>-8</v>
      </c>
      <c r="L57" s="45">
        <f t="shared" si="48"/>
        <v>0.2</v>
      </c>
      <c r="M57" s="49">
        <v>90</v>
      </c>
      <c r="N57" s="54">
        <f>I57+5</f>
        <v>165</v>
      </c>
      <c r="O57" s="44">
        <f t="shared" ref="O57:P57" si="66">O56</f>
        <v>150</v>
      </c>
      <c r="P57" s="50">
        <f t="shared" si="66"/>
        <v>270</v>
      </c>
    </row>
    <row r="58" spans="1:16" x14ac:dyDescent="0.25">
      <c r="A58" s="41">
        <f t="shared" si="33"/>
        <v>906</v>
      </c>
      <c r="B58" s="42">
        <f t="shared" si="33"/>
        <v>48</v>
      </c>
      <c r="C58" s="127" t="s">
        <v>1470</v>
      </c>
      <c r="D58" s="43">
        <f t="shared" si="31"/>
        <v>9.8000000000000007</v>
      </c>
      <c r="E58" s="44">
        <f t="shared" ref="E58" si="67">E57</f>
        <v>15</v>
      </c>
      <c r="F58" s="44">
        <f t="shared" si="61"/>
        <v>-73.469387755102034</v>
      </c>
      <c r="G58" s="42" t="str">
        <f>G57</f>
        <v>Half</v>
      </c>
      <c r="H58" s="50">
        <f t="shared" ref="H58:J58" si="68">H57</f>
        <v>10</v>
      </c>
      <c r="I58" s="49">
        <f t="shared" si="68"/>
        <v>160</v>
      </c>
      <c r="J58" s="44">
        <f t="shared" si="68"/>
        <v>8</v>
      </c>
      <c r="K58" s="44">
        <f t="shared" si="48"/>
        <v>-8</v>
      </c>
      <c r="L58" s="45">
        <f t="shared" si="48"/>
        <v>0.2</v>
      </c>
      <c r="M58" s="49">
        <v>90</v>
      </c>
      <c r="N58" s="54">
        <f>I58+10</f>
        <v>170</v>
      </c>
      <c r="O58" s="44">
        <f t="shared" ref="O58:P58" si="69">O57</f>
        <v>150</v>
      </c>
      <c r="P58" s="50">
        <f t="shared" si="69"/>
        <v>270</v>
      </c>
    </row>
    <row r="59" spans="1:16" x14ac:dyDescent="0.25">
      <c r="A59" s="41">
        <f t="shared" si="33"/>
        <v>907</v>
      </c>
      <c r="B59" s="42">
        <f t="shared" si="33"/>
        <v>49</v>
      </c>
      <c r="C59" s="41" t="s">
        <v>1471</v>
      </c>
      <c r="D59" s="43">
        <f t="shared" si="31"/>
        <v>9.8000000000000007</v>
      </c>
      <c r="E59" s="44">
        <f t="shared" ref="E59" si="70">E58</f>
        <v>15</v>
      </c>
      <c r="F59" s="44">
        <f t="shared" si="61"/>
        <v>-73.469387755102034</v>
      </c>
      <c r="G59" s="42" t="str">
        <f t="shared" si="61"/>
        <v>Half</v>
      </c>
      <c r="H59" s="50">
        <f>H58</f>
        <v>10</v>
      </c>
      <c r="I59" s="49">
        <f t="shared" ref="I59:J59" si="71">I58</f>
        <v>160</v>
      </c>
      <c r="J59" s="44">
        <f t="shared" si="71"/>
        <v>8</v>
      </c>
      <c r="K59" s="44">
        <f>yaw_null</f>
        <v>0</v>
      </c>
      <c r="L59" s="45">
        <f t="shared" ref="L59" si="72">L58</f>
        <v>0.2</v>
      </c>
      <c r="M59" s="49">
        <v>0</v>
      </c>
      <c r="N59" s="54">
        <f>I59</f>
        <v>160</v>
      </c>
      <c r="O59" s="44">
        <f t="shared" ref="O59:P59" si="73">O58</f>
        <v>150</v>
      </c>
      <c r="P59" s="50">
        <f t="shared" si="73"/>
        <v>270</v>
      </c>
    </row>
    <row r="60" spans="1:16" x14ac:dyDescent="0.25">
      <c r="A60" s="41">
        <f t="shared" ref="A60:B75" si="74">A59+1</f>
        <v>908</v>
      </c>
      <c r="B60" s="42">
        <f t="shared" si="74"/>
        <v>50</v>
      </c>
      <c r="C60" s="41" t="s">
        <v>1472</v>
      </c>
      <c r="D60" s="43">
        <f t="shared" si="31"/>
        <v>9.8000000000000007</v>
      </c>
      <c r="E60" s="44">
        <f t="shared" ref="E60" si="75">E59</f>
        <v>15</v>
      </c>
      <c r="F60" s="44">
        <f t="shared" si="61"/>
        <v>-73.469387755102034</v>
      </c>
      <c r="G60" s="42" t="str">
        <f t="shared" si="61"/>
        <v>Half</v>
      </c>
      <c r="H60" s="50">
        <f t="shared" si="61"/>
        <v>10</v>
      </c>
      <c r="I60" s="49">
        <f t="shared" si="61"/>
        <v>160</v>
      </c>
      <c r="J60" s="44">
        <f t="shared" si="61"/>
        <v>8</v>
      </c>
      <c r="K60" s="44">
        <f t="shared" si="61"/>
        <v>0</v>
      </c>
      <c r="L60" s="45">
        <f t="shared" si="61"/>
        <v>0.2</v>
      </c>
      <c r="M60" s="49">
        <v>0</v>
      </c>
      <c r="N60" s="54">
        <f>I60+5</f>
        <v>165</v>
      </c>
      <c r="O60" s="44">
        <f t="shared" ref="O60:P60" si="76">O59</f>
        <v>150</v>
      </c>
      <c r="P60" s="50">
        <f t="shared" si="76"/>
        <v>270</v>
      </c>
    </row>
    <row r="61" spans="1:16" x14ac:dyDescent="0.25">
      <c r="A61" s="41">
        <f t="shared" si="74"/>
        <v>909</v>
      </c>
      <c r="B61" s="42">
        <f t="shared" si="74"/>
        <v>51</v>
      </c>
      <c r="C61" s="41" t="s">
        <v>1473</v>
      </c>
      <c r="D61" s="43">
        <f t="shared" si="31"/>
        <v>9.8000000000000007</v>
      </c>
      <c r="E61" s="44">
        <f t="shared" ref="E61" si="77">E60</f>
        <v>15</v>
      </c>
      <c r="F61" s="44">
        <f t="shared" si="61"/>
        <v>-73.469387755102034</v>
      </c>
      <c r="G61" s="42" t="str">
        <f t="shared" si="61"/>
        <v>Half</v>
      </c>
      <c r="H61" s="50">
        <f t="shared" si="61"/>
        <v>10</v>
      </c>
      <c r="I61" s="49">
        <f t="shared" si="61"/>
        <v>160</v>
      </c>
      <c r="J61" s="44">
        <f t="shared" si="61"/>
        <v>8</v>
      </c>
      <c r="K61" s="44">
        <f t="shared" si="61"/>
        <v>0</v>
      </c>
      <c r="L61" s="45">
        <f t="shared" si="61"/>
        <v>0.2</v>
      </c>
      <c r="M61" s="49">
        <v>0</v>
      </c>
      <c r="N61" s="54">
        <f>I61+10</f>
        <v>170</v>
      </c>
      <c r="O61" s="44">
        <f t="shared" ref="O61:P61" si="78">O60</f>
        <v>150</v>
      </c>
      <c r="P61" s="50">
        <f t="shared" si="78"/>
        <v>270</v>
      </c>
    </row>
    <row r="62" spans="1:16" x14ac:dyDescent="0.25">
      <c r="A62" s="41">
        <f t="shared" si="74"/>
        <v>910</v>
      </c>
      <c r="B62" s="42">
        <f t="shared" si="74"/>
        <v>52</v>
      </c>
      <c r="C62" s="41" t="s">
        <v>1474</v>
      </c>
      <c r="D62" s="43">
        <f t="shared" si="31"/>
        <v>9.8000000000000007</v>
      </c>
      <c r="E62" s="44">
        <f t="shared" ref="E62" si="79">E61</f>
        <v>15</v>
      </c>
      <c r="F62" s="44">
        <f t="shared" si="61"/>
        <v>-73.469387755102034</v>
      </c>
      <c r="G62" s="42" t="str">
        <f t="shared" si="61"/>
        <v>Half</v>
      </c>
      <c r="H62" s="50">
        <f t="shared" si="61"/>
        <v>10</v>
      </c>
      <c r="I62" s="49">
        <f t="shared" si="61"/>
        <v>160</v>
      </c>
      <c r="J62" s="44">
        <f t="shared" si="61"/>
        <v>8</v>
      </c>
      <c r="K62" s="44">
        <f t="shared" si="61"/>
        <v>0</v>
      </c>
      <c r="L62" s="45">
        <f t="shared" si="61"/>
        <v>0.2</v>
      </c>
      <c r="M62" s="49">
        <v>30</v>
      </c>
      <c r="N62" s="54">
        <f>I62</f>
        <v>160</v>
      </c>
      <c r="O62" s="44">
        <f t="shared" ref="O62:P62" si="80">O61</f>
        <v>150</v>
      </c>
      <c r="P62" s="50">
        <f t="shared" si="80"/>
        <v>270</v>
      </c>
    </row>
    <row r="63" spans="1:16" x14ac:dyDescent="0.25">
      <c r="A63" s="41">
        <f t="shared" si="74"/>
        <v>911</v>
      </c>
      <c r="B63" s="42">
        <f t="shared" si="74"/>
        <v>53</v>
      </c>
      <c r="C63" s="41" t="s">
        <v>1475</v>
      </c>
      <c r="D63" s="43">
        <f t="shared" si="31"/>
        <v>9.8000000000000007</v>
      </c>
      <c r="E63" s="44">
        <f t="shared" ref="E63" si="81">E62</f>
        <v>15</v>
      </c>
      <c r="F63" s="44">
        <f t="shared" si="61"/>
        <v>-73.469387755102034</v>
      </c>
      <c r="G63" s="42" t="s">
        <v>12</v>
      </c>
      <c r="H63" s="50">
        <v>10</v>
      </c>
      <c r="I63" s="49">
        <f t="shared" ref="I63:J63" si="82">I62</f>
        <v>160</v>
      </c>
      <c r="J63" s="44">
        <f t="shared" si="82"/>
        <v>8</v>
      </c>
      <c r="K63" s="44">
        <f t="shared" si="61"/>
        <v>0</v>
      </c>
      <c r="L63" s="45">
        <f t="shared" si="61"/>
        <v>0.2</v>
      </c>
      <c r="M63" s="49">
        <v>30</v>
      </c>
      <c r="N63" s="54">
        <f>I63+5</f>
        <v>165</v>
      </c>
      <c r="O63" s="44">
        <f t="shared" ref="O63:P63" si="83">O62</f>
        <v>150</v>
      </c>
      <c r="P63" s="50">
        <f t="shared" si="83"/>
        <v>270</v>
      </c>
    </row>
    <row r="64" spans="1:16" x14ac:dyDescent="0.25">
      <c r="A64" s="41">
        <f t="shared" si="74"/>
        <v>912</v>
      </c>
      <c r="B64" s="42">
        <f t="shared" si="74"/>
        <v>54</v>
      </c>
      <c r="C64" s="41" t="s">
        <v>1476</v>
      </c>
      <c r="D64" s="43">
        <f t="shared" si="31"/>
        <v>9.8000000000000007</v>
      </c>
      <c r="E64" s="44">
        <f t="shared" ref="E64:F64" si="84">E63</f>
        <v>15</v>
      </c>
      <c r="F64" s="44">
        <f t="shared" si="84"/>
        <v>-73.469387755102034</v>
      </c>
      <c r="G64" s="42" t="str">
        <f>G63</f>
        <v>Half</v>
      </c>
      <c r="H64" s="50">
        <f>H63</f>
        <v>10</v>
      </c>
      <c r="I64" s="49">
        <f t="shared" ref="I64:J64" si="85">I63</f>
        <v>160</v>
      </c>
      <c r="J64" s="44">
        <f t="shared" si="85"/>
        <v>8</v>
      </c>
      <c r="K64" s="44">
        <f t="shared" si="61"/>
        <v>0</v>
      </c>
      <c r="L64" s="45">
        <f t="shared" si="61"/>
        <v>0.2</v>
      </c>
      <c r="M64" s="49">
        <v>30</v>
      </c>
      <c r="N64" s="54">
        <f>I64+10</f>
        <v>170</v>
      </c>
      <c r="O64" s="44">
        <f t="shared" ref="O64:P64" si="86">O63</f>
        <v>150</v>
      </c>
      <c r="P64" s="50">
        <f t="shared" si="86"/>
        <v>270</v>
      </c>
    </row>
    <row r="65" spans="1:16" x14ac:dyDescent="0.25">
      <c r="A65" s="41">
        <f t="shared" si="74"/>
        <v>913</v>
      </c>
      <c r="B65" s="42">
        <f t="shared" si="74"/>
        <v>55</v>
      </c>
      <c r="C65" s="41" t="s">
        <v>1477</v>
      </c>
      <c r="D65" s="43">
        <f t="shared" si="31"/>
        <v>9.8000000000000007</v>
      </c>
      <c r="E65" s="44">
        <f t="shared" ref="E65:J65" si="87">E64</f>
        <v>15</v>
      </c>
      <c r="F65" s="44">
        <f t="shared" si="87"/>
        <v>-73.469387755102034</v>
      </c>
      <c r="G65" s="42" t="str">
        <f t="shared" si="87"/>
        <v>Half</v>
      </c>
      <c r="H65" s="50">
        <f t="shared" si="87"/>
        <v>10</v>
      </c>
      <c r="I65" s="49">
        <f t="shared" si="87"/>
        <v>160</v>
      </c>
      <c r="J65" s="44">
        <f t="shared" si="87"/>
        <v>8</v>
      </c>
      <c r="K65" s="44">
        <f t="shared" si="61"/>
        <v>0</v>
      </c>
      <c r="L65" s="45">
        <f t="shared" si="61"/>
        <v>0.2</v>
      </c>
      <c r="M65" s="49">
        <v>60</v>
      </c>
      <c r="N65" s="54">
        <f>I65</f>
        <v>160</v>
      </c>
      <c r="O65" s="44">
        <f t="shared" ref="O65:P65" si="88">O64</f>
        <v>150</v>
      </c>
      <c r="P65" s="50">
        <f t="shared" si="88"/>
        <v>270</v>
      </c>
    </row>
    <row r="66" spans="1:16" x14ac:dyDescent="0.25">
      <c r="A66" s="41">
        <f t="shared" si="74"/>
        <v>914</v>
      </c>
      <c r="B66" s="42">
        <f t="shared" si="74"/>
        <v>56</v>
      </c>
      <c r="C66" s="41" t="s">
        <v>1478</v>
      </c>
      <c r="D66" s="43">
        <f t="shared" si="31"/>
        <v>9.8000000000000007</v>
      </c>
      <c r="E66" s="44">
        <f t="shared" ref="E66:J66" si="89">E65</f>
        <v>15</v>
      </c>
      <c r="F66" s="44">
        <f t="shared" si="89"/>
        <v>-73.469387755102034</v>
      </c>
      <c r="G66" s="42" t="str">
        <f t="shared" si="89"/>
        <v>Half</v>
      </c>
      <c r="H66" s="50">
        <f t="shared" si="89"/>
        <v>10</v>
      </c>
      <c r="I66" s="49">
        <f t="shared" si="89"/>
        <v>160</v>
      </c>
      <c r="J66" s="44">
        <f t="shared" si="89"/>
        <v>8</v>
      </c>
      <c r="K66" s="44">
        <f t="shared" si="61"/>
        <v>0</v>
      </c>
      <c r="L66" s="45">
        <f t="shared" si="61"/>
        <v>0.2</v>
      </c>
      <c r="M66" s="49">
        <v>60</v>
      </c>
      <c r="N66" s="54">
        <f>I66+5</f>
        <v>165</v>
      </c>
      <c r="O66" s="44">
        <f t="shared" ref="O66:P66" si="90">O65</f>
        <v>150</v>
      </c>
      <c r="P66" s="50">
        <f t="shared" si="90"/>
        <v>270</v>
      </c>
    </row>
    <row r="67" spans="1:16" x14ac:dyDescent="0.25">
      <c r="A67" s="41">
        <f t="shared" si="74"/>
        <v>915</v>
      </c>
      <c r="B67" s="42">
        <f t="shared" si="74"/>
        <v>57</v>
      </c>
      <c r="C67" s="41" t="s">
        <v>1479</v>
      </c>
      <c r="D67" s="43">
        <f t="shared" si="31"/>
        <v>9.8000000000000007</v>
      </c>
      <c r="E67" s="44">
        <f t="shared" ref="E67:J67" si="91">E66</f>
        <v>15</v>
      </c>
      <c r="F67" s="44">
        <f t="shared" si="91"/>
        <v>-73.469387755102034</v>
      </c>
      <c r="G67" s="42" t="str">
        <f t="shared" si="91"/>
        <v>Half</v>
      </c>
      <c r="H67" s="50">
        <f t="shared" si="91"/>
        <v>10</v>
      </c>
      <c r="I67" s="49">
        <f t="shared" si="91"/>
        <v>160</v>
      </c>
      <c r="J67" s="44">
        <f t="shared" si="91"/>
        <v>8</v>
      </c>
      <c r="K67" s="44">
        <f t="shared" si="61"/>
        <v>0</v>
      </c>
      <c r="L67" s="45">
        <f t="shared" si="61"/>
        <v>0.2</v>
      </c>
      <c r="M67" s="49">
        <v>60</v>
      </c>
      <c r="N67" s="54">
        <f>I67+10</f>
        <v>170</v>
      </c>
      <c r="O67" s="44">
        <f t="shared" ref="O67:P67" si="92">O66</f>
        <v>150</v>
      </c>
      <c r="P67" s="50">
        <f t="shared" si="92"/>
        <v>270</v>
      </c>
    </row>
    <row r="68" spans="1:16" x14ac:dyDescent="0.25">
      <c r="A68" s="41">
        <f t="shared" si="74"/>
        <v>916</v>
      </c>
      <c r="B68" s="42">
        <f t="shared" si="74"/>
        <v>58</v>
      </c>
      <c r="C68" s="41" t="s">
        <v>1480</v>
      </c>
      <c r="D68" s="43">
        <f t="shared" si="31"/>
        <v>9.8000000000000007</v>
      </c>
      <c r="E68" s="44">
        <f t="shared" ref="E68:J68" si="93">E67</f>
        <v>15</v>
      </c>
      <c r="F68" s="44">
        <f t="shared" si="93"/>
        <v>-73.469387755102034</v>
      </c>
      <c r="G68" s="42" t="str">
        <f t="shared" si="93"/>
        <v>Half</v>
      </c>
      <c r="H68" s="50">
        <f t="shared" si="93"/>
        <v>10</v>
      </c>
      <c r="I68" s="49">
        <f t="shared" si="93"/>
        <v>160</v>
      </c>
      <c r="J68" s="44">
        <f t="shared" si="93"/>
        <v>8</v>
      </c>
      <c r="K68" s="44">
        <f t="shared" si="61"/>
        <v>0</v>
      </c>
      <c r="L68" s="45">
        <f t="shared" si="61"/>
        <v>0.2</v>
      </c>
      <c r="M68" s="49">
        <v>90</v>
      </c>
      <c r="N68" s="54">
        <f>I68</f>
        <v>160</v>
      </c>
      <c r="O68" s="44">
        <f t="shared" ref="O68:P68" si="94">O67</f>
        <v>150</v>
      </c>
      <c r="P68" s="50">
        <f t="shared" si="94"/>
        <v>270</v>
      </c>
    </row>
    <row r="69" spans="1:16" x14ac:dyDescent="0.25">
      <c r="A69" s="41">
        <f t="shared" si="74"/>
        <v>917</v>
      </c>
      <c r="B69" s="42">
        <f t="shared" si="74"/>
        <v>59</v>
      </c>
      <c r="C69" s="41" t="s">
        <v>1481</v>
      </c>
      <c r="D69" s="43">
        <f t="shared" si="31"/>
        <v>9.8000000000000007</v>
      </c>
      <c r="E69" s="44">
        <f t="shared" ref="E69:J69" si="95">E68</f>
        <v>15</v>
      </c>
      <c r="F69" s="44">
        <f t="shared" si="95"/>
        <v>-73.469387755102034</v>
      </c>
      <c r="G69" s="42" t="str">
        <f t="shared" si="95"/>
        <v>Half</v>
      </c>
      <c r="H69" s="50">
        <f t="shared" si="95"/>
        <v>10</v>
      </c>
      <c r="I69" s="49">
        <f t="shared" si="95"/>
        <v>160</v>
      </c>
      <c r="J69" s="44">
        <f t="shared" si="95"/>
        <v>8</v>
      </c>
      <c r="K69" s="44">
        <f t="shared" si="61"/>
        <v>0</v>
      </c>
      <c r="L69" s="45">
        <f t="shared" si="61"/>
        <v>0.2</v>
      </c>
      <c r="M69" s="49">
        <v>90</v>
      </c>
      <c r="N69" s="54">
        <f>I69+5</f>
        <v>165</v>
      </c>
      <c r="O69" s="44">
        <f t="shared" ref="O69:P69" si="96">O68</f>
        <v>150</v>
      </c>
      <c r="P69" s="50">
        <f t="shared" si="96"/>
        <v>270</v>
      </c>
    </row>
    <row r="70" spans="1:16" x14ac:dyDescent="0.25">
      <c r="A70" s="41">
        <f t="shared" si="74"/>
        <v>918</v>
      </c>
      <c r="B70" s="42">
        <f t="shared" si="74"/>
        <v>60</v>
      </c>
      <c r="C70" s="127" t="s">
        <v>1482</v>
      </c>
      <c r="D70" s="43">
        <f t="shared" si="31"/>
        <v>9.8000000000000007</v>
      </c>
      <c r="E70" s="44">
        <f t="shared" ref="E70:J70" si="97">E69</f>
        <v>15</v>
      </c>
      <c r="F70" s="44">
        <f t="shared" si="97"/>
        <v>-73.469387755102034</v>
      </c>
      <c r="G70" s="42" t="str">
        <f t="shared" si="97"/>
        <v>Half</v>
      </c>
      <c r="H70" s="50">
        <f t="shared" si="97"/>
        <v>10</v>
      </c>
      <c r="I70" s="49">
        <f t="shared" si="97"/>
        <v>160</v>
      </c>
      <c r="J70" s="44">
        <f t="shared" si="97"/>
        <v>8</v>
      </c>
      <c r="K70" s="44">
        <f t="shared" si="61"/>
        <v>0</v>
      </c>
      <c r="L70" s="45">
        <f t="shared" si="61"/>
        <v>0.2</v>
      </c>
      <c r="M70" s="49">
        <v>90</v>
      </c>
      <c r="N70" s="54">
        <f>I70+10</f>
        <v>170</v>
      </c>
      <c r="O70" s="44">
        <f t="shared" ref="O70:P70" si="98">O69</f>
        <v>150</v>
      </c>
      <c r="P70" s="50">
        <f t="shared" si="98"/>
        <v>270</v>
      </c>
    </row>
    <row r="71" spans="1:16" x14ac:dyDescent="0.25">
      <c r="A71" s="41">
        <f t="shared" si="74"/>
        <v>919</v>
      </c>
      <c r="B71" s="42">
        <f t="shared" si="74"/>
        <v>61</v>
      </c>
      <c r="C71" s="41" t="s">
        <v>1483</v>
      </c>
      <c r="D71" s="43">
        <f t="shared" si="31"/>
        <v>9.8000000000000007</v>
      </c>
      <c r="E71" s="44">
        <f t="shared" ref="E71:J71" si="99">E70</f>
        <v>15</v>
      </c>
      <c r="F71" s="44">
        <f t="shared" si="99"/>
        <v>-73.469387755102034</v>
      </c>
      <c r="G71" s="42" t="str">
        <f t="shared" si="99"/>
        <v>Half</v>
      </c>
      <c r="H71" s="50">
        <f t="shared" si="99"/>
        <v>10</v>
      </c>
      <c r="I71" s="49">
        <f t="shared" si="99"/>
        <v>160</v>
      </c>
      <c r="J71" s="44">
        <f t="shared" si="99"/>
        <v>8</v>
      </c>
      <c r="K71" s="44">
        <f>yaw_max</f>
        <v>8</v>
      </c>
      <c r="L71" s="45">
        <f t="shared" ref="L71" si="100">L70</f>
        <v>0.2</v>
      </c>
      <c r="M71" s="49">
        <v>0</v>
      </c>
      <c r="N71" s="54">
        <f>I71</f>
        <v>160</v>
      </c>
      <c r="O71" s="44">
        <f t="shared" ref="O71:P71" si="101">O70</f>
        <v>150</v>
      </c>
      <c r="P71" s="50">
        <f t="shared" si="101"/>
        <v>270</v>
      </c>
    </row>
    <row r="72" spans="1:16" x14ac:dyDescent="0.25">
      <c r="A72" s="41">
        <f t="shared" si="74"/>
        <v>920</v>
      </c>
      <c r="B72" s="42">
        <f t="shared" si="74"/>
        <v>62</v>
      </c>
      <c r="C72" s="41" t="s">
        <v>1484</v>
      </c>
      <c r="D72" s="43">
        <f t="shared" si="31"/>
        <v>9.8000000000000007</v>
      </c>
      <c r="E72" s="44">
        <f t="shared" ref="E72:L72" si="102">E71</f>
        <v>15</v>
      </c>
      <c r="F72" s="44">
        <f t="shared" si="102"/>
        <v>-73.469387755102034</v>
      </c>
      <c r="G72" s="42" t="str">
        <f t="shared" si="102"/>
        <v>Half</v>
      </c>
      <c r="H72" s="50">
        <f t="shared" si="102"/>
        <v>10</v>
      </c>
      <c r="I72" s="49">
        <f t="shared" si="102"/>
        <v>160</v>
      </c>
      <c r="J72" s="44">
        <f t="shared" si="102"/>
        <v>8</v>
      </c>
      <c r="K72" s="44">
        <f t="shared" si="102"/>
        <v>8</v>
      </c>
      <c r="L72" s="45">
        <f t="shared" si="102"/>
        <v>0.2</v>
      </c>
      <c r="M72" s="49">
        <v>0</v>
      </c>
      <c r="N72" s="54">
        <f>I72+5</f>
        <v>165</v>
      </c>
      <c r="O72" s="44">
        <f t="shared" ref="O72:P72" si="103">O71</f>
        <v>150</v>
      </c>
      <c r="P72" s="50">
        <f t="shared" si="103"/>
        <v>270</v>
      </c>
    </row>
    <row r="73" spans="1:16" x14ac:dyDescent="0.25">
      <c r="A73" s="41">
        <f t="shared" si="74"/>
        <v>921</v>
      </c>
      <c r="B73" s="42">
        <f t="shared" si="74"/>
        <v>63</v>
      </c>
      <c r="C73" s="41" t="s">
        <v>1485</v>
      </c>
      <c r="D73" s="43">
        <f t="shared" si="31"/>
        <v>9.8000000000000007</v>
      </c>
      <c r="E73" s="44">
        <f t="shared" ref="E73:L73" si="104">E72</f>
        <v>15</v>
      </c>
      <c r="F73" s="44">
        <f t="shared" si="104"/>
        <v>-73.469387755102034</v>
      </c>
      <c r="G73" s="42" t="str">
        <f t="shared" si="104"/>
        <v>Half</v>
      </c>
      <c r="H73" s="50">
        <f t="shared" si="104"/>
        <v>10</v>
      </c>
      <c r="I73" s="49">
        <f t="shared" si="104"/>
        <v>160</v>
      </c>
      <c r="J73" s="44">
        <f t="shared" si="104"/>
        <v>8</v>
      </c>
      <c r="K73" s="44">
        <f t="shared" si="104"/>
        <v>8</v>
      </c>
      <c r="L73" s="45">
        <f t="shared" si="104"/>
        <v>0.2</v>
      </c>
      <c r="M73" s="49">
        <v>0</v>
      </c>
      <c r="N73" s="54">
        <f>I73+10</f>
        <v>170</v>
      </c>
      <c r="O73" s="44">
        <f t="shared" ref="O73:P73" si="105">O72</f>
        <v>150</v>
      </c>
      <c r="P73" s="50">
        <f t="shared" si="105"/>
        <v>270</v>
      </c>
    </row>
    <row r="74" spans="1:16" x14ac:dyDescent="0.25">
      <c r="A74" s="41">
        <f t="shared" si="74"/>
        <v>922</v>
      </c>
      <c r="B74" s="42">
        <f t="shared" si="74"/>
        <v>64</v>
      </c>
      <c r="C74" s="41" t="s">
        <v>1486</v>
      </c>
      <c r="D74" s="43">
        <f t="shared" si="31"/>
        <v>9.8000000000000007</v>
      </c>
      <c r="E74" s="44">
        <f t="shared" ref="E74:L74" si="106">E73</f>
        <v>15</v>
      </c>
      <c r="F74" s="44">
        <f t="shared" si="106"/>
        <v>-73.469387755102034</v>
      </c>
      <c r="G74" s="42" t="str">
        <f t="shared" si="106"/>
        <v>Half</v>
      </c>
      <c r="H74" s="50">
        <f t="shared" si="106"/>
        <v>10</v>
      </c>
      <c r="I74" s="49">
        <f t="shared" si="106"/>
        <v>160</v>
      </c>
      <c r="J74" s="44">
        <f t="shared" si="106"/>
        <v>8</v>
      </c>
      <c r="K74" s="44">
        <f t="shared" si="106"/>
        <v>8</v>
      </c>
      <c r="L74" s="45">
        <f t="shared" si="106"/>
        <v>0.2</v>
      </c>
      <c r="M74" s="49">
        <v>30</v>
      </c>
      <c r="N74" s="54">
        <f>I74</f>
        <v>160</v>
      </c>
      <c r="O74" s="44">
        <f t="shared" ref="O74:P74" si="107">O73</f>
        <v>150</v>
      </c>
      <c r="P74" s="50">
        <f t="shared" si="107"/>
        <v>270</v>
      </c>
    </row>
    <row r="75" spans="1:16" x14ac:dyDescent="0.25">
      <c r="A75" s="41">
        <f t="shared" si="74"/>
        <v>923</v>
      </c>
      <c r="B75" s="42">
        <f t="shared" si="74"/>
        <v>65</v>
      </c>
      <c r="C75" s="41" t="s">
        <v>1487</v>
      </c>
      <c r="D75" s="43">
        <f t="shared" ref="D75:D82" si="108">v_r</f>
        <v>9.8000000000000007</v>
      </c>
      <c r="E75" s="44">
        <f t="shared" ref="E75:G75" si="109">E74</f>
        <v>15</v>
      </c>
      <c r="F75" s="44">
        <f t="shared" si="109"/>
        <v>-73.469387755102034</v>
      </c>
      <c r="G75" s="42" t="str">
        <f t="shared" si="109"/>
        <v>Half</v>
      </c>
      <c r="H75" s="50">
        <f>H74</f>
        <v>10</v>
      </c>
      <c r="I75" s="49">
        <f t="shared" ref="I75:L75" si="110">I74</f>
        <v>160</v>
      </c>
      <c r="J75" s="44">
        <f t="shared" si="110"/>
        <v>8</v>
      </c>
      <c r="K75" s="44">
        <f t="shared" si="110"/>
        <v>8</v>
      </c>
      <c r="L75" s="45">
        <f t="shared" si="110"/>
        <v>0.2</v>
      </c>
      <c r="M75" s="49">
        <v>30</v>
      </c>
      <c r="N75" s="54">
        <f>I75+5</f>
        <v>165</v>
      </c>
      <c r="O75" s="44">
        <f t="shared" ref="O75:P75" si="111">O74</f>
        <v>150</v>
      </c>
      <c r="P75" s="50">
        <f t="shared" si="111"/>
        <v>270</v>
      </c>
    </row>
    <row r="76" spans="1:16" x14ac:dyDescent="0.25">
      <c r="A76" s="41">
        <f t="shared" ref="A76:B91" si="112">A75+1</f>
        <v>924</v>
      </c>
      <c r="B76" s="42">
        <f t="shared" si="112"/>
        <v>66</v>
      </c>
      <c r="C76" s="41" t="s">
        <v>1488</v>
      </c>
      <c r="D76" s="43">
        <f t="shared" si="108"/>
        <v>9.8000000000000007</v>
      </c>
      <c r="E76" s="44">
        <f t="shared" ref="E76:G76" si="113">E75</f>
        <v>15</v>
      </c>
      <c r="F76" s="44">
        <f t="shared" si="113"/>
        <v>-73.469387755102034</v>
      </c>
      <c r="G76" s="42" t="str">
        <f t="shared" si="113"/>
        <v>Half</v>
      </c>
      <c r="H76" s="50">
        <f>H75</f>
        <v>10</v>
      </c>
      <c r="I76" s="49">
        <f t="shared" ref="I76:L76" si="114">I75</f>
        <v>160</v>
      </c>
      <c r="J76" s="44">
        <f t="shared" si="114"/>
        <v>8</v>
      </c>
      <c r="K76" s="44">
        <f t="shared" si="114"/>
        <v>8</v>
      </c>
      <c r="L76" s="45">
        <f t="shared" si="114"/>
        <v>0.2</v>
      </c>
      <c r="M76" s="49">
        <v>30</v>
      </c>
      <c r="N76" s="54">
        <f>I76+10</f>
        <v>170</v>
      </c>
      <c r="O76" s="44">
        <f t="shared" ref="O76:P76" si="115">O75</f>
        <v>150</v>
      </c>
      <c r="P76" s="50">
        <f t="shared" si="115"/>
        <v>270</v>
      </c>
    </row>
    <row r="77" spans="1:16" x14ac:dyDescent="0.25">
      <c r="A77" s="41">
        <f t="shared" si="112"/>
        <v>925</v>
      </c>
      <c r="B77" s="42">
        <f t="shared" si="112"/>
        <v>67</v>
      </c>
      <c r="C77" s="41" t="s">
        <v>1489</v>
      </c>
      <c r="D77" s="43">
        <f t="shared" si="108"/>
        <v>9.8000000000000007</v>
      </c>
      <c r="E77" s="44">
        <f t="shared" ref="E77:G77" si="116">E76</f>
        <v>15</v>
      </c>
      <c r="F77" s="44">
        <f t="shared" si="116"/>
        <v>-73.469387755102034</v>
      </c>
      <c r="G77" s="42" t="str">
        <f t="shared" si="116"/>
        <v>Half</v>
      </c>
      <c r="H77" s="50">
        <f>H76</f>
        <v>10</v>
      </c>
      <c r="I77" s="49">
        <f t="shared" ref="I77:L77" si="117">I76</f>
        <v>160</v>
      </c>
      <c r="J77" s="44">
        <f t="shared" si="117"/>
        <v>8</v>
      </c>
      <c r="K77" s="44">
        <f t="shared" si="117"/>
        <v>8</v>
      </c>
      <c r="L77" s="45">
        <f t="shared" si="117"/>
        <v>0.2</v>
      </c>
      <c r="M77" s="49">
        <v>60</v>
      </c>
      <c r="N77" s="54">
        <f>I77</f>
        <v>160</v>
      </c>
      <c r="O77" s="44">
        <f t="shared" ref="O77:P77" si="118">O76</f>
        <v>150</v>
      </c>
      <c r="P77" s="50">
        <f t="shared" si="118"/>
        <v>270</v>
      </c>
    </row>
    <row r="78" spans="1:16" x14ac:dyDescent="0.25">
      <c r="A78" s="41">
        <f t="shared" si="112"/>
        <v>926</v>
      </c>
      <c r="B78" s="42">
        <f t="shared" si="112"/>
        <v>68</v>
      </c>
      <c r="C78" s="41" t="s">
        <v>1490</v>
      </c>
      <c r="D78" s="43">
        <f t="shared" si="108"/>
        <v>9.8000000000000007</v>
      </c>
      <c r="E78" s="44">
        <f t="shared" ref="E78:G78" si="119">E77</f>
        <v>15</v>
      </c>
      <c r="F78" s="44">
        <f t="shared" si="119"/>
        <v>-73.469387755102034</v>
      </c>
      <c r="G78" s="42" t="str">
        <f t="shared" si="119"/>
        <v>Half</v>
      </c>
      <c r="H78" s="50">
        <f>H77</f>
        <v>10</v>
      </c>
      <c r="I78" s="49">
        <f t="shared" ref="I78:L78" si="120">I77</f>
        <v>160</v>
      </c>
      <c r="J78" s="44">
        <f t="shared" si="120"/>
        <v>8</v>
      </c>
      <c r="K78" s="44">
        <f t="shared" si="120"/>
        <v>8</v>
      </c>
      <c r="L78" s="45">
        <f t="shared" si="120"/>
        <v>0.2</v>
      </c>
      <c r="M78" s="49">
        <v>60</v>
      </c>
      <c r="N78" s="54">
        <f>I78+5</f>
        <v>165</v>
      </c>
      <c r="O78" s="44">
        <f t="shared" ref="O78:P78" si="121">O77</f>
        <v>150</v>
      </c>
      <c r="P78" s="50">
        <f t="shared" si="121"/>
        <v>270</v>
      </c>
    </row>
    <row r="79" spans="1:16" x14ac:dyDescent="0.25">
      <c r="A79" s="41">
        <f t="shared" si="112"/>
        <v>927</v>
      </c>
      <c r="B79" s="42">
        <f t="shared" si="112"/>
        <v>69</v>
      </c>
      <c r="C79" s="41" t="s">
        <v>1491</v>
      </c>
      <c r="D79" s="43">
        <f t="shared" si="108"/>
        <v>9.8000000000000007</v>
      </c>
      <c r="E79" s="44">
        <f t="shared" ref="E79:F79" si="122">E78</f>
        <v>15</v>
      </c>
      <c r="F79" s="44">
        <f t="shared" si="122"/>
        <v>-73.469387755102034</v>
      </c>
      <c r="G79" s="42" t="s">
        <v>12</v>
      </c>
      <c r="H79" s="50">
        <v>10</v>
      </c>
      <c r="I79" s="49">
        <f t="shared" ref="I79:L79" si="123">I78</f>
        <v>160</v>
      </c>
      <c r="J79" s="44">
        <f t="shared" si="123"/>
        <v>8</v>
      </c>
      <c r="K79" s="44">
        <f t="shared" si="123"/>
        <v>8</v>
      </c>
      <c r="L79" s="45">
        <f t="shared" si="123"/>
        <v>0.2</v>
      </c>
      <c r="M79" s="49">
        <v>60</v>
      </c>
      <c r="N79" s="54">
        <f>I79+10</f>
        <v>170</v>
      </c>
      <c r="O79" s="44">
        <f t="shared" ref="O79:P79" si="124">O78</f>
        <v>150</v>
      </c>
      <c r="P79" s="50">
        <f t="shared" si="124"/>
        <v>270</v>
      </c>
    </row>
    <row r="80" spans="1:16" x14ac:dyDescent="0.25">
      <c r="A80" s="41">
        <f t="shared" si="112"/>
        <v>928</v>
      </c>
      <c r="B80" s="42">
        <f t="shared" si="112"/>
        <v>70</v>
      </c>
      <c r="C80" s="41" t="s">
        <v>1492</v>
      </c>
      <c r="D80" s="43">
        <f t="shared" si="108"/>
        <v>9.8000000000000007</v>
      </c>
      <c r="E80" s="44">
        <f t="shared" ref="E80:F80" si="125">E79</f>
        <v>15</v>
      </c>
      <c r="F80" s="44">
        <f t="shared" si="125"/>
        <v>-73.469387755102034</v>
      </c>
      <c r="G80" s="42" t="str">
        <f>G79</f>
        <v>Half</v>
      </c>
      <c r="H80" s="50">
        <f>H79</f>
        <v>10</v>
      </c>
      <c r="I80" s="49">
        <f t="shared" ref="I80:L80" si="126">I79</f>
        <v>160</v>
      </c>
      <c r="J80" s="44">
        <f t="shared" si="126"/>
        <v>8</v>
      </c>
      <c r="K80" s="44">
        <f t="shared" si="126"/>
        <v>8</v>
      </c>
      <c r="L80" s="45">
        <f t="shared" si="126"/>
        <v>0.2</v>
      </c>
      <c r="M80" s="49">
        <v>90</v>
      </c>
      <c r="N80" s="54">
        <f>I80</f>
        <v>160</v>
      </c>
      <c r="O80" s="44">
        <f t="shared" ref="O80:P80" si="127">O79</f>
        <v>150</v>
      </c>
      <c r="P80" s="50">
        <f t="shared" si="127"/>
        <v>270</v>
      </c>
    </row>
    <row r="81" spans="1:16" x14ac:dyDescent="0.25">
      <c r="A81" s="41">
        <f t="shared" si="112"/>
        <v>929</v>
      </c>
      <c r="B81" s="42">
        <f t="shared" si="112"/>
        <v>71</v>
      </c>
      <c r="C81" s="41" t="s">
        <v>1493</v>
      </c>
      <c r="D81" s="43">
        <f t="shared" si="108"/>
        <v>9.8000000000000007</v>
      </c>
      <c r="E81" s="44">
        <f t="shared" ref="E81:L81" si="128">E80</f>
        <v>15</v>
      </c>
      <c r="F81" s="44">
        <f t="shared" si="128"/>
        <v>-73.469387755102034</v>
      </c>
      <c r="G81" s="42" t="str">
        <f t="shared" si="128"/>
        <v>Half</v>
      </c>
      <c r="H81" s="50">
        <f t="shared" si="128"/>
        <v>10</v>
      </c>
      <c r="I81" s="49">
        <f t="shared" si="128"/>
        <v>160</v>
      </c>
      <c r="J81" s="44">
        <f t="shared" si="128"/>
        <v>8</v>
      </c>
      <c r="K81" s="44">
        <f t="shared" si="128"/>
        <v>8</v>
      </c>
      <c r="L81" s="45">
        <f t="shared" si="128"/>
        <v>0.2</v>
      </c>
      <c r="M81" s="49">
        <v>90</v>
      </c>
      <c r="N81" s="54">
        <f>I81+5</f>
        <v>165</v>
      </c>
      <c r="O81" s="44">
        <f t="shared" ref="O81:P81" si="129">O80</f>
        <v>150</v>
      </c>
      <c r="P81" s="50">
        <f t="shared" si="129"/>
        <v>270</v>
      </c>
    </row>
    <row r="82" spans="1:16" x14ac:dyDescent="0.25">
      <c r="A82" s="41">
        <f t="shared" si="112"/>
        <v>930</v>
      </c>
      <c r="B82" s="42">
        <f t="shared" si="112"/>
        <v>72</v>
      </c>
      <c r="C82" s="127" t="s">
        <v>1494</v>
      </c>
      <c r="D82" s="43">
        <f t="shared" si="108"/>
        <v>9.8000000000000007</v>
      </c>
      <c r="E82" s="44">
        <f t="shared" ref="E82:L84" si="130">E81</f>
        <v>15</v>
      </c>
      <c r="F82" s="128">
        <f t="shared" si="130"/>
        <v>-73.469387755102034</v>
      </c>
      <c r="G82" s="42" t="str">
        <f t="shared" si="130"/>
        <v>Half</v>
      </c>
      <c r="H82" s="50">
        <f t="shared" si="130"/>
        <v>10</v>
      </c>
      <c r="I82" s="49">
        <f t="shared" si="130"/>
        <v>160</v>
      </c>
      <c r="J82" s="44">
        <f t="shared" si="130"/>
        <v>8</v>
      </c>
      <c r="K82" s="44">
        <f t="shared" si="130"/>
        <v>8</v>
      </c>
      <c r="L82" s="45">
        <f t="shared" si="130"/>
        <v>0.2</v>
      </c>
      <c r="M82" s="49">
        <v>90</v>
      </c>
      <c r="N82" s="54">
        <f>I82+10</f>
        <v>170</v>
      </c>
      <c r="O82" s="44">
        <f t="shared" ref="O82:P82" si="131">O81</f>
        <v>150</v>
      </c>
      <c r="P82" s="50">
        <f t="shared" si="131"/>
        <v>270</v>
      </c>
    </row>
    <row r="83" spans="1:16" x14ac:dyDescent="0.25">
      <c r="A83" s="41">
        <f t="shared" si="112"/>
        <v>931</v>
      </c>
      <c r="B83" s="42">
        <f t="shared" si="112"/>
        <v>73</v>
      </c>
      <c r="C83" s="41" t="s">
        <v>1495</v>
      </c>
      <c r="D83" s="43">
        <f t="shared" ref="D83:D114" si="132">vr_a</f>
        <v>11.8</v>
      </c>
      <c r="E83" s="44">
        <f t="shared" si="130"/>
        <v>15</v>
      </c>
      <c r="F83" s="44">
        <f>720/D83</f>
        <v>61.016949152542367</v>
      </c>
      <c r="G83" s="42" t="str">
        <f t="shared" ref="G83:J83" si="133">G82</f>
        <v>Half</v>
      </c>
      <c r="H83" s="50">
        <f t="shared" si="133"/>
        <v>10</v>
      </c>
      <c r="I83" s="49">
        <f t="shared" si="133"/>
        <v>160</v>
      </c>
      <c r="J83" s="44">
        <f t="shared" si="133"/>
        <v>8</v>
      </c>
      <c r="K83" s="44">
        <f>yaw_min</f>
        <v>-8</v>
      </c>
      <c r="L83" s="45">
        <f t="shared" si="130"/>
        <v>0.2</v>
      </c>
      <c r="M83" s="49">
        <v>0</v>
      </c>
      <c r="N83" s="54">
        <f>I83</f>
        <v>160</v>
      </c>
      <c r="O83" s="44">
        <f t="shared" ref="O83:P83" si="134">O82</f>
        <v>150</v>
      </c>
      <c r="P83" s="50">
        <f t="shared" si="134"/>
        <v>270</v>
      </c>
    </row>
    <row r="84" spans="1:16" x14ac:dyDescent="0.25">
      <c r="A84" s="41">
        <f t="shared" si="112"/>
        <v>932</v>
      </c>
      <c r="B84" s="42">
        <f t="shared" si="112"/>
        <v>74</v>
      </c>
      <c r="C84" s="41" t="s">
        <v>1496</v>
      </c>
      <c r="D84" s="43">
        <f t="shared" si="132"/>
        <v>11.8</v>
      </c>
      <c r="E84" s="44">
        <f t="shared" si="130"/>
        <v>15</v>
      </c>
      <c r="F84" s="44">
        <f t="shared" si="130"/>
        <v>61.016949152542367</v>
      </c>
      <c r="G84" s="42" t="str">
        <f t="shared" si="130"/>
        <v>Half</v>
      </c>
      <c r="H84" s="50">
        <f t="shared" si="130"/>
        <v>10</v>
      </c>
      <c r="I84" s="49">
        <f t="shared" si="130"/>
        <v>160</v>
      </c>
      <c r="J84" s="44">
        <f t="shared" si="130"/>
        <v>8</v>
      </c>
      <c r="K84" s="44">
        <f t="shared" si="130"/>
        <v>-8</v>
      </c>
      <c r="L84" s="45">
        <f t="shared" si="130"/>
        <v>0.2</v>
      </c>
      <c r="M84" s="49">
        <v>0</v>
      </c>
      <c r="N84" s="54">
        <f>I84+5</f>
        <v>165</v>
      </c>
      <c r="O84" s="44">
        <f t="shared" ref="O84:P84" si="135">O83</f>
        <v>150</v>
      </c>
      <c r="P84" s="50">
        <f t="shared" si="135"/>
        <v>270</v>
      </c>
    </row>
    <row r="85" spans="1:16" x14ac:dyDescent="0.25">
      <c r="A85" s="41">
        <f t="shared" si="112"/>
        <v>933</v>
      </c>
      <c r="B85" s="42">
        <f t="shared" si="112"/>
        <v>75</v>
      </c>
      <c r="C85" s="41" t="s">
        <v>1497</v>
      </c>
      <c r="D85" s="43">
        <f t="shared" si="132"/>
        <v>11.8</v>
      </c>
      <c r="E85" s="44">
        <f t="shared" ref="E85" si="136">E84</f>
        <v>15</v>
      </c>
      <c r="F85" s="44">
        <f>F84</f>
        <v>61.016949152542367</v>
      </c>
      <c r="G85" s="42" t="str">
        <f t="shared" ref="G85:L85" si="137">G84</f>
        <v>Half</v>
      </c>
      <c r="H85" s="50">
        <f t="shared" si="137"/>
        <v>10</v>
      </c>
      <c r="I85" s="49">
        <f t="shared" si="137"/>
        <v>160</v>
      </c>
      <c r="J85" s="44">
        <f t="shared" si="137"/>
        <v>8</v>
      </c>
      <c r="K85" s="44">
        <f t="shared" si="137"/>
        <v>-8</v>
      </c>
      <c r="L85" s="45">
        <f t="shared" si="137"/>
        <v>0.2</v>
      </c>
      <c r="M85" s="49">
        <v>0</v>
      </c>
      <c r="N85" s="54">
        <f>I85+10</f>
        <v>170</v>
      </c>
      <c r="O85" s="44">
        <f t="shared" ref="O85:P85" si="138">O84</f>
        <v>150</v>
      </c>
      <c r="P85" s="50">
        <f t="shared" si="138"/>
        <v>270</v>
      </c>
    </row>
    <row r="86" spans="1:16" x14ac:dyDescent="0.25">
      <c r="A86" s="41">
        <f t="shared" si="112"/>
        <v>934</v>
      </c>
      <c r="B86" s="42">
        <f t="shared" si="112"/>
        <v>76</v>
      </c>
      <c r="C86" s="41" t="s">
        <v>1498</v>
      </c>
      <c r="D86" s="43">
        <f t="shared" si="132"/>
        <v>11.8</v>
      </c>
      <c r="E86" s="44">
        <f t="shared" ref="E86" si="139">E85</f>
        <v>15</v>
      </c>
      <c r="F86" s="44">
        <f>F85</f>
        <v>61.016949152542367</v>
      </c>
      <c r="G86" s="42" t="str">
        <f t="shared" ref="G86:L86" si="140">G85</f>
        <v>Half</v>
      </c>
      <c r="H86" s="50">
        <f t="shared" si="140"/>
        <v>10</v>
      </c>
      <c r="I86" s="49">
        <f t="shared" si="140"/>
        <v>160</v>
      </c>
      <c r="J86" s="44">
        <f t="shared" si="140"/>
        <v>8</v>
      </c>
      <c r="K86" s="44">
        <f t="shared" si="140"/>
        <v>-8</v>
      </c>
      <c r="L86" s="45">
        <f t="shared" si="140"/>
        <v>0.2</v>
      </c>
      <c r="M86" s="49">
        <v>30</v>
      </c>
      <c r="N86" s="54">
        <f>I86</f>
        <v>160</v>
      </c>
      <c r="O86" s="44">
        <f t="shared" ref="O86:P86" si="141">O85</f>
        <v>150</v>
      </c>
      <c r="P86" s="50">
        <f t="shared" si="141"/>
        <v>270</v>
      </c>
    </row>
    <row r="87" spans="1:16" x14ac:dyDescent="0.25">
      <c r="A87" s="41">
        <f t="shared" si="112"/>
        <v>935</v>
      </c>
      <c r="B87" s="42">
        <f t="shared" si="112"/>
        <v>77</v>
      </c>
      <c r="C87" s="41" t="s">
        <v>1499</v>
      </c>
      <c r="D87" s="43">
        <f t="shared" si="132"/>
        <v>11.8</v>
      </c>
      <c r="E87" s="44">
        <f t="shared" ref="E87:L87" si="142">E86</f>
        <v>15</v>
      </c>
      <c r="F87" s="44">
        <f t="shared" si="142"/>
        <v>61.016949152542367</v>
      </c>
      <c r="G87" s="42" t="str">
        <f t="shared" si="142"/>
        <v>Half</v>
      </c>
      <c r="H87" s="50">
        <f t="shared" si="142"/>
        <v>10</v>
      </c>
      <c r="I87" s="49">
        <f t="shared" si="142"/>
        <v>160</v>
      </c>
      <c r="J87" s="44">
        <f t="shared" si="142"/>
        <v>8</v>
      </c>
      <c r="K87" s="44">
        <f t="shared" si="142"/>
        <v>-8</v>
      </c>
      <c r="L87" s="45">
        <f t="shared" si="142"/>
        <v>0.2</v>
      </c>
      <c r="M87" s="49">
        <v>30</v>
      </c>
      <c r="N87" s="54">
        <f>I87+5</f>
        <v>165</v>
      </c>
      <c r="O87" s="44">
        <f t="shared" ref="O87:P87" si="143">O86</f>
        <v>150</v>
      </c>
      <c r="P87" s="50">
        <f t="shared" si="143"/>
        <v>270</v>
      </c>
    </row>
    <row r="88" spans="1:16" x14ac:dyDescent="0.25">
      <c r="A88" s="41">
        <f t="shared" si="112"/>
        <v>936</v>
      </c>
      <c r="B88" s="42">
        <f t="shared" si="112"/>
        <v>78</v>
      </c>
      <c r="C88" s="41" t="s">
        <v>1500</v>
      </c>
      <c r="D88" s="43">
        <f t="shared" si="132"/>
        <v>11.8</v>
      </c>
      <c r="E88" s="44">
        <f t="shared" ref="E88:L88" si="144">E87</f>
        <v>15</v>
      </c>
      <c r="F88" s="44">
        <f t="shared" si="144"/>
        <v>61.016949152542367</v>
      </c>
      <c r="G88" s="42" t="str">
        <f t="shared" si="144"/>
        <v>Half</v>
      </c>
      <c r="H88" s="50">
        <f t="shared" si="144"/>
        <v>10</v>
      </c>
      <c r="I88" s="49">
        <f t="shared" si="144"/>
        <v>160</v>
      </c>
      <c r="J88" s="44">
        <f t="shared" si="144"/>
        <v>8</v>
      </c>
      <c r="K88" s="44">
        <f t="shared" si="144"/>
        <v>-8</v>
      </c>
      <c r="L88" s="45">
        <f t="shared" si="144"/>
        <v>0.2</v>
      </c>
      <c r="M88" s="49">
        <v>30</v>
      </c>
      <c r="N88" s="54">
        <f>I88+10</f>
        <v>170</v>
      </c>
      <c r="O88" s="44">
        <f t="shared" ref="O88:P88" si="145">O87</f>
        <v>150</v>
      </c>
      <c r="P88" s="50">
        <f t="shared" si="145"/>
        <v>270</v>
      </c>
    </row>
    <row r="89" spans="1:16" x14ac:dyDescent="0.25">
      <c r="A89" s="41">
        <f t="shared" si="112"/>
        <v>937</v>
      </c>
      <c r="B89" s="42">
        <f t="shared" si="112"/>
        <v>79</v>
      </c>
      <c r="C89" s="41" t="s">
        <v>1501</v>
      </c>
      <c r="D89" s="43">
        <f t="shared" si="132"/>
        <v>11.8</v>
      </c>
      <c r="E89" s="44">
        <f t="shared" ref="E89:L89" si="146">E88</f>
        <v>15</v>
      </c>
      <c r="F89" s="44">
        <f t="shared" si="146"/>
        <v>61.016949152542367</v>
      </c>
      <c r="G89" s="42" t="str">
        <f t="shared" si="146"/>
        <v>Half</v>
      </c>
      <c r="H89" s="50">
        <f t="shared" si="146"/>
        <v>10</v>
      </c>
      <c r="I89" s="49">
        <f t="shared" si="146"/>
        <v>160</v>
      </c>
      <c r="J89" s="44">
        <f t="shared" si="146"/>
        <v>8</v>
      </c>
      <c r="K89" s="44">
        <f t="shared" si="146"/>
        <v>-8</v>
      </c>
      <c r="L89" s="45">
        <f t="shared" si="146"/>
        <v>0.2</v>
      </c>
      <c r="M89" s="49">
        <v>60</v>
      </c>
      <c r="N89" s="54">
        <f>I89</f>
        <v>160</v>
      </c>
      <c r="O89" s="44">
        <f t="shared" ref="O89:P89" si="147">O88</f>
        <v>150</v>
      </c>
      <c r="P89" s="50">
        <f t="shared" si="147"/>
        <v>270</v>
      </c>
    </row>
    <row r="90" spans="1:16" x14ac:dyDescent="0.25">
      <c r="A90" s="41">
        <f t="shared" si="112"/>
        <v>938</v>
      </c>
      <c r="B90" s="42">
        <f t="shared" si="112"/>
        <v>80</v>
      </c>
      <c r="C90" s="41" t="s">
        <v>1502</v>
      </c>
      <c r="D90" s="43">
        <f t="shared" si="132"/>
        <v>11.8</v>
      </c>
      <c r="E90" s="44">
        <f t="shared" ref="E90" si="148">E89</f>
        <v>15</v>
      </c>
      <c r="F90" s="44">
        <f>F89</f>
        <v>61.016949152542367</v>
      </c>
      <c r="G90" s="42" t="str">
        <f t="shared" ref="G90:L90" si="149">G89</f>
        <v>Half</v>
      </c>
      <c r="H90" s="50">
        <f t="shared" si="149"/>
        <v>10</v>
      </c>
      <c r="I90" s="49">
        <f t="shared" si="149"/>
        <v>160</v>
      </c>
      <c r="J90" s="44">
        <f t="shared" si="149"/>
        <v>8</v>
      </c>
      <c r="K90" s="44">
        <f t="shared" si="149"/>
        <v>-8</v>
      </c>
      <c r="L90" s="45">
        <f t="shared" si="149"/>
        <v>0.2</v>
      </c>
      <c r="M90" s="49">
        <v>60</v>
      </c>
      <c r="N90" s="54">
        <f>I90+5</f>
        <v>165</v>
      </c>
      <c r="O90" s="44">
        <f t="shared" ref="O90:P90" si="150">O89</f>
        <v>150</v>
      </c>
      <c r="P90" s="50">
        <f t="shared" si="150"/>
        <v>270</v>
      </c>
    </row>
    <row r="91" spans="1:16" x14ac:dyDescent="0.25">
      <c r="A91" s="41">
        <f t="shared" si="112"/>
        <v>939</v>
      </c>
      <c r="B91" s="42">
        <f t="shared" si="112"/>
        <v>81</v>
      </c>
      <c r="C91" s="41" t="s">
        <v>1503</v>
      </c>
      <c r="D91" s="43">
        <f t="shared" si="132"/>
        <v>11.8</v>
      </c>
      <c r="E91" s="44">
        <f t="shared" ref="E91:L91" si="151">E90</f>
        <v>15</v>
      </c>
      <c r="F91" s="44">
        <f t="shared" si="151"/>
        <v>61.016949152542367</v>
      </c>
      <c r="G91" s="42" t="str">
        <f t="shared" si="151"/>
        <v>Half</v>
      </c>
      <c r="H91" s="50">
        <f t="shared" si="151"/>
        <v>10</v>
      </c>
      <c r="I91" s="49">
        <f t="shared" si="151"/>
        <v>160</v>
      </c>
      <c r="J91" s="44">
        <f t="shared" si="151"/>
        <v>8</v>
      </c>
      <c r="K91" s="44">
        <f t="shared" si="151"/>
        <v>-8</v>
      </c>
      <c r="L91" s="45">
        <f t="shared" si="151"/>
        <v>0.2</v>
      </c>
      <c r="M91" s="49">
        <v>60</v>
      </c>
      <c r="N91" s="54">
        <f>I91+10</f>
        <v>170</v>
      </c>
      <c r="O91" s="44">
        <f t="shared" ref="O91:P91" si="152">O90</f>
        <v>150</v>
      </c>
      <c r="P91" s="50">
        <f t="shared" si="152"/>
        <v>270</v>
      </c>
    </row>
    <row r="92" spans="1:16" x14ac:dyDescent="0.25">
      <c r="A92" s="41">
        <f t="shared" ref="A92:B107" si="153">A91+1</f>
        <v>940</v>
      </c>
      <c r="B92" s="42">
        <f t="shared" si="153"/>
        <v>82</v>
      </c>
      <c r="C92" s="41" t="s">
        <v>1504</v>
      </c>
      <c r="D92" s="43">
        <f t="shared" si="132"/>
        <v>11.8</v>
      </c>
      <c r="E92" s="44">
        <f t="shared" ref="E92:F92" si="154">E91</f>
        <v>15</v>
      </c>
      <c r="F92" s="44">
        <f t="shared" si="154"/>
        <v>61.016949152542367</v>
      </c>
      <c r="G92" s="42" t="str">
        <f>G91</f>
        <v>Half</v>
      </c>
      <c r="H92" s="50">
        <f t="shared" ref="H92:L92" si="155">H91</f>
        <v>10</v>
      </c>
      <c r="I92" s="49">
        <f t="shared" si="155"/>
        <v>160</v>
      </c>
      <c r="J92" s="44">
        <f t="shared" si="155"/>
        <v>8</v>
      </c>
      <c r="K92" s="44">
        <f t="shared" si="155"/>
        <v>-8</v>
      </c>
      <c r="L92" s="45">
        <f t="shared" si="155"/>
        <v>0.2</v>
      </c>
      <c r="M92" s="49">
        <v>90</v>
      </c>
      <c r="N92" s="54">
        <f>I92</f>
        <v>160</v>
      </c>
      <c r="O92" s="44">
        <f t="shared" ref="O92:P92" si="156">O91</f>
        <v>150</v>
      </c>
      <c r="P92" s="50">
        <f t="shared" si="156"/>
        <v>270</v>
      </c>
    </row>
    <row r="93" spans="1:16" x14ac:dyDescent="0.25">
      <c r="A93" s="41">
        <f t="shared" si="153"/>
        <v>941</v>
      </c>
      <c r="B93" s="42">
        <f t="shared" si="153"/>
        <v>83</v>
      </c>
      <c r="C93" s="41" t="s">
        <v>1505</v>
      </c>
      <c r="D93" s="43">
        <f t="shared" si="132"/>
        <v>11.8</v>
      </c>
      <c r="E93" s="44">
        <f t="shared" ref="E93:F93" si="157">E92</f>
        <v>15</v>
      </c>
      <c r="F93" s="44">
        <f t="shared" si="157"/>
        <v>61.016949152542367</v>
      </c>
      <c r="G93" s="42" t="str">
        <f>G92</f>
        <v>Half</v>
      </c>
      <c r="H93" s="50">
        <f t="shared" ref="H93:L93" si="158">H92</f>
        <v>10</v>
      </c>
      <c r="I93" s="49">
        <f t="shared" si="158"/>
        <v>160</v>
      </c>
      <c r="J93" s="44">
        <f t="shared" si="158"/>
        <v>8</v>
      </c>
      <c r="K93" s="44">
        <f t="shared" si="158"/>
        <v>-8</v>
      </c>
      <c r="L93" s="45">
        <f t="shared" si="158"/>
        <v>0.2</v>
      </c>
      <c r="M93" s="49">
        <v>90</v>
      </c>
      <c r="N93" s="54">
        <f>I93+5</f>
        <v>165</v>
      </c>
      <c r="O93" s="44">
        <f t="shared" ref="O93:P93" si="159">O92</f>
        <v>150</v>
      </c>
      <c r="P93" s="50">
        <f t="shared" si="159"/>
        <v>270</v>
      </c>
    </row>
    <row r="94" spans="1:16" x14ac:dyDescent="0.25">
      <c r="A94" s="41">
        <f t="shared" si="153"/>
        <v>942</v>
      </c>
      <c r="B94" s="42">
        <f t="shared" si="153"/>
        <v>84</v>
      </c>
      <c r="C94" s="41" t="s">
        <v>1506</v>
      </c>
      <c r="D94" s="43">
        <f t="shared" si="132"/>
        <v>11.8</v>
      </c>
      <c r="E94" s="44">
        <f t="shared" ref="E94:F94" si="160">E93</f>
        <v>15</v>
      </c>
      <c r="F94" s="44">
        <f t="shared" si="160"/>
        <v>61.016949152542367</v>
      </c>
      <c r="G94" s="42" t="str">
        <f>G93</f>
        <v>Half</v>
      </c>
      <c r="H94" s="50">
        <f t="shared" ref="H94:L94" si="161">H93</f>
        <v>10</v>
      </c>
      <c r="I94" s="49">
        <f t="shared" si="161"/>
        <v>160</v>
      </c>
      <c r="J94" s="44">
        <f t="shared" si="161"/>
        <v>8</v>
      </c>
      <c r="K94" s="44">
        <f t="shared" si="161"/>
        <v>-8</v>
      </c>
      <c r="L94" s="45">
        <f t="shared" si="161"/>
        <v>0.2</v>
      </c>
      <c r="M94" s="49">
        <v>90</v>
      </c>
      <c r="N94" s="54">
        <f>I94+10</f>
        <v>170</v>
      </c>
      <c r="O94" s="44">
        <f t="shared" ref="O94:P94" si="162">O93</f>
        <v>150</v>
      </c>
      <c r="P94" s="50">
        <f t="shared" si="162"/>
        <v>270</v>
      </c>
    </row>
    <row r="95" spans="1:16" x14ac:dyDescent="0.25">
      <c r="A95" s="41">
        <f t="shared" si="153"/>
        <v>943</v>
      </c>
      <c r="B95" s="42">
        <f t="shared" si="153"/>
        <v>85</v>
      </c>
      <c r="C95" s="41" t="s">
        <v>1507</v>
      </c>
      <c r="D95" s="43">
        <f t="shared" si="132"/>
        <v>11.8</v>
      </c>
      <c r="E95" s="44">
        <f t="shared" ref="E95:G95" si="163">E94</f>
        <v>15</v>
      </c>
      <c r="F95" s="44">
        <f t="shared" si="163"/>
        <v>61.016949152542367</v>
      </c>
      <c r="G95" s="42" t="str">
        <f t="shared" si="163"/>
        <v>Half</v>
      </c>
      <c r="H95" s="50">
        <f>H94</f>
        <v>10</v>
      </c>
      <c r="I95" s="49">
        <f t="shared" ref="I95:J95" si="164">I94</f>
        <v>160</v>
      </c>
      <c r="J95" s="44">
        <f t="shared" si="164"/>
        <v>8</v>
      </c>
      <c r="K95" s="44">
        <f>yaw_null</f>
        <v>0</v>
      </c>
      <c r="L95" s="45">
        <f t="shared" ref="L95" si="165">L94</f>
        <v>0.2</v>
      </c>
      <c r="M95" s="49">
        <v>0</v>
      </c>
      <c r="N95" s="54">
        <f>I95</f>
        <v>160</v>
      </c>
      <c r="O95" s="44">
        <f t="shared" ref="O95:P95" si="166">O94</f>
        <v>150</v>
      </c>
      <c r="P95" s="50">
        <f t="shared" si="166"/>
        <v>270</v>
      </c>
    </row>
    <row r="96" spans="1:16" x14ac:dyDescent="0.25">
      <c r="A96" s="41">
        <f t="shared" si="153"/>
        <v>944</v>
      </c>
      <c r="B96" s="42">
        <f t="shared" si="153"/>
        <v>86</v>
      </c>
      <c r="C96" s="41" t="s">
        <v>1508</v>
      </c>
      <c r="D96" s="43">
        <f t="shared" si="132"/>
        <v>11.8</v>
      </c>
      <c r="E96" s="44">
        <f t="shared" ref="E96:L96" si="167">E95</f>
        <v>15</v>
      </c>
      <c r="F96" s="44">
        <f t="shared" si="167"/>
        <v>61.016949152542367</v>
      </c>
      <c r="G96" s="42" t="str">
        <f t="shared" si="167"/>
        <v>Half</v>
      </c>
      <c r="H96" s="50">
        <f t="shared" si="167"/>
        <v>10</v>
      </c>
      <c r="I96" s="49">
        <f t="shared" si="167"/>
        <v>160</v>
      </c>
      <c r="J96" s="44">
        <f t="shared" si="167"/>
        <v>8</v>
      </c>
      <c r="K96" s="44">
        <f t="shared" si="167"/>
        <v>0</v>
      </c>
      <c r="L96" s="45">
        <f t="shared" si="167"/>
        <v>0.2</v>
      </c>
      <c r="M96" s="49">
        <v>0</v>
      </c>
      <c r="N96" s="54">
        <f>I96+5</f>
        <v>165</v>
      </c>
      <c r="O96" s="44">
        <f t="shared" ref="O96:P96" si="168">O95</f>
        <v>150</v>
      </c>
      <c r="P96" s="50">
        <f t="shared" si="168"/>
        <v>270</v>
      </c>
    </row>
    <row r="97" spans="1:16" x14ac:dyDescent="0.25">
      <c r="A97" s="41">
        <f t="shared" si="153"/>
        <v>945</v>
      </c>
      <c r="B97" s="42">
        <f t="shared" si="153"/>
        <v>87</v>
      </c>
      <c r="C97" s="41" t="s">
        <v>1509</v>
      </c>
      <c r="D97" s="43">
        <f t="shared" si="132"/>
        <v>11.8</v>
      </c>
      <c r="E97" s="44">
        <f t="shared" ref="E97:L97" si="169">E96</f>
        <v>15</v>
      </c>
      <c r="F97" s="44">
        <f t="shared" si="169"/>
        <v>61.016949152542367</v>
      </c>
      <c r="G97" s="42" t="str">
        <f t="shared" si="169"/>
        <v>Half</v>
      </c>
      <c r="H97" s="50">
        <f t="shared" si="169"/>
        <v>10</v>
      </c>
      <c r="I97" s="49">
        <f t="shared" si="169"/>
        <v>160</v>
      </c>
      <c r="J97" s="44">
        <f t="shared" si="169"/>
        <v>8</v>
      </c>
      <c r="K97" s="44">
        <f t="shared" si="169"/>
        <v>0</v>
      </c>
      <c r="L97" s="45">
        <f t="shared" si="169"/>
        <v>0.2</v>
      </c>
      <c r="M97" s="49">
        <v>0</v>
      </c>
      <c r="N97" s="54">
        <f>I97+10</f>
        <v>170</v>
      </c>
      <c r="O97" s="44">
        <f t="shared" ref="O97:P97" si="170">O96</f>
        <v>150</v>
      </c>
      <c r="P97" s="50">
        <f t="shared" si="170"/>
        <v>270</v>
      </c>
    </row>
    <row r="98" spans="1:16" x14ac:dyDescent="0.25">
      <c r="A98" s="41">
        <f t="shared" si="153"/>
        <v>946</v>
      </c>
      <c r="B98" s="42">
        <f t="shared" si="153"/>
        <v>88</v>
      </c>
      <c r="C98" s="41" t="s">
        <v>1510</v>
      </c>
      <c r="D98" s="43">
        <f t="shared" si="132"/>
        <v>11.8</v>
      </c>
      <c r="E98" s="44">
        <f t="shared" ref="E98:L98" si="171">E97</f>
        <v>15</v>
      </c>
      <c r="F98" s="44">
        <f t="shared" si="171"/>
        <v>61.016949152542367</v>
      </c>
      <c r="G98" s="42" t="str">
        <f t="shared" si="171"/>
        <v>Half</v>
      </c>
      <c r="H98" s="50">
        <f t="shared" si="171"/>
        <v>10</v>
      </c>
      <c r="I98" s="49">
        <f t="shared" si="171"/>
        <v>160</v>
      </c>
      <c r="J98" s="44">
        <f t="shared" si="171"/>
        <v>8</v>
      </c>
      <c r="K98" s="44">
        <f t="shared" si="171"/>
        <v>0</v>
      </c>
      <c r="L98" s="45">
        <f t="shared" si="171"/>
        <v>0.2</v>
      </c>
      <c r="M98" s="49">
        <v>30</v>
      </c>
      <c r="N98" s="54">
        <f>I98</f>
        <v>160</v>
      </c>
      <c r="O98" s="44">
        <f t="shared" ref="O98:P98" si="172">O97</f>
        <v>150</v>
      </c>
      <c r="P98" s="50">
        <f t="shared" si="172"/>
        <v>270</v>
      </c>
    </row>
    <row r="99" spans="1:16" x14ac:dyDescent="0.25">
      <c r="A99" s="41">
        <f t="shared" si="153"/>
        <v>947</v>
      </c>
      <c r="B99" s="42">
        <f t="shared" si="153"/>
        <v>89</v>
      </c>
      <c r="C99" s="41" t="s">
        <v>1511</v>
      </c>
      <c r="D99" s="43">
        <f t="shared" si="132"/>
        <v>11.8</v>
      </c>
      <c r="E99" s="44">
        <f t="shared" ref="E99:F99" si="173">E98</f>
        <v>15</v>
      </c>
      <c r="F99" s="44">
        <f t="shared" si="173"/>
        <v>61.016949152542367</v>
      </c>
      <c r="G99" s="42" t="s">
        <v>12</v>
      </c>
      <c r="H99" s="50">
        <v>10</v>
      </c>
      <c r="I99" s="49">
        <f t="shared" ref="I99:L99" si="174">I98</f>
        <v>160</v>
      </c>
      <c r="J99" s="44">
        <f t="shared" si="174"/>
        <v>8</v>
      </c>
      <c r="K99" s="44">
        <f t="shared" si="174"/>
        <v>0</v>
      </c>
      <c r="L99" s="45">
        <f t="shared" si="174"/>
        <v>0.2</v>
      </c>
      <c r="M99" s="49">
        <v>30</v>
      </c>
      <c r="N99" s="54">
        <f>I99+5</f>
        <v>165</v>
      </c>
      <c r="O99" s="44">
        <f t="shared" ref="O99:P99" si="175">O98</f>
        <v>150</v>
      </c>
      <c r="P99" s="50">
        <f t="shared" si="175"/>
        <v>270</v>
      </c>
    </row>
    <row r="100" spans="1:16" x14ac:dyDescent="0.25">
      <c r="A100" s="41">
        <f t="shared" si="153"/>
        <v>948</v>
      </c>
      <c r="B100" s="42">
        <f t="shared" si="153"/>
        <v>90</v>
      </c>
      <c r="C100" s="41" t="s">
        <v>1512</v>
      </c>
      <c r="D100" s="43">
        <f t="shared" si="132"/>
        <v>11.8</v>
      </c>
      <c r="E100" s="44">
        <f t="shared" ref="E100:F100" si="176">E99</f>
        <v>15</v>
      </c>
      <c r="F100" s="44">
        <f t="shared" si="176"/>
        <v>61.016949152542367</v>
      </c>
      <c r="G100" s="42" t="str">
        <f>G99</f>
        <v>Half</v>
      </c>
      <c r="H100" s="50">
        <f>H99</f>
        <v>10</v>
      </c>
      <c r="I100" s="49">
        <f t="shared" ref="I100:L100" si="177">I99</f>
        <v>160</v>
      </c>
      <c r="J100" s="44">
        <f t="shared" si="177"/>
        <v>8</v>
      </c>
      <c r="K100" s="44">
        <f t="shared" si="177"/>
        <v>0</v>
      </c>
      <c r="L100" s="45">
        <f t="shared" si="177"/>
        <v>0.2</v>
      </c>
      <c r="M100" s="49">
        <v>30</v>
      </c>
      <c r="N100" s="54">
        <f>I100+10</f>
        <v>170</v>
      </c>
      <c r="O100" s="44">
        <f t="shared" ref="O100:P100" si="178">O99</f>
        <v>150</v>
      </c>
      <c r="P100" s="50">
        <f t="shared" si="178"/>
        <v>270</v>
      </c>
    </row>
    <row r="101" spans="1:16" x14ac:dyDescent="0.25">
      <c r="A101" s="41">
        <f t="shared" si="153"/>
        <v>949</v>
      </c>
      <c r="B101" s="42">
        <f t="shared" si="153"/>
        <v>91</v>
      </c>
      <c r="C101" s="41" t="s">
        <v>1513</v>
      </c>
      <c r="D101" s="43">
        <f t="shared" si="132"/>
        <v>11.8</v>
      </c>
      <c r="E101" s="44">
        <f t="shared" ref="E101:L101" si="179">E100</f>
        <v>15</v>
      </c>
      <c r="F101" s="44">
        <f t="shared" si="179"/>
        <v>61.016949152542367</v>
      </c>
      <c r="G101" s="42" t="str">
        <f t="shared" si="179"/>
        <v>Half</v>
      </c>
      <c r="H101" s="50">
        <f t="shared" si="179"/>
        <v>10</v>
      </c>
      <c r="I101" s="49">
        <f t="shared" si="179"/>
        <v>160</v>
      </c>
      <c r="J101" s="44">
        <f t="shared" si="179"/>
        <v>8</v>
      </c>
      <c r="K101" s="44">
        <f t="shared" si="179"/>
        <v>0</v>
      </c>
      <c r="L101" s="45">
        <f t="shared" si="179"/>
        <v>0.2</v>
      </c>
      <c r="M101" s="49">
        <v>60</v>
      </c>
      <c r="N101" s="54">
        <f>I101</f>
        <v>160</v>
      </c>
      <c r="O101" s="44">
        <f t="shared" ref="O101:P101" si="180">O100</f>
        <v>150</v>
      </c>
      <c r="P101" s="50">
        <f t="shared" si="180"/>
        <v>270</v>
      </c>
    </row>
    <row r="102" spans="1:16" x14ac:dyDescent="0.25">
      <c r="A102" s="41">
        <f t="shared" si="153"/>
        <v>950</v>
      </c>
      <c r="B102" s="42">
        <f t="shared" si="153"/>
        <v>92</v>
      </c>
      <c r="C102" s="41" t="s">
        <v>1514</v>
      </c>
      <c r="D102" s="43">
        <f t="shared" si="132"/>
        <v>11.8</v>
      </c>
      <c r="E102" s="44">
        <f t="shared" ref="E102:L102" si="181">E101</f>
        <v>15</v>
      </c>
      <c r="F102" s="44">
        <f t="shared" si="181"/>
        <v>61.016949152542367</v>
      </c>
      <c r="G102" s="42" t="str">
        <f t="shared" si="181"/>
        <v>Half</v>
      </c>
      <c r="H102" s="50">
        <f t="shared" si="181"/>
        <v>10</v>
      </c>
      <c r="I102" s="49">
        <f t="shared" si="181"/>
        <v>160</v>
      </c>
      <c r="J102" s="44">
        <f t="shared" si="181"/>
        <v>8</v>
      </c>
      <c r="K102" s="44">
        <f t="shared" si="181"/>
        <v>0</v>
      </c>
      <c r="L102" s="45">
        <f t="shared" si="181"/>
        <v>0.2</v>
      </c>
      <c r="M102" s="49">
        <v>60</v>
      </c>
      <c r="N102" s="54">
        <f>I102+5</f>
        <v>165</v>
      </c>
      <c r="O102" s="44">
        <f t="shared" ref="O102:P102" si="182">O101</f>
        <v>150</v>
      </c>
      <c r="P102" s="50">
        <f t="shared" si="182"/>
        <v>270</v>
      </c>
    </row>
    <row r="103" spans="1:16" x14ac:dyDescent="0.25">
      <c r="A103" s="41">
        <f t="shared" si="153"/>
        <v>951</v>
      </c>
      <c r="B103" s="42">
        <f t="shared" si="153"/>
        <v>93</v>
      </c>
      <c r="C103" s="41" t="s">
        <v>1515</v>
      </c>
      <c r="D103" s="43">
        <f t="shared" si="132"/>
        <v>11.8</v>
      </c>
      <c r="E103" s="44">
        <f t="shared" ref="E103:L103" si="183">E102</f>
        <v>15</v>
      </c>
      <c r="F103" s="44">
        <f t="shared" si="183"/>
        <v>61.016949152542367</v>
      </c>
      <c r="G103" s="42" t="str">
        <f t="shared" si="183"/>
        <v>Half</v>
      </c>
      <c r="H103" s="50">
        <f t="shared" si="183"/>
        <v>10</v>
      </c>
      <c r="I103" s="49">
        <f t="shared" si="183"/>
        <v>160</v>
      </c>
      <c r="J103" s="44">
        <f t="shared" si="183"/>
        <v>8</v>
      </c>
      <c r="K103" s="44">
        <f t="shared" si="183"/>
        <v>0</v>
      </c>
      <c r="L103" s="45">
        <f t="shared" si="183"/>
        <v>0.2</v>
      </c>
      <c r="M103" s="49">
        <v>60</v>
      </c>
      <c r="N103" s="54">
        <f>I103+10</f>
        <v>170</v>
      </c>
      <c r="O103" s="44">
        <f t="shared" ref="O103:P103" si="184">O102</f>
        <v>150</v>
      </c>
      <c r="P103" s="50">
        <f t="shared" si="184"/>
        <v>270</v>
      </c>
    </row>
    <row r="104" spans="1:16" x14ac:dyDescent="0.25">
      <c r="A104" s="41">
        <f t="shared" si="153"/>
        <v>952</v>
      </c>
      <c r="B104" s="42">
        <f t="shared" si="153"/>
        <v>94</v>
      </c>
      <c r="C104" s="41" t="s">
        <v>1516</v>
      </c>
      <c r="D104" s="43">
        <f t="shared" si="132"/>
        <v>11.8</v>
      </c>
      <c r="E104" s="44">
        <f t="shared" ref="E104:L104" si="185">E103</f>
        <v>15</v>
      </c>
      <c r="F104" s="44">
        <f t="shared" si="185"/>
        <v>61.016949152542367</v>
      </c>
      <c r="G104" s="42" t="str">
        <f t="shared" si="185"/>
        <v>Half</v>
      </c>
      <c r="H104" s="50">
        <f t="shared" si="185"/>
        <v>10</v>
      </c>
      <c r="I104" s="49">
        <f t="shared" si="185"/>
        <v>160</v>
      </c>
      <c r="J104" s="44">
        <f t="shared" si="185"/>
        <v>8</v>
      </c>
      <c r="K104" s="44">
        <f t="shared" si="185"/>
        <v>0</v>
      </c>
      <c r="L104" s="45">
        <f t="shared" si="185"/>
        <v>0.2</v>
      </c>
      <c r="M104" s="49">
        <v>90</v>
      </c>
      <c r="N104" s="54">
        <f>I104</f>
        <v>160</v>
      </c>
      <c r="O104" s="44">
        <f t="shared" ref="O104:P104" si="186">O103</f>
        <v>150</v>
      </c>
      <c r="P104" s="50">
        <f t="shared" si="186"/>
        <v>270</v>
      </c>
    </row>
    <row r="105" spans="1:16" x14ac:dyDescent="0.25">
      <c r="A105" s="41">
        <f t="shared" si="153"/>
        <v>953</v>
      </c>
      <c r="B105" s="42">
        <f t="shared" si="153"/>
        <v>95</v>
      </c>
      <c r="C105" s="41" t="s">
        <v>1517</v>
      </c>
      <c r="D105" s="43">
        <f t="shared" si="132"/>
        <v>11.8</v>
      </c>
      <c r="E105" s="44">
        <f t="shared" ref="E105:L105" si="187">E104</f>
        <v>15</v>
      </c>
      <c r="F105" s="44">
        <f t="shared" si="187"/>
        <v>61.016949152542367</v>
      </c>
      <c r="G105" s="42" t="str">
        <f t="shared" si="187"/>
        <v>Half</v>
      </c>
      <c r="H105" s="50">
        <f t="shared" si="187"/>
        <v>10</v>
      </c>
      <c r="I105" s="49">
        <f t="shared" si="187"/>
        <v>160</v>
      </c>
      <c r="J105" s="44">
        <f t="shared" si="187"/>
        <v>8</v>
      </c>
      <c r="K105" s="44">
        <f t="shared" si="187"/>
        <v>0</v>
      </c>
      <c r="L105" s="45">
        <f t="shared" si="187"/>
        <v>0.2</v>
      </c>
      <c r="M105" s="49">
        <v>90</v>
      </c>
      <c r="N105" s="54">
        <f>I105+5</f>
        <v>165</v>
      </c>
      <c r="O105" s="44">
        <f t="shared" ref="O105:P105" si="188">O104</f>
        <v>150</v>
      </c>
      <c r="P105" s="50">
        <f t="shared" si="188"/>
        <v>270</v>
      </c>
    </row>
    <row r="106" spans="1:16" x14ac:dyDescent="0.25">
      <c r="A106" s="41">
        <f t="shared" si="153"/>
        <v>954</v>
      </c>
      <c r="B106" s="42">
        <f t="shared" si="153"/>
        <v>96</v>
      </c>
      <c r="C106" s="127" t="s">
        <v>1518</v>
      </c>
      <c r="D106" s="43">
        <f t="shared" si="132"/>
        <v>11.8</v>
      </c>
      <c r="E106" s="44">
        <f t="shared" ref="E106:L106" si="189">E105</f>
        <v>15</v>
      </c>
      <c r="F106" s="44">
        <f t="shared" si="189"/>
        <v>61.016949152542367</v>
      </c>
      <c r="G106" s="42" t="str">
        <f t="shared" si="189"/>
        <v>Half</v>
      </c>
      <c r="H106" s="50">
        <f t="shared" si="189"/>
        <v>10</v>
      </c>
      <c r="I106" s="49">
        <f t="shared" si="189"/>
        <v>160</v>
      </c>
      <c r="J106" s="44">
        <f t="shared" si="189"/>
        <v>8</v>
      </c>
      <c r="K106" s="44">
        <f t="shared" si="189"/>
        <v>0</v>
      </c>
      <c r="L106" s="45">
        <f t="shared" si="189"/>
        <v>0.2</v>
      </c>
      <c r="M106" s="49">
        <v>90</v>
      </c>
      <c r="N106" s="54">
        <f>I106+10</f>
        <v>170</v>
      </c>
      <c r="O106" s="44">
        <f t="shared" ref="O106:P106" si="190">O105</f>
        <v>150</v>
      </c>
      <c r="P106" s="50">
        <f t="shared" si="190"/>
        <v>270</v>
      </c>
    </row>
    <row r="107" spans="1:16" x14ac:dyDescent="0.25">
      <c r="A107" s="41">
        <f t="shared" si="153"/>
        <v>955</v>
      </c>
      <c r="B107" s="42">
        <f t="shared" si="153"/>
        <v>97</v>
      </c>
      <c r="C107" s="41" t="s">
        <v>1519</v>
      </c>
      <c r="D107" s="43">
        <f t="shared" si="132"/>
        <v>11.8</v>
      </c>
      <c r="E107" s="44">
        <f t="shared" ref="E107:J107" si="191">E106</f>
        <v>15</v>
      </c>
      <c r="F107" s="44">
        <f t="shared" si="191"/>
        <v>61.016949152542367</v>
      </c>
      <c r="G107" s="42" t="str">
        <f t="shared" si="191"/>
        <v>Half</v>
      </c>
      <c r="H107" s="50">
        <f t="shared" si="191"/>
        <v>10</v>
      </c>
      <c r="I107" s="49">
        <f t="shared" si="191"/>
        <v>160</v>
      </c>
      <c r="J107" s="44">
        <f t="shared" si="191"/>
        <v>8</v>
      </c>
      <c r="K107" s="44">
        <f>yaw_max</f>
        <v>8</v>
      </c>
      <c r="L107" s="45">
        <f t="shared" ref="L107" si="192">L106</f>
        <v>0.2</v>
      </c>
      <c r="M107" s="49">
        <v>0</v>
      </c>
      <c r="N107" s="54">
        <f>I107</f>
        <v>160</v>
      </c>
      <c r="O107" s="44">
        <f t="shared" ref="O107:P107" si="193">O106</f>
        <v>150</v>
      </c>
      <c r="P107" s="50">
        <f t="shared" si="193"/>
        <v>270</v>
      </c>
    </row>
    <row r="108" spans="1:16" x14ac:dyDescent="0.25">
      <c r="A108" s="41">
        <f t="shared" ref="A108:B123" si="194">A107+1</f>
        <v>956</v>
      </c>
      <c r="B108" s="42">
        <f t="shared" si="194"/>
        <v>98</v>
      </c>
      <c r="C108" s="41" t="s">
        <v>1520</v>
      </c>
      <c r="D108" s="43">
        <f t="shared" si="132"/>
        <v>11.8</v>
      </c>
      <c r="E108" s="44">
        <f t="shared" ref="E108:L108" si="195">E107</f>
        <v>15</v>
      </c>
      <c r="F108" s="44">
        <f t="shared" si="195"/>
        <v>61.016949152542367</v>
      </c>
      <c r="G108" s="42" t="str">
        <f t="shared" si="195"/>
        <v>Half</v>
      </c>
      <c r="H108" s="50">
        <f t="shared" si="195"/>
        <v>10</v>
      </c>
      <c r="I108" s="49">
        <f t="shared" si="195"/>
        <v>160</v>
      </c>
      <c r="J108" s="44">
        <f t="shared" si="195"/>
        <v>8</v>
      </c>
      <c r="K108" s="44">
        <f t="shared" si="195"/>
        <v>8</v>
      </c>
      <c r="L108" s="45">
        <f t="shared" si="195"/>
        <v>0.2</v>
      </c>
      <c r="M108" s="49">
        <v>0</v>
      </c>
      <c r="N108" s="54">
        <f>I108+5</f>
        <v>165</v>
      </c>
      <c r="O108" s="44">
        <f t="shared" ref="O108:P108" si="196">O107</f>
        <v>150</v>
      </c>
      <c r="P108" s="50">
        <f t="shared" si="196"/>
        <v>270</v>
      </c>
    </row>
    <row r="109" spans="1:16" x14ac:dyDescent="0.25">
      <c r="A109" s="41">
        <f t="shared" si="194"/>
        <v>957</v>
      </c>
      <c r="B109" s="42">
        <f t="shared" si="194"/>
        <v>99</v>
      </c>
      <c r="C109" s="41" t="s">
        <v>1521</v>
      </c>
      <c r="D109" s="43">
        <f t="shared" si="132"/>
        <v>11.8</v>
      </c>
      <c r="E109" s="44">
        <f t="shared" ref="E109:L109" si="197">E108</f>
        <v>15</v>
      </c>
      <c r="F109" s="44">
        <f t="shared" si="197"/>
        <v>61.016949152542367</v>
      </c>
      <c r="G109" s="42" t="str">
        <f t="shared" si="197"/>
        <v>Half</v>
      </c>
      <c r="H109" s="50">
        <f t="shared" si="197"/>
        <v>10</v>
      </c>
      <c r="I109" s="49">
        <f t="shared" si="197"/>
        <v>160</v>
      </c>
      <c r="J109" s="44">
        <f t="shared" si="197"/>
        <v>8</v>
      </c>
      <c r="K109" s="44">
        <f t="shared" si="197"/>
        <v>8</v>
      </c>
      <c r="L109" s="45">
        <f t="shared" si="197"/>
        <v>0.2</v>
      </c>
      <c r="M109" s="49">
        <v>0</v>
      </c>
      <c r="N109" s="54">
        <f>I109+10</f>
        <v>170</v>
      </c>
      <c r="O109" s="44">
        <f t="shared" ref="O109:P109" si="198">O108</f>
        <v>150</v>
      </c>
      <c r="P109" s="50">
        <f t="shared" si="198"/>
        <v>270</v>
      </c>
    </row>
    <row r="110" spans="1:16" x14ac:dyDescent="0.25">
      <c r="A110" s="41">
        <f t="shared" si="194"/>
        <v>958</v>
      </c>
      <c r="B110" s="42">
        <f t="shared" si="194"/>
        <v>100</v>
      </c>
      <c r="C110" s="41" t="s">
        <v>1522</v>
      </c>
      <c r="D110" s="43">
        <f t="shared" si="132"/>
        <v>11.8</v>
      </c>
      <c r="E110" s="44">
        <f t="shared" ref="E110:L110" si="199">E109</f>
        <v>15</v>
      </c>
      <c r="F110" s="44">
        <f t="shared" si="199"/>
        <v>61.016949152542367</v>
      </c>
      <c r="G110" s="42" t="str">
        <f t="shared" si="199"/>
        <v>Half</v>
      </c>
      <c r="H110" s="50">
        <f t="shared" si="199"/>
        <v>10</v>
      </c>
      <c r="I110" s="49">
        <f t="shared" si="199"/>
        <v>160</v>
      </c>
      <c r="J110" s="44">
        <f t="shared" si="199"/>
        <v>8</v>
      </c>
      <c r="K110" s="44">
        <f t="shared" si="199"/>
        <v>8</v>
      </c>
      <c r="L110" s="45">
        <f t="shared" si="199"/>
        <v>0.2</v>
      </c>
      <c r="M110" s="49">
        <v>30</v>
      </c>
      <c r="N110" s="54">
        <f>I110</f>
        <v>160</v>
      </c>
      <c r="O110" s="44">
        <f t="shared" ref="O110:P110" si="200">O109</f>
        <v>150</v>
      </c>
      <c r="P110" s="50">
        <f t="shared" si="200"/>
        <v>270</v>
      </c>
    </row>
    <row r="111" spans="1:16" x14ac:dyDescent="0.25">
      <c r="A111" s="41">
        <f t="shared" si="194"/>
        <v>959</v>
      </c>
      <c r="B111" s="42">
        <f t="shared" si="194"/>
        <v>101</v>
      </c>
      <c r="C111" s="41" t="s">
        <v>1523</v>
      </c>
      <c r="D111" s="43">
        <f t="shared" si="132"/>
        <v>11.8</v>
      </c>
      <c r="E111" s="44">
        <f t="shared" ref="E111:G111" si="201">E110</f>
        <v>15</v>
      </c>
      <c r="F111" s="44">
        <f t="shared" si="201"/>
        <v>61.016949152542367</v>
      </c>
      <c r="G111" s="42" t="str">
        <f t="shared" si="201"/>
        <v>Half</v>
      </c>
      <c r="H111" s="50">
        <f>H110</f>
        <v>10</v>
      </c>
      <c r="I111" s="49">
        <f t="shared" ref="I111:L111" si="202">I110</f>
        <v>160</v>
      </c>
      <c r="J111" s="44">
        <f t="shared" si="202"/>
        <v>8</v>
      </c>
      <c r="K111" s="44">
        <f t="shared" si="202"/>
        <v>8</v>
      </c>
      <c r="L111" s="45">
        <f t="shared" si="202"/>
        <v>0.2</v>
      </c>
      <c r="M111" s="49">
        <v>30</v>
      </c>
      <c r="N111" s="54">
        <f>I111+5</f>
        <v>165</v>
      </c>
      <c r="O111" s="44">
        <f t="shared" ref="O111:P111" si="203">O110</f>
        <v>150</v>
      </c>
      <c r="P111" s="50">
        <f t="shared" si="203"/>
        <v>270</v>
      </c>
    </row>
    <row r="112" spans="1:16" x14ac:dyDescent="0.25">
      <c r="A112" s="41">
        <f t="shared" si="194"/>
        <v>960</v>
      </c>
      <c r="B112" s="42">
        <f t="shared" si="194"/>
        <v>102</v>
      </c>
      <c r="C112" s="41" t="s">
        <v>1524</v>
      </c>
      <c r="D112" s="43">
        <f t="shared" si="132"/>
        <v>11.8</v>
      </c>
      <c r="E112" s="44">
        <f t="shared" ref="E112:G112" si="204">E111</f>
        <v>15</v>
      </c>
      <c r="F112" s="44">
        <f t="shared" si="204"/>
        <v>61.016949152542367</v>
      </c>
      <c r="G112" s="42" t="str">
        <f t="shared" si="204"/>
        <v>Half</v>
      </c>
      <c r="H112" s="50">
        <f>H111</f>
        <v>10</v>
      </c>
      <c r="I112" s="49">
        <f t="shared" ref="I112:L112" si="205">I111</f>
        <v>160</v>
      </c>
      <c r="J112" s="44">
        <f t="shared" si="205"/>
        <v>8</v>
      </c>
      <c r="K112" s="44">
        <f t="shared" si="205"/>
        <v>8</v>
      </c>
      <c r="L112" s="45">
        <f t="shared" si="205"/>
        <v>0.2</v>
      </c>
      <c r="M112" s="49">
        <v>30</v>
      </c>
      <c r="N112" s="54">
        <f>I112+10</f>
        <v>170</v>
      </c>
      <c r="O112" s="44">
        <f t="shared" ref="O112:P112" si="206">O111</f>
        <v>150</v>
      </c>
      <c r="P112" s="50">
        <f t="shared" si="206"/>
        <v>270</v>
      </c>
    </row>
    <row r="113" spans="1:16" x14ac:dyDescent="0.25">
      <c r="A113" s="41">
        <f t="shared" si="194"/>
        <v>961</v>
      </c>
      <c r="B113" s="42">
        <f t="shared" si="194"/>
        <v>103</v>
      </c>
      <c r="C113" s="41" t="s">
        <v>1525</v>
      </c>
      <c r="D113" s="43">
        <f t="shared" si="132"/>
        <v>11.8</v>
      </c>
      <c r="E113" s="44">
        <f t="shared" ref="E113:G113" si="207">E112</f>
        <v>15</v>
      </c>
      <c r="F113" s="44">
        <f t="shared" si="207"/>
        <v>61.016949152542367</v>
      </c>
      <c r="G113" s="42" t="str">
        <f t="shared" si="207"/>
        <v>Half</v>
      </c>
      <c r="H113" s="50">
        <f>H112</f>
        <v>10</v>
      </c>
      <c r="I113" s="49">
        <f t="shared" ref="I113:L113" si="208">I112</f>
        <v>160</v>
      </c>
      <c r="J113" s="44">
        <f t="shared" si="208"/>
        <v>8</v>
      </c>
      <c r="K113" s="44">
        <f t="shared" si="208"/>
        <v>8</v>
      </c>
      <c r="L113" s="45">
        <f t="shared" si="208"/>
        <v>0.2</v>
      </c>
      <c r="M113" s="49">
        <v>60</v>
      </c>
      <c r="N113" s="54">
        <f>I113</f>
        <v>160</v>
      </c>
      <c r="O113" s="44">
        <f t="shared" ref="O113:P113" si="209">O112</f>
        <v>150</v>
      </c>
      <c r="P113" s="50">
        <f t="shared" si="209"/>
        <v>270</v>
      </c>
    </row>
    <row r="114" spans="1:16" x14ac:dyDescent="0.25">
      <c r="A114" s="41">
        <f t="shared" si="194"/>
        <v>962</v>
      </c>
      <c r="B114" s="42">
        <f t="shared" si="194"/>
        <v>104</v>
      </c>
      <c r="C114" s="41" t="s">
        <v>1526</v>
      </c>
      <c r="D114" s="43">
        <f t="shared" si="132"/>
        <v>11.8</v>
      </c>
      <c r="E114" s="44">
        <f t="shared" ref="E114:G114" si="210">E113</f>
        <v>15</v>
      </c>
      <c r="F114" s="44">
        <f t="shared" si="210"/>
        <v>61.016949152542367</v>
      </c>
      <c r="G114" s="42" t="str">
        <f t="shared" si="210"/>
        <v>Half</v>
      </c>
      <c r="H114" s="50">
        <f>H113</f>
        <v>10</v>
      </c>
      <c r="I114" s="49">
        <f t="shared" ref="I114:L114" si="211">I113</f>
        <v>160</v>
      </c>
      <c r="J114" s="44">
        <f t="shared" si="211"/>
        <v>8</v>
      </c>
      <c r="K114" s="44">
        <f t="shared" si="211"/>
        <v>8</v>
      </c>
      <c r="L114" s="45">
        <f t="shared" si="211"/>
        <v>0.2</v>
      </c>
      <c r="M114" s="49">
        <v>60</v>
      </c>
      <c r="N114" s="54">
        <f>I114+5</f>
        <v>165</v>
      </c>
      <c r="O114" s="44">
        <f t="shared" ref="O114:P114" si="212">O113</f>
        <v>150</v>
      </c>
      <c r="P114" s="50">
        <f t="shared" si="212"/>
        <v>270</v>
      </c>
    </row>
    <row r="115" spans="1:16" x14ac:dyDescent="0.25">
      <c r="A115" s="41">
        <f t="shared" si="194"/>
        <v>963</v>
      </c>
      <c r="B115" s="42">
        <f t="shared" si="194"/>
        <v>105</v>
      </c>
      <c r="C115" s="41" t="s">
        <v>1527</v>
      </c>
      <c r="D115" s="43">
        <f t="shared" ref="D115:D146" si="213">vr_a</f>
        <v>11.8</v>
      </c>
      <c r="E115" s="44">
        <f t="shared" ref="E115:F115" si="214">E114</f>
        <v>15</v>
      </c>
      <c r="F115" s="44">
        <f t="shared" si="214"/>
        <v>61.016949152542367</v>
      </c>
      <c r="G115" s="42" t="s">
        <v>12</v>
      </c>
      <c r="H115" s="50">
        <v>10</v>
      </c>
      <c r="I115" s="49">
        <f t="shared" ref="I115:L115" si="215">I114</f>
        <v>160</v>
      </c>
      <c r="J115" s="44">
        <f t="shared" si="215"/>
        <v>8</v>
      </c>
      <c r="K115" s="44">
        <f t="shared" si="215"/>
        <v>8</v>
      </c>
      <c r="L115" s="45">
        <f t="shared" si="215"/>
        <v>0.2</v>
      </c>
      <c r="M115" s="49">
        <v>60</v>
      </c>
      <c r="N115" s="54">
        <f>I115+10</f>
        <v>170</v>
      </c>
      <c r="O115" s="44">
        <f t="shared" ref="O115:P115" si="216">O114</f>
        <v>150</v>
      </c>
      <c r="P115" s="50">
        <f t="shared" si="216"/>
        <v>270</v>
      </c>
    </row>
    <row r="116" spans="1:16" x14ac:dyDescent="0.25">
      <c r="A116" s="41">
        <f t="shared" si="194"/>
        <v>964</v>
      </c>
      <c r="B116" s="42">
        <f t="shared" si="194"/>
        <v>106</v>
      </c>
      <c r="C116" s="41" t="s">
        <v>1528</v>
      </c>
      <c r="D116" s="43">
        <f t="shared" si="213"/>
        <v>11.8</v>
      </c>
      <c r="E116" s="44">
        <f t="shared" ref="E116:F116" si="217">E115</f>
        <v>15</v>
      </c>
      <c r="F116" s="44">
        <f t="shared" si="217"/>
        <v>61.016949152542367</v>
      </c>
      <c r="G116" s="42" t="str">
        <f>G115</f>
        <v>Half</v>
      </c>
      <c r="H116" s="50">
        <f>H115</f>
        <v>10</v>
      </c>
      <c r="I116" s="49">
        <f t="shared" ref="I116:L116" si="218">I115</f>
        <v>160</v>
      </c>
      <c r="J116" s="44">
        <f t="shared" si="218"/>
        <v>8</v>
      </c>
      <c r="K116" s="44">
        <f t="shared" si="218"/>
        <v>8</v>
      </c>
      <c r="L116" s="45">
        <f t="shared" si="218"/>
        <v>0.2</v>
      </c>
      <c r="M116" s="49">
        <v>90</v>
      </c>
      <c r="N116" s="54">
        <f>I116</f>
        <v>160</v>
      </c>
      <c r="O116" s="44">
        <f t="shared" ref="O116:P116" si="219">O115</f>
        <v>150</v>
      </c>
      <c r="P116" s="50">
        <f t="shared" si="219"/>
        <v>270</v>
      </c>
    </row>
    <row r="117" spans="1:16" x14ac:dyDescent="0.25">
      <c r="A117" s="41">
        <f t="shared" si="194"/>
        <v>965</v>
      </c>
      <c r="B117" s="42">
        <f t="shared" si="194"/>
        <v>107</v>
      </c>
      <c r="C117" s="41" t="s">
        <v>1529</v>
      </c>
      <c r="D117" s="43">
        <f t="shared" si="213"/>
        <v>11.8</v>
      </c>
      <c r="E117" s="44">
        <f t="shared" ref="E117:L117" si="220">E116</f>
        <v>15</v>
      </c>
      <c r="F117" s="44">
        <f t="shared" si="220"/>
        <v>61.016949152542367</v>
      </c>
      <c r="G117" s="42" t="str">
        <f t="shared" si="220"/>
        <v>Half</v>
      </c>
      <c r="H117" s="50">
        <f t="shared" si="220"/>
        <v>10</v>
      </c>
      <c r="I117" s="49">
        <f t="shared" si="220"/>
        <v>160</v>
      </c>
      <c r="J117" s="44">
        <f t="shared" si="220"/>
        <v>8</v>
      </c>
      <c r="K117" s="44">
        <f t="shared" si="220"/>
        <v>8</v>
      </c>
      <c r="L117" s="45">
        <f t="shared" si="220"/>
        <v>0.2</v>
      </c>
      <c r="M117" s="49">
        <v>90</v>
      </c>
      <c r="N117" s="54">
        <f>I117+5</f>
        <v>165</v>
      </c>
      <c r="O117" s="44">
        <f t="shared" ref="O117:P117" si="221">O116</f>
        <v>150</v>
      </c>
      <c r="P117" s="50">
        <f t="shared" si="221"/>
        <v>270</v>
      </c>
    </row>
    <row r="118" spans="1:16" x14ac:dyDescent="0.25">
      <c r="A118" s="41">
        <f t="shared" si="194"/>
        <v>966</v>
      </c>
      <c r="B118" s="42">
        <f t="shared" si="194"/>
        <v>108</v>
      </c>
      <c r="C118" s="41" t="s">
        <v>1530</v>
      </c>
      <c r="D118" s="43">
        <f t="shared" si="213"/>
        <v>11.8</v>
      </c>
      <c r="E118" s="44">
        <f t="shared" ref="E118:L118" si="222">E117</f>
        <v>15</v>
      </c>
      <c r="F118" s="128">
        <f t="shared" si="222"/>
        <v>61.016949152542367</v>
      </c>
      <c r="G118" s="42" t="str">
        <f t="shared" si="222"/>
        <v>Half</v>
      </c>
      <c r="H118" s="50">
        <f t="shared" si="222"/>
        <v>10</v>
      </c>
      <c r="I118" s="49">
        <f t="shared" si="222"/>
        <v>160</v>
      </c>
      <c r="J118" s="44">
        <f t="shared" si="222"/>
        <v>8</v>
      </c>
      <c r="K118" s="44">
        <f t="shared" si="222"/>
        <v>8</v>
      </c>
      <c r="L118" s="45">
        <f t="shared" si="222"/>
        <v>0.2</v>
      </c>
      <c r="M118" s="49">
        <v>90</v>
      </c>
      <c r="N118" s="54">
        <f>I118+10</f>
        <v>170</v>
      </c>
      <c r="O118" s="44">
        <f t="shared" ref="O118:P118" si="223">O117</f>
        <v>150</v>
      </c>
      <c r="P118" s="50">
        <f t="shared" si="223"/>
        <v>270</v>
      </c>
    </row>
    <row r="119" spans="1:16" x14ac:dyDescent="0.25">
      <c r="A119" s="41">
        <f t="shared" si="194"/>
        <v>967</v>
      </c>
      <c r="B119" s="42">
        <f t="shared" si="194"/>
        <v>109</v>
      </c>
      <c r="C119" s="41" t="s">
        <v>1531</v>
      </c>
      <c r="D119" s="43">
        <f t="shared" si="213"/>
        <v>11.8</v>
      </c>
      <c r="E119" s="44">
        <f t="shared" ref="E119" si="224">E118</f>
        <v>15</v>
      </c>
      <c r="F119" s="44">
        <f>-720/D119</f>
        <v>-61.016949152542367</v>
      </c>
      <c r="G119" s="42" t="str">
        <f t="shared" ref="G119:J119" si="225">G118</f>
        <v>Half</v>
      </c>
      <c r="H119" s="50">
        <f t="shared" si="225"/>
        <v>10</v>
      </c>
      <c r="I119" s="49">
        <f t="shared" si="225"/>
        <v>160</v>
      </c>
      <c r="J119" s="44">
        <f t="shared" si="225"/>
        <v>8</v>
      </c>
      <c r="K119" s="44">
        <f>yaw_min</f>
        <v>-8</v>
      </c>
      <c r="L119" s="45">
        <f t="shared" ref="L119" si="226">L118</f>
        <v>0.2</v>
      </c>
      <c r="M119" s="49">
        <v>0</v>
      </c>
      <c r="N119" s="54">
        <f>I119</f>
        <v>160</v>
      </c>
      <c r="O119" s="44">
        <f t="shared" ref="O119:P119" si="227">O118</f>
        <v>150</v>
      </c>
      <c r="P119" s="50">
        <f t="shared" si="227"/>
        <v>270</v>
      </c>
    </row>
    <row r="120" spans="1:16" x14ac:dyDescent="0.25">
      <c r="A120" s="41">
        <f t="shared" si="194"/>
        <v>968</v>
      </c>
      <c r="B120" s="42">
        <f t="shared" si="194"/>
        <v>110</v>
      </c>
      <c r="C120" s="41" t="s">
        <v>1532</v>
      </c>
      <c r="D120" s="43">
        <f t="shared" si="213"/>
        <v>11.8</v>
      </c>
      <c r="E120" s="44">
        <f t="shared" ref="E120:L120" si="228">E119</f>
        <v>15</v>
      </c>
      <c r="F120" s="44">
        <f t="shared" si="228"/>
        <v>-61.016949152542367</v>
      </c>
      <c r="G120" s="42" t="str">
        <f t="shared" si="228"/>
        <v>Half</v>
      </c>
      <c r="H120" s="50">
        <f t="shared" si="228"/>
        <v>10</v>
      </c>
      <c r="I120" s="49">
        <f t="shared" si="228"/>
        <v>160</v>
      </c>
      <c r="J120" s="44">
        <f t="shared" si="228"/>
        <v>8</v>
      </c>
      <c r="K120" s="44">
        <f t="shared" si="228"/>
        <v>-8</v>
      </c>
      <c r="L120" s="45">
        <f t="shared" si="228"/>
        <v>0.2</v>
      </c>
      <c r="M120" s="49">
        <v>0</v>
      </c>
      <c r="N120" s="54">
        <f>I120+5</f>
        <v>165</v>
      </c>
      <c r="O120" s="44">
        <f t="shared" ref="O120:P120" si="229">O119</f>
        <v>150</v>
      </c>
      <c r="P120" s="50">
        <f t="shared" si="229"/>
        <v>270</v>
      </c>
    </row>
    <row r="121" spans="1:16" x14ac:dyDescent="0.25">
      <c r="A121" s="41">
        <f t="shared" si="194"/>
        <v>969</v>
      </c>
      <c r="B121" s="42">
        <f t="shared" si="194"/>
        <v>111</v>
      </c>
      <c r="C121" s="41" t="s">
        <v>1533</v>
      </c>
      <c r="D121" s="43">
        <f t="shared" si="213"/>
        <v>11.8</v>
      </c>
      <c r="E121" s="44">
        <f t="shared" ref="E121" si="230">E120</f>
        <v>15</v>
      </c>
      <c r="F121" s="44">
        <f>F120</f>
        <v>-61.016949152542367</v>
      </c>
      <c r="G121" s="42" t="str">
        <f t="shared" ref="G121:L121" si="231">G120</f>
        <v>Half</v>
      </c>
      <c r="H121" s="50">
        <f t="shared" si="231"/>
        <v>10</v>
      </c>
      <c r="I121" s="49">
        <f t="shared" si="231"/>
        <v>160</v>
      </c>
      <c r="J121" s="44">
        <f t="shared" si="231"/>
        <v>8</v>
      </c>
      <c r="K121" s="44">
        <f t="shared" si="231"/>
        <v>-8</v>
      </c>
      <c r="L121" s="45">
        <f t="shared" si="231"/>
        <v>0.2</v>
      </c>
      <c r="M121" s="49">
        <v>0</v>
      </c>
      <c r="N121" s="54">
        <f>I121+10</f>
        <v>170</v>
      </c>
      <c r="O121" s="44">
        <f t="shared" ref="O121:P121" si="232">O120</f>
        <v>150</v>
      </c>
      <c r="P121" s="50">
        <f t="shared" si="232"/>
        <v>270</v>
      </c>
    </row>
    <row r="122" spans="1:16" x14ac:dyDescent="0.25">
      <c r="A122" s="41">
        <f t="shared" si="194"/>
        <v>970</v>
      </c>
      <c r="B122" s="42">
        <f t="shared" si="194"/>
        <v>112</v>
      </c>
      <c r="C122" s="41" t="s">
        <v>1534</v>
      </c>
      <c r="D122" s="43">
        <f t="shared" si="213"/>
        <v>11.8</v>
      </c>
      <c r="E122" s="44">
        <f t="shared" ref="E122" si="233">E121</f>
        <v>15</v>
      </c>
      <c r="F122" s="44">
        <f>F121</f>
        <v>-61.016949152542367</v>
      </c>
      <c r="G122" s="42" t="str">
        <f t="shared" ref="G122:L122" si="234">G121</f>
        <v>Half</v>
      </c>
      <c r="H122" s="50">
        <f t="shared" si="234"/>
        <v>10</v>
      </c>
      <c r="I122" s="49">
        <f t="shared" si="234"/>
        <v>160</v>
      </c>
      <c r="J122" s="44">
        <f t="shared" si="234"/>
        <v>8</v>
      </c>
      <c r="K122" s="44">
        <f t="shared" si="234"/>
        <v>-8</v>
      </c>
      <c r="L122" s="45">
        <f t="shared" si="234"/>
        <v>0.2</v>
      </c>
      <c r="M122" s="49">
        <v>30</v>
      </c>
      <c r="N122" s="54">
        <f>I122</f>
        <v>160</v>
      </c>
      <c r="O122" s="44">
        <f t="shared" ref="O122:P122" si="235">O121</f>
        <v>150</v>
      </c>
      <c r="P122" s="50">
        <f t="shared" si="235"/>
        <v>270</v>
      </c>
    </row>
    <row r="123" spans="1:16" x14ac:dyDescent="0.25">
      <c r="A123" s="41">
        <f t="shared" si="194"/>
        <v>971</v>
      </c>
      <c r="B123" s="42">
        <f t="shared" si="194"/>
        <v>113</v>
      </c>
      <c r="C123" s="41" t="s">
        <v>1535</v>
      </c>
      <c r="D123" s="43">
        <f t="shared" si="213"/>
        <v>11.8</v>
      </c>
      <c r="E123" s="44">
        <f t="shared" ref="E123:L123" si="236">E122</f>
        <v>15</v>
      </c>
      <c r="F123" s="44">
        <f t="shared" si="236"/>
        <v>-61.016949152542367</v>
      </c>
      <c r="G123" s="42" t="str">
        <f t="shared" si="236"/>
        <v>Half</v>
      </c>
      <c r="H123" s="50">
        <f t="shared" si="236"/>
        <v>10</v>
      </c>
      <c r="I123" s="49">
        <f t="shared" si="236"/>
        <v>160</v>
      </c>
      <c r="J123" s="44">
        <f t="shared" si="236"/>
        <v>8</v>
      </c>
      <c r="K123" s="44">
        <f t="shared" si="236"/>
        <v>-8</v>
      </c>
      <c r="L123" s="45">
        <f t="shared" si="236"/>
        <v>0.2</v>
      </c>
      <c r="M123" s="49">
        <v>30</v>
      </c>
      <c r="N123" s="54">
        <f>I123+5</f>
        <v>165</v>
      </c>
      <c r="O123" s="44">
        <f t="shared" ref="O123:P123" si="237">O122</f>
        <v>150</v>
      </c>
      <c r="P123" s="50">
        <f t="shared" si="237"/>
        <v>270</v>
      </c>
    </row>
    <row r="124" spans="1:16" x14ac:dyDescent="0.25">
      <c r="A124" s="41">
        <f t="shared" ref="A124:B139" si="238">A123+1</f>
        <v>972</v>
      </c>
      <c r="B124" s="42">
        <f t="shared" si="238"/>
        <v>114</v>
      </c>
      <c r="C124" s="41" t="s">
        <v>1536</v>
      </c>
      <c r="D124" s="43">
        <f t="shared" si="213"/>
        <v>11.8</v>
      </c>
      <c r="E124" s="44">
        <f t="shared" ref="E124:L124" si="239">E123</f>
        <v>15</v>
      </c>
      <c r="F124" s="44">
        <f t="shared" si="239"/>
        <v>-61.016949152542367</v>
      </c>
      <c r="G124" s="42" t="str">
        <f t="shared" si="239"/>
        <v>Half</v>
      </c>
      <c r="H124" s="50">
        <f t="shared" si="239"/>
        <v>10</v>
      </c>
      <c r="I124" s="49">
        <f t="shared" si="239"/>
        <v>160</v>
      </c>
      <c r="J124" s="44">
        <f t="shared" si="239"/>
        <v>8</v>
      </c>
      <c r="K124" s="44">
        <f t="shared" si="239"/>
        <v>-8</v>
      </c>
      <c r="L124" s="45">
        <f t="shared" si="239"/>
        <v>0.2</v>
      </c>
      <c r="M124" s="49">
        <v>30</v>
      </c>
      <c r="N124" s="54">
        <f>I124+10</f>
        <v>170</v>
      </c>
      <c r="O124" s="44">
        <f t="shared" ref="O124:P124" si="240">O123</f>
        <v>150</v>
      </c>
      <c r="P124" s="50">
        <f t="shared" si="240"/>
        <v>270</v>
      </c>
    </row>
    <row r="125" spans="1:16" x14ac:dyDescent="0.25">
      <c r="A125" s="41">
        <f t="shared" si="238"/>
        <v>973</v>
      </c>
      <c r="B125" s="42">
        <f t="shared" si="238"/>
        <v>115</v>
      </c>
      <c r="C125" s="41" t="s">
        <v>1537</v>
      </c>
      <c r="D125" s="43">
        <f t="shared" si="213"/>
        <v>11.8</v>
      </c>
      <c r="E125" s="44">
        <f t="shared" ref="E125:L125" si="241">E124</f>
        <v>15</v>
      </c>
      <c r="F125" s="44">
        <f t="shared" si="241"/>
        <v>-61.016949152542367</v>
      </c>
      <c r="G125" s="42" t="str">
        <f t="shared" si="241"/>
        <v>Half</v>
      </c>
      <c r="H125" s="50">
        <f t="shared" si="241"/>
        <v>10</v>
      </c>
      <c r="I125" s="49">
        <f t="shared" si="241"/>
        <v>160</v>
      </c>
      <c r="J125" s="44">
        <f t="shared" si="241"/>
        <v>8</v>
      </c>
      <c r="K125" s="44">
        <f t="shared" si="241"/>
        <v>-8</v>
      </c>
      <c r="L125" s="45">
        <f t="shared" si="241"/>
        <v>0.2</v>
      </c>
      <c r="M125" s="49">
        <v>60</v>
      </c>
      <c r="N125" s="54">
        <f>I125</f>
        <v>160</v>
      </c>
      <c r="O125" s="44">
        <f t="shared" ref="O125:P125" si="242">O124</f>
        <v>150</v>
      </c>
      <c r="P125" s="50">
        <f t="shared" si="242"/>
        <v>270</v>
      </c>
    </row>
    <row r="126" spans="1:16" x14ac:dyDescent="0.25">
      <c r="A126" s="41">
        <f t="shared" si="238"/>
        <v>974</v>
      </c>
      <c r="B126" s="42">
        <f t="shared" si="238"/>
        <v>116</v>
      </c>
      <c r="C126" s="41" t="s">
        <v>1538</v>
      </c>
      <c r="D126" s="43">
        <f t="shared" si="213"/>
        <v>11.8</v>
      </c>
      <c r="E126" s="44">
        <f t="shared" ref="E126" si="243">E125</f>
        <v>15</v>
      </c>
      <c r="F126" s="44">
        <f>F125</f>
        <v>-61.016949152542367</v>
      </c>
      <c r="G126" s="42" t="str">
        <f t="shared" ref="G126:L126" si="244">G125</f>
        <v>Half</v>
      </c>
      <c r="H126" s="50">
        <f t="shared" si="244"/>
        <v>10</v>
      </c>
      <c r="I126" s="49">
        <f t="shared" si="244"/>
        <v>160</v>
      </c>
      <c r="J126" s="44">
        <f t="shared" si="244"/>
        <v>8</v>
      </c>
      <c r="K126" s="44">
        <f t="shared" si="244"/>
        <v>-8</v>
      </c>
      <c r="L126" s="45">
        <f t="shared" si="244"/>
        <v>0.2</v>
      </c>
      <c r="M126" s="49">
        <v>60</v>
      </c>
      <c r="N126" s="54">
        <f>I126+5</f>
        <v>165</v>
      </c>
      <c r="O126" s="44">
        <f t="shared" ref="O126:P126" si="245">O125</f>
        <v>150</v>
      </c>
      <c r="P126" s="50">
        <f t="shared" si="245"/>
        <v>270</v>
      </c>
    </row>
    <row r="127" spans="1:16" x14ac:dyDescent="0.25">
      <c r="A127" s="41">
        <f t="shared" si="238"/>
        <v>975</v>
      </c>
      <c r="B127" s="42">
        <f t="shared" si="238"/>
        <v>117</v>
      </c>
      <c r="C127" s="41" t="s">
        <v>1539</v>
      </c>
      <c r="D127" s="43">
        <f t="shared" si="213"/>
        <v>11.8</v>
      </c>
      <c r="E127" s="44">
        <f t="shared" ref="E127:L127" si="246">E126</f>
        <v>15</v>
      </c>
      <c r="F127" s="44">
        <f t="shared" si="246"/>
        <v>-61.016949152542367</v>
      </c>
      <c r="G127" s="42" t="str">
        <f t="shared" si="246"/>
        <v>Half</v>
      </c>
      <c r="H127" s="50">
        <f t="shared" si="246"/>
        <v>10</v>
      </c>
      <c r="I127" s="49">
        <f t="shared" si="246"/>
        <v>160</v>
      </c>
      <c r="J127" s="44">
        <f t="shared" si="246"/>
        <v>8</v>
      </c>
      <c r="K127" s="44">
        <f t="shared" si="246"/>
        <v>-8</v>
      </c>
      <c r="L127" s="45">
        <f t="shared" si="246"/>
        <v>0.2</v>
      </c>
      <c r="M127" s="49">
        <v>60</v>
      </c>
      <c r="N127" s="54">
        <f>I127+10</f>
        <v>170</v>
      </c>
      <c r="O127" s="44">
        <f t="shared" ref="O127:P127" si="247">O126</f>
        <v>150</v>
      </c>
      <c r="P127" s="50">
        <f t="shared" si="247"/>
        <v>270</v>
      </c>
    </row>
    <row r="128" spans="1:16" x14ac:dyDescent="0.25">
      <c r="A128" s="41">
        <f t="shared" si="238"/>
        <v>976</v>
      </c>
      <c r="B128" s="42">
        <f t="shared" si="238"/>
        <v>118</v>
      </c>
      <c r="C128" s="41" t="s">
        <v>1540</v>
      </c>
      <c r="D128" s="43">
        <f t="shared" si="213"/>
        <v>11.8</v>
      </c>
      <c r="E128" s="44">
        <f t="shared" ref="E128:F128" si="248">E127</f>
        <v>15</v>
      </c>
      <c r="F128" s="44">
        <f t="shared" si="248"/>
        <v>-61.016949152542367</v>
      </c>
      <c r="G128" s="42" t="str">
        <f>G127</f>
        <v>Half</v>
      </c>
      <c r="H128" s="50">
        <f t="shared" ref="H128:L128" si="249">H127</f>
        <v>10</v>
      </c>
      <c r="I128" s="49">
        <f t="shared" si="249"/>
        <v>160</v>
      </c>
      <c r="J128" s="44">
        <f t="shared" si="249"/>
        <v>8</v>
      </c>
      <c r="K128" s="44">
        <f t="shared" si="249"/>
        <v>-8</v>
      </c>
      <c r="L128" s="45">
        <f t="shared" si="249"/>
        <v>0.2</v>
      </c>
      <c r="M128" s="49">
        <v>90</v>
      </c>
      <c r="N128" s="54">
        <f>I128</f>
        <v>160</v>
      </c>
      <c r="O128" s="44">
        <f t="shared" ref="O128:P128" si="250">O127</f>
        <v>150</v>
      </c>
      <c r="P128" s="50">
        <f t="shared" si="250"/>
        <v>270</v>
      </c>
    </row>
    <row r="129" spans="1:16" x14ac:dyDescent="0.25">
      <c r="A129" s="41">
        <f t="shared" si="238"/>
        <v>977</v>
      </c>
      <c r="B129" s="42">
        <f t="shared" si="238"/>
        <v>119</v>
      </c>
      <c r="C129" s="41" t="s">
        <v>1541</v>
      </c>
      <c r="D129" s="43">
        <f t="shared" si="213"/>
        <v>11.8</v>
      </c>
      <c r="E129" s="44">
        <f t="shared" ref="E129:F129" si="251">E128</f>
        <v>15</v>
      </c>
      <c r="F129" s="44">
        <f t="shared" si="251"/>
        <v>-61.016949152542367</v>
      </c>
      <c r="G129" s="42" t="str">
        <f>G128</f>
        <v>Half</v>
      </c>
      <c r="H129" s="50">
        <f t="shared" ref="H129:L129" si="252">H128</f>
        <v>10</v>
      </c>
      <c r="I129" s="49">
        <f t="shared" si="252"/>
        <v>160</v>
      </c>
      <c r="J129" s="44">
        <f t="shared" si="252"/>
        <v>8</v>
      </c>
      <c r="K129" s="44">
        <f t="shared" si="252"/>
        <v>-8</v>
      </c>
      <c r="L129" s="45">
        <f t="shared" si="252"/>
        <v>0.2</v>
      </c>
      <c r="M129" s="49">
        <v>90</v>
      </c>
      <c r="N129" s="54">
        <f>I129+5</f>
        <v>165</v>
      </c>
      <c r="O129" s="44">
        <f t="shared" ref="O129:P129" si="253">O128</f>
        <v>150</v>
      </c>
      <c r="P129" s="50">
        <f t="shared" si="253"/>
        <v>270</v>
      </c>
    </row>
    <row r="130" spans="1:16" x14ac:dyDescent="0.25">
      <c r="A130" s="41">
        <f t="shared" si="238"/>
        <v>978</v>
      </c>
      <c r="B130" s="42">
        <f t="shared" si="238"/>
        <v>120</v>
      </c>
      <c r="C130" s="127" t="s">
        <v>1542</v>
      </c>
      <c r="D130" s="43">
        <f t="shared" si="213"/>
        <v>11.8</v>
      </c>
      <c r="E130" s="44">
        <f t="shared" ref="E130:F130" si="254">E129</f>
        <v>15</v>
      </c>
      <c r="F130" s="44">
        <f t="shared" si="254"/>
        <v>-61.016949152542367</v>
      </c>
      <c r="G130" s="42" t="str">
        <f>G129</f>
        <v>Half</v>
      </c>
      <c r="H130" s="50">
        <f t="shared" ref="H130:L130" si="255">H129</f>
        <v>10</v>
      </c>
      <c r="I130" s="49">
        <f t="shared" si="255"/>
        <v>160</v>
      </c>
      <c r="J130" s="44">
        <f t="shared" si="255"/>
        <v>8</v>
      </c>
      <c r="K130" s="44">
        <f t="shared" si="255"/>
        <v>-8</v>
      </c>
      <c r="L130" s="45">
        <f t="shared" si="255"/>
        <v>0.2</v>
      </c>
      <c r="M130" s="49">
        <v>90</v>
      </c>
      <c r="N130" s="54">
        <f>I130+10</f>
        <v>170</v>
      </c>
      <c r="O130" s="44">
        <f t="shared" ref="O130:P130" si="256">O129</f>
        <v>150</v>
      </c>
      <c r="P130" s="50">
        <f t="shared" si="256"/>
        <v>270</v>
      </c>
    </row>
    <row r="131" spans="1:16" x14ac:dyDescent="0.25">
      <c r="A131" s="41">
        <f t="shared" si="238"/>
        <v>979</v>
      </c>
      <c r="B131" s="42">
        <f t="shared" si="238"/>
        <v>121</v>
      </c>
      <c r="C131" s="41" t="s">
        <v>1543</v>
      </c>
      <c r="D131" s="43">
        <f t="shared" si="213"/>
        <v>11.8</v>
      </c>
      <c r="E131" s="44">
        <f t="shared" ref="E131:G131" si="257">E130</f>
        <v>15</v>
      </c>
      <c r="F131" s="44">
        <f t="shared" si="257"/>
        <v>-61.016949152542367</v>
      </c>
      <c r="G131" s="42" t="str">
        <f t="shared" si="257"/>
        <v>Half</v>
      </c>
      <c r="H131" s="50">
        <f>H130</f>
        <v>10</v>
      </c>
      <c r="I131" s="49">
        <f t="shared" ref="I131:J131" si="258">I130</f>
        <v>160</v>
      </c>
      <c r="J131" s="44">
        <f t="shared" si="258"/>
        <v>8</v>
      </c>
      <c r="K131" s="44">
        <f>yaw_null</f>
        <v>0</v>
      </c>
      <c r="L131" s="45">
        <f t="shared" ref="L131" si="259">L130</f>
        <v>0.2</v>
      </c>
      <c r="M131" s="49">
        <v>0</v>
      </c>
      <c r="N131" s="54">
        <f>I131</f>
        <v>160</v>
      </c>
      <c r="O131" s="44">
        <f t="shared" ref="O131:P131" si="260">O130</f>
        <v>150</v>
      </c>
      <c r="P131" s="50">
        <f t="shared" si="260"/>
        <v>270</v>
      </c>
    </row>
    <row r="132" spans="1:16" x14ac:dyDescent="0.25">
      <c r="A132" s="41">
        <f t="shared" si="238"/>
        <v>980</v>
      </c>
      <c r="B132" s="42">
        <f t="shared" si="238"/>
        <v>122</v>
      </c>
      <c r="C132" s="41" t="s">
        <v>1544</v>
      </c>
      <c r="D132" s="43">
        <f t="shared" si="213"/>
        <v>11.8</v>
      </c>
      <c r="E132" s="44">
        <f t="shared" ref="E132:L132" si="261">E131</f>
        <v>15</v>
      </c>
      <c r="F132" s="44">
        <f t="shared" si="261"/>
        <v>-61.016949152542367</v>
      </c>
      <c r="G132" s="42" t="str">
        <f t="shared" si="261"/>
        <v>Half</v>
      </c>
      <c r="H132" s="50">
        <f t="shared" si="261"/>
        <v>10</v>
      </c>
      <c r="I132" s="49">
        <f t="shared" si="261"/>
        <v>160</v>
      </c>
      <c r="J132" s="44">
        <f t="shared" si="261"/>
        <v>8</v>
      </c>
      <c r="K132" s="44">
        <f t="shared" si="261"/>
        <v>0</v>
      </c>
      <c r="L132" s="45">
        <f t="shared" si="261"/>
        <v>0.2</v>
      </c>
      <c r="M132" s="49">
        <v>0</v>
      </c>
      <c r="N132" s="54">
        <f>I132+5</f>
        <v>165</v>
      </c>
      <c r="O132" s="44">
        <f t="shared" ref="O132:P132" si="262">O131</f>
        <v>150</v>
      </c>
      <c r="P132" s="50">
        <f t="shared" si="262"/>
        <v>270</v>
      </c>
    </row>
    <row r="133" spans="1:16" x14ac:dyDescent="0.25">
      <c r="A133" s="41">
        <f t="shared" si="238"/>
        <v>981</v>
      </c>
      <c r="B133" s="42">
        <f t="shared" si="238"/>
        <v>123</v>
      </c>
      <c r="C133" s="41" t="s">
        <v>1545</v>
      </c>
      <c r="D133" s="43">
        <f t="shared" si="213"/>
        <v>11.8</v>
      </c>
      <c r="E133" s="44">
        <f t="shared" ref="E133:L133" si="263">E132</f>
        <v>15</v>
      </c>
      <c r="F133" s="44">
        <f t="shared" si="263"/>
        <v>-61.016949152542367</v>
      </c>
      <c r="G133" s="42" t="str">
        <f t="shared" si="263"/>
        <v>Half</v>
      </c>
      <c r="H133" s="50">
        <f t="shared" si="263"/>
        <v>10</v>
      </c>
      <c r="I133" s="49">
        <f t="shared" si="263"/>
        <v>160</v>
      </c>
      <c r="J133" s="44">
        <f t="shared" si="263"/>
        <v>8</v>
      </c>
      <c r="K133" s="44">
        <f t="shared" si="263"/>
        <v>0</v>
      </c>
      <c r="L133" s="45">
        <f t="shared" si="263"/>
        <v>0.2</v>
      </c>
      <c r="M133" s="49">
        <v>0</v>
      </c>
      <c r="N133" s="54">
        <f>I133+10</f>
        <v>170</v>
      </c>
      <c r="O133" s="44">
        <f t="shared" ref="O133:P133" si="264">O132</f>
        <v>150</v>
      </c>
      <c r="P133" s="50">
        <f t="shared" si="264"/>
        <v>270</v>
      </c>
    </row>
    <row r="134" spans="1:16" x14ac:dyDescent="0.25">
      <c r="A134" s="41">
        <f t="shared" si="238"/>
        <v>982</v>
      </c>
      <c r="B134" s="42">
        <f t="shared" si="238"/>
        <v>124</v>
      </c>
      <c r="C134" s="41" t="s">
        <v>1546</v>
      </c>
      <c r="D134" s="43">
        <f t="shared" si="213"/>
        <v>11.8</v>
      </c>
      <c r="E134" s="44">
        <f t="shared" ref="E134:L134" si="265">E133</f>
        <v>15</v>
      </c>
      <c r="F134" s="44">
        <f t="shared" si="265"/>
        <v>-61.016949152542367</v>
      </c>
      <c r="G134" s="42" t="str">
        <f t="shared" si="265"/>
        <v>Half</v>
      </c>
      <c r="H134" s="50">
        <f t="shared" si="265"/>
        <v>10</v>
      </c>
      <c r="I134" s="49">
        <f t="shared" si="265"/>
        <v>160</v>
      </c>
      <c r="J134" s="44">
        <f t="shared" si="265"/>
        <v>8</v>
      </c>
      <c r="K134" s="44">
        <f t="shared" si="265"/>
        <v>0</v>
      </c>
      <c r="L134" s="45">
        <f t="shared" si="265"/>
        <v>0.2</v>
      </c>
      <c r="M134" s="49">
        <v>30</v>
      </c>
      <c r="N134" s="54">
        <f>I134</f>
        <v>160</v>
      </c>
      <c r="O134" s="44">
        <f t="shared" ref="O134:P134" si="266">O133</f>
        <v>150</v>
      </c>
      <c r="P134" s="50">
        <f t="shared" si="266"/>
        <v>270</v>
      </c>
    </row>
    <row r="135" spans="1:16" x14ac:dyDescent="0.25">
      <c r="A135" s="41">
        <f t="shared" si="238"/>
        <v>983</v>
      </c>
      <c r="B135" s="42">
        <f t="shared" si="238"/>
        <v>125</v>
      </c>
      <c r="C135" s="41" t="s">
        <v>1547</v>
      </c>
      <c r="D135" s="43">
        <f t="shared" si="213"/>
        <v>11.8</v>
      </c>
      <c r="E135" s="44">
        <f t="shared" ref="E135:F135" si="267">E134</f>
        <v>15</v>
      </c>
      <c r="F135" s="44">
        <f t="shared" si="267"/>
        <v>-61.016949152542367</v>
      </c>
      <c r="G135" s="42" t="s">
        <v>12</v>
      </c>
      <c r="H135" s="50">
        <v>10</v>
      </c>
      <c r="I135" s="49">
        <f t="shared" ref="I135:L135" si="268">I134</f>
        <v>160</v>
      </c>
      <c r="J135" s="44">
        <f t="shared" si="268"/>
        <v>8</v>
      </c>
      <c r="K135" s="44">
        <f t="shared" si="268"/>
        <v>0</v>
      </c>
      <c r="L135" s="45">
        <f t="shared" si="268"/>
        <v>0.2</v>
      </c>
      <c r="M135" s="49">
        <v>30</v>
      </c>
      <c r="N135" s="54">
        <f>I135+5</f>
        <v>165</v>
      </c>
      <c r="O135" s="44">
        <f t="shared" ref="O135:P135" si="269">O134</f>
        <v>150</v>
      </c>
      <c r="P135" s="50">
        <f t="shared" si="269"/>
        <v>270</v>
      </c>
    </row>
    <row r="136" spans="1:16" x14ac:dyDescent="0.25">
      <c r="A136" s="41">
        <f t="shared" si="238"/>
        <v>984</v>
      </c>
      <c r="B136" s="42">
        <f t="shared" si="238"/>
        <v>126</v>
      </c>
      <c r="C136" s="41" t="s">
        <v>1548</v>
      </c>
      <c r="D136" s="43">
        <f t="shared" si="213"/>
        <v>11.8</v>
      </c>
      <c r="E136" s="44">
        <f t="shared" ref="E136:F136" si="270">E135</f>
        <v>15</v>
      </c>
      <c r="F136" s="44">
        <f t="shared" si="270"/>
        <v>-61.016949152542367</v>
      </c>
      <c r="G136" s="42" t="str">
        <f>G135</f>
        <v>Half</v>
      </c>
      <c r="H136" s="50">
        <f>H135</f>
        <v>10</v>
      </c>
      <c r="I136" s="49">
        <f t="shared" ref="I136:L136" si="271">I135</f>
        <v>160</v>
      </c>
      <c r="J136" s="44">
        <f t="shared" si="271"/>
        <v>8</v>
      </c>
      <c r="K136" s="44">
        <f t="shared" si="271"/>
        <v>0</v>
      </c>
      <c r="L136" s="45">
        <f t="shared" si="271"/>
        <v>0.2</v>
      </c>
      <c r="M136" s="49">
        <v>30</v>
      </c>
      <c r="N136" s="54">
        <f>I136+10</f>
        <v>170</v>
      </c>
      <c r="O136" s="44">
        <f t="shared" ref="O136:P136" si="272">O135</f>
        <v>150</v>
      </c>
      <c r="P136" s="50">
        <f t="shared" si="272"/>
        <v>270</v>
      </c>
    </row>
    <row r="137" spans="1:16" x14ac:dyDescent="0.25">
      <c r="A137" s="41">
        <f t="shared" si="238"/>
        <v>985</v>
      </c>
      <c r="B137" s="42">
        <f t="shared" si="238"/>
        <v>127</v>
      </c>
      <c r="C137" s="41" t="s">
        <v>1549</v>
      </c>
      <c r="D137" s="43">
        <f t="shared" si="213"/>
        <v>11.8</v>
      </c>
      <c r="E137" s="44">
        <f t="shared" ref="E137:L137" si="273">E136</f>
        <v>15</v>
      </c>
      <c r="F137" s="44">
        <f t="shared" si="273"/>
        <v>-61.016949152542367</v>
      </c>
      <c r="G137" s="42" t="str">
        <f t="shared" si="273"/>
        <v>Half</v>
      </c>
      <c r="H137" s="50">
        <f t="shared" si="273"/>
        <v>10</v>
      </c>
      <c r="I137" s="49">
        <f t="shared" si="273"/>
        <v>160</v>
      </c>
      <c r="J137" s="44">
        <f t="shared" si="273"/>
        <v>8</v>
      </c>
      <c r="K137" s="44">
        <f t="shared" si="273"/>
        <v>0</v>
      </c>
      <c r="L137" s="45">
        <f t="shared" si="273"/>
        <v>0.2</v>
      </c>
      <c r="M137" s="49">
        <v>60</v>
      </c>
      <c r="N137" s="54">
        <f>I137</f>
        <v>160</v>
      </c>
      <c r="O137" s="44">
        <f t="shared" ref="O137:P137" si="274">O136</f>
        <v>150</v>
      </c>
      <c r="P137" s="50">
        <f t="shared" si="274"/>
        <v>270</v>
      </c>
    </row>
    <row r="138" spans="1:16" x14ac:dyDescent="0.25">
      <c r="A138" s="41">
        <f t="shared" si="238"/>
        <v>986</v>
      </c>
      <c r="B138" s="42">
        <f t="shared" si="238"/>
        <v>128</v>
      </c>
      <c r="C138" s="41" t="s">
        <v>1550</v>
      </c>
      <c r="D138" s="43">
        <f t="shared" si="213"/>
        <v>11.8</v>
      </c>
      <c r="E138" s="44">
        <f t="shared" ref="E138:L138" si="275">E137</f>
        <v>15</v>
      </c>
      <c r="F138" s="44">
        <f t="shared" si="275"/>
        <v>-61.016949152542367</v>
      </c>
      <c r="G138" s="42" t="str">
        <f t="shared" si="275"/>
        <v>Half</v>
      </c>
      <c r="H138" s="50">
        <f t="shared" si="275"/>
        <v>10</v>
      </c>
      <c r="I138" s="49">
        <f t="shared" si="275"/>
        <v>160</v>
      </c>
      <c r="J138" s="44">
        <f t="shared" si="275"/>
        <v>8</v>
      </c>
      <c r="K138" s="44">
        <f t="shared" si="275"/>
        <v>0</v>
      </c>
      <c r="L138" s="45">
        <f t="shared" si="275"/>
        <v>0.2</v>
      </c>
      <c r="M138" s="49">
        <v>60</v>
      </c>
      <c r="N138" s="54">
        <f>I138+5</f>
        <v>165</v>
      </c>
      <c r="O138" s="44">
        <f t="shared" ref="O138:P138" si="276">O137</f>
        <v>150</v>
      </c>
      <c r="P138" s="50">
        <f t="shared" si="276"/>
        <v>270</v>
      </c>
    </row>
    <row r="139" spans="1:16" x14ac:dyDescent="0.25">
      <c r="A139" s="41">
        <f t="shared" si="238"/>
        <v>987</v>
      </c>
      <c r="B139" s="42">
        <f t="shared" si="238"/>
        <v>129</v>
      </c>
      <c r="C139" s="41" t="s">
        <v>1551</v>
      </c>
      <c r="D139" s="43">
        <f t="shared" si="213"/>
        <v>11.8</v>
      </c>
      <c r="E139" s="44">
        <f t="shared" ref="E139:L139" si="277">E138</f>
        <v>15</v>
      </c>
      <c r="F139" s="44">
        <f t="shared" si="277"/>
        <v>-61.016949152542367</v>
      </c>
      <c r="G139" s="42" t="str">
        <f t="shared" si="277"/>
        <v>Half</v>
      </c>
      <c r="H139" s="50">
        <f t="shared" si="277"/>
        <v>10</v>
      </c>
      <c r="I139" s="49">
        <f t="shared" si="277"/>
        <v>160</v>
      </c>
      <c r="J139" s="44">
        <f t="shared" si="277"/>
        <v>8</v>
      </c>
      <c r="K139" s="44">
        <f t="shared" si="277"/>
        <v>0</v>
      </c>
      <c r="L139" s="45">
        <f t="shared" si="277"/>
        <v>0.2</v>
      </c>
      <c r="M139" s="49">
        <v>60</v>
      </c>
      <c r="N139" s="54">
        <f>I139+10</f>
        <v>170</v>
      </c>
      <c r="O139" s="44">
        <f t="shared" ref="O139:P139" si="278">O138</f>
        <v>150</v>
      </c>
      <c r="P139" s="50">
        <f t="shared" si="278"/>
        <v>270</v>
      </c>
    </row>
    <row r="140" spans="1:16" x14ac:dyDescent="0.25">
      <c r="A140" s="41">
        <f t="shared" ref="A140:B155" si="279">A139+1</f>
        <v>988</v>
      </c>
      <c r="B140" s="42">
        <f t="shared" si="279"/>
        <v>130</v>
      </c>
      <c r="C140" s="41" t="s">
        <v>1552</v>
      </c>
      <c r="D140" s="43">
        <f t="shared" si="213"/>
        <v>11.8</v>
      </c>
      <c r="E140" s="44">
        <f t="shared" ref="E140:L140" si="280">E139</f>
        <v>15</v>
      </c>
      <c r="F140" s="44">
        <f t="shared" si="280"/>
        <v>-61.016949152542367</v>
      </c>
      <c r="G140" s="42" t="str">
        <f t="shared" si="280"/>
        <v>Half</v>
      </c>
      <c r="H140" s="50">
        <f t="shared" si="280"/>
        <v>10</v>
      </c>
      <c r="I140" s="49">
        <f t="shared" si="280"/>
        <v>160</v>
      </c>
      <c r="J140" s="44">
        <f t="shared" si="280"/>
        <v>8</v>
      </c>
      <c r="K140" s="44">
        <f t="shared" si="280"/>
        <v>0</v>
      </c>
      <c r="L140" s="45">
        <f t="shared" si="280"/>
        <v>0.2</v>
      </c>
      <c r="M140" s="49">
        <v>90</v>
      </c>
      <c r="N140" s="54">
        <f>I140</f>
        <v>160</v>
      </c>
      <c r="O140" s="44">
        <f t="shared" ref="O140:P140" si="281">O139</f>
        <v>150</v>
      </c>
      <c r="P140" s="50">
        <f t="shared" si="281"/>
        <v>270</v>
      </c>
    </row>
    <row r="141" spans="1:16" x14ac:dyDescent="0.25">
      <c r="A141" s="41">
        <f t="shared" si="279"/>
        <v>989</v>
      </c>
      <c r="B141" s="42">
        <f t="shared" si="279"/>
        <v>131</v>
      </c>
      <c r="C141" s="41" t="s">
        <v>1553</v>
      </c>
      <c r="D141" s="43">
        <f t="shared" si="213"/>
        <v>11.8</v>
      </c>
      <c r="E141" s="44">
        <f t="shared" ref="E141:L141" si="282">E140</f>
        <v>15</v>
      </c>
      <c r="F141" s="44">
        <f t="shared" si="282"/>
        <v>-61.016949152542367</v>
      </c>
      <c r="G141" s="42" t="str">
        <f t="shared" si="282"/>
        <v>Half</v>
      </c>
      <c r="H141" s="50">
        <f t="shared" si="282"/>
        <v>10</v>
      </c>
      <c r="I141" s="49">
        <f t="shared" si="282"/>
        <v>160</v>
      </c>
      <c r="J141" s="44">
        <f t="shared" si="282"/>
        <v>8</v>
      </c>
      <c r="K141" s="44">
        <f t="shared" si="282"/>
        <v>0</v>
      </c>
      <c r="L141" s="45">
        <f t="shared" si="282"/>
        <v>0.2</v>
      </c>
      <c r="M141" s="49">
        <v>90</v>
      </c>
      <c r="N141" s="54">
        <f>I141+5</f>
        <v>165</v>
      </c>
      <c r="O141" s="44">
        <f t="shared" ref="O141:P141" si="283">O140</f>
        <v>150</v>
      </c>
      <c r="P141" s="50">
        <f t="shared" si="283"/>
        <v>270</v>
      </c>
    </row>
    <row r="142" spans="1:16" x14ac:dyDescent="0.25">
      <c r="A142" s="41">
        <f t="shared" si="279"/>
        <v>990</v>
      </c>
      <c r="B142" s="42">
        <f t="shared" si="279"/>
        <v>132</v>
      </c>
      <c r="C142" s="127" t="s">
        <v>1554</v>
      </c>
      <c r="D142" s="43">
        <f t="shared" si="213"/>
        <v>11.8</v>
      </c>
      <c r="E142" s="44">
        <f t="shared" ref="E142:L142" si="284">E141</f>
        <v>15</v>
      </c>
      <c r="F142" s="44">
        <f t="shared" si="284"/>
        <v>-61.016949152542367</v>
      </c>
      <c r="G142" s="42" t="str">
        <f t="shared" si="284"/>
        <v>Half</v>
      </c>
      <c r="H142" s="50">
        <f t="shared" si="284"/>
        <v>10</v>
      </c>
      <c r="I142" s="49">
        <f t="shared" si="284"/>
        <v>160</v>
      </c>
      <c r="J142" s="44">
        <f t="shared" si="284"/>
        <v>8</v>
      </c>
      <c r="K142" s="44">
        <f t="shared" si="284"/>
        <v>0</v>
      </c>
      <c r="L142" s="45">
        <f t="shared" si="284"/>
        <v>0.2</v>
      </c>
      <c r="M142" s="49">
        <v>90</v>
      </c>
      <c r="N142" s="54">
        <f>I142+10</f>
        <v>170</v>
      </c>
      <c r="O142" s="44">
        <f t="shared" ref="O142:P142" si="285">O141</f>
        <v>150</v>
      </c>
      <c r="P142" s="50">
        <f t="shared" si="285"/>
        <v>270</v>
      </c>
    </row>
    <row r="143" spans="1:16" x14ac:dyDescent="0.25">
      <c r="A143" s="41">
        <f t="shared" si="279"/>
        <v>991</v>
      </c>
      <c r="B143" s="42">
        <f t="shared" si="279"/>
        <v>133</v>
      </c>
      <c r="C143" s="41" t="s">
        <v>1555</v>
      </c>
      <c r="D143" s="43">
        <f t="shared" si="213"/>
        <v>11.8</v>
      </c>
      <c r="E143" s="44">
        <f t="shared" ref="E143:J143" si="286">E142</f>
        <v>15</v>
      </c>
      <c r="F143" s="44">
        <f t="shared" si="286"/>
        <v>-61.016949152542367</v>
      </c>
      <c r="G143" s="42" t="str">
        <f t="shared" si="286"/>
        <v>Half</v>
      </c>
      <c r="H143" s="50">
        <f t="shared" si="286"/>
        <v>10</v>
      </c>
      <c r="I143" s="49">
        <f t="shared" si="286"/>
        <v>160</v>
      </c>
      <c r="J143" s="44">
        <f t="shared" si="286"/>
        <v>8</v>
      </c>
      <c r="K143" s="44">
        <f>yaw_max</f>
        <v>8</v>
      </c>
      <c r="L143" s="45">
        <f t="shared" ref="L143" si="287">L142</f>
        <v>0.2</v>
      </c>
      <c r="M143" s="49">
        <v>0</v>
      </c>
      <c r="N143" s="54">
        <f>I143</f>
        <v>160</v>
      </c>
      <c r="O143" s="44">
        <f t="shared" ref="O143:P143" si="288">O142</f>
        <v>150</v>
      </c>
      <c r="P143" s="50">
        <f t="shared" si="288"/>
        <v>270</v>
      </c>
    </row>
    <row r="144" spans="1:16" x14ac:dyDescent="0.25">
      <c r="A144" s="41">
        <f t="shared" si="279"/>
        <v>992</v>
      </c>
      <c r="B144" s="42">
        <f t="shared" si="279"/>
        <v>134</v>
      </c>
      <c r="C144" s="41" t="s">
        <v>1556</v>
      </c>
      <c r="D144" s="43">
        <f t="shared" si="213"/>
        <v>11.8</v>
      </c>
      <c r="E144" s="44">
        <f t="shared" ref="E144:L144" si="289">E143</f>
        <v>15</v>
      </c>
      <c r="F144" s="44">
        <f t="shared" si="289"/>
        <v>-61.016949152542367</v>
      </c>
      <c r="G144" s="42" t="str">
        <f t="shared" si="289"/>
        <v>Half</v>
      </c>
      <c r="H144" s="50">
        <f t="shared" si="289"/>
        <v>10</v>
      </c>
      <c r="I144" s="49">
        <f t="shared" si="289"/>
        <v>160</v>
      </c>
      <c r="J144" s="44">
        <f t="shared" si="289"/>
        <v>8</v>
      </c>
      <c r="K144" s="44">
        <f t="shared" si="289"/>
        <v>8</v>
      </c>
      <c r="L144" s="45">
        <f t="shared" si="289"/>
        <v>0.2</v>
      </c>
      <c r="M144" s="49">
        <v>0</v>
      </c>
      <c r="N144" s="54">
        <f>I144+5</f>
        <v>165</v>
      </c>
      <c r="O144" s="44">
        <f t="shared" ref="O144:P144" si="290">O143</f>
        <v>150</v>
      </c>
      <c r="P144" s="50">
        <f t="shared" si="290"/>
        <v>270</v>
      </c>
    </row>
    <row r="145" spans="1:16" x14ac:dyDescent="0.25">
      <c r="A145" s="41">
        <f t="shared" si="279"/>
        <v>993</v>
      </c>
      <c r="B145" s="42">
        <f t="shared" si="279"/>
        <v>135</v>
      </c>
      <c r="C145" s="41" t="s">
        <v>1557</v>
      </c>
      <c r="D145" s="43">
        <f t="shared" si="213"/>
        <v>11.8</v>
      </c>
      <c r="E145" s="44">
        <f t="shared" ref="E145:L145" si="291">E144</f>
        <v>15</v>
      </c>
      <c r="F145" s="44">
        <f t="shared" si="291"/>
        <v>-61.016949152542367</v>
      </c>
      <c r="G145" s="42" t="str">
        <f t="shared" si="291"/>
        <v>Half</v>
      </c>
      <c r="H145" s="50">
        <f t="shared" si="291"/>
        <v>10</v>
      </c>
      <c r="I145" s="49">
        <f t="shared" si="291"/>
        <v>160</v>
      </c>
      <c r="J145" s="44">
        <f t="shared" si="291"/>
        <v>8</v>
      </c>
      <c r="K145" s="44">
        <f t="shared" si="291"/>
        <v>8</v>
      </c>
      <c r="L145" s="45">
        <f t="shared" si="291"/>
        <v>0.2</v>
      </c>
      <c r="M145" s="49">
        <v>0</v>
      </c>
      <c r="N145" s="54">
        <f>I145+10</f>
        <v>170</v>
      </c>
      <c r="O145" s="44">
        <f t="shared" ref="O145:P145" si="292">O144</f>
        <v>150</v>
      </c>
      <c r="P145" s="50">
        <f t="shared" si="292"/>
        <v>270</v>
      </c>
    </row>
    <row r="146" spans="1:16" x14ac:dyDescent="0.25">
      <c r="A146" s="41">
        <f t="shared" si="279"/>
        <v>994</v>
      </c>
      <c r="B146" s="42">
        <f t="shared" si="279"/>
        <v>136</v>
      </c>
      <c r="C146" s="41" t="s">
        <v>1558</v>
      </c>
      <c r="D146" s="43">
        <f t="shared" si="213"/>
        <v>11.8</v>
      </c>
      <c r="E146" s="44">
        <f t="shared" ref="E146:L146" si="293">E145</f>
        <v>15</v>
      </c>
      <c r="F146" s="44">
        <f t="shared" si="293"/>
        <v>-61.016949152542367</v>
      </c>
      <c r="G146" s="42" t="str">
        <f t="shared" si="293"/>
        <v>Half</v>
      </c>
      <c r="H146" s="50">
        <f t="shared" si="293"/>
        <v>10</v>
      </c>
      <c r="I146" s="49">
        <f t="shared" si="293"/>
        <v>160</v>
      </c>
      <c r="J146" s="44">
        <f t="shared" si="293"/>
        <v>8</v>
      </c>
      <c r="K146" s="44">
        <f t="shared" si="293"/>
        <v>8</v>
      </c>
      <c r="L146" s="45">
        <f t="shared" si="293"/>
        <v>0.2</v>
      </c>
      <c r="M146" s="49">
        <v>30</v>
      </c>
      <c r="N146" s="54">
        <f>I146</f>
        <v>160</v>
      </c>
      <c r="O146" s="44">
        <f t="shared" ref="O146:P146" si="294">O145</f>
        <v>150</v>
      </c>
      <c r="P146" s="50">
        <f t="shared" si="294"/>
        <v>270</v>
      </c>
    </row>
    <row r="147" spans="1:16" x14ac:dyDescent="0.25">
      <c r="A147" s="41">
        <f t="shared" si="279"/>
        <v>995</v>
      </c>
      <c r="B147" s="42">
        <f t="shared" si="279"/>
        <v>137</v>
      </c>
      <c r="C147" s="41" t="s">
        <v>1559</v>
      </c>
      <c r="D147" s="43">
        <f t="shared" ref="D147:D154" si="295">vr_a</f>
        <v>11.8</v>
      </c>
      <c r="E147" s="44">
        <f t="shared" ref="E147:G147" si="296">E146</f>
        <v>15</v>
      </c>
      <c r="F147" s="44">
        <f t="shared" si="296"/>
        <v>-61.016949152542367</v>
      </c>
      <c r="G147" s="42" t="str">
        <f t="shared" si="296"/>
        <v>Half</v>
      </c>
      <c r="H147" s="50">
        <f>H146</f>
        <v>10</v>
      </c>
      <c r="I147" s="49">
        <f t="shared" ref="I147:L147" si="297">I146</f>
        <v>160</v>
      </c>
      <c r="J147" s="44">
        <f t="shared" si="297"/>
        <v>8</v>
      </c>
      <c r="K147" s="44">
        <f t="shared" si="297"/>
        <v>8</v>
      </c>
      <c r="L147" s="45">
        <f t="shared" si="297"/>
        <v>0.2</v>
      </c>
      <c r="M147" s="49">
        <v>30</v>
      </c>
      <c r="N147" s="54">
        <f>I147+5</f>
        <v>165</v>
      </c>
      <c r="O147" s="44">
        <f t="shared" ref="O147:P147" si="298">O146</f>
        <v>150</v>
      </c>
      <c r="P147" s="50">
        <f t="shared" si="298"/>
        <v>270</v>
      </c>
    </row>
    <row r="148" spans="1:16" x14ac:dyDescent="0.25">
      <c r="A148" s="41">
        <f t="shared" si="279"/>
        <v>996</v>
      </c>
      <c r="B148" s="42">
        <f t="shared" si="279"/>
        <v>138</v>
      </c>
      <c r="C148" s="41" t="s">
        <v>1560</v>
      </c>
      <c r="D148" s="43">
        <f t="shared" si="295"/>
        <v>11.8</v>
      </c>
      <c r="E148" s="44">
        <f t="shared" ref="E148:G148" si="299">E147</f>
        <v>15</v>
      </c>
      <c r="F148" s="44">
        <f t="shared" si="299"/>
        <v>-61.016949152542367</v>
      </c>
      <c r="G148" s="42" t="str">
        <f t="shared" si="299"/>
        <v>Half</v>
      </c>
      <c r="H148" s="50">
        <f>H147</f>
        <v>10</v>
      </c>
      <c r="I148" s="49">
        <f t="shared" ref="I148:L148" si="300">I147</f>
        <v>160</v>
      </c>
      <c r="J148" s="44">
        <f t="shared" si="300"/>
        <v>8</v>
      </c>
      <c r="K148" s="44">
        <f t="shared" si="300"/>
        <v>8</v>
      </c>
      <c r="L148" s="45">
        <f t="shared" si="300"/>
        <v>0.2</v>
      </c>
      <c r="M148" s="49">
        <v>30</v>
      </c>
      <c r="N148" s="54">
        <f>I148+10</f>
        <v>170</v>
      </c>
      <c r="O148" s="44">
        <f t="shared" ref="O148:P148" si="301">O147</f>
        <v>150</v>
      </c>
      <c r="P148" s="50">
        <f t="shared" si="301"/>
        <v>270</v>
      </c>
    </row>
    <row r="149" spans="1:16" x14ac:dyDescent="0.25">
      <c r="A149" s="41">
        <f t="shared" si="279"/>
        <v>997</v>
      </c>
      <c r="B149" s="42">
        <f t="shared" si="279"/>
        <v>139</v>
      </c>
      <c r="C149" s="41" t="s">
        <v>1561</v>
      </c>
      <c r="D149" s="43">
        <f t="shared" si="295"/>
        <v>11.8</v>
      </c>
      <c r="E149" s="44">
        <f t="shared" ref="E149:G149" si="302">E148</f>
        <v>15</v>
      </c>
      <c r="F149" s="44">
        <f t="shared" si="302"/>
        <v>-61.016949152542367</v>
      </c>
      <c r="G149" s="42" t="str">
        <f t="shared" si="302"/>
        <v>Half</v>
      </c>
      <c r="H149" s="50">
        <f>H148</f>
        <v>10</v>
      </c>
      <c r="I149" s="49">
        <f t="shared" ref="I149:L149" si="303">I148</f>
        <v>160</v>
      </c>
      <c r="J149" s="44">
        <f t="shared" si="303"/>
        <v>8</v>
      </c>
      <c r="K149" s="44">
        <f t="shared" si="303"/>
        <v>8</v>
      </c>
      <c r="L149" s="45">
        <f t="shared" si="303"/>
        <v>0.2</v>
      </c>
      <c r="M149" s="49">
        <v>60</v>
      </c>
      <c r="N149" s="54">
        <f>I149</f>
        <v>160</v>
      </c>
      <c r="O149" s="44">
        <f t="shared" ref="O149:P149" si="304">O148</f>
        <v>150</v>
      </c>
      <c r="P149" s="50">
        <f t="shared" si="304"/>
        <v>270</v>
      </c>
    </row>
    <row r="150" spans="1:16" x14ac:dyDescent="0.25">
      <c r="A150" s="41">
        <f t="shared" si="279"/>
        <v>998</v>
      </c>
      <c r="B150" s="42">
        <f t="shared" si="279"/>
        <v>140</v>
      </c>
      <c r="C150" s="41" t="s">
        <v>1562</v>
      </c>
      <c r="D150" s="43">
        <f t="shared" si="295"/>
        <v>11.8</v>
      </c>
      <c r="E150" s="44">
        <f t="shared" ref="E150:G150" si="305">E149</f>
        <v>15</v>
      </c>
      <c r="F150" s="44">
        <f t="shared" si="305"/>
        <v>-61.016949152542367</v>
      </c>
      <c r="G150" s="42" t="str">
        <f t="shared" si="305"/>
        <v>Half</v>
      </c>
      <c r="H150" s="50">
        <f>H149</f>
        <v>10</v>
      </c>
      <c r="I150" s="49">
        <f t="shared" ref="I150:L150" si="306">I149</f>
        <v>160</v>
      </c>
      <c r="J150" s="44">
        <f t="shared" si="306"/>
        <v>8</v>
      </c>
      <c r="K150" s="44">
        <f t="shared" si="306"/>
        <v>8</v>
      </c>
      <c r="L150" s="45">
        <f t="shared" si="306"/>
        <v>0.2</v>
      </c>
      <c r="M150" s="49">
        <v>60</v>
      </c>
      <c r="N150" s="54">
        <f>I150+5</f>
        <v>165</v>
      </c>
      <c r="O150" s="44">
        <f t="shared" ref="O150:P150" si="307">O149</f>
        <v>150</v>
      </c>
      <c r="P150" s="50">
        <f t="shared" si="307"/>
        <v>270</v>
      </c>
    </row>
    <row r="151" spans="1:16" x14ac:dyDescent="0.25">
      <c r="A151" s="41">
        <f t="shared" si="279"/>
        <v>999</v>
      </c>
      <c r="B151" s="42">
        <f t="shared" si="279"/>
        <v>141</v>
      </c>
      <c r="C151" s="41" t="s">
        <v>1563</v>
      </c>
      <c r="D151" s="43">
        <f t="shared" si="295"/>
        <v>11.8</v>
      </c>
      <c r="E151" s="44">
        <f t="shared" ref="E151:F151" si="308">E150</f>
        <v>15</v>
      </c>
      <c r="F151" s="44">
        <f t="shared" si="308"/>
        <v>-61.016949152542367</v>
      </c>
      <c r="G151" s="42" t="s">
        <v>12</v>
      </c>
      <c r="H151" s="50">
        <v>10</v>
      </c>
      <c r="I151" s="49">
        <f t="shared" ref="I151:L151" si="309">I150</f>
        <v>160</v>
      </c>
      <c r="J151" s="44">
        <f t="shared" si="309"/>
        <v>8</v>
      </c>
      <c r="K151" s="44">
        <f t="shared" si="309"/>
        <v>8</v>
      </c>
      <c r="L151" s="45">
        <f t="shared" si="309"/>
        <v>0.2</v>
      </c>
      <c r="M151" s="49">
        <v>60</v>
      </c>
      <c r="N151" s="54">
        <f>I151+10</f>
        <v>170</v>
      </c>
      <c r="O151" s="44">
        <f t="shared" ref="O151:P151" si="310">O150</f>
        <v>150</v>
      </c>
      <c r="P151" s="50">
        <f t="shared" si="310"/>
        <v>270</v>
      </c>
    </row>
    <row r="152" spans="1:16" x14ac:dyDescent="0.25">
      <c r="A152" s="41">
        <f t="shared" si="279"/>
        <v>1000</v>
      </c>
      <c r="B152" s="42">
        <f t="shared" si="279"/>
        <v>142</v>
      </c>
      <c r="C152" s="41" t="s">
        <v>1564</v>
      </c>
      <c r="D152" s="43">
        <f t="shared" si="295"/>
        <v>11.8</v>
      </c>
      <c r="E152" s="44">
        <f t="shared" ref="E152:F152" si="311">E151</f>
        <v>15</v>
      </c>
      <c r="F152" s="44">
        <f t="shared" si="311"/>
        <v>-61.016949152542367</v>
      </c>
      <c r="G152" s="42" t="str">
        <f>G151</f>
        <v>Half</v>
      </c>
      <c r="H152" s="50">
        <f>H151</f>
        <v>10</v>
      </c>
      <c r="I152" s="49">
        <f t="shared" ref="I152:L152" si="312">I151</f>
        <v>160</v>
      </c>
      <c r="J152" s="44">
        <f t="shared" si="312"/>
        <v>8</v>
      </c>
      <c r="K152" s="44">
        <f t="shared" si="312"/>
        <v>8</v>
      </c>
      <c r="L152" s="45">
        <f t="shared" si="312"/>
        <v>0.2</v>
      </c>
      <c r="M152" s="49">
        <v>90</v>
      </c>
      <c r="N152" s="54">
        <f>I152</f>
        <v>160</v>
      </c>
      <c r="O152" s="44">
        <f t="shared" ref="O152:P152" si="313">O151</f>
        <v>150</v>
      </c>
      <c r="P152" s="50">
        <f t="shared" si="313"/>
        <v>270</v>
      </c>
    </row>
    <row r="153" spans="1:16" x14ac:dyDescent="0.25">
      <c r="A153" s="41">
        <f t="shared" si="279"/>
        <v>1001</v>
      </c>
      <c r="B153" s="42">
        <f t="shared" si="279"/>
        <v>143</v>
      </c>
      <c r="C153" s="41" t="s">
        <v>1565</v>
      </c>
      <c r="D153" s="43">
        <f t="shared" si="295"/>
        <v>11.8</v>
      </c>
      <c r="E153" s="44">
        <f t="shared" ref="E153:L153" si="314">E152</f>
        <v>15</v>
      </c>
      <c r="F153" s="44">
        <f t="shared" si="314"/>
        <v>-61.016949152542367</v>
      </c>
      <c r="G153" s="42" t="str">
        <f t="shared" si="314"/>
        <v>Half</v>
      </c>
      <c r="H153" s="50">
        <f t="shared" si="314"/>
        <v>10</v>
      </c>
      <c r="I153" s="49">
        <f t="shared" si="314"/>
        <v>160</v>
      </c>
      <c r="J153" s="44">
        <f t="shared" si="314"/>
        <v>8</v>
      </c>
      <c r="K153" s="44">
        <f t="shared" si="314"/>
        <v>8</v>
      </c>
      <c r="L153" s="45">
        <f t="shared" si="314"/>
        <v>0.2</v>
      </c>
      <c r="M153" s="49">
        <v>90</v>
      </c>
      <c r="N153" s="54">
        <f>I153+5</f>
        <v>165</v>
      </c>
      <c r="O153" s="44">
        <f t="shared" ref="O153:P153" si="315">O152</f>
        <v>150</v>
      </c>
      <c r="P153" s="50">
        <f t="shared" si="315"/>
        <v>270</v>
      </c>
    </row>
    <row r="154" spans="1:16" x14ac:dyDescent="0.25">
      <c r="A154" s="41">
        <f t="shared" si="279"/>
        <v>1002</v>
      </c>
      <c r="B154" s="42">
        <f t="shared" si="279"/>
        <v>144</v>
      </c>
      <c r="C154" s="127" t="s">
        <v>1566</v>
      </c>
      <c r="D154" s="43">
        <f t="shared" si="295"/>
        <v>11.8</v>
      </c>
      <c r="E154" s="44">
        <f t="shared" ref="E154:L154" si="316">E153</f>
        <v>15</v>
      </c>
      <c r="F154" s="128">
        <f t="shared" si="316"/>
        <v>-61.016949152542367</v>
      </c>
      <c r="G154" s="42" t="str">
        <f t="shared" si="316"/>
        <v>Half</v>
      </c>
      <c r="H154" s="50">
        <f t="shared" si="316"/>
        <v>10</v>
      </c>
      <c r="I154" s="49">
        <f t="shared" si="316"/>
        <v>160</v>
      </c>
      <c r="J154" s="44">
        <f t="shared" si="316"/>
        <v>8</v>
      </c>
      <c r="K154" s="44">
        <f t="shared" si="316"/>
        <v>8</v>
      </c>
      <c r="L154" s="45">
        <f t="shared" si="316"/>
        <v>0.2</v>
      </c>
      <c r="M154" s="49">
        <v>90</v>
      </c>
      <c r="N154" s="54">
        <f>I154+10</f>
        <v>170</v>
      </c>
      <c r="O154" s="44">
        <f t="shared" ref="O154:P154" si="317">O153</f>
        <v>150</v>
      </c>
      <c r="P154" s="50">
        <f t="shared" si="317"/>
        <v>270</v>
      </c>
    </row>
    <row r="155" spans="1:16" x14ac:dyDescent="0.25">
      <c r="A155" s="41">
        <f t="shared" si="279"/>
        <v>1003</v>
      </c>
      <c r="B155" s="42">
        <f t="shared" si="279"/>
        <v>145</v>
      </c>
      <c r="C155" s="41" t="s">
        <v>1567</v>
      </c>
      <c r="D155" s="43">
        <f t="shared" ref="D155:D186" si="318">v_c</f>
        <v>20</v>
      </c>
      <c r="E155" s="44">
        <f t="shared" ref="E155" si="319">E154</f>
        <v>15</v>
      </c>
      <c r="F155" s="44">
        <f>720/D155</f>
        <v>36</v>
      </c>
      <c r="G155" s="42" t="str">
        <f t="shared" ref="G155:J155" si="320">G154</f>
        <v>Half</v>
      </c>
      <c r="H155" s="50">
        <f t="shared" si="320"/>
        <v>10</v>
      </c>
      <c r="I155" s="49">
        <f t="shared" si="320"/>
        <v>160</v>
      </c>
      <c r="J155" s="44">
        <f t="shared" si="320"/>
        <v>8</v>
      </c>
      <c r="K155" s="44">
        <f>yaw_min</f>
        <v>-8</v>
      </c>
      <c r="L155" s="45">
        <f t="shared" ref="L155" si="321">L154</f>
        <v>0.2</v>
      </c>
      <c r="M155" s="49">
        <v>0</v>
      </c>
      <c r="N155" s="54">
        <f>I155</f>
        <v>160</v>
      </c>
      <c r="O155" s="44">
        <f t="shared" ref="O155:P155" si="322">O154</f>
        <v>150</v>
      </c>
      <c r="P155" s="50">
        <f t="shared" si="322"/>
        <v>270</v>
      </c>
    </row>
    <row r="156" spans="1:16" x14ac:dyDescent="0.25">
      <c r="A156" s="41">
        <f t="shared" ref="A156:B171" si="323">A155+1</f>
        <v>1004</v>
      </c>
      <c r="B156" s="42">
        <f t="shared" si="323"/>
        <v>146</v>
      </c>
      <c r="C156" s="41" t="s">
        <v>1568</v>
      </c>
      <c r="D156" s="43">
        <f t="shared" si="318"/>
        <v>20</v>
      </c>
      <c r="E156" s="44">
        <f t="shared" ref="E156:L156" si="324">E155</f>
        <v>15</v>
      </c>
      <c r="F156" s="44">
        <f t="shared" si="324"/>
        <v>36</v>
      </c>
      <c r="G156" s="42" t="str">
        <f t="shared" si="324"/>
        <v>Half</v>
      </c>
      <c r="H156" s="50">
        <f t="shared" si="324"/>
        <v>10</v>
      </c>
      <c r="I156" s="49">
        <f t="shared" si="324"/>
        <v>160</v>
      </c>
      <c r="J156" s="44">
        <f t="shared" si="324"/>
        <v>8</v>
      </c>
      <c r="K156" s="44">
        <f t="shared" si="324"/>
        <v>-8</v>
      </c>
      <c r="L156" s="45">
        <f t="shared" si="324"/>
        <v>0.2</v>
      </c>
      <c r="M156" s="49">
        <v>0</v>
      </c>
      <c r="N156" s="54">
        <f>I156+5</f>
        <v>165</v>
      </c>
      <c r="O156" s="44">
        <f t="shared" ref="O156:P156" si="325">O155</f>
        <v>150</v>
      </c>
      <c r="P156" s="50">
        <f t="shared" si="325"/>
        <v>270</v>
      </c>
    </row>
    <row r="157" spans="1:16" x14ac:dyDescent="0.25">
      <c r="A157" s="41">
        <f t="shared" si="323"/>
        <v>1005</v>
      </c>
      <c r="B157" s="42">
        <f t="shared" si="323"/>
        <v>147</v>
      </c>
      <c r="C157" s="41" t="s">
        <v>1569</v>
      </c>
      <c r="D157" s="43">
        <f t="shared" si="318"/>
        <v>20</v>
      </c>
      <c r="E157" s="44">
        <f t="shared" ref="E157" si="326">E156</f>
        <v>15</v>
      </c>
      <c r="F157" s="44">
        <f>F156</f>
        <v>36</v>
      </c>
      <c r="G157" s="42" t="str">
        <f t="shared" ref="G157:L157" si="327">G156</f>
        <v>Half</v>
      </c>
      <c r="H157" s="50">
        <f t="shared" si="327"/>
        <v>10</v>
      </c>
      <c r="I157" s="49">
        <f t="shared" si="327"/>
        <v>160</v>
      </c>
      <c r="J157" s="44">
        <f t="shared" si="327"/>
        <v>8</v>
      </c>
      <c r="K157" s="44">
        <f t="shared" si="327"/>
        <v>-8</v>
      </c>
      <c r="L157" s="45">
        <f t="shared" si="327"/>
        <v>0.2</v>
      </c>
      <c r="M157" s="49">
        <v>0</v>
      </c>
      <c r="N157" s="54">
        <f>I157+10</f>
        <v>170</v>
      </c>
      <c r="O157" s="44">
        <f t="shared" ref="O157:P157" si="328">O156</f>
        <v>150</v>
      </c>
      <c r="P157" s="50">
        <f t="shared" si="328"/>
        <v>270</v>
      </c>
    </row>
    <row r="158" spans="1:16" x14ac:dyDescent="0.25">
      <c r="A158" s="41">
        <f t="shared" si="323"/>
        <v>1006</v>
      </c>
      <c r="B158" s="42">
        <f t="shared" si="323"/>
        <v>148</v>
      </c>
      <c r="C158" s="41" t="s">
        <v>1570</v>
      </c>
      <c r="D158" s="43">
        <f t="shared" si="318"/>
        <v>20</v>
      </c>
      <c r="E158" s="44">
        <f t="shared" ref="E158" si="329">E157</f>
        <v>15</v>
      </c>
      <c r="F158" s="44">
        <f>F157</f>
        <v>36</v>
      </c>
      <c r="G158" s="42" t="str">
        <f t="shared" ref="G158:L158" si="330">G157</f>
        <v>Half</v>
      </c>
      <c r="H158" s="50">
        <f t="shared" si="330"/>
        <v>10</v>
      </c>
      <c r="I158" s="49">
        <f t="shared" si="330"/>
        <v>160</v>
      </c>
      <c r="J158" s="44">
        <f t="shared" si="330"/>
        <v>8</v>
      </c>
      <c r="K158" s="44">
        <f t="shared" si="330"/>
        <v>-8</v>
      </c>
      <c r="L158" s="45">
        <f t="shared" si="330"/>
        <v>0.2</v>
      </c>
      <c r="M158" s="49">
        <v>30</v>
      </c>
      <c r="N158" s="54">
        <f>I158</f>
        <v>160</v>
      </c>
      <c r="O158" s="44">
        <f t="shared" ref="O158:P158" si="331">O157</f>
        <v>150</v>
      </c>
      <c r="P158" s="50">
        <f t="shared" si="331"/>
        <v>270</v>
      </c>
    </row>
    <row r="159" spans="1:16" x14ac:dyDescent="0.25">
      <c r="A159" s="41">
        <f t="shared" si="323"/>
        <v>1007</v>
      </c>
      <c r="B159" s="42">
        <f t="shared" si="323"/>
        <v>149</v>
      </c>
      <c r="C159" s="41" t="s">
        <v>1571</v>
      </c>
      <c r="D159" s="43">
        <f t="shared" si="318"/>
        <v>20</v>
      </c>
      <c r="E159" s="44">
        <f t="shared" ref="E159:L159" si="332">E158</f>
        <v>15</v>
      </c>
      <c r="F159" s="44">
        <f t="shared" si="332"/>
        <v>36</v>
      </c>
      <c r="G159" s="42" t="str">
        <f t="shared" si="332"/>
        <v>Half</v>
      </c>
      <c r="H159" s="50">
        <f t="shared" si="332"/>
        <v>10</v>
      </c>
      <c r="I159" s="49">
        <f t="shared" si="332"/>
        <v>160</v>
      </c>
      <c r="J159" s="44">
        <f t="shared" si="332"/>
        <v>8</v>
      </c>
      <c r="K159" s="44">
        <f t="shared" si="332"/>
        <v>-8</v>
      </c>
      <c r="L159" s="45">
        <f t="shared" si="332"/>
        <v>0.2</v>
      </c>
      <c r="M159" s="49">
        <v>30</v>
      </c>
      <c r="N159" s="54">
        <f>I159+5</f>
        <v>165</v>
      </c>
      <c r="O159" s="44">
        <f t="shared" ref="O159:P159" si="333">O158</f>
        <v>150</v>
      </c>
      <c r="P159" s="50">
        <f t="shared" si="333"/>
        <v>270</v>
      </c>
    </row>
    <row r="160" spans="1:16" x14ac:dyDescent="0.25">
      <c r="A160" s="41">
        <f t="shared" si="323"/>
        <v>1008</v>
      </c>
      <c r="B160" s="42">
        <f t="shared" si="323"/>
        <v>150</v>
      </c>
      <c r="C160" s="41" t="s">
        <v>1572</v>
      </c>
      <c r="D160" s="43">
        <f t="shared" si="318"/>
        <v>20</v>
      </c>
      <c r="E160" s="44">
        <f t="shared" ref="E160:L160" si="334">E159</f>
        <v>15</v>
      </c>
      <c r="F160" s="44">
        <f t="shared" si="334"/>
        <v>36</v>
      </c>
      <c r="G160" s="42" t="str">
        <f t="shared" si="334"/>
        <v>Half</v>
      </c>
      <c r="H160" s="50">
        <f t="shared" si="334"/>
        <v>10</v>
      </c>
      <c r="I160" s="49">
        <f t="shared" si="334"/>
        <v>160</v>
      </c>
      <c r="J160" s="44">
        <f t="shared" si="334"/>
        <v>8</v>
      </c>
      <c r="K160" s="44">
        <f t="shared" si="334"/>
        <v>-8</v>
      </c>
      <c r="L160" s="45">
        <f t="shared" si="334"/>
        <v>0.2</v>
      </c>
      <c r="M160" s="49">
        <v>30</v>
      </c>
      <c r="N160" s="54">
        <f>I160+10</f>
        <v>170</v>
      </c>
      <c r="O160" s="44">
        <f t="shared" ref="O160:P160" si="335">O159</f>
        <v>150</v>
      </c>
      <c r="P160" s="50">
        <f t="shared" si="335"/>
        <v>270</v>
      </c>
    </row>
    <row r="161" spans="1:16" x14ac:dyDescent="0.25">
      <c r="A161" s="41">
        <f t="shared" si="323"/>
        <v>1009</v>
      </c>
      <c r="B161" s="42">
        <f t="shared" si="323"/>
        <v>151</v>
      </c>
      <c r="C161" s="41" t="s">
        <v>1573</v>
      </c>
      <c r="D161" s="43">
        <f t="shared" si="318"/>
        <v>20</v>
      </c>
      <c r="E161" s="44">
        <f t="shared" ref="E161:L161" si="336">E160</f>
        <v>15</v>
      </c>
      <c r="F161" s="44">
        <f t="shared" si="336"/>
        <v>36</v>
      </c>
      <c r="G161" s="42" t="str">
        <f t="shared" si="336"/>
        <v>Half</v>
      </c>
      <c r="H161" s="50">
        <f t="shared" si="336"/>
        <v>10</v>
      </c>
      <c r="I161" s="49">
        <f t="shared" si="336"/>
        <v>160</v>
      </c>
      <c r="J161" s="44">
        <f t="shared" si="336"/>
        <v>8</v>
      </c>
      <c r="K161" s="44">
        <f t="shared" si="336"/>
        <v>-8</v>
      </c>
      <c r="L161" s="45">
        <f t="shared" si="336"/>
        <v>0.2</v>
      </c>
      <c r="M161" s="49">
        <v>60</v>
      </c>
      <c r="N161" s="54">
        <f>I161</f>
        <v>160</v>
      </c>
      <c r="O161" s="44">
        <f t="shared" ref="O161:P161" si="337">O160</f>
        <v>150</v>
      </c>
      <c r="P161" s="50">
        <f t="shared" si="337"/>
        <v>270</v>
      </c>
    </row>
    <row r="162" spans="1:16" x14ac:dyDescent="0.25">
      <c r="A162" s="41">
        <f t="shared" si="323"/>
        <v>1010</v>
      </c>
      <c r="B162" s="42">
        <f t="shared" si="323"/>
        <v>152</v>
      </c>
      <c r="C162" s="41" t="s">
        <v>1574</v>
      </c>
      <c r="D162" s="43">
        <f t="shared" si="318"/>
        <v>20</v>
      </c>
      <c r="E162" s="44">
        <f t="shared" ref="E162" si="338">E161</f>
        <v>15</v>
      </c>
      <c r="F162" s="44">
        <f>F161</f>
        <v>36</v>
      </c>
      <c r="G162" s="42" t="str">
        <f t="shared" ref="G162:L162" si="339">G161</f>
        <v>Half</v>
      </c>
      <c r="H162" s="50">
        <f t="shared" si="339"/>
        <v>10</v>
      </c>
      <c r="I162" s="49">
        <f t="shared" si="339"/>
        <v>160</v>
      </c>
      <c r="J162" s="44">
        <f t="shared" si="339"/>
        <v>8</v>
      </c>
      <c r="K162" s="44">
        <f t="shared" si="339"/>
        <v>-8</v>
      </c>
      <c r="L162" s="45">
        <f t="shared" si="339"/>
        <v>0.2</v>
      </c>
      <c r="M162" s="49">
        <v>60</v>
      </c>
      <c r="N162" s="54">
        <f>I162+5</f>
        <v>165</v>
      </c>
      <c r="O162" s="44">
        <f t="shared" ref="O162:P162" si="340">O161</f>
        <v>150</v>
      </c>
      <c r="P162" s="50">
        <f t="shared" si="340"/>
        <v>270</v>
      </c>
    </row>
    <row r="163" spans="1:16" x14ac:dyDescent="0.25">
      <c r="A163" s="41">
        <f t="shared" si="323"/>
        <v>1011</v>
      </c>
      <c r="B163" s="42">
        <f t="shared" si="323"/>
        <v>153</v>
      </c>
      <c r="C163" s="41" t="s">
        <v>1575</v>
      </c>
      <c r="D163" s="43">
        <f t="shared" si="318"/>
        <v>20</v>
      </c>
      <c r="E163" s="44">
        <f t="shared" ref="E163:L163" si="341">E162</f>
        <v>15</v>
      </c>
      <c r="F163" s="44">
        <f t="shared" si="341"/>
        <v>36</v>
      </c>
      <c r="G163" s="42" t="str">
        <f t="shared" si="341"/>
        <v>Half</v>
      </c>
      <c r="H163" s="50">
        <f t="shared" si="341"/>
        <v>10</v>
      </c>
      <c r="I163" s="49">
        <f t="shared" si="341"/>
        <v>160</v>
      </c>
      <c r="J163" s="44">
        <f t="shared" si="341"/>
        <v>8</v>
      </c>
      <c r="K163" s="44">
        <f t="shared" si="341"/>
        <v>-8</v>
      </c>
      <c r="L163" s="45">
        <f t="shared" si="341"/>
        <v>0.2</v>
      </c>
      <c r="M163" s="49">
        <v>60</v>
      </c>
      <c r="N163" s="54">
        <f>I163+10</f>
        <v>170</v>
      </c>
      <c r="O163" s="44">
        <f t="shared" ref="O163:P163" si="342">O162</f>
        <v>150</v>
      </c>
      <c r="P163" s="50">
        <f t="shared" si="342"/>
        <v>270</v>
      </c>
    </row>
    <row r="164" spans="1:16" x14ac:dyDescent="0.25">
      <c r="A164" s="41">
        <f t="shared" si="323"/>
        <v>1012</v>
      </c>
      <c r="B164" s="42">
        <f t="shared" si="323"/>
        <v>154</v>
      </c>
      <c r="C164" s="41" t="s">
        <v>1576</v>
      </c>
      <c r="D164" s="43">
        <f t="shared" si="318"/>
        <v>20</v>
      </c>
      <c r="E164" s="44">
        <f t="shared" ref="E164:F164" si="343">E163</f>
        <v>15</v>
      </c>
      <c r="F164" s="44">
        <f t="shared" si="343"/>
        <v>36</v>
      </c>
      <c r="G164" s="42" t="str">
        <f>G163</f>
        <v>Half</v>
      </c>
      <c r="H164" s="50">
        <f t="shared" ref="H164:L164" si="344">H163</f>
        <v>10</v>
      </c>
      <c r="I164" s="49">
        <f t="shared" si="344"/>
        <v>160</v>
      </c>
      <c r="J164" s="44">
        <f t="shared" si="344"/>
        <v>8</v>
      </c>
      <c r="K164" s="44">
        <f t="shared" si="344"/>
        <v>-8</v>
      </c>
      <c r="L164" s="45">
        <f t="shared" si="344"/>
        <v>0.2</v>
      </c>
      <c r="M164" s="49">
        <v>90</v>
      </c>
      <c r="N164" s="54">
        <f>I164</f>
        <v>160</v>
      </c>
      <c r="O164" s="44">
        <f t="shared" ref="O164:P164" si="345">O163</f>
        <v>150</v>
      </c>
      <c r="P164" s="50">
        <f t="shared" si="345"/>
        <v>270</v>
      </c>
    </row>
    <row r="165" spans="1:16" x14ac:dyDescent="0.25">
      <c r="A165" s="41">
        <f t="shared" si="323"/>
        <v>1013</v>
      </c>
      <c r="B165" s="42">
        <f t="shared" si="323"/>
        <v>155</v>
      </c>
      <c r="C165" s="41" t="s">
        <v>1577</v>
      </c>
      <c r="D165" s="43">
        <f t="shared" si="318"/>
        <v>20</v>
      </c>
      <c r="E165" s="44">
        <f t="shared" ref="E165:F165" si="346">E164</f>
        <v>15</v>
      </c>
      <c r="F165" s="44">
        <f t="shared" si="346"/>
        <v>36</v>
      </c>
      <c r="G165" s="42" t="str">
        <f>G164</f>
        <v>Half</v>
      </c>
      <c r="H165" s="50">
        <f t="shared" ref="H165:L165" si="347">H164</f>
        <v>10</v>
      </c>
      <c r="I165" s="49">
        <f t="shared" si="347"/>
        <v>160</v>
      </c>
      <c r="J165" s="44">
        <f t="shared" si="347"/>
        <v>8</v>
      </c>
      <c r="K165" s="44">
        <f t="shared" si="347"/>
        <v>-8</v>
      </c>
      <c r="L165" s="45">
        <f t="shared" si="347"/>
        <v>0.2</v>
      </c>
      <c r="M165" s="49">
        <v>90</v>
      </c>
      <c r="N165" s="54">
        <f>I165+5</f>
        <v>165</v>
      </c>
      <c r="O165" s="44">
        <f t="shared" ref="O165:P165" si="348">O164</f>
        <v>150</v>
      </c>
      <c r="P165" s="50">
        <f t="shared" si="348"/>
        <v>270</v>
      </c>
    </row>
    <row r="166" spans="1:16" x14ac:dyDescent="0.25">
      <c r="A166" s="41">
        <f t="shared" si="323"/>
        <v>1014</v>
      </c>
      <c r="B166" s="42">
        <f t="shared" si="323"/>
        <v>156</v>
      </c>
      <c r="C166" s="41" t="s">
        <v>1578</v>
      </c>
      <c r="D166" s="43">
        <f t="shared" si="318"/>
        <v>20</v>
      </c>
      <c r="E166" s="44">
        <f t="shared" ref="E166:F166" si="349">E165</f>
        <v>15</v>
      </c>
      <c r="F166" s="44">
        <f t="shared" si="349"/>
        <v>36</v>
      </c>
      <c r="G166" s="42" t="str">
        <f>G165</f>
        <v>Half</v>
      </c>
      <c r="H166" s="50">
        <f t="shared" ref="H166:L166" si="350">H165</f>
        <v>10</v>
      </c>
      <c r="I166" s="49">
        <f t="shared" si="350"/>
        <v>160</v>
      </c>
      <c r="J166" s="44">
        <f t="shared" si="350"/>
        <v>8</v>
      </c>
      <c r="K166" s="44">
        <f t="shared" si="350"/>
        <v>-8</v>
      </c>
      <c r="L166" s="45">
        <f t="shared" si="350"/>
        <v>0.2</v>
      </c>
      <c r="M166" s="49">
        <v>90</v>
      </c>
      <c r="N166" s="54">
        <f>I166+10</f>
        <v>170</v>
      </c>
      <c r="O166" s="44">
        <f t="shared" ref="O166:P166" si="351">O165</f>
        <v>150</v>
      </c>
      <c r="P166" s="50">
        <f t="shared" si="351"/>
        <v>270</v>
      </c>
    </row>
    <row r="167" spans="1:16" x14ac:dyDescent="0.25">
      <c r="A167" s="41">
        <f t="shared" si="323"/>
        <v>1015</v>
      </c>
      <c r="B167" s="42">
        <f t="shared" si="323"/>
        <v>157</v>
      </c>
      <c r="C167" s="41" t="s">
        <v>1579</v>
      </c>
      <c r="D167" s="43">
        <f t="shared" si="318"/>
        <v>20</v>
      </c>
      <c r="E167" s="44">
        <f t="shared" ref="E167:G167" si="352">E166</f>
        <v>15</v>
      </c>
      <c r="F167" s="44">
        <f t="shared" si="352"/>
        <v>36</v>
      </c>
      <c r="G167" s="42" t="str">
        <f t="shared" si="352"/>
        <v>Half</v>
      </c>
      <c r="H167" s="50">
        <f>H166</f>
        <v>10</v>
      </c>
      <c r="I167" s="49">
        <f t="shared" ref="I167:J167" si="353">I166</f>
        <v>160</v>
      </c>
      <c r="J167" s="44">
        <f t="shared" si="353"/>
        <v>8</v>
      </c>
      <c r="K167" s="44">
        <f>yaw_null</f>
        <v>0</v>
      </c>
      <c r="L167" s="45">
        <f t="shared" ref="L167" si="354">L166</f>
        <v>0.2</v>
      </c>
      <c r="M167" s="49">
        <v>0</v>
      </c>
      <c r="N167" s="54">
        <f>I167</f>
        <v>160</v>
      </c>
      <c r="O167" s="44">
        <f t="shared" ref="O167:P167" si="355">O166</f>
        <v>150</v>
      </c>
      <c r="P167" s="50">
        <f t="shared" si="355"/>
        <v>270</v>
      </c>
    </row>
    <row r="168" spans="1:16" x14ac:dyDescent="0.25">
      <c r="A168" s="41">
        <f t="shared" si="323"/>
        <v>1016</v>
      </c>
      <c r="B168" s="42">
        <f t="shared" si="323"/>
        <v>158</v>
      </c>
      <c r="C168" s="41" t="s">
        <v>1580</v>
      </c>
      <c r="D168" s="43">
        <f t="shared" si="318"/>
        <v>20</v>
      </c>
      <c r="E168" s="44">
        <f t="shared" ref="E168:L168" si="356">E167</f>
        <v>15</v>
      </c>
      <c r="F168" s="44">
        <f t="shared" si="356"/>
        <v>36</v>
      </c>
      <c r="G168" s="42" t="str">
        <f t="shared" si="356"/>
        <v>Half</v>
      </c>
      <c r="H168" s="50">
        <f t="shared" si="356"/>
        <v>10</v>
      </c>
      <c r="I168" s="49">
        <f t="shared" si="356"/>
        <v>160</v>
      </c>
      <c r="J168" s="44">
        <f t="shared" si="356"/>
        <v>8</v>
      </c>
      <c r="K168" s="44">
        <f t="shared" si="356"/>
        <v>0</v>
      </c>
      <c r="L168" s="45">
        <f t="shared" si="356"/>
        <v>0.2</v>
      </c>
      <c r="M168" s="49">
        <v>0</v>
      </c>
      <c r="N168" s="54">
        <f>I168+5</f>
        <v>165</v>
      </c>
      <c r="O168" s="44">
        <f t="shared" ref="O168:P168" si="357">O167</f>
        <v>150</v>
      </c>
      <c r="P168" s="50">
        <f t="shared" si="357"/>
        <v>270</v>
      </c>
    </row>
    <row r="169" spans="1:16" x14ac:dyDescent="0.25">
      <c r="A169" s="41">
        <f t="shared" si="323"/>
        <v>1017</v>
      </c>
      <c r="B169" s="42">
        <f t="shared" si="323"/>
        <v>159</v>
      </c>
      <c r="C169" s="41" t="s">
        <v>1581</v>
      </c>
      <c r="D169" s="43">
        <f t="shared" si="318"/>
        <v>20</v>
      </c>
      <c r="E169" s="44">
        <f t="shared" ref="E169:L169" si="358">E168</f>
        <v>15</v>
      </c>
      <c r="F169" s="44">
        <f t="shared" si="358"/>
        <v>36</v>
      </c>
      <c r="G169" s="42" t="str">
        <f t="shared" si="358"/>
        <v>Half</v>
      </c>
      <c r="H169" s="50">
        <f t="shared" si="358"/>
        <v>10</v>
      </c>
      <c r="I169" s="49">
        <f t="shared" si="358"/>
        <v>160</v>
      </c>
      <c r="J169" s="44">
        <f t="shared" si="358"/>
        <v>8</v>
      </c>
      <c r="K169" s="44">
        <f t="shared" si="358"/>
        <v>0</v>
      </c>
      <c r="L169" s="45">
        <f t="shared" si="358"/>
        <v>0.2</v>
      </c>
      <c r="M169" s="49">
        <v>0</v>
      </c>
      <c r="N169" s="54">
        <f>I169+10</f>
        <v>170</v>
      </c>
      <c r="O169" s="44">
        <f t="shared" ref="O169:P169" si="359">O168</f>
        <v>150</v>
      </c>
      <c r="P169" s="50">
        <f t="shared" si="359"/>
        <v>270</v>
      </c>
    </row>
    <row r="170" spans="1:16" x14ac:dyDescent="0.25">
      <c r="A170" s="41">
        <f t="shared" si="323"/>
        <v>1018</v>
      </c>
      <c r="B170" s="42">
        <f t="shared" si="323"/>
        <v>160</v>
      </c>
      <c r="C170" s="41" t="s">
        <v>1582</v>
      </c>
      <c r="D170" s="43">
        <f t="shared" si="318"/>
        <v>20</v>
      </c>
      <c r="E170" s="44">
        <f t="shared" ref="E170:L170" si="360">E169</f>
        <v>15</v>
      </c>
      <c r="F170" s="44">
        <f t="shared" si="360"/>
        <v>36</v>
      </c>
      <c r="G170" s="42" t="str">
        <f t="shared" si="360"/>
        <v>Half</v>
      </c>
      <c r="H170" s="50">
        <f t="shared" si="360"/>
        <v>10</v>
      </c>
      <c r="I170" s="49">
        <f t="shared" si="360"/>
        <v>160</v>
      </c>
      <c r="J170" s="44">
        <f t="shared" si="360"/>
        <v>8</v>
      </c>
      <c r="K170" s="44">
        <f t="shared" si="360"/>
        <v>0</v>
      </c>
      <c r="L170" s="45">
        <f t="shared" si="360"/>
        <v>0.2</v>
      </c>
      <c r="M170" s="49">
        <v>30</v>
      </c>
      <c r="N170" s="54">
        <f>I170</f>
        <v>160</v>
      </c>
      <c r="O170" s="44">
        <f t="shared" ref="O170:P170" si="361">O169</f>
        <v>150</v>
      </c>
      <c r="P170" s="50">
        <f t="shared" si="361"/>
        <v>270</v>
      </c>
    </row>
    <row r="171" spans="1:16" x14ac:dyDescent="0.25">
      <c r="A171" s="41">
        <f t="shared" si="323"/>
        <v>1019</v>
      </c>
      <c r="B171" s="42">
        <f t="shared" si="323"/>
        <v>161</v>
      </c>
      <c r="C171" s="41" t="s">
        <v>1583</v>
      </c>
      <c r="D171" s="43">
        <f t="shared" si="318"/>
        <v>20</v>
      </c>
      <c r="E171" s="44">
        <f t="shared" ref="E171:F171" si="362">E170</f>
        <v>15</v>
      </c>
      <c r="F171" s="44">
        <f t="shared" si="362"/>
        <v>36</v>
      </c>
      <c r="G171" s="42" t="s">
        <v>12</v>
      </c>
      <c r="H171" s="50">
        <v>10</v>
      </c>
      <c r="I171" s="49">
        <f t="shared" ref="I171:L171" si="363">I170</f>
        <v>160</v>
      </c>
      <c r="J171" s="44">
        <f t="shared" si="363"/>
        <v>8</v>
      </c>
      <c r="K171" s="44">
        <f t="shared" si="363"/>
        <v>0</v>
      </c>
      <c r="L171" s="45">
        <f t="shared" si="363"/>
        <v>0.2</v>
      </c>
      <c r="M171" s="49">
        <v>30</v>
      </c>
      <c r="N171" s="54">
        <f>I171+5</f>
        <v>165</v>
      </c>
      <c r="O171" s="44">
        <f t="shared" ref="O171:P171" si="364">O170</f>
        <v>150</v>
      </c>
      <c r="P171" s="50">
        <f t="shared" si="364"/>
        <v>270</v>
      </c>
    </row>
    <row r="172" spans="1:16" x14ac:dyDescent="0.25">
      <c r="A172" s="41">
        <f t="shared" ref="A172:B187" si="365">A171+1</f>
        <v>1020</v>
      </c>
      <c r="B172" s="42">
        <f t="shared" si="365"/>
        <v>162</v>
      </c>
      <c r="C172" s="41" t="s">
        <v>1584</v>
      </c>
      <c r="D172" s="43">
        <f t="shared" si="318"/>
        <v>20</v>
      </c>
      <c r="E172" s="44">
        <f t="shared" ref="E172:F172" si="366">E171</f>
        <v>15</v>
      </c>
      <c r="F172" s="44">
        <f t="shared" si="366"/>
        <v>36</v>
      </c>
      <c r="G172" s="42" t="str">
        <f>G171</f>
        <v>Half</v>
      </c>
      <c r="H172" s="50">
        <f>H171</f>
        <v>10</v>
      </c>
      <c r="I172" s="49">
        <f t="shared" ref="I172:L172" si="367">I171</f>
        <v>160</v>
      </c>
      <c r="J172" s="44">
        <f t="shared" si="367"/>
        <v>8</v>
      </c>
      <c r="K172" s="44">
        <f t="shared" si="367"/>
        <v>0</v>
      </c>
      <c r="L172" s="45">
        <f t="shared" si="367"/>
        <v>0.2</v>
      </c>
      <c r="M172" s="49">
        <v>30</v>
      </c>
      <c r="N172" s="54">
        <f>I172+10</f>
        <v>170</v>
      </c>
      <c r="O172" s="44">
        <f t="shared" ref="O172:P172" si="368">O171</f>
        <v>150</v>
      </c>
      <c r="P172" s="50">
        <f t="shared" si="368"/>
        <v>270</v>
      </c>
    </row>
    <row r="173" spans="1:16" x14ac:dyDescent="0.25">
      <c r="A173" s="41">
        <f t="shared" si="365"/>
        <v>1021</v>
      </c>
      <c r="B173" s="42">
        <f t="shared" si="365"/>
        <v>163</v>
      </c>
      <c r="C173" s="41" t="s">
        <v>1585</v>
      </c>
      <c r="D173" s="43">
        <f t="shared" si="318"/>
        <v>20</v>
      </c>
      <c r="E173" s="44">
        <f t="shared" ref="E173:L173" si="369">E172</f>
        <v>15</v>
      </c>
      <c r="F173" s="44">
        <f t="shared" si="369"/>
        <v>36</v>
      </c>
      <c r="G173" s="42" t="str">
        <f t="shared" si="369"/>
        <v>Half</v>
      </c>
      <c r="H173" s="50">
        <f t="shared" si="369"/>
        <v>10</v>
      </c>
      <c r="I173" s="49">
        <f t="shared" si="369"/>
        <v>160</v>
      </c>
      <c r="J173" s="44">
        <f t="shared" si="369"/>
        <v>8</v>
      </c>
      <c r="K173" s="44">
        <f t="shared" si="369"/>
        <v>0</v>
      </c>
      <c r="L173" s="45">
        <f t="shared" si="369"/>
        <v>0.2</v>
      </c>
      <c r="M173" s="49">
        <v>60</v>
      </c>
      <c r="N173" s="54">
        <f>I173</f>
        <v>160</v>
      </c>
      <c r="O173" s="44">
        <f t="shared" ref="O173:P173" si="370">O172</f>
        <v>150</v>
      </c>
      <c r="P173" s="50">
        <f t="shared" si="370"/>
        <v>270</v>
      </c>
    </row>
    <row r="174" spans="1:16" x14ac:dyDescent="0.25">
      <c r="A174" s="41">
        <f t="shared" si="365"/>
        <v>1022</v>
      </c>
      <c r="B174" s="42">
        <f t="shared" si="365"/>
        <v>164</v>
      </c>
      <c r="C174" s="41" t="s">
        <v>1586</v>
      </c>
      <c r="D174" s="43">
        <f t="shared" si="318"/>
        <v>20</v>
      </c>
      <c r="E174" s="44">
        <f t="shared" ref="E174:L174" si="371">E173</f>
        <v>15</v>
      </c>
      <c r="F174" s="44">
        <f t="shared" si="371"/>
        <v>36</v>
      </c>
      <c r="G174" s="42" t="str">
        <f t="shared" si="371"/>
        <v>Half</v>
      </c>
      <c r="H174" s="50">
        <f t="shared" si="371"/>
        <v>10</v>
      </c>
      <c r="I174" s="49">
        <f t="shared" si="371"/>
        <v>160</v>
      </c>
      <c r="J174" s="44">
        <f t="shared" si="371"/>
        <v>8</v>
      </c>
      <c r="K174" s="44">
        <f t="shared" si="371"/>
        <v>0</v>
      </c>
      <c r="L174" s="45">
        <f t="shared" si="371"/>
        <v>0.2</v>
      </c>
      <c r="M174" s="49">
        <v>60</v>
      </c>
      <c r="N174" s="54">
        <f>I174+5</f>
        <v>165</v>
      </c>
      <c r="O174" s="44">
        <f t="shared" ref="O174:P174" si="372">O173</f>
        <v>150</v>
      </c>
      <c r="P174" s="50">
        <f t="shared" si="372"/>
        <v>270</v>
      </c>
    </row>
    <row r="175" spans="1:16" x14ac:dyDescent="0.25">
      <c r="A175" s="41">
        <f t="shared" si="365"/>
        <v>1023</v>
      </c>
      <c r="B175" s="42">
        <f t="shared" si="365"/>
        <v>165</v>
      </c>
      <c r="C175" s="41" t="s">
        <v>1587</v>
      </c>
      <c r="D175" s="43">
        <f t="shared" si="318"/>
        <v>20</v>
      </c>
      <c r="E175" s="44">
        <f t="shared" ref="E175:L175" si="373">E174</f>
        <v>15</v>
      </c>
      <c r="F175" s="44">
        <f t="shared" si="373"/>
        <v>36</v>
      </c>
      <c r="G175" s="42" t="str">
        <f t="shared" si="373"/>
        <v>Half</v>
      </c>
      <c r="H175" s="50">
        <f t="shared" si="373"/>
        <v>10</v>
      </c>
      <c r="I175" s="49">
        <f t="shared" si="373"/>
        <v>160</v>
      </c>
      <c r="J175" s="44">
        <f t="shared" si="373"/>
        <v>8</v>
      </c>
      <c r="K175" s="44">
        <f t="shared" si="373"/>
        <v>0</v>
      </c>
      <c r="L175" s="45">
        <f t="shared" si="373"/>
        <v>0.2</v>
      </c>
      <c r="M175" s="49">
        <v>60</v>
      </c>
      <c r="N175" s="54">
        <f>I175+10</f>
        <v>170</v>
      </c>
      <c r="O175" s="44">
        <f t="shared" ref="O175:P175" si="374">O174</f>
        <v>150</v>
      </c>
      <c r="P175" s="50">
        <f t="shared" si="374"/>
        <v>270</v>
      </c>
    </row>
    <row r="176" spans="1:16" x14ac:dyDescent="0.25">
      <c r="A176" s="41">
        <f t="shared" si="365"/>
        <v>1024</v>
      </c>
      <c r="B176" s="42">
        <f t="shared" si="365"/>
        <v>166</v>
      </c>
      <c r="C176" s="41" t="s">
        <v>1588</v>
      </c>
      <c r="D176" s="43">
        <f t="shared" si="318"/>
        <v>20</v>
      </c>
      <c r="E176" s="44">
        <f t="shared" ref="E176:L176" si="375">E175</f>
        <v>15</v>
      </c>
      <c r="F176" s="44">
        <f t="shared" si="375"/>
        <v>36</v>
      </c>
      <c r="G176" s="42" t="str">
        <f t="shared" si="375"/>
        <v>Half</v>
      </c>
      <c r="H176" s="50">
        <f t="shared" si="375"/>
        <v>10</v>
      </c>
      <c r="I176" s="49">
        <f t="shared" si="375"/>
        <v>160</v>
      </c>
      <c r="J176" s="44">
        <f t="shared" si="375"/>
        <v>8</v>
      </c>
      <c r="K176" s="44">
        <f t="shared" si="375"/>
        <v>0</v>
      </c>
      <c r="L176" s="45">
        <f t="shared" si="375"/>
        <v>0.2</v>
      </c>
      <c r="M176" s="49">
        <v>90</v>
      </c>
      <c r="N176" s="54">
        <f>I176</f>
        <v>160</v>
      </c>
      <c r="O176" s="44">
        <f t="shared" ref="O176:P176" si="376">O175</f>
        <v>150</v>
      </c>
      <c r="P176" s="50">
        <f t="shared" si="376"/>
        <v>270</v>
      </c>
    </row>
    <row r="177" spans="1:16" x14ac:dyDescent="0.25">
      <c r="A177" s="41">
        <f t="shared" si="365"/>
        <v>1025</v>
      </c>
      <c r="B177" s="42">
        <f t="shared" si="365"/>
        <v>167</v>
      </c>
      <c r="C177" s="41" t="s">
        <v>1589</v>
      </c>
      <c r="D177" s="43">
        <f t="shared" si="318"/>
        <v>20</v>
      </c>
      <c r="E177" s="44">
        <f t="shared" ref="E177:L177" si="377">E176</f>
        <v>15</v>
      </c>
      <c r="F177" s="44">
        <f t="shared" si="377"/>
        <v>36</v>
      </c>
      <c r="G177" s="42" t="str">
        <f t="shared" si="377"/>
        <v>Half</v>
      </c>
      <c r="H177" s="50">
        <f t="shared" si="377"/>
        <v>10</v>
      </c>
      <c r="I177" s="49">
        <f t="shared" si="377"/>
        <v>160</v>
      </c>
      <c r="J177" s="44">
        <f t="shared" si="377"/>
        <v>8</v>
      </c>
      <c r="K177" s="44">
        <f t="shared" si="377"/>
        <v>0</v>
      </c>
      <c r="L177" s="45">
        <f t="shared" si="377"/>
        <v>0.2</v>
      </c>
      <c r="M177" s="49">
        <v>90</v>
      </c>
      <c r="N177" s="54">
        <f>I177+5</f>
        <v>165</v>
      </c>
      <c r="O177" s="44">
        <f t="shared" ref="O177:P177" si="378">O176</f>
        <v>150</v>
      </c>
      <c r="P177" s="50">
        <f t="shared" si="378"/>
        <v>270</v>
      </c>
    </row>
    <row r="178" spans="1:16" x14ac:dyDescent="0.25">
      <c r="A178" s="41">
        <f t="shared" si="365"/>
        <v>1026</v>
      </c>
      <c r="B178" s="42">
        <f t="shared" si="365"/>
        <v>168</v>
      </c>
      <c r="C178" s="127" t="s">
        <v>1590</v>
      </c>
      <c r="D178" s="43">
        <f t="shared" si="318"/>
        <v>20</v>
      </c>
      <c r="E178" s="44">
        <f t="shared" ref="E178:L178" si="379">E177</f>
        <v>15</v>
      </c>
      <c r="F178" s="44">
        <f t="shared" si="379"/>
        <v>36</v>
      </c>
      <c r="G178" s="42" t="str">
        <f t="shared" si="379"/>
        <v>Half</v>
      </c>
      <c r="H178" s="50">
        <f t="shared" si="379"/>
        <v>10</v>
      </c>
      <c r="I178" s="49">
        <f t="shared" si="379"/>
        <v>160</v>
      </c>
      <c r="J178" s="44">
        <f t="shared" si="379"/>
        <v>8</v>
      </c>
      <c r="K178" s="44">
        <f t="shared" si="379"/>
        <v>0</v>
      </c>
      <c r="L178" s="45">
        <f t="shared" si="379"/>
        <v>0.2</v>
      </c>
      <c r="M178" s="49">
        <v>90</v>
      </c>
      <c r="N178" s="54">
        <f>I178+10</f>
        <v>170</v>
      </c>
      <c r="O178" s="44">
        <f t="shared" ref="O178:P178" si="380">O177</f>
        <v>150</v>
      </c>
      <c r="P178" s="50">
        <f t="shared" si="380"/>
        <v>270</v>
      </c>
    </row>
    <row r="179" spans="1:16" x14ac:dyDescent="0.25">
      <c r="A179" s="41">
        <f t="shared" si="365"/>
        <v>1027</v>
      </c>
      <c r="B179" s="42">
        <f t="shared" si="365"/>
        <v>169</v>
      </c>
      <c r="C179" s="41" t="s">
        <v>1591</v>
      </c>
      <c r="D179" s="43">
        <f t="shared" si="318"/>
        <v>20</v>
      </c>
      <c r="E179" s="44">
        <f t="shared" ref="E179:J179" si="381">E178</f>
        <v>15</v>
      </c>
      <c r="F179" s="44">
        <f t="shared" si="381"/>
        <v>36</v>
      </c>
      <c r="G179" s="42" t="str">
        <f t="shared" si="381"/>
        <v>Half</v>
      </c>
      <c r="H179" s="50">
        <f t="shared" si="381"/>
        <v>10</v>
      </c>
      <c r="I179" s="49">
        <f t="shared" si="381"/>
        <v>160</v>
      </c>
      <c r="J179" s="44">
        <f t="shared" si="381"/>
        <v>8</v>
      </c>
      <c r="K179" s="44">
        <f>yaw_max</f>
        <v>8</v>
      </c>
      <c r="L179" s="45">
        <f t="shared" ref="L179" si="382">L178</f>
        <v>0.2</v>
      </c>
      <c r="M179" s="49">
        <v>0</v>
      </c>
      <c r="N179" s="54">
        <f>I179</f>
        <v>160</v>
      </c>
      <c r="O179" s="44">
        <f t="shared" ref="O179:P179" si="383">O178</f>
        <v>150</v>
      </c>
      <c r="P179" s="50">
        <f t="shared" si="383"/>
        <v>270</v>
      </c>
    </row>
    <row r="180" spans="1:16" x14ac:dyDescent="0.25">
      <c r="A180" s="41">
        <f t="shared" si="365"/>
        <v>1028</v>
      </c>
      <c r="B180" s="42">
        <f t="shared" si="365"/>
        <v>170</v>
      </c>
      <c r="C180" s="41" t="s">
        <v>1592</v>
      </c>
      <c r="D180" s="43">
        <f t="shared" si="318"/>
        <v>20</v>
      </c>
      <c r="E180" s="44">
        <f t="shared" ref="E180:L180" si="384">E179</f>
        <v>15</v>
      </c>
      <c r="F180" s="44">
        <f t="shared" si="384"/>
        <v>36</v>
      </c>
      <c r="G180" s="42" t="str">
        <f t="shared" si="384"/>
        <v>Half</v>
      </c>
      <c r="H180" s="50">
        <f t="shared" si="384"/>
        <v>10</v>
      </c>
      <c r="I180" s="49">
        <f t="shared" si="384"/>
        <v>160</v>
      </c>
      <c r="J180" s="44">
        <f t="shared" si="384"/>
        <v>8</v>
      </c>
      <c r="K180" s="44">
        <f t="shared" si="384"/>
        <v>8</v>
      </c>
      <c r="L180" s="45">
        <f t="shared" si="384"/>
        <v>0.2</v>
      </c>
      <c r="M180" s="49">
        <v>0</v>
      </c>
      <c r="N180" s="54">
        <f>I180+5</f>
        <v>165</v>
      </c>
      <c r="O180" s="44">
        <f t="shared" ref="O180:P180" si="385">O179</f>
        <v>150</v>
      </c>
      <c r="P180" s="50">
        <f t="shared" si="385"/>
        <v>270</v>
      </c>
    </row>
    <row r="181" spans="1:16" x14ac:dyDescent="0.25">
      <c r="A181" s="41">
        <f t="shared" si="365"/>
        <v>1029</v>
      </c>
      <c r="B181" s="42">
        <f t="shared" si="365"/>
        <v>171</v>
      </c>
      <c r="C181" s="41" t="s">
        <v>1593</v>
      </c>
      <c r="D181" s="43">
        <f t="shared" si="318"/>
        <v>20</v>
      </c>
      <c r="E181" s="44">
        <f t="shared" ref="E181:L181" si="386">E180</f>
        <v>15</v>
      </c>
      <c r="F181" s="44">
        <f t="shared" si="386"/>
        <v>36</v>
      </c>
      <c r="G181" s="42" t="str">
        <f t="shared" si="386"/>
        <v>Half</v>
      </c>
      <c r="H181" s="50">
        <f t="shared" si="386"/>
        <v>10</v>
      </c>
      <c r="I181" s="49">
        <f t="shared" si="386"/>
        <v>160</v>
      </c>
      <c r="J181" s="44">
        <f t="shared" si="386"/>
        <v>8</v>
      </c>
      <c r="K181" s="44">
        <f t="shared" si="386"/>
        <v>8</v>
      </c>
      <c r="L181" s="45">
        <f t="shared" si="386"/>
        <v>0.2</v>
      </c>
      <c r="M181" s="49">
        <v>0</v>
      </c>
      <c r="N181" s="54">
        <f>I181+10</f>
        <v>170</v>
      </c>
      <c r="O181" s="44">
        <f t="shared" ref="O181:P181" si="387">O180</f>
        <v>150</v>
      </c>
      <c r="P181" s="50">
        <f t="shared" si="387"/>
        <v>270</v>
      </c>
    </row>
    <row r="182" spans="1:16" x14ac:dyDescent="0.25">
      <c r="A182" s="41">
        <f t="shared" si="365"/>
        <v>1030</v>
      </c>
      <c r="B182" s="42">
        <f t="shared" si="365"/>
        <v>172</v>
      </c>
      <c r="C182" s="41" t="s">
        <v>1594</v>
      </c>
      <c r="D182" s="43">
        <f t="shared" si="318"/>
        <v>20</v>
      </c>
      <c r="E182" s="44">
        <f t="shared" ref="E182:L182" si="388">E181</f>
        <v>15</v>
      </c>
      <c r="F182" s="44">
        <f t="shared" si="388"/>
        <v>36</v>
      </c>
      <c r="G182" s="42" t="str">
        <f t="shared" si="388"/>
        <v>Half</v>
      </c>
      <c r="H182" s="50">
        <f t="shared" si="388"/>
        <v>10</v>
      </c>
      <c r="I182" s="49">
        <f t="shared" si="388"/>
        <v>160</v>
      </c>
      <c r="J182" s="44">
        <f t="shared" si="388"/>
        <v>8</v>
      </c>
      <c r="K182" s="44">
        <f t="shared" si="388"/>
        <v>8</v>
      </c>
      <c r="L182" s="45">
        <f t="shared" si="388"/>
        <v>0.2</v>
      </c>
      <c r="M182" s="49">
        <v>30</v>
      </c>
      <c r="N182" s="54">
        <f>I182</f>
        <v>160</v>
      </c>
      <c r="O182" s="44">
        <f t="shared" ref="O182:P182" si="389">O181</f>
        <v>150</v>
      </c>
      <c r="P182" s="50">
        <f t="shared" si="389"/>
        <v>270</v>
      </c>
    </row>
    <row r="183" spans="1:16" x14ac:dyDescent="0.25">
      <c r="A183" s="41">
        <f t="shared" si="365"/>
        <v>1031</v>
      </c>
      <c r="B183" s="42">
        <f t="shared" si="365"/>
        <v>173</v>
      </c>
      <c r="C183" s="41" t="s">
        <v>1595</v>
      </c>
      <c r="D183" s="43">
        <f t="shared" si="318"/>
        <v>20</v>
      </c>
      <c r="E183" s="44">
        <f t="shared" ref="E183:G183" si="390">E182</f>
        <v>15</v>
      </c>
      <c r="F183" s="44">
        <f t="shared" si="390"/>
        <v>36</v>
      </c>
      <c r="G183" s="42" t="str">
        <f t="shared" si="390"/>
        <v>Half</v>
      </c>
      <c r="H183" s="50">
        <f>H182</f>
        <v>10</v>
      </c>
      <c r="I183" s="49">
        <f t="shared" ref="I183:L183" si="391">I182</f>
        <v>160</v>
      </c>
      <c r="J183" s="44">
        <f t="shared" si="391"/>
        <v>8</v>
      </c>
      <c r="K183" s="44">
        <f t="shared" si="391"/>
        <v>8</v>
      </c>
      <c r="L183" s="45">
        <f t="shared" si="391"/>
        <v>0.2</v>
      </c>
      <c r="M183" s="49">
        <v>30</v>
      </c>
      <c r="N183" s="54">
        <f>I183+5</f>
        <v>165</v>
      </c>
      <c r="O183" s="44">
        <f t="shared" ref="O183:P183" si="392">O182</f>
        <v>150</v>
      </c>
      <c r="P183" s="50">
        <f t="shared" si="392"/>
        <v>270</v>
      </c>
    </row>
    <row r="184" spans="1:16" x14ac:dyDescent="0.25">
      <c r="A184" s="41">
        <f t="shared" si="365"/>
        <v>1032</v>
      </c>
      <c r="B184" s="42">
        <f t="shared" si="365"/>
        <v>174</v>
      </c>
      <c r="C184" s="41" t="s">
        <v>1596</v>
      </c>
      <c r="D184" s="43">
        <f t="shared" si="318"/>
        <v>20</v>
      </c>
      <c r="E184" s="44">
        <f t="shared" ref="E184:G184" si="393">E183</f>
        <v>15</v>
      </c>
      <c r="F184" s="44">
        <f t="shared" si="393"/>
        <v>36</v>
      </c>
      <c r="G184" s="42" t="str">
        <f t="shared" si="393"/>
        <v>Half</v>
      </c>
      <c r="H184" s="50">
        <f>H183</f>
        <v>10</v>
      </c>
      <c r="I184" s="49">
        <f t="shared" ref="I184:L184" si="394">I183</f>
        <v>160</v>
      </c>
      <c r="J184" s="44">
        <f t="shared" si="394"/>
        <v>8</v>
      </c>
      <c r="K184" s="44">
        <f t="shared" si="394"/>
        <v>8</v>
      </c>
      <c r="L184" s="45">
        <f t="shared" si="394"/>
        <v>0.2</v>
      </c>
      <c r="M184" s="49">
        <v>30</v>
      </c>
      <c r="N184" s="54">
        <f>I184+10</f>
        <v>170</v>
      </c>
      <c r="O184" s="44">
        <f t="shared" ref="O184:P184" si="395">O183</f>
        <v>150</v>
      </c>
      <c r="P184" s="50">
        <f t="shared" si="395"/>
        <v>270</v>
      </c>
    </row>
    <row r="185" spans="1:16" x14ac:dyDescent="0.25">
      <c r="A185" s="41">
        <f t="shared" si="365"/>
        <v>1033</v>
      </c>
      <c r="B185" s="42">
        <f t="shared" si="365"/>
        <v>175</v>
      </c>
      <c r="C185" s="41" t="s">
        <v>1597</v>
      </c>
      <c r="D185" s="43">
        <f t="shared" si="318"/>
        <v>20</v>
      </c>
      <c r="E185" s="44">
        <f t="shared" ref="E185:G185" si="396">E184</f>
        <v>15</v>
      </c>
      <c r="F185" s="44">
        <f t="shared" si="396"/>
        <v>36</v>
      </c>
      <c r="G185" s="42" t="str">
        <f t="shared" si="396"/>
        <v>Half</v>
      </c>
      <c r="H185" s="50">
        <f>H184</f>
        <v>10</v>
      </c>
      <c r="I185" s="49">
        <f t="shared" ref="I185:L185" si="397">I184</f>
        <v>160</v>
      </c>
      <c r="J185" s="44">
        <f t="shared" si="397"/>
        <v>8</v>
      </c>
      <c r="K185" s="44">
        <f t="shared" si="397"/>
        <v>8</v>
      </c>
      <c r="L185" s="45">
        <f t="shared" si="397"/>
        <v>0.2</v>
      </c>
      <c r="M185" s="49">
        <v>60</v>
      </c>
      <c r="N185" s="54">
        <f>I185</f>
        <v>160</v>
      </c>
      <c r="O185" s="44">
        <f t="shared" ref="O185:P185" si="398">O184</f>
        <v>150</v>
      </c>
      <c r="P185" s="50">
        <f t="shared" si="398"/>
        <v>270</v>
      </c>
    </row>
    <row r="186" spans="1:16" x14ac:dyDescent="0.25">
      <c r="A186" s="41">
        <f t="shared" si="365"/>
        <v>1034</v>
      </c>
      <c r="B186" s="42">
        <f t="shared" si="365"/>
        <v>176</v>
      </c>
      <c r="C186" s="41" t="s">
        <v>1598</v>
      </c>
      <c r="D186" s="43">
        <f t="shared" si="318"/>
        <v>20</v>
      </c>
      <c r="E186" s="44">
        <f t="shared" ref="E186:G186" si="399">E185</f>
        <v>15</v>
      </c>
      <c r="F186" s="44">
        <f t="shared" si="399"/>
        <v>36</v>
      </c>
      <c r="G186" s="42" t="str">
        <f t="shared" si="399"/>
        <v>Half</v>
      </c>
      <c r="H186" s="50">
        <f>H185</f>
        <v>10</v>
      </c>
      <c r="I186" s="49">
        <f t="shared" ref="I186:L186" si="400">I185</f>
        <v>160</v>
      </c>
      <c r="J186" s="44">
        <f t="shared" si="400"/>
        <v>8</v>
      </c>
      <c r="K186" s="44">
        <f t="shared" si="400"/>
        <v>8</v>
      </c>
      <c r="L186" s="45">
        <f t="shared" si="400"/>
        <v>0.2</v>
      </c>
      <c r="M186" s="49">
        <v>60</v>
      </c>
      <c r="N186" s="54">
        <f>I186+5</f>
        <v>165</v>
      </c>
      <c r="O186" s="44">
        <f t="shared" ref="O186:P186" si="401">O185</f>
        <v>150</v>
      </c>
      <c r="P186" s="50">
        <f t="shared" si="401"/>
        <v>270</v>
      </c>
    </row>
    <row r="187" spans="1:16" x14ac:dyDescent="0.25">
      <c r="A187" s="41">
        <f t="shared" si="365"/>
        <v>1035</v>
      </c>
      <c r="B187" s="42">
        <f t="shared" si="365"/>
        <v>177</v>
      </c>
      <c r="C187" s="41" t="s">
        <v>1599</v>
      </c>
      <c r="D187" s="43">
        <f t="shared" ref="D187:D218" si="402">v_c</f>
        <v>20</v>
      </c>
      <c r="E187" s="44">
        <f t="shared" ref="E187:F187" si="403">E186</f>
        <v>15</v>
      </c>
      <c r="F187" s="44">
        <f t="shared" si="403"/>
        <v>36</v>
      </c>
      <c r="G187" s="42" t="s">
        <v>12</v>
      </c>
      <c r="H187" s="50">
        <v>10</v>
      </c>
      <c r="I187" s="49">
        <f t="shared" ref="I187:L187" si="404">I186</f>
        <v>160</v>
      </c>
      <c r="J187" s="44">
        <f t="shared" si="404"/>
        <v>8</v>
      </c>
      <c r="K187" s="44">
        <f t="shared" si="404"/>
        <v>8</v>
      </c>
      <c r="L187" s="45">
        <f t="shared" si="404"/>
        <v>0.2</v>
      </c>
      <c r="M187" s="49">
        <v>60</v>
      </c>
      <c r="N187" s="54">
        <f>I187+10</f>
        <v>170</v>
      </c>
      <c r="O187" s="44">
        <f t="shared" ref="O187:P187" si="405">O186</f>
        <v>150</v>
      </c>
      <c r="P187" s="50">
        <f t="shared" si="405"/>
        <v>270</v>
      </c>
    </row>
    <row r="188" spans="1:16" x14ac:dyDescent="0.25">
      <c r="A188" s="41">
        <f t="shared" ref="A188:B203" si="406">A187+1</f>
        <v>1036</v>
      </c>
      <c r="B188" s="42">
        <f t="shared" si="406"/>
        <v>178</v>
      </c>
      <c r="C188" s="41" t="s">
        <v>1600</v>
      </c>
      <c r="D188" s="43">
        <f t="shared" si="402"/>
        <v>20</v>
      </c>
      <c r="E188" s="44">
        <f t="shared" ref="E188:F188" si="407">E187</f>
        <v>15</v>
      </c>
      <c r="F188" s="44">
        <f t="shared" si="407"/>
        <v>36</v>
      </c>
      <c r="G188" s="42" t="str">
        <f>G187</f>
        <v>Half</v>
      </c>
      <c r="H188" s="50">
        <f>H187</f>
        <v>10</v>
      </c>
      <c r="I188" s="49">
        <f t="shared" ref="I188:L188" si="408">I187</f>
        <v>160</v>
      </c>
      <c r="J188" s="44">
        <f t="shared" si="408"/>
        <v>8</v>
      </c>
      <c r="K188" s="44">
        <f t="shared" si="408"/>
        <v>8</v>
      </c>
      <c r="L188" s="45">
        <f t="shared" si="408"/>
        <v>0.2</v>
      </c>
      <c r="M188" s="49">
        <v>90</v>
      </c>
      <c r="N188" s="54">
        <f>I188</f>
        <v>160</v>
      </c>
      <c r="O188" s="44">
        <f t="shared" ref="O188:P188" si="409">O187</f>
        <v>150</v>
      </c>
      <c r="P188" s="50">
        <f t="shared" si="409"/>
        <v>270</v>
      </c>
    </row>
    <row r="189" spans="1:16" x14ac:dyDescent="0.25">
      <c r="A189" s="41">
        <f t="shared" si="406"/>
        <v>1037</v>
      </c>
      <c r="B189" s="42">
        <f t="shared" si="406"/>
        <v>179</v>
      </c>
      <c r="C189" s="41" t="s">
        <v>1601</v>
      </c>
      <c r="D189" s="43">
        <f t="shared" si="402"/>
        <v>20</v>
      </c>
      <c r="E189" s="44">
        <f t="shared" ref="E189:L189" si="410">E188</f>
        <v>15</v>
      </c>
      <c r="F189" s="44">
        <f t="shared" si="410"/>
        <v>36</v>
      </c>
      <c r="G189" s="42" t="str">
        <f t="shared" si="410"/>
        <v>Half</v>
      </c>
      <c r="H189" s="50">
        <f t="shared" si="410"/>
        <v>10</v>
      </c>
      <c r="I189" s="49">
        <f t="shared" si="410"/>
        <v>160</v>
      </c>
      <c r="J189" s="44">
        <f t="shared" si="410"/>
        <v>8</v>
      </c>
      <c r="K189" s="44">
        <f t="shared" si="410"/>
        <v>8</v>
      </c>
      <c r="L189" s="45">
        <f t="shared" si="410"/>
        <v>0.2</v>
      </c>
      <c r="M189" s="49">
        <v>90</v>
      </c>
      <c r="N189" s="54">
        <f>I189+5</f>
        <v>165</v>
      </c>
      <c r="O189" s="44">
        <f t="shared" ref="O189:P189" si="411">O188</f>
        <v>150</v>
      </c>
      <c r="P189" s="50">
        <f t="shared" si="411"/>
        <v>270</v>
      </c>
    </row>
    <row r="190" spans="1:16" x14ac:dyDescent="0.25">
      <c r="A190" s="41">
        <f t="shared" si="406"/>
        <v>1038</v>
      </c>
      <c r="B190" s="42">
        <f t="shared" si="406"/>
        <v>180</v>
      </c>
      <c r="C190" s="41" t="s">
        <v>1602</v>
      </c>
      <c r="D190" s="43">
        <f t="shared" si="402"/>
        <v>20</v>
      </c>
      <c r="E190" s="44">
        <f t="shared" ref="E190:L190" si="412">E189</f>
        <v>15</v>
      </c>
      <c r="F190" s="128">
        <f t="shared" si="412"/>
        <v>36</v>
      </c>
      <c r="G190" s="42" t="str">
        <f t="shared" si="412"/>
        <v>Half</v>
      </c>
      <c r="H190" s="50">
        <f t="shared" si="412"/>
        <v>10</v>
      </c>
      <c r="I190" s="49">
        <f t="shared" si="412"/>
        <v>160</v>
      </c>
      <c r="J190" s="44">
        <f t="shared" si="412"/>
        <v>8</v>
      </c>
      <c r="K190" s="44">
        <f t="shared" si="412"/>
        <v>8</v>
      </c>
      <c r="L190" s="45">
        <f t="shared" si="412"/>
        <v>0.2</v>
      </c>
      <c r="M190" s="49">
        <v>90</v>
      </c>
      <c r="N190" s="54">
        <f>I190+10</f>
        <v>170</v>
      </c>
      <c r="O190" s="44">
        <f t="shared" ref="O190:P190" si="413">O189</f>
        <v>150</v>
      </c>
      <c r="P190" s="50">
        <f t="shared" si="413"/>
        <v>270</v>
      </c>
    </row>
    <row r="191" spans="1:16" x14ac:dyDescent="0.25">
      <c r="A191" s="41">
        <f t="shared" si="406"/>
        <v>1039</v>
      </c>
      <c r="B191" s="42">
        <f t="shared" si="406"/>
        <v>181</v>
      </c>
      <c r="C191" s="41" t="s">
        <v>1603</v>
      </c>
      <c r="D191" s="43">
        <f t="shared" si="402"/>
        <v>20</v>
      </c>
      <c r="E191" s="44">
        <f t="shared" ref="E191" si="414">E190</f>
        <v>15</v>
      </c>
      <c r="F191" s="44">
        <f>-720/D191</f>
        <v>-36</v>
      </c>
      <c r="G191" s="42" t="str">
        <f t="shared" ref="G191:J191" si="415">G190</f>
        <v>Half</v>
      </c>
      <c r="H191" s="50">
        <f t="shared" si="415"/>
        <v>10</v>
      </c>
      <c r="I191" s="49">
        <f t="shared" si="415"/>
        <v>160</v>
      </c>
      <c r="J191" s="44">
        <f t="shared" si="415"/>
        <v>8</v>
      </c>
      <c r="K191" s="44">
        <f>yaw_min</f>
        <v>-8</v>
      </c>
      <c r="L191" s="45">
        <f t="shared" ref="L191" si="416">L190</f>
        <v>0.2</v>
      </c>
      <c r="M191" s="49">
        <v>0</v>
      </c>
      <c r="N191" s="54">
        <f>I191</f>
        <v>160</v>
      </c>
      <c r="O191" s="44">
        <f t="shared" ref="O191:P191" si="417">O190</f>
        <v>150</v>
      </c>
      <c r="P191" s="50">
        <f t="shared" si="417"/>
        <v>270</v>
      </c>
    </row>
    <row r="192" spans="1:16" x14ac:dyDescent="0.25">
      <c r="A192" s="41">
        <f t="shared" si="406"/>
        <v>1040</v>
      </c>
      <c r="B192" s="42">
        <f t="shared" si="406"/>
        <v>182</v>
      </c>
      <c r="C192" s="41" t="s">
        <v>1604</v>
      </c>
      <c r="D192" s="43">
        <f t="shared" si="402"/>
        <v>20</v>
      </c>
      <c r="E192" s="44">
        <f t="shared" ref="E192:L192" si="418">E191</f>
        <v>15</v>
      </c>
      <c r="F192" s="44">
        <f t="shared" si="418"/>
        <v>-36</v>
      </c>
      <c r="G192" s="42" t="str">
        <f t="shared" si="418"/>
        <v>Half</v>
      </c>
      <c r="H192" s="50">
        <f t="shared" si="418"/>
        <v>10</v>
      </c>
      <c r="I192" s="49">
        <f t="shared" si="418"/>
        <v>160</v>
      </c>
      <c r="J192" s="44">
        <f t="shared" si="418"/>
        <v>8</v>
      </c>
      <c r="K192" s="44">
        <f t="shared" si="418"/>
        <v>-8</v>
      </c>
      <c r="L192" s="45">
        <f t="shared" si="418"/>
        <v>0.2</v>
      </c>
      <c r="M192" s="49">
        <v>0</v>
      </c>
      <c r="N192" s="54">
        <f>I192+5</f>
        <v>165</v>
      </c>
      <c r="O192" s="44">
        <f t="shared" ref="O192:P192" si="419">O191</f>
        <v>150</v>
      </c>
      <c r="P192" s="50">
        <f t="shared" si="419"/>
        <v>270</v>
      </c>
    </row>
    <row r="193" spans="1:16" x14ac:dyDescent="0.25">
      <c r="A193" s="41">
        <f t="shared" si="406"/>
        <v>1041</v>
      </c>
      <c r="B193" s="42">
        <f t="shared" si="406"/>
        <v>183</v>
      </c>
      <c r="C193" s="41" t="s">
        <v>1605</v>
      </c>
      <c r="D193" s="43">
        <f t="shared" si="402"/>
        <v>20</v>
      </c>
      <c r="E193" s="44">
        <f t="shared" ref="E193" si="420">E192</f>
        <v>15</v>
      </c>
      <c r="F193" s="44">
        <f>F192</f>
        <v>-36</v>
      </c>
      <c r="G193" s="42" t="str">
        <f t="shared" ref="G193:L193" si="421">G192</f>
        <v>Half</v>
      </c>
      <c r="H193" s="50">
        <f t="shared" si="421"/>
        <v>10</v>
      </c>
      <c r="I193" s="49">
        <f t="shared" si="421"/>
        <v>160</v>
      </c>
      <c r="J193" s="44">
        <f t="shared" si="421"/>
        <v>8</v>
      </c>
      <c r="K193" s="44">
        <f t="shared" si="421"/>
        <v>-8</v>
      </c>
      <c r="L193" s="45">
        <f t="shared" si="421"/>
        <v>0.2</v>
      </c>
      <c r="M193" s="49">
        <v>0</v>
      </c>
      <c r="N193" s="54">
        <f>I193+10</f>
        <v>170</v>
      </c>
      <c r="O193" s="44">
        <f t="shared" ref="O193:P193" si="422">O192</f>
        <v>150</v>
      </c>
      <c r="P193" s="50">
        <f t="shared" si="422"/>
        <v>270</v>
      </c>
    </row>
    <row r="194" spans="1:16" x14ac:dyDescent="0.25">
      <c r="A194" s="41">
        <f t="shared" si="406"/>
        <v>1042</v>
      </c>
      <c r="B194" s="42">
        <f t="shared" si="406"/>
        <v>184</v>
      </c>
      <c r="C194" s="41" t="s">
        <v>1606</v>
      </c>
      <c r="D194" s="43">
        <f t="shared" si="402"/>
        <v>20</v>
      </c>
      <c r="E194" s="44">
        <f t="shared" ref="E194" si="423">E193</f>
        <v>15</v>
      </c>
      <c r="F194" s="44">
        <f>F193</f>
        <v>-36</v>
      </c>
      <c r="G194" s="42" t="str">
        <f t="shared" ref="G194:L194" si="424">G193</f>
        <v>Half</v>
      </c>
      <c r="H194" s="50">
        <f t="shared" si="424"/>
        <v>10</v>
      </c>
      <c r="I194" s="49">
        <f t="shared" si="424"/>
        <v>160</v>
      </c>
      <c r="J194" s="44">
        <f t="shared" si="424"/>
        <v>8</v>
      </c>
      <c r="K194" s="44">
        <f t="shared" si="424"/>
        <v>-8</v>
      </c>
      <c r="L194" s="45">
        <f t="shared" si="424"/>
        <v>0.2</v>
      </c>
      <c r="M194" s="49">
        <v>30</v>
      </c>
      <c r="N194" s="54">
        <f>I194</f>
        <v>160</v>
      </c>
      <c r="O194" s="44">
        <f t="shared" ref="O194:P194" si="425">O193</f>
        <v>150</v>
      </c>
      <c r="P194" s="50">
        <f t="shared" si="425"/>
        <v>270</v>
      </c>
    </row>
    <row r="195" spans="1:16" x14ac:dyDescent="0.25">
      <c r="A195" s="41">
        <f t="shared" si="406"/>
        <v>1043</v>
      </c>
      <c r="B195" s="42">
        <f t="shared" si="406"/>
        <v>185</v>
      </c>
      <c r="C195" s="41" t="s">
        <v>1607</v>
      </c>
      <c r="D195" s="43">
        <f t="shared" si="402"/>
        <v>20</v>
      </c>
      <c r="E195" s="44">
        <f t="shared" ref="E195:L195" si="426">E194</f>
        <v>15</v>
      </c>
      <c r="F195" s="44">
        <f t="shared" si="426"/>
        <v>-36</v>
      </c>
      <c r="G195" s="42" t="str">
        <f t="shared" si="426"/>
        <v>Half</v>
      </c>
      <c r="H195" s="50">
        <f t="shared" si="426"/>
        <v>10</v>
      </c>
      <c r="I195" s="49">
        <f t="shared" si="426"/>
        <v>160</v>
      </c>
      <c r="J195" s="44">
        <f t="shared" si="426"/>
        <v>8</v>
      </c>
      <c r="K195" s="44">
        <f t="shared" si="426"/>
        <v>-8</v>
      </c>
      <c r="L195" s="45">
        <f t="shared" si="426"/>
        <v>0.2</v>
      </c>
      <c r="M195" s="49">
        <v>30</v>
      </c>
      <c r="N195" s="54">
        <f>I195+5</f>
        <v>165</v>
      </c>
      <c r="O195" s="44">
        <f t="shared" ref="O195:P195" si="427">O194</f>
        <v>150</v>
      </c>
      <c r="P195" s="50">
        <f t="shared" si="427"/>
        <v>270</v>
      </c>
    </row>
    <row r="196" spans="1:16" x14ac:dyDescent="0.25">
      <c r="A196" s="41">
        <f t="shared" si="406"/>
        <v>1044</v>
      </c>
      <c r="B196" s="42">
        <f t="shared" si="406"/>
        <v>186</v>
      </c>
      <c r="C196" s="41" t="s">
        <v>1608</v>
      </c>
      <c r="D196" s="43">
        <f t="shared" si="402"/>
        <v>20</v>
      </c>
      <c r="E196" s="44">
        <f t="shared" ref="E196:L196" si="428">E195</f>
        <v>15</v>
      </c>
      <c r="F196" s="44">
        <f t="shared" si="428"/>
        <v>-36</v>
      </c>
      <c r="G196" s="42" t="str">
        <f t="shared" si="428"/>
        <v>Half</v>
      </c>
      <c r="H196" s="50">
        <f t="shared" si="428"/>
        <v>10</v>
      </c>
      <c r="I196" s="49">
        <f t="shared" si="428"/>
        <v>160</v>
      </c>
      <c r="J196" s="44">
        <f t="shared" si="428"/>
        <v>8</v>
      </c>
      <c r="K196" s="44">
        <f t="shared" si="428"/>
        <v>-8</v>
      </c>
      <c r="L196" s="45">
        <f t="shared" si="428"/>
        <v>0.2</v>
      </c>
      <c r="M196" s="49">
        <v>30</v>
      </c>
      <c r="N196" s="54">
        <f>I196+10</f>
        <v>170</v>
      </c>
      <c r="O196" s="44">
        <f t="shared" ref="O196:P196" si="429">O195</f>
        <v>150</v>
      </c>
      <c r="P196" s="50">
        <f t="shared" si="429"/>
        <v>270</v>
      </c>
    </row>
    <row r="197" spans="1:16" x14ac:dyDescent="0.25">
      <c r="A197" s="41">
        <f t="shared" si="406"/>
        <v>1045</v>
      </c>
      <c r="B197" s="42">
        <f t="shared" si="406"/>
        <v>187</v>
      </c>
      <c r="C197" s="41" t="s">
        <v>1609</v>
      </c>
      <c r="D197" s="43">
        <f t="shared" si="402"/>
        <v>20</v>
      </c>
      <c r="E197" s="44">
        <f t="shared" ref="E197:L197" si="430">E196</f>
        <v>15</v>
      </c>
      <c r="F197" s="44">
        <f t="shared" si="430"/>
        <v>-36</v>
      </c>
      <c r="G197" s="42" t="str">
        <f t="shared" si="430"/>
        <v>Half</v>
      </c>
      <c r="H197" s="50">
        <f t="shared" si="430"/>
        <v>10</v>
      </c>
      <c r="I197" s="49">
        <f t="shared" si="430"/>
        <v>160</v>
      </c>
      <c r="J197" s="44">
        <f t="shared" si="430"/>
        <v>8</v>
      </c>
      <c r="K197" s="44">
        <f t="shared" si="430"/>
        <v>-8</v>
      </c>
      <c r="L197" s="45">
        <f t="shared" si="430"/>
        <v>0.2</v>
      </c>
      <c r="M197" s="49">
        <v>60</v>
      </c>
      <c r="N197" s="54">
        <f>I197</f>
        <v>160</v>
      </c>
      <c r="O197" s="44">
        <f t="shared" ref="O197:P197" si="431">O196</f>
        <v>150</v>
      </c>
      <c r="P197" s="50">
        <f t="shared" si="431"/>
        <v>270</v>
      </c>
    </row>
    <row r="198" spans="1:16" x14ac:dyDescent="0.25">
      <c r="A198" s="41">
        <f t="shared" si="406"/>
        <v>1046</v>
      </c>
      <c r="B198" s="42">
        <f t="shared" si="406"/>
        <v>188</v>
      </c>
      <c r="C198" s="41" t="s">
        <v>1610</v>
      </c>
      <c r="D198" s="43">
        <f t="shared" si="402"/>
        <v>20</v>
      </c>
      <c r="E198" s="44">
        <f t="shared" ref="E198" si="432">E197</f>
        <v>15</v>
      </c>
      <c r="F198" s="44">
        <f>F197</f>
        <v>-36</v>
      </c>
      <c r="G198" s="42" t="str">
        <f t="shared" ref="G198:L198" si="433">G197</f>
        <v>Half</v>
      </c>
      <c r="H198" s="50">
        <f t="shared" si="433"/>
        <v>10</v>
      </c>
      <c r="I198" s="49">
        <f t="shared" si="433"/>
        <v>160</v>
      </c>
      <c r="J198" s="44">
        <f t="shared" si="433"/>
        <v>8</v>
      </c>
      <c r="K198" s="44">
        <f t="shared" si="433"/>
        <v>-8</v>
      </c>
      <c r="L198" s="45">
        <f t="shared" si="433"/>
        <v>0.2</v>
      </c>
      <c r="M198" s="49">
        <v>60</v>
      </c>
      <c r="N198" s="54">
        <f>I198+5</f>
        <v>165</v>
      </c>
      <c r="O198" s="44">
        <f t="shared" ref="O198:P198" si="434">O197</f>
        <v>150</v>
      </c>
      <c r="P198" s="50">
        <f t="shared" si="434"/>
        <v>270</v>
      </c>
    </row>
    <row r="199" spans="1:16" x14ac:dyDescent="0.25">
      <c r="A199" s="41">
        <f t="shared" si="406"/>
        <v>1047</v>
      </c>
      <c r="B199" s="42">
        <f t="shared" si="406"/>
        <v>189</v>
      </c>
      <c r="C199" s="41" t="s">
        <v>1611</v>
      </c>
      <c r="D199" s="43">
        <f t="shared" si="402"/>
        <v>20</v>
      </c>
      <c r="E199" s="44">
        <f t="shared" ref="E199:L199" si="435">E198</f>
        <v>15</v>
      </c>
      <c r="F199" s="44">
        <f t="shared" si="435"/>
        <v>-36</v>
      </c>
      <c r="G199" s="42" t="str">
        <f t="shared" si="435"/>
        <v>Half</v>
      </c>
      <c r="H199" s="50">
        <f t="shared" si="435"/>
        <v>10</v>
      </c>
      <c r="I199" s="49">
        <f t="shared" si="435"/>
        <v>160</v>
      </c>
      <c r="J199" s="44">
        <f t="shared" si="435"/>
        <v>8</v>
      </c>
      <c r="K199" s="44">
        <f t="shared" si="435"/>
        <v>-8</v>
      </c>
      <c r="L199" s="45">
        <f t="shared" si="435"/>
        <v>0.2</v>
      </c>
      <c r="M199" s="49">
        <v>60</v>
      </c>
      <c r="N199" s="54">
        <f>I199+10</f>
        <v>170</v>
      </c>
      <c r="O199" s="44">
        <f t="shared" ref="O199:P199" si="436">O198</f>
        <v>150</v>
      </c>
      <c r="P199" s="50">
        <f t="shared" si="436"/>
        <v>270</v>
      </c>
    </row>
    <row r="200" spans="1:16" x14ac:dyDescent="0.25">
      <c r="A200" s="41">
        <f t="shared" si="406"/>
        <v>1048</v>
      </c>
      <c r="B200" s="42">
        <f t="shared" si="406"/>
        <v>190</v>
      </c>
      <c r="C200" s="41" t="s">
        <v>1612</v>
      </c>
      <c r="D200" s="43">
        <f t="shared" si="402"/>
        <v>20</v>
      </c>
      <c r="E200" s="44">
        <f t="shared" ref="E200:F200" si="437">E199</f>
        <v>15</v>
      </c>
      <c r="F200" s="44">
        <f t="shared" si="437"/>
        <v>-36</v>
      </c>
      <c r="G200" s="42" t="str">
        <f>G199</f>
        <v>Half</v>
      </c>
      <c r="H200" s="50">
        <f t="shared" ref="H200:L200" si="438">H199</f>
        <v>10</v>
      </c>
      <c r="I200" s="49">
        <f t="shared" si="438"/>
        <v>160</v>
      </c>
      <c r="J200" s="44">
        <f t="shared" si="438"/>
        <v>8</v>
      </c>
      <c r="K200" s="44">
        <f t="shared" si="438"/>
        <v>-8</v>
      </c>
      <c r="L200" s="45">
        <f t="shared" si="438"/>
        <v>0.2</v>
      </c>
      <c r="M200" s="49">
        <v>90</v>
      </c>
      <c r="N200" s="54">
        <f>I200</f>
        <v>160</v>
      </c>
      <c r="O200" s="44">
        <f t="shared" ref="O200:P200" si="439">O199</f>
        <v>150</v>
      </c>
      <c r="P200" s="50">
        <f t="shared" si="439"/>
        <v>270</v>
      </c>
    </row>
    <row r="201" spans="1:16" x14ac:dyDescent="0.25">
      <c r="A201" s="41">
        <f t="shared" si="406"/>
        <v>1049</v>
      </c>
      <c r="B201" s="42">
        <f t="shared" si="406"/>
        <v>191</v>
      </c>
      <c r="C201" s="41" t="s">
        <v>1613</v>
      </c>
      <c r="D201" s="43">
        <f t="shared" si="402"/>
        <v>20</v>
      </c>
      <c r="E201" s="44">
        <f t="shared" ref="E201:F201" si="440">E200</f>
        <v>15</v>
      </c>
      <c r="F201" s="44">
        <f t="shared" si="440"/>
        <v>-36</v>
      </c>
      <c r="G201" s="42" t="str">
        <f>G200</f>
        <v>Half</v>
      </c>
      <c r="H201" s="50">
        <f t="shared" ref="H201:L201" si="441">H200</f>
        <v>10</v>
      </c>
      <c r="I201" s="49">
        <f t="shared" si="441"/>
        <v>160</v>
      </c>
      <c r="J201" s="44">
        <f t="shared" si="441"/>
        <v>8</v>
      </c>
      <c r="K201" s="44">
        <f t="shared" si="441"/>
        <v>-8</v>
      </c>
      <c r="L201" s="45">
        <f t="shared" si="441"/>
        <v>0.2</v>
      </c>
      <c r="M201" s="49">
        <v>90</v>
      </c>
      <c r="N201" s="54">
        <f>I201+5</f>
        <v>165</v>
      </c>
      <c r="O201" s="44">
        <f t="shared" ref="O201:P201" si="442">O200</f>
        <v>150</v>
      </c>
      <c r="P201" s="50">
        <f t="shared" si="442"/>
        <v>270</v>
      </c>
    </row>
    <row r="202" spans="1:16" x14ac:dyDescent="0.25">
      <c r="A202" s="41">
        <f t="shared" si="406"/>
        <v>1050</v>
      </c>
      <c r="B202" s="42">
        <f t="shared" si="406"/>
        <v>192</v>
      </c>
      <c r="C202" s="127" t="s">
        <v>1614</v>
      </c>
      <c r="D202" s="43">
        <f t="shared" si="402"/>
        <v>20</v>
      </c>
      <c r="E202" s="44">
        <f t="shared" ref="E202:F202" si="443">E201</f>
        <v>15</v>
      </c>
      <c r="F202" s="44">
        <f t="shared" si="443"/>
        <v>-36</v>
      </c>
      <c r="G202" s="42" t="str">
        <f>G201</f>
        <v>Half</v>
      </c>
      <c r="H202" s="50">
        <f t="shared" ref="H202:L202" si="444">H201</f>
        <v>10</v>
      </c>
      <c r="I202" s="49">
        <f t="shared" si="444"/>
        <v>160</v>
      </c>
      <c r="J202" s="44">
        <f t="shared" si="444"/>
        <v>8</v>
      </c>
      <c r="K202" s="44">
        <f t="shared" si="444"/>
        <v>-8</v>
      </c>
      <c r="L202" s="45">
        <f t="shared" si="444"/>
        <v>0.2</v>
      </c>
      <c r="M202" s="49">
        <v>90</v>
      </c>
      <c r="N202" s="54">
        <f>I202+10</f>
        <v>170</v>
      </c>
      <c r="O202" s="44">
        <f t="shared" ref="O202:P202" si="445">O201</f>
        <v>150</v>
      </c>
      <c r="P202" s="50">
        <f t="shared" si="445"/>
        <v>270</v>
      </c>
    </row>
    <row r="203" spans="1:16" x14ac:dyDescent="0.25">
      <c r="A203" s="41">
        <f t="shared" si="406"/>
        <v>1051</v>
      </c>
      <c r="B203" s="42">
        <f t="shared" si="406"/>
        <v>193</v>
      </c>
      <c r="C203" s="41" t="s">
        <v>1615</v>
      </c>
      <c r="D203" s="43">
        <f t="shared" si="402"/>
        <v>20</v>
      </c>
      <c r="E203" s="44">
        <f t="shared" ref="E203:G203" si="446">E202</f>
        <v>15</v>
      </c>
      <c r="F203" s="44">
        <f t="shared" si="446"/>
        <v>-36</v>
      </c>
      <c r="G203" s="42" t="str">
        <f t="shared" si="446"/>
        <v>Half</v>
      </c>
      <c r="H203" s="50">
        <f>H202</f>
        <v>10</v>
      </c>
      <c r="I203" s="49">
        <f t="shared" ref="I203:J203" si="447">I202</f>
        <v>160</v>
      </c>
      <c r="J203" s="44">
        <f t="shared" si="447"/>
        <v>8</v>
      </c>
      <c r="K203" s="44">
        <f>yaw_null</f>
        <v>0</v>
      </c>
      <c r="L203" s="45">
        <f t="shared" ref="L203" si="448">L202</f>
        <v>0.2</v>
      </c>
      <c r="M203" s="49">
        <v>0</v>
      </c>
      <c r="N203" s="54">
        <f>I203</f>
        <v>160</v>
      </c>
      <c r="O203" s="44">
        <f t="shared" ref="O203:P203" si="449">O202</f>
        <v>150</v>
      </c>
      <c r="P203" s="50">
        <f t="shared" si="449"/>
        <v>270</v>
      </c>
    </row>
    <row r="204" spans="1:16" x14ac:dyDescent="0.25">
      <c r="A204" s="41">
        <f t="shared" ref="A204:B219" si="450">A203+1</f>
        <v>1052</v>
      </c>
      <c r="B204" s="42">
        <f t="shared" si="450"/>
        <v>194</v>
      </c>
      <c r="C204" s="41" t="s">
        <v>1616</v>
      </c>
      <c r="D204" s="43">
        <f t="shared" si="402"/>
        <v>20</v>
      </c>
      <c r="E204" s="44">
        <f t="shared" ref="E204:L204" si="451">E203</f>
        <v>15</v>
      </c>
      <c r="F204" s="44">
        <f t="shared" si="451"/>
        <v>-36</v>
      </c>
      <c r="G204" s="42" t="str">
        <f t="shared" si="451"/>
        <v>Half</v>
      </c>
      <c r="H204" s="50">
        <f t="shared" si="451"/>
        <v>10</v>
      </c>
      <c r="I204" s="49">
        <f t="shared" si="451"/>
        <v>160</v>
      </c>
      <c r="J204" s="44">
        <f t="shared" si="451"/>
        <v>8</v>
      </c>
      <c r="K204" s="44">
        <f t="shared" si="451"/>
        <v>0</v>
      </c>
      <c r="L204" s="45">
        <f t="shared" si="451"/>
        <v>0.2</v>
      </c>
      <c r="M204" s="49">
        <v>0</v>
      </c>
      <c r="N204" s="54">
        <f>I204+5</f>
        <v>165</v>
      </c>
      <c r="O204" s="44">
        <f t="shared" ref="O204:P204" si="452">O203</f>
        <v>150</v>
      </c>
      <c r="P204" s="50">
        <f t="shared" si="452"/>
        <v>270</v>
      </c>
    </row>
    <row r="205" spans="1:16" x14ac:dyDescent="0.25">
      <c r="A205" s="41">
        <f t="shared" si="450"/>
        <v>1053</v>
      </c>
      <c r="B205" s="42">
        <f t="shared" si="450"/>
        <v>195</v>
      </c>
      <c r="C205" s="41" t="s">
        <v>1617</v>
      </c>
      <c r="D205" s="43">
        <f t="shared" si="402"/>
        <v>20</v>
      </c>
      <c r="E205" s="44">
        <f t="shared" ref="E205:L205" si="453">E204</f>
        <v>15</v>
      </c>
      <c r="F205" s="44">
        <f t="shared" si="453"/>
        <v>-36</v>
      </c>
      <c r="G205" s="42" t="str">
        <f t="shared" si="453"/>
        <v>Half</v>
      </c>
      <c r="H205" s="50">
        <f t="shared" si="453"/>
        <v>10</v>
      </c>
      <c r="I205" s="49">
        <f t="shared" si="453"/>
        <v>160</v>
      </c>
      <c r="J205" s="44">
        <f t="shared" si="453"/>
        <v>8</v>
      </c>
      <c r="K205" s="44">
        <f t="shared" si="453"/>
        <v>0</v>
      </c>
      <c r="L205" s="45">
        <f t="shared" si="453"/>
        <v>0.2</v>
      </c>
      <c r="M205" s="49">
        <v>0</v>
      </c>
      <c r="N205" s="54">
        <f>I205+10</f>
        <v>170</v>
      </c>
      <c r="O205" s="44">
        <f t="shared" ref="O205:P205" si="454">O204</f>
        <v>150</v>
      </c>
      <c r="P205" s="50">
        <f t="shared" si="454"/>
        <v>270</v>
      </c>
    </row>
    <row r="206" spans="1:16" x14ac:dyDescent="0.25">
      <c r="A206" s="41">
        <f t="shared" si="450"/>
        <v>1054</v>
      </c>
      <c r="B206" s="42">
        <f t="shared" si="450"/>
        <v>196</v>
      </c>
      <c r="C206" s="41" t="s">
        <v>1618</v>
      </c>
      <c r="D206" s="43">
        <f t="shared" si="402"/>
        <v>20</v>
      </c>
      <c r="E206" s="44">
        <f t="shared" ref="E206:L206" si="455">E205</f>
        <v>15</v>
      </c>
      <c r="F206" s="44">
        <f t="shared" si="455"/>
        <v>-36</v>
      </c>
      <c r="G206" s="42" t="str">
        <f t="shared" si="455"/>
        <v>Half</v>
      </c>
      <c r="H206" s="50">
        <f t="shared" si="455"/>
        <v>10</v>
      </c>
      <c r="I206" s="49">
        <f t="shared" si="455"/>
        <v>160</v>
      </c>
      <c r="J206" s="44">
        <f t="shared" si="455"/>
        <v>8</v>
      </c>
      <c r="K206" s="44">
        <f t="shared" si="455"/>
        <v>0</v>
      </c>
      <c r="L206" s="45">
        <f t="shared" si="455"/>
        <v>0.2</v>
      </c>
      <c r="M206" s="49">
        <v>30</v>
      </c>
      <c r="N206" s="54">
        <f>I206</f>
        <v>160</v>
      </c>
      <c r="O206" s="44">
        <f t="shared" ref="O206:P206" si="456">O205</f>
        <v>150</v>
      </c>
      <c r="P206" s="50">
        <f t="shared" si="456"/>
        <v>270</v>
      </c>
    </row>
    <row r="207" spans="1:16" x14ac:dyDescent="0.25">
      <c r="A207" s="41">
        <f t="shared" si="450"/>
        <v>1055</v>
      </c>
      <c r="B207" s="42">
        <f t="shared" si="450"/>
        <v>197</v>
      </c>
      <c r="C207" s="41" t="s">
        <v>1619</v>
      </c>
      <c r="D207" s="43">
        <f t="shared" si="402"/>
        <v>20</v>
      </c>
      <c r="E207" s="44">
        <f t="shared" ref="E207:F207" si="457">E206</f>
        <v>15</v>
      </c>
      <c r="F207" s="44">
        <f t="shared" si="457"/>
        <v>-36</v>
      </c>
      <c r="G207" s="42" t="s">
        <v>12</v>
      </c>
      <c r="H207" s="50">
        <v>10</v>
      </c>
      <c r="I207" s="49">
        <f t="shared" ref="I207:L207" si="458">I206</f>
        <v>160</v>
      </c>
      <c r="J207" s="44">
        <f t="shared" si="458"/>
        <v>8</v>
      </c>
      <c r="K207" s="44">
        <f t="shared" si="458"/>
        <v>0</v>
      </c>
      <c r="L207" s="45">
        <f t="shared" si="458"/>
        <v>0.2</v>
      </c>
      <c r="M207" s="49">
        <v>30</v>
      </c>
      <c r="N207" s="54">
        <f>I207+5</f>
        <v>165</v>
      </c>
      <c r="O207" s="44">
        <f t="shared" ref="O207:P207" si="459">O206</f>
        <v>150</v>
      </c>
      <c r="P207" s="50">
        <f t="shared" si="459"/>
        <v>270</v>
      </c>
    </row>
    <row r="208" spans="1:16" x14ac:dyDescent="0.25">
      <c r="A208" s="41">
        <f t="shared" si="450"/>
        <v>1056</v>
      </c>
      <c r="B208" s="42">
        <f t="shared" si="450"/>
        <v>198</v>
      </c>
      <c r="C208" s="41" t="s">
        <v>1620</v>
      </c>
      <c r="D208" s="43">
        <f t="shared" si="402"/>
        <v>20</v>
      </c>
      <c r="E208" s="44">
        <f t="shared" ref="E208:F208" si="460">E207</f>
        <v>15</v>
      </c>
      <c r="F208" s="44">
        <f t="shared" si="460"/>
        <v>-36</v>
      </c>
      <c r="G208" s="42" t="str">
        <f>G207</f>
        <v>Half</v>
      </c>
      <c r="H208" s="50">
        <f>H207</f>
        <v>10</v>
      </c>
      <c r="I208" s="49">
        <f t="shared" ref="I208:L208" si="461">I207</f>
        <v>160</v>
      </c>
      <c r="J208" s="44">
        <f t="shared" si="461"/>
        <v>8</v>
      </c>
      <c r="K208" s="44">
        <f t="shared" si="461"/>
        <v>0</v>
      </c>
      <c r="L208" s="45">
        <f t="shared" si="461"/>
        <v>0.2</v>
      </c>
      <c r="M208" s="49">
        <v>30</v>
      </c>
      <c r="N208" s="54">
        <f>I208+10</f>
        <v>170</v>
      </c>
      <c r="O208" s="44">
        <f t="shared" ref="O208:P208" si="462">O207</f>
        <v>150</v>
      </c>
      <c r="P208" s="50">
        <f t="shared" si="462"/>
        <v>270</v>
      </c>
    </row>
    <row r="209" spans="1:16" x14ac:dyDescent="0.25">
      <c r="A209" s="41">
        <f t="shared" si="450"/>
        <v>1057</v>
      </c>
      <c r="B209" s="42">
        <f t="shared" si="450"/>
        <v>199</v>
      </c>
      <c r="C209" s="41" t="s">
        <v>1621</v>
      </c>
      <c r="D209" s="43">
        <f t="shared" si="402"/>
        <v>20</v>
      </c>
      <c r="E209" s="44">
        <f t="shared" ref="E209:L209" si="463">E208</f>
        <v>15</v>
      </c>
      <c r="F209" s="44">
        <f t="shared" si="463"/>
        <v>-36</v>
      </c>
      <c r="G209" s="42" t="str">
        <f t="shared" si="463"/>
        <v>Half</v>
      </c>
      <c r="H209" s="50">
        <f t="shared" si="463"/>
        <v>10</v>
      </c>
      <c r="I209" s="49">
        <f t="shared" si="463"/>
        <v>160</v>
      </c>
      <c r="J209" s="44">
        <f t="shared" si="463"/>
        <v>8</v>
      </c>
      <c r="K209" s="44">
        <f t="shared" si="463"/>
        <v>0</v>
      </c>
      <c r="L209" s="45">
        <f t="shared" si="463"/>
        <v>0.2</v>
      </c>
      <c r="M209" s="49">
        <v>60</v>
      </c>
      <c r="N209" s="54">
        <f>I209</f>
        <v>160</v>
      </c>
      <c r="O209" s="44">
        <f t="shared" ref="O209:P209" si="464">O208</f>
        <v>150</v>
      </c>
      <c r="P209" s="50">
        <f t="shared" si="464"/>
        <v>270</v>
      </c>
    </row>
    <row r="210" spans="1:16" x14ac:dyDescent="0.25">
      <c r="A210" s="41">
        <f t="shared" si="450"/>
        <v>1058</v>
      </c>
      <c r="B210" s="42">
        <f t="shared" si="450"/>
        <v>200</v>
      </c>
      <c r="C210" s="41" t="s">
        <v>1622</v>
      </c>
      <c r="D210" s="43">
        <f t="shared" si="402"/>
        <v>20</v>
      </c>
      <c r="E210" s="44">
        <f t="shared" ref="E210:L210" si="465">E209</f>
        <v>15</v>
      </c>
      <c r="F210" s="44">
        <f t="shared" si="465"/>
        <v>-36</v>
      </c>
      <c r="G210" s="42" t="str">
        <f t="shared" si="465"/>
        <v>Half</v>
      </c>
      <c r="H210" s="50">
        <f t="shared" si="465"/>
        <v>10</v>
      </c>
      <c r="I210" s="49">
        <f t="shared" si="465"/>
        <v>160</v>
      </c>
      <c r="J210" s="44">
        <f t="shared" si="465"/>
        <v>8</v>
      </c>
      <c r="K210" s="44">
        <f t="shared" si="465"/>
        <v>0</v>
      </c>
      <c r="L210" s="45">
        <f t="shared" si="465"/>
        <v>0.2</v>
      </c>
      <c r="M210" s="49">
        <v>60</v>
      </c>
      <c r="N210" s="54">
        <f>I210+5</f>
        <v>165</v>
      </c>
      <c r="O210" s="44">
        <f t="shared" ref="O210:P210" si="466">O209</f>
        <v>150</v>
      </c>
      <c r="P210" s="50">
        <f t="shared" si="466"/>
        <v>270</v>
      </c>
    </row>
    <row r="211" spans="1:16" x14ac:dyDescent="0.25">
      <c r="A211" s="41">
        <f t="shared" si="450"/>
        <v>1059</v>
      </c>
      <c r="B211" s="42">
        <f t="shared" si="450"/>
        <v>201</v>
      </c>
      <c r="C211" s="41" t="s">
        <v>1623</v>
      </c>
      <c r="D211" s="43">
        <f t="shared" si="402"/>
        <v>20</v>
      </c>
      <c r="E211" s="44">
        <f t="shared" ref="E211:L211" si="467">E210</f>
        <v>15</v>
      </c>
      <c r="F211" s="44">
        <f t="shared" si="467"/>
        <v>-36</v>
      </c>
      <c r="G211" s="42" t="str">
        <f t="shared" si="467"/>
        <v>Half</v>
      </c>
      <c r="H211" s="50">
        <f t="shared" si="467"/>
        <v>10</v>
      </c>
      <c r="I211" s="49">
        <f t="shared" si="467"/>
        <v>160</v>
      </c>
      <c r="J211" s="44">
        <f t="shared" si="467"/>
        <v>8</v>
      </c>
      <c r="K211" s="44">
        <f t="shared" si="467"/>
        <v>0</v>
      </c>
      <c r="L211" s="45">
        <f t="shared" si="467"/>
        <v>0.2</v>
      </c>
      <c r="M211" s="49">
        <v>60</v>
      </c>
      <c r="N211" s="54">
        <f>I211+10</f>
        <v>170</v>
      </c>
      <c r="O211" s="44">
        <f t="shared" ref="O211:P211" si="468">O210</f>
        <v>150</v>
      </c>
      <c r="P211" s="50">
        <f t="shared" si="468"/>
        <v>270</v>
      </c>
    </row>
    <row r="212" spans="1:16" x14ac:dyDescent="0.25">
      <c r="A212" s="41">
        <f t="shared" si="450"/>
        <v>1060</v>
      </c>
      <c r="B212" s="42">
        <f t="shared" si="450"/>
        <v>202</v>
      </c>
      <c r="C212" s="41" t="s">
        <v>1624</v>
      </c>
      <c r="D212" s="43">
        <f t="shared" si="402"/>
        <v>20</v>
      </c>
      <c r="E212" s="44">
        <f t="shared" ref="E212:L212" si="469">E211</f>
        <v>15</v>
      </c>
      <c r="F212" s="44">
        <f t="shared" si="469"/>
        <v>-36</v>
      </c>
      <c r="G212" s="42" t="str">
        <f t="shared" si="469"/>
        <v>Half</v>
      </c>
      <c r="H212" s="50">
        <f t="shared" si="469"/>
        <v>10</v>
      </c>
      <c r="I212" s="49">
        <f t="shared" si="469"/>
        <v>160</v>
      </c>
      <c r="J212" s="44">
        <f t="shared" si="469"/>
        <v>8</v>
      </c>
      <c r="K212" s="44">
        <f t="shared" si="469"/>
        <v>0</v>
      </c>
      <c r="L212" s="45">
        <f t="shared" si="469"/>
        <v>0.2</v>
      </c>
      <c r="M212" s="49">
        <v>90</v>
      </c>
      <c r="N212" s="54">
        <f>I212</f>
        <v>160</v>
      </c>
      <c r="O212" s="44">
        <f t="shared" ref="O212:P212" si="470">O211</f>
        <v>150</v>
      </c>
      <c r="P212" s="50">
        <f t="shared" si="470"/>
        <v>270</v>
      </c>
    </row>
    <row r="213" spans="1:16" x14ac:dyDescent="0.25">
      <c r="A213" s="41">
        <f t="shared" si="450"/>
        <v>1061</v>
      </c>
      <c r="B213" s="42">
        <f t="shared" si="450"/>
        <v>203</v>
      </c>
      <c r="C213" s="41" t="s">
        <v>1625</v>
      </c>
      <c r="D213" s="43">
        <f t="shared" si="402"/>
        <v>20</v>
      </c>
      <c r="E213" s="44">
        <f t="shared" ref="E213:L213" si="471">E212</f>
        <v>15</v>
      </c>
      <c r="F213" s="44">
        <f t="shared" si="471"/>
        <v>-36</v>
      </c>
      <c r="G213" s="42" t="str">
        <f t="shared" si="471"/>
        <v>Half</v>
      </c>
      <c r="H213" s="50">
        <f t="shared" si="471"/>
        <v>10</v>
      </c>
      <c r="I213" s="49">
        <f t="shared" si="471"/>
        <v>160</v>
      </c>
      <c r="J213" s="44">
        <f t="shared" si="471"/>
        <v>8</v>
      </c>
      <c r="K213" s="44">
        <f t="shared" si="471"/>
        <v>0</v>
      </c>
      <c r="L213" s="45">
        <f t="shared" si="471"/>
        <v>0.2</v>
      </c>
      <c r="M213" s="49">
        <v>90</v>
      </c>
      <c r="N213" s="54">
        <f>I213+5</f>
        <v>165</v>
      </c>
      <c r="O213" s="44">
        <f t="shared" ref="O213:P213" si="472">O212</f>
        <v>150</v>
      </c>
      <c r="P213" s="50">
        <f t="shared" si="472"/>
        <v>270</v>
      </c>
    </row>
    <row r="214" spans="1:16" x14ac:dyDescent="0.25">
      <c r="A214" s="41">
        <f t="shared" si="450"/>
        <v>1062</v>
      </c>
      <c r="B214" s="42">
        <f t="shared" si="450"/>
        <v>204</v>
      </c>
      <c r="C214" s="127" t="s">
        <v>1626</v>
      </c>
      <c r="D214" s="43">
        <f t="shared" si="402"/>
        <v>20</v>
      </c>
      <c r="E214" s="44">
        <f t="shared" ref="E214:L214" si="473">E213</f>
        <v>15</v>
      </c>
      <c r="F214" s="44">
        <f t="shared" si="473"/>
        <v>-36</v>
      </c>
      <c r="G214" s="42" t="str">
        <f t="shared" si="473"/>
        <v>Half</v>
      </c>
      <c r="H214" s="50">
        <f t="shared" si="473"/>
        <v>10</v>
      </c>
      <c r="I214" s="49">
        <f t="shared" si="473"/>
        <v>160</v>
      </c>
      <c r="J214" s="44">
        <f t="shared" si="473"/>
        <v>8</v>
      </c>
      <c r="K214" s="44">
        <f t="shared" si="473"/>
        <v>0</v>
      </c>
      <c r="L214" s="45">
        <f t="shared" si="473"/>
        <v>0.2</v>
      </c>
      <c r="M214" s="49">
        <v>90</v>
      </c>
      <c r="N214" s="54">
        <f>I214+10</f>
        <v>170</v>
      </c>
      <c r="O214" s="44">
        <f t="shared" ref="O214:P214" si="474">O213</f>
        <v>150</v>
      </c>
      <c r="P214" s="50">
        <f t="shared" si="474"/>
        <v>270</v>
      </c>
    </row>
    <row r="215" spans="1:16" x14ac:dyDescent="0.25">
      <c r="A215" s="41">
        <f t="shared" si="450"/>
        <v>1063</v>
      </c>
      <c r="B215" s="42">
        <f t="shared" si="450"/>
        <v>205</v>
      </c>
      <c r="C215" s="41" t="s">
        <v>1627</v>
      </c>
      <c r="D215" s="43">
        <f t="shared" si="402"/>
        <v>20</v>
      </c>
      <c r="E215" s="44">
        <f t="shared" ref="E215:J215" si="475">E214</f>
        <v>15</v>
      </c>
      <c r="F215" s="44">
        <f t="shared" si="475"/>
        <v>-36</v>
      </c>
      <c r="G215" s="42" t="str">
        <f t="shared" si="475"/>
        <v>Half</v>
      </c>
      <c r="H215" s="50">
        <f t="shared" si="475"/>
        <v>10</v>
      </c>
      <c r="I215" s="49">
        <f t="shared" si="475"/>
        <v>160</v>
      </c>
      <c r="J215" s="44">
        <f t="shared" si="475"/>
        <v>8</v>
      </c>
      <c r="K215" s="44">
        <f>yaw_max</f>
        <v>8</v>
      </c>
      <c r="L215" s="45">
        <f t="shared" ref="L215" si="476">L214</f>
        <v>0.2</v>
      </c>
      <c r="M215" s="49">
        <v>0</v>
      </c>
      <c r="N215" s="54">
        <f>I215</f>
        <v>160</v>
      </c>
      <c r="O215" s="44">
        <f t="shared" ref="O215:P215" si="477">O214</f>
        <v>150</v>
      </c>
      <c r="P215" s="50">
        <f t="shared" si="477"/>
        <v>270</v>
      </c>
    </row>
    <row r="216" spans="1:16" x14ac:dyDescent="0.25">
      <c r="A216" s="41">
        <f t="shared" si="450"/>
        <v>1064</v>
      </c>
      <c r="B216" s="42">
        <f t="shared" si="450"/>
        <v>206</v>
      </c>
      <c r="C216" s="41" t="s">
        <v>1628</v>
      </c>
      <c r="D216" s="43">
        <f t="shared" si="402"/>
        <v>20</v>
      </c>
      <c r="E216" s="44">
        <f t="shared" ref="E216:L216" si="478">E215</f>
        <v>15</v>
      </c>
      <c r="F216" s="44">
        <f t="shared" si="478"/>
        <v>-36</v>
      </c>
      <c r="G216" s="42" t="str">
        <f t="shared" si="478"/>
        <v>Half</v>
      </c>
      <c r="H216" s="50">
        <f t="shared" si="478"/>
        <v>10</v>
      </c>
      <c r="I216" s="49">
        <f t="shared" si="478"/>
        <v>160</v>
      </c>
      <c r="J216" s="44">
        <f t="shared" si="478"/>
        <v>8</v>
      </c>
      <c r="K216" s="44">
        <f t="shared" si="478"/>
        <v>8</v>
      </c>
      <c r="L216" s="45">
        <f t="shared" si="478"/>
        <v>0.2</v>
      </c>
      <c r="M216" s="49">
        <v>0</v>
      </c>
      <c r="N216" s="54">
        <f>I216+5</f>
        <v>165</v>
      </c>
      <c r="O216" s="44">
        <f t="shared" ref="O216:P216" si="479">O215</f>
        <v>150</v>
      </c>
      <c r="P216" s="50">
        <f t="shared" si="479"/>
        <v>270</v>
      </c>
    </row>
    <row r="217" spans="1:16" x14ac:dyDescent="0.25">
      <c r="A217" s="41">
        <f t="shared" si="450"/>
        <v>1065</v>
      </c>
      <c r="B217" s="42">
        <f t="shared" si="450"/>
        <v>207</v>
      </c>
      <c r="C217" s="41" t="s">
        <v>1629</v>
      </c>
      <c r="D217" s="43">
        <f t="shared" si="402"/>
        <v>20</v>
      </c>
      <c r="E217" s="44">
        <f t="shared" ref="E217:L217" si="480">E216</f>
        <v>15</v>
      </c>
      <c r="F217" s="44">
        <f t="shared" si="480"/>
        <v>-36</v>
      </c>
      <c r="G217" s="42" t="str">
        <f t="shared" si="480"/>
        <v>Half</v>
      </c>
      <c r="H217" s="50">
        <f t="shared" si="480"/>
        <v>10</v>
      </c>
      <c r="I217" s="49">
        <f t="shared" si="480"/>
        <v>160</v>
      </c>
      <c r="J217" s="44">
        <f t="shared" si="480"/>
        <v>8</v>
      </c>
      <c r="K217" s="44">
        <f t="shared" si="480"/>
        <v>8</v>
      </c>
      <c r="L217" s="45">
        <f t="shared" si="480"/>
        <v>0.2</v>
      </c>
      <c r="M217" s="49">
        <v>0</v>
      </c>
      <c r="N217" s="54">
        <f>I217+10</f>
        <v>170</v>
      </c>
      <c r="O217" s="44">
        <f t="shared" ref="O217:P217" si="481">O216</f>
        <v>150</v>
      </c>
      <c r="P217" s="50">
        <f t="shared" si="481"/>
        <v>270</v>
      </c>
    </row>
    <row r="218" spans="1:16" x14ac:dyDescent="0.25">
      <c r="A218" s="41">
        <f t="shared" si="450"/>
        <v>1066</v>
      </c>
      <c r="B218" s="42">
        <f t="shared" si="450"/>
        <v>208</v>
      </c>
      <c r="C218" s="41" t="s">
        <v>1630</v>
      </c>
      <c r="D218" s="43">
        <f t="shared" si="402"/>
        <v>20</v>
      </c>
      <c r="E218" s="44">
        <f t="shared" ref="E218:L218" si="482">E217</f>
        <v>15</v>
      </c>
      <c r="F218" s="44">
        <f t="shared" si="482"/>
        <v>-36</v>
      </c>
      <c r="G218" s="42" t="str">
        <f t="shared" si="482"/>
        <v>Half</v>
      </c>
      <c r="H218" s="50">
        <f t="shared" si="482"/>
        <v>10</v>
      </c>
      <c r="I218" s="49">
        <f t="shared" si="482"/>
        <v>160</v>
      </c>
      <c r="J218" s="44">
        <f t="shared" si="482"/>
        <v>8</v>
      </c>
      <c r="K218" s="44">
        <f t="shared" si="482"/>
        <v>8</v>
      </c>
      <c r="L218" s="45">
        <f t="shared" si="482"/>
        <v>0.2</v>
      </c>
      <c r="M218" s="49">
        <v>30</v>
      </c>
      <c r="N218" s="54">
        <f>I218</f>
        <v>160</v>
      </c>
      <c r="O218" s="44">
        <f t="shared" ref="O218:P218" si="483">O217</f>
        <v>150</v>
      </c>
      <c r="P218" s="50">
        <f t="shared" si="483"/>
        <v>270</v>
      </c>
    </row>
    <row r="219" spans="1:16" x14ac:dyDescent="0.25">
      <c r="A219" s="41">
        <f t="shared" si="450"/>
        <v>1067</v>
      </c>
      <c r="B219" s="42">
        <f t="shared" si="450"/>
        <v>209</v>
      </c>
      <c r="C219" s="41" t="s">
        <v>1631</v>
      </c>
      <c r="D219" s="43">
        <f t="shared" ref="D219:D226" si="484">v_c</f>
        <v>20</v>
      </c>
      <c r="E219" s="44">
        <f t="shared" ref="E219:G219" si="485">E218</f>
        <v>15</v>
      </c>
      <c r="F219" s="44">
        <f t="shared" si="485"/>
        <v>-36</v>
      </c>
      <c r="G219" s="42" t="str">
        <f t="shared" si="485"/>
        <v>Half</v>
      </c>
      <c r="H219" s="50">
        <f>H218</f>
        <v>10</v>
      </c>
      <c r="I219" s="49">
        <f t="shared" ref="I219:L219" si="486">I218</f>
        <v>160</v>
      </c>
      <c r="J219" s="44">
        <f t="shared" si="486"/>
        <v>8</v>
      </c>
      <c r="K219" s="44">
        <f t="shared" si="486"/>
        <v>8</v>
      </c>
      <c r="L219" s="45">
        <f t="shared" si="486"/>
        <v>0.2</v>
      </c>
      <c r="M219" s="49">
        <v>30</v>
      </c>
      <c r="N219" s="54">
        <f>I219+5</f>
        <v>165</v>
      </c>
      <c r="O219" s="44">
        <f t="shared" ref="O219:P219" si="487">O218</f>
        <v>150</v>
      </c>
      <c r="P219" s="50">
        <f t="shared" si="487"/>
        <v>270</v>
      </c>
    </row>
    <row r="220" spans="1:16" x14ac:dyDescent="0.25">
      <c r="A220" s="41">
        <f t="shared" ref="A220:B224" si="488">A219+1</f>
        <v>1068</v>
      </c>
      <c r="B220" s="42">
        <f t="shared" si="488"/>
        <v>210</v>
      </c>
      <c r="C220" s="41" t="s">
        <v>1632</v>
      </c>
      <c r="D220" s="43">
        <f t="shared" si="484"/>
        <v>20</v>
      </c>
      <c r="E220" s="44">
        <f t="shared" ref="E220:G220" si="489">E219</f>
        <v>15</v>
      </c>
      <c r="F220" s="44">
        <f t="shared" si="489"/>
        <v>-36</v>
      </c>
      <c r="G220" s="42" t="str">
        <f t="shared" si="489"/>
        <v>Half</v>
      </c>
      <c r="H220" s="50">
        <f>H219</f>
        <v>10</v>
      </c>
      <c r="I220" s="49">
        <f t="shared" ref="I220:L220" si="490">I219</f>
        <v>160</v>
      </c>
      <c r="J220" s="44">
        <f t="shared" si="490"/>
        <v>8</v>
      </c>
      <c r="K220" s="44">
        <f t="shared" si="490"/>
        <v>8</v>
      </c>
      <c r="L220" s="45">
        <f t="shared" si="490"/>
        <v>0.2</v>
      </c>
      <c r="M220" s="49">
        <v>30</v>
      </c>
      <c r="N220" s="54">
        <f>I220+10</f>
        <v>170</v>
      </c>
      <c r="O220" s="44">
        <f t="shared" ref="O220:P220" si="491">O219</f>
        <v>150</v>
      </c>
      <c r="P220" s="50">
        <f t="shared" si="491"/>
        <v>270</v>
      </c>
    </row>
    <row r="221" spans="1:16" x14ac:dyDescent="0.25">
      <c r="A221" s="41">
        <f t="shared" si="488"/>
        <v>1069</v>
      </c>
      <c r="B221" s="42">
        <f t="shared" si="488"/>
        <v>211</v>
      </c>
      <c r="C221" s="41" t="s">
        <v>1633</v>
      </c>
      <c r="D221" s="43">
        <f t="shared" si="484"/>
        <v>20</v>
      </c>
      <c r="E221" s="44">
        <f t="shared" ref="E221:G221" si="492">E220</f>
        <v>15</v>
      </c>
      <c r="F221" s="44">
        <f t="shared" si="492"/>
        <v>-36</v>
      </c>
      <c r="G221" s="42" t="str">
        <f t="shared" si="492"/>
        <v>Half</v>
      </c>
      <c r="H221" s="50">
        <f>H220</f>
        <v>10</v>
      </c>
      <c r="I221" s="49">
        <f t="shared" ref="I221:L221" si="493">I220</f>
        <v>160</v>
      </c>
      <c r="J221" s="44">
        <f t="shared" si="493"/>
        <v>8</v>
      </c>
      <c r="K221" s="44">
        <f t="shared" si="493"/>
        <v>8</v>
      </c>
      <c r="L221" s="45">
        <f t="shared" si="493"/>
        <v>0.2</v>
      </c>
      <c r="M221" s="49">
        <v>60</v>
      </c>
      <c r="N221" s="54">
        <f>I221</f>
        <v>160</v>
      </c>
      <c r="O221" s="44">
        <f t="shared" ref="O221:P221" si="494">O220</f>
        <v>150</v>
      </c>
      <c r="P221" s="50">
        <f t="shared" si="494"/>
        <v>270</v>
      </c>
    </row>
    <row r="222" spans="1:16" x14ac:dyDescent="0.25">
      <c r="A222" s="41">
        <f t="shared" si="488"/>
        <v>1070</v>
      </c>
      <c r="B222" s="42">
        <f t="shared" si="488"/>
        <v>212</v>
      </c>
      <c r="C222" s="41" t="s">
        <v>1634</v>
      </c>
      <c r="D222" s="43">
        <f t="shared" si="484"/>
        <v>20</v>
      </c>
      <c r="E222" s="44">
        <f t="shared" ref="E222:G222" si="495">E221</f>
        <v>15</v>
      </c>
      <c r="F222" s="44">
        <f t="shared" si="495"/>
        <v>-36</v>
      </c>
      <c r="G222" s="42" t="str">
        <f t="shared" si="495"/>
        <v>Half</v>
      </c>
      <c r="H222" s="50">
        <f>H221</f>
        <v>10</v>
      </c>
      <c r="I222" s="49">
        <f t="shared" ref="I222:L222" si="496">I221</f>
        <v>160</v>
      </c>
      <c r="J222" s="44">
        <f t="shared" si="496"/>
        <v>8</v>
      </c>
      <c r="K222" s="44">
        <f t="shared" si="496"/>
        <v>8</v>
      </c>
      <c r="L222" s="45">
        <f t="shared" si="496"/>
        <v>0.2</v>
      </c>
      <c r="M222" s="49">
        <v>60</v>
      </c>
      <c r="N222" s="54">
        <f>I222+5</f>
        <v>165</v>
      </c>
      <c r="O222" s="44">
        <f t="shared" ref="O222:P222" si="497">O221</f>
        <v>150</v>
      </c>
      <c r="P222" s="50">
        <f t="shared" si="497"/>
        <v>270</v>
      </c>
    </row>
    <row r="223" spans="1:16" x14ac:dyDescent="0.25">
      <c r="A223" s="41">
        <f t="shared" si="488"/>
        <v>1071</v>
      </c>
      <c r="B223" s="42">
        <f t="shared" si="488"/>
        <v>213</v>
      </c>
      <c r="C223" s="41" t="s">
        <v>1635</v>
      </c>
      <c r="D223" s="43">
        <f t="shared" si="484"/>
        <v>20</v>
      </c>
      <c r="E223" s="44">
        <f t="shared" ref="E223:F223" si="498">E222</f>
        <v>15</v>
      </c>
      <c r="F223" s="44">
        <f t="shared" si="498"/>
        <v>-36</v>
      </c>
      <c r="G223" s="42" t="s">
        <v>12</v>
      </c>
      <c r="H223" s="50">
        <v>10</v>
      </c>
      <c r="I223" s="49">
        <f t="shared" ref="I223:L223" si="499">I222</f>
        <v>160</v>
      </c>
      <c r="J223" s="44">
        <f t="shared" si="499"/>
        <v>8</v>
      </c>
      <c r="K223" s="44">
        <f t="shared" si="499"/>
        <v>8</v>
      </c>
      <c r="L223" s="45">
        <f t="shared" si="499"/>
        <v>0.2</v>
      </c>
      <c r="M223" s="49">
        <v>60</v>
      </c>
      <c r="N223" s="54">
        <f>I223+10</f>
        <v>170</v>
      </c>
      <c r="O223" s="44">
        <f t="shared" ref="O223:P223" si="500">O222</f>
        <v>150</v>
      </c>
      <c r="P223" s="50">
        <f t="shared" si="500"/>
        <v>270</v>
      </c>
    </row>
    <row r="224" spans="1:16" x14ac:dyDescent="0.25">
      <c r="A224" s="41">
        <f t="shared" si="488"/>
        <v>1072</v>
      </c>
      <c r="B224" s="42">
        <f t="shared" si="488"/>
        <v>214</v>
      </c>
      <c r="C224" s="41" t="s">
        <v>1636</v>
      </c>
      <c r="D224" s="43">
        <f t="shared" si="484"/>
        <v>20</v>
      </c>
      <c r="E224" s="44">
        <f t="shared" ref="E224:F224" si="501">E223</f>
        <v>15</v>
      </c>
      <c r="F224" s="44">
        <f t="shared" si="501"/>
        <v>-36</v>
      </c>
      <c r="G224" s="42" t="str">
        <f>G223</f>
        <v>Half</v>
      </c>
      <c r="H224" s="50">
        <f>H223</f>
        <v>10</v>
      </c>
      <c r="I224" s="49">
        <f t="shared" ref="I224:L224" si="502">I223</f>
        <v>160</v>
      </c>
      <c r="J224" s="44">
        <f t="shared" si="502"/>
        <v>8</v>
      </c>
      <c r="K224" s="44">
        <f t="shared" si="502"/>
        <v>8</v>
      </c>
      <c r="L224" s="45">
        <f t="shared" si="502"/>
        <v>0.2</v>
      </c>
      <c r="M224" s="49">
        <v>90</v>
      </c>
      <c r="N224" s="54">
        <f>I224</f>
        <v>160</v>
      </c>
      <c r="O224" s="44">
        <f t="shared" ref="O224:P224" si="503">O223</f>
        <v>150</v>
      </c>
      <c r="P224" s="50">
        <f t="shared" si="503"/>
        <v>270</v>
      </c>
    </row>
    <row r="225" spans="1:16" x14ac:dyDescent="0.25">
      <c r="A225" s="41">
        <f t="shared" ref="A225:B225" si="504">A224+1</f>
        <v>1073</v>
      </c>
      <c r="B225" s="42">
        <f t="shared" si="504"/>
        <v>215</v>
      </c>
      <c r="C225" s="41" t="s">
        <v>1637</v>
      </c>
      <c r="D225" s="43">
        <f t="shared" si="484"/>
        <v>20</v>
      </c>
      <c r="E225" s="44">
        <f t="shared" ref="E225:L225" si="505">E224</f>
        <v>15</v>
      </c>
      <c r="F225" s="44">
        <f t="shared" si="505"/>
        <v>-36</v>
      </c>
      <c r="G225" s="42" t="str">
        <f t="shared" si="505"/>
        <v>Half</v>
      </c>
      <c r="H225" s="50">
        <f t="shared" si="505"/>
        <v>10</v>
      </c>
      <c r="I225" s="49">
        <f t="shared" si="505"/>
        <v>160</v>
      </c>
      <c r="J225" s="44">
        <f t="shared" si="505"/>
        <v>8</v>
      </c>
      <c r="K225" s="44">
        <f t="shared" si="505"/>
        <v>8</v>
      </c>
      <c r="L225" s="45">
        <f t="shared" si="505"/>
        <v>0.2</v>
      </c>
      <c r="M225" s="49">
        <v>90</v>
      </c>
      <c r="N225" s="54">
        <f>I225+5</f>
        <v>165</v>
      </c>
      <c r="O225" s="44">
        <f t="shared" ref="O225:P225" si="506">O224</f>
        <v>150</v>
      </c>
      <c r="P225" s="50">
        <f t="shared" si="506"/>
        <v>270</v>
      </c>
    </row>
    <row r="226" spans="1:16" x14ac:dyDescent="0.25">
      <c r="A226" s="41">
        <f t="shared" ref="A226:B226" si="507">A225+1</f>
        <v>1074</v>
      </c>
      <c r="B226" s="42">
        <f t="shared" si="507"/>
        <v>216</v>
      </c>
      <c r="C226" s="127" t="s">
        <v>1638</v>
      </c>
      <c r="D226" s="43">
        <f t="shared" si="484"/>
        <v>20</v>
      </c>
      <c r="E226" s="44">
        <f t="shared" ref="E226:L226" si="508">E225</f>
        <v>15</v>
      </c>
      <c r="F226" s="128">
        <f t="shared" si="508"/>
        <v>-36</v>
      </c>
      <c r="G226" s="42" t="str">
        <f t="shared" si="508"/>
        <v>Half</v>
      </c>
      <c r="H226" s="50">
        <f t="shared" si="508"/>
        <v>10</v>
      </c>
      <c r="I226" s="49">
        <f t="shared" si="508"/>
        <v>160</v>
      </c>
      <c r="J226" s="44">
        <f t="shared" si="508"/>
        <v>8</v>
      </c>
      <c r="K226" s="44">
        <f t="shared" si="508"/>
        <v>8</v>
      </c>
      <c r="L226" s="45">
        <f t="shared" si="508"/>
        <v>0.2</v>
      </c>
      <c r="M226" s="49">
        <v>90</v>
      </c>
      <c r="N226" s="54">
        <f>I226+10</f>
        <v>170</v>
      </c>
      <c r="O226" s="44">
        <f t="shared" ref="O226:P226" si="509">O225</f>
        <v>150</v>
      </c>
      <c r="P226" s="50">
        <f t="shared" si="509"/>
        <v>270</v>
      </c>
    </row>
    <row r="227" spans="1:16" x14ac:dyDescent="0.25">
      <c r="A227" s="41">
        <f t="shared" ref="A227:B227" si="510">A226+1</f>
        <v>1075</v>
      </c>
      <c r="B227" s="42">
        <f t="shared" si="510"/>
        <v>217</v>
      </c>
      <c r="C227" s="41" t="s">
        <v>1639</v>
      </c>
      <c r="D227" s="43">
        <f t="shared" ref="D227:D258" si="511">v_out</f>
        <v>25</v>
      </c>
      <c r="E227" s="44">
        <f t="shared" ref="E227" si="512">E226</f>
        <v>15</v>
      </c>
      <c r="F227" s="44">
        <f>720/D227</f>
        <v>28.8</v>
      </c>
      <c r="G227" s="42" t="str">
        <f t="shared" ref="G227:J227" si="513">G226</f>
        <v>Half</v>
      </c>
      <c r="H227" s="50">
        <f t="shared" si="513"/>
        <v>10</v>
      </c>
      <c r="I227" s="49">
        <f t="shared" si="513"/>
        <v>160</v>
      </c>
      <c r="J227" s="44">
        <f t="shared" si="513"/>
        <v>8</v>
      </c>
      <c r="K227" s="44">
        <f>yaw_min</f>
        <v>-8</v>
      </c>
      <c r="L227" s="45">
        <f t="shared" ref="L227" si="514">L226</f>
        <v>0.2</v>
      </c>
      <c r="M227" s="49">
        <v>0</v>
      </c>
      <c r="N227" s="54">
        <f>I227</f>
        <v>160</v>
      </c>
      <c r="O227" s="44">
        <f t="shared" ref="O227:P227" si="515">O226</f>
        <v>150</v>
      </c>
      <c r="P227" s="50">
        <f t="shared" si="515"/>
        <v>270</v>
      </c>
    </row>
    <row r="228" spans="1:16" x14ac:dyDescent="0.25">
      <c r="A228" s="41">
        <f t="shared" ref="A228:B228" si="516">A227+1</f>
        <v>1076</v>
      </c>
      <c r="B228" s="42">
        <f t="shared" si="516"/>
        <v>218</v>
      </c>
      <c r="C228" s="41" t="s">
        <v>1640</v>
      </c>
      <c r="D228" s="43">
        <f t="shared" si="511"/>
        <v>25</v>
      </c>
      <c r="E228" s="44">
        <f t="shared" ref="E228:L228" si="517">E227</f>
        <v>15</v>
      </c>
      <c r="F228" s="44">
        <f t="shared" si="517"/>
        <v>28.8</v>
      </c>
      <c r="G228" s="42" t="str">
        <f t="shared" si="517"/>
        <v>Half</v>
      </c>
      <c r="H228" s="50">
        <f t="shared" si="517"/>
        <v>10</v>
      </c>
      <c r="I228" s="49">
        <f t="shared" si="517"/>
        <v>160</v>
      </c>
      <c r="J228" s="44">
        <f t="shared" si="517"/>
        <v>8</v>
      </c>
      <c r="K228" s="44">
        <f t="shared" si="517"/>
        <v>-8</v>
      </c>
      <c r="L228" s="45">
        <f t="shared" si="517"/>
        <v>0.2</v>
      </c>
      <c r="M228" s="49">
        <v>0</v>
      </c>
      <c r="N228" s="54">
        <f>I228+5</f>
        <v>165</v>
      </c>
      <c r="O228" s="44">
        <f t="shared" ref="O228:P228" si="518">O227</f>
        <v>150</v>
      </c>
      <c r="P228" s="50">
        <f t="shared" si="518"/>
        <v>270</v>
      </c>
    </row>
    <row r="229" spans="1:16" x14ac:dyDescent="0.25">
      <c r="A229" s="41">
        <f t="shared" ref="A229:B229" si="519">A228+1</f>
        <v>1077</v>
      </c>
      <c r="B229" s="42">
        <f t="shared" si="519"/>
        <v>219</v>
      </c>
      <c r="C229" s="41" t="s">
        <v>1641</v>
      </c>
      <c r="D229" s="43">
        <f t="shared" si="511"/>
        <v>25</v>
      </c>
      <c r="E229" s="44">
        <f t="shared" ref="E229" si="520">E228</f>
        <v>15</v>
      </c>
      <c r="F229" s="44">
        <f>F228</f>
        <v>28.8</v>
      </c>
      <c r="G229" s="42" t="str">
        <f t="shared" ref="G229:L229" si="521">G228</f>
        <v>Half</v>
      </c>
      <c r="H229" s="50">
        <f t="shared" si="521"/>
        <v>10</v>
      </c>
      <c r="I229" s="49">
        <f t="shared" si="521"/>
        <v>160</v>
      </c>
      <c r="J229" s="44">
        <f t="shared" si="521"/>
        <v>8</v>
      </c>
      <c r="K229" s="44">
        <f t="shared" si="521"/>
        <v>-8</v>
      </c>
      <c r="L229" s="45">
        <f t="shared" si="521"/>
        <v>0.2</v>
      </c>
      <c r="M229" s="49">
        <v>0</v>
      </c>
      <c r="N229" s="54">
        <f>I229+10</f>
        <v>170</v>
      </c>
      <c r="O229" s="44">
        <f t="shared" ref="O229:P229" si="522">O228</f>
        <v>150</v>
      </c>
      <c r="P229" s="50">
        <f t="shared" si="522"/>
        <v>270</v>
      </c>
    </row>
    <row r="230" spans="1:16" x14ac:dyDescent="0.25">
      <c r="A230" s="41">
        <f t="shared" ref="A230:B230" si="523">A229+1</f>
        <v>1078</v>
      </c>
      <c r="B230" s="42">
        <f t="shared" si="523"/>
        <v>220</v>
      </c>
      <c r="C230" s="41" t="s">
        <v>1642</v>
      </c>
      <c r="D230" s="43">
        <f t="shared" si="511"/>
        <v>25</v>
      </c>
      <c r="E230" s="44">
        <f t="shared" ref="E230" si="524">E229</f>
        <v>15</v>
      </c>
      <c r="F230" s="44">
        <f>F229</f>
        <v>28.8</v>
      </c>
      <c r="G230" s="42" t="str">
        <f t="shared" ref="G230:L230" si="525">G229</f>
        <v>Half</v>
      </c>
      <c r="H230" s="50">
        <f t="shared" si="525"/>
        <v>10</v>
      </c>
      <c r="I230" s="49">
        <f t="shared" si="525"/>
        <v>160</v>
      </c>
      <c r="J230" s="44">
        <f t="shared" si="525"/>
        <v>8</v>
      </c>
      <c r="K230" s="44">
        <f t="shared" si="525"/>
        <v>-8</v>
      </c>
      <c r="L230" s="45">
        <f t="shared" si="525"/>
        <v>0.2</v>
      </c>
      <c r="M230" s="49">
        <v>30</v>
      </c>
      <c r="N230" s="54">
        <f>I230</f>
        <v>160</v>
      </c>
      <c r="O230" s="44">
        <f t="shared" ref="O230:P230" si="526">O229</f>
        <v>150</v>
      </c>
      <c r="P230" s="50">
        <f t="shared" si="526"/>
        <v>270</v>
      </c>
    </row>
    <row r="231" spans="1:16" x14ac:dyDescent="0.25">
      <c r="A231" s="41">
        <f t="shared" ref="A231:B231" si="527">A230+1</f>
        <v>1079</v>
      </c>
      <c r="B231" s="42">
        <f t="shared" si="527"/>
        <v>221</v>
      </c>
      <c r="C231" s="41" t="s">
        <v>1643</v>
      </c>
      <c r="D231" s="43">
        <f t="shared" si="511"/>
        <v>25</v>
      </c>
      <c r="E231" s="44">
        <f t="shared" ref="E231:L231" si="528">E230</f>
        <v>15</v>
      </c>
      <c r="F231" s="44">
        <f t="shared" si="528"/>
        <v>28.8</v>
      </c>
      <c r="G231" s="42" t="str">
        <f t="shared" si="528"/>
        <v>Half</v>
      </c>
      <c r="H231" s="50">
        <f t="shared" si="528"/>
        <v>10</v>
      </c>
      <c r="I231" s="49">
        <f t="shared" si="528"/>
        <v>160</v>
      </c>
      <c r="J231" s="44">
        <f t="shared" si="528"/>
        <v>8</v>
      </c>
      <c r="K231" s="44">
        <f t="shared" si="528"/>
        <v>-8</v>
      </c>
      <c r="L231" s="45">
        <f t="shared" si="528"/>
        <v>0.2</v>
      </c>
      <c r="M231" s="49">
        <v>30</v>
      </c>
      <c r="N231" s="54">
        <f>I231+5</f>
        <v>165</v>
      </c>
      <c r="O231" s="44">
        <f t="shared" ref="O231:P231" si="529">O230</f>
        <v>150</v>
      </c>
      <c r="P231" s="50">
        <f t="shared" si="529"/>
        <v>270</v>
      </c>
    </row>
    <row r="232" spans="1:16" x14ac:dyDescent="0.25">
      <c r="A232" s="41">
        <f t="shared" ref="A232:B232" si="530">A231+1</f>
        <v>1080</v>
      </c>
      <c r="B232" s="42">
        <f t="shared" si="530"/>
        <v>222</v>
      </c>
      <c r="C232" s="41" t="s">
        <v>1644</v>
      </c>
      <c r="D232" s="43">
        <f t="shared" si="511"/>
        <v>25</v>
      </c>
      <c r="E232" s="44">
        <f t="shared" ref="E232:L232" si="531">E231</f>
        <v>15</v>
      </c>
      <c r="F232" s="44">
        <f t="shared" si="531"/>
        <v>28.8</v>
      </c>
      <c r="G232" s="42" t="str">
        <f t="shared" si="531"/>
        <v>Half</v>
      </c>
      <c r="H232" s="50">
        <f t="shared" si="531"/>
        <v>10</v>
      </c>
      <c r="I232" s="49">
        <f t="shared" si="531"/>
        <v>160</v>
      </c>
      <c r="J232" s="44">
        <f t="shared" si="531"/>
        <v>8</v>
      </c>
      <c r="K232" s="44">
        <f t="shared" si="531"/>
        <v>-8</v>
      </c>
      <c r="L232" s="45">
        <f t="shared" si="531"/>
        <v>0.2</v>
      </c>
      <c r="M232" s="49">
        <v>30</v>
      </c>
      <c r="N232" s="54">
        <f>I232+10</f>
        <v>170</v>
      </c>
      <c r="O232" s="44">
        <f t="shared" ref="O232:P232" si="532">O231</f>
        <v>150</v>
      </c>
      <c r="P232" s="50">
        <f t="shared" si="532"/>
        <v>270</v>
      </c>
    </row>
    <row r="233" spans="1:16" x14ac:dyDescent="0.25">
      <c r="A233" s="41">
        <f t="shared" ref="A233:B233" si="533">A232+1</f>
        <v>1081</v>
      </c>
      <c r="B233" s="42">
        <f t="shared" si="533"/>
        <v>223</v>
      </c>
      <c r="C233" s="41" t="s">
        <v>1645</v>
      </c>
      <c r="D233" s="43">
        <f t="shared" si="511"/>
        <v>25</v>
      </c>
      <c r="E233" s="44">
        <f t="shared" ref="E233:L233" si="534">E232</f>
        <v>15</v>
      </c>
      <c r="F233" s="44">
        <f t="shared" si="534"/>
        <v>28.8</v>
      </c>
      <c r="G233" s="42" t="str">
        <f t="shared" si="534"/>
        <v>Half</v>
      </c>
      <c r="H233" s="50">
        <f t="shared" si="534"/>
        <v>10</v>
      </c>
      <c r="I233" s="49">
        <f t="shared" si="534"/>
        <v>160</v>
      </c>
      <c r="J233" s="44">
        <f t="shared" si="534"/>
        <v>8</v>
      </c>
      <c r="K233" s="44">
        <f t="shared" si="534"/>
        <v>-8</v>
      </c>
      <c r="L233" s="45">
        <f t="shared" si="534"/>
        <v>0.2</v>
      </c>
      <c r="M233" s="49">
        <v>60</v>
      </c>
      <c r="N233" s="54">
        <f>I233</f>
        <v>160</v>
      </c>
      <c r="O233" s="44">
        <f t="shared" ref="O233:P233" si="535">O232</f>
        <v>150</v>
      </c>
      <c r="P233" s="50">
        <f t="shared" si="535"/>
        <v>270</v>
      </c>
    </row>
    <row r="234" spans="1:16" x14ac:dyDescent="0.25">
      <c r="A234" s="41">
        <f t="shared" ref="A234:B234" si="536">A233+1</f>
        <v>1082</v>
      </c>
      <c r="B234" s="42">
        <f t="shared" si="536"/>
        <v>224</v>
      </c>
      <c r="C234" s="41" t="s">
        <v>1646</v>
      </c>
      <c r="D234" s="43">
        <f t="shared" si="511"/>
        <v>25</v>
      </c>
      <c r="E234" s="44">
        <f t="shared" ref="E234" si="537">E233</f>
        <v>15</v>
      </c>
      <c r="F234" s="44">
        <f>F233</f>
        <v>28.8</v>
      </c>
      <c r="G234" s="42" t="str">
        <f t="shared" ref="G234:L234" si="538">G233</f>
        <v>Half</v>
      </c>
      <c r="H234" s="50">
        <f t="shared" si="538"/>
        <v>10</v>
      </c>
      <c r="I234" s="49">
        <f t="shared" si="538"/>
        <v>160</v>
      </c>
      <c r="J234" s="44">
        <f t="shared" si="538"/>
        <v>8</v>
      </c>
      <c r="K234" s="44">
        <f t="shared" si="538"/>
        <v>-8</v>
      </c>
      <c r="L234" s="45">
        <f t="shared" si="538"/>
        <v>0.2</v>
      </c>
      <c r="M234" s="49">
        <v>60</v>
      </c>
      <c r="N234" s="54">
        <f>I234+5</f>
        <v>165</v>
      </c>
      <c r="O234" s="44">
        <f t="shared" ref="O234:P234" si="539">O233</f>
        <v>150</v>
      </c>
      <c r="P234" s="50">
        <f t="shared" si="539"/>
        <v>270</v>
      </c>
    </row>
    <row r="235" spans="1:16" x14ac:dyDescent="0.25">
      <c r="A235" s="41">
        <f t="shared" ref="A235:B235" si="540">A234+1</f>
        <v>1083</v>
      </c>
      <c r="B235" s="42">
        <f t="shared" si="540"/>
        <v>225</v>
      </c>
      <c r="C235" s="41" t="s">
        <v>1647</v>
      </c>
      <c r="D235" s="43">
        <f t="shared" si="511"/>
        <v>25</v>
      </c>
      <c r="E235" s="44">
        <f t="shared" ref="E235:L235" si="541">E234</f>
        <v>15</v>
      </c>
      <c r="F235" s="44">
        <f t="shared" si="541"/>
        <v>28.8</v>
      </c>
      <c r="G235" s="42" t="str">
        <f t="shared" si="541"/>
        <v>Half</v>
      </c>
      <c r="H235" s="50">
        <f t="shared" si="541"/>
        <v>10</v>
      </c>
      <c r="I235" s="49">
        <f t="shared" si="541"/>
        <v>160</v>
      </c>
      <c r="J235" s="44">
        <f t="shared" si="541"/>
        <v>8</v>
      </c>
      <c r="K235" s="44">
        <f t="shared" si="541"/>
        <v>-8</v>
      </c>
      <c r="L235" s="45">
        <f t="shared" si="541"/>
        <v>0.2</v>
      </c>
      <c r="M235" s="49">
        <v>60</v>
      </c>
      <c r="N235" s="54">
        <f>I235+10</f>
        <v>170</v>
      </c>
      <c r="O235" s="44">
        <f t="shared" ref="O235:P235" si="542">O234</f>
        <v>150</v>
      </c>
      <c r="P235" s="50">
        <f t="shared" si="542"/>
        <v>270</v>
      </c>
    </row>
    <row r="236" spans="1:16" x14ac:dyDescent="0.25">
      <c r="A236" s="41">
        <f t="shared" ref="A236:B236" si="543">A235+1</f>
        <v>1084</v>
      </c>
      <c r="B236" s="42">
        <f t="shared" si="543"/>
        <v>226</v>
      </c>
      <c r="C236" s="41" t="s">
        <v>1648</v>
      </c>
      <c r="D236" s="43">
        <f t="shared" si="511"/>
        <v>25</v>
      </c>
      <c r="E236" s="44">
        <f t="shared" ref="E236:F236" si="544">E235</f>
        <v>15</v>
      </c>
      <c r="F236" s="44">
        <f t="shared" si="544"/>
        <v>28.8</v>
      </c>
      <c r="G236" s="42" t="str">
        <f>G235</f>
        <v>Half</v>
      </c>
      <c r="H236" s="50">
        <f t="shared" ref="H236:L236" si="545">H235</f>
        <v>10</v>
      </c>
      <c r="I236" s="49">
        <f t="shared" si="545"/>
        <v>160</v>
      </c>
      <c r="J236" s="44">
        <f t="shared" si="545"/>
        <v>8</v>
      </c>
      <c r="K236" s="44">
        <f t="shared" si="545"/>
        <v>-8</v>
      </c>
      <c r="L236" s="45">
        <f t="shared" si="545"/>
        <v>0.2</v>
      </c>
      <c r="M236" s="49">
        <v>90</v>
      </c>
      <c r="N236" s="54">
        <f>I236</f>
        <v>160</v>
      </c>
      <c r="O236" s="44">
        <f t="shared" ref="O236:P236" si="546">O235</f>
        <v>150</v>
      </c>
      <c r="P236" s="50">
        <f t="shared" si="546"/>
        <v>270</v>
      </c>
    </row>
    <row r="237" spans="1:16" x14ac:dyDescent="0.25">
      <c r="A237" s="41">
        <f t="shared" ref="A237:B237" si="547">A236+1</f>
        <v>1085</v>
      </c>
      <c r="B237" s="42">
        <f t="shared" si="547"/>
        <v>227</v>
      </c>
      <c r="C237" s="41" t="s">
        <v>1649</v>
      </c>
      <c r="D237" s="43">
        <f t="shared" si="511"/>
        <v>25</v>
      </c>
      <c r="E237" s="44">
        <f t="shared" ref="E237:F237" si="548">E236</f>
        <v>15</v>
      </c>
      <c r="F237" s="44">
        <f t="shared" si="548"/>
        <v>28.8</v>
      </c>
      <c r="G237" s="42" t="str">
        <f>G236</f>
        <v>Half</v>
      </c>
      <c r="H237" s="50">
        <f t="shared" ref="H237:L237" si="549">H236</f>
        <v>10</v>
      </c>
      <c r="I237" s="49">
        <f t="shared" si="549"/>
        <v>160</v>
      </c>
      <c r="J237" s="44">
        <f t="shared" si="549"/>
        <v>8</v>
      </c>
      <c r="K237" s="44">
        <f t="shared" si="549"/>
        <v>-8</v>
      </c>
      <c r="L237" s="45">
        <f t="shared" si="549"/>
        <v>0.2</v>
      </c>
      <c r="M237" s="49">
        <v>90</v>
      </c>
      <c r="N237" s="54">
        <f>I237+5</f>
        <v>165</v>
      </c>
      <c r="O237" s="44">
        <f t="shared" ref="O237:P237" si="550">O236</f>
        <v>150</v>
      </c>
      <c r="P237" s="50">
        <f t="shared" si="550"/>
        <v>270</v>
      </c>
    </row>
    <row r="238" spans="1:16" x14ac:dyDescent="0.25">
      <c r="A238" s="41">
        <f t="shared" ref="A238:B238" si="551">A237+1</f>
        <v>1086</v>
      </c>
      <c r="B238" s="42">
        <f t="shared" si="551"/>
        <v>228</v>
      </c>
      <c r="C238" s="41" t="s">
        <v>1650</v>
      </c>
      <c r="D238" s="43">
        <f t="shared" si="511"/>
        <v>25</v>
      </c>
      <c r="E238" s="44">
        <f t="shared" ref="E238:F238" si="552">E237</f>
        <v>15</v>
      </c>
      <c r="F238" s="44">
        <f t="shared" si="552"/>
        <v>28.8</v>
      </c>
      <c r="G238" s="42" t="str">
        <f>G237</f>
        <v>Half</v>
      </c>
      <c r="H238" s="50">
        <f t="shared" ref="H238:L238" si="553">H237</f>
        <v>10</v>
      </c>
      <c r="I238" s="49">
        <f t="shared" si="553"/>
        <v>160</v>
      </c>
      <c r="J238" s="44">
        <f t="shared" si="553"/>
        <v>8</v>
      </c>
      <c r="K238" s="44">
        <f t="shared" si="553"/>
        <v>-8</v>
      </c>
      <c r="L238" s="45">
        <f t="shared" si="553"/>
        <v>0.2</v>
      </c>
      <c r="M238" s="49">
        <v>90</v>
      </c>
      <c r="N238" s="54">
        <f>I238+10</f>
        <v>170</v>
      </c>
      <c r="O238" s="44">
        <f t="shared" ref="O238:P238" si="554">O237</f>
        <v>150</v>
      </c>
      <c r="P238" s="50">
        <f t="shared" si="554"/>
        <v>270</v>
      </c>
    </row>
    <row r="239" spans="1:16" x14ac:dyDescent="0.25">
      <c r="A239" s="41">
        <f t="shared" ref="A239:B239" si="555">A238+1</f>
        <v>1087</v>
      </c>
      <c r="B239" s="42">
        <f t="shared" si="555"/>
        <v>229</v>
      </c>
      <c r="C239" s="41" t="s">
        <v>1651</v>
      </c>
      <c r="D239" s="43">
        <f t="shared" si="511"/>
        <v>25</v>
      </c>
      <c r="E239" s="44">
        <f t="shared" ref="E239:G239" si="556">E238</f>
        <v>15</v>
      </c>
      <c r="F239" s="44">
        <f t="shared" si="556"/>
        <v>28.8</v>
      </c>
      <c r="G239" s="42" t="str">
        <f t="shared" si="556"/>
        <v>Half</v>
      </c>
      <c r="H239" s="50">
        <f>H238</f>
        <v>10</v>
      </c>
      <c r="I239" s="49">
        <f t="shared" ref="I239:J239" si="557">I238</f>
        <v>160</v>
      </c>
      <c r="J239" s="44">
        <f t="shared" si="557"/>
        <v>8</v>
      </c>
      <c r="K239" s="44">
        <f>yaw_null</f>
        <v>0</v>
      </c>
      <c r="L239" s="45">
        <f t="shared" ref="L239" si="558">L238</f>
        <v>0.2</v>
      </c>
      <c r="M239" s="49">
        <v>0</v>
      </c>
      <c r="N239" s="54">
        <f>I239</f>
        <v>160</v>
      </c>
      <c r="O239" s="44">
        <f t="shared" ref="O239:P239" si="559">O238</f>
        <v>150</v>
      </c>
      <c r="P239" s="50">
        <f t="shared" si="559"/>
        <v>270</v>
      </c>
    </row>
    <row r="240" spans="1:16" x14ac:dyDescent="0.25">
      <c r="A240" s="41">
        <f t="shared" ref="A240:B240" si="560">A239+1</f>
        <v>1088</v>
      </c>
      <c r="B240" s="42">
        <f t="shared" si="560"/>
        <v>230</v>
      </c>
      <c r="C240" s="41" t="s">
        <v>1652</v>
      </c>
      <c r="D240" s="43">
        <f t="shared" si="511"/>
        <v>25</v>
      </c>
      <c r="E240" s="44">
        <f t="shared" ref="E240:L240" si="561">E239</f>
        <v>15</v>
      </c>
      <c r="F240" s="44">
        <f t="shared" si="561"/>
        <v>28.8</v>
      </c>
      <c r="G240" s="42" t="str">
        <f t="shared" si="561"/>
        <v>Half</v>
      </c>
      <c r="H240" s="50">
        <f t="shared" si="561"/>
        <v>10</v>
      </c>
      <c r="I240" s="49">
        <f t="shared" si="561"/>
        <v>160</v>
      </c>
      <c r="J240" s="44">
        <f t="shared" si="561"/>
        <v>8</v>
      </c>
      <c r="K240" s="44">
        <f t="shared" si="561"/>
        <v>0</v>
      </c>
      <c r="L240" s="45">
        <f t="shared" si="561"/>
        <v>0.2</v>
      </c>
      <c r="M240" s="49">
        <v>0</v>
      </c>
      <c r="N240" s="54">
        <f>I240+5</f>
        <v>165</v>
      </c>
      <c r="O240" s="44">
        <f t="shared" ref="O240:P240" si="562">O239</f>
        <v>150</v>
      </c>
      <c r="P240" s="50">
        <f t="shared" si="562"/>
        <v>270</v>
      </c>
    </row>
    <row r="241" spans="1:16" x14ac:dyDescent="0.25">
      <c r="A241" s="41">
        <f t="shared" ref="A241:B241" si="563">A240+1</f>
        <v>1089</v>
      </c>
      <c r="B241" s="42">
        <f t="shared" si="563"/>
        <v>231</v>
      </c>
      <c r="C241" s="41" t="s">
        <v>1653</v>
      </c>
      <c r="D241" s="43">
        <f t="shared" si="511"/>
        <v>25</v>
      </c>
      <c r="E241" s="44">
        <f t="shared" ref="E241:L241" si="564">E240</f>
        <v>15</v>
      </c>
      <c r="F241" s="44">
        <f t="shared" si="564"/>
        <v>28.8</v>
      </c>
      <c r="G241" s="42" t="str">
        <f t="shared" si="564"/>
        <v>Half</v>
      </c>
      <c r="H241" s="50">
        <f t="shared" si="564"/>
        <v>10</v>
      </c>
      <c r="I241" s="49">
        <f t="shared" si="564"/>
        <v>160</v>
      </c>
      <c r="J241" s="44">
        <f t="shared" si="564"/>
        <v>8</v>
      </c>
      <c r="K241" s="44">
        <f t="shared" si="564"/>
        <v>0</v>
      </c>
      <c r="L241" s="45">
        <f t="shared" si="564"/>
        <v>0.2</v>
      </c>
      <c r="M241" s="49">
        <v>0</v>
      </c>
      <c r="N241" s="54">
        <f>I241+10</f>
        <v>170</v>
      </c>
      <c r="O241" s="44">
        <f t="shared" ref="O241:P241" si="565">O240</f>
        <v>150</v>
      </c>
      <c r="P241" s="50">
        <f t="shared" si="565"/>
        <v>270</v>
      </c>
    </row>
    <row r="242" spans="1:16" x14ac:dyDescent="0.25">
      <c r="A242" s="41">
        <f t="shared" ref="A242:B242" si="566">A241+1</f>
        <v>1090</v>
      </c>
      <c r="B242" s="42">
        <f t="shared" si="566"/>
        <v>232</v>
      </c>
      <c r="C242" s="41" t="s">
        <v>1654</v>
      </c>
      <c r="D242" s="43">
        <f t="shared" si="511"/>
        <v>25</v>
      </c>
      <c r="E242" s="44">
        <f t="shared" ref="E242:L242" si="567">E241</f>
        <v>15</v>
      </c>
      <c r="F242" s="44">
        <f t="shared" si="567"/>
        <v>28.8</v>
      </c>
      <c r="G242" s="42" t="str">
        <f t="shared" si="567"/>
        <v>Half</v>
      </c>
      <c r="H242" s="50">
        <f t="shared" si="567"/>
        <v>10</v>
      </c>
      <c r="I242" s="49">
        <f t="shared" si="567"/>
        <v>160</v>
      </c>
      <c r="J242" s="44">
        <f t="shared" si="567"/>
        <v>8</v>
      </c>
      <c r="K242" s="44">
        <f t="shared" si="567"/>
        <v>0</v>
      </c>
      <c r="L242" s="45">
        <f t="shared" si="567"/>
        <v>0.2</v>
      </c>
      <c r="M242" s="49">
        <v>30</v>
      </c>
      <c r="N242" s="54">
        <f>I242</f>
        <v>160</v>
      </c>
      <c r="O242" s="44">
        <f t="shared" ref="O242:P242" si="568">O241</f>
        <v>150</v>
      </c>
      <c r="P242" s="50">
        <f t="shared" si="568"/>
        <v>270</v>
      </c>
    </row>
    <row r="243" spans="1:16" x14ac:dyDescent="0.25">
      <c r="A243" s="41">
        <f t="shared" ref="A243:B243" si="569">A242+1</f>
        <v>1091</v>
      </c>
      <c r="B243" s="42">
        <f t="shared" si="569"/>
        <v>233</v>
      </c>
      <c r="C243" s="41" t="s">
        <v>1655</v>
      </c>
      <c r="D243" s="43">
        <f t="shared" si="511"/>
        <v>25</v>
      </c>
      <c r="E243" s="44">
        <f t="shared" ref="E243:F243" si="570">E242</f>
        <v>15</v>
      </c>
      <c r="F243" s="44">
        <f t="shared" si="570"/>
        <v>28.8</v>
      </c>
      <c r="G243" s="42" t="s">
        <v>12</v>
      </c>
      <c r="H243" s="50">
        <v>10</v>
      </c>
      <c r="I243" s="49">
        <f t="shared" ref="I243:L243" si="571">I242</f>
        <v>160</v>
      </c>
      <c r="J243" s="44">
        <f t="shared" si="571"/>
        <v>8</v>
      </c>
      <c r="K243" s="44">
        <f t="shared" si="571"/>
        <v>0</v>
      </c>
      <c r="L243" s="45">
        <f t="shared" si="571"/>
        <v>0.2</v>
      </c>
      <c r="M243" s="49">
        <v>30</v>
      </c>
      <c r="N243" s="54">
        <f>I243+5</f>
        <v>165</v>
      </c>
      <c r="O243" s="44">
        <f t="shared" ref="O243:P243" si="572">O242</f>
        <v>150</v>
      </c>
      <c r="P243" s="50">
        <f t="shared" si="572"/>
        <v>270</v>
      </c>
    </row>
    <row r="244" spans="1:16" x14ac:dyDescent="0.25">
      <c r="A244" s="41">
        <f t="shared" ref="A244:B244" si="573">A243+1</f>
        <v>1092</v>
      </c>
      <c r="B244" s="42">
        <f t="shared" si="573"/>
        <v>234</v>
      </c>
      <c r="C244" s="41" t="s">
        <v>1656</v>
      </c>
      <c r="D244" s="43">
        <f t="shared" si="511"/>
        <v>25</v>
      </c>
      <c r="E244" s="44">
        <f t="shared" ref="E244:F244" si="574">E243</f>
        <v>15</v>
      </c>
      <c r="F244" s="44">
        <f t="shared" si="574"/>
        <v>28.8</v>
      </c>
      <c r="G244" s="42" t="str">
        <f>G243</f>
        <v>Half</v>
      </c>
      <c r="H244" s="50">
        <f>H243</f>
        <v>10</v>
      </c>
      <c r="I244" s="49">
        <f t="shared" ref="I244:L244" si="575">I243</f>
        <v>160</v>
      </c>
      <c r="J244" s="44">
        <f t="shared" si="575"/>
        <v>8</v>
      </c>
      <c r="K244" s="44">
        <f t="shared" si="575"/>
        <v>0</v>
      </c>
      <c r="L244" s="45">
        <f t="shared" si="575"/>
        <v>0.2</v>
      </c>
      <c r="M244" s="49">
        <v>30</v>
      </c>
      <c r="N244" s="54">
        <f>I244+10</f>
        <v>170</v>
      </c>
      <c r="O244" s="44">
        <f t="shared" ref="O244:P244" si="576">O243</f>
        <v>150</v>
      </c>
      <c r="P244" s="50">
        <f t="shared" si="576"/>
        <v>270</v>
      </c>
    </row>
    <row r="245" spans="1:16" x14ac:dyDescent="0.25">
      <c r="A245" s="41">
        <f t="shared" ref="A245:B245" si="577">A244+1</f>
        <v>1093</v>
      </c>
      <c r="B245" s="42">
        <f t="shared" si="577"/>
        <v>235</v>
      </c>
      <c r="C245" s="41" t="s">
        <v>1657</v>
      </c>
      <c r="D245" s="43">
        <f t="shared" si="511"/>
        <v>25</v>
      </c>
      <c r="E245" s="44">
        <f t="shared" ref="E245:L245" si="578">E244</f>
        <v>15</v>
      </c>
      <c r="F245" s="44">
        <f t="shared" si="578"/>
        <v>28.8</v>
      </c>
      <c r="G245" s="42" t="str">
        <f t="shared" si="578"/>
        <v>Half</v>
      </c>
      <c r="H245" s="50">
        <f t="shared" si="578"/>
        <v>10</v>
      </c>
      <c r="I245" s="49">
        <f t="shared" si="578"/>
        <v>160</v>
      </c>
      <c r="J245" s="44">
        <f t="shared" si="578"/>
        <v>8</v>
      </c>
      <c r="K245" s="44">
        <f t="shared" si="578"/>
        <v>0</v>
      </c>
      <c r="L245" s="45">
        <f t="shared" si="578"/>
        <v>0.2</v>
      </c>
      <c r="M245" s="49">
        <v>60</v>
      </c>
      <c r="N245" s="54">
        <f>I245</f>
        <v>160</v>
      </c>
      <c r="O245" s="44">
        <f t="shared" ref="O245:P245" si="579">O244</f>
        <v>150</v>
      </c>
      <c r="P245" s="50">
        <f t="shared" si="579"/>
        <v>270</v>
      </c>
    </row>
    <row r="246" spans="1:16" x14ac:dyDescent="0.25">
      <c r="A246" s="41">
        <f t="shared" ref="A246:B246" si="580">A245+1</f>
        <v>1094</v>
      </c>
      <c r="B246" s="42">
        <f t="shared" si="580"/>
        <v>236</v>
      </c>
      <c r="C246" s="41" t="s">
        <v>1658</v>
      </c>
      <c r="D246" s="43">
        <f t="shared" si="511"/>
        <v>25</v>
      </c>
      <c r="E246" s="44">
        <f t="shared" ref="E246:L246" si="581">E245</f>
        <v>15</v>
      </c>
      <c r="F246" s="44">
        <f t="shared" si="581"/>
        <v>28.8</v>
      </c>
      <c r="G246" s="42" t="str">
        <f t="shared" si="581"/>
        <v>Half</v>
      </c>
      <c r="H246" s="50">
        <f t="shared" si="581"/>
        <v>10</v>
      </c>
      <c r="I246" s="49">
        <f t="shared" si="581"/>
        <v>160</v>
      </c>
      <c r="J246" s="44">
        <f t="shared" si="581"/>
        <v>8</v>
      </c>
      <c r="K246" s="44">
        <f t="shared" si="581"/>
        <v>0</v>
      </c>
      <c r="L246" s="45">
        <f t="shared" si="581"/>
        <v>0.2</v>
      </c>
      <c r="M246" s="49">
        <v>60</v>
      </c>
      <c r="N246" s="54">
        <f>I246+5</f>
        <v>165</v>
      </c>
      <c r="O246" s="44">
        <f t="shared" ref="O246:P246" si="582">O245</f>
        <v>150</v>
      </c>
      <c r="P246" s="50">
        <f t="shared" si="582"/>
        <v>270</v>
      </c>
    </row>
    <row r="247" spans="1:16" x14ac:dyDescent="0.25">
      <c r="A247" s="41">
        <f t="shared" ref="A247:B247" si="583">A246+1</f>
        <v>1095</v>
      </c>
      <c r="B247" s="42">
        <f t="shared" si="583"/>
        <v>237</v>
      </c>
      <c r="C247" s="41" t="s">
        <v>1659</v>
      </c>
      <c r="D247" s="43">
        <f t="shared" si="511"/>
        <v>25</v>
      </c>
      <c r="E247" s="44">
        <f t="shared" ref="E247:L247" si="584">E246</f>
        <v>15</v>
      </c>
      <c r="F247" s="44">
        <f t="shared" si="584"/>
        <v>28.8</v>
      </c>
      <c r="G247" s="42" t="str">
        <f t="shared" si="584"/>
        <v>Half</v>
      </c>
      <c r="H247" s="50">
        <f t="shared" si="584"/>
        <v>10</v>
      </c>
      <c r="I247" s="49">
        <f t="shared" si="584"/>
        <v>160</v>
      </c>
      <c r="J247" s="44">
        <f t="shared" si="584"/>
        <v>8</v>
      </c>
      <c r="K247" s="44">
        <f t="shared" si="584"/>
        <v>0</v>
      </c>
      <c r="L247" s="45">
        <f t="shared" si="584"/>
        <v>0.2</v>
      </c>
      <c r="M247" s="49">
        <v>60</v>
      </c>
      <c r="N247" s="54">
        <f>I247+10</f>
        <v>170</v>
      </c>
      <c r="O247" s="44">
        <f t="shared" ref="O247:P247" si="585">O246</f>
        <v>150</v>
      </c>
      <c r="P247" s="50">
        <f t="shared" si="585"/>
        <v>270</v>
      </c>
    </row>
    <row r="248" spans="1:16" x14ac:dyDescent="0.25">
      <c r="A248" s="41">
        <f t="shared" ref="A248:B248" si="586">A247+1</f>
        <v>1096</v>
      </c>
      <c r="B248" s="42">
        <f t="shared" si="586"/>
        <v>238</v>
      </c>
      <c r="C248" s="41" t="s">
        <v>1660</v>
      </c>
      <c r="D248" s="43">
        <f t="shared" si="511"/>
        <v>25</v>
      </c>
      <c r="E248" s="44">
        <f t="shared" ref="E248:L248" si="587">E247</f>
        <v>15</v>
      </c>
      <c r="F248" s="44">
        <f t="shared" si="587"/>
        <v>28.8</v>
      </c>
      <c r="G248" s="42" t="str">
        <f t="shared" si="587"/>
        <v>Half</v>
      </c>
      <c r="H248" s="50">
        <f t="shared" si="587"/>
        <v>10</v>
      </c>
      <c r="I248" s="49">
        <f t="shared" si="587"/>
        <v>160</v>
      </c>
      <c r="J248" s="44">
        <f t="shared" si="587"/>
        <v>8</v>
      </c>
      <c r="K248" s="44">
        <f t="shared" si="587"/>
        <v>0</v>
      </c>
      <c r="L248" s="45">
        <f t="shared" si="587"/>
        <v>0.2</v>
      </c>
      <c r="M248" s="49">
        <v>90</v>
      </c>
      <c r="N248" s="54">
        <f>I248</f>
        <v>160</v>
      </c>
      <c r="O248" s="44">
        <f t="shared" ref="O248:P248" si="588">O247</f>
        <v>150</v>
      </c>
      <c r="P248" s="50">
        <f t="shared" si="588"/>
        <v>270</v>
      </c>
    </row>
    <row r="249" spans="1:16" x14ac:dyDescent="0.25">
      <c r="A249" s="41">
        <f t="shared" ref="A249:B249" si="589">A248+1</f>
        <v>1097</v>
      </c>
      <c r="B249" s="42">
        <f t="shared" si="589"/>
        <v>239</v>
      </c>
      <c r="C249" s="41" t="s">
        <v>1661</v>
      </c>
      <c r="D249" s="43">
        <f t="shared" si="511"/>
        <v>25</v>
      </c>
      <c r="E249" s="44">
        <f t="shared" ref="E249:L249" si="590">E248</f>
        <v>15</v>
      </c>
      <c r="F249" s="44">
        <f t="shared" si="590"/>
        <v>28.8</v>
      </c>
      <c r="G249" s="42" t="str">
        <f t="shared" si="590"/>
        <v>Half</v>
      </c>
      <c r="H249" s="50">
        <f t="shared" si="590"/>
        <v>10</v>
      </c>
      <c r="I249" s="49">
        <f t="shared" si="590"/>
        <v>160</v>
      </c>
      <c r="J249" s="44">
        <f t="shared" si="590"/>
        <v>8</v>
      </c>
      <c r="K249" s="44">
        <f t="shared" si="590"/>
        <v>0</v>
      </c>
      <c r="L249" s="45">
        <f t="shared" si="590"/>
        <v>0.2</v>
      </c>
      <c r="M249" s="49">
        <v>90</v>
      </c>
      <c r="N249" s="54">
        <f>I249+5</f>
        <v>165</v>
      </c>
      <c r="O249" s="44">
        <f t="shared" ref="O249:P249" si="591">O248</f>
        <v>150</v>
      </c>
      <c r="P249" s="50">
        <f t="shared" si="591"/>
        <v>270</v>
      </c>
    </row>
    <row r="250" spans="1:16" x14ac:dyDescent="0.25">
      <c r="A250" s="41">
        <f t="shared" ref="A250:B250" si="592">A249+1</f>
        <v>1098</v>
      </c>
      <c r="B250" s="42">
        <f t="shared" si="592"/>
        <v>240</v>
      </c>
      <c r="C250" s="127" t="s">
        <v>1662</v>
      </c>
      <c r="D250" s="43">
        <f t="shared" si="511"/>
        <v>25</v>
      </c>
      <c r="E250" s="44">
        <f t="shared" ref="E250:L250" si="593">E249</f>
        <v>15</v>
      </c>
      <c r="F250" s="44">
        <f t="shared" si="593"/>
        <v>28.8</v>
      </c>
      <c r="G250" s="42" t="str">
        <f t="shared" si="593"/>
        <v>Half</v>
      </c>
      <c r="H250" s="50">
        <f t="shared" si="593"/>
        <v>10</v>
      </c>
      <c r="I250" s="49">
        <f t="shared" si="593"/>
        <v>160</v>
      </c>
      <c r="J250" s="44">
        <f t="shared" si="593"/>
        <v>8</v>
      </c>
      <c r="K250" s="44">
        <f t="shared" si="593"/>
        <v>0</v>
      </c>
      <c r="L250" s="45">
        <f t="shared" si="593"/>
        <v>0.2</v>
      </c>
      <c r="M250" s="49">
        <v>90</v>
      </c>
      <c r="N250" s="54">
        <f>I250+10</f>
        <v>170</v>
      </c>
      <c r="O250" s="44">
        <f t="shared" ref="O250:P250" si="594">O249</f>
        <v>150</v>
      </c>
      <c r="P250" s="50">
        <f t="shared" si="594"/>
        <v>270</v>
      </c>
    </row>
    <row r="251" spans="1:16" x14ac:dyDescent="0.25">
      <c r="A251" s="41">
        <f t="shared" ref="A251:B251" si="595">A250+1</f>
        <v>1099</v>
      </c>
      <c r="B251" s="42">
        <f t="shared" si="595"/>
        <v>241</v>
      </c>
      <c r="C251" s="41" t="s">
        <v>1663</v>
      </c>
      <c r="D251" s="43">
        <f t="shared" si="511"/>
        <v>25</v>
      </c>
      <c r="E251" s="44">
        <f t="shared" ref="E251:J251" si="596">E250</f>
        <v>15</v>
      </c>
      <c r="F251" s="44">
        <f t="shared" si="596"/>
        <v>28.8</v>
      </c>
      <c r="G251" s="42" t="str">
        <f t="shared" si="596"/>
        <v>Half</v>
      </c>
      <c r="H251" s="50">
        <f t="shared" si="596"/>
        <v>10</v>
      </c>
      <c r="I251" s="49">
        <f t="shared" si="596"/>
        <v>160</v>
      </c>
      <c r="J251" s="44">
        <f t="shared" si="596"/>
        <v>8</v>
      </c>
      <c r="K251" s="44">
        <f>yaw_max</f>
        <v>8</v>
      </c>
      <c r="L251" s="45">
        <f t="shared" ref="L251" si="597">L250</f>
        <v>0.2</v>
      </c>
      <c r="M251" s="49">
        <v>0</v>
      </c>
      <c r="N251" s="54">
        <f>I251</f>
        <v>160</v>
      </c>
      <c r="O251" s="44">
        <f t="shared" ref="O251:P251" si="598">O250</f>
        <v>150</v>
      </c>
      <c r="P251" s="50">
        <f t="shared" si="598"/>
        <v>270</v>
      </c>
    </row>
    <row r="252" spans="1:16" x14ac:dyDescent="0.25">
      <c r="A252" s="41">
        <f t="shared" ref="A252:B252" si="599">A251+1</f>
        <v>1100</v>
      </c>
      <c r="B252" s="42">
        <f t="shared" si="599"/>
        <v>242</v>
      </c>
      <c r="C252" s="41" t="s">
        <v>1664</v>
      </c>
      <c r="D252" s="43">
        <f t="shared" si="511"/>
        <v>25</v>
      </c>
      <c r="E252" s="44">
        <f t="shared" ref="E252:L252" si="600">E251</f>
        <v>15</v>
      </c>
      <c r="F252" s="44">
        <f t="shared" si="600"/>
        <v>28.8</v>
      </c>
      <c r="G252" s="42" t="str">
        <f t="shared" si="600"/>
        <v>Half</v>
      </c>
      <c r="H252" s="50">
        <f t="shared" si="600"/>
        <v>10</v>
      </c>
      <c r="I252" s="49">
        <f t="shared" si="600"/>
        <v>160</v>
      </c>
      <c r="J252" s="44">
        <f t="shared" si="600"/>
        <v>8</v>
      </c>
      <c r="K252" s="44">
        <f t="shared" si="600"/>
        <v>8</v>
      </c>
      <c r="L252" s="45">
        <f t="shared" si="600"/>
        <v>0.2</v>
      </c>
      <c r="M252" s="49">
        <v>0</v>
      </c>
      <c r="N252" s="54">
        <f>I252+5</f>
        <v>165</v>
      </c>
      <c r="O252" s="44">
        <f t="shared" ref="O252:P252" si="601">O251</f>
        <v>150</v>
      </c>
      <c r="P252" s="50">
        <f t="shared" si="601"/>
        <v>270</v>
      </c>
    </row>
    <row r="253" spans="1:16" x14ac:dyDescent="0.25">
      <c r="A253" s="41">
        <f t="shared" ref="A253:B253" si="602">A252+1</f>
        <v>1101</v>
      </c>
      <c r="B253" s="42">
        <f t="shared" si="602"/>
        <v>243</v>
      </c>
      <c r="C253" s="41" t="s">
        <v>1665</v>
      </c>
      <c r="D253" s="43">
        <f t="shared" si="511"/>
        <v>25</v>
      </c>
      <c r="E253" s="44">
        <f t="shared" ref="E253:L253" si="603">E252</f>
        <v>15</v>
      </c>
      <c r="F253" s="44">
        <f t="shared" si="603"/>
        <v>28.8</v>
      </c>
      <c r="G253" s="42" t="str">
        <f t="shared" si="603"/>
        <v>Half</v>
      </c>
      <c r="H253" s="50">
        <f t="shared" si="603"/>
        <v>10</v>
      </c>
      <c r="I253" s="49">
        <f t="shared" si="603"/>
        <v>160</v>
      </c>
      <c r="J253" s="44">
        <f t="shared" si="603"/>
        <v>8</v>
      </c>
      <c r="K253" s="44">
        <f t="shared" si="603"/>
        <v>8</v>
      </c>
      <c r="L253" s="45">
        <f t="shared" si="603"/>
        <v>0.2</v>
      </c>
      <c r="M253" s="49">
        <v>0</v>
      </c>
      <c r="N253" s="54">
        <f>I253+10</f>
        <v>170</v>
      </c>
      <c r="O253" s="44">
        <f t="shared" ref="O253:P253" si="604">O252</f>
        <v>150</v>
      </c>
      <c r="P253" s="50">
        <f t="shared" si="604"/>
        <v>270</v>
      </c>
    </row>
    <row r="254" spans="1:16" x14ac:dyDescent="0.25">
      <c r="A254" s="41">
        <f t="shared" ref="A254:B254" si="605">A253+1</f>
        <v>1102</v>
      </c>
      <c r="B254" s="42">
        <f t="shared" si="605"/>
        <v>244</v>
      </c>
      <c r="C254" s="41" t="s">
        <v>1666</v>
      </c>
      <c r="D254" s="43">
        <f t="shared" si="511"/>
        <v>25</v>
      </c>
      <c r="E254" s="44">
        <f t="shared" ref="E254:L254" si="606">E253</f>
        <v>15</v>
      </c>
      <c r="F254" s="44">
        <f t="shared" si="606"/>
        <v>28.8</v>
      </c>
      <c r="G254" s="42" t="str">
        <f t="shared" si="606"/>
        <v>Half</v>
      </c>
      <c r="H254" s="50">
        <f t="shared" si="606"/>
        <v>10</v>
      </c>
      <c r="I254" s="49">
        <f t="shared" si="606"/>
        <v>160</v>
      </c>
      <c r="J254" s="44">
        <f t="shared" si="606"/>
        <v>8</v>
      </c>
      <c r="K254" s="44">
        <f t="shared" si="606"/>
        <v>8</v>
      </c>
      <c r="L254" s="45">
        <f t="shared" si="606"/>
        <v>0.2</v>
      </c>
      <c r="M254" s="49">
        <v>30</v>
      </c>
      <c r="N254" s="54">
        <f>I254</f>
        <v>160</v>
      </c>
      <c r="O254" s="44">
        <f t="shared" ref="O254:P254" si="607">O253</f>
        <v>150</v>
      </c>
      <c r="P254" s="50">
        <f t="shared" si="607"/>
        <v>270</v>
      </c>
    </row>
    <row r="255" spans="1:16" x14ac:dyDescent="0.25">
      <c r="A255" s="41">
        <f t="shared" ref="A255:B255" si="608">A254+1</f>
        <v>1103</v>
      </c>
      <c r="B255" s="42">
        <f t="shared" si="608"/>
        <v>245</v>
      </c>
      <c r="C255" s="41" t="s">
        <v>1667</v>
      </c>
      <c r="D255" s="43">
        <f t="shared" si="511"/>
        <v>25</v>
      </c>
      <c r="E255" s="44">
        <f t="shared" ref="E255:G255" si="609">E254</f>
        <v>15</v>
      </c>
      <c r="F255" s="44">
        <f t="shared" si="609"/>
        <v>28.8</v>
      </c>
      <c r="G255" s="42" t="str">
        <f t="shared" si="609"/>
        <v>Half</v>
      </c>
      <c r="H255" s="50">
        <f>H254</f>
        <v>10</v>
      </c>
      <c r="I255" s="49">
        <f t="shared" ref="I255:L255" si="610">I254</f>
        <v>160</v>
      </c>
      <c r="J255" s="44">
        <f t="shared" si="610"/>
        <v>8</v>
      </c>
      <c r="K255" s="44">
        <f t="shared" si="610"/>
        <v>8</v>
      </c>
      <c r="L255" s="45">
        <f t="shared" si="610"/>
        <v>0.2</v>
      </c>
      <c r="M255" s="49">
        <v>30</v>
      </c>
      <c r="N255" s="54">
        <f>I255+5</f>
        <v>165</v>
      </c>
      <c r="O255" s="44">
        <f t="shared" ref="O255:P255" si="611">O254</f>
        <v>150</v>
      </c>
      <c r="P255" s="50">
        <f t="shared" si="611"/>
        <v>270</v>
      </c>
    </row>
    <row r="256" spans="1:16" x14ac:dyDescent="0.25">
      <c r="A256" s="41">
        <f t="shared" ref="A256:B256" si="612">A255+1</f>
        <v>1104</v>
      </c>
      <c r="B256" s="42">
        <f t="shared" si="612"/>
        <v>246</v>
      </c>
      <c r="C256" s="41" t="s">
        <v>1668</v>
      </c>
      <c r="D256" s="43">
        <f t="shared" si="511"/>
        <v>25</v>
      </c>
      <c r="E256" s="44">
        <f t="shared" ref="E256:G256" si="613">E255</f>
        <v>15</v>
      </c>
      <c r="F256" s="44">
        <f t="shared" si="613"/>
        <v>28.8</v>
      </c>
      <c r="G256" s="42" t="str">
        <f t="shared" si="613"/>
        <v>Half</v>
      </c>
      <c r="H256" s="50">
        <f>H255</f>
        <v>10</v>
      </c>
      <c r="I256" s="49">
        <f t="shared" ref="I256:L256" si="614">I255</f>
        <v>160</v>
      </c>
      <c r="J256" s="44">
        <f t="shared" si="614"/>
        <v>8</v>
      </c>
      <c r="K256" s="44">
        <f t="shared" si="614"/>
        <v>8</v>
      </c>
      <c r="L256" s="45">
        <f t="shared" si="614"/>
        <v>0.2</v>
      </c>
      <c r="M256" s="49">
        <v>30</v>
      </c>
      <c r="N256" s="54">
        <f>I256+10</f>
        <v>170</v>
      </c>
      <c r="O256" s="44">
        <f t="shared" ref="O256:P256" si="615">O255</f>
        <v>150</v>
      </c>
      <c r="P256" s="50">
        <f t="shared" si="615"/>
        <v>270</v>
      </c>
    </row>
    <row r="257" spans="1:16" x14ac:dyDescent="0.25">
      <c r="A257" s="41">
        <f t="shared" ref="A257:B257" si="616">A256+1</f>
        <v>1105</v>
      </c>
      <c r="B257" s="42">
        <f t="shared" si="616"/>
        <v>247</v>
      </c>
      <c r="C257" s="41" t="s">
        <v>1669</v>
      </c>
      <c r="D257" s="43">
        <f t="shared" si="511"/>
        <v>25</v>
      </c>
      <c r="E257" s="44">
        <f t="shared" ref="E257:G257" si="617">E256</f>
        <v>15</v>
      </c>
      <c r="F257" s="44">
        <f t="shared" si="617"/>
        <v>28.8</v>
      </c>
      <c r="G257" s="42" t="str">
        <f t="shared" si="617"/>
        <v>Half</v>
      </c>
      <c r="H257" s="50">
        <f>H256</f>
        <v>10</v>
      </c>
      <c r="I257" s="49">
        <f t="shared" ref="I257:L257" si="618">I256</f>
        <v>160</v>
      </c>
      <c r="J257" s="44">
        <f t="shared" si="618"/>
        <v>8</v>
      </c>
      <c r="K257" s="44">
        <f t="shared" si="618"/>
        <v>8</v>
      </c>
      <c r="L257" s="45">
        <f t="shared" si="618"/>
        <v>0.2</v>
      </c>
      <c r="M257" s="49">
        <v>60</v>
      </c>
      <c r="N257" s="54">
        <f>I257</f>
        <v>160</v>
      </c>
      <c r="O257" s="44">
        <f t="shared" ref="O257:P257" si="619">O256</f>
        <v>150</v>
      </c>
      <c r="P257" s="50">
        <f t="shared" si="619"/>
        <v>270</v>
      </c>
    </row>
    <row r="258" spans="1:16" x14ac:dyDescent="0.25">
      <c r="A258" s="41">
        <f t="shared" ref="A258:B258" si="620">A257+1</f>
        <v>1106</v>
      </c>
      <c r="B258" s="42">
        <f t="shared" si="620"/>
        <v>248</v>
      </c>
      <c r="C258" s="41" t="s">
        <v>1670</v>
      </c>
      <c r="D258" s="43">
        <f t="shared" si="511"/>
        <v>25</v>
      </c>
      <c r="E258" s="44">
        <f t="shared" ref="E258:G258" si="621">E257</f>
        <v>15</v>
      </c>
      <c r="F258" s="44">
        <f t="shared" si="621"/>
        <v>28.8</v>
      </c>
      <c r="G258" s="42" t="str">
        <f t="shared" si="621"/>
        <v>Half</v>
      </c>
      <c r="H258" s="50">
        <f>H257</f>
        <v>10</v>
      </c>
      <c r="I258" s="49">
        <f t="shared" ref="I258:L258" si="622">I257</f>
        <v>160</v>
      </c>
      <c r="J258" s="44">
        <f t="shared" si="622"/>
        <v>8</v>
      </c>
      <c r="K258" s="44">
        <f t="shared" si="622"/>
        <v>8</v>
      </c>
      <c r="L258" s="45">
        <f t="shared" si="622"/>
        <v>0.2</v>
      </c>
      <c r="M258" s="49">
        <v>60</v>
      </c>
      <c r="N258" s="54">
        <f>I258+5</f>
        <v>165</v>
      </c>
      <c r="O258" s="44">
        <f t="shared" ref="O258:P258" si="623">O257</f>
        <v>150</v>
      </c>
      <c r="P258" s="50">
        <f t="shared" si="623"/>
        <v>270</v>
      </c>
    </row>
    <row r="259" spans="1:16" x14ac:dyDescent="0.25">
      <c r="A259" s="41">
        <f t="shared" ref="A259:B259" si="624">A258+1</f>
        <v>1107</v>
      </c>
      <c r="B259" s="42">
        <f t="shared" si="624"/>
        <v>249</v>
      </c>
      <c r="C259" s="41" t="s">
        <v>1671</v>
      </c>
      <c r="D259" s="43">
        <f t="shared" ref="D259:D290" si="625">v_out</f>
        <v>25</v>
      </c>
      <c r="E259" s="44">
        <f t="shared" ref="E259:F259" si="626">E258</f>
        <v>15</v>
      </c>
      <c r="F259" s="44">
        <f t="shared" si="626"/>
        <v>28.8</v>
      </c>
      <c r="G259" s="42" t="s">
        <v>12</v>
      </c>
      <c r="H259" s="50">
        <v>10</v>
      </c>
      <c r="I259" s="49">
        <f t="shared" ref="I259:L259" si="627">I258</f>
        <v>160</v>
      </c>
      <c r="J259" s="44">
        <f t="shared" si="627"/>
        <v>8</v>
      </c>
      <c r="K259" s="44">
        <f t="shared" si="627"/>
        <v>8</v>
      </c>
      <c r="L259" s="45">
        <f t="shared" si="627"/>
        <v>0.2</v>
      </c>
      <c r="M259" s="49">
        <v>60</v>
      </c>
      <c r="N259" s="54">
        <f>I259+10</f>
        <v>170</v>
      </c>
      <c r="O259" s="44">
        <f t="shared" ref="O259:P259" si="628">O258</f>
        <v>150</v>
      </c>
      <c r="P259" s="50">
        <f t="shared" si="628"/>
        <v>270</v>
      </c>
    </row>
    <row r="260" spans="1:16" x14ac:dyDescent="0.25">
      <c r="A260" s="41">
        <f t="shared" ref="A260:B260" si="629">A259+1</f>
        <v>1108</v>
      </c>
      <c r="B260" s="42">
        <f t="shared" si="629"/>
        <v>250</v>
      </c>
      <c r="C260" s="41" t="s">
        <v>1672</v>
      </c>
      <c r="D260" s="43">
        <f t="shared" si="625"/>
        <v>25</v>
      </c>
      <c r="E260" s="44">
        <f t="shared" ref="E260:F260" si="630">E259</f>
        <v>15</v>
      </c>
      <c r="F260" s="44">
        <f t="shared" si="630"/>
        <v>28.8</v>
      </c>
      <c r="G260" s="42" t="str">
        <f>G259</f>
        <v>Half</v>
      </c>
      <c r="H260" s="50">
        <f>H259</f>
        <v>10</v>
      </c>
      <c r="I260" s="49">
        <f t="shared" ref="I260:L260" si="631">I259</f>
        <v>160</v>
      </c>
      <c r="J260" s="44">
        <f t="shared" si="631"/>
        <v>8</v>
      </c>
      <c r="K260" s="44">
        <f t="shared" si="631"/>
        <v>8</v>
      </c>
      <c r="L260" s="45">
        <f t="shared" si="631"/>
        <v>0.2</v>
      </c>
      <c r="M260" s="49">
        <v>90</v>
      </c>
      <c r="N260" s="54">
        <f>I260</f>
        <v>160</v>
      </c>
      <c r="O260" s="44">
        <f t="shared" ref="O260:P260" si="632">O259</f>
        <v>150</v>
      </c>
      <c r="P260" s="50">
        <f t="shared" si="632"/>
        <v>270</v>
      </c>
    </row>
    <row r="261" spans="1:16" x14ac:dyDescent="0.25">
      <c r="A261" s="41">
        <f t="shared" ref="A261:B261" si="633">A260+1</f>
        <v>1109</v>
      </c>
      <c r="B261" s="42">
        <f t="shared" si="633"/>
        <v>251</v>
      </c>
      <c r="C261" s="41" t="s">
        <v>1673</v>
      </c>
      <c r="D261" s="43">
        <f t="shared" si="625"/>
        <v>25</v>
      </c>
      <c r="E261" s="44">
        <f t="shared" ref="E261:L261" si="634">E260</f>
        <v>15</v>
      </c>
      <c r="F261" s="44">
        <f t="shared" si="634"/>
        <v>28.8</v>
      </c>
      <c r="G261" s="42" t="str">
        <f t="shared" si="634"/>
        <v>Half</v>
      </c>
      <c r="H261" s="50">
        <f t="shared" si="634"/>
        <v>10</v>
      </c>
      <c r="I261" s="49">
        <f t="shared" si="634"/>
        <v>160</v>
      </c>
      <c r="J261" s="44">
        <f t="shared" si="634"/>
        <v>8</v>
      </c>
      <c r="K261" s="44">
        <f t="shared" si="634"/>
        <v>8</v>
      </c>
      <c r="L261" s="45">
        <f t="shared" si="634"/>
        <v>0.2</v>
      </c>
      <c r="M261" s="49">
        <v>90</v>
      </c>
      <c r="N261" s="54">
        <f>I261+5</f>
        <v>165</v>
      </c>
      <c r="O261" s="44">
        <f t="shared" ref="O261:P261" si="635">O260</f>
        <v>150</v>
      </c>
      <c r="P261" s="50">
        <f t="shared" si="635"/>
        <v>270</v>
      </c>
    </row>
    <row r="262" spans="1:16" x14ac:dyDescent="0.25">
      <c r="A262" s="41">
        <f t="shared" ref="A262:B262" si="636">A261+1</f>
        <v>1110</v>
      </c>
      <c r="B262" s="42">
        <f t="shared" si="636"/>
        <v>252</v>
      </c>
      <c r="C262" s="41" t="s">
        <v>1674</v>
      </c>
      <c r="D262" s="43">
        <f t="shared" si="625"/>
        <v>25</v>
      </c>
      <c r="E262" s="44">
        <f t="shared" ref="E262:L262" si="637">E261</f>
        <v>15</v>
      </c>
      <c r="F262" s="128">
        <f t="shared" si="637"/>
        <v>28.8</v>
      </c>
      <c r="G262" s="42" t="str">
        <f t="shared" si="637"/>
        <v>Half</v>
      </c>
      <c r="H262" s="50">
        <f t="shared" si="637"/>
        <v>10</v>
      </c>
      <c r="I262" s="49">
        <f t="shared" si="637"/>
        <v>160</v>
      </c>
      <c r="J262" s="44">
        <f t="shared" si="637"/>
        <v>8</v>
      </c>
      <c r="K262" s="44">
        <f t="shared" si="637"/>
        <v>8</v>
      </c>
      <c r="L262" s="45">
        <f t="shared" si="637"/>
        <v>0.2</v>
      </c>
      <c r="M262" s="49">
        <v>90</v>
      </c>
      <c r="N262" s="54">
        <f>I262+10</f>
        <v>170</v>
      </c>
      <c r="O262" s="44">
        <f t="shared" ref="O262:P262" si="638">O261</f>
        <v>150</v>
      </c>
      <c r="P262" s="50">
        <f t="shared" si="638"/>
        <v>270</v>
      </c>
    </row>
    <row r="263" spans="1:16" x14ac:dyDescent="0.25">
      <c r="A263" s="41">
        <f t="shared" ref="A263:B263" si="639">A262+1</f>
        <v>1111</v>
      </c>
      <c r="B263" s="42">
        <f t="shared" si="639"/>
        <v>253</v>
      </c>
      <c r="C263" s="41" t="s">
        <v>1675</v>
      </c>
      <c r="D263" s="43">
        <f t="shared" si="625"/>
        <v>25</v>
      </c>
      <c r="E263" s="44">
        <f t="shared" ref="E263" si="640">E262</f>
        <v>15</v>
      </c>
      <c r="F263" s="44">
        <f>-720/D263</f>
        <v>-28.8</v>
      </c>
      <c r="G263" s="42" t="str">
        <f t="shared" ref="G263:J263" si="641">G262</f>
        <v>Half</v>
      </c>
      <c r="H263" s="50">
        <f t="shared" si="641"/>
        <v>10</v>
      </c>
      <c r="I263" s="49">
        <f t="shared" si="641"/>
        <v>160</v>
      </c>
      <c r="J263" s="44">
        <f t="shared" si="641"/>
        <v>8</v>
      </c>
      <c r="K263" s="44">
        <f>yaw_min</f>
        <v>-8</v>
      </c>
      <c r="L263" s="45">
        <f t="shared" ref="L263" si="642">L262</f>
        <v>0.2</v>
      </c>
      <c r="M263" s="49">
        <v>0</v>
      </c>
      <c r="N263" s="54">
        <f>I263</f>
        <v>160</v>
      </c>
      <c r="O263" s="44">
        <f t="shared" ref="O263:P263" si="643">O262</f>
        <v>150</v>
      </c>
      <c r="P263" s="50">
        <f t="shared" si="643"/>
        <v>270</v>
      </c>
    </row>
    <row r="264" spans="1:16" x14ac:dyDescent="0.25">
      <c r="A264" s="41">
        <f t="shared" ref="A264:B264" si="644">A263+1</f>
        <v>1112</v>
      </c>
      <c r="B264" s="42">
        <f t="shared" si="644"/>
        <v>254</v>
      </c>
      <c r="C264" s="41" t="s">
        <v>1676</v>
      </c>
      <c r="D264" s="43">
        <f t="shared" si="625"/>
        <v>25</v>
      </c>
      <c r="E264" s="44">
        <f t="shared" ref="E264:L264" si="645">E263</f>
        <v>15</v>
      </c>
      <c r="F264" s="44">
        <f t="shared" si="645"/>
        <v>-28.8</v>
      </c>
      <c r="G264" s="42" t="str">
        <f t="shared" si="645"/>
        <v>Half</v>
      </c>
      <c r="H264" s="50">
        <f t="shared" si="645"/>
        <v>10</v>
      </c>
      <c r="I264" s="49">
        <f t="shared" si="645"/>
        <v>160</v>
      </c>
      <c r="J264" s="44">
        <f t="shared" si="645"/>
        <v>8</v>
      </c>
      <c r="K264" s="44">
        <f t="shared" si="645"/>
        <v>-8</v>
      </c>
      <c r="L264" s="45">
        <f t="shared" si="645"/>
        <v>0.2</v>
      </c>
      <c r="M264" s="49">
        <v>0</v>
      </c>
      <c r="N264" s="54">
        <f>I264+5</f>
        <v>165</v>
      </c>
      <c r="O264" s="44">
        <f t="shared" ref="O264:P264" si="646">O263</f>
        <v>150</v>
      </c>
      <c r="P264" s="50">
        <f t="shared" si="646"/>
        <v>270</v>
      </c>
    </row>
    <row r="265" spans="1:16" x14ac:dyDescent="0.25">
      <c r="A265" s="41">
        <f t="shared" ref="A265:B265" si="647">A264+1</f>
        <v>1113</v>
      </c>
      <c r="B265" s="42">
        <f t="shared" si="647"/>
        <v>255</v>
      </c>
      <c r="C265" s="41" t="s">
        <v>1677</v>
      </c>
      <c r="D265" s="43">
        <f t="shared" si="625"/>
        <v>25</v>
      </c>
      <c r="E265" s="44">
        <f t="shared" ref="E265" si="648">E264</f>
        <v>15</v>
      </c>
      <c r="F265" s="44">
        <f>F264</f>
        <v>-28.8</v>
      </c>
      <c r="G265" s="42" t="str">
        <f t="shared" ref="G265:L265" si="649">G264</f>
        <v>Half</v>
      </c>
      <c r="H265" s="50">
        <f t="shared" si="649"/>
        <v>10</v>
      </c>
      <c r="I265" s="49">
        <f t="shared" si="649"/>
        <v>160</v>
      </c>
      <c r="J265" s="44">
        <f t="shared" si="649"/>
        <v>8</v>
      </c>
      <c r="K265" s="44">
        <f t="shared" si="649"/>
        <v>-8</v>
      </c>
      <c r="L265" s="45">
        <f t="shared" si="649"/>
        <v>0.2</v>
      </c>
      <c r="M265" s="49">
        <v>0</v>
      </c>
      <c r="N265" s="54">
        <f>I265+10</f>
        <v>170</v>
      </c>
      <c r="O265" s="44">
        <f t="shared" ref="O265:P265" si="650">O264</f>
        <v>150</v>
      </c>
      <c r="P265" s="50">
        <f t="shared" si="650"/>
        <v>270</v>
      </c>
    </row>
    <row r="266" spans="1:16" x14ac:dyDescent="0.25">
      <c r="A266" s="41">
        <f t="shared" ref="A266:B266" si="651">A265+1</f>
        <v>1114</v>
      </c>
      <c r="B266" s="42">
        <f t="shared" si="651"/>
        <v>256</v>
      </c>
      <c r="C266" s="41" t="s">
        <v>1678</v>
      </c>
      <c r="D266" s="43">
        <f t="shared" si="625"/>
        <v>25</v>
      </c>
      <c r="E266" s="44">
        <f t="shared" ref="E266" si="652">E265</f>
        <v>15</v>
      </c>
      <c r="F266" s="44">
        <f>F265</f>
        <v>-28.8</v>
      </c>
      <c r="G266" s="42" t="str">
        <f t="shared" ref="G266:L266" si="653">G265</f>
        <v>Half</v>
      </c>
      <c r="H266" s="50">
        <f t="shared" si="653"/>
        <v>10</v>
      </c>
      <c r="I266" s="49">
        <f t="shared" si="653"/>
        <v>160</v>
      </c>
      <c r="J266" s="44">
        <f t="shared" si="653"/>
        <v>8</v>
      </c>
      <c r="K266" s="44">
        <f t="shared" si="653"/>
        <v>-8</v>
      </c>
      <c r="L266" s="45">
        <f t="shared" si="653"/>
        <v>0.2</v>
      </c>
      <c r="M266" s="49">
        <v>30</v>
      </c>
      <c r="N266" s="54">
        <f>I266</f>
        <v>160</v>
      </c>
      <c r="O266" s="44">
        <f t="shared" ref="O266:P266" si="654">O265</f>
        <v>150</v>
      </c>
      <c r="P266" s="50">
        <f t="shared" si="654"/>
        <v>270</v>
      </c>
    </row>
    <row r="267" spans="1:16" x14ac:dyDescent="0.25">
      <c r="A267" s="41">
        <f t="shared" ref="A267:B267" si="655">A266+1</f>
        <v>1115</v>
      </c>
      <c r="B267" s="42">
        <f t="shared" si="655"/>
        <v>257</v>
      </c>
      <c r="C267" s="41" t="s">
        <v>1679</v>
      </c>
      <c r="D267" s="43">
        <f t="shared" si="625"/>
        <v>25</v>
      </c>
      <c r="E267" s="44">
        <f t="shared" ref="E267:L267" si="656">E266</f>
        <v>15</v>
      </c>
      <c r="F267" s="44">
        <f t="shared" si="656"/>
        <v>-28.8</v>
      </c>
      <c r="G267" s="42" t="str">
        <f t="shared" si="656"/>
        <v>Half</v>
      </c>
      <c r="H267" s="50">
        <f t="shared" si="656"/>
        <v>10</v>
      </c>
      <c r="I267" s="49">
        <f t="shared" si="656"/>
        <v>160</v>
      </c>
      <c r="J267" s="44">
        <f t="shared" si="656"/>
        <v>8</v>
      </c>
      <c r="K267" s="44">
        <f t="shared" si="656"/>
        <v>-8</v>
      </c>
      <c r="L267" s="45">
        <f t="shared" si="656"/>
        <v>0.2</v>
      </c>
      <c r="M267" s="49">
        <v>30</v>
      </c>
      <c r="N267" s="54">
        <f>I267+5</f>
        <v>165</v>
      </c>
      <c r="O267" s="44">
        <f t="shared" ref="O267:P267" si="657">O266</f>
        <v>150</v>
      </c>
      <c r="P267" s="50">
        <f t="shared" si="657"/>
        <v>270</v>
      </c>
    </row>
    <row r="268" spans="1:16" x14ac:dyDescent="0.25">
      <c r="A268" s="41">
        <f t="shared" ref="A268:B268" si="658">A267+1</f>
        <v>1116</v>
      </c>
      <c r="B268" s="42">
        <f t="shared" si="658"/>
        <v>258</v>
      </c>
      <c r="C268" s="41" t="s">
        <v>1680</v>
      </c>
      <c r="D268" s="43">
        <f t="shared" si="625"/>
        <v>25</v>
      </c>
      <c r="E268" s="44">
        <f t="shared" ref="E268:L268" si="659">E267</f>
        <v>15</v>
      </c>
      <c r="F268" s="44">
        <f t="shared" si="659"/>
        <v>-28.8</v>
      </c>
      <c r="G268" s="42" t="str">
        <f t="shared" si="659"/>
        <v>Half</v>
      </c>
      <c r="H268" s="50">
        <f t="shared" si="659"/>
        <v>10</v>
      </c>
      <c r="I268" s="49">
        <f t="shared" si="659"/>
        <v>160</v>
      </c>
      <c r="J268" s="44">
        <f t="shared" si="659"/>
        <v>8</v>
      </c>
      <c r="K268" s="44">
        <f t="shared" si="659"/>
        <v>-8</v>
      </c>
      <c r="L268" s="45">
        <f t="shared" si="659"/>
        <v>0.2</v>
      </c>
      <c r="M268" s="49">
        <v>30</v>
      </c>
      <c r="N268" s="54">
        <f>I268+10</f>
        <v>170</v>
      </c>
      <c r="O268" s="44">
        <f t="shared" ref="O268:P268" si="660">O267</f>
        <v>150</v>
      </c>
      <c r="P268" s="50">
        <f t="shared" si="660"/>
        <v>270</v>
      </c>
    </row>
    <row r="269" spans="1:16" x14ac:dyDescent="0.25">
      <c r="A269" s="41">
        <f t="shared" ref="A269:B269" si="661">A268+1</f>
        <v>1117</v>
      </c>
      <c r="B269" s="42">
        <f t="shared" si="661"/>
        <v>259</v>
      </c>
      <c r="C269" s="41" t="s">
        <v>1681</v>
      </c>
      <c r="D269" s="43">
        <f t="shared" si="625"/>
        <v>25</v>
      </c>
      <c r="E269" s="44">
        <f t="shared" ref="E269:L269" si="662">E268</f>
        <v>15</v>
      </c>
      <c r="F269" s="44">
        <f t="shared" si="662"/>
        <v>-28.8</v>
      </c>
      <c r="G269" s="42" t="str">
        <f t="shared" si="662"/>
        <v>Half</v>
      </c>
      <c r="H269" s="50">
        <f t="shared" si="662"/>
        <v>10</v>
      </c>
      <c r="I269" s="49">
        <f t="shared" si="662"/>
        <v>160</v>
      </c>
      <c r="J269" s="44">
        <f t="shared" si="662"/>
        <v>8</v>
      </c>
      <c r="K269" s="44">
        <f t="shared" si="662"/>
        <v>-8</v>
      </c>
      <c r="L269" s="45">
        <f t="shared" si="662"/>
        <v>0.2</v>
      </c>
      <c r="M269" s="49">
        <v>60</v>
      </c>
      <c r="N269" s="54">
        <f>I269</f>
        <v>160</v>
      </c>
      <c r="O269" s="44">
        <f t="shared" ref="O269:P269" si="663">O268</f>
        <v>150</v>
      </c>
      <c r="P269" s="50">
        <f t="shared" si="663"/>
        <v>270</v>
      </c>
    </row>
    <row r="270" spans="1:16" x14ac:dyDescent="0.25">
      <c r="A270" s="41">
        <f t="shared" ref="A270:B270" si="664">A269+1</f>
        <v>1118</v>
      </c>
      <c r="B270" s="42">
        <f t="shared" si="664"/>
        <v>260</v>
      </c>
      <c r="C270" s="41" t="s">
        <v>1682</v>
      </c>
      <c r="D270" s="43">
        <f t="shared" si="625"/>
        <v>25</v>
      </c>
      <c r="E270" s="44">
        <f t="shared" ref="E270" si="665">E269</f>
        <v>15</v>
      </c>
      <c r="F270" s="44">
        <f>F269</f>
        <v>-28.8</v>
      </c>
      <c r="G270" s="42" t="str">
        <f t="shared" ref="G270:L270" si="666">G269</f>
        <v>Half</v>
      </c>
      <c r="H270" s="50">
        <f t="shared" si="666"/>
        <v>10</v>
      </c>
      <c r="I270" s="49">
        <f t="shared" si="666"/>
        <v>160</v>
      </c>
      <c r="J270" s="44">
        <f t="shared" si="666"/>
        <v>8</v>
      </c>
      <c r="K270" s="44">
        <f t="shared" si="666"/>
        <v>-8</v>
      </c>
      <c r="L270" s="45">
        <f t="shared" si="666"/>
        <v>0.2</v>
      </c>
      <c r="M270" s="49">
        <v>60</v>
      </c>
      <c r="N270" s="54">
        <f>I270+5</f>
        <v>165</v>
      </c>
      <c r="O270" s="44">
        <f t="shared" ref="O270:P270" si="667">O269</f>
        <v>150</v>
      </c>
      <c r="P270" s="50">
        <f t="shared" si="667"/>
        <v>270</v>
      </c>
    </row>
    <row r="271" spans="1:16" x14ac:dyDescent="0.25">
      <c r="A271" s="41">
        <f t="shared" ref="A271:B271" si="668">A270+1</f>
        <v>1119</v>
      </c>
      <c r="B271" s="42">
        <f t="shared" si="668"/>
        <v>261</v>
      </c>
      <c r="C271" s="41" t="s">
        <v>1683</v>
      </c>
      <c r="D271" s="43">
        <f t="shared" si="625"/>
        <v>25</v>
      </c>
      <c r="E271" s="44">
        <f t="shared" ref="E271:L271" si="669">E270</f>
        <v>15</v>
      </c>
      <c r="F271" s="44">
        <f t="shared" si="669"/>
        <v>-28.8</v>
      </c>
      <c r="G271" s="42" t="str">
        <f t="shared" si="669"/>
        <v>Half</v>
      </c>
      <c r="H271" s="50">
        <f t="shared" si="669"/>
        <v>10</v>
      </c>
      <c r="I271" s="49">
        <f t="shared" si="669"/>
        <v>160</v>
      </c>
      <c r="J271" s="44">
        <f t="shared" si="669"/>
        <v>8</v>
      </c>
      <c r="K271" s="44">
        <f t="shared" si="669"/>
        <v>-8</v>
      </c>
      <c r="L271" s="45">
        <f t="shared" si="669"/>
        <v>0.2</v>
      </c>
      <c r="M271" s="49">
        <v>60</v>
      </c>
      <c r="N271" s="54">
        <f>I271+10</f>
        <v>170</v>
      </c>
      <c r="O271" s="44">
        <f t="shared" ref="O271:P271" si="670">O270</f>
        <v>150</v>
      </c>
      <c r="P271" s="50">
        <f t="shared" si="670"/>
        <v>270</v>
      </c>
    </row>
    <row r="272" spans="1:16" x14ac:dyDescent="0.25">
      <c r="A272" s="41">
        <f t="shared" ref="A272:B272" si="671">A271+1</f>
        <v>1120</v>
      </c>
      <c r="B272" s="42">
        <f t="shared" si="671"/>
        <v>262</v>
      </c>
      <c r="C272" s="41" t="s">
        <v>1684</v>
      </c>
      <c r="D272" s="43">
        <f t="shared" si="625"/>
        <v>25</v>
      </c>
      <c r="E272" s="44">
        <f t="shared" ref="E272:F272" si="672">E271</f>
        <v>15</v>
      </c>
      <c r="F272" s="44">
        <f t="shared" si="672"/>
        <v>-28.8</v>
      </c>
      <c r="G272" s="42" t="str">
        <f>G271</f>
        <v>Half</v>
      </c>
      <c r="H272" s="50">
        <f t="shared" ref="H272:L272" si="673">H271</f>
        <v>10</v>
      </c>
      <c r="I272" s="49">
        <f t="shared" si="673"/>
        <v>160</v>
      </c>
      <c r="J272" s="44">
        <f t="shared" si="673"/>
        <v>8</v>
      </c>
      <c r="K272" s="44">
        <f t="shared" si="673"/>
        <v>-8</v>
      </c>
      <c r="L272" s="45">
        <f t="shared" si="673"/>
        <v>0.2</v>
      </c>
      <c r="M272" s="49">
        <v>90</v>
      </c>
      <c r="N272" s="54">
        <f>I272</f>
        <v>160</v>
      </c>
      <c r="O272" s="44">
        <f t="shared" ref="O272:P272" si="674">O271</f>
        <v>150</v>
      </c>
      <c r="P272" s="50">
        <f t="shared" si="674"/>
        <v>270</v>
      </c>
    </row>
    <row r="273" spans="1:16" x14ac:dyDescent="0.25">
      <c r="A273" s="41">
        <f t="shared" ref="A273:B273" si="675">A272+1</f>
        <v>1121</v>
      </c>
      <c r="B273" s="42">
        <f t="shared" si="675"/>
        <v>263</v>
      </c>
      <c r="C273" s="41" t="s">
        <v>1685</v>
      </c>
      <c r="D273" s="43">
        <f t="shared" si="625"/>
        <v>25</v>
      </c>
      <c r="E273" s="44">
        <f t="shared" ref="E273:F273" si="676">E272</f>
        <v>15</v>
      </c>
      <c r="F273" s="44">
        <f t="shared" si="676"/>
        <v>-28.8</v>
      </c>
      <c r="G273" s="42" t="str">
        <f>G272</f>
        <v>Half</v>
      </c>
      <c r="H273" s="50">
        <f t="shared" ref="H273:L273" si="677">H272</f>
        <v>10</v>
      </c>
      <c r="I273" s="49">
        <f t="shared" si="677"/>
        <v>160</v>
      </c>
      <c r="J273" s="44">
        <f t="shared" si="677"/>
        <v>8</v>
      </c>
      <c r="K273" s="44">
        <f t="shared" si="677"/>
        <v>-8</v>
      </c>
      <c r="L273" s="45">
        <f t="shared" si="677"/>
        <v>0.2</v>
      </c>
      <c r="M273" s="49">
        <v>90</v>
      </c>
      <c r="N273" s="54">
        <f>I273+5</f>
        <v>165</v>
      </c>
      <c r="O273" s="44">
        <f t="shared" ref="O273:P273" si="678">O272</f>
        <v>150</v>
      </c>
      <c r="P273" s="50">
        <f t="shared" si="678"/>
        <v>270</v>
      </c>
    </row>
    <row r="274" spans="1:16" x14ac:dyDescent="0.25">
      <c r="A274" s="41">
        <f t="shared" ref="A274:B274" si="679">A273+1</f>
        <v>1122</v>
      </c>
      <c r="B274" s="42">
        <f t="shared" si="679"/>
        <v>264</v>
      </c>
      <c r="C274" s="127" t="s">
        <v>1686</v>
      </c>
      <c r="D274" s="43">
        <f t="shared" si="625"/>
        <v>25</v>
      </c>
      <c r="E274" s="44">
        <f t="shared" ref="E274:F274" si="680">E273</f>
        <v>15</v>
      </c>
      <c r="F274" s="44">
        <f t="shared" si="680"/>
        <v>-28.8</v>
      </c>
      <c r="G274" s="42" t="str">
        <f>G273</f>
        <v>Half</v>
      </c>
      <c r="H274" s="50">
        <f t="shared" ref="H274:L274" si="681">H273</f>
        <v>10</v>
      </c>
      <c r="I274" s="49">
        <f t="shared" si="681"/>
        <v>160</v>
      </c>
      <c r="J274" s="44">
        <f t="shared" si="681"/>
        <v>8</v>
      </c>
      <c r="K274" s="44">
        <f t="shared" si="681"/>
        <v>-8</v>
      </c>
      <c r="L274" s="45">
        <f t="shared" si="681"/>
        <v>0.2</v>
      </c>
      <c r="M274" s="49">
        <v>90</v>
      </c>
      <c r="N274" s="54">
        <f>I274+10</f>
        <v>170</v>
      </c>
      <c r="O274" s="44">
        <f t="shared" ref="O274:P274" si="682">O273</f>
        <v>150</v>
      </c>
      <c r="P274" s="50">
        <f t="shared" si="682"/>
        <v>270</v>
      </c>
    </row>
    <row r="275" spans="1:16" x14ac:dyDescent="0.25">
      <c r="A275" s="41">
        <f t="shared" ref="A275:B275" si="683">A274+1</f>
        <v>1123</v>
      </c>
      <c r="B275" s="42">
        <f t="shared" si="683"/>
        <v>265</v>
      </c>
      <c r="C275" s="41" t="s">
        <v>1687</v>
      </c>
      <c r="D275" s="43">
        <f t="shared" si="625"/>
        <v>25</v>
      </c>
      <c r="E275" s="44">
        <f t="shared" ref="E275:G275" si="684">E274</f>
        <v>15</v>
      </c>
      <c r="F275" s="44">
        <f t="shared" si="684"/>
        <v>-28.8</v>
      </c>
      <c r="G275" s="42" t="str">
        <f t="shared" si="684"/>
        <v>Half</v>
      </c>
      <c r="H275" s="50">
        <f>H274</f>
        <v>10</v>
      </c>
      <c r="I275" s="49">
        <f t="shared" ref="I275:J275" si="685">I274</f>
        <v>160</v>
      </c>
      <c r="J275" s="44">
        <f t="shared" si="685"/>
        <v>8</v>
      </c>
      <c r="K275" s="44">
        <f>yaw_null</f>
        <v>0</v>
      </c>
      <c r="L275" s="45">
        <f t="shared" ref="L275" si="686">L274</f>
        <v>0.2</v>
      </c>
      <c r="M275" s="49">
        <v>0</v>
      </c>
      <c r="N275" s="54">
        <f>I275</f>
        <v>160</v>
      </c>
      <c r="O275" s="44">
        <f t="shared" ref="O275:P275" si="687">O274</f>
        <v>150</v>
      </c>
      <c r="P275" s="50">
        <f t="shared" si="687"/>
        <v>270</v>
      </c>
    </row>
    <row r="276" spans="1:16" x14ac:dyDescent="0.25">
      <c r="A276" s="41">
        <f t="shared" ref="A276:B276" si="688">A275+1</f>
        <v>1124</v>
      </c>
      <c r="B276" s="42">
        <f t="shared" si="688"/>
        <v>266</v>
      </c>
      <c r="C276" s="41" t="s">
        <v>1688</v>
      </c>
      <c r="D276" s="43">
        <f t="shared" si="625"/>
        <v>25</v>
      </c>
      <c r="E276" s="44">
        <f t="shared" ref="E276:L276" si="689">E275</f>
        <v>15</v>
      </c>
      <c r="F276" s="44">
        <f t="shared" si="689"/>
        <v>-28.8</v>
      </c>
      <c r="G276" s="42" t="str">
        <f t="shared" si="689"/>
        <v>Half</v>
      </c>
      <c r="H276" s="50">
        <f t="shared" si="689"/>
        <v>10</v>
      </c>
      <c r="I276" s="49">
        <f t="shared" si="689"/>
        <v>160</v>
      </c>
      <c r="J276" s="44">
        <f t="shared" si="689"/>
        <v>8</v>
      </c>
      <c r="K276" s="44">
        <f t="shared" si="689"/>
        <v>0</v>
      </c>
      <c r="L276" s="45">
        <f t="shared" si="689"/>
        <v>0.2</v>
      </c>
      <c r="M276" s="49">
        <v>0</v>
      </c>
      <c r="N276" s="54">
        <f>I276+5</f>
        <v>165</v>
      </c>
      <c r="O276" s="44">
        <f t="shared" ref="O276:P276" si="690">O275</f>
        <v>150</v>
      </c>
      <c r="P276" s="50">
        <f t="shared" si="690"/>
        <v>270</v>
      </c>
    </row>
    <row r="277" spans="1:16" x14ac:dyDescent="0.25">
      <c r="A277" s="41">
        <f t="shared" ref="A277:B277" si="691">A276+1</f>
        <v>1125</v>
      </c>
      <c r="B277" s="42">
        <f t="shared" si="691"/>
        <v>267</v>
      </c>
      <c r="C277" s="41" t="s">
        <v>1689</v>
      </c>
      <c r="D277" s="43">
        <f t="shared" si="625"/>
        <v>25</v>
      </c>
      <c r="E277" s="44">
        <f t="shared" ref="E277:L277" si="692">E276</f>
        <v>15</v>
      </c>
      <c r="F277" s="44">
        <f t="shared" si="692"/>
        <v>-28.8</v>
      </c>
      <c r="G277" s="42" t="str">
        <f t="shared" si="692"/>
        <v>Half</v>
      </c>
      <c r="H277" s="50">
        <f t="shared" si="692"/>
        <v>10</v>
      </c>
      <c r="I277" s="49">
        <f t="shared" si="692"/>
        <v>160</v>
      </c>
      <c r="J277" s="44">
        <f t="shared" si="692"/>
        <v>8</v>
      </c>
      <c r="K277" s="44">
        <f t="shared" si="692"/>
        <v>0</v>
      </c>
      <c r="L277" s="45">
        <f t="shared" si="692"/>
        <v>0.2</v>
      </c>
      <c r="M277" s="49">
        <v>0</v>
      </c>
      <c r="N277" s="54">
        <f>I277+10</f>
        <v>170</v>
      </c>
      <c r="O277" s="44">
        <f t="shared" ref="O277:P277" si="693">O276</f>
        <v>150</v>
      </c>
      <c r="P277" s="50">
        <f t="shared" si="693"/>
        <v>270</v>
      </c>
    </row>
    <row r="278" spans="1:16" x14ac:dyDescent="0.25">
      <c r="A278" s="41">
        <f t="shared" ref="A278:B278" si="694">A277+1</f>
        <v>1126</v>
      </c>
      <c r="B278" s="42">
        <f t="shared" si="694"/>
        <v>268</v>
      </c>
      <c r="C278" s="41" t="s">
        <v>1690</v>
      </c>
      <c r="D278" s="43">
        <f t="shared" si="625"/>
        <v>25</v>
      </c>
      <c r="E278" s="44">
        <f t="shared" ref="E278:L278" si="695">E277</f>
        <v>15</v>
      </c>
      <c r="F278" s="44">
        <f t="shared" si="695"/>
        <v>-28.8</v>
      </c>
      <c r="G278" s="42" t="str">
        <f t="shared" si="695"/>
        <v>Half</v>
      </c>
      <c r="H278" s="50">
        <f t="shared" si="695"/>
        <v>10</v>
      </c>
      <c r="I278" s="49">
        <f t="shared" si="695"/>
        <v>160</v>
      </c>
      <c r="J278" s="44">
        <f t="shared" si="695"/>
        <v>8</v>
      </c>
      <c r="K278" s="44">
        <f t="shared" si="695"/>
        <v>0</v>
      </c>
      <c r="L278" s="45">
        <f t="shared" si="695"/>
        <v>0.2</v>
      </c>
      <c r="M278" s="49">
        <v>30</v>
      </c>
      <c r="N278" s="54">
        <f>I278</f>
        <v>160</v>
      </c>
      <c r="O278" s="44">
        <f t="shared" ref="O278:P278" si="696">O277</f>
        <v>150</v>
      </c>
      <c r="P278" s="50">
        <f t="shared" si="696"/>
        <v>270</v>
      </c>
    </row>
    <row r="279" spans="1:16" x14ac:dyDescent="0.25">
      <c r="A279" s="41">
        <f t="shared" ref="A279:B279" si="697">A278+1</f>
        <v>1127</v>
      </c>
      <c r="B279" s="42">
        <f t="shared" si="697"/>
        <v>269</v>
      </c>
      <c r="C279" s="41" t="s">
        <v>1691</v>
      </c>
      <c r="D279" s="43">
        <f t="shared" si="625"/>
        <v>25</v>
      </c>
      <c r="E279" s="44">
        <f t="shared" ref="E279:F279" si="698">E278</f>
        <v>15</v>
      </c>
      <c r="F279" s="44">
        <f t="shared" si="698"/>
        <v>-28.8</v>
      </c>
      <c r="G279" s="42" t="s">
        <v>12</v>
      </c>
      <c r="H279" s="50">
        <v>10</v>
      </c>
      <c r="I279" s="49">
        <f t="shared" ref="I279:L279" si="699">I278</f>
        <v>160</v>
      </c>
      <c r="J279" s="44">
        <f t="shared" si="699"/>
        <v>8</v>
      </c>
      <c r="K279" s="44">
        <f t="shared" si="699"/>
        <v>0</v>
      </c>
      <c r="L279" s="45">
        <f t="shared" si="699"/>
        <v>0.2</v>
      </c>
      <c r="M279" s="49">
        <v>30</v>
      </c>
      <c r="N279" s="54">
        <f>I279+5</f>
        <v>165</v>
      </c>
      <c r="O279" s="44">
        <f t="shared" ref="O279:P279" si="700">O278</f>
        <v>150</v>
      </c>
      <c r="P279" s="50">
        <f t="shared" si="700"/>
        <v>270</v>
      </c>
    </row>
    <row r="280" spans="1:16" x14ac:dyDescent="0.25">
      <c r="A280" s="41">
        <f t="shared" ref="A280:B280" si="701">A279+1</f>
        <v>1128</v>
      </c>
      <c r="B280" s="42">
        <f t="shared" si="701"/>
        <v>270</v>
      </c>
      <c r="C280" s="41" t="s">
        <v>1692</v>
      </c>
      <c r="D280" s="43">
        <f t="shared" si="625"/>
        <v>25</v>
      </c>
      <c r="E280" s="44">
        <f t="shared" ref="E280:F280" si="702">E279</f>
        <v>15</v>
      </c>
      <c r="F280" s="44">
        <f t="shared" si="702"/>
        <v>-28.8</v>
      </c>
      <c r="G280" s="42" t="str">
        <f>G279</f>
        <v>Half</v>
      </c>
      <c r="H280" s="50">
        <f>H279</f>
        <v>10</v>
      </c>
      <c r="I280" s="49">
        <f t="shared" ref="I280:L280" si="703">I279</f>
        <v>160</v>
      </c>
      <c r="J280" s="44">
        <f t="shared" si="703"/>
        <v>8</v>
      </c>
      <c r="K280" s="44">
        <f t="shared" si="703"/>
        <v>0</v>
      </c>
      <c r="L280" s="45">
        <f t="shared" si="703"/>
        <v>0.2</v>
      </c>
      <c r="M280" s="49">
        <v>30</v>
      </c>
      <c r="N280" s="54">
        <f>I280+10</f>
        <v>170</v>
      </c>
      <c r="O280" s="44">
        <f t="shared" ref="O280:P280" si="704">O279</f>
        <v>150</v>
      </c>
      <c r="P280" s="50">
        <f t="shared" si="704"/>
        <v>270</v>
      </c>
    </row>
    <row r="281" spans="1:16" x14ac:dyDescent="0.25">
      <c r="A281" s="41">
        <f t="shared" ref="A281:B281" si="705">A280+1</f>
        <v>1129</v>
      </c>
      <c r="B281" s="42">
        <f t="shared" si="705"/>
        <v>271</v>
      </c>
      <c r="C281" s="41" t="s">
        <v>1693</v>
      </c>
      <c r="D281" s="43">
        <f t="shared" si="625"/>
        <v>25</v>
      </c>
      <c r="E281" s="44">
        <f t="shared" ref="E281:L281" si="706">E280</f>
        <v>15</v>
      </c>
      <c r="F281" s="44">
        <f t="shared" si="706"/>
        <v>-28.8</v>
      </c>
      <c r="G281" s="42" t="str">
        <f t="shared" si="706"/>
        <v>Half</v>
      </c>
      <c r="H281" s="50">
        <f t="shared" si="706"/>
        <v>10</v>
      </c>
      <c r="I281" s="49">
        <f t="shared" si="706"/>
        <v>160</v>
      </c>
      <c r="J281" s="44">
        <f t="shared" si="706"/>
        <v>8</v>
      </c>
      <c r="K281" s="44">
        <f t="shared" si="706"/>
        <v>0</v>
      </c>
      <c r="L281" s="45">
        <f t="shared" si="706"/>
        <v>0.2</v>
      </c>
      <c r="M281" s="49">
        <v>60</v>
      </c>
      <c r="N281" s="54">
        <f>I281</f>
        <v>160</v>
      </c>
      <c r="O281" s="44">
        <f t="shared" ref="O281:P281" si="707">O280</f>
        <v>150</v>
      </c>
      <c r="P281" s="50">
        <f t="shared" si="707"/>
        <v>270</v>
      </c>
    </row>
    <row r="282" spans="1:16" x14ac:dyDescent="0.25">
      <c r="A282" s="41">
        <f t="shared" ref="A282:B282" si="708">A281+1</f>
        <v>1130</v>
      </c>
      <c r="B282" s="42">
        <f t="shared" si="708"/>
        <v>272</v>
      </c>
      <c r="C282" s="41" t="s">
        <v>1694</v>
      </c>
      <c r="D282" s="43">
        <f t="shared" si="625"/>
        <v>25</v>
      </c>
      <c r="E282" s="44">
        <f t="shared" ref="E282:L282" si="709">E281</f>
        <v>15</v>
      </c>
      <c r="F282" s="44">
        <f t="shared" si="709"/>
        <v>-28.8</v>
      </c>
      <c r="G282" s="42" t="str">
        <f t="shared" si="709"/>
        <v>Half</v>
      </c>
      <c r="H282" s="50">
        <f t="shared" si="709"/>
        <v>10</v>
      </c>
      <c r="I282" s="49">
        <f t="shared" si="709"/>
        <v>160</v>
      </c>
      <c r="J282" s="44">
        <f t="shared" si="709"/>
        <v>8</v>
      </c>
      <c r="K282" s="44">
        <f t="shared" si="709"/>
        <v>0</v>
      </c>
      <c r="L282" s="45">
        <f t="shared" si="709"/>
        <v>0.2</v>
      </c>
      <c r="M282" s="49">
        <v>60</v>
      </c>
      <c r="N282" s="54">
        <f>I282+5</f>
        <v>165</v>
      </c>
      <c r="O282" s="44">
        <f t="shared" ref="O282:P282" si="710">O281</f>
        <v>150</v>
      </c>
      <c r="P282" s="50">
        <f t="shared" si="710"/>
        <v>270</v>
      </c>
    </row>
    <row r="283" spans="1:16" x14ac:dyDescent="0.25">
      <c r="A283" s="41">
        <f t="shared" ref="A283:B283" si="711">A282+1</f>
        <v>1131</v>
      </c>
      <c r="B283" s="42">
        <f t="shared" si="711"/>
        <v>273</v>
      </c>
      <c r="C283" s="41" t="s">
        <v>1695</v>
      </c>
      <c r="D283" s="43">
        <f t="shared" si="625"/>
        <v>25</v>
      </c>
      <c r="E283" s="44">
        <f t="shared" ref="E283:L283" si="712">E282</f>
        <v>15</v>
      </c>
      <c r="F283" s="44">
        <f t="shared" si="712"/>
        <v>-28.8</v>
      </c>
      <c r="G283" s="42" t="str">
        <f t="shared" si="712"/>
        <v>Half</v>
      </c>
      <c r="H283" s="50">
        <f t="shared" si="712"/>
        <v>10</v>
      </c>
      <c r="I283" s="49">
        <f t="shared" si="712"/>
        <v>160</v>
      </c>
      <c r="J283" s="44">
        <f t="shared" si="712"/>
        <v>8</v>
      </c>
      <c r="K283" s="44">
        <f t="shared" si="712"/>
        <v>0</v>
      </c>
      <c r="L283" s="45">
        <f t="shared" si="712"/>
        <v>0.2</v>
      </c>
      <c r="M283" s="49">
        <v>60</v>
      </c>
      <c r="N283" s="54">
        <f>I283+10</f>
        <v>170</v>
      </c>
      <c r="O283" s="44">
        <f t="shared" ref="O283:P283" si="713">O282</f>
        <v>150</v>
      </c>
      <c r="P283" s="50">
        <f t="shared" si="713"/>
        <v>270</v>
      </c>
    </row>
    <row r="284" spans="1:16" x14ac:dyDescent="0.25">
      <c r="A284" s="41">
        <f t="shared" ref="A284:B284" si="714">A283+1</f>
        <v>1132</v>
      </c>
      <c r="B284" s="42">
        <f t="shared" si="714"/>
        <v>274</v>
      </c>
      <c r="C284" s="41" t="s">
        <v>1696</v>
      </c>
      <c r="D284" s="43">
        <f t="shared" si="625"/>
        <v>25</v>
      </c>
      <c r="E284" s="44">
        <f t="shared" ref="E284:L284" si="715">E283</f>
        <v>15</v>
      </c>
      <c r="F284" s="44">
        <f t="shared" si="715"/>
        <v>-28.8</v>
      </c>
      <c r="G284" s="42" t="str">
        <f t="shared" si="715"/>
        <v>Half</v>
      </c>
      <c r="H284" s="50">
        <f t="shared" si="715"/>
        <v>10</v>
      </c>
      <c r="I284" s="49">
        <f t="shared" si="715"/>
        <v>160</v>
      </c>
      <c r="J284" s="44">
        <f t="shared" si="715"/>
        <v>8</v>
      </c>
      <c r="K284" s="44">
        <f t="shared" si="715"/>
        <v>0</v>
      </c>
      <c r="L284" s="45">
        <f t="shared" si="715"/>
        <v>0.2</v>
      </c>
      <c r="M284" s="49">
        <v>90</v>
      </c>
      <c r="N284" s="54">
        <f>I284</f>
        <v>160</v>
      </c>
      <c r="O284" s="44">
        <f t="shared" ref="O284:P284" si="716">O283</f>
        <v>150</v>
      </c>
      <c r="P284" s="50">
        <f t="shared" si="716"/>
        <v>270</v>
      </c>
    </row>
    <row r="285" spans="1:16" x14ac:dyDescent="0.25">
      <c r="A285" s="41">
        <f t="shared" ref="A285:B285" si="717">A284+1</f>
        <v>1133</v>
      </c>
      <c r="B285" s="42">
        <f t="shared" si="717"/>
        <v>275</v>
      </c>
      <c r="C285" s="41" t="s">
        <v>1697</v>
      </c>
      <c r="D285" s="43">
        <f t="shared" si="625"/>
        <v>25</v>
      </c>
      <c r="E285" s="44">
        <f t="shared" ref="E285:L285" si="718">E284</f>
        <v>15</v>
      </c>
      <c r="F285" s="44">
        <f t="shared" si="718"/>
        <v>-28.8</v>
      </c>
      <c r="G285" s="42" t="str">
        <f t="shared" si="718"/>
        <v>Half</v>
      </c>
      <c r="H285" s="50">
        <f t="shared" si="718"/>
        <v>10</v>
      </c>
      <c r="I285" s="49">
        <f t="shared" si="718"/>
        <v>160</v>
      </c>
      <c r="J285" s="44">
        <f t="shared" si="718"/>
        <v>8</v>
      </c>
      <c r="K285" s="44">
        <f t="shared" si="718"/>
        <v>0</v>
      </c>
      <c r="L285" s="45">
        <f t="shared" si="718"/>
        <v>0.2</v>
      </c>
      <c r="M285" s="49">
        <v>90</v>
      </c>
      <c r="N285" s="54">
        <f>I285+5</f>
        <v>165</v>
      </c>
      <c r="O285" s="44">
        <f t="shared" ref="O285:P285" si="719">O284</f>
        <v>150</v>
      </c>
      <c r="P285" s="50">
        <f t="shared" si="719"/>
        <v>270</v>
      </c>
    </row>
    <row r="286" spans="1:16" x14ac:dyDescent="0.25">
      <c r="A286" s="41">
        <f t="shared" ref="A286:B286" si="720">A285+1</f>
        <v>1134</v>
      </c>
      <c r="B286" s="42">
        <f t="shared" si="720"/>
        <v>276</v>
      </c>
      <c r="C286" s="127" t="s">
        <v>1698</v>
      </c>
      <c r="D286" s="43">
        <f t="shared" si="625"/>
        <v>25</v>
      </c>
      <c r="E286" s="44">
        <f t="shared" ref="E286:L286" si="721">E285</f>
        <v>15</v>
      </c>
      <c r="F286" s="44">
        <f t="shared" si="721"/>
        <v>-28.8</v>
      </c>
      <c r="G286" s="42" t="str">
        <f t="shared" si="721"/>
        <v>Half</v>
      </c>
      <c r="H286" s="50">
        <f t="shared" si="721"/>
        <v>10</v>
      </c>
      <c r="I286" s="49">
        <f t="shared" si="721"/>
        <v>160</v>
      </c>
      <c r="J286" s="44">
        <f t="shared" si="721"/>
        <v>8</v>
      </c>
      <c r="K286" s="44">
        <f t="shared" si="721"/>
        <v>0</v>
      </c>
      <c r="L286" s="45">
        <f t="shared" si="721"/>
        <v>0.2</v>
      </c>
      <c r="M286" s="49">
        <v>90</v>
      </c>
      <c r="N286" s="54">
        <f>I286+10</f>
        <v>170</v>
      </c>
      <c r="O286" s="44">
        <f t="shared" ref="O286:P286" si="722">O285</f>
        <v>150</v>
      </c>
      <c r="P286" s="50">
        <f t="shared" si="722"/>
        <v>270</v>
      </c>
    </row>
    <row r="287" spans="1:16" x14ac:dyDescent="0.25">
      <c r="A287" s="41">
        <f t="shared" ref="A287:B287" si="723">A286+1</f>
        <v>1135</v>
      </c>
      <c r="B287" s="42">
        <f t="shared" si="723"/>
        <v>277</v>
      </c>
      <c r="C287" s="41" t="s">
        <v>1699</v>
      </c>
      <c r="D287" s="43">
        <f t="shared" si="625"/>
        <v>25</v>
      </c>
      <c r="E287" s="44">
        <f t="shared" ref="E287:J287" si="724">E286</f>
        <v>15</v>
      </c>
      <c r="F287" s="44">
        <f t="shared" si="724"/>
        <v>-28.8</v>
      </c>
      <c r="G287" s="42" t="str">
        <f t="shared" si="724"/>
        <v>Half</v>
      </c>
      <c r="H287" s="50">
        <f t="shared" si="724"/>
        <v>10</v>
      </c>
      <c r="I287" s="49">
        <f t="shared" si="724"/>
        <v>160</v>
      </c>
      <c r="J287" s="44">
        <f t="shared" si="724"/>
        <v>8</v>
      </c>
      <c r="K287" s="44">
        <f>yaw_max</f>
        <v>8</v>
      </c>
      <c r="L287" s="45">
        <f t="shared" ref="L287" si="725">L286</f>
        <v>0.2</v>
      </c>
      <c r="M287" s="49">
        <v>0</v>
      </c>
      <c r="N287" s="54">
        <f>I287</f>
        <v>160</v>
      </c>
      <c r="O287" s="44">
        <f t="shared" ref="O287:P287" si="726">O286</f>
        <v>150</v>
      </c>
      <c r="P287" s="50">
        <f t="shared" si="726"/>
        <v>270</v>
      </c>
    </row>
    <row r="288" spans="1:16" x14ac:dyDescent="0.25">
      <c r="A288" s="41">
        <f t="shared" ref="A288:B288" si="727">A287+1</f>
        <v>1136</v>
      </c>
      <c r="B288" s="42">
        <f t="shared" si="727"/>
        <v>278</v>
      </c>
      <c r="C288" s="41" t="s">
        <v>1700</v>
      </c>
      <c r="D288" s="43">
        <f t="shared" si="625"/>
        <v>25</v>
      </c>
      <c r="E288" s="44">
        <f t="shared" ref="E288:L288" si="728">E287</f>
        <v>15</v>
      </c>
      <c r="F288" s="44">
        <f t="shared" si="728"/>
        <v>-28.8</v>
      </c>
      <c r="G288" s="42" t="str">
        <f t="shared" si="728"/>
        <v>Half</v>
      </c>
      <c r="H288" s="50">
        <f t="shared" si="728"/>
        <v>10</v>
      </c>
      <c r="I288" s="49">
        <f t="shared" si="728"/>
        <v>160</v>
      </c>
      <c r="J288" s="44">
        <f t="shared" si="728"/>
        <v>8</v>
      </c>
      <c r="K288" s="44">
        <f t="shared" si="728"/>
        <v>8</v>
      </c>
      <c r="L288" s="45">
        <f t="shared" si="728"/>
        <v>0.2</v>
      </c>
      <c r="M288" s="49">
        <v>0</v>
      </c>
      <c r="N288" s="54">
        <f>I288+5</f>
        <v>165</v>
      </c>
      <c r="O288" s="44">
        <f t="shared" ref="O288:P288" si="729">O287</f>
        <v>150</v>
      </c>
      <c r="P288" s="50">
        <f t="shared" si="729"/>
        <v>270</v>
      </c>
    </row>
    <row r="289" spans="1:16" x14ac:dyDescent="0.25">
      <c r="A289" s="41">
        <f t="shared" ref="A289:B289" si="730">A288+1</f>
        <v>1137</v>
      </c>
      <c r="B289" s="42">
        <f t="shared" si="730"/>
        <v>279</v>
      </c>
      <c r="C289" s="41" t="s">
        <v>1701</v>
      </c>
      <c r="D289" s="43">
        <f t="shared" si="625"/>
        <v>25</v>
      </c>
      <c r="E289" s="44">
        <f t="shared" ref="E289:L289" si="731">E288</f>
        <v>15</v>
      </c>
      <c r="F289" s="44">
        <f t="shared" si="731"/>
        <v>-28.8</v>
      </c>
      <c r="G289" s="42" t="str">
        <f t="shared" si="731"/>
        <v>Half</v>
      </c>
      <c r="H289" s="50">
        <f t="shared" si="731"/>
        <v>10</v>
      </c>
      <c r="I289" s="49">
        <f t="shared" si="731"/>
        <v>160</v>
      </c>
      <c r="J289" s="44">
        <f t="shared" si="731"/>
        <v>8</v>
      </c>
      <c r="K289" s="44">
        <f t="shared" si="731"/>
        <v>8</v>
      </c>
      <c r="L289" s="45">
        <f t="shared" si="731"/>
        <v>0.2</v>
      </c>
      <c r="M289" s="49">
        <v>0</v>
      </c>
      <c r="N289" s="54">
        <f>I289+10</f>
        <v>170</v>
      </c>
      <c r="O289" s="44">
        <f t="shared" ref="O289:P289" si="732">O288</f>
        <v>150</v>
      </c>
      <c r="P289" s="50">
        <f t="shared" si="732"/>
        <v>270</v>
      </c>
    </row>
    <row r="290" spans="1:16" x14ac:dyDescent="0.25">
      <c r="A290" s="41">
        <f t="shared" ref="A290:B290" si="733">A289+1</f>
        <v>1138</v>
      </c>
      <c r="B290" s="42">
        <f t="shared" si="733"/>
        <v>280</v>
      </c>
      <c r="C290" s="41" t="s">
        <v>1702</v>
      </c>
      <c r="D290" s="43">
        <f t="shared" si="625"/>
        <v>25</v>
      </c>
      <c r="E290" s="44">
        <f t="shared" ref="E290:L290" si="734">E289</f>
        <v>15</v>
      </c>
      <c r="F290" s="44">
        <f t="shared" si="734"/>
        <v>-28.8</v>
      </c>
      <c r="G290" s="42" t="str">
        <f t="shared" si="734"/>
        <v>Half</v>
      </c>
      <c r="H290" s="50">
        <f t="shared" si="734"/>
        <v>10</v>
      </c>
      <c r="I290" s="49">
        <f t="shared" si="734"/>
        <v>160</v>
      </c>
      <c r="J290" s="44">
        <f t="shared" si="734"/>
        <v>8</v>
      </c>
      <c r="K290" s="44">
        <f t="shared" si="734"/>
        <v>8</v>
      </c>
      <c r="L290" s="45">
        <f t="shared" si="734"/>
        <v>0.2</v>
      </c>
      <c r="M290" s="49">
        <v>30</v>
      </c>
      <c r="N290" s="54">
        <f>I290</f>
        <v>160</v>
      </c>
      <c r="O290" s="44">
        <f t="shared" ref="O290:P290" si="735">O289</f>
        <v>150</v>
      </c>
      <c r="P290" s="50">
        <f t="shared" si="735"/>
        <v>270</v>
      </c>
    </row>
    <row r="291" spans="1:16" x14ac:dyDescent="0.25">
      <c r="A291" s="41">
        <f t="shared" ref="A291:B291" si="736">A290+1</f>
        <v>1139</v>
      </c>
      <c r="B291" s="42">
        <f t="shared" si="736"/>
        <v>281</v>
      </c>
      <c r="C291" s="41" t="s">
        <v>1703</v>
      </c>
      <c r="D291" s="43">
        <f t="shared" ref="D291:D298" si="737">v_out</f>
        <v>25</v>
      </c>
      <c r="E291" s="44">
        <f t="shared" ref="E291:G291" si="738">E290</f>
        <v>15</v>
      </c>
      <c r="F291" s="44">
        <f t="shared" si="738"/>
        <v>-28.8</v>
      </c>
      <c r="G291" s="42" t="str">
        <f t="shared" si="738"/>
        <v>Half</v>
      </c>
      <c r="H291" s="50">
        <f>H290</f>
        <v>10</v>
      </c>
      <c r="I291" s="49">
        <f t="shared" ref="I291:L291" si="739">I290</f>
        <v>160</v>
      </c>
      <c r="J291" s="44">
        <f t="shared" si="739"/>
        <v>8</v>
      </c>
      <c r="K291" s="44">
        <f t="shared" si="739"/>
        <v>8</v>
      </c>
      <c r="L291" s="45">
        <f t="shared" si="739"/>
        <v>0.2</v>
      </c>
      <c r="M291" s="49">
        <v>30</v>
      </c>
      <c r="N291" s="54">
        <f>I291+5</f>
        <v>165</v>
      </c>
      <c r="O291" s="44">
        <f t="shared" ref="O291:P291" si="740">O290</f>
        <v>150</v>
      </c>
      <c r="P291" s="50">
        <f t="shared" si="740"/>
        <v>270</v>
      </c>
    </row>
    <row r="292" spans="1:16" x14ac:dyDescent="0.25">
      <c r="A292" s="41">
        <f t="shared" ref="A292:B292" si="741">A291+1</f>
        <v>1140</v>
      </c>
      <c r="B292" s="42">
        <f t="shared" si="741"/>
        <v>282</v>
      </c>
      <c r="C292" s="41" t="s">
        <v>1704</v>
      </c>
      <c r="D292" s="43">
        <f t="shared" si="737"/>
        <v>25</v>
      </c>
      <c r="E292" s="44">
        <f t="shared" ref="E292:G292" si="742">E291</f>
        <v>15</v>
      </c>
      <c r="F292" s="44">
        <f t="shared" si="742"/>
        <v>-28.8</v>
      </c>
      <c r="G292" s="42" t="str">
        <f t="shared" si="742"/>
        <v>Half</v>
      </c>
      <c r="H292" s="50">
        <f>H291</f>
        <v>10</v>
      </c>
      <c r="I292" s="49">
        <f t="shared" ref="I292:L292" si="743">I291</f>
        <v>160</v>
      </c>
      <c r="J292" s="44">
        <f t="shared" si="743"/>
        <v>8</v>
      </c>
      <c r="K292" s="44">
        <f t="shared" si="743"/>
        <v>8</v>
      </c>
      <c r="L292" s="45">
        <f t="shared" si="743"/>
        <v>0.2</v>
      </c>
      <c r="M292" s="49">
        <v>30</v>
      </c>
      <c r="N292" s="54">
        <f>I292+10</f>
        <v>170</v>
      </c>
      <c r="O292" s="44">
        <f t="shared" ref="O292:P292" si="744">O291</f>
        <v>150</v>
      </c>
      <c r="P292" s="50">
        <f t="shared" si="744"/>
        <v>270</v>
      </c>
    </row>
    <row r="293" spans="1:16" x14ac:dyDescent="0.25">
      <c r="A293" s="41">
        <f t="shared" ref="A293:B293" si="745">A292+1</f>
        <v>1141</v>
      </c>
      <c r="B293" s="42">
        <f t="shared" si="745"/>
        <v>283</v>
      </c>
      <c r="C293" s="41" t="s">
        <v>1705</v>
      </c>
      <c r="D293" s="43">
        <f t="shared" si="737"/>
        <v>25</v>
      </c>
      <c r="E293" s="44">
        <f t="shared" ref="E293:G293" si="746">E292</f>
        <v>15</v>
      </c>
      <c r="F293" s="44">
        <f t="shared" si="746"/>
        <v>-28.8</v>
      </c>
      <c r="G293" s="42" t="str">
        <f t="shared" si="746"/>
        <v>Half</v>
      </c>
      <c r="H293" s="50">
        <f>H292</f>
        <v>10</v>
      </c>
      <c r="I293" s="49">
        <f t="shared" ref="I293:L293" si="747">I292</f>
        <v>160</v>
      </c>
      <c r="J293" s="44">
        <f t="shared" si="747"/>
        <v>8</v>
      </c>
      <c r="K293" s="44">
        <f t="shared" si="747"/>
        <v>8</v>
      </c>
      <c r="L293" s="45">
        <f t="shared" si="747"/>
        <v>0.2</v>
      </c>
      <c r="M293" s="49">
        <v>60</v>
      </c>
      <c r="N293" s="54">
        <f>I293</f>
        <v>160</v>
      </c>
      <c r="O293" s="44">
        <f t="shared" ref="O293:P293" si="748">O292</f>
        <v>150</v>
      </c>
      <c r="P293" s="50">
        <f t="shared" si="748"/>
        <v>270</v>
      </c>
    </row>
    <row r="294" spans="1:16" x14ac:dyDescent="0.25">
      <c r="A294" s="41">
        <f t="shared" ref="A294:B294" si="749">A293+1</f>
        <v>1142</v>
      </c>
      <c r="B294" s="42">
        <f t="shared" si="749"/>
        <v>284</v>
      </c>
      <c r="C294" s="41" t="s">
        <v>1706</v>
      </c>
      <c r="D294" s="43">
        <f t="shared" si="737"/>
        <v>25</v>
      </c>
      <c r="E294" s="44">
        <f t="shared" ref="E294:G294" si="750">E293</f>
        <v>15</v>
      </c>
      <c r="F294" s="44">
        <f t="shared" si="750"/>
        <v>-28.8</v>
      </c>
      <c r="G294" s="42" t="str">
        <f t="shared" si="750"/>
        <v>Half</v>
      </c>
      <c r="H294" s="50">
        <f>H293</f>
        <v>10</v>
      </c>
      <c r="I294" s="49">
        <f t="shared" ref="I294:L294" si="751">I293</f>
        <v>160</v>
      </c>
      <c r="J294" s="44">
        <f t="shared" si="751"/>
        <v>8</v>
      </c>
      <c r="K294" s="44">
        <f t="shared" si="751"/>
        <v>8</v>
      </c>
      <c r="L294" s="45">
        <f t="shared" si="751"/>
        <v>0.2</v>
      </c>
      <c r="M294" s="49">
        <v>60</v>
      </c>
      <c r="N294" s="54">
        <f>I294+5</f>
        <v>165</v>
      </c>
      <c r="O294" s="44">
        <f t="shared" ref="O294:P294" si="752">O293</f>
        <v>150</v>
      </c>
      <c r="P294" s="50">
        <f t="shared" si="752"/>
        <v>270</v>
      </c>
    </row>
    <row r="295" spans="1:16" x14ac:dyDescent="0.25">
      <c r="A295" s="41">
        <f t="shared" ref="A295:B295" si="753">A294+1</f>
        <v>1143</v>
      </c>
      <c r="B295" s="42">
        <f t="shared" si="753"/>
        <v>285</v>
      </c>
      <c r="C295" s="41" t="s">
        <v>1707</v>
      </c>
      <c r="D295" s="43">
        <f t="shared" si="737"/>
        <v>25</v>
      </c>
      <c r="E295" s="44">
        <f t="shared" ref="E295:F295" si="754">E294</f>
        <v>15</v>
      </c>
      <c r="F295" s="44">
        <f t="shared" si="754"/>
        <v>-28.8</v>
      </c>
      <c r="G295" s="42" t="s">
        <v>12</v>
      </c>
      <c r="H295" s="50">
        <v>10</v>
      </c>
      <c r="I295" s="49">
        <f t="shared" ref="I295:L295" si="755">I294</f>
        <v>160</v>
      </c>
      <c r="J295" s="44">
        <f t="shared" si="755"/>
        <v>8</v>
      </c>
      <c r="K295" s="44">
        <f t="shared" si="755"/>
        <v>8</v>
      </c>
      <c r="L295" s="45">
        <f t="shared" si="755"/>
        <v>0.2</v>
      </c>
      <c r="M295" s="49">
        <v>60</v>
      </c>
      <c r="N295" s="54">
        <f>I295+10</f>
        <v>170</v>
      </c>
      <c r="O295" s="44">
        <f t="shared" ref="O295:P295" si="756">O294</f>
        <v>150</v>
      </c>
      <c r="P295" s="50">
        <f t="shared" si="756"/>
        <v>270</v>
      </c>
    </row>
    <row r="296" spans="1:16" x14ac:dyDescent="0.25">
      <c r="A296" s="41">
        <f t="shared" ref="A296:B296" si="757">A295+1</f>
        <v>1144</v>
      </c>
      <c r="B296" s="42">
        <f t="shared" si="757"/>
        <v>286</v>
      </c>
      <c r="C296" s="41" t="s">
        <v>1708</v>
      </c>
      <c r="D296" s="43">
        <f t="shared" si="737"/>
        <v>25</v>
      </c>
      <c r="E296" s="44">
        <f t="shared" ref="E296:F296" si="758">E295</f>
        <v>15</v>
      </c>
      <c r="F296" s="44">
        <f t="shared" si="758"/>
        <v>-28.8</v>
      </c>
      <c r="G296" s="42" t="str">
        <f>G295</f>
        <v>Half</v>
      </c>
      <c r="H296" s="50">
        <f>H295</f>
        <v>10</v>
      </c>
      <c r="I296" s="49">
        <f t="shared" ref="I296:L296" si="759">I295</f>
        <v>160</v>
      </c>
      <c r="J296" s="44">
        <f t="shared" si="759"/>
        <v>8</v>
      </c>
      <c r="K296" s="44">
        <f t="shared" si="759"/>
        <v>8</v>
      </c>
      <c r="L296" s="45">
        <f t="shared" si="759"/>
        <v>0.2</v>
      </c>
      <c r="M296" s="49">
        <v>90</v>
      </c>
      <c r="N296" s="54">
        <f>I296</f>
        <v>160</v>
      </c>
      <c r="O296" s="44">
        <f t="shared" ref="O296:P296" si="760">O295</f>
        <v>150</v>
      </c>
      <c r="P296" s="50">
        <f t="shared" si="760"/>
        <v>270</v>
      </c>
    </row>
    <row r="297" spans="1:16" x14ac:dyDescent="0.25">
      <c r="A297" s="41">
        <f t="shared" ref="A297:B297" si="761">A296+1</f>
        <v>1145</v>
      </c>
      <c r="B297" s="42">
        <f t="shared" si="761"/>
        <v>287</v>
      </c>
      <c r="C297" s="41" t="s">
        <v>1709</v>
      </c>
      <c r="D297" s="43">
        <f t="shared" si="737"/>
        <v>25</v>
      </c>
      <c r="E297" s="44">
        <f t="shared" ref="E297:L297" si="762">E296</f>
        <v>15</v>
      </c>
      <c r="F297" s="44">
        <f t="shared" si="762"/>
        <v>-28.8</v>
      </c>
      <c r="G297" s="42" t="str">
        <f t="shared" si="762"/>
        <v>Half</v>
      </c>
      <c r="H297" s="50">
        <f t="shared" si="762"/>
        <v>10</v>
      </c>
      <c r="I297" s="49">
        <f t="shared" si="762"/>
        <v>160</v>
      </c>
      <c r="J297" s="44">
        <f t="shared" si="762"/>
        <v>8</v>
      </c>
      <c r="K297" s="44">
        <f t="shared" si="762"/>
        <v>8</v>
      </c>
      <c r="L297" s="45">
        <f t="shared" si="762"/>
        <v>0.2</v>
      </c>
      <c r="M297" s="49">
        <v>90</v>
      </c>
      <c r="N297" s="54">
        <f>I297+5</f>
        <v>165</v>
      </c>
      <c r="O297" s="44">
        <f t="shared" ref="O297:P297" si="763">O296</f>
        <v>150</v>
      </c>
      <c r="P297" s="50">
        <f t="shared" si="763"/>
        <v>270</v>
      </c>
    </row>
    <row r="298" spans="1:16" x14ac:dyDescent="0.25">
      <c r="A298" s="41">
        <f t="shared" ref="A298:B298" si="764">A297+1</f>
        <v>1146</v>
      </c>
      <c r="B298" s="42">
        <f t="shared" si="764"/>
        <v>288</v>
      </c>
      <c r="C298" s="41" t="s">
        <v>1710</v>
      </c>
      <c r="D298" s="43">
        <f t="shared" si="737"/>
        <v>25</v>
      </c>
      <c r="E298" s="44">
        <f t="shared" ref="E298:L298" si="765">E297</f>
        <v>15</v>
      </c>
      <c r="F298" s="44">
        <f t="shared" si="765"/>
        <v>-28.8</v>
      </c>
      <c r="G298" s="42" t="str">
        <f t="shared" si="765"/>
        <v>Half</v>
      </c>
      <c r="H298" s="50">
        <f t="shared" si="765"/>
        <v>10</v>
      </c>
      <c r="I298" s="49">
        <f t="shared" si="765"/>
        <v>160</v>
      </c>
      <c r="J298" s="44">
        <f t="shared" si="765"/>
        <v>8</v>
      </c>
      <c r="K298" s="44">
        <f t="shared" si="765"/>
        <v>8</v>
      </c>
      <c r="L298" s="45">
        <f t="shared" si="765"/>
        <v>0.2</v>
      </c>
      <c r="M298" s="49">
        <v>90</v>
      </c>
      <c r="N298" s="54">
        <f>I298+10</f>
        <v>170</v>
      </c>
      <c r="O298" s="44">
        <f t="shared" ref="O298:P298" si="766">O297</f>
        <v>150</v>
      </c>
      <c r="P298" s="50">
        <f t="shared" si="766"/>
        <v>270</v>
      </c>
    </row>
  </sheetData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R298"/>
  <sheetViews>
    <sheetView zoomScale="85" zoomScaleNormal="85" workbookViewId="0">
      <selection activeCell="L6" sqref="L6"/>
    </sheetView>
  </sheetViews>
  <sheetFormatPr defaultColWidth="9" defaultRowHeight="15" x14ac:dyDescent="0.15"/>
  <cols>
    <col min="1" max="1" width="7.375" style="23" customWidth="1"/>
    <col min="2" max="2" width="7.125" style="23" customWidth="1"/>
    <col min="3" max="3" width="9.375" style="23" customWidth="1"/>
    <col min="4" max="4" width="6.75" style="23" customWidth="1"/>
    <col min="5" max="7" width="6.875" style="23" customWidth="1"/>
    <col min="8" max="8" width="7.25" style="23" customWidth="1"/>
    <col min="9" max="9" width="7.375" style="23" customWidth="1"/>
    <col min="10" max="10" width="8" style="23" customWidth="1"/>
    <col min="11" max="11" width="7.75" style="23" customWidth="1"/>
    <col min="12" max="13" width="7.375" style="23" customWidth="1"/>
    <col min="14" max="14" width="6.75" style="23" customWidth="1"/>
    <col min="15" max="15" width="8.25" style="23" customWidth="1"/>
    <col min="16" max="16" width="7.625" style="23" customWidth="1"/>
    <col min="17" max="17" width="7.125" style="23" customWidth="1"/>
    <col min="18" max="18" width="8.125" style="23" customWidth="1"/>
    <col min="19" max="16384" width="9" style="23"/>
  </cols>
  <sheetData>
    <row r="1" spans="1:18" x14ac:dyDescent="0.15">
      <c r="H1" s="22" t="s">
        <v>135</v>
      </c>
      <c r="I1" s="22" t="s">
        <v>1716</v>
      </c>
    </row>
    <row r="2" spans="1:18" x14ac:dyDescent="0.15">
      <c r="B2" s="22" t="s">
        <v>1715</v>
      </c>
      <c r="C2" s="22"/>
      <c r="D2" s="22"/>
      <c r="E2" s="22"/>
      <c r="F2" s="22"/>
      <c r="G2" s="22"/>
      <c r="H2" s="22"/>
      <c r="I2" s="22" t="s">
        <v>1035</v>
      </c>
    </row>
    <row r="3" spans="1:18" x14ac:dyDescent="0.15">
      <c r="B3" s="22" t="s">
        <v>88</v>
      </c>
      <c r="C3" s="22"/>
      <c r="D3" s="22"/>
      <c r="E3" s="93" t="s">
        <v>1717</v>
      </c>
      <c r="F3" s="93"/>
      <c r="G3" s="93"/>
      <c r="H3" s="22"/>
      <c r="I3" s="22" t="s">
        <v>1711</v>
      </c>
    </row>
    <row r="4" spans="1:18" x14ac:dyDescent="0.15">
      <c r="B4" s="22" t="s">
        <v>89</v>
      </c>
      <c r="C4" s="22"/>
      <c r="D4" s="22"/>
      <c r="E4" s="22" t="s">
        <v>108</v>
      </c>
      <c r="F4" s="22"/>
      <c r="G4" s="22"/>
      <c r="H4" s="22"/>
      <c r="I4" s="22" t="s">
        <v>1712</v>
      </c>
    </row>
    <row r="5" spans="1:18" x14ac:dyDescent="0.15">
      <c r="B5" s="22" t="s">
        <v>91</v>
      </c>
      <c r="C5" s="22"/>
      <c r="D5" s="22"/>
      <c r="E5" s="22" t="s">
        <v>99</v>
      </c>
      <c r="F5" s="22"/>
      <c r="G5" s="22"/>
      <c r="J5" s="22"/>
      <c r="K5" s="22"/>
    </row>
    <row r="6" spans="1:18" x14ac:dyDescent="0.15">
      <c r="B6" s="22" t="s">
        <v>93</v>
      </c>
      <c r="C6" s="22"/>
      <c r="D6" s="22"/>
      <c r="E6" s="22" t="s">
        <v>100</v>
      </c>
      <c r="F6" s="22"/>
      <c r="G6" s="22"/>
      <c r="J6" s="22"/>
      <c r="K6" s="22"/>
    </row>
    <row r="7" spans="1:18" x14ac:dyDescent="0.15">
      <c r="J7" s="22"/>
      <c r="K7" s="22"/>
      <c r="P7" s="46"/>
    </row>
    <row r="8" spans="1:18" ht="15.75" thickBot="1" x14ac:dyDescent="0.2">
      <c r="A8" s="139"/>
      <c r="B8" s="139"/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  <c r="N8" s="139"/>
      <c r="O8" s="139"/>
      <c r="P8" s="139"/>
      <c r="Q8" s="139"/>
      <c r="R8" s="139"/>
    </row>
    <row r="9" spans="1:18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62" t="s">
        <v>152</v>
      </c>
      <c r="G9" s="62" t="s">
        <v>87</v>
      </c>
      <c r="H9" s="25" t="s">
        <v>146</v>
      </c>
      <c r="I9" s="27" t="s">
        <v>8</v>
      </c>
      <c r="J9" s="47" t="s">
        <v>21</v>
      </c>
      <c r="K9" s="25" t="s">
        <v>147</v>
      </c>
      <c r="L9" s="25" t="s">
        <v>1</v>
      </c>
      <c r="M9" s="25" t="s">
        <v>2</v>
      </c>
      <c r="N9" s="25" t="s">
        <v>10</v>
      </c>
      <c r="O9" s="25" t="s">
        <v>13</v>
      </c>
      <c r="P9" s="47" t="s">
        <v>161</v>
      </c>
      <c r="Q9" s="27" t="s">
        <v>138</v>
      </c>
      <c r="R9" s="27" t="s">
        <v>139</v>
      </c>
    </row>
    <row r="10" spans="1:18" ht="15.75" thickBot="1" x14ac:dyDescent="0.3">
      <c r="A10" s="29" t="s">
        <v>76</v>
      </c>
      <c r="B10" s="30" t="str">
        <f>B2</f>
        <v>DLCT4</v>
      </c>
      <c r="C10" s="29"/>
      <c r="D10" s="30" t="s">
        <v>4</v>
      </c>
      <c r="E10" s="59" t="s">
        <v>4</v>
      </c>
      <c r="F10" s="59" t="s">
        <v>14</v>
      </c>
      <c r="G10" s="59"/>
      <c r="H10" s="30" t="s">
        <v>4</v>
      </c>
      <c r="I10" s="32"/>
      <c r="J10" s="32" t="s">
        <v>17</v>
      </c>
      <c r="K10" s="32" t="s">
        <v>7</v>
      </c>
      <c r="L10" s="30" t="s">
        <v>6</v>
      </c>
      <c r="M10" s="30" t="s">
        <v>6</v>
      </c>
      <c r="N10" s="30"/>
      <c r="O10" s="32" t="s">
        <v>7</v>
      </c>
      <c r="P10" s="32" t="s">
        <v>17</v>
      </c>
      <c r="Q10" s="32" t="s">
        <v>7</v>
      </c>
      <c r="R10" s="32" t="s">
        <v>7</v>
      </c>
    </row>
    <row r="11" spans="1:18" x14ac:dyDescent="0.25">
      <c r="A11" s="24">
        <f>'DLC13'!A100+1</f>
        <v>859</v>
      </c>
      <c r="B11" s="27">
        <v>1</v>
      </c>
      <c r="C11" s="24" t="s">
        <v>1870</v>
      </c>
      <c r="D11" s="34">
        <f t="shared" ref="D11:D42" si="0">v_r</f>
        <v>9.8000000000000007</v>
      </c>
      <c r="E11" s="60">
        <f t="shared" ref="E11:E74" si="1">I_ref*(0.75*D11+5.6)</f>
        <v>1.8130000000000002</v>
      </c>
      <c r="F11" s="60">
        <f t="shared" ref="F11:F74" si="2">tur_scale</f>
        <v>42</v>
      </c>
      <c r="G11" s="63">
        <f t="shared" ref="G11:G74" si="3">1/(1+0.2*(diameter/F11))</f>
        <v>0.58988764044943809</v>
      </c>
      <c r="H11" s="35">
        <f>6.4*ATAN(E11/D11*G11)/PI()*180</f>
        <v>39.859186714563904</v>
      </c>
      <c r="I11" s="42" t="s">
        <v>12</v>
      </c>
      <c r="J11" s="50">
        <f>EDCT_t</f>
        <v>6</v>
      </c>
      <c r="K11" s="49">
        <f>trig_t</f>
        <v>160</v>
      </c>
      <c r="L11" s="35">
        <f>inflow</f>
        <v>8</v>
      </c>
      <c r="M11" s="35">
        <f>yaw_min</f>
        <v>-8</v>
      </c>
      <c r="N11" s="36">
        <f>alpha_n</f>
        <v>0.2</v>
      </c>
      <c r="O11" s="49">
        <v>0</v>
      </c>
      <c r="P11" s="52">
        <f>K11</f>
        <v>160</v>
      </c>
      <c r="Q11" s="35">
        <f>t_out</f>
        <v>150</v>
      </c>
      <c r="R11" s="50">
        <f>Q11+2*T_s2</f>
        <v>270</v>
      </c>
    </row>
    <row r="12" spans="1:18" x14ac:dyDescent="0.25">
      <c r="A12" s="41">
        <f t="shared" ref="A12:B27" si="4">A11+1</f>
        <v>860</v>
      </c>
      <c r="B12" s="42">
        <f t="shared" si="4"/>
        <v>2</v>
      </c>
      <c r="C12" s="41" t="s">
        <v>1871</v>
      </c>
      <c r="D12" s="43">
        <f t="shared" si="0"/>
        <v>9.8000000000000007</v>
      </c>
      <c r="E12" s="61">
        <f t="shared" si="1"/>
        <v>1.8130000000000002</v>
      </c>
      <c r="F12" s="61">
        <f t="shared" si="2"/>
        <v>42</v>
      </c>
      <c r="G12" s="64">
        <f t="shared" si="3"/>
        <v>0.58988764044943809</v>
      </c>
      <c r="H12" s="44">
        <f>6.4*ATAN(E12/D12*G12)/PI()*180</f>
        <v>39.859186714563904</v>
      </c>
      <c r="I12" s="42" t="str">
        <f t="shared" ref="I12:N27" si="5">I11</f>
        <v>Half</v>
      </c>
      <c r="J12" s="50">
        <f>J11</f>
        <v>6</v>
      </c>
      <c r="K12" s="49">
        <f t="shared" si="5"/>
        <v>160</v>
      </c>
      <c r="L12" s="44">
        <f t="shared" si="5"/>
        <v>8</v>
      </c>
      <c r="M12" s="44">
        <f t="shared" si="5"/>
        <v>-8</v>
      </c>
      <c r="N12" s="45">
        <f t="shared" si="5"/>
        <v>0.2</v>
      </c>
      <c r="O12" s="49">
        <v>0</v>
      </c>
      <c r="P12" s="54">
        <f>K12+3</f>
        <v>163</v>
      </c>
      <c r="Q12" s="44">
        <f>Q11</f>
        <v>150</v>
      </c>
      <c r="R12" s="50">
        <f>R11</f>
        <v>270</v>
      </c>
    </row>
    <row r="13" spans="1:18" x14ac:dyDescent="0.25">
      <c r="A13" s="41">
        <f t="shared" si="4"/>
        <v>861</v>
      </c>
      <c r="B13" s="42">
        <f t="shared" si="4"/>
        <v>3</v>
      </c>
      <c r="C13" s="41" t="s">
        <v>1872</v>
      </c>
      <c r="D13" s="43">
        <f t="shared" si="0"/>
        <v>9.8000000000000007</v>
      </c>
      <c r="E13" s="61">
        <f t="shared" si="1"/>
        <v>1.8130000000000002</v>
      </c>
      <c r="F13" s="61">
        <f t="shared" si="2"/>
        <v>42</v>
      </c>
      <c r="G13" s="64">
        <f t="shared" si="3"/>
        <v>0.58988764044943809</v>
      </c>
      <c r="H13" s="44">
        <f t="shared" ref="H13:H47" si="6">6.4*ATAN(E13/D13*G13)/PI()*180</f>
        <v>39.859186714563904</v>
      </c>
      <c r="I13" s="42" t="str">
        <f t="shared" si="5"/>
        <v>Half</v>
      </c>
      <c r="J13" s="50">
        <f t="shared" si="5"/>
        <v>6</v>
      </c>
      <c r="K13" s="49">
        <f t="shared" si="5"/>
        <v>160</v>
      </c>
      <c r="L13" s="44">
        <f t="shared" si="5"/>
        <v>8</v>
      </c>
      <c r="M13" s="44">
        <f t="shared" si="5"/>
        <v>-8</v>
      </c>
      <c r="N13" s="45">
        <f t="shared" si="5"/>
        <v>0.2</v>
      </c>
      <c r="O13" s="49">
        <v>0</v>
      </c>
      <c r="P13" s="54">
        <f>K13+6</f>
        <v>166</v>
      </c>
      <c r="Q13" s="44">
        <f t="shared" ref="Q13:R28" si="7">Q12</f>
        <v>150</v>
      </c>
      <c r="R13" s="50">
        <f t="shared" si="7"/>
        <v>270</v>
      </c>
    </row>
    <row r="14" spans="1:18" x14ac:dyDescent="0.25">
      <c r="A14" s="41">
        <f t="shared" si="4"/>
        <v>862</v>
      </c>
      <c r="B14" s="42">
        <f t="shared" si="4"/>
        <v>4</v>
      </c>
      <c r="C14" s="41" t="s">
        <v>1873</v>
      </c>
      <c r="D14" s="43">
        <f t="shared" si="0"/>
        <v>9.8000000000000007</v>
      </c>
      <c r="E14" s="61">
        <f t="shared" si="1"/>
        <v>1.8130000000000002</v>
      </c>
      <c r="F14" s="61">
        <f t="shared" si="2"/>
        <v>42</v>
      </c>
      <c r="G14" s="64">
        <f t="shared" si="3"/>
        <v>0.58988764044943809</v>
      </c>
      <c r="H14" s="44">
        <f t="shared" si="6"/>
        <v>39.859186714563904</v>
      </c>
      <c r="I14" s="42" t="str">
        <f t="shared" si="5"/>
        <v>Half</v>
      </c>
      <c r="J14" s="50">
        <f t="shared" si="5"/>
        <v>6</v>
      </c>
      <c r="K14" s="49">
        <f t="shared" si="5"/>
        <v>160</v>
      </c>
      <c r="L14" s="44">
        <f t="shared" si="5"/>
        <v>8</v>
      </c>
      <c r="M14" s="44">
        <f t="shared" si="5"/>
        <v>-8</v>
      </c>
      <c r="N14" s="45">
        <f t="shared" si="5"/>
        <v>0.2</v>
      </c>
      <c r="O14" s="49">
        <v>30</v>
      </c>
      <c r="P14" s="54">
        <f>K14</f>
        <v>160</v>
      </c>
      <c r="Q14" s="44">
        <f t="shared" si="7"/>
        <v>150</v>
      </c>
      <c r="R14" s="50">
        <f t="shared" si="7"/>
        <v>270</v>
      </c>
    </row>
    <row r="15" spans="1:18" x14ac:dyDescent="0.25">
      <c r="A15" s="41">
        <f t="shared" si="4"/>
        <v>863</v>
      </c>
      <c r="B15" s="42">
        <f t="shared" si="4"/>
        <v>5</v>
      </c>
      <c r="C15" s="41" t="s">
        <v>1874</v>
      </c>
      <c r="D15" s="43">
        <f t="shared" si="0"/>
        <v>9.8000000000000007</v>
      </c>
      <c r="E15" s="61">
        <f t="shared" si="1"/>
        <v>1.8130000000000002</v>
      </c>
      <c r="F15" s="61">
        <f t="shared" si="2"/>
        <v>42</v>
      </c>
      <c r="G15" s="64">
        <f t="shared" si="3"/>
        <v>0.58988764044943809</v>
      </c>
      <c r="H15" s="44">
        <f t="shared" si="6"/>
        <v>39.859186714563904</v>
      </c>
      <c r="I15" s="42" t="str">
        <f t="shared" si="5"/>
        <v>Half</v>
      </c>
      <c r="J15" s="50">
        <f t="shared" si="5"/>
        <v>6</v>
      </c>
      <c r="K15" s="49">
        <f t="shared" si="5"/>
        <v>160</v>
      </c>
      <c r="L15" s="44">
        <f t="shared" si="5"/>
        <v>8</v>
      </c>
      <c r="M15" s="44">
        <f t="shared" si="5"/>
        <v>-8</v>
      </c>
      <c r="N15" s="45">
        <f t="shared" si="5"/>
        <v>0.2</v>
      </c>
      <c r="O15" s="49">
        <v>30</v>
      </c>
      <c r="P15" s="54">
        <f>K15+3</f>
        <v>163</v>
      </c>
      <c r="Q15" s="44">
        <f t="shared" si="7"/>
        <v>150</v>
      </c>
      <c r="R15" s="50">
        <f t="shared" si="7"/>
        <v>270</v>
      </c>
    </row>
    <row r="16" spans="1:18" x14ac:dyDescent="0.25">
      <c r="A16" s="41">
        <f t="shared" si="4"/>
        <v>864</v>
      </c>
      <c r="B16" s="42">
        <f t="shared" si="4"/>
        <v>6</v>
      </c>
      <c r="C16" s="41" t="s">
        <v>1875</v>
      </c>
      <c r="D16" s="43">
        <f t="shared" si="0"/>
        <v>9.8000000000000007</v>
      </c>
      <c r="E16" s="61">
        <f t="shared" si="1"/>
        <v>1.8130000000000002</v>
      </c>
      <c r="F16" s="61">
        <f t="shared" si="2"/>
        <v>42</v>
      </c>
      <c r="G16" s="64">
        <f t="shared" si="3"/>
        <v>0.58988764044943809</v>
      </c>
      <c r="H16" s="44">
        <f t="shared" si="6"/>
        <v>39.859186714563904</v>
      </c>
      <c r="I16" s="42" t="str">
        <f t="shared" si="5"/>
        <v>Half</v>
      </c>
      <c r="J16" s="50">
        <f t="shared" si="5"/>
        <v>6</v>
      </c>
      <c r="K16" s="49">
        <f t="shared" si="5"/>
        <v>160</v>
      </c>
      <c r="L16" s="44">
        <f t="shared" si="5"/>
        <v>8</v>
      </c>
      <c r="M16" s="44">
        <f t="shared" si="5"/>
        <v>-8</v>
      </c>
      <c r="N16" s="45">
        <f t="shared" si="5"/>
        <v>0.2</v>
      </c>
      <c r="O16" s="49">
        <v>30</v>
      </c>
      <c r="P16" s="54">
        <f>K16+6</f>
        <v>166</v>
      </c>
      <c r="Q16" s="44">
        <f t="shared" si="7"/>
        <v>150</v>
      </c>
      <c r="R16" s="50">
        <f t="shared" si="7"/>
        <v>270</v>
      </c>
    </row>
    <row r="17" spans="1:18" x14ac:dyDescent="0.25">
      <c r="A17" s="41">
        <f t="shared" si="4"/>
        <v>865</v>
      </c>
      <c r="B17" s="42">
        <f t="shared" si="4"/>
        <v>7</v>
      </c>
      <c r="C17" s="41" t="s">
        <v>1876</v>
      </c>
      <c r="D17" s="43">
        <f t="shared" si="0"/>
        <v>9.8000000000000007</v>
      </c>
      <c r="E17" s="61">
        <f t="shared" si="1"/>
        <v>1.8130000000000002</v>
      </c>
      <c r="F17" s="61">
        <f t="shared" si="2"/>
        <v>42</v>
      </c>
      <c r="G17" s="64">
        <f t="shared" si="3"/>
        <v>0.58988764044943809</v>
      </c>
      <c r="H17" s="44">
        <f t="shared" si="6"/>
        <v>39.859186714563904</v>
      </c>
      <c r="I17" s="42" t="str">
        <f t="shared" si="5"/>
        <v>Half</v>
      </c>
      <c r="J17" s="50">
        <f t="shared" si="5"/>
        <v>6</v>
      </c>
      <c r="K17" s="49">
        <f t="shared" si="5"/>
        <v>160</v>
      </c>
      <c r="L17" s="44">
        <f t="shared" si="5"/>
        <v>8</v>
      </c>
      <c r="M17" s="44">
        <f t="shared" si="5"/>
        <v>-8</v>
      </c>
      <c r="N17" s="45">
        <f t="shared" si="5"/>
        <v>0.2</v>
      </c>
      <c r="O17" s="49">
        <v>60</v>
      </c>
      <c r="P17" s="54">
        <f>K17</f>
        <v>160</v>
      </c>
      <c r="Q17" s="44">
        <f t="shared" si="7"/>
        <v>150</v>
      </c>
      <c r="R17" s="50">
        <f t="shared" si="7"/>
        <v>270</v>
      </c>
    </row>
    <row r="18" spans="1:18" x14ac:dyDescent="0.25">
      <c r="A18" s="41">
        <f t="shared" si="4"/>
        <v>866</v>
      </c>
      <c r="B18" s="42">
        <f t="shared" si="4"/>
        <v>8</v>
      </c>
      <c r="C18" s="41" t="s">
        <v>1877</v>
      </c>
      <c r="D18" s="43">
        <f t="shared" si="0"/>
        <v>9.8000000000000007</v>
      </c>
      <c r="E18" s="61">
        <f t="shared" si="1"/>
        <v>1.8130000000000002</v>
      </c>
      <c r="F18" s="61">
        <f t="shared" si="2"/>
        <v>42</v>
      </c>
      <c r="G18" s="64">
        <f t="shared" si="3"/>
        <v>0.58988764044943809</v>
      </c>
      <c r="H18" s="44">
        <f t="shared" si="6"/>
        <v>39.859186714563904</v>
      </c>
      <c r="I18" s="42" t="str">
        <f t="shared" si="5"/>
        <v>Half</v>
      </c>
      <c r="J18" s="50">
        <f t="shared" si="5"/>
        <v>6</v>
      </c>
      <c r="K18" s="49">
        <f t="shared" si="5"/>
        <v>160</v>
      </c>
      <c r="L18" s="44">
        <f t="shared" si="5"/>
        <v>8</v>
      </c>
      <c r="M18" s="44">
        <f t="shared" si="5"/>
        <v>-8</v>
      </c>
      <c r="N18" s="45">
        <f t="shared" si="5"/>
        <v>0.2</v>
      </c>
      <c r="O18" s="49">
        <v>60</v>
      </c>
      <c r="P18" s="54">
        <f>K18+3</f>
        <v>163</v>
      </c>
      <c r="Q18" s="44">
        <f t="shared" si="7"/>
        <v>150</v>
      </c>
      <c r="R18" s="50">
        <f t="shared" si="7"/>
        <v>270</v>
      </c>
    </row>
    <row r="19" spans="1:18" x14ac:dyDescent="0.25">
      <c r="A19" s="41">
        <f t="shared" si="4"/>
        <v>867</v>
      </c>
      <c r="B19" s="42">
        <f t="shared" si="4"/>
        <v>9</v>
      </c>
      <c r="C19" s="41" t="s">
        <v>1878</v>
      </c>
      <c r="D19" s="43">
        <f t="shared" si="0"/>
        <v>9.8000000000000007</v>
      </c>
      <c r="E19" s="61">
        <f t="shared" si="1"/>
        <v>1.8130000000000002</v>
      </c>
      <c r="F19" s="61">
        <f t="shared" si="2"/>
        <v>42</v>
      </c>
      <c r="G19" s="64">
        <f t="shared" si="3"/>
        <v>0.58988764044943809</v>
      </c>
      <c r="H19" s="44">
        <f t="shared" si="6"/>
        <v>39.859186714563904</v>
      </c>
      <c r="I19" s="42" t="str">
        <f t="shared" si="5"/>
        <v>Half</v>
      </c>
      <c r="J19" s="50">
        <f t="shared" ref="J19" si="8">J18</f>
        <v>6</v>
      </c>
      <c r="K19" s="49">
        <f t="shared" si="5"/>
        <v>160</v>
      </c>
      <c r="L19" s="44">
        <f t="shared" si="5"/>
        <v>8</v>
      </c>
      <c r="M19" s="44">
        <f t="shared" si="5"/>
        <v>-8</v>
      </c>
      <c r="N19" s="45">
        <f t="shared" si="5"/>
        <v>0.2</v>
      </c>
      <c r="O19" s="49">
        <v>60</v>
      </c>
      <c r="P19" s="54">
        <f>K19+6</f>
        <v>166</v>
      </c>
      <c r="Q19" s="44">
        <f t="shared" si="7"/>
        <v>150</v>
      </c>
      <c r="R19" s="50">
        <f t="shared" si="7"/>
        <v>270</v>
      </c>
    </row>
    <row r="20" spans="1:18" x14ac:dyDescent="0.25">
      <c r="A20" s="41">
        <f t="shared" si="4"/>
        <v>868</v>
      </c>
      <c r="B20" s="42">
        <f t="shared" si="4"/>
        <v>10</v>
      </c>
      <c r="C20" s="41" t="s">
        <v>1879</v>
      </c>
      <c r="D20" s="43">
        <f t="shared" si="0"/>
        <v>9.8000000000000007</v>
      </c>
      <c r="E20" s="61">
        <f t="shared" si="1"/>
        <v>1.8130000000000002</v>
      </c>
      <c r="F20" s="61">
        <f t="shared" si="2"/>
        <v>42</v>
      </c>
      <c r="G20" s="64">
        <f t="shared" si="3"/>
        <v>0.58988764044943809</v>
      </c>
      <c r="H20" s="44">
        <f t="shared" si="6"/>
        <v>39.859186714563904</v>
      </c>
      <c r="I20" s="42" t="str">
        <f>I19</f>
        <v>Half</v>
      </c>
      <c r="J20" s="50">
        <f t="shared" ref="J20" si="9">J19</f>
        <v>6</v>
      </c>
      <c r="K20" s="49">
        <f t="shared" si="5"/>
        <v>160</v>
      </c>
      <c r="L20" s="44">
        <f t="shared" si="5"/>
        <v>8</v>
      </c>
      <c r="M20" s="44">
        <f t="shared" si="5"/>
        <v>-8</v>
      </c>
      <c r="N20" s="45">
        <f t="shared" si="5"/>
        <v>0.2</v>
      </c>
      <c r="O20" s="49">
        <v>90</v>
      </c>
      <c r="P20" s="54">
        <f>K20</f>
        <v>160</v>
      </c>
      <c r="Q20" s="44">
        <f t="shared" si="7"/>
        <v>150</v>
      </c>
      <c r="R20" s="50">
        <f t="shared" si="7"/>
        <v>270</v>
      </c>
    </row>
    <row r="21" spans="1:18" x14ac:dyDescent="0.25">
      <c r="A21" s="41">
        <f t="shared" si="4"/>
        <v>869</v>
      </c>
      <c r="B21" s="42">
        <f t="shared" si="4"/>
        <v>11</v>
      </c>
      <c r="C21" s="41" t="s">
        <v>1880</v>
      </c>
      <c r="D21" s="43">
        <f t="shared" si="0"/>
        <v>9.8000000000000007</v>
      </c>
      <c r="E21" s="61">
        <f t="shared" si="1"/>
        <v>1.8130000000000002</v>
      </c>
      <c r="F21" s="61">
        <f t="shared" si="2"/>
        <v>42</v>
      </c>
      <c r="G21" s="64">
        <f t="shared" si="3"/>
        <v>0.58988764044943809</v>
      </c>
      <c r="H21" s="44">
        <f t="shared" si="6"/>
        <v>39.859186714563904</v>
      </c>
      <c r="I21" s="42" t="str">
        <f>I20</f>
        <v>Half</v>
      </c>
      <c r="J21" s="50">
        <f t="shared" ref="J21" si="10">J20</f>
        <v>6</v>
      </c>
      <c r="K21" s="49">
        <f t="shared" si="5"/>
        <v>160</v>
      </c>
      <c r="L21" s="44">
        <f t="shared" si="5"/>
        <v>8</v>
      </c>
      <c r="M21" s="44">
        <f t="shared" si="5"/>
        <v>-8</v>
      </c>
      <c r="N21" s="45">
        <f t="shared" si="5"/>
        <v>0.2</v>
      </c>
      <c r="O21" s="49">
        <v>90</v>
      </c>
      <c r="P21" s="54">
        <f>K21+3</f>
        <v>163</v>
      </c>
      <c r="Q21" s="44">
        <f t="shared" si="7"/>
        <v>150</v>
      </c>
      <c r="R21" s="50">
        <f t="shared" si="7"/>
        <v>270</v>
      </c>
    </row>
    <row r="22" spans="1:18" x14ac:dyDescent="0.25">
      <c r="A22" s="41">
        <f t="shared" si="4"/>
        <v>870</v>
      </c>
      <c r="B22" s="42">
        <f t="shared" si="4"/>
        <v>12</v>
      </c>
      <c r="C22" s="41" t="s">
        <v>1881</v>
      </c>
      <c r="D22" s="43">
        <f t="shared" si="0"/>
        <v>9.8000000000000007</v>
      </c>
      <c r="E22" s="61">
        <f t="shared" si="1"/>
        <v>1.8130000000000002</v>
      </c>
      <c r="F22" s="61">
        <f t="shared" si="2"/>
        <v>42</v>
      </c>
      <c r="G22" s="64">
        <f t="shared" si="3"/>
        <v>0.58988764044943809</v>
      </c>
      <c r="H22" s="44">
        <f t="shared" si="6"/>
        <v>39.859186714563904</v>
      </c>
      <c r="I22" s="42" t="str">
        <f>I21</f>
        <v>Half</v>
      </c>
      <c r="J22" s="50">
        <f t="shared" ref="J22" si="11">J21</f>
        <v>6</v>
      </c>
      <c r="K22" s="49">
        <f t="shared" si="5"/>
        <v>160</v>
      </c>
      <c r="L22" s="44">
        <f t="shared" si="5"/>
        <v>8</v>
      </c>
      <c r="M22" s="44">
        <f t="shared" si="5"/>
        <v>-8</v>
      </c>
      <c r="N22" s="45">
        <f t="shared" si="5"/>
        <v>0.2</v>
      </c>
      <c r="O22" s="49">
        <v>90</v>
      </c>
      <c r="P22" s="54">
        <f>K22+6</f>
        <v>166</v>
      </c>
      <c r="Q22" s="44">
        <f t="shared" si="7"/>
        <v>150</v>
      </c>
      <c r="R22" s="50">
        <f t="shared" si="7"/>
        <v>270</v>
      </c>
    </row>
    <row r="23" spans="1:18" x14ac:dyDescent="0.25">
      <c r="A23" s="41">
        <f t="shared" si="4"/>
        <v>871</v>
      </c>
      <c r="B23" s="42">
        <f t="shared" si="4"/>
        <v>13</v>
      </c>
      <c r="C23" s="41" t="s">
        <v>1882</v>
      </c>
      <c r="D23" s="43">
        <f t="shared" si="0"/>
        <v>9.8000000000000007</v>
      </c>
      <c r="E23" s="61">
        <f t="shared" si="1"/>
        <v>1.8130000000000002</v>
      </c>
      <c r="F23" s="61">
        <f t="shared" si="2"/>
        <v>42</v>
      </c>
      <c r="G23" s="64">
        <f t="shared" si="3"/>
        <v>0.58988764044943809</v>
      </c>
      <c r="H23" s="44">
        <f t="shared" si="6"/>
        <v>39.859186714563904</v>
      </c>
      <c r="I23" s="42" t="str">
        <f t="shared" si="5"/>
        <v>Half</v>
      </c>
      <c r="J23" s="50">
        <f t="shared" ref="J23" si="12">J22</f>
        <v>6</v>
      </c>
      <c r="K23" s="49">
        <f t="shared" si="5"/>
        <v>160</v>
      </c>
      <c r="L23" s="44">
        <f t="shared" si="5"/>
        <v>8</v>
      </c>
      <c r="M23" s="44">
        <f>yaw_null</f>
        <v>0</v>
      </c>
      <c r="N23" s="45">
        <f t="shared" si="5"/>
        <v>0.2</v>
      </c>
      <c r="O23" s="49">
        <v>0</v>
      </c>
      <c r="P23" s="54">
        <f>K23</f>
        <v>160</v>
      </c>
      <c r="Q23" s="44">
        <f t="shared" si="7"/>
        <v>150</v>
      </c>
      <c r="R23" s="50">
        <f t="shared" si="7"/>
        <v>270</v>
      </c>
    </row>
    <row r="24" spans="1:18" x14ac:dyDescent="0.25">
      <c r="A24" s="41">
        <f t="shared" si="4"/>
        <v>872</v>
      </c>
      <c r="B24" s="42">
        <f t="shared" si="4"/>
        <v>14</v>
      </c>
      <c r="C24" s="41" t="s">
        <v>1883</v>
      </c>
      <c r="D24" s="43">
        <f t="shared" si="0"/>
        <v>9.8000000000000007</v>
      </c>
      <c r="E24" s="61">
        <f t="shared" si="1"/>
        <v>1.8130000000000002</v>
      </c>
      <c r="F24" s="61">
        <f t="shared" si="2"/>
        <v>42</v>
      </c>
      <c r="G24" s="64">
        <f t="shared" si="3"/>
        <v>0.58988764044943809</v>
      </c>
      <c r="H24" s="44">
        <f t="shared" si="6"/>
        <v>39.859186714563904</v>
      </c>
      <c r="I24" s="42" t="str">
        <f t="shared" si="5"/>
        <v>Half</v>
      </c>
      <c r="J24" s="50">
        <f t="shared" ref="J24" si="13">J23</f>
        <v>6</v>
      </c>
      <c r="K24" s="49">
        <f t="shared" si="5"/>
        <v>160</v>
      </c>
      <c r="L24" s="44">
        <f t="shared" si="5"/>
        <v>8</v>
      </c>
      <c r="M24" s="44">
        <f t="shared" si="5"/>
        <v>0</v>
      </c>
      <c r="N24" s="45">
        <f t="shared" si="5"/>
        <v>0.2</v>
      </c>
      <c r="O24" s="49">
        <v>0</v>
      </c>
      <c r="P24" s="54">
        <f>K24+3</f>
        <v>163</v>
      </c>
      <c r="Q24" s="44">
        <f t="shared" si="7"/>
        <v>150</v>
      </c>
      <c r="R24" s="50">
        <f t="shared" si="7"/>
        <v>270</v>
      </c>
    </row>
    <row r="25" spans="1:18" x14ac:dyDescent="0.25">
      <c r="A25" s="41">
        <f t="shared" si="4"/>
        <v>873</v>
      </c>
      <c r="B25" s="42">
        <f t="shared" si="4"/>
        <v>15</v>
      </c>
      <c r="C25" s="41" t="s">
        <v>1884</v>
      </c>
      <c r="D25" s="43">
        <f t="shared" si="0"/>
        <v>9.8000000000000007</v>
      </c>
      <c r="E25" s="61">
        <f t="shared" si="1"/>
        <v>1.8130000000000002</v>
      </c>
      <c r="F25" s="61">
        <f t="shared" si="2"/>
        <v>42</v>
      </c>
      <c r="G25" s="64">
        <f t="shared" si="3"/>
        <v>0.58988764044943809</v>
      </c>
      <c r="H25" s="44">
        <f t="shared" si="6"/>
        <v>39.859186714563904</v>
      </c>
      <c r="I25" s="42" t="str">
        <f t="shared" si="5"/>
        <v>Half</v>
      </c>
      <c r="J25" s="50">
        <f t="shared" ref="J25" si="14">J24</f>
        <v>6</v>
      </c>
      <c r="K25" s="49">
        <f t="shared" si="5"/>
        <v>160</v>
      </c>
      <c r="L25" s="44">
        <f t="shared" si="5"/>
        <v>8</v>
      </c>
      <c r="M25" s="44">
        <f t="shared" si="5"/>
        <v>0</v>
      </c>
      <c r="N25" s="45">
        <f t="shared" si="5"/>
        <v>0.2</v>
      </c>
      <c r="O25" s="49">
        <v>0</v>
      </c>
      <c r="P25" s="54">
        <f>K25+6</f>
        <v>166</v>
      </c>
      <c r="Q25" s="44">
        <f t="shared" si="7"/>
        <v>150</v>
      </c>
      <c r="R25" s="50">
        <f t="shared" si="7"/>
        <v>270</v>
      </c>
    </row>
    <row r="26" spans="1:18" x14ac:dyDescent="0.25">
      <c r="A26" s="41">
        <f t="shared" si="4"/>
        <v>874</v>
      </c>
      <c r="B26" s="42">
        <f t="shared" si="4"/>
        <v>16</v>
      </c>
      <c r="C26" s="41" t="s">
        <v>1885</v>
      </c>
      <c r="D26" s="43">
        <f t="shared" si="0"/>
        <v>9.8000000000000007</v>
      </c>
      <c r="E26" s="61">
        <f t="shared" si="1"/>
        <v>1.8130000000000002</v>
      </c>
      <c r="F26" s="61">
        <f t="shared" si="2"/>
        <v>42</v>
      </c>
      <c r="G26" s="64">
        <f t="shared" si="3"/>
        <v>0.58988764044943809</v>
      </c>
      <c r="H26" s="44">
        <f t="shared" si="6"/>
        <v>39.859186714563904</v>
      </c>
      <c r="I26" s="42" t="str">
        <f t="shared" si="5"/>
        <v>Half</v>
      </c>
      <c r="J26" s="50">
        <f t="shared" ref="J26" si="15">J25</f>
        <v>6</v>
      </c>
      <c r="K26" s="49">
        <f t="shared" si="5"/>
        <v>160</v>
      </c>
      <c r="L26" s="44">
        <f t="shared" si="5"/>
        <v>8</v>
      </c>
      <c r="M26" s="44">
        <f t="shared" si="5"/>
        <v>0</v>
      </c>
      <c r="N26" s="45">
        <f t="shared" si="5"/>
        <v>0.2</v>
      </c>
      <c r="O26" s="49">
        <v>30</v>
      </c>
      <c r="P26" s="54">
        <f>K26</f>
        <v>160</v>
      </c>
      <c r="Q26" s="44">
        <f t="shared" si="7"/>
        <v>150</v>
      </c>
      <c r="R26" s="50">
        <f t="shared" si="7"/>
        <v>270</v>
      </c>
    </row>
    <row r="27" spans="1:18" x14ac:dyDescent="0.25">
      <c r="A27" s="41">
        <f t="shared" si="4"/>
        <v>875</v>
      </c>
      <c r="B27" s="42">
        <f t="shared" si="4"/>
        <v>17</v>
      </c>
      <c r="C27" s="41" t="s">
        <v>1886</v>
      </c>
      <c r="D27" s="43">
        <f t="shared" si="0"/>
        <v>9.8000000000000007</v>
      </c>
      <c r="E27" s="61">
        <f t="shared" si="1"/>
        <v>1.8130000000000002</v>
      </c>
      <c r="F27" s="61">
        <f t="shared" si="2"/>
        <v>42</v>
      </c>
      <c r="G27" s="64">
        <f t="shared" si="3"/>
        <v>0.58988764044943809</v>
      </c>
      <c r="H27" s="44">
        <f t="shared" si="6"/>
        <v>39.859186714563904</v>
      </c>
      <c r="I27" s="42" t="s">
        <v>12</v>
      </c>
      <c r="J27" s="50">
        <f t="shared" ref="J27" si="16">J26</f>
        <v>6</v>
      </c>
      <c r="K27" s="49">
        <f t="shared" si="5"/>
        <v>160</v>
      </c>
      <c r="L27" s="44">
        <f t="shared" si="5"/>
        <v>8</v>
      </c>
      <c r="M27" s="44">
        <f t="shared" si="5"/>
        <v>0</v>
      </c>
      <c r="N27" s="45">
        <f t="shared" si="5"/>
        <v>0.2</v>
      </c>
      <c r="O27" s="49">
        <v>30</v>
      </c>
      <c r="P27" s="54">
        <f>K27+3</f>
        <v>163</v>
      </c>
      <c r="Q27" s="44">
        <f t="shared" si="7"/>
        <v>150</v>
      </c>
      <c r="R27" s="50">
        <f t="shared" si="7"/>
        <v>270</v>
      </c>
    </row>
    <row r="28" spans="1:18" x14ac:dyDescent="0.25">
      <c r="A28" s="41">
        <f t="shared" ref="A28:B43" si="17">A27+1</f>
        <v>876</v>
      </c>
      <c r="B28" s="42">
        <f t="shared" si="17"/>
        <v>18</v>
      </c>
      <c r="C28" s="41" t="s">
        <v>1887</v>
      </c>
      <c r="D28" s="43">
        <f t="shared" si="0"/>
        <v>9.8000000000000007</v>
      </c>
      <c r="E28" s="61">
        <f t="shared" si="1"/>
        <v>1.8130000000000002</v>
      </c>
      <c r="F28" s="61">
        <f t="shared" si="2"/>
        <v>42</v>
      </c>
      <c r="G28" s="64">
        <f t="shared" si="3"/>
        <v>0.58988764044943809</v>
      </c>
      <c r="H28" s="44">
        <f t="shared" si="6"/>
        <v>39.859186714563904</v>
      </c>
      <c r="I28" s="42" t="str">
        <f>I27</f>
        <v>Half</v>
      </c>
      <c r="J28" s="50">
        <f t="shared" ref="J28" si="18">J27</f>
        <v>6</v>
      </c>
      <c r="K28" s="49">
        <f t="shared" ref="K28:N43" si="19">K27</f>
        <v>160</v>
      </c>
      <c r="L28" s="44">
        <f t="shared" si="19"/>
        <v>8</v>
      </c>
      <c r="M28" s="44">
        <f t="shared" si="19"/>
        <v>0</v>
      </c>
      <c r="N28" s="45">
        <f t="shared" si="19"/>
        <v>0.2</v>
      </c>
      <c r="O28" s="49">
        <v>30</v>
      </c>
      <c r="P28" s="54">
        <f>K28+6</f>
        <v>166</v>
      </c>
      <c r="Q28" s="44">
        <f t="shared" si="7"/>
        <v>150</v>
      </c>
      <c r="R28" s="50">
        <f t="shared" si="7"/>
        <v>270</v>
      </c>
    </row>
    <row r="29" spans="1:18" x14ac:dyDescent="0.25">
      <c r="A29" s="41">
        <f t="shared" si="17"/>
        <v>877</v>
      </c>
      <c r="B29" s="42">
        <f t="shared" si="17"/>
        <v>19</v>
      </c>
      <c r="C29" s="41" t="s">
        <v>1888</v>
      </c>
      <c r="D29" s="43">
        <f t="shared" si="0"/>
        <v>9.8000000000000007</v>
      </c>
      <c r="E29" s="61">
        <f t="shared" si="1"/>
        <v>1.8130000000000002</v>
      </c>
      <c r="F29" s="61">
        <f t="shared" si="2"/>
        <v>42</v>
      </c>
      <c r="G29" s="64">
        <f t="shared" si="3"/>
        <v>0.58988764044943809</v>
      </c>
      <c r="H29" s="44">
        <f t="shared" si="6"/>
        <v>39.859186714563904</v>
      </c>
      <c r="I29" s="42" t="str">
        <f t="shared" ref="I29:J42" si="20">I28</f>
        <v>Half</v>
      </c>
      <c r="J29" s="50">
        <f t="shared" si="20"/>
        <v>6</v>
      </c>
      <c r="K29" s="49">
        <f t="shared" si="19"/>
        <v>160</v>
      </c>
      <c r="L29" s="44">
        <f t="shared" si="19"/>
        <v>8</v>
      </c>
      <c r="M29" s="44">
        <f t="shared" si="19"/>
        <v>0</v>
      </c>
      <c r="N29" s="45">
        <f t="shared" si="19"/>
        <v>0.2</v>
      </c>
      <c r="O29" s="49">
        <v>60</v>
      </c>
      <c r="P29" s="54">
        <f>K29</f>
        <v>160</v>
      </c>
      <c r="Q29" s="44">
        <f t="shared" ref="Q29:R44" si="21">Q28</f>
        <v>150</v>
      </c>
      <c r="R29" s="50">
        <f t="shared" si="21"/>
        <v>270</v>
      </c>
    </row>
    <row r="30" spans="1:18" x14ac:dyDescent="0.25">
      <c r="A30" s="41">
        <f t="shared" si="17"/>
        <v>878</v>
      </c>
      <c r="B30" s="42">
        <f t="shared" si="17"/>
        <v>20</v>
      </c>
      <c r="C30" s="41" t="s">
        <v>1889</v>
      </c>
      <c r="D30" s="43">
        <f t="shared" si="0"/>
        <v>9.8000000000000007</v>
      </c>
      <c r="E30" s="61">
        <f t="shared" si="1"/>
        <v>1.8130000000000002</v>
      </c>
      <c r="F30" s="61">
        <f t="shared" si="2"/>
        <v>42</v>
      </c>
      <c r="G30" s="64">
        <f t="shared" si="3"/>
        <v>0.58988764044943809</v>
      </c>
      <c r="H30" s="44">
        <f t="shared" si="6"/>
        <v>39.859186714563904</v>
      </c>
      <c r="I30" s="42" t="str">
        <f t="shared" si="20"/>
        <v>Half</v>
      </c>
      <c r="J30" s="50">
        <f t="shared" si="20"/>
        <v>6</v>
      </c>
      <c r="K30" s="49">
        <f t="shared" si="19"/>
        <v>160</v>
      </c>
      <c r="L30" s="44">
        <f t="shared" si="19"/>
        <v>8</v>
      </c>
      <c r="M30" s="44">
        <f t="shared" si="19"/>
        <v>0</v>
      </c>
      <c r="N30" s="45">
        <f t="shared" si="19"/>
        <v>0.2</v>
      </c>
      <c r="O30" s="49">
        <v>60</v>
      </c>
      <c r="P30" s="54">
        <f>K30+3</f>
        <v>163</v>
      </c>
      <c r="Q30" s="44">
        <f t="shared" si="21"/>
        <v>150</v>
      </c>
      <c r="R30" s="50">
        <f t="shared" si="21"/>
        <v>270</v>
      </c>
    </row>
    <row r="31" spans="1:18" x14ac:dyDescent="0.25">
      <c r="A31" s="41">
        <f t="shared" si="17"/>
        <v>879</v>
      </c>
      <c r="B31" s="42">
        <f t="shared" si="17"/>
        <v>21</v>
      </c>
      <c r="C31" s="41" t="s">
        <v>1890</v>
      </c>
      <c r="D31" s="43">
        <f t="shared" si="0"/>
        <v>9.8000000000000007</v>
      </c>
      <c r="E31" s="61">
        <f t="shared" si="1"/>
        <v>1.8130000000000002</v>
      </c>
      <c r="F31" s="61">
        <f t="shared" si="2"/>
        <v>42</v>
      </c>
      <c r="G31" s="64">
        <f t="shared" si="3"/>
        <v>0.58988764044943809</v>
      </c>
      <c r="H31" s="44">
        <f t="shared" si="6"/>
        <v>39.859186714563904</v>
      </c>
      <c r="I31" s="42" t="str">
        <f t="shared" si="20"/>
        <v>Half</v>
      </c>
      <c r="J31" s="50">
        <f t="shared" si="20"/>
        <v>6</v>
      </c>
      <c r="K31" s="49">
        <f t="shared" si="19"/>
        <v>160</v>
      </c>
      <c r="L31" s="44">
        <f t="shared" si="19"/>
        <v>8</v>
      </c>
      <c r="M31" s="44">
        <f t="shared" si="19"/>
        <v>0</v>
      </c>
      <c r="N31" s="45">
        <f t="shared" si="19"/>
        <v>0.2</v>
      </c>
      <c r="O31" s="49">
        <v>60</v>
      </c>
      <c r="P31" s="54">
        <f>K31+6</f>
        <v>166</v>
      </c>
      <c r="Q31" s="44">
        <f t="shared" si="21"/>
        <v>150</v>
      </c>
      <c r="R31" s="50">
        <f t="shared" si="21"/>
        <v>270</v>
      </c>
    </row>
    <row r="32" spans="1:18" x14ac:dyDescent="0.25">
      <c r="A32" s="41">
        <f t="shared" si="17"/>
        <v>880</v>
      </c>
      <c r="B32" s="42">
        <f t="shared" si="17"/>
        <v>22</v>
      </c>
      <c r="C32" s="41" t="s">
        <v>1891</v>
      </c>
      <c r="D32" s="43">
        <f t="shared" si="0"/>
        <v>9.8000000000000007</v>
      </c>
      <c r="E32" s="61">
        <f t="shared" si="1"/>
        <v>1.8130000000000002</v>
      </c>
      <c r="F32" s="61">
        <f t="shared" si="2"/>
        <v>42</v>
      </c>
      <c r="G32" s="64">
        <f t="shared" si="3"/>
        <v>0.58988764044943809</v>
      </c>
      <c r="H32" s="44">
        <f t="shared" si="6"/>
        <v>39.859186714563904</v>
      </c>
      <c r="I32" s="42" t="str">
        <f t="shared" si="20"/>
        <v>Half</v>
      </c>
      <c r="J32" s="50">
        <f t="shared" si="20"/>
        <v>6</v>
      </c>
      <c r="K32" s="49">
        <f t="shared" si="19"/>
        <v>160</v>
      </c>
      <c r="L32" s="44">
        <f t="shared" si="19"/>
        <v>8</v>
      </c>
      <c r="M32" s="44">
        <f t="shared" si="19"/>
        <v>0</v>
      </c>
      <c r="N32" s="45">
        <f t="shared" si="19"/>
        <v>0.2</v>
      </c>
      <c r="O32" s="49">
        <v>90</v>
      </c>
      <c r="P32" s="54">
        <f>K32</f>
        <v>160</v>
      </c>
      <c r="Q32" s="44">
        <f t="shared" si="21"/>
        <v>150</v>
      </c>
      <c r="R32" s="50">
        <f t="shared" si="21"/>
        <v>270</v>
      </c>
    </row>
    <row r="33" spans="1:18" x14ac:dyDescent="0.25">
      <c r="A33" s="41">
        <f t="shared" si="17"/>
        <v>881</v>
      </c>
      <c r="B33" s="42">
        <f t="shared" si="17"/>
        <v>23</v>
      </c>
      <c r="C33" s="41" t="s">
        <v>1892</v>
      </c>
      <c r="D33" s="43">
        <f t="shared" si="0"/>
        <v>9.8000000000000007</v>
      </c>
      <c r="E33" s="61">
        <f t="shared" si="1"/>
        <v>1.8130000000000002</v>
      </c>
      <c r="F33" s="61">
        <f t="shared" si="2"/>
        <v>42</v>
      </c>
      <c r="G33" s="64">
        <f t="shared" si="3"/>
        <v>0.58988764044943809</v>
      </c>
      <c r="H33" s="44">
        <f t="shared" si="6"/>
        <v>39.859186714563904</v>
      </c>
      <c r="I33" s="42" t="str">
        <f t="shared" si="20"/>
        <v>Half</v>
      </c>
      <c r="J33" s="50">
        <f t="shared" si="20"/>
        <v>6</v>
      </c>
      <c r="K33" s="49">
        <f t="shared" si="19"/>
        <v>160</v>
      </c>
      <c r="L33" s="44">
        <f t="shared" si="19"/>
        <v>8</v>
      </c>
      <c r="M33" s="44">
        <f t="shared" si="19"/>
        <v>0</v>
      </c>
      <c r="N33" s="45">
        <f t="shared" si="19"/>
        <v>0.2</v>
      </c>
      <c r="O33" s="49">
        <v>90</v>
      </c>
      <c r="P33" s="54">
        <f>K33+3</f>
        <v>163</v>
      </c>
      <c r="Q33" s="44">
        <f t="shared" si="21"/>
        <v>150</v>
      </c>
      <c r="R33" s="50">
        <f t="shared" si="21"/>
        <v>270</v>
      </c>
    </row>
    <row r="34" spans="1:18" x14ac:dyDescent="0.25">
      <c r="A34" s="41">
        <f t="shared" si="17"/>
        <v>882</v>
      </c>
      <c r="B34" s="42">
        <f t="shared" si="17"/>
        <v>24</v>
      </c>
      <c r="C34" s="127" t="s">
        <v>1893</v>
      </c>
      <c r="D34" s="43">
        <f t="shared" si="0"/>
        <v>9.8000000000000007</v>
      </c>
      <c r="E34" s="61">
        <f t="shared" si="1"/>
        <v>1.8130000000000002</v>
      </c>
      <c r="F34" s="61">
        <f t="shared" si="2"/>
        <v>42</v>
      </c>
      <c r="G34" s="64">
        <f t="shared" si="3"/>
        <v>0.58988764044943809</v>
      </c>
      <c r="H34" s="44">
        <f t="shared" si="6"/>
        <v>39.859186714563904</v>
      </c>
      <c r="I34" s="42" t="str">
        <f t="shared" si="20"/>
        <v>Half</v>
      </c>
      <c r="J34" s="50">
        <f t="shared" si="20"/>
        <v>6</v>
      </c>
      <c r="K34" s="49">
        <f t="shared" si="19"/>
        <v>160</v>
      </c>
      <c r="L34" s="44">
        <f t="shared" si="19"/>
        <v>8</v>
      </c>
      <c r="M34" s="44">
        <f t="shared" si="19"/>
        <v>0</v>
      </c>
      <c r="N34" s="45">
        <f t="shared" si="19"/>
        <v>0.2</v>
      </c>
      <c r="O34" s="49">
        <v>90</v>
      </c>
      <c r="P34" s="54">
        <f>K34+6</f>
        <v>166</v>
      </c>
      <c r="Q34" s="44">
        <f t="shared" si="21"/>
        <v>150</v>
      </c>
      <c r="R34" s="50">
        <f t="shared" si="21"/>
        <v>270</v>
      </c>
    </row>
    <row r="35" spans="1:18" x14ac:dyDescent="0.25">
      <c r="A35" s="41">
        <f t="shared" si="17"/>
        <v>883</v>
      </c>
      <c r="B35" s="42">
        <f t="shared" si="17"/>
        <v>25</v>
      </c>
      <c r="C35" s="41" t="s">
        <v>1894</v>
      </c>
      <c r="D35" s="43">
        <f t="shared" si="0"/>
        <v>9.8000000000000007</v>
      </c>
      <c r="E35" s="61">
        <f t="shared" si="1"/>
        <v>1.8130000000000002</v>
      </c>
      <c r="F35" s="61">
        <f t="shared" si="2"/>
        <v>42</v>
      </c>
      <c r="G35" s="64">
        <f t="shared" si="3"/>
        <v>0.58988764044943809</v>
      </c>
      <c r="H35" s="44">
        <f t="shared" si="6"/>
        <v>39.859186714563904</v>
      </c>
      <c r="I35" s="42" t="str">
        <f t="shared" si="20"/>
        <v>Half</v>
      </c>
      <c r="J35" s="50">
        <f t="shared" si="20"/>
        <v>6</v>
      </c>
      <c r="K35" s="49">
        <f t="shared" si="19"/>
        <v>160</v>
      </c>
      <c r="L35" s="44">
        <f t="shared" si="19"/>
        <v>8</v>
      </c>
      <c r="M35" s="44">
        <f>yaw_max</f>
        <v>8</v>
      </c>
      <c r="N35" s="45">
        <f t="shared" si="19"/>
        <v>0.2</v>
      </c>
      <c r="O35" s="49">
        <v>0</v>
      </c>
      <c r="P35" s="54">
        <f>K35</f>
        <v>160</v>
      </c>
      <c r="Q35" s="44">
        <f t="shared" si="21"/>
        <v>150</v>
      </c>
      <c r="R35" s="50">
        <f t="shared" si="21"/>
        <v>270</v>
      </c>
    </row>
    <row r="36" spans="1:18" x14ac:dyDescent="0.25">
      <c r="A36" s="41">
        <f t="shared" si="17"/>
        <v>884</v>
      </c>
      <c r="B36" s="42">
        <f t="shared" si="17"/>
        <v>26</v>
      </c>
      <c r="C36" s="41" t="s">
        <v>1895</v>
      </c>
      <c r="D36" s="43">
        <f t="shared" si="0"/>
        <v>9.8000000000000007</v>
      </c>
      <c r="E36" s="61">
        <f t="shared" si="1"/>
        <v>1.8130000000000002</v>
      </c>
      <c r="F36" s="61">
        <f t="shared" si="2"/>
        <v>42</v>
      </c>
      <c r="G36" s="64">
        <f t="shared" si="3"/>
        <v>0.58988764044943809</v>
      </c>
      <c r="H36" s="44">
        <f t="shared" si="6"/>
        <v>39.859186714563904</v>
      </c>
      <c r="I36" s="42" t="str">
        <f t="shared" si="20"/>
        <v>Half</v>
      </c>
      <c r="J36" s="50">
        <f t="shared" si="20"/>
        <v>6</v>
      </c>
      <c r="K36" s="49">
        <f t="shared" si="19"/>
        <v>160</v>
      </c>
      <c r="L36" s="44">
        <f t="shared" si="19"/>
        <v>8</v>
      </c>
      <c r="M36" s="44">
        <f t="shared" si="19"/>
        <v>8</v>
      </c>
      <c r="N36" s="45">
        <f t="shared" si="19"/>
        <v>0.2</v>
      </c>
      <c r="O36" s="49">
        <v>0</v>
      </c>
      <c r="P36" s="54">
        <f>K36+3</f>
        <v>163</v>
      </c>
      <c r="Q36" s="44">
        <f t="shared" si="21"/>
        <v>150</v>
      </c>
      <c r="R36" s="50">
        <f t="shared" si="21"/>
        <v>270</v>
      </c>
    </row>
    <row r="37" spans="1:18" x14ac:dyDescent="0.25">
      <c r="A37" s="41">
        <f t="shared" si="17"/>
        <v>885</v>
      </c>
      <c r="B37" s="42">
        <f t="shared" si="17"/>
        <v>27</v>
      </c>
      <c r="C37" s="41" t="s">
        <v>1896</v>
      </c>
      <c r="D37" s="43">
        <f t="shared" si="0"/>
        <v>9.8000000000000007</v>
      </c>
      <c r="E37" s="61">
        <f t="shared" si="1"/>
        <v>1.8130000000000002</v>
      </c>
      <c r="F37" s="61">
        <f t="shared" si="2"/>
        <v>42</v>
      </c>
      <c r="G37" s="64">
        <f t="shared" si="3"/>
        <v>0.58988764044943809</v>
      </c>
      <c r="H37" s="44">
        <f t="shared" si="6"/>
        <v>39.859186714563904</v>
      </c>
      <c r="I37" s="42" t="str">
        <f t="shared" si="20"/>
        <v>Half</v>
      </c>
      <c r="J37" s="50">
        <f t="shared" si="20"/>
        <v>6</v>
      </c>
      <c r="K37" s="49">
        <f t="shared" si="19"/>
        <v>160</v>
      </c>
      <c r="L37" s="44">
        <f t="shared" si="19"/>
        <v>8</v>
      </c>
      <c r="M37" s="44">
        <f t="shared" si="19"/>
        <v>8</v>
      </c>
      <c r="N37" s="45">
        <f t="shared" si="19"/>
        <v>0.2</v>
      </c>
      <c r="O37" s="49">
        <v>0</v>
      </c>
      <c r="P37" s="54">
        <f>K37+6</f>
        <v>166</v>
      </c>
      <c r="Q37" s="44">
        <f t="shared" si="21"/>
        <v>150</v>
      </c>
      <c r="R37" s="50">
        <f t="shared" si="21"/>
        <v>270</v>
      </c>
    </row>
    <row r="38" spans="1:18" x14ac:dyDescent="0.25">
      <c r="A38" s="41">
        <f t="shared" si="17"/>
        <v>886</v>
      </c>
      <c r="B38" s="42">
        <f t="shared" si="17"/>
        <v>28</v>
      </c>
      <c r="C38" s="41" t="s">
        <v>1897</v>
      </c>
      <c r="D38" s="43">
        <f t="shared" si="0"/>
        <v>9.8000000000000007</v>
      </c>
      <c r="E38" s="61">
        <f t="shared" si="1"/>
        <v>1.8130000000000002</v>
      </c>
      <c r="F38" s="61">
        <f t="shared" si="2"/>
        <v>42</v>
      </c>
      <c r="G38" s="64">
        <f t="shared" si="3"/>
        <v>0.58988764044943809</v>
      </c>
      <c r="H38" s="44">
        <f t="shared" si="6"/>
        <v>39.859186714563904</v>
      </c>
      <c r="I38" s="42" t="str">
        <f t="shared" si="20"/>
        <v>Half</v>
      </c>
      <c r="J38" s="50">
        <f t="shared" si="20"/>
        <v>6</v>
      </c>
      <c r="K38" s="49">
        <f t="shared" si="19"/>
        <v>160</v>
      </c>
      <c r="L38" s="44">
        <f t="shared" si="19"/>
        <v>8</v>
      </c>
      <c r="M38" s="44">
        <f t="shared" si="19"/>
        <v>8</v>
      </c>
      <c r="N38" s="45">
        <f t="shared" si="19"/>
        <v>0.2</v>
      </c>
      <c r="O38" s="49">
        <v>30</v>
      </c>
      <c r="P38" s="54">
        <f>K38</f>
        <v>160</v>
      </c>
      <c r="Q38" s="44">
        <f t="shared" si="21"/>
        <v>150</v>
      </c>
      <c r="R38" s="50">
        <f t="shared" si="21"/>
        <v>270</v>
      </c>
    </row>
    <row r="39" spans="1:18" x14ac:dyDescent="0.25">
      <c r="A39" s="41">
        <f t="shared" si="17"/>
        <v>887</v>
      </c>
      <c r="B39" s="42">
        <f t="shared" si="17"/>
        <v>29</v>
      </c>
      <c r="C39" s="41" t="s">
        <v>1898</v>
      </c>
      <c r="D39" s="43">
        <f t="shared" si="0"/>
        <v>9.8000000000000007</v>
      </c>
      <c r="E39" s="61">
        <f t="shared" si="1"/>
        <v>1.8130000000000002</v>
      </c>
      <c r="F39" s="61">
        <f t="shared" si="2"/>
        <v>42</v>
      </c>
      <c r="G39" s="64">
        <f t="shared" si="3"/>
        <v>0.58988764044943809</v>
      </c>
      <c r="H39" s="44">
        <f t="shared" si="6"/>
        <v>39.859186714563904</v>
      </c>
      <c r="I39" s="42" t="str">
        <f t="shared" si="20"/>
        <v>Half</v>
      </c>
      <c r="J39" s="50">
        <f t="shared" si="20"/>
        <v>6</v>
      </c>
      <c r="K39" s="49">
        <f t="shared" si="19"/>
        <v>160</v>
      </c>
      <c r="L39" s="44">
        <f t="shared" si="19"/>
        <v>8</v>
      </c>
      <c r="M39" s="44">
        <f t="shared" si="19"/>
        <v>8</v>
      </c>
      <c r="N39" s="45">
        <f t="shared" si="19"/>
        <v>0.2</v>
      </c>
      <c r="O39" s="49">
        <v>30</v>
      </c>
      <c r="P39" s="54">
        <f>K39+3</f>
        <v>163</v>
      </c>
      <c r="Q39" s="44">
        <f t="shared" si="21"/>
        <v>150</v>
      </c>
      <c r="R39" s="50">
        <f t="shared" si="21"/>
        <v>270</v>
      </c>
    </row>
    <row r="40" spans="1:18" x14ac:dyDescent="0.25">
      <c r="A40" s="41">
        <f t="shared" si="17"/>
        <v>888</v>
      </c>
      <c r="B40" s="42">
        <f t="shared" si="17"/>
        <v>30</v>
      </c>
      <c r="C40" s="41" t="s">
        <v>1899</v>
      </c>
      <c r="D40" s="43">
        <f t="shared" si="0"/>
        <v>9.8000000000000007</v>
      </c>
      <c r="E40" s="61">
        <f t="shared" si="1"/>
        <v>1.8130000000000002</v>
      </c>
      <c r="F40" s="61">
        <f t="shared" si="2"/>
        <v>42</v>
      </c>
      <c r="G40" s="64">
        <f t="shared" si="3"/>
        <v>0.58988764044943809</v>
      </c>
      <c r="H40" s="44">
        <f t="shared" si="6"/>
        <v>39.859186714563904</v>
      </c>
      <c r="I40" s="42" t="str">
        <f t="shared" si="20"/>
        <v>Half</v>
      </c>
      <c r="J40" s="50">
        <f t="shared" si="20"/>
        <v>6</v>
      </c>
      <c r="K40" s="49">
        <f t="shared" si="19"/>
        <v>160</v>
      </c>
      <c r="L40" s="44">
        <f t="shared" si="19"/>
        <v>8</v>
      </c>
      <c r="M40" s="44">
        <f t="shared" si="19"/>
        <v>8</v>
      </c>
      <c r="N40" s="45">
        <f t="shared" si="19"/>
        <v>0.2</v>
      </c>
      <c r="O40" s="49">
        <v>30</v>
      </c>
      <c r="P40" s="54">
        <f>K40+6</f>
        <v>166</v>
      </c>
      <c r="Q40" s="44">
        <f t="shared" si="21"/>
        <v>150</v>
      </c>
      <c r="R40" s="50">
        <f t="shared" si="21"/>
        <v>270</v>
      </c>
    </row>
    <row r="41" spans="1:18" x14ac:dyDescent="0.25">
      <c r="A41" s="41">
        <f t="shared" si="17"/>
        <v>889</v>
      </c>
      <c r="B41" s="42">
        <f t="shared" si="17"/>
        <v>31</v>
      </c>
      <c r="C41" s="41" t="s">
        <v>1900</v>
      </c>
      <c r="D41" s="43">
        <f t="shared" si="0"/>
        <v>9.8000000000000007</v>
      </c>
      <c r="E41" s="61">
        <f t="shared" si="1"/>
        <v>1.8130000000000002</v>
      </c>
      <c r="F41" s="61">
        <f t="shared" si="2"/>
        <v>42</v>
      </c>
      <c r="G41" s="64">
        <f t="shared" si="3"/>
        <v>0.58988764044943809</v>
      </c>
      <c r="H41" s="44">
        <f t="shared" si="6"/>
        <v>39.859186714563904</v>
      </c>
      <c r="I41" s="42" t="str">
        <f t="shared" si="20"/>
        <v>Half</v>
      </c>
      <c r="J41" s="50">
        <f t="shared" si="20"/>
        <v>6</v>
      </c>
      <c r="K41" s="49">
        <f t="shared" si="19"/>
        <v>160</v>
      </c>
      <c r="L41" s="44">
        <f t="shared" si="19"/>
        <v>8</v>
      </c>
      <c r="M41" s="44">
        <f t="shared" si="19"/>
        <v>8</v>
      </c>
      <c r="N41" s="45">
        <f t="shared" si="19"/>
        <v>0.2</v>
      </c>
      <c r="O41" s="49">
        <v>60</v>
      </c>
      <c r="P41" s="54">
        <f>K41</f>
        <v>160</v>
      </c>
      <c r="Q41" s="44">
        <f t="shared" si="21"/>
        <v>150</v>
      </c>
      <c r="R41" s="50">
        <f t="shared" si="21"/>
        <v>270</v>
      </c>
    </row>
    <row r="42" spans="1:18" x14ac:dyDescent="0.25">
      <c r="A42" s="41">
        <f t="shared" si="17"/>
        <v>890</v>
      </c>
      <c r="B42" s="42">
        <f t="shared" si="17"/>
        <v>32</v>
      </c>
      <c r="C42" s="41" t="s">
        <v>1901</v>
      </c>
      <c r="D42" s="43">
        <f t="shared" si="0"/>
        <v>9.8000000000000007</v>
      </c>
      <c r="E42" s="61">
        <f t="shared" si="1"/>
        <v>1.8130000000000002</v>
      </c>
      <c r="F42" s="61">
        <f t="shared" si="2"/>
        <v>42</v>
      </c>
      <c r="G42" s="64">
        <f t="shared" si="3"/>
        <v>0.58988764044943809</v>
      </c>
      <c r="H42" s="44">
        <f t="shared" si="6"/>
        <v>39.859186714563904</v>
      </c>
      <c r="I42" s="42" t="str">
        <f t="shared" si="20"/>
        <v>Half</v>
      </c>
      <c r="J42" s="50">
        <f t="shared" si="20"/>
        <v>6</v>
      </c>
      <c r="K42" s="49">
        <f t="shared" si="19"/>
        <v>160</v>
      </c>
      <c r="L42" s="44">
        <f t="shared" si="19"/>
        <v>8</v>
      </c>
      <c r="M42" s="44">
        <f t="shared" si="19"/>
        <v>8</v>
      </c>
      <c r="N42" s="45">
        <f t="shared" si="19"/>
        <v>0.2</v>
      </c>
      <c r="O42" s="49">
        <v>60</v>
      </c>
      <c r="P42" s="54">
        <f>K42+3</f>
        <v>163</v>
      </c>
      <c r="Q42" s="44">
        <f t="shared" si="21"/>
        <v>150</v>
      </c>
      <c r="R42" s="50">
        <f t="shared" si="21"/>
        <v>270</v>
      </c>
    </row>
    <row r="43" spans="1:18" x14ac:dyDescent="0.25">
      <c r="A43" s="41">
        <f t="shared" si="17"/>
        <v>891</v>
      </c>
      <c r="B43" s="42">
        <f t="shared" si="17"/>
        <v>33</v>
      </c>
      <c r="C43" s="41" t="s">
        <v>1902</v>
      </c>
      <c r="D43" s="43">
        <f t="shared" ref="D43:D74" si="22">v_r</f>
        <v>9.8000000000000007</v>
      </c>
      <c r="E43" s="61">
        <f t="shared" si="1"/>
        <v>1.8130000000000002</v>
      </c>
      <c r="F43" s="61">
        <f t="shared" si="2"/>
        <v>42</v>
      </c>
      <c r="G43" s="64">
        <f t="shared" si="3"/>
        <v>0.58988764044943809</v>
      </c>
      <c r="H43" s="44">
        <f t="shared" si="6"/>
        <v>39.859186714563904</v>
      </c>
      <c r="I43" s="42" t="s">
        <v>12</v>
      </c>
      <c r="J43" s="50">
        <f t="shared" ref="J43" si="23">J42</f>
        <v>6</v>
      </c>
      <c r="K43" s="49">
        <f t="shared" si="19"/>
        <v>160</v>
      </c>
      <c r="L43" s="44">
        <f t="shared" si="19"/>
        <v>8</v>
      </c>
      <c r="M43" s="44">
        <f t="shared" si="19"/>
        <v>8</v>
      </c>
      <c r="N43" s="45">
        <f t="shared" si="19"/>
        <v>0.2</v>
      </c>
      <c r="O43" s="49">
        <v>60</v>
      </c>
      <c r="P43" s="54">
        <f>K43+6</f>
        <v>166</v>
      </c>
      <c r="Q43" s="44">
        <f t="shared" si="21"/>
        <v>150</v>
      </c>
      <c r="R43" s="50">
        <f t="shared" si="21"/>
        <v>270</v>
      </c>
    </row>
    <row r="44" spans="1:18" x14ac:dyDescent="0.25">
      <c r="A44" s="41">
        <f t="shared" ref="A44:B59" si="24">A43+1</f>
        <v>892</v>
      </c>
      <c r="B44" s="42">
        <f t="shared" si="24"/>
        <v>34</v>
      </c>
      <c r="C44" s="41" t="s">
        <v>1903</v>
      </c>
      <c r="D44" s="43">
        <f t="shared" si="22"/>
        <v>9.8000000000000007</v>
      </c>
      <c r="E44" s="61">
        <f t="shared" si="1"/>
        <v>1.8130000000000002</v>
      </c>
      <c r="F44" s="61">
        <f t="shared" si="2"/>
        <v>42</v>
      </c>
      <c r="G44" s="64">
        <f t="shared" si="3"/>
        <v>0.58988764044943809</v>
      </c>
      <c r="H44" s="44">
        <f t="shared" si="6"/>
        <v>39.859186714563904</v>
      </c>
      <c r="I44" s="42" t="str">
        <f>I43</f>
        <v>Half</v>
      </c>
      <c r="J44" s="50">
        <f t="shared" ref="J44" si="25">J43</f>
        <v>6</v>
      </c>
      <c r="K44" s="49">
        <f t="shared" ref="K44:N47" si="26">K43</f>
        <v>160</v>
      </c>
      <c r="L44" s="44">
        <f t="shared" si="26"/>
        <v>8</v>
      </c>
      <c r="M44" s="44">
        <f t="shared" si="26"/>
        <v>8</v>
      </c>
      <c r="N44" s="45">
        <f t="shared" si="26"/>
        <v>0.2</v>
      </c>
      <c r="O44" s="49">
        <v>90</v>
      </c>
      <c r="P44" s="54">
        <f>K44</f>
        <v>160</v>
      </c>
      <c r="Q44" s="44">
        <f t="shared" si="21"/>
        <v>150</v>
      </c>
      <c r="R44" s="50">
        <f t="shared" si="21"/>
        <v>270</v>
      </c>
    </row>
    <row r="45" spans="1:18" x14ac:dyDescent="0.25">
      <c r="A45" s="41">
        <f t="shared" si="24"/>
        <v>893</v>
      </c>
      <c r="B45" s="42">
        <f t="shared" si="24"/>
        <v>35</v>
      </c>
      <c r="C45" s="41" t="s">
        <v>1904</v>
      </c>
      <c r="D45" s="43">
        <f t="shared" si="22"/>
        <v>9.8000000000000007</v>
      </c>
      <c r="E45" s="61">
        <f t="shared" si="1"/>
        <v>1.8130000000000002</v>
      </c>
      <c r="F45" s="61">
        <f t="shared" si="2"/>
        <v>42</v>
      </c>
      <c r="G45" s="64">
        <f t="shared" si="3"/>
        <v>0.58988764044943809</v>
      </c>
      <c r="H45" s="44">
        <f t="shared" si="6"/>
        <v>39.859186714563904</v>
      </c>
      <c r="I45" s="42" t="str">
        <f t="shared" ref="I45:N59" si="27">I44</f>
        <v>Half</v>
      </c>
      <c r="J45" s="50">
        <f t="shared" si="27"/>
        <v>6</v>
      </c>
      <c r="K45" s="49">
        <f t="shared" si="26"/>
        <v>160</v>
      </c>
      <c r="L45" s="44">
        <f t="shared" si="26"/>
        <v>8</v>
      </c>
      <c r="M45" s="44">
        <f t="shared" si="26"/>
        <v>8</v>
      </c>
      <c r="N45" s="45">
        <f t="shared" si="26"/>
        <v>0.2</v>
      </c>
      <c r="O45" s="49">
        <v>90</v>
      </c>
      <c r="P45" s="54">
        <f>K45+3</f>
        <v>163</v>
      </c>
      <c r="Q45" s="44">
        <f t="shared" ref="Q45:R60" si="28">Q44</f>
        <v>150</v>
      </c>
      <c r="R45" s="50">
        <f t="shared" si="28"/>
        <v>270</v>
      </c>
    </row>
    <row r="46" spans="1:18" x14ac:dyDescent="0.25">
      <c r="A46" s="41">
        <f t="shared" si="24"/>
        <v>894</v>
      </c>
      <c r="B46" s="42">
        <f t="shared" si="24"/>
        <v>36</v>
      </c>
      <c r="C46" s="41" t="s">
        <v>1905</v>
      </c>
      <c r="D46" s="43">
        <f t="shared" si="22"/>
        <v>9.8000000000000007</v>
      </c>
      <c r="E46" s="61">
        <f t="shared" si="1"/>
        <v>1.8130000000000002</v>
      </c>
      <c r="F46" s="61">
        <f t="shared" si="2"/>
        <v>42</v>
      </c>
      <c r="G46" s="64">
        <f t="shared" si="3"/>
        <v>0.58988764044943809</v>
      </c>
      <c r="H46" s="44">
        <f t="shared" si="6"/>
        <v>39.859186714563904</v>
      </c>
      <c r="I46" s="42" t="str">
        <f t="shared" si="27"/>
        <v>Half</v>
      </c>
      <c r="J46" s="50">
        <f t="shared" si="27"/>
        <v>6</v>
      </c>
      <c r="K46" s="49">
        <f t="shared" si="26"/>
        <v>160</v>
      </c>
      <c r="L46" s="44">
        <f t="shared" si="26"/>
        <v>8</v>
      </c>
      <c r="M46" s="44">
        <f t="shared" si="26"/>
        <v>8</v>
      </c>
      <c r="N46" s="45">
        <f t="shared" si="26"/>
        <v>0.2</v>
      </c>
      <c r="O46" s="49">
        <v>90</v>
      </c>
      <c r="P46" s="54">
        <f>K46+6</f>
        <v>166</v>
      </c>
      <c r="Q46" s="44">
        <f t="shared" si="28"/>
        <v>150</v>
      </c>
      <c r="R46" s="50">
        <f t="shared" si="28"/>
        <v>270</v>
      </c>
    </row>
    <row r="47" spans="1:18" x14ac:dyDescent="0.25">
      <c r="A47" s="41">
        <f t="shared" si="24"/>
        <v>895</v>
      </c>
      <c r="B47" s="42">
        <f t="shared" si="24"/>
        <v>37</v>
      </c>
      <c r="C47" s="41" t="s">
        <v>1906</v>
      </c>
      <c r="D47" s="43">
        <f t="shared" si="22"/>
        <v>9.8000000000000007</v>
      </c>
      <c r="E47" s="61">
        <f t="shared" si="1"/>
        <v>1.8130000000000002</v>
      </c>
      <c r="F47" s="61">
        <f t="shared" si="2"/>
        <v>42</v>
      </c>
      <c r="G47" s="64">
        <f t="shared" si="3"/>
        <v>0.58988764044943809</v>
      </c>
      <c r="H47" s="44">
        <f t="shared" si="6"/>
        <v>39.859186714563904</v>
      </c>
      <c r="I47" s="42" t="str">
        <f t="shared" si="27"/>
        <v>Half</v>
      </c>
      <c r="J47" s="50">
        <f t="shared" si="27"/>
        <v>6</v>
      </c>
      <c r="K47" s="49">
        <f t="shared" si="27"/>
        <v>160</v>
      </c>
      <c r="L47" s="44">
        <f t="shared" si="27"/>
        <v>8</v>
      </c>
      <c r="M47" s="44">
        <f>yaw_min</f>
        <v>-8</v>
      </c>
      <c r="N47" s="45">
        <f t="shared" si="26"/>
        <v>0.2</v>
      </c>
      <c r="O47" s="49">
        <v>0</v>
      </c>
      <c r="P47" s="54">
        <f>K47</f>
        <v>160</v>
      </c>
      <c r="Q47" s="44">
        <f t="shared" si="28"/>
        <v>150</v>
      </c>
      <c r="R47" s="50">
        <f t="shared" si="28"/>
        <v>270</v>
      </c>
    </row>
    <row r="48" spans="1:18" x14ac:dyDescent="0.25">
      <c r="A48" s="41">
        <f>A47+1</f>
        <v>896</v>
      </c>
      <c r="B48" s="42">
        <f>B47+1</f>
        <v>38</v>
      </c>
      <c r="C48" s="41" t="s">
        <v>1907</v>
      </c>
      <c r="D48" s="43">
        <f t="shared" si="22"/>
        <v>9.8000000000000007</v>
      </c>
      <c r="E48" s="61">
        <f t="shared" si="1"/>
        <v>1.8130000000000002</v>
      </c>
      <c r="F48" s="61">
        <f t="shared" si="2"/>
        <v>42</v>
      </c>
      <c r="G48" s="64">
        <f t="shared" si="3"/>
        <v>0.58988764044943809</v>
      </c>
      <c r="H48" s="44">
        <f>-6.4*ATAN(E48/D48*G48)/PI()*180</f>
        <v>-39.859186714563904</v>
      </c>
      <c r="I48" s="42" t="str">
        <f t="shared" si="27"/>
        <v>Half</v>
      </c>
      <c r="J48" s="50">
        <f t="shared" si="27"/>
        <v>6</v>
      </c>
      <c r="K48" s="49">
        <f t="shared" si="27"/>
        <v>160</v>
      </c>
      <c r="L48" s="44">
        <f t="shared" si="27"/>
        <v>8</v>
      </c>
      <c r="M48" s="44">
        <f t="shared" si="27"/>
        <v>-8</v>
      </c>
      <c r="N48" s="45">
        <f t="shared" si="27"/>
        <v>0.2</v>
      </c>
      <c r="O48" s="49">
        <v>0</v>
      </c>
      <c r="P48" s="54">
        <f>K48+3</f>
        <v>163</v>
      </c>
      <c r="Q48" s="44">
        <f t="shared" si="28"/>
        <v>150</v>
      </c>
      <c r="R48" s="50">
        <f t="shared" si="28"/>
        <v>270</v>
      </c>
    </row>
    <row r="49" spans="1:18" x14ac:dyDescent="0.25">
      <c r="A49" s="41">
        <f t="shared" si="24"/>
        <v>897</v>
      </c>
      <c r="B49" s="42">
        <f t="shared" si="24"/>
        <v>39</v>
      </c>
      <c r="C49" s="41" t="s">
        <v>1908</v>
      </c>
      <c r="D49" s="43">
        <f t="shared" si="22"/>
        <v>9.8000000000000007</v>
      </c>
      <c r="E49" s="61">
        <f t="shared" si="1"/>
        <v>1.8130000000000002</v>
      </c>
      <c r="F49" s="61">
        <f t="shared" si="2"/>
        <v>42</v>
      </c>
      <c r="G49" s="64">
        <f t="shared" si="3"/>
        <v>0.58988764044943809</v>
      </c>
      <c r="H49" s="44">
        <f t="shared" ref="H49:H82" si="29">-6.4*ATAN(E49/D49*G49)/PI()*180</f>
        <v>-39.859186714563904</v>
      </c>
      <c r="I49" s="42" t="str">
        <f t="shared" si="27"/>
        <v>Half</v>
      </c>
      <c r="J49" s="50">
        <f t="shared" si="27"/>
        <v>6</v>
      </c>
      <c r="K49" s="49">
        <f t="shared" si="27"/>
        <v>160</v>
      </c>
      <c r="L49" s="44">
        <f t="shared" si="27"/>
        <v>8</v>
      </c>
      <c r="M49" s="44">
        <f t="shared" si="27"/>
        <v>-8</v>
      </c>
      <c r="N49" s="45">
        <f t="shared" si="27"/>
        <v>0.2</v>
      </c>
      <c r="O49" s="49">
        <v>0</v>
      </c>
      <c r="P49" s="54">
        <f>K49+6</f>
        <v>166</v>
      </c>
      <c r="Q49" s="44">
        <f t="shared" si="28"/>
        <v>150</v>
      </c>
      <c r="R49" s="50">
        <f t="shared" si="28"/>
        <v>270</v>
      </c>
    </row>
    <row r="50" spans="1:18" x14ac:dyDescent="0.25">
      <c r="A50" s="41">
        <f t="shared" si="24"/>
        <v>898</v>
      </c>
      <c r="B50" s="42">
        <f t="shared" si="24"/>
        <v>40</v>
      </c>
      <c r="C50" s="41" t="s">
        <v>1909</v>
      </c>
      <c r="D50" s="43">
        <f t="shared" si="22"/>
        <v>9.8000000000000007</v>
      </c>
      <c r="E50" s="61">
        <f t="shared" si="1"/>
        <v>1.8130000000000002</v>
      </c>
      <c r="F50" s="61">
        <f t="shared" si="2"/>
        <v>42</v>
      </c>
      <c r="G50" s="64">
        <f t="shared" si="3"/>
        <v>0.58988764044943809</v>
      </c>
      <c r="H50" s="44">
        <f t="shared" si="29"/>
        <v>-39.859186714563904</v>
      </c>
      <c r="I50" s="42" t="str">
        <f t="shared" si="27"/>
        <v>Half</v>
      </c>
      <c r="J50" s="50">
        <f t="shared" si="27"/>
        <v>6</v>
      </c>
      <c r="K50" s="49">
        <f t="shared" si="27"/>
        <v>160</v>
      </c>
      <c r="L50" s="44">
        <f t="shared" si="27"/>
        <v>8</v>
      </c>
      <c r="M50" s="44">
        <f t="shared" si="27"/>
        <v>-8</v>
      </c>
      <c r="N50" s="45">
        <f t="shared" si="27"/>
        <v>0.2</v>
      </c>
      <c r="O50" s="49">
        <v>30</v>
      </c>
      <c r="P50" s="54">
        <f>K50</f>
        <v>160</v>
      </c>
      <c r="Q50" s="44">
        <f t="shared" si="28"/>
        <v>150</v>
      </c>
      <c r="R50" s="50">
        <f t="shared" si="28"/>
        <v>270</v>
      </c>
    </row>
    <row r="51" spans="1:18" x14ac:dyDescent="0.25">
      <c r="A51" s="41">
        <f t="shared" si="24"/>
        <v>899</v>
      </c>
      <c r="B51" s="42">
        <f t="shared" si="24"/>
        <v>41</v>
      </c>
      <c r="C51" s="41" t="s">
        <v>1910</v>
      </c>
      <c r="D51" s="43">
        <f t="shared" si="22"/>
        <v>9.8000000000000007</v>
      </c>
      <c r="E51" s="61">
        <f t="shared" si="1"/>
        <v>1.8130000000000002</v>
      </c>
      <c r="F51" s="61">
        <f t="shared" si="2"/>
        <v>42</v>
      </c>
      <c r="G51" s="64">
        <f t="shared" si="3"/>
        <v>0.58988764044943809</v>
      </c>
      <c r="H51" s="44">
        <f t="shared" si="29"/>
        <v>-39.859186714563904</v>
      </c>
      <c r="I51" s="42" t="str">
        <f t="shared" si="27"/>
        <v>Half</v>
      </c>
      <c r="J51" s="50">
        <f t="shared" si="27"/>
        <v>6</v>
      </c>
      <c r="K51" s="49">
        <f t="shared" si="27"/>
        <v>160</v>
      </c>
      <c r="L51" s="44">
        <f t="shared" si="27"/>
        <v>8</v>
      </c>
      <c r="M51" s="44">
        <f t="shared" si="27"/>
        <v>-8</v>
      </c>
      <c r="N51" s="45">
        <f t="shared" si="27"/>
        <v>0.2</v>
      </c>
      <c r="O51" s="49">
        <v>30</v>
      </c>
      <c r="P51" s="54">
        <f>K51+3</f>
        <v>163</v>
      </c>
      <c r="Q51" s="44">
        <f t="shared" si="28"/>
        <v>150</v>
      </c>
      <c r="R51" s="50">
        <f t="shared" si="28"/>
        <v>270</v>
      </c>
    </row>
    <row r="52" spans="1:18" x14ac:dyDescent="0.25">
      <c r="A52" s="41">
        <f t="shared" si="24"/>
        <v>900</v>
      </c>
      <c r="B52" s="42">
        <f t="shared" si="24"/>
        <v>42</v>
      </c>
      <c r="C52" s="41" t="s">
        <v>1911</v>
      </c>
      <c r="D52" s="43">
        <f t="shared" si="22"/>
        <v>9.8000000000000007</v>
      </c>
      <c r="E52" s="61">
        <f t="shared" si="1"/>
        <v>1.8130000000000002</v>
      </c>
      <c r="F52" s="61">
        <f t="shared" si="2"/>
        <v>42</v>
      </c>
      <c r="G52" s="64">
        <f t="shared" si="3"/>
        <v>0.58988764044943809</v>
      </c>
      <c r="H52" s="44">
        <f t="shared" si="29"/>
        <v>-39.859186714563904</v>
      </c>
      <c r="I52" s="42" t="str">
        <f t="shared" si="27"/>
        <v>Half</v>
      </c>
      <c r="J52" s="50">
        <f t="shared" si="27"/>
        <v>6</v>
      </c>
      <c r="K52" s="49">
        <f t="shared" si="27"/>
        <v>160</v>
      </c>
      <c r="L52" s="44">
        <f t="shared" si="27"/>
        <v>8</v>
      </c>
      <c r="M52" s="44">
        <f t="shared" si="27"/>
        <v>-8</v>
      </c>
      <c r="N52" s="45">
        <f t="shared" si="27"/>
        <v>0.2</v>
      </c>
      <c r="O52" s="49">
        <v>30</v>
      </c>
      <c r="P52" s="54">
        <f>K52+6</f>
        <v>166</v>
      </c>
      <c r="Q52" s="44">
        <f t="shared" si="28"/>
        <v>150</v>
      </c>
      <c r="R52" s="50">
        <f t="shared" si="28"/>
        <v>270</v>
      </c>
    </row>
    <row r="53" spans="1:18" x14ac:dyDescent="0.25">
      <c r="A53" s="41">
        <f t="shared" si="24"/>
        <v>901</v>
      </c>
      <c r="B53" s="42">
        <f t="shared" si="24"/>
        <v>43</v>
      </c>
      <c r="C53" s="41" t="s">
        <v>1912</v>
      </c>
      <c r="D53" s="43">
        <f t="shared" si="22"/>
        <v>9.8000000000000007</v>
      </c>
      <c r="E53" s="61">
        <f t="shared" si="1"/>
        <v>1.8130000000000002</v>
      </c>
      <c r="F53" s="61">
        <f t="shared" si="2"/>
        <v>42</v>
      </c>
      <c r="G53" s="64">
        <f t="shared" si="3"/>
        <v>0.58988764044943809</v>
      </c>
      <c r="H53" s="44">
        <f t="shared" si="29"/>
        <v>-39.859186714563904</v>
      </c>
      <c r="I53" s="42" t="str">
        <f t="shared" si="27"/>
        <v>Half</v>
      </c>
      <c r="J53" s="50">
        <f t="shared" si="27"/>
        <v>6</v>
      </c>
      <c r="K53" s="49">
        <f t="shared" si="27"/>
        <v>160</v>
      </c>
      <c r="L53" s="44">
        <f t="shared" si="27"/>
        <v>8</v>
      </c>
      <c r="M53" s="44">
        <f t="shared" si="27"/>
        <v>-8</v>
      </c>
      <c r="N53" s="45">
        <f t="shared" si="27"/>
        <v>0.2</v>
      </c>
      <c r="O53" s="49">
        <v>60</v>
      </c>
      <c r="P53" s="54">
        <f>K53</f>
        <v>160</v>
      </c>
      <c r="Q53" s="44">
        <f t="shared" si="28"/>
        <v>150</v>
      </c>
      <c r="R53" s="50">
        <f t="shared" si="28"/>
        <v>270</v>
      </c>
    </row>
    <row r="54" spans="1:18" x14ac:dyDescent="0.25">
      <c r="A54" s="41">
        <f t="shared" si="24"/>
        <v>902</v>
      </c>
      <c r="B54" s="42">
        <f t="shared" si="24"/>
        <v>44</v>
      </c>
      <c r="C54" s="41" t="s">
        <v>1913</v>
      </c>
      <c r="D54" s="43">
        <f t="shared" si="22"/>
        <v>9.8000000000000007</v>
      </c>
      <c r="E54" s="61">
        <f t="shared" si="1"/>
        <v>1.8130000000000002</v>
      </c>
      <c r="F54" s="61">
        <f t="shared" si="2"/>
        <v>42</v>
      </c>
      <c r="G54" s="64">
        <f t="shared" si="3"/>
        <v>0.58988764044943809</v>
      </c>
      <c r="H54" s="44">
        <f t="shared" si="29"/>
        <v>-39.859186714563904</v>
      </c>
      <c r="I54" s="42" t="str">
        <f t="shared" si="27"/>
        <v>Half</v>
      </c>
      <c r="J54" s="50">
        <f t="shared" si="27"/>
        <v>6</v>
      </c>
      <c r="K54" s="49">
        <f t="shared" si="27"/>
        <v>160</v>
      </c>
      <c r="L54" s="44">
        <f t="shared" si="27"/>
        <v>8</v>
      </c>
      <c r="M54" s="44">
        <f t="shared" si="27"/>
        <v>-8</v>
      </c>
      <c r="N54" s="45">
        <f t="shared" si="27"/>
        <v>0.2</v>
      </c>
      <c r="O54" s="49">
        <v>60</v>
      </c>
      <c r="P54" s="54">
        <f>K54+3</f>
        <v>163</v>
      </c>
      <c r="Q54" s="44">
        <f t="shared" si="28"/>
        <v>150</v>
      </c>
      <c r="R54" s="50">
        <f t="shared" si="28"/>
        <v>270</v>
      </c>
    </row>
    <row r="55" spans="1:18" x14ac:dyDescent="0.25">
      <c r="A55" s="41">
        <f t="shared" si="24"/>
        <v>903</v>
      </c>
      <c r="B55" s="42">
        <f t="shared" si="24"/>
        <v>45</v>
      </c>
      <c r="C55" s="41" t="s">
        <v>1914</v>
      </c>
      <c r="D55" s="43">
        <f t="shared" si="22"/>
        <v>9.8000000000000007</v>
      </c>
      <c r="E55" s="61">
        <f t="shared" si="1"/>
        <v>1.8130000000000002</v>
      </c>
      <c r="F55" s="61">
        <f t="shared" si="2"/>
        <v>42</v>
      </c>
      <c r="G55" s="64">
        <f t="shared" si="3"/>
        <v>0.58988764044943809</v>
      </c>
      <c r="H55" s="44">
        <f t="shared" si="29"/>
        <v>-39.859186714563904</v>
      </c>
      <c r="I55" s="42" t="str">
        <f t="shared" si="27"/>
        <v>Half</v>
      </c>
      <c r="J55" s="50">
        <f t="shared" si="27"/>
        <v>6</v>
      </c>
      <c r="K55" s="49">
        <f t="shared" si="27"/>
        <v>160</v>
      </c>
      <c r="L55" s="44">
        <f t="shared" si="27"/>
        <v>8</v>
      </c>
      <c r="M55" s="44">
        <f t="shared" si="27"/>
        <v>-8</v>
      </c>
      <c r="N55" s="45">
        <f t="shared" si="27"/>
        <v>0.2</v>
      </c>
      <c r="O55" s="49">
        <v>60</v>
      </c>
      <c r="P55" s="54">
        <f>K55+6</f>
        <v>166</v>
      </c>
      <c r="Q55" s="44">
        <f t="shared" si="28"/>
        <v>150</v>
      </c>
      <c r="R55" s="50">
        <f t="shared" si="28"/>
        <v>270</v>
      </c>
    </row>
    <row r="56" spans="1:18" x14ac:dyDescent="0.25">
      <c r="A56" s="41">
        <f t="shared" si="24"/>
        <v>904</v>
      </c>
      <c r="B56" s="42">
        <f t="shared" si="24"/>
        <v>46</v>
      </c>
      <c r="C56" s="41" t="s">
        <v>1915</v>
      </c>
      <c r="D56" s="43">
        <f t="shared" si="22"/>
        <v>9.8000000000000007</v>
      </c>
      <c r="E56" s="61">
        <f t="shared" si="1"/>
        <v>1.8130000000000002</v>
      </c>
      <c r="F56" s="61">
        <f t="shared" si="2"/>
        <v>42</v>
      </c>
      <c r="G56" s="64">
        <f t="shared" si="3"/>
        <v>0.58988764044943809</v>
      </c>
      <c r="H56" s="44">
        <f t="shared" si="29"/>
        <v>-39.859186714563904</v>
      </c>
      <c r="I56" s="42" t="str">
        <f>I55</f>
        <v>Half</v>
      </c>
      <c r="J56" s="50">
        <f t="shared" ref="J56" si="30">J55</f>
        <v>6</v>
      </c>
      <c r="K56" s="49">
        <f t="shared" si="27"/>
        <v>160</v>
      </c>
      <c r="L56" s="44">
        <f t="shared" si="27"/>
        <v>8</v>
      </c>
      <c r="M56" s="44">
        <f t="shared" si="27"/>
        <v>-8</v>
      </c>
      <c r="N56" s="45">
        <f t="shared" si="27"/>
        <v>0.2</v>
      </c>
      <c r="O56" s="49">
        <v>90</v>
      </c>
      <c r="P56" s="54">
        <f>K56</f>
        <v>160</v>
      </c>
      <c r="Q56" s="44">
        <f t="shared" si="28"/>
        <v>150</v>
      </c>
      <c r="R56" s="50">
        <f t="shared" si="28"/>
        <v>270</v>
      </c>
    </row>
    <row r="57" spans="1:18" x14ac:dyDescent="0.25">
      <c r="A57" s="41">
        <f t="shared" si="24"/>
        <v>905</v>
      </c>
      <c r="B57" s="42">
        <f t="shared" si="24"/>
        <v>47</v>
      </c>
      <c r="C57" s="41" t="s">
        <v>1916</v>
      </c>
      <c r="D57" s="43">
        <f t="shared" si="22"/>
        <v>9.8000000000000007</v>
      </c>
      <c r="E57" s="61">
        <f t="shared" si="1"/>
        <v>1.8130000000000002</v>
      </c>
      <c r="F57" s="61">
        <f t="shared" si="2"/>
        <v>42</v>
      </c>
      <c r="G57" s="64">
        <f t="shared" si="3"/>
        <v>0.58988764044943809</v>
      </c>
      <c r="H57" s="44">
        <f t="shared" si="29"/>
        <v>-39.859186714563904</v>
      </c>
      <c r="I57" s="42" t="str">
        <f>I56</f>
        <v>Half</v>
      </c>
      <c r="J57" s="50">
        <f t="shared" ref="J57" si="31">J56</f>
        <v>6</v>
      </c>
      <c r="K57" s="49">
        <f t="shared" si="27"/>
        <v>160</v>
      </c>
      <c r="L57" s="44">
        <f t="shared" si="27"/>
        <v>8</v>
      </c>
      <c r="M57" s="44">
        <f t="shared" si="27"/>
        <v>-8</v>
      </c>
      <c r="N57" s="45">
        <f t="shared" si="27"/>
        <v>0.2</v>
      </c>
      <c r="O57" s="49">
        <v>90</v>
      </c>
      <c r="P57" s="54">
        <f>K57+3</f>
        <v>163</v>
      </c>
      <c r="Q57" s="44">
        <f t="shared" si="28"/>
        <v>150</v>
      </c>
      <c r="R57" s="50">
        <f t="shared" si="28"/>
        <v>270</v>
      </c>
    </row>
    <row r="58" spans="1:18" x14ac:dyDescent="0.25">
      <c r="A58" s="41">
        <f t="shared" si="24"/>
        <v>906</v>
      </c>
      <c r="B58" s="42">
        <f t="shared" si="24"/>
        <v>48</v>
      </c>
      <c r="C58" s="127" t="s">
        <v>1917</v>
      </c>
      <c r="D58" s="43">
        <f t="shared" si="22"/>
        <v>9.8000000000000007</v>
      </c>
      <c r="E58" s="61">
        <f t="shared" si="1"/>
        <v>1.8130000000000002</v>
      </c>
      <c r="F58" s="61">
        <f t="shared" si="2"/>
        <v>42</v>
      </c>
      <c r="G58" s="64">
        <f t="shared" si="3"/>
        <v>0.58988764044943809</v>
      </c>
      <c r="H58" s="44">
        <f t="shared" si="29"/>
        <v>-39.859186714563904</v>
      </c>
      <c r="I58" s="42" t="str">
        <f>I57</f>
        <v>Half</v>
      </c>
      <c r="J58" s="50">
        <f t="shared" ref="J58" si="32">J57</f>
        <v>6</v>
      </c>
      <c r="K58" s="49">
        <f t="shared" si="27"/>
        <v>160</v>
      </c>
      <c r="L58" s="44">
        <f t="shared" si="27"/>
        <v>8</v>
      </c>
      <c r="M58" s="44">
        <f t="shared" si="27"/>
        <v>-8</v>
      </c>
      <c r="N58" s="45">
        <f t="shared" si="27"/>
        <v>0.2</v>
      </c>
      <c r="O58" s="49">
        <v>90</v>
      </c>
      <c r="P58" s="54">
        <f>K58+6</f>
        <v>166</v>
      </c>
      <c r="Q58" s="44">
        <f t="shared" si="28"/>
        <v>150</v>
      </c>
      <c r="R58" s="50">
        <f t="shared" si="28"/>
        <v>270</v>
      </c>
    </row>
    <row r="59" spans="1:18" x14ac:dyDescent="0.25">
      <c r="A59" s="41">
        <f t="shared" si="24"/>
        <v>907</v>
      </c>
      <c r="B59" s="42">
        <f t="shared" si="24"/>
        <v>49</v>
      </c>
      <c r="C59" s="41" t="s">
        <v>1918</v>
      </c>
      <c r="D59" s="43">
        <f t="shared" si="22"/>
        <v>9.8000000000000007</v>
      </c>
      <c r="E59" s="61">
        <f t="shared" si="1"/>
        <v>1.8130000000000002</v>
      </c>
      <c r="F59" s="61">
        <f t="shared" si="2"/>
        <v>42</v>
      </c>
      <c r="G59" s="64">
        <f t="shared" si="3"/>
        <v>0.58988764044943809</v>
      </c>
      <c r="H59" s="44">
        <f t="shared" si="29"/>
        <v>-39.859186714563904</v>
      </c>
      <c r="I59" s="42" t="str">
        <f t="shared" si="27"/>
        <v>Half</v>
      </c>
      <c r="J59" s="50">
        <f t="shared" si="27"/>
        <v>6</v>
      </c>
      <c r="K59" s="49">
        <f t="shared" si="27"/>
        <v>160</v>
      </c>
      <c r="L59" s="44">
        <f t="shared" si="27"/>
        <v>8</v>
      </c>
      <c r="M59" s="44">
        <f>yaw_null</f>
        <v>0</v>
      </c>
      <c r="N59" s="45">
        <f t="shared" si="27"/>
        <v>0.2</v>
      </c>
      <c r="O59" s="49">
        <v>0</v>
      </c>
      <c r="P59" s="54">
        <f>K59</f>
        <v>160</v>
      </c>
      <c r="Q59" s="44">
        <f t="shared" si="28"/>
        <v>150</v>
      </c>
      <c r="R59" s="50">
        <f t="shared" si="28"/>
        <v>270</v>
      </c>
    </row>
    <row r="60" spans="1:18" x14ac:dyDescent="0.25">
      <c r="A60" s="41">
        <f t="shared" ref="A60:B75" si="33">A59+1</f>
        <v>908</v>
      </c>
      <c r="B60" s="42">
        <f t="shared" si="33"/>
        <v>50</v>
      </c>
      <c r="C60" s="41" t="s">
        <v>1919</v>
      </c>
      <c r="D60" s="43">
        <f t="shared" si="22"/>
        <v>9.8000000000000007</v>
      </c>
      <c r="E60" s="61">
        <f t="shared" si="1"/>
        <v>1.8130000000000002</v>
      </c>
      <c r="F60" s="61">
        <f t="shared" si="2"/>
        <v>42</v>
      </c>
      <c r="G60" s="64">
        <f t="shared" si="3"/>
        <v>0.58988764044943809</v>
      </c>
      <c r="H60" s="44">
        <f t="shared" si="29"/>
        <v>-39.859186714563904</v>
      </c>
      <c r="I60" s="42" t="str">
        <f t="shared" ref="I60:N75" si="34">I59</f>
        <v>Half</v>
      </c>
      <c r="J60" s="50">
        <f t="shared" si="34"/>
        <v>6</v>
      </c>
      <c r="K60" s="49">
        <f t="shared" si="34"/>
        <v>160</v>
      </c>
      <c r="L60" s="44">
        <f t="shared" si="34"/>
        <v>8</v>
      </c>
      <c r="M60" s="44">
        <f t="shared" si="34"/>
        <v>0</v>
      </c>
      <c r="N60" s="45">
        <f t="shared" si="34"/>
        <v>0.2</v>
      </c>
      <c r="O60" s="49">
        <v>0</v>
      </c>
      <c r="P60" s="54">
        <f>K60+3</f>
        <v>163</v>
      </c>
      <c r="Q60" s="44">
        <f t="shared" si="28"/>
        <v>150</v>
      </c>
      <c r="R60" s="50">
        <f t="shared" si="28"/>
        <v>270</v>
      </c>
    </row>
    <row r="61" spans="1:18" x14ac:dyDescent="0.25">
      <c r="A61" s="41">
        <f t="shared" si="33"/>
        <v>909</v>
      </c>
      <c r="B61" s="42">
        <f t="shared" si="33"/>
        <v>51</v>
      </c>
      <c r="C61" s="41" t="s">
        <v>1920</v>
      </c>
      <c r="D61" s="43">
        <f t="shared" si="22"/>
        <v>9.8000000000000007</v>
      </c>
      <c r="E61" s="61">
        <f t="shared" si="1"/>
        <v>1.8130000000000002</v>
      </c>
      <c r="F61" s="61">
        <f t="shared" si="2"/>
        <v>42</v>
      </c>
      <c r="G61" s="64">
        <f t="shared" si="3"/>
        <v>0.58988764044943809</v>
      </c>
      <c r="H61" s="44">
        <f t="shared" si="29"/>
        <v>-39.859186714563904</v>
      </c>
      <c r="I61" s="42" t="str">
        <f t="shared" si="34"/>
        <v>Half</v>
      </c>
      <c r="J61" s="50">
        <f t="shared" si="34"/>
        <v>6</v>
      </c>
      <c r="K61" s="49">
        <f t="shared" si="34"/>
        <v>160</v>
      </c>
      <c r="L61" s="44">
        <f t="shared" si="34"/>
        <v>8</v>
      </c>
      <c r="M61" s="44">
        <f t="shared" si="34"/>
        <v>0</v>
      </c>
      <c r="N61" s="45">
        <f t="shared" si="34"/>
        <v>0.2</v>
      </c>
      <c r="O61" s="49">
        <v>0</v>
      </c>
      <c r="P61" s="54">
        <f>K61+6</f>
        <v>166</v>
      </c>
      <c r="Q61" s="44">
        <f t="shared" ref="Q61:R76" si="35">Q60</f>
        <v>150</v>
      </c>
      <c r="R61" s="50">
        <f t="shared" si="35"/>
        <v>270</v>
      </c>
    </row>
    <row r="62" spans="1:18" x14ac:dyDescent="0.25">
      <c r="A62" s="41">
        <f t="shared" si="33"/>
        <v>910</v>
      </c>
      <c r="B62" s="42">
        <f t="shared" si="33"/>
        <v>52</v>
      </c>
      <c r="C62" s="41" t="s">
        <v>1921</v>
      </c>
      <c r="D62" s="43">
        <f t="shared" si="22"/>
        <v>9.8000000000000007</v>
      </c>
      <c r="E62" s="61">
        <f t="shared" si="1"/>
        <v>1.8130000000000002</v>
      </c>
      <c r="F62" s="61">
        <f t="shared" si="2"/>
        <v>42</v>
      </c>
      <c r="G62" s="64">
        <f t="shared" si="3"/>
        <v>0.58988764044943809</v>
      </c>
      <c r="H62" s="44">
        <f t="shared" si="29"/>
        <v>-39.859186714563904</v>
      </c>
      <c r="I62" s="42" t="str">
        <f t="shared" si="34"/>
        <v>Half</v>
      </c>
      <c r="J62" s="50">
        <f t="shared" si="34"/>
        <v>6</v>
      </c>
      <c r="K62" s="49">
        <f t="shared" si="34"/>
        <v>160</v>
      </c>
      <c r="L62" s="44">
        <f t="shared" si="34"/>
        <v>8</v>
      </c>
      <c r="M62" s="44">
        <f t="shared" si="34"/>
        <v>0</v>
      </c>
      <c r="N62" s="45">
        <f t="shared" si="34"/>
        <v>0.2</v>
      </c>
      <c r="O62" s="49">
        <v>30</v>
      </c>
      <c r="P62" s="54">
        <f>K62</f>
        <v>160</v>
      </c>
      <c r="Q62" s="44">
        <f t="shared" si="35"/>
        <v>150</v>
      </c>
      <c r="R62" s="50">
        <f t="shared" si="35"/>
        <v>270</v>
      </c>
    </row>
    <row r="63" spans="1:18" x14ac:dyDescent="0.25">
      <c r="A63" s="41">
        <f t="shared" si="33"/>
        <v>911</v>
      </c>
      <c r="B63" s="42">
        <f t="shared" si="33"/>
        <v>53</v>
      </c>
      <c r="C63" s="41" t="s">
        <v>1922</v>
      </c>
      <c r="D63" s="43">
        <f t="shared" si="22"/>
        <v>9.8000000000000007</v>
      </c>
      <c r="E63" s="61">
        <f t="shared" si="1"/>
        <v>1.8130000000000002</v>
      </c>
      <c r="F63" s="61">
        <f t="shared" si="2"/>
        <v>42</v>
      </c>
      <c r="G63" s="64">
        <f t="shared" si="3"/>
        <v>0.58988764044943809</v>
      </c>
      <c r="H63" s="44">
        <f t="shared" si="29"/>
        <v>-39.859186714563904</v>
      </c>
      <c r="I63" s="42" t="s">
        <v>12</v>
      </c>
      <c r="J63" s="50">
        <f t="shared" ref="J63" si="36">J62</f>
        <v>6</v>
      </c>
      <c r="K63" s="49">
        <f t="shared" si="34"/>
        <v>160</v>
      </c>
      <c r="L63" s="44">
        <f t="shared" si="34"/>
        <v>8</v>
      </c>
      <c r="M63" s="44">
        <f t="shared" si="34"/>
        <v>0</v>
      </c>
      <c r="N63" s="45">
        <f t="shared" si="34"/>
        <v>0.2</v>
      </c>
      <c r="O63" s="49">
        <v>30</v>
      </c>
      <c r="P63" s="54">
        <f>K63+3</f>
        <v>163</v>
      </c>
      <c r="Q63" s="44">
        <f t="shared" si="35"/>
        <v>150</v>
      </c>
      <c r="R63" s="50">
        <f t="shared" si="35"/>
        <v>270</v>
      </c>
    </row>
    <row r="64" spans="1:18" x14ac:dyDescent="0.25">
      <c r="A64" s="41">
        <f t="shared" si="33"/>
        <v>912</v>
      </c>
      <c r="B64" s="42">
        <f t="shared" si="33"/>
        <v>54</v>
      </c>
      <c r="C64" s="41" t="s">
        <v>1923</v>
      </c>
      <c r="D64" s="43">
        <f t="shared" si="22"/>
        <v>9.8000000000000007</v>
      </c>
      <c r="E64" s="61">
        <f t="shared" si="1"/>
        <v>1.8130000000000002</v>
      </c>
      <c r="F64" s="61">
        <f t="shared" si="2"/>
        <v>42</v>
      </c>
      <c r="G64" s="64">
        <f t="shared" si="3"/>
        <v>0.58988764044943809</v>
      </c>
      <c r="H64" s="44">
        <f t="shared" si="29"/>
        <v>-39.859186714563904</v>
      </c>
      <c r="I64" s="42" t="str">
        <f>I63</f>
        <v>Half</v>
      </c>
      <c r="J64" s="50">
        <f t="shared" ref="J64" si="37">J63</f>
        <v>6</v>
      </c>
      <c r="K64" s="49">
        <f t="shared" si="34"/>
        <v>160</v>
      </c>
      <c r="L64" s="44">
        <f t="shared" si="34"/>
        <v>8</v>
      </c>
      <c r="M64" s="44">
        <f t="shared" si="34"/>
        <v>0</v>
      </c>
      <c r="N64" s="45">
        <f t="shared" si="34"/>
        <v>0.2</v>
      </c>
      <c r="O64" s="49">
        <v>30</v>
      </c>
      <c r="P64" s="54">
        <f>K64+6</f>
        <v>166</v>
      </c>
      <c r="Q64" s="44">
        <f t="shared" si="35"/>
        <v>150</v>
      </c>
      <c r="R64" s="50">
        <f t="shared" si="35"/>
        <v>270</v>
      </c>
    </row>
    <row r="65" spans="1:18" x14ac:dyDescent="0.25">
      <c r="A65" s="41">
        <f t="shared" si="33"/>
        <v>913</v>
      </c>
      <c r="B65" s="42">
        <f t="shared" si="33"/>
        <v>55</v>
      </c>
      <c r="C65" s="41" t="s">
        <v>1924</v>
      </c>
      <c r="D65" s="43">
        <f t="shared" si="22"/>
        <v>9.8000000000000007</v>
      </c>
      <c r="E65" s="61">
        <f t="shared" si="1"/>
        <v>1.8130000000000002</v>
      </c>
      <c r="F65" s="61">
        <f t="shared" si="2"/>
        <v>42</v>
      </c>
      <c r="G65" s="64">
        <f t="shared" si="3"/>
        <v>0.58988764044943809</v>
      </c>
      <c r="H65" s="44">
        <f t="shared" si="29"/>
        <v>-39.859186714563904</v>
      </c>
      <c r="I65" s="42" t="str">
        <f t="shared" si="34"/>
        <v>Half</v>
      </c>
      <c r="J65" s="50">
        <f t="shared" si="34"/>
        <v>6</v>
      </c>
      <c r="K65" s="49">
        <f t="shared" si="34"/>
        <v>160</v>
      </c>
      <c r="L65" s="44">
        <f t="shared" si="34"/>
        <v>8</v>
      </c>
      <c r="M65" s="44">
        <f t="shared" si="34"/>
        <v>0</v>
      </c>
      <c r="N65" s="45">
        <f t="shared" si="34"/>
        <v>0.2</v>
      </c>
      <c r="O65" s="49">
        <v>60</v>
      </c>
      <c r="P65" s="54">
        <f>K65</f>
        <v>160</v>
      </c>
      <c r="Q65" s="44">
        <f t="shared" si="35"/>
        <v>150</v>
      </c>
      <c r="R65" s="50">
        <f t="shared" si="35"/>
        <v>270</v>
      </c>
    </row>
    <row r="66" spans="1:18" x14ac:dyDescent="0.25">
      <c r="A66" s="41">
        <f t="shared" si="33"/>
        <v>914</v>
      </c>
      <c r="B66" s="42">
        <f t="shared" si="33"/>
        <v>56</v>
      </c>
      <c r="C66" s="41" t="s">
        <v>1925</v>
      </c>
      <c r="D66" s="43">
        <f t="shared" si="22"/>
        <v>9.8000000000000007</v>
      </c>
      <c r="E66" s="61">
        <f t="shared" si="1"/>
        <v>1.8130000000000002</v>
      </c>
      <c r="F66" s="61">
        <f t="shared" si="2"/>
        <v>42</v>
      </c>
      <c r="G66" s="64">
        <f t="shared" si="3"/>
        <v>0.58988764044943809</v>
      </c>
      <c r="H66" s="44">
        <f t="shared" si="29"/>
        <v>-39.859186714563904</v>
      </c>
      <c r="I66" s="42" t="str">
        <f t="shared" si="34"/>
        <v>Half</v>
      </c>
      <c r="J66" s="50">
        <f t="shared" si="34"/>
        <v>6</v>
      </c>
      <c r="K66" s="49">
        <f t="shared" si="34"/>
        <v>160</v>
      </c>
      <c r="L66" s="44">
        <f t="shared" si="34"/>
        <v>8</v>
      </c>
      <c r="M66" s="44">
        <f t="shared" si="34"/>
        <v>0</v>
      </c>
      <c r="N66" s="45">
        <f t="shared" si="34"/>
        <v>0.2</v>
      </c>
      <c r="O66" s="49">
        <v>60</v>
      </c>
      <c r="P66" s="54">
        <f>K66+3</f>
        <v>163</v>
      </c>
      <c r="Q66" s="44">
        <f t="shared" si="35"/>
        <v>150</v>
      </c>
      <c r="R66" s="50">
        <f t="shared" si="35"/>
        <v>270</v>
      </c>
    </row>
    <row r="67" spans="1:18" x14ac:dyDescent="0.25">
      <c r="A67" s="41">
        <f t="shared" si="33"/>
        <v>915</v>
      </c>
      <c r="B67" s="42">
        <f t="shared" si="33"/>
        <v>57</v>
      </c>
      <c r="C67" s="41" t="s">
        <v>1926</v>
      </c>
      <c r="D67" s="43">
        <f t="shared" si="22"/>
        <v>9.8000000000000007</v>
      </c>
      <c r="E67" s="61">
        <f t="shared" si="1"/>
        <v>1.8130000000000002</v>
      </c>
      <c r="F67" s="61">
        <f t="shared" si="2"/>
        <v>42</v>
      </c>
      <c r="G67" s="64">
        <f t="shared" si="3"/>
        <v>0.58988764044943809</v>
      </c>
      <c r="H67" s="44">
        <f t="shared" si="29"/>
        <v>-39.859186714563904</v>
      </c>
      <c r="I67" s="42" t="str">
        <f t="shared" si="34"/>
        <v>Half</v>
      </c>
      <c r="J67" s="50">
        <f t="shared" si="34"/>
        <v>6</v>
      </c>
      <c r="K67" s="49">
        <f t="shared" si="34"/>
        <v>160</v>
      </c>
      <c r="L67" s="44">
        <f t="shared" si="34"/>
        <v>8</v>
      </c>
      <c r="M67" s="44">
        <f t="shared" si="34"/>
        <v>0</v>
      </c>
      <c r="N67" s="45">
        <f t="shared" si="34"/>
        <v>0.2</v>
      </c>
      <c r="O67" s="49">
        <v>60</v>
      </c>
      <c r="P67" s="54">
        <f>K67+6</f>
        <v>166</v>
      </c>
      <c r="Q67" s="44">
        <f t="shared" si="35"/>
        <v>150</v>
      </c>
      <c r="R67" s="50">
        <f t="shared" si="35"/>
        <v>270</v>
      </c>
    </row>
    <row r="68" spans="1:18" x14ac:dyDescent="0.25">
      <c r="A68" s="41">
        <f t="shared" si="33"/>
        <v>916</v>
      </c>
      <c r="B68" s="42">
        <f t="shared" si="33"/>
        <v>58</v>
      </c>
      <c r="C68" s="41" t="s">
        <v>1927</v>
      </c>
      <c r="D68" s="43">
        <f t="shared" si="22"/>
        <v>9.8000000000000007</v>
      </c>
      <c r="E68" s="61">
        <f t="shared" si="1"/>
        <v>1.8130000000000002</v>
      </c>
      <c r="F68" s="61">
        <f t="shared" si="2"/>
        <v>42</v>
      </c>
      <c r="G68" s="64">
        <f t="shared" si="3"/>
        <v>0.58988764044943809</v>
      </c>
      <c r="H68" s="44">
        <f t="shared" si="29"/>
        <v>-39.859186714563904</v>
      </c>
      <c r="I68" s="42" t="str">
        <f t="shared" si="34"/>
        <v>Half</v>
      </c>
      <c r="J68" s="50">
        <f t="shared" si="34"/>
        <v>6</v>
      </c>
      <c r="K68" s="49">
        <f t="shared" si="34"/>
        <v>160</v>
      </c>
      <c r="L68" s="44">
        <f t="shared" si="34"/>
        <v>8</v>
      </c>
      <c r="M68" s="44">
        <f t="shared" si="34"/>
        <v>0</v>
      </c>
      <c r="N68" s="45">
        <f t="shared" si="34"/>
        <v>0.2</v>
      </c>
      <c r="O68" s="49">
        <v>90</v>
      </c>
      <c r="P68" s="54">
        <f>K68</f>
        <v>160</v>
      </c>
      <c r="Q68" s="44">
        <f t="shared" si="35"/>
        <v>150</v>
      </c>
      <c r="R68" s="50">
        <f t="shared" si="35"/>
        <v>270</v>
      </c>
    </row>
    <row r="69" spans="1:18" x14ac:dyDescent="0.25">
      <c r="A69" s="41">
        <f t="shared" si="33"/>
        <v>917</v>
      </c>
      <c r="B69" s="42">
        <f t="shared" si="33"/>
        <v>59</v>
      </c>
      <c r="C69" s="41" t="s">
        <v>1928</v>
      </c>
      <c r="D69" s="43">
        <f t="shared" si="22"/>
        <v>9.8000000000000007</v>
      </c>
      <c r="E69" s="61">
        <f t="shared" si="1"/>
        <v>1.8130000000000002</v>
      </c>
      <c r="F69" s="61">
        <f t="shared" si="2"/>
        <v>42</v>
      </c>
      <c r="G69" s="64">
        <f t="shared" si="3"/>
        <v>0.58988764044943809</v>
      </c>
      <c r="H69" s="44">
        <f t="shared" si="29"/>
        <v>-39.859186714563904</v>
      </c>
      <c r="I69" s="42" t="str">
        <f t="shared" si="34"/>
        <v>Half</v>
      </c>
      <c r="J69" s="50">
        <f t="shared" si="34"/>
        <v>6</v>
      </c>
      <c r="K69" s="49">
        <f t="shared" si="34"/>
        <v>160</v>
      </c>
      <c r="L69" s="44">
        <f t="shared" si="34"/>
        <v>8</v>
      </c>
      <c r="M69" s="44">
        <f t="shared" si="34"/>
        <v>0</v>
      </c>
      <c r="N69" s="45">
        <f t="shared" si="34"/>
        <v>0.2</v>
      </c>
      <c r="O69" s="49">
        <v>90</v>
      </c>
      <c r="P69" s="54">
        <f>K69+3</f>
        <v>163</v>
      </c>
      <c r="Q69" s="44">
        <f t="shared" si="35"/>
        <v>150</v>
      </c>
      <c r="R69" s="50">
        <f t="shared" si="35"/>
        <v>270</v>
      </c>
    </row>
    <row r="70" spans="1:18" x14ac:dyDescent="0.25">
      <c r="A70" s="41">
        <f t="shared" si="33"/>
        <v>918</v>
      </c>
      <c r="B70" s="42">
        <f t="shared" si="33"/>
        <v>60</v>
      </c>
      <c r="C70" s="127" t="s">
        <v>1929</v>
      </c>
      <c r="D70" s="43">
        <f t="shared" si="22"/>
        <v>9.8000000000000007</v>
      </c>
      <c r="E70" s="61">
        <f t="shared" si="1"/>
        <v>1.8130000000000002</v>
      </c>
      <c r="F70" s="61">
        <f t="shared" si="2"/>
        <v>42</v>
      </c>
      <c r="G70" s="64">
        <f t="shared" si="3"/>
        <v>0.58988764044943809</v>
      </c>
      <c r="H70" s="44">
        <f t="shared" si="29"/>
        <v>-39.859186714563904</v>
      </c>
      <c r="I70" s="42" t="str">
        <f t="shared" si="34"/>
        <v>Half</v>
      </c>
      <c r="J70" s="50">
        <f t="shared" si="34"/>
        <v>6</v>
      </c>
      <c r="K70" s="49">
        <f t="shared" si="34"/>
        <v>160</v>
      </c>
      <c r="L70" s="44">
        <f t="shared" si="34"/>
        <v>8</v>
      </c>
      <c r="M70" s="44">
        <f t="shared" si="34"/>
        <v>0</v>
      </c>
      <c r="N70" s="45">
        <f t="shared" si="34"/>
        <v>0.2</v>
      </c>
      <c r="O70" s="49">
        <v>90</v>
      </c>
      <c r="P70" s="54">
        <f>K70+6</f>
        <v>166</v>
      </c>
      <c r="Q70" s="44">
        <f t="shared" si="35"/>
        <v>150</v>
      </c>
      <c r="R70" s="50">
        <f t="shared" si="35"/>
        <v>270</v>
      </c>
    </row>
    <row r="71" spans="1:18" x14ac:dyDescent="0.25">
      <c r="A71" s="41">
        <f t="shared" si="33"/>
        <v>919</v>
      </c>
      <c r="B71" s="42">
        <f t="shared" si="33"/>
        <v>61</v>
      </c>
      <c r="C71" s="41" t="s">
        <v>1930</v>
      </c>
      <c r="D71" s="43">
        <f t="shared" si="22"/>
        <v>9.8000000000000007</v>
      </c>
      <c r="E71" s="61">
        <f t="shared" si="1"/>
        <v>1.8130000000000002</v>
      </c>
      <c r="F71" s="61">
        <f t="shared" si="2"/>
        <v>42</v>
      </c>
      <c r="G71" s="64">
        <f t="shared" si="3"/>
        <v>0.58988764044943809</v>
      </c>
      <c r="H71" s="44">
        <f t="shared" si="29"/>
        <v>-39.859186714563904</v>
      </c>
      <c r="I71" s="42" t="str">
        <f t="shared" si="34"/>
        <v>Half</v>
      </c>
      <c r="J71" s="50">
        <f t="shared" si="34"/>
        <v>6</v>
      </c>
      <c r="K71" s="49">
        <f t="shared" si="34"/>
        <v>160</v>
      </c>
      <c r="L71" s="44">
        <f t="shared" si="34"/>
        <v>8</v>
      </c>
      <c r="M71" s="44">
        <f>yaw_max</f>
        <v>8</v>
      </c>
      <c r="N71" s="45">
        <f t="shared" si="34"/>
        <v>0.2</v>
      </c>
      <c r="O71" s="49">
        <v>0</v>
      </c>
      <c r="P71" s="54">
        <f>K71</f>
        <v>160</v>
      </c>
      <c r="Q71" s="44">
        <f t="shared" si="35"/>
        <v>150</v>
      </c>
      <c r="R71" s="50">
        <f t="shared" si="35"/>
        <v>270</v>
      </c>
    </row>
    <row r="72" spans="1:18" x14ac:dyDescent="0.25">
      <c r="A72" s="41">
        <f t="shared" si="33"/>
        <v>920</v>
      </c>
      <c r="B72" s="42">
        <f t="shared" si="33"/>
        <v>62</v>
      </c>
      <c r="C72" s="41" t="s">
        <v>1931</v>
      </c>
      <c r="D72" s="43">
        <f t="shared" si="22"/>
        <v>9.8000000000000007</v>
      </c>
      <c r="E72" s="61">
        <f t="shared" si="1"/>
        <v>1.8130000000000002</v>
      </c>
      <c r="F72" s="61">
        <f t="shared" si="2"/>
        <v>42</v>
      </c>
      <c r="G72" s="64">
        <f t="shared" si="3"/>
        <v>0.58988764044943809</v>
      </c>
      <c r="H72" s="44">
        <f t="shared" si="29"/>
        <v>-39.859186714563904</v>
      </c>
      <c r="I72" s="42" t="str">
        <f t="shared" si="34"/>
        <v>Half</v>
      </c>
      <c r="J72" s="50">
        <f t="shared" si="34"/>
        <v>6</v>
      </c>
      <c r="K72" s="49">
        <f t="shared" si="34"/>
        <v>160</v>
      </c>
      <c r="L72" s="44">
        <f t="shared" si="34"/>
        <v>8</v>
      </c>
      <c r="M72" s="44">
        <f t="shared" si="34"/>
        <v>8</v>
      </c>
      <c r="N72" s="45">
        <f t="shared" si="34"/>
        <v>0.2</v>
      </c>
      <c r="O72" s="49">
        <v>0</v>
      </c>
      <c r="P72" s="54">
        <f>K72+3</f>
        <v>163</v>
      </c>
      <c r="Q72" s="44">
        <f t="shared" si="35"/>
        <v>150</v>
      </c>
      <c r="R72" s="50">
        <f t="shared" si="35"/>
        <v>270</v>
      </c>
    </row>
    <row r="73" spans="1:18" x14ac:dyDescent="0.25">
      <c r="A73" s="41">
        <f t="shared" si="33"/>
        <v>921</v>
      </c>
      <c r="B73" s="42">
        <f t="shared" si="33"/>
        <v>63</v>
      </c>
      <c r="C73" s="41" t="s">
        <v>1932</v>
      </c>
      <c r="D73" s="43">
        <f t="shared" si="22"/>
        <v>9.8000000000000007</v>
      </c>
      <c r="E73" s="61">
        <f t="shared" si="1"/>
        <v>1.8130000000000002</v>
      </c>
      <c r="F73" s="61">
        <f t="shared" si="2"/>
        <v>42</v>
      </c>
      <c r="G73" s="64">
        <f t="shared" si="3"/>
        <v>0.58988764044943809</v>
      </c>
      <c r="H73" s="44">
        <f t="shared" si="29"/>
        <v>-39.859186714563904</v>
      </c>
      <c r="I73" s="42" t="str">
        <f t="shared" si="34"/>
        <v>Half</v>
      </c>
      <c r="J73" s="50">
        <f t="shared" si="34"/>
        <v>6</v>
      </c>
      <c r="K73" s="49">
        <f t="shared" si="34"/>
        <v>160</v>
      </c>
      <c r="L73" s="44">
        <f t="shared" si="34"/>
        <v>8</v>
      </c>
      <c r="M73" s="44">
        <f t="shared" si="34"/>
        <v>8</v>
      </c>
      <c r="N73" s="45">
        <f t="shared" si="34"/>
        <v>0.2</v>
      </c>
      <c r="O73" s="49">
        <v>0</v>
      </c>
      <c r="P73" s="54">
        <f>K73+6</f>
        <v>166</v>
      </c>
      <c r="Q73" s="44">
        <f t="shared" si="35"/>
        <v>150</v>
      </c>
      <c r="R73" s="50">
        <f t="shared" si="35"/>
        <v>270</v>
      </c>
    </row>
    <row r="74" spans="1:18" x14ac:dyDescent="0.25">
      <c r="A74" s="41">
        <f t="shared" si="33"/>
        <v>922</v>
      </c>
      <c r="B74" s="42">
        <f t="shared" si="33"/>
        <v>64</v>
      </c>
      <c r="C74" s="41" t="s">
        <v>1933</v>
      </c>
      <c r="D74" s="43">
        <f t="shared" si="22"/>
        <v>9.8000000000000007</v>
      </c>
      <c r="E74" s="61">
        <f t="shared" si="1"/>
        <v>1.8130000000000002</v>
      </c>
      <c r="F74" s="61">
        <f t="shared" si="2"/>
        <v>42</v>
      </c>
      <c r="G74" s="64">
        <f t="shared" si="3"/>
        <v>0.58988764044943809</v>
      </c>
      <c r="H74" s="44">
        <f t="shared" si="29"/>
        <v>-39.859186714563904</v>
      </c>
      <c r="I74" s="42" t="str">
        <f t="shared" si="34"/>
        <v>Half</v>
      </c>
      <c r="J74" s="50">
        <f t="shared" si="34"/>
        <v>6</v>
      </c>
      <c r="K74" s="49">
        <f t="shared" si="34"/>
        <v>160</v>
      </c>
      <c r="L74" s="44">
        <f t="shared" si="34"/>
        <v>8</v>
      </c>
      <c r="M74" s="44">
        <f t="shared" si="34"/>
        <v>8</v>
      </c>
      <c r="N74" s="45">
        <f t="shared" si="34"/>
        <v>0.2</v>
      </c>
      <c r="O74" s="49">
        <v>30</v>
      </c>
      <c r="P74" s="54">
        <f>K74</f>
        <v>160</v>
      </c>
      <c r="Q74" s="44">
        <f t="shared" si="35"/>
        <v>150</v>
      </c>
      <c r="R74" s="50">
        <f t="shared" si="35"/>
        <v>270</v>
      </c>
    </row>
    <row r="75" spans="1:18" x14ac:dyDescent="0.25">
      <c r="A75" s="41">
        <f t="shared" si="33"/>
        <v>923</v>
      </c>
      <c r="B75" s="42">
        <f t="shared" si="33"/>
        <v>65</v>
      </c>
      <c r="C75" s="41" t="s">
        <v>1934</v>
      </c>
      <c r="D75" s="43">
        <f t="shared" ref="D75:D82" si="38">v_r</f>
        <v>9.8000000000000007</v>
      </c>
      <c r="E75" s="61">
        <f t="shared" ref="E75:E138" si="39">I_ref*(0.75*D75+5.6)</f>
        <v>1.8130000000000002</v>
      </c>
      <c r="F75" s="61">
        <f t="shared" ref="F75:F138" si="40">tur_scale</f>
        <v>42</v>
      </c>
      <c r="G75" s="64">
        <f t="shared" ref="G75:G138" si="41">1/(1+0.2*(diameter/F75))</f>
        <v>0.58988764044943809</v>
      </c>
      <c r="H75" s="44">
        <f t="shared" si="29"/>
        <v>-39.859186714563904</v>
      </c>
      <c r="I75" s="42" t="str">
        <f t="shared" si="34"/>
        <v>Half</v>
      </c>
      <c r="J75" s="50">
        <f t="shared" si="34"/>
        <v>6</v>
      </c>
      <c r="K75" s="49">
        <f t="shared" si="34"/>
        <v>160</v>
      </c>
      <c r="L75" s="44">
        <f t="shared" si="34"/>
        <v>8</v>
      </c>
      <c r="M75" s="44">
        <f t="shared" si="34"/>
        <v>8</v>
      </c>
      <c r="N75" s="45">
        <f t="shared" si="34"/>
        <v>0.2</v>
      </c>
      <c r="O75" s="49">
        <v>30</v>
      </c>
      <c r="P75" s="54">
        <f>K75+3</f>
        <v>163</v>
      </c>
      <c r="Q75" s="44">
        <f t="shared" si="35"/>
        <v>150</v>
      </c>
      <c r="R75" s="50">
        <f t="shared" si="35"/>
        <v>270</v>
      </c>
    </row>
    <row r="76" spans="1:18" x14ac:dyDescent="0.25">
      <c r="A76" s="41">
        <f t="shared" ref="A76:B91" si="42">A75+1</f>
        <v>924</v>
      </c>
      <c r="B76" s="42">
        <f t="shared" si="42"/>
        <v>66</v>
      </c>
      <c r="C76" s="41" t="s">
        <v>1935</v>
      </c>
      <c r="D76" s="43">
        <f t="shared" si="38"/>
        <v>9.8000000000000007</v>
      </c>
      <c r="E76" s="61">
        <f t="shared" si="39"/>
        <v>1.8130000000000002</v>
      </c>
      <c r="F76" s="61">
        <f t="shared" si="40"/>
        <v>42</v>
      </c>
      <c r="G76" s="64">
        <f t="shared" si="41"/>
        <v>0.58988764044943809</v>
      </c>
      <c r="H76" s="44">
        <f t="shared" si="29"/>
        <v>-39.859186714563904</v>
      </c>
      <c r="I76" s="42" t="str">
        <f t="shared" ref="I76:N91" si="43">I75</f>
        <v>Half</v>
      </c>
      <c r="J76" s="50">
        <f t="shared" si="43"/>
        <v>6</v>
      </c>
      <c r="K76" s="49">
        <f t="shared" ref="K76:N80" si="44">K75</f>
        <v>160</v>
      </c>
      <c r="L76" s="44">
        <f t="shared" si="44"/>
        <v>8</v>
      </c>
      <c r="M76" s="44">
        <f t="shared" si="44"/>
        <v>8</v>
      </c>
      <c r="N76" s="45">
        <f t="shared" si="44"/>
        <v>0.2</v>
      </c>
      <c r="O76" s="49">
        <v>30</v>
      </c>
      <c r="P76" s="54">
        <f>K76+6</f>
        <v>166</v>
      </c>
      <c r="Q76" s="44">
        <f t="shared" si="35"/>
        <v>150</v>
      </c>
      <c r="R76" s="50">
        <f t="shared" si="35"/>
        <v>270</v>
      </c>
    </row>
    <row r="77" spans="1:18" x14ac:dyDescent="0.25">
      <c r="A77" s="41">
        <f t="shared" si="42"/>
        <v>925</v>
      </c>
      <c r="B77" s="42">
        <f t="shared" si="42"/>
        <v>67</v>
      </c>
      <c r="C77" s="41" t="s">
        <v>1936</v>
      </c>
      <c r="D77" s="43">
        <f t="shared" si="38"/>
        <v>9.8000000000000007</v>
      </c>
      <c r="E77" s="61">
        <f t="shared" si="39"/>
        <v>1.8130000000000002</v>
      </c>
      <c r="F77" s="61">
        <f t="shared" si="40"/>
        <v>42</v>
      </c>
      <c r="G77" s="64">
        <f t="shared" si="41"/>
        <v>0.58988764044943809</v>
      </c>
      <c r="H77" s="44">
        <f t="shared" si="29"/>
        <v>-39.859186714563904</v>
      </c>
      <c r="I77" s="42" t="str">
        <f t="shared" si="43"/>
        <v>Half</v>
      </c>
      <c r="J77" s="50">
        <f t="shared" si="43"/>
        <v>6</v>
      </c>
      <c r="K77" s="49">
        <f t="shared" si="44"/>
        <v>160</v>
      </c>
      <c r="L77" s="44">
        <f t="shared" si="44"/>
        <v>8</v>
      </c>
      <c r="M77" s="44">
        <f t="shared" si="44"/>
        <v>8</v>
      </c>
      <c r="N77" s="45">
        <f t="shared" si="44"/>
        <v>0.2</v>
      </c>
      <c r="O77" s="49">
        <v>60</v>
      </c>
      <c r="P77" s="54">
        <f>K77</f>
        <v>160</v>
      </c>
      <c r="Q77" s="44">
        <f t="shared" ref="Q77:R92" si="45">Q76</f>
        <v>150</v>
      </c>
      <c r="R77" s="50">
        <f t="shared" si="45"/>
        <v>270</v>
      </c>
    </row>
    <row r="78" spans="1:18" x14ac:dyDescent="0.25">
      <c r="A78" s="41">
        <f t="shared" si="42"/>
        <v>926</v>
      </c>
      <c r="B78" s="42">
        <f t="shared" si="42"/>
        <v>68</v>
      </c>
      <c r="C78" s="41" t="s">
        <v>1937</v>
      </c>
      <c r="D78" s="43">
        <f t="shared" si="38"/>
        <v>9.8000000000000007</v>
      </c>
      <c r="E78" s="61">
        <f t="shared" si="39"/>
        <v>1.8130000000000002</v>
      </c>
      <c r="F78" s="61">
        <f t="shared" si="40"/>
        <v>42</v>
      </c>
      <c r="G78" s="64">
        <f t="shared" si="41"/>
        <v>0.58988764044943809</v>
      </c>
      <c r="H78" s="44">
        <f t="shared" si="29"/>
        <v>-39.859186714563904</v>
      </c>
      <c r="I78" s="42" t="str">
        <f t="shared" si="43"/>
        <v>Half</v>
      </c>
      <c r="J78" s="50">
        <f t="shared" si="43"/>
        <v>6</v>
      </c>
      <c r="K78" s="49">
        <f t="shared" si="44"/>
        <v>160</v>
      </c>
      <c r="L78" s="44">
        <f t="shared" si="44"/>
        <v>8</v>
      </c>
      <c r="M78" s="44">
        <f t="shared" si="44"/>
        <v>8</v>
      </c>
      <c r="N78" s="45">
        <f t="shared" si="44"/>
        <v>0.2</v>
      </c>
      <c r="O78" s="49">
        <v>60</v>
      </c>
      <c r="P78" s="54">
        <f>K78+3</f>
        <v>163</v>
      </c>
      <c r="Q78" s="44">
        <f t="shared" si="45"/>
        <v>150</v>
      </c>
      <c r="R78" s="50">
        <f t="shared" si="45"/>
        <v>270</v>
      </c>
    </row>
    <row r="79" spans="1:18" x14ac:dyDescent="0.25">
      <c r="A79" s="41">
        <f t="shared" si="42"/>
        <v>927</v>
      </c>
      <c r="B79" s="42">
        <f t="shared" si="42"/>
        <v>69</v>
      </c>
      <c r="C79" s="41" t="s">
        <v>1938</v>
      </c>
      <c r="D79" s="43">
        <f t="shared" si="38"/>
        <v>9.8000000000000007</v>
      </c>
      <c r="E79" s="61">
        <f t="shared" si="39"/>
        <v>1.8130000000000002</v>
      </c>
      <c r="F79" s="61">
        <f t="shared" si="40"/>
        <v>42</v>
      </c>
      <c r="G79" s="64">
        <f t="shared" si="41"/>
        <v>0.58988764044943809</v>
      </c>
      <c r="H79" s="44">
        <f t="shared" si="29"/>
        <v>-39.859186714563904</v>
      </c>
      <c r="I79" s="42" t="s">
        <v>12</v>
      </c>
      <c r="J79" s="50">
        <f t="shared" ref="J79" si="46">J78</f>
        <v>6</v>
      </c>
      <c r="K79" s="49">
        <f t="shared" si="44"/>
        <v>160</v>
      </c>
      <c r="L79" s="44">
        <f t="shared" si="44"/>
        <v>8</v>
      </c>
      <c r="M79" s="44">
        <f t="shared" si="44"/>
        <v>8</v>
      </c>
      <c r="N79" s="45">
        <f t="shared" si="44"/>
        <v>0.2</v>
      </c>
      <c r="O79" s="49">
        <v>60</v>
      </c>
      <c r="P79" s="54">
        <f>K79+6</f>
        <v>166</v>
      </c>
      <c r="Q79" s="44">
        <f t="shared" si="45"/>
        <v>150</v>
      </c>
      <c r="R79" s="50">
        <f t="shared" si="45"/>
        <v>270</v>
      </c>
    </row>
    <row r="80" spans="1:18" x14ac:dyDescent="0.25">
      <c r="A80" s="41">
        <f t="shared" si="42"/>
        <v>928</v>
      </c>
      <c r="B80" s="42">
        <f t="shared" si="42"/>
        <v>70</v>
      </c>
      <c r="C80" s="41" t="s">
        <v>1939</v>
      </c>
      <c r="D80" s="43">
        <f t="shared" si="38"/>
        <v>9.8000000000000007</v>
      </c>
      <c r="E80" s="61">
        <f t="shared" si="39"/>
        <v>1.8130000000000002</v>
      </c>
      <c r="F80" s="61">
        <f t="shared" si="40"/>
        <v>42</v>
      </c>
      <c r="G80" s="64">
        <f t="shared" si="41"/>
        <v>0.58988764044943809</v>
      </c>
      <c r="H80" s="44">
        <f t="shared" si="29"/>
        <v>-39.859186714563904</v>
      </c>
      <c r="I80" s="42" t="str">
        <f>I79</f>
        <v>Half</v>
      </c>
      <c r="J80" s="50">
        <f t="shared" ref="J80" si="47">J79</f>
        <v>6</v>
      </c>
      <c r="K80" s="49">
        <f t="shared" si="44"/>
        <v>160</v>
      </c>
      <c r="L80" s="44">
        <f t="shared" si="44"/>
        <v>8</v>
      </c>
      <c r="M80" s="44">
        <f t="shared" si="44"/>
        <v>8</v>
      </c>
      <c r="N80" s="45">
        <f t="shared" si="44"/>
        <v>0.2</v>
      </c>
      <c r="O80" s="49">
        <v>90</v>
      </c>
      <c r="P80" s="54">
        <f>K80</f>
        <v>160</v>
      </c>
      <c r="Q80" s="44">
        <f t="shared" si="45"/>
        <v>150</v>
      </c>
      <c r="R80" s="50">
        <f t="shared" si="45"/>
        <v>270</v>
      </c>
    </row>
    <row r="81" spans="1:18" x14ac:dyDescent="0.25">
      <c r="A81" s="41">
        <f t="shared" si="42"/>
        <v>929</v>
      </c>
      <c r="B81" s="42">
        <f t="shared" si="42"/>
        <v>71</v>
      </c>
      <c r="C81" s="41" t="s">
        <v>1940</v>
      </c>
      <c r="D81" s="43">
        <f t="shared" si="38"/>
        <v>9.8000000000000007</v>
      </c>
      <c r="E81" s="61">
        <f t="shared" si="39"/>
        <v>1.8130000000000002</v>
      </c>
      <c r="F81" s="61">
        <f t="shared" si="40"/>
        <v>42</v>
      </c>
      <c r="G81" s="64">
        <f t="shared" si="41"/>
        <v>0.58988764044943809</v>
      </c>
      <c r="H81" s="44">
        <f t="shared" si="29"/>
        <v>-39.859186714563904</v>
      </c>
      <c r="I81" s="42" t="str">
        <f t="shared" si="43"/>
        <v>Half</v>
      </c>
      <c r="J81" s="50">
        <f t="shared" si="43"/>
        <v>6</v>
      </c>
      <c r="K81" s="49">
        <f t="shared" si="43"/>
        <v>160</v>
      </c>
      <c r="L81" s="44">
        <f t="shared" si="43"/>
        <v>8</v>
      </c>
      <c r="M81" s="44">
        <f t="shared" si="43"/>
        <v>8</v>
      </c>
      <c r="N81" s="45">
        <f t="shared" si="43"/>
        <v>0.2</v>
      </c>
      <c r="O81" s="49">
        <v>90</v>
      </c>
      <c r="P81" s="54">
        <f>K81+3</f>
        <v>163</v>
      </c>
      <c r="Q81" s="44">
        <f t="shared" si="45"/>
        <v>150</v>
      </c>
      <c r="R81" s="50">
        <f t="shared" si="45"/>
        <v>270</v>
      </c>
    </row>
    <row r="82" spans="1:18" x14ac:dyDescent="0.25">
      <c r="A82" s="41">
        <f t="shared" si="42"/>
        <v>930</v>
      </c>
      <c r="B82" s="42">
        <f t="shared" si="42"/>
        <v>72</v>
      </c>
      <c r="C82" s="127" t="s">
        <v>1941</v>
      </c>
      <c r="D82" s="43">
        <f t="shared" si="38"/>
        <v>9.8000000000000007</v>
      </c>
      <c r="E82" s="61">
        <f t="shared" si="39"/>
        <v>1.8130000000000002</v>
      </c>
      <c r="F82" s="61">
        <f t="shared" si="40"/>
        <v>42</v>
      </c>
      <c r="G82" s="64">
        <f t="shared" si="41"/>
        <v>0.58988764044943809</v>
      </c>
      <c r="H82" s="44">
        <f t="shared" si="29"/>
        <v>-39.859186714563904</v>
      </c>
      <c r="I82" s="42" t="str">
        <f t="shared" si="43"/>
        <v>Half</v>
      </c>
      <c r="J82" s="50">
        <f t="shared" si="43"/>
        <v>6</v>
      </c>
      <c r="K82" s="49">
        <f t="shared" si="43"/>
        <v>160</v>
      </c>
      <c r="L82" s="44">
        <f t="shared" si="43"/>
        <v>8</v>
      </c>
      <c r="M82" s="44">
        <f t="shared" si="43"/>
        <v>8</v>
      </c>
      <c r="N82" s="45">
        <f t="shared" si="43"/>
        <v>0.2</v>
      </c>
      <c r="O82" s="49">
        <v>90</v>
      </c>
      <c r="P82" s="54">
        <f>K82+6</f>
        <v>166</v>
      </c>
      <c r="Q82" s="44">
        <f t="shared" si="45"/>
        <v>150</v>
      </c>
      <c r="R82" s="50">
        <f t="shared" si="45"/>
        <v>270</v>
      </c>
    </row>
    <row r="83" spans="1:18" x14ac:dyDescent="0.25">
      <c r="A83" s="41">
        <f t="shared" si="42"/>
        <v>931</v>
      </c>
      <c r="B83" s="42">
        <f t="shared" si="42"/>
        <v>73</v>
      </c>
      <c r="C83" s="41" t="s">
        <v>1942</v>
      </c>
      <c r="D83" s="43">
        <f t="shared" ref="D83:D114" si="48">vr_a</f>
        <v>11.8</v>
      </c>
      <c r="E83" s="61">
        <f t="shared" si="39"/>
        <v>2.0230000000000001</v>
      </c>
      <c r="F83" s="61">
        <f t="shared" si="40"/>
        <v>42</v>
      </c>
      <c r="G83" s="64">
        <f t="shared" si="41"/>
        <v>0.58988764044943809</v>
      </c>
      <c r="H83" s="44">
        <f>6.4*ATAN(E83/D83*G83)/PI()*180</f>
        <v>36.958278003936336</v>
      </c>
      <c r="I83" s="42" t="str">
        <f t="shared" si="43"/>
        <v>Half</v>
      </c>
      <c r="J83" s="50">
        <f t="shared" si="43"/>
        <v>6</v>
      </c>
      <c r="K83" s="49">
        <f t="shared" si="43"/>
        <v>160</v>
      </c>
      <c r="L83" s="44">
        <f t="shared" si="43"/>
        <v>8</v>
      </c>
      <c r="M83" s="44">
        <f>yaw_min</f>
        <v>-8</v>
      </c>
      <c r="N83" s="45">
        <f t="shared" si="43"/>
        <v>0.2</v>
      </c>
      <c r="O83" s="49">
        <v>0</v>
      </c>
      <c r="P83" s="54">
        <f>K83</f>
        <v>160</v>
      </c>
      <c r="Q83" s="44">
        <f t="shared" si="45"/>
        <v>150</v>
      </c>
      <c r="R83" s="50">
        <f t="shared" si="45"/>
        <v>270</v>
      </c>
    </row>
    <row r="84" spans="1:18" x14ac:dyDescent="0.25">
      <c r="A84" s="41">
        <f t="shared" si="42"/>
        <v>932</v>
      </c>
      <c r="B84" s="42">
        <f t="shared" si="42"/>
        <v>74</v>
      </c>
      <c r="C84" s="41" t="s">
        <v>1943</v>
      </c>
      <c r="D84" s="43">
        <f t="shared" si="48"/>
        <v>11.8</v>
      </c>
      <c r="E84" s="61">
        <f t="shared" si="39"/>
        <v>2.0230000000000001</v>
      </c>
      <c r="F84" s="61">
        <f t="shared" si="40"/>
        <v>42</v>
      </c>
      <c r="G84" s="64">
        <f t="shared" si="41"/>
        <v>0.58988764044943809</v>
      </c>
      <c r="H84" s="44">
        <f t="shared" ref="H84:H118" si="49">6.4*ATAN(E84/D84*G84)/PI()*180</f>
        <v>36.958278003936336</v>
      </c>
      <c r="I84" s="42" t="str">
        <f t="shared" si="43"/>
        <v>Half</v>
      </c>
      <c r="J84" s="50">
        <f t="shared" si="43"/>
        <v>6</v>
      </c>
      <c r="K84" s="49">
        <f t="shared" si="43"/>
        <v>160</v>
      </c>
      <c r="L84" s="44">
        <f t="shared" si="43"/>
        <v>8</v>
      </c>
      <c r="M84" s="44">
        <f t="shared" si="43"/>
        <v>-8</v>
      </c>
      <c r="N84" s="45">
        <f t="shared" si="43"/>
        <v>0.2</v>
      </c>
      <c r="O84" s="49">
        <v>0</v>
      </c>
      <c r="P84" s="54">
        <f>K84+3</f>
        <v>163</v>
      </c>
      <c r="Q84" s="44">
        <f t="shared" si="45"/>
        <v>150</v>
      </c>
      <c r="R84" s="50">
        <f t="shared" si="45"/>
        <v>270</v>
      </c>
    </row>
    <row r="85" spans="1:18" x14ac:dyDescent="0.25">
      <c r="A85" s="41">
        <f t="shared" si="42"/>
        <v>933</v>
      </c>
      <c r="B85" s="42">
        <f t="shared" si="42"/>
        <v>75</v>
      </c>
      <c r="C85" s="41" t="s">
        <v>1944</v>
      </c>
      <c r="D85" s="43">
        <f t="shared" si="48"/>
        <v>11.8</v>
      </c>
      <c r="E85" s="61">
        <f t="shared" si="39"/>
        <v>2.0230000000000001</v>
      </c>
      <c r="F85" s="61">
        <f t="shared" si="40"/>
        <v>42</v>
      </c>
      <c r="G85" s="64">
        <f t="shared" si="41"/>
        <v>0.58988764044943809</v>
      </c>
      <c r="H85" s="44">
        <f t="shared" si="49"/>
        <v>36.958278003936336</v>
      </c>
      <c r="I85" s="42" t="str">
        <f t="shared" si="43"/>
        <v>Half</v>
      </c>
      <c r="J85" s="50">
        <f t="shared" si="43"/>
        <v>6</v>
      </c>
      <c r="K85" s="49">
        <f t="shared" si="43"/>
        <v>160</v>
      </c>
      <c r="L85" s="44">
        <f t="shared" si="43"/>
        <v>8</v>
      </c>
      <c r="M85" s="44">
        <f t="shared" si="43"/>
        <v>-8</v>
      </c>
      <c r="N85" s="45">
        <f t="shared" si="43"/>
        <v>0.2</v>
      </c>
      <c r="O85" s="49">
        <v>0</v>
      </c>
      <c r="P85" s="54">
        <f>K85+6</f>
        <v>166</v>
      </c>
      <c r="Q85" s="44">
        <f t="shared" si="45"/>
        <v>150</v>
      </c>
      <c r="R85" s="50">
        <f t="shared" si="45"/>
        <v>270</v>
      </c>
    </row>
    <row r="86" spans="1:18" x14ac:dyDescent="0.25">
      <c r="A86" s="41">
        <f t="shared" si="42"/>
        <v>934</v>
      </c>
      <c r="B86" s="42">
        <f t="shared" si="42"/>
        <v>76</v>
      </c>
      <c r="C86" s="41" t="s">
        <v>1945</v>
      </c>
      <c r="D86" s="43">
        <f t="shared" si="48"/>
        <v>11.8</v>
      </c>
      <c r="E86" s="61">
        <f t="shared" si="39"/>
        <v>2.0230000000000001</v>
      </c>
      <c r="F86" s="61">
        <f t="shared" si="40"/>
        <v>42</v>
      </c>
      <c r="G86" s="64">
        <f t="shared" si="41"/>
        <v>0.58988764044943809</v>
      </c>
      <c r="H86" s="44">
        <f t="shared" si="49"/>
        <v>36.958278003936336</v>
      </c>
      <c r="I86" s="42" t="str">
        <f t="shared" si="43"/>
        <v>Half</v>
      </c>
      <c r="J86" s="50">
        <f t="shared" si="43"/>
        <v>6</v>
      </c>
      <c r="K86" s="49">
        <f t="shared" si="43"/>
        <v>160</v>
      </c>
      <c r="L86" s="44">
        <f t="shared" si="43"/>
        <v>8</v>
      </c>
      <c r="M86" s="44">
        <f t="shared" si="43"/>
        <v>-8</v>
      </c>
      <c r="N86" s="45">
        <f t="shared" si="43"/>
        <v>0.2</v>
      </c>
      <c r="O86" s="49">
        <v>30</v>
      </c>
      <c r="P86" s="54">
        <f>K86</f>
        <v>160</v>
      </c>
      <c r="Q86" s="44">
        <f t="shared" si="45"/>
        <v>150</v>
      </c>
      <c r="R86" s="50">
        <f t="shared" si="45"/>
        <v>270</v>
      </c>
    </row>
    <row r="87" spans="1:18" x14ac:dyDescent="0.25">
      <c r="A87" s="41">
        <f t="shared" si="42"/>
        <v>935</v>
      </c>
      <c r="B87" s="42">
        <f t="shared" si="42"/>
        <v>77</v>
      </c>
      <c r="C87" s="41" t="s">
        <v>1946</v>
      </c>
      <c r="D87" s="43">
        <f t="shared" si="48"/>
        <v>11.8</v>
      </c>
      <c r="E87" s="61">
        <f t="shared" si="39"/>
        <v>2.0230000000000001</v>
      </c>
      <c r="F87" s="61">
        <f t="shared" si="40"/>
        <v>42</v>
      </c>
      <c r="G87" s="64">
        <f t="shared" si="41"/>
        <v>0.58988764044943809</v>
      </c>
      <c r="H87" s="44">
        <f t="shared" si="49"/>
        <v>36.958278003936336</v>
      </c>
      <c r="I87" s="42" t="str">
        <f t="shared" si="43"/>
        <v>Half</v>
      </c>
      <c r="J87" s="50">
        <f t="shared" si="43"/>
        <v>6</v>
      </c>
      <c r="K87" s="49">
        <f t="shared" si="43"/>
        <v>160</v>
      </c>
      <c r="L87" s="44">
        <f t="shared" si="43"/>
        <v>8</v>
      </c>
      <c r="M87" s="44">
        <f t="shared" si="43"/>
        <v>-8</v>
      </c>
      <c r="N87" s="45">
        <f t="shared" si="43"/>
        <v>0.2</v>
      </c>
      <c r="O87" s="49">
        <v>30</v>
      </c>
      <c r="P87" s="54">
        <f>K87+3</f>
        <v>163</v>
      </c>
      <c r="Q87" s="44">
        <f t="shared" si="45"/>
        <v>150</v>
      </c>
      <c r="R87" s="50">
        <f t="shared" si="45"/>
        <v>270</v>
      </c>
    </row>
    <row r="88" spans="1:18" x14ac:dyDescent="0.25">
      <c r="A88" s="41">
        <f t="shared" si="42"/>
        <v>936</v>
      </c>
      <c r="B88" s="42">
        <f t="shared" si="42"/>
        <v>78</v>
      </c>
      <c r="C88" s="41" t="s">
        <v>1947</v>
      </c>
      <c r="D88" s="43">
        <f t="shared" si="48"/>
        <v>11.8</v>
      </c>
      <c r="E88" s="61">
        <f t="shared" si="39"/>
        <v>2.0230000000000001</v>
      </c>
      <c r="F88" s="61">
        <f t="shared" si="40"/>
        <v>42</v>
      </c>
      <c r="G88" s="64">
        <f t="shared" si="41"/>
        <v>0.58988764044943809</v>
      </c>
      <c r="H88" s="44">
        <f t="shared" si="49"/>
        <v>36.958278003936336</v>
      </c>
      <c r="I88" s="42" t="str">
        <f t="shared" si="43"/>
        <v>Half</v>
      </c>
      <c r="J88" s="50">
        <f t="shared" si="43"/>
        <v>6</v>
      </c>
      <c r="K88" s="49">
        <f t="shared" si="43"/>
        <v>160</v>
      </c>
      <c r="L88" s="44">
        <f t="shared" si="43"/>
        <v>8</v>
      </c>
      <c r="M88" s="44">
        <f t="shared" si="43"/>
        <v>-8</v>
      </c>
      <c r="N88" s="45">
        <f t="shared" si="43"/>
        <v>0.2</v>
      </c>
      <c r="O88" s="49">
        <v>30</v>
      </c>
      <c r="P88" s="54">
        <f>K88+6</f>
        <v>166</v>
      </c>
      <c r="Q88" s="44">
        <f t="shared" si="45"/>
        <v>150</v>
      </c>
      <c r="R88" s="50">
        <f t="shared" si="45"/>
        <v>270</v>
      </c>
    </row>
    <row r="89" spans="1:18" x14ac:dyDescent="0.25">
      <c r="A89" s="41">
        <f t="shared" si="42"/>
        <v>937</v>
      </c>
      <c r="B89" s="42">
        <f t="shared" si="42"/>
        <v>79</v>
      </c>
      <c r="C89" s="41" t="s">
        <v>1948</v>
      </c>
      <c r="D89" s="43">
        <f t="shared" si="48"/>
        <v>11.8</v>
      </c>
      <c r="E89" s="61">
        <f t="shared" si="39"/>
        <v>2.0230000000000001</v>
      </c>
      <c r="F89" s="61">
        <f t="shared" si="40"/>
        <v>42</v>
      </c>
      <c r="G89" s="64">
        <f t="shared" si="41"/>
        <v>0.58988764044943809</v>
      </c>
      <c r="H89" s="44">
        <f t="shared" si="49"/>
        <v>36.958278003936336</v>
      </c>
      <c r="I89" s="42" t="str">
        <f t="shared" si="43"/>
        <v>Half</v>
      </c>
      <c r="J89" s="50">
        <f t="shared" si="43"/>
        <v>6</v>
      </c>
      <c r="K89" s="49">
        <f t="shared" si="43"/>
        <v>160</v>
      </c>
      <c r="L89" s="44">
        <f t="shared" si="43"/>
        <v>8</v>
      </c>
      <c r="M89" s="44">
        <f t="shared" si="43"/>
        <v>-8</v>
      </c>
      <c r="N89" s="45">
        <f t="shared" si="43"/>
        <v>0.2</v>
      </c>
      <c r="O89" s="49">
        <v>60</v>
      </c>
      <c r="P89" s="54">
        <f>K89</f>
        <v>160</v>
      </c>
      <c r="Q89" s="44">
        <f t="shared" si="45"/>
        <v>150</v>
      </c>
      <c r="R89" s="50">
        <f t="shared" si="45"/>
        <v>270</v>
      </c>
    </row>
    <row r="90" spans="1:18" x14ac:dyDescent="0.25">
      <c r="A90" s="41">
        <f t="shared" si="42"/>
        <v>938</v>
      </c>
      <c r="B90" s="42">
        <f t="shared" si="42"/>
        <v>80</v>
      </c>
      <c r="C90" s="41" t="s">
        <v>1949</v>
      </c>
      <c r="D90" s="43">
        <f t="shared" si="48"/>
        <v>11.8</v>
      </c>
      <c r="E90" s="61">
        <f t="shared" si="39"/>
        <v>2.0230000000000001</v>
      </c>
      <c r="F90" s="61">
        <f t="shared" si="40"/>
        <v>42</v>
      </c>
      <c r="G90" s="64">
        <f t="shared" si="41"/>
        <v>0.58988764044943809</v>
      </c>
      <c r="H90" s="44">
        <f t="shared" si="49"/>
        <v>36.958278003936336</v>
      </c>
      <c r="I90" s="42" t="str">
        <f t="shared" si="43"/>
        <v>Half</v>
      </c>
      <c r="J90" s="50">
        <f t="shared" si="43"/>
        <v>6</v>
      </c>
      <c r="K90" s="49">
        <f t="shared" si="43"/>
        <v>160</v>
      </c>
      <c r="L90" s="44">
        <f t="shared" si="43"/>
        <v>8</v>
      </c>
      <c r="M90" s="44">
        <f t="shared" si="43"/>
        <v>-8</v>
      </c>
      <c r="N90" s="45">
        <f t="shared" si="43"/>
        <v>0.2</v>
      </c>
      <c r="O90" s="49">
        <v>60</v>
      </c>
      <c r="P90" s="54">
        <f>K90+3</f>
        <v>163</v>
      </c>
      <c r="Q90" s="44">
        <f t="shared" si="45"/>
        <v>150</v>
      </c>
      <c r="R90" s="50">
        <f t="shared" si="45"/>
        <v>270</v>
      </c>
    </row>
    <row r="91" spans="1:18" x14ac:dyDescent="0.25">
      <c r="A91" s="41">
        <f t="shared" si="42"/>
        <v>939</v>
      </c>
      <c r="B91" s="42">
        <f t="shared" si="42"/>
        <v>81</v>
      </c>
      <c r="C91" s="41" t="s">
        <v>1950</v>
      </c>
      <c r="D91" s="43">
        <f t="shared" si="48"/>
        <v>11.8</v>
      </c>
      <c r="E91" s="61">
        <f t="shared" si="39"/>
        <v>2.0230000000000001</v>
      </c>
      <c r="F91" s="61">
        <f t="shared" si="40"/>
        <v>42</v>
      </c>
      <c r="G91" s="64">
        <f t="shared" si="41"/>
        <v>0.58988764044943809</v>
      </c>
      <c r="H91" s="44">
        <f t="shared" si="49"/>
        <v>36.958278003936336</v>
      </c>
      <c r="I91" s="42" t="str">
        <f t="shared" si="43"/>
        <v>Half</v>
      </c>
      <c r="J91" s="50">
        <f t="shared" si="43"/>
        <v>6</v>
      </c>
      <c r="K91" s="49">
        <f t="shared" si="43"/>
        <v>160</v>
      </c>
      <c r="L91" s="44">
        <f t="shared" si="43"/>
        <v>8</v>
      </c>
      <c r="M91" s="44">
        <f t="shared" si="43"/>
        <v>-8</v>
      </c>
      <c r="N91" s="45">
        <f t="shared" si="43"/>
        <v>0.2</v>
      </c>
      <c r="O91" s="49">
        <v>60</v>
      </c>
      <c r="P91" s="54">
        <f>K91+6</f>
        <v>166</v>
      </c>
      <c r="Q91" s="44">
        <f t="shared" si="45"/>
        <v>150</v>
      </c>
      <c r="R91" s="50">
        <f t="shared" si="45"/>
        <v>270</v>
      </c>
    </row>
    <row r="92" spans="1:18" x14ac:dyDescent="0.25">
      <c r="A92" s="41">
        <f t="shared" ref="A92:B107" si="50">A91+1</f>
        <v>940</v>
      </c>
      <c r="B92" s="42">
        <f t="shared" si="50"/>
        <v>82</v>
      </c>
      <c r="C92" s="41" t="s">
        <v>1951</v>
      </c>
      <c r="D92" s="43">
        <f t="shared" si="48"/>
        <v>11.8</v>
      </c>
      <c r="E92" s="61">
        <f t="shared" si="39"/>
        <v>2.0230000000000001</v>
      </c>
      <c r="F92" s="61">
        <f t="shared" si="40"/>
        <v>42</v>
      </c>
      <c r="G92" s="64">
        <f t="shared" si="41"/>
        <v>0.58988764044943809</v>
      </c>
      <c r="H92" s="44">
        <f t="shared" si="49"/>
        <v>36.958278003936336</v>
      </c>
      <c r="I92" s="42" t="str">
        <f>I91</f>
        <v>Half</v>
      </c>
      <c r="J92" s="50">
        <f t="shared" ref="J92" si="51">J91</f>
        <v>6</v>
      </c>
      <c r="K92" s="49">
        <f t="shared" ref="K92:N95" si="52">K91</f>
        <v>160</v>
      </c>
      <c r="L92" s="44">
        <f t="shared" si="52"/>
        <v>8</v>
      </c>
      <c r="M92" s="44">
        <f t="shared" si="52"/>
        <v>-8</v>
      </c>
      <c r="N92" s="45">
        <f t="shared" si="52"/>
        <v>0.2</v>
      </c>
      <c r="O92" s="49">
        <v>90</v>
      </c>
      <c r="P92" s="54">
        <f>K92</f>
        <v>160</v>
      </c>
      <c r="Q92" s="44">
        <f t="shared" si="45"/>
        <v>150</v>
      </c>
      <c r="R92" s="50">
        <f t="shared" si="45"/>
        <v>270</v>
      </c>
    </row>
    <row r="93" spans="1:18" x14ac:dyDescent="0.25">
      <c r="A93" s="41">
        <f t="shared" si="50"/>
        <v>941</v>
      </c>
      <c r="B93" s="42">
        <f t="shared" si="50"/>
        <v>83</v>
      </c>
      <c r="C93" s="41" t="s">
        <v>1952</v>
      </c>
      <c r="D93" s="43">
        <f t="shared" si="48"/>
        <v>11.8</v>
      </c>
      <c r="E93" s="61">
        <f t="shared" si="39"/>
        <v>2.0230000000000001</v>
      </c>
      <c r="F93" s="61">
        <f t="shared" si="40"/>
        <v>42</v>
      </c>
      <c r="G93" s="64">
        <f t="shared" si="41"/>
        <v>0.58988764044943809</v>
      </c>
      <c r="H93" s="44">
        <f t="shared" si="49"/>
        <v>36.958278003936336</v>
      </c>
      <c r="I93" s="42" t="str">
        <f>I92</f>
        <v>Half</v>
      </c>
      <c r="J93" s="50">
        <f t="shared" ref="J93" si="53">J92</f>
        <v>6</v>
      </c>
      <c r="K93" s="49">
        <f t="shared" si="52"/>
        <v>160</v>
      </c>
      <c r="L93" s="44">
        <f t="shared" si="52"/>
        <v>8</v>
      </c>
      <c r="M93" s="44">
        <f t="shared" si="52"/>
        <v>-8</v>
      </c>
      <c r="N93" s="45">
        <f t="shared" si="52"/>
        <v>0.2</v>
      </c>
      <c r="O93" s="49">
        <v>90</v>
      </c>
      <c r="P93" s="54">
        <f>K93+3</f>
        <v>163</v>
      </c>
      <c r="Q93" s="44">
        <f t="shared" ref="Q93:R108" si="54">Q92</f>
        <v>150</v>
      </c>
      <c r="R93" s="50">
        <f t="shared" si="54"/>
        <v>270</v>
      </c>
    </row>
    <row r="94" spans="1:18" x14ac:dyDescent="0.25">
      <c r="A94" s="41">
        <f t="shared" si="50"/>
        <v>942</v>
      </c>
      <c r="B94" s="42">
        <f t="shared" si="50"/>
        <v>84</v>
      </c>
      <c r="C94" s="41" t="s">
        <v>1953</v>
      </c>
      <c r="D94" s="43">
        <f t="shared" si="48"/>
        <v>11.8</v>
      </c>
      <c r="E94" s="61">
        <f t="shared" si="39"/>
        <v>2.0230000000000001</v>
      </c>
      <c r="F94" s="61">
        <f t="shared" si="40"/>
        <v>42</v>
      </c>
      <c r="G94" s="64">
        <f t="shared" si="41"/>
        <v>0.58988764044943809</v>
      </c>
      <c r="H94" s="44">
        <f t="shared" si="49"/>
        <v>36.958278003936336</v>
      </c>
      <c r="I94" s="42" t="str">
        <f>I93</f>
        <v>Half</v>
      </c>
      <c r="J94" s="50">
        <f t="shared" ref="J94" si="55">J93</f>
        <v>6</v>
      </c>
      <c r="K94" s="49">
        <f t="shared" si="52"/>
        <v>160</v>
      </c>
      <c r="L94" s="44">
        <f t="shared" si="52"/>
        <v>8</v>
      </c>
      <c r="M94" s="44">
        <f t="shared" si="52"/>
        <v>-8</v>
      </c>
      <c r="N94" s="45">
        <f t="shared" si="52"/>
        <v>0.2</v>
      </c>
      <c r="O94" s="49">
        <v>90</v>
      </c>
      <c r="P94" s="54">
        <f>K94+6</f>
        <v>166</v>
      </c>
      <c r="Q94" s="44">
        <f t="shared" si="54"/>
        <v>150</v>
      </c>
      <c r="R94" s="50">
        <f t="shared" si="54"/>
        <v>270</v>
      </c>
    </row>
    <row r="95" spans="1:18" x14ac:dyDescent="0.25">
      <c r="A95" s="41">
        <f t="shared" si="50"/>
        <v>943</v>
      </c>
      <c r="B95" s="42">
        <f t="shared" si="50"/>
        <v>85</v>
      </c>
      <c r="C95" s="41" t="s">
        <v>1954</v>
      </c>
      <c r="D95" s="43">
        <f t="shared" si="48"/>
        <v>11.8</v>
      </c>
      <c r="E95" s="61">
        <f t="shared" si="39"/>
        <v>2.0230000000000001</v>
      </c>
      <c r="F95" s="61">
        <f t="shared" si="40"/>
        <v>42</v>
      </c>
      <c r="G95" s="64">
        <f t="shared" si="41"/>
        <v>0.58988764044943809</v>
      </c>
      <c r="H95" s="44">
        <f>6.4*ATAN(E95/D95*G95)/PI()*180</f>
        <v>36.958278003936336</v>
      </c>
      <c r="I95" s="42" t="str">
        <f t="shared" ref="I95:N107" si="56">I94</f>
        <v>Half</v>
      </c>
      <c r="J95" s="50">
        <f t="shared" si="56"/>
        <v>6</v>
      </c>
      <c r="K95" s="49">
        <f t="shared" si="52"/>
        <v>160</v>
      </c>
      <c r="L95" s="44">
        <f t="shared" si="52"/>
        <v>8</v>
      </c>
      <c r="M95" s="44">
        <f>yaw_null</f>
        <v>0</v>
      </c>
      <c r="N95" s="45">
        <f t="shared" si="52"/>
        <v>0.2</v>
      </c>
      <c r="O95" s="49">
        <v>0</v>
      </c>
      <c r="P95" s="54">
        <f>K95</f>
        <v>160</v>
      </c>
      <c r="Q95" s="44">
        <f t="shared" si="54"/>
        <v>150</v>
      </c>
      <c r="R95" s="50">
        <f t="shared" si="54"/>
        <v>270</v>
      </c>
    </row>
    <row r="96" spans="1:18" x14ac:dyDescent="0.25">
      <c r="A96" s="41">
        <f t="shared" si="50"/>
        <v>944</v>
      </c>
      <c r="B96" s="42">
        <f t="shared" si="50"/>
        <v>86</v>
      </c>
      <c r="C96" s="41" t="s">
        <v>1955</v>
      </c>
      <c r="D96" s="43">
        <f t="shared" si="48"/>
        <v>11.8</v>
      </c>
      <c r="E96" s="61">
        <f t="shared" si="39"/>
        <v>2.0230000000000001</v>
      </c>
      <c r="F96" s="61">
        <f t="shared" si="40"/>
        <v>42</v>
      </c>
      <c r="G96" s="64">
        <f t="shared" si="41"/>
        <v>0.58988764044943809</v>
      </c>
      <c r="H96" s="44">
        <f t="shared" si="49"/>
        <v>36.958278003936336</v>
      </c>
      <c r="I96" s="42" t="str">
        <f t="shared" si="56"/>
        <v>Half</v>
      </c>
      <c r="J96" s="50">
        <f t="shared" si="56"/>
        <v>6</v>
      </c>
      <c r="K96" s="49">
        <f t="shared" si="56"/>
        <v>160</v>
      </c>
      <c r="L96" s="44">
        <f t="shared" si="56"/>
        <v>8</v>
      </c>
      <c r="M96" s="44">
        <f t="shared" si="56"/>
        <v>0</v>
      </c>
      <c r="N96" s="45">
        <f t="shared" si="56"/>
        <v>0.2</v>
      </c>
      <c r="O96" s="49">
        <v>0</v>
      </c>
      <c r="P96" s="54">
        <f>K96+3</f>
        <v>163</v>
      </c>
      <c r="Q96" s="44">
        <f t="shared" si="54"/>
        <v>150</v>
      </c>
      <c r="R96" s="50">
        <f t="shared" si="54"/>
        <v>270</v>
      </c>
    </row>
    <row r="97" spans="1:18" x14ac:dyDescent="0.25">
      <c r="A97" s="41">
        <f t="shared" si="50"/>
        <v>945</v>
      </c>
      <c r="B97" s="42">
        <f t="shared" si="50"/>
        <v>87</v>
      </c>
      <c r="C97" s="41" t="s">
        <v>1956</v>
      </c>
      <c r="D97" s="43">
        <f t="shared" si="48"/>
        <v>11.8</v>
      </c>
      <c r="E97" s="61">
        <f t="shared" si="39"/>
        <v>2.0230000000000001</v>
      </c>
      <c r="F97" s="61">
        <f t="shared" si="40"/>
        <v>42</v>
      </c>
      <c r="G97" s="64">
        <f t="shared" si="41"/>
        <v>0.58988764044943809</v>
      </c>
      <c r="H97" s="44">
        <f t="shared" si="49"/>
        <v>36.958278003936336</v>
      </c>
      <c r="I97" s="42" t="str">
        <f t="shared" si="56"/>
        <v>Half</v>
      </c>
      <c r="J97" s="50">
        <f t="shared" si="56"/>
        <v>6</v>
      </c>
      <c r="K97" s="49">
        <f t="shared" si="56"/>
        <v>160</v>
      </c>
      <c r="L97" s="44">
        <f t="shared" si="56"/>
        <v>8</v>
      </c>
      <c r="M97" s="44">
        <f t="shared" si="56"/>
        <v>0</v>
      </c>
      <c r="N97" s="45">
        <f t="shared" si="56"/>
        <v>0.2</v>
      </c>
      <c r="O97" s="49">
        <v>0</v>
      </c>
      <c r="P97" s="54">
        <f>K97+6</f>
        <v>166</v>
      </c>
      <c r="Q97" s="44">
        <f t="shared" si="54"/>
        <v>150</v>
      </c>
      <c r="R97" s="50">
        <f t="shared" si="54"/>
        <v>270</v>
      </c>
    </row>
    <row r="98" spans="1:18" x14ac:dyDescent="0.25">
      <c r="A98" s="41">
        <f t="shared" si="50"/>
        <v>946</v>
      </c>
      <c r="B98" s="42">
        <f t="shared" si="50"/>
        <v>88</v>
      </c>
      <c r="C98" s="41" t="s">
        <v>1957</v>
      </c>
      <c r="D98" s="43">
        <f t="shared" si="48"/>
        <v>11.8</v>
      </c>
      <c r="E98" s="61">
        <f t="shared" si="39"/>
        <v>2.0230000000000001</v>
      </c>
      <c r="F98" s="61">
        <f t="shared" si="40"/>
        <v>42</v>
      </c>
      <c r="G98" s="64">
        <f t="shared" si="41"/>
        <v>0.58988764044943809</v>
      </c>
      <c r="H98" s="44">
        <f t="shared" si="49"/>
        <v>36.958278003936336</v>
      </c>
      <c r="I98" s="42" t="str">
        <f t="shared" si="56"/>
        <v>Half</v>
      </c>
      <c r="J98" s="50">
        <f t="shared" si="56"/>
        <v>6</v>
      </c>
      <c r="K98" s="49">
        <f t="shared" si="56"/>
        <v>160</v>
      </c>
      <c r="L98" s="44">
        <f t="shared" si="56"/>
        <v>8</v>
      </c>
      <c r="M98" s="44">
        <f t="shared" si="56"/>
        <v>0</v>
      </c>
      <c r="N98" s="45">
        <f t="shared" si="56"/>
        <v>0.2</v>
      </c>
      <c r="O98" s="49">
        <v>30</v>
      </c>
      <c r="P98" s="54">
        <f>K98</f>
        <v>160</v>
      </c>
      <c r="Q98" s="44">
        <f t="shared" si="54"/>
        <v>150</v>
      </c>
      <c r="R98" s="50">
        <f t="shared" si="54"/>
        <v>270</v>
      </c>
    </row>
    <row r="99" spans="1:18" x14ac:dyDescent="0.25">
      <c r="A99" s="41">
        <f t="shared" si="50"/>
        <v>947</v>
      </c>
      <c r="B99" s="42">
        <f t="shared" si="50"/>
        <v>89</v>
      </c>
      <c r="C99" s="41" t="s">
        <v>1958</v>
      </c>
      <c r="D99" s="43">
        <f t="shared" si="48"/>
        <v>11.8</v>
      </c>
      <c r="E99" s="61">
        <f t="shared" si="39"/>
        <v>2.0230000000000001</v>
      </c>
      <c r="F99" s="61">
        <f t="shared" si="40"/>
        <v>42</v>
      </c>
      <c r="G99" s="64">
        <f t="shared" si="41"/>
        <v>0.58988764044943809</v>
      </c>
      <c r="H99" s="44">
        <f t="shared" si="49"/>
        <v>36.958278003936336</v>
      </c>
      <c r="I99" s="42" t="s">
        <v>12</v>
      </c>
      <c r="J99" s="50">
        <f t="shared" ref="J99" si="57">J98</f>
        <v>6</v>
      </c>
      <c r="K99" s="49">
        <f t="shared" si="56"/>
        <v>160</v>
      </c>
      <c r="L99" s="44">
        <f t="shared" si="56"/>
        <v>8</v>
      </c>
      <c r="M99" s="44">
        <f t="shared" si="56"/>
        <v>0</v>
      </c>
      <c r="N99" s="45">
        <f t="shared" si="56"/>
        <v>0.2</v>
      </c>
      <c r="O99" s="49">
        <v>30</v>
      </c>
      <c r="P99" s="54">
        <f>K99+3</f>
        <v>163</v>
      </c>
      <c r="Q99" s="44">
        <f t="shared" si="54"/>
        <v>150</v>
      </c>
      <c r="R99" s="50">
        <f t="shared" si="54"/>
        <v>270</v>
      </c>
    </row>
    <row r="100" spans="1:18" x14ac:dyDescent="0.25">
      <c r="A100" s="41">
        <f t="shared" si="50"/>
        <v>948</v>
      </c>
      <c r="B100" s="42">
        <f t="shared" si="50"/>
        <v>90</v>
      </c>
      <c r="C100" s="41" t="s">
        <v>1959</v>
      </c>
      <c r="D100" s="43">
        <f t="shared" si="48"/>
        <v>11.8</v>
      </c>
      <c r="E100" s="61">
        <f t="shared" si="39"/>
        <v>2.0230000000000001</v>
      </c>
      <c r="F100" s="61">
        <f t="shared" si="40"/>
        <v>42</v>
      </c>
      <c r="G100" s="64">
        <f t="shared" si="41"/>
        <v>0.58988764044943809</v>
      </c>
      <c r="H100" s="44">
        <f t="shared" si="49"/>
        <v>36.958278003936336</v>
      </c>
      <c r="I100" s="42" t="str">
        <f>I99</f>
        <v>Half</v>
      </c>
      <c r="J100" s="50">
        <f t="shared" ref="J100" si="58">J99</f>
        <v>6</v>
      </c>
      <c r="K100" s="49">
        <f t="shared" si="56"/>
        <v>160</v>
      </c>
      <c r="L100" s="44">
        <f t="shared" si="56"/>
        <v>8</v>
      </c>
      <c r="M100" s="44">
        <f t="shared" si="56"/>
        <v>0</v>
      </c>
      <c r="N100" s="45">
        <f t="shared" si="56"/>
        <v>0.2</v>
      </c>
      <c r="O100" s="49">
        <v>30</v>
      </c>
      <c r="P100" s="54">
        <f>K100+6</f>
        <v>166</v>
      </c>
      <c r="Q100" s="44">
        <f t="shared" si="54"/>
        <v>150</v>
      </c>
      <c r="R100" s="50">
        <f t="shared" si="54"/>
        <v>270</v>
      </c>
    </row>
    <row r="101" spans="1:18" x14ac:dyDescent="0.25">
      <c r="A101" s="41">
        <f t="shared" si="50"/>
        <v>949</v>
      </c>
      <c r="B101" s="42">
        <f t="shared" si="50"/>
        <v>91</v>
      </c>
      <c r="C101" s="41" t="s">
        <v>1960</v>
      </c>
      <c r="D101" s="43">
        <f t="shared" si="48"/>
        <v>11.8</v>
      </c>
      <c r="E101" s="61">
        <f t="shared" si="39"/>
        <v>2.0230000000000001</v>
      </c>
      <c r="F101" s="61">
        <f t="shared" si="40"/>
        <v>42</v>
      </c>
      <c r="G101" s="64">
        <f t="shared" si="41"/>
        <v>0.58988764044943809</v>
      </c>
      <c r="H101" s="44">
        <f t="shared" si="49"/>
        <v>36.958278003936336</v>
      </c>
      <c r="I101" s="42" t="str">
        <f t="shared" si="56"/>
        <v>Half</v>
      </c>
      <c r="J101" s="50">
        <f t="shared" si="56"/>
        <v>6</v>
      </c>
      <c r="K101" s="49">
        <f t="shared" si="56"/>
        <v>160</v>
      </c>
      <c r="L101" s="44">
        <f t="shared" si="56"/>
        <v>8</v>
      </c>
      <c r="M101" s="44">
        <f t="shared" si="56"/>
        <v>0</v>
      </c>
      <c r="N101" s="45">
        <f t="shared" si="56"/>
        <v>0.2</v>
      </c>
      <c r="O101" s="49">
        <v>60</v>
      </c>
      <c r="P101" s="54">
        <f>K101</f>
        <v>160</v>
      </c>
      <c r="Q101" s="44">
        <f t="shared" si="54"/>
        <v>150</v>
      </c>
      <c r="R101" s="50">
        <f t="shared" si="54"/>
        <v>270</v>
      </c>
    </row>
    <row r="102" spans="1:18" x14ac:dyDescent="0.25">
      <c r="A102" s="41">
        <f t="shared" si="50"/>
        <v>950</v>
      </c>
      <c r="B102" s="42">
        <f t="shared" si="50"/>
        <v>92</v>
      </c>
      <c r="C102" s="41" t="s">
        <v>1961</v>
      </c>
      <c r="D102" s="43">
        <f t="shared" si="48"/>
        <v>11.8</v>
      </c>
      <c r="E102" s="61">
        <f t="shared" si="39"/>
        <v>2.0230000000000001</v>
      </c>
      <c r="F102" s="61">
        <f t="shared" si="40"/>
        <v>42</v>
      </c>
      <c r="G102" s="64">
        <f t="shared" si="41"/>
        <v>0.58988764044943809</v>
      </c>
      <c r="H102" s="44">
        <f t="shared" si="49"/>
        <v>36.958278003936336</v>
      </c>
      <c r="I102" s="42" t="str">
        <f t="shared" si="56"/>
        <v>Half</v>
      </c>
      <c r="J102" s="50">
        <f t="shared" si="56"/>
        <v>6</v>
      </c>
      <c r="K102" s="49">
        <f t="shared" si="56"/>
        <v>160</v>
      </c>
      <c r="L102" s="44">
        <f t="shared" si="56"/>
        <v>8</v>
      </c>
      <c r="M102" s="44">
        <f t="shared" si="56"/>
        <v>0</v>
      </c>
      <c r="N102" s="45">
        <f t="shared" si="56"/>
        <v>0.2</v>
      </c>
      <c r="O102" s="49">
        <v>60</v>
      </c>
      <c r="P102" s="54">
        <f>K102+3</f>
        <v>163</v>
      </c>
      <c r="Q102" s="44">
        <f t="shared" si="54"/>
        <v>150</v>
      </c>
      <c r="R102" s="50">
        <f t="shared" si="54"/>
        <v>270</v>
      </c>
    </row>
    <row r="103" spans="1:18" x14ac:dyDescent="0.25">
      <c r="A103" s="41">
        <f t="shared" si="50"/>
        <v>951</v>
      </c>
      <c r="B103" s="42">
        <f t="shared" si="50"/>
        <v>93</v>
      </c>
      <c r="C103" s="41" t="s">
        <v>1962</v>
      </c>
      <c r="D103" s="43">
        <f t="shared" si="48"/>
        <v>11.8</v>
      </c>
      <c r="E103" s="61">
        <f t="shared" si="39"/>
        <v>2.0230000000000001</v>
      </c>
      <c r="F103" s="61">
        <f t="shared" si="40"/>
        <v>42</v>
      </c>
      <c r="G103" s="64">
        <f t="shared" si="41"/>
        <v>0.58988764044943809</v>
      </c>
      <c r="H103" s="44">
        <f t="shared" si="49"/>
        <v>36.958278003936336</v>
      </c>
      <c r="I103" s="42" t="str">
        <f t="shared" si="56"/>
        <v>Half</v>
      </c>
      <c r="J103" s="50">
        <f t="shared" si="56"/>
        <v>6</v>
      </c>
      <c r="K103" s="49">
        <f t="shared" si="56"/>
        <v>160</v>
      </c>
      <c r="L103" s="44">
        <f t="shared" si="56"/>
        <v>8</v>
      </c>
      <c r="M103" s="44">
        <f t="shared" si="56"/>
        <v>0</v>
      </c>
      <c r="N103" s="45">
        <f t="shared" si="56"/>
        <v>0.2</v>
      </c>
      <c r="O103" s="49">
        <v>60</v>
      </c>
      <c r="P103" s="54">
        <f>K103+6</f>
        <v>166</v>
      </c>
      <c r="Q103" s="44">
        <f t="shared" si="54"/>
        <v>150</v>
      </c>
      <c r="R103" s="50">
        <f t="shared" si="54"/>
        <v>270</v>
      </c>
    </row>
    <row r="104" spans="1:18" x14ac:dyDescent="0.25">
      <c r="A104" s="41">
        <f t="shared" si="50"/>
        <v>952</v>
      </c>
      <c r="B104" s="42">
        <f t="shared" si="50"/>
        <v>94</v>
      </c>
      <c r="C104" s="41" t="s">
        <v>1963</v>
      </c>
      <c r="D104" s="43">
        <f t="shared" si="48"/>
        <v>11.8</v>
      </c>
      <c r="E104" s="61">
        <f t="shared" si="39"/>
        <v>2.0230000000000001</v>
      </c>
      <c r="F104" s="61">
        <f t="shared" si="40"/>
        <v>42</v>
      </c>
      <c r="G104" s="64">
        <f t="shared" si="41"/>
        <v>0.58988764044943809</v>
      </c>
      <c r="H104" s="44">
        <f t="shared" si="49"/>
        <v>36.958278003936336</v>
      </c>
      <c r="I104" s="42" t="str">
        <f t="shared" si="56"/>
        <v>Half</v>
      </c>
      <c r="J104" s="50">
        <f t="shared" si="56"/>
        <v>6</v>
      </c>
      <c r="K104" s="49">
        <f t="shared" si="56"/>
        <v>160</v>
      </c>
      <c r="L104" s="44">
        <f t="shared" si="56"/>
        <v>8</v>
      </c>
      <c r="M104" s="44">
        <f t="shared" si="56"/>
        <v>0</v>
      </c>
      <c r="N104" s="45">
        <f t="shared" si="56"/>
        <v>0.2</v>
      </c>
      <c r="O104" s="49">
        <v>90</v>
      </c>
      <c r="P104" s="54">
        <f>K104</f>
        <v>160</v>
      </c>
      <c r="Q104" s="44">
        <f t="shared" si="54"/>
        <v>150</v>
      </c>
      <c r="R104" s="50">
        <f t="shared" si="54"/>
        <v>270</v>
      </c>
    </row>
    <row r="105" spans="1:18" x14ac:dyDescent="0.25">
      <c r="A105" s="41">
        <f t="shared" si="50"/>
        <v>953</v>
      </c>
      <c r="B105" s="42">
        <f t="shared" si="50"/>
        <v>95</v>
      </c>
      <c r="C105" s="41" t="s">
        <v>1964</v>
      </c>
      <c r="D105" s="43">
        <f t="shared" si="48"/>
        <v>11.8</v>
      </c>
      <c r="E105" s="61">
        <f t="shared" si="39"/>
        <v>2.0230000000000001</v>
      </c>
      <c r="F105" s="61">
        <f t="shared" si="40"/>
        <v>42</v>
      </c>
      <c r="G105" s="64">
        <f t="shared" si="41"/>
        <v>0.58988764044943809</v>
      </c>
      <c r="H105" s="44">
        <f t="shared" si="49"/>
        <v>36.958278003936336</v>
      </c>
      <c r="I105" s="42" t="str">
        <f t="shared" si="56"/>
        <v>Half</v>
      </c>
      <c r="J105" s="50">
        <f t="shared" si="56"/>
        <v>6</v>
      </c>
      <c r="K105" s="49">
        <f t="shared" si="56"/>
        <v>160</v>
      </c>
      <c r="L105" s="44">
        <f t="shared" si="56"/>
        <v>8</v>
      </c>
      <c r="M105" s="44">
        <f t="shared" si="56"/>
        <v>0</v>
      </c>
      <c r="N105" s="45">
        <f t="shared" si="56"/>
        <v>0.2</v>
      </c>
      <c r="O105" s="49">
        <v>90</v>
      </c>
      <c r="P105" s="54">
        <f>K105+3</f>
        <v>163</v>
      </c>
      <c r="Q105" s="44">
        <f t="shared" si="54"/>
        <v>150</v>
      </c>
      <c r="R105" s="50">
        <f t="shared" si="54"/>
        <v>270</v>
      </c>
    </row>
    <row r="106" spans="1:18" x14ac:dyDescent="0.25">
      <c r="A106" s="41">
        <f t="shared" si="50"/>
        <v>954</v>
      </c>
      <c r="B106" s="42">
        <f t="shared" si="50"/>
        <v>96</v>
      </c>
      <c r="C106" s="127" t="s">
        <v>1965</v>
      </c>
      <c r="D106" s="43">
        <f t="shared" si="48"/>
        <v>11.8</v>
      </c>
      <c r="E106" s="61">
        <f t="shared" si="39"/>
        <v>2.0230000000000001</v>
      </c>
      <c r="F106" s="61">
        <f t="shared" si="40"/>
        <v>42</v>
      </c>
      <c r="G106" s="64">
        <f t="shared" si="41"/>
        <v>0.58988764044943809</v>
      </c>
      <c r="H106" s="44">
        <f t="shared" si="49"/>
        <v>36.958278003936336</v>
      </c>
      <c r="I106" s="42" t="str">
        <f t="shared" si="56"/>
        <v>Half</v>
      </c>
      <c r="J106" s="50">
        <f t="shared" si="56"/>
        <v>6</v>
      </c>
      <c r="K106" s="49">
        <f t="shared" si="56"/>
        <v>160</v>
      </c>
      <c r="L106" s="44">
        <f t="shared" si="56"/>
        <v>8</v>
      </c>
      <c r="M106" s="44">
        <f t="shared" si="56"/>
        <v>0</v>
      </c>
      <c r="N106" s="45">
        <f t="shared" si="56"/>
        <v>0.2</v>
      </c>
      <c r="O106" s="49">
        <v>90</v>
      </c>
      <c r="P106" s="54">
        <f>K106+6</f>
        <v>166</v>
      </c>
      <c r="Q106" s="44">
        <f t="shared" si="54"/>
        <v>150</v>
      </c>
      <c r="R106" s="50">
        <f t="shared" si="54"/>
        <v>270</v>
      </c>
    </row>
    <row r="107" spans="1:18" x14ac:dyDescent="0.25">
      <c r="A107" s="41">
        <f t="shared" si="50"/>
        <v>955</v>
      </c>
      <c r="B107" s="42">
        <f t="shared" si="50"/>
        <v>97</v>
      </c>
      <c r="C107" s="41" t="s">
        <v>1966</v>
      </c>
      <c r="D107" s="43">
        <f t="shared" si="48"/>
        <v>11.8</v>
      </c>
      <c r="E107" s="61">
        <f t="shared" si="39"/>
        <v>2.0230000000000001</v>
      </c>
      <c r="F107" s="61">
        <f t="shared" si="40"/>
        <v>42</v>
      </c>
      <c r="G107" s="64">
        <f t="shared" si="41"/>
        <v>0.58988764044943809</v>
      </c>
      <c r="H107" s="44">
        <f>6.4*ATAN(E107/D107*G107)/PI()*180</f>
        <v>36.958278003936336</v>
      </c>
      <c r="I107" s="42" t="str">
        <f t="shared" si="56"/>
        <v>Half</v>
      </c>
      <c r="J107" s="50">
        <f t="shared" si="56"/>
        <v>6</v>
      </c>
      <c r="K107" s="49">
        <f t="shared" si="56"/>
        <v>160</v>
      </c>
      <c r="L107" s="44">
        <f t="shared" si="56"/>
        <v>8</v>
      </c>
      <c r="M107" s="44">
        <f>yaw_max</f>
        <v>8</v>
      </c>
      <c r="N107" s="45">
        <f t="shared" si="56"/>
        <v>0.2</v>
      </c>
      <c r="O107" s="49">
        <v>0</v>
      </c>
      <c r="P107" s="54">
        <f>K107</f>
        <v>160</v>
      </c>
      <c r="Q107" s="44">
        <f t="shared" si="54"/>
        <v>150</v>
      </c>
      <c r="R107" s="50">
        <f t="shared" si="54"/>
        <v>270</v>
      </c>
    </row>
    <row r="108" spans="1:18" x14ac:dyDescent="0.25">
      <c r="A108" s="41">
        <f t="shared" ref="A108:B123" si="59">A107+1</f>
        <v>956</v>
      </c>
      <c r="B108" s="42">
        <f t="shared" si="59"/>
        <v>98</v>
      </c>
      <c r="C108" s="41" t="s">
        <v>1967</v>
      </c>
      <c r="D108" s="43">
        <f t="shared" si="48"/>
        <v>11.8</v>
      </c>
      <c r="E108" s="61">
        <f t="shared" si="39"/>
        <v>2.0230000000000001</v>
      </c>
      <c r="F108" s="61">
        <f t="shared" si="40"/>
        <v>42</v>
      </c>
      <c r="G108" s="64">
        <f t="shared" si="41"/>
        <v>0.58988764044943809</v>
      </c>
      <c r="H108" s="44">
        <f t="shared" si="49"/>
        <v>36.958278003936336</v>
      </c>
      <c r="I108" s="42" t="str">
        <f t="shared" ref="I108:N123" si="60">I107</f>
        <v>Half</v>
      </c>
      <c r="J108" s="50">
        <f t="shared" si="60"/>
        <v>6</v>
      </c>
      <c r="K108" s="49">
        <f t="shared" si="60"/>
        <v>160</v>
      </c>
      <c r="L108" s="44">
        <f t="shared" si="60"/>
        <v>8</v>
      </c>
      <c r="M108" s="44">
        <f t="shared" si="60"/>
        <v>8</v>
      </c>
      <c r="N108" s="45">
        <f t="shared" si="60"/>
        <v>0.2</v>
      </c>
      <c r="O108" s="49">
        <v>0</v>
      </c>
      <c r="P108" s="54">
        <f>K108+3</f>
        <v>163</v>
      </c>
      <c r="Q108" s="44">
        <f t="shared" si="54"/>
        <v>150</v>
      </c>
      <c r="R108" s="50">
        <f t="shared" si="54"/>
        <v>270</v>
      </c>
    </row>
    <row r="109" spans="1:18" x14ac:dyDescent="0.25">
      <c r="A109" s="41">
        <f t="shared" si="59"/>
        <v>957</v>
      </c>
      <c r="B109" s="42">
        <f t="shared" si="59"/>
        <v>99</v>
      </c>
      <c r="C109" s="41" t="s">
        <v>1968</v>
      </c>
      <c r="D109" s="43">
        <f t="shared" si="48"/>
        <v>11.8</v>
      </c>
      <c r="E109" s="61">
        <f t="shared" si="39"/>
        <v>2.0230000000000001</v>
      </c>
      <c r="F109" s="61">
        <f t="shared" si="40"/>
        <v>42</v>
      </c>
      <c r="G109" s="64">
        <f t="shared" si="41"/>
        <v>0.58988764044943809</v>
      </c>
      <c r="H109" s="44">
        <f t="shared" si="49"/>
        <v>36.958278003936336</v>
      </c>
      <c r="I109" s="42" t="str">
        <f t="shared" si="60"/>
        <v>Half</v>
      </c>
      <c r="J109" s="50">
        <f t="shared" si="60"/>
        <v>6</v>
      </c>
      <c r="K109" s="49">
        <f t="shared" si="60"/>
        <v>160</v>
      </c>
      <c r="L109" s="44">
        <f t="shared" si="60"/>
        <v>8</v>
      </c>
      <c r="M109" s="44">
        <f t="shared" si="60"/>
        <v>8</v>
      </c>
      <c r="N109" s="45">
        <f t="shared" si="60"/>
        <v>0.2</v>
      </c>
      <c r="O109" s="49">
        <v>0</v>
      </c>
      <c r="P109" s="54">
        <f>K109+6</f>
        <v>166</v>
      </c>
      <c r="Q109" s="44">
        <f t="shared" ref="Q109:R124" si="61">Q108</f>
        <v>150</v>
      </c>
      <c r="R109" s="50">
        <f t="shared" si="61"/>
        <v>270</v>
      </c>
    </row>
    <row r="110" spans="1:18" x14ac:dyDescent="0.25">
      <c r="A110" s="41">
        <f t="shared" si="59"/>
        <v>958</v>
      </c>
      <c r="B110" s="42">
        <f t="shared" si="59"/>
        <v>100</v>
      </c>
      <c r="C110" s="41" t="s">
        <v>1969</v>
      </c>
      <c r="D110" s="43">
        <f t="shared" si="48"/>
        <v>11.8</v>
      </c>
      <c r="E110" s="61">
        <f t="shared" si="39"/>
        <v>2.0230000000000001</v>
      </c>
      <c r="F110" s="61">
        <f t="shared" si="40"/>
        <v>42</v>
      </c>
      <c r="G110" s="64">
        <f t="shared" si="41"/>
        <v>0.58988764044943809</v>
      </c>
      <c r="H110" s="44">
        <f t="shared" si="49"/>
        <v>36.958278003936336</v>
      </c>
      <c r="I110" s="42" t="str">
        <f t="shared" si="60"/>
        <v>Half</v>
      </c>
      <c r="J110" s="50">
        <f t="shared" si="60"/>
        <v>6</v>
      </c>
      <c r="K110" s="49">
        <f t="shared" si="60"/>
        <v>160</v>
      </c>
      <c r="L110" s="44">
        <f t="shared" si="60"/>
        <v>8</v>
      </c>
      <c r="M110" s="44">
        <f t="shared" si="60"/>
        <v>8</v>
      </c>
      <c r="N110" s="45">
        <f t="shared" si="60"/>
        <v>0.2</v>
      </c>
      <c r="O110" s="49">
        <v>30</v>
      </c>
      <c r="P110" s="54">
        <f>K110</f>
        <v>160</v>
      </c>
      <c r="Q110" s="44">
        <f t="shared" si="61"/>
        <v>150</v>
      </c>
      <c r="R110" s="50">
        <f t="shared" si="61"/>
        <v>270</v>
      </c>
    </row>
    <row r="111" spans="1:18" x14ac:dyDescent="0.25">
      <c r="A111" s="41">
        <f t="shared" si="59"/>
        <v>959</v>
      </c>
      <c r="B111" s="42">
        <f t="shared" si="59"/>
        <v>101</v>
      </c>
      <c r="C111" s="41" t="s">
        <v>1970</v>
      </c>
      <c r="D111" s="43">
        <f t="shared" si="48"/>
        <v>11.8</v>
      </c>
      <c r="E111" s="61">
        <f t="shared" si="39"/>
        <v>2.0230000000000001</v>
      </c>
      <c r="F111" s="61">
        <f t="shared" si="40"/>
        <v>42</v>
      </c>
      <c r="G111" s="64">
        <f t="shared" si="41"/>
        <v>0.58988764044943809</v>
      </c>
      <c r="H111" s="44">
        <f t="shared" si="49"/>
        <v>36.958278003936336</v>
      </c>
      <c r="I111" s="42" t="str">
        <f t="shared" si="60"/>
        <v>Half</v>
      </c>
      <c r="J111" s="50">
        <f t="shared" si="60"/>
        <v>6</v>
      </c>
      <c r="K111" s="49">
        <f t="shared" si="60"/>
        <v>160</v>
      </c>
      <c r="L111" s="44">
        <f t="shared" si="60"/>
        <v>8</v>
      </c>
      <c r="M111" s="44">
        <f t="shared" si="60"/>
        <v>8</v>
      </c>
      <c r="N111" s="45">
        <f t="shared" si="60"/>
        <v>0.2</v>
      </c>
      <c r="O111" s="49">
        <v>30</v>
      </c>
      <c r="P111" s="54">
        <f>K111+3</f>
        <v>163</v>
      </c>
      <c r="Q111" s="44">
        <f t="shared" si="61"/>
        <v>150</v>
      </c>
      <c r="R111" s="50">
        <f t="shared" si="61"/>
        <v>270</v>
      </c>
    </row>
    <row r="112" spans="1:18" x14ac:dyDescent="0.25">
      <c r="A112" s="41">
        <f t="shared" si="59"/>
        <v>960</v>
      </c>
      <c r="B112" s="42">
        <f t="shared" si="59"/>
        <v>102</v>
      </c>
      <c r="C112" s="41" t="s">
        <v>1971</v>
      </c>
      <c r="D112" s="43">
        <f t="shared" si="48"/>
        <v>11.8</v>
      </c>
      <c r="E112" s="61">
        <f t="shared" si="39"/>
        <v>2.0230000000000001</v>
      </c>
      <c r="F112" s="61">
        <f t="shared" si="40"/>
        <v>42</v>
      </c>
      <c r="G112" s="64">
        <f t="shared" si="41"/>
        <v>0.58988764044943809</v>
      </c>
      <c r="H112" s="44">
        <f t="shared" si="49"/>
        <v>36.958278003936336</v>
      </c>
      <c r="I112" s="42" t="str">
        <f t="shared" si="60"/>
        <v>Half</v>
      </c>
      <c r="J112" s="50">
        <f t="shared" si="60"/>
        <v>6</v>
      </c>
      <c r="K112" s="49">
        <f t="shared" si="60"/>
        <v>160</v>
      </c>
      <c r="L112" s="44">
        <f t="shared" si="60"/>
        <v>8</v>
      </c>
      <c r="M112" s="44">
        <f t="shared" si="60"/>
        <v>8</v>
      </c>
      <c r="N112" s="45">
        <f t="shared" si="60"/>
        <v>0.2</v>
      </c>
      <c r="O112" s="49">
        <v>30</v>
      </c>
      <c r="P112" s="54">
        <f>K112+6</f>
        <v>166</v>
      </c>
      <c r="Q112" s="44">
        <f t="shared" si="61"/>
        <v>150</v>
      </c>
      <c r="R112" s="50">
        <f t="shared" si="61"/>
        <v>270</v>
      </c>
    </row>
    <row r="113" spans="1:18" x14ac:dyDescent="0.25">
      <c r="A113" s="41">
        <f t="shared" si="59"/>
        <v>961</v>
      </c>
      <c r="B113" s="42">
        <f t="shared" si="59"/>
        <v>103</v>
      </c>
      <c r="C113" s="41" t="s">
        <v>1972</v>
      </c>
      <c r="D113" s="43">
        <f t="shared" si="48"/>
        <v>11.8</v>
      </c>
      <c r="E113" s="61">
        <f t="shared" si="39"/>
        <v>2.0230000000000001</v>
      </c>
      <c r="F113" s="61">
        <f t="shared" si="40"/>
        <v>42</v>
      </c>
      <c r="G113" s="64">
        <f t="shared" si="41"/>
        <v>0.58988764044943809</v>
      </c>
      <c r="H113" s="44">
        <f t="shared" si="49"/>
        <v>36.958278003936336</v>
      </c>
      <c r="I113" s="42" t="str">
        <f t="shared" si="60"/>
        <v>Half</v>
      </c>
      <c r="J113" s="50">
        <f t="shared" si="60"/>
        <v>6</v>
      </c>
      <c r="K113" s="49">
        <f t="shared" si="60"/>
        <v>160</v>
      </c>
      <c r="L113" s="44">
        <f t="shared" si="60"/>
        <v>8</v>
      </c>
      <c r="M113" s="44">
        <f t="shared" si="60"/>
        <v>8</v>
      </c>
      <c r="N113" s="45">
        <f t="shared" si="60"/>
        <v>0.2</v>
      </c>
      <c r="O113" s="49">
        <v>60</v>
      </c>
      <c r="P113" s="54">
        <f>K113</f>
        <v>160</v>
      </c>
      <c r="Q113" s="44">
        <f t="shared" si="61"/>
        <v>150</v>
      </c>
      <c r="R113" s="50">
        <f t="shared" si="61"/>
        <v>270</v>
      </c>
    </row>
    <row r="114" spans="1:18" x14ac:dyDescent="0.25">
      <c r="A114" s="41">
        <f t="shared" si="59"/>
        <v>962</v>
      </c>
      <c r="B114" s="42">
        <f t="shared" si="59"/>
        <v>104</v>
      </c>
      <c r="C114" s="41" t="s">
        <v>1973</v>
      </c>
      <c r="D114" s="43">
        <f t="shared" si="48"/>
        <v>11.8</v>
      </c>
      <c r="E114" s="61">
        <f t="shared" si="39"/>
        <v>2.0230000000000001</v>
      </c>
      <c r="F114" s="61">
        <f t="shared" si="40"/>
        <v>42</v>
      </c>
      <c r="G114" s="64">
        <f t="shared" si="41"/>
        <v>0.58988764044943809</v>
      </c>
      <c r="H114" s="44">
        <f t="shared" si="49"/>
        <v>36.958278003936336</v>
      </c>
      <c r="I114" s="42" t="str">
        <f t="shared" si="60"/>
        <v>Half</v>
      </c>
      <c r="J114" s="50">
        <f t="shared" si="60"/>
        <v>6</v>
      </c>
      <c r="K114" s="49">
        <f t="shared" si="60"/>
        <v>160</v>
      </c>
      <c r="L114" s="44">
        <f t="shared" si="60"/>
        <v>8</v>
      </c>
      <c r="M114" s="44">
        <f t="shared" si="60"/>
        <v>8</v>
      </c>
      <c r="N114" s="45">
        <f t="shared" si="60"/>
        <v>0.2</v>
      </c>
      <c r="O114" s="49">
        <v>60</v>
      </c>
      <c r="P114" s="54">
        <f>K114+3</f>
        <v>163</v>
      </c>
      <c r="Q114" s="44">
        <f t="shared" si="61"/>
        <v>150</v>
      </c>
      <c r="R114" s="50">
        <f t="shared" si="61"/>
        <v>270</v>
      </c>
    </row>
    <row r="115" spans="1:18" x14ac:dyDescent="0.25">
      <c r="A115" s="41">
        <f t="shared" si="59"/>
        <v>963</v>
      </c>
      <c r="B115" s="42">
        <f t="shared" si="59"/>
        <v>105</v>
      </c>
      <c r="C115" s="41" t="s">
        <v>1974</v>
      </c>
      <c r="D115" s="43">
        <f t="shared" ref="D115:D146" si="62">vr_a</f>
        <v>11.8</v>
      </c>
      <c r="E115" s="61">
        <f t="shared" si="39"/>
        <v>2.0230000000000001</v>
      </c>
      <c r="F115" s="61">
        <f t="shared" si="40"/>
        <v>42</v>
      </c>
      <c r="G115" s="64">
        <f t="shared" si="41"/>
        <v>0.58988764044943809</v>
      </c>
      <c r="H115" s="44">
        <f t="shared" si="49"/>
        <v>36.958278003936336</v>
      </c>
      <c r="I115" s="42" t="s">
        <v>12</v>
      </c>
      <c r="J115" s="50">
        <f t="shared" ref="J115" si="63">J114</f>
        <v>6</v>
      </c>
      <c r="K115" s="49">
        <f t="shared" si="60"/>
        <v>160</v>
      </c>
      <c r="L115" s="44">
        <f t="shared" si="60"/>
        <v>8</v>
      </c>
      <c r="M115" s="44">
        <f t="shared" si="60"/>
        <v>8</v>
      </c>
      <c r="N115" s="45">
        <f t="shared" si="60"/>
        <v>0.2</v>
      </c>
      <c r="O115" s="49">
        <v>60</v>
      </c>
      <c r="P115" s="54">
        <f>K115+6</f>
        <v>166</v>
      </c>
      <c r="Q115" s="44">
        <f t="shared" si="61"/>
        <v>150</v>
      </c>
      <c r="R115" s="50">
        <f t="shared" si="61"/>
        <v>270</v>
      </c>
    </row>
    <row r="116" spans="1:18" x14ac:dyDescent="0.25">
      <c r="A116" s="41">
        <f t="shared" si="59"/>
        <v>964</v>
      </c>
      <c r="B116" s="42">
        <f t="shared" si="59"/>
        <v>106</v>
      </c>
      <c r="C116" s="41" t="s">
        <v>1975</v>
      </c>
      <c r="D116" s="43">
        <f t="shared" si="62"/>
        <v>11.8</v>
      </c>
      <c r="E116" s="61">
        <f t="shared" si="39"/>
        <v>2.0230000000000001</v>
      </c>
      <c r="F116" s="61">
        <f t="shared" si="40"/>
        <v>42</v>
      </c>
      <c r="G116" s="64">
        <f t="shared" si="41"/>
        <v>0.58988764044943809</v>
      </c>
      <c r="H116" s="44">
        <f t="shared" si="49"/>
        <v>36.958278003936336</v>
      </c>
      <c r="I116" s="42" t="str">
        <f>I115</f>
        <v>Half</v>
      </c>
      <c r="J116" s="50">
        <f t="shared" ref="J116" si="64">J115</f>
        <v>6</v>
      </c>
      <c r="K116" s="49">
        <f t="shared" si="60"/>
        <v>160</v>
      </c>
      <c r="L116" s="44">
        <f t="shared" si="60"/>
        <v>8</v>
      </c>
      <c r="M116" s="44">
        <f t="shared" si="60"/>
        <v>8</v>
      </c>
      <c r="N116" s="45">
        <f t="shared" si="60"/>
        <v>0.2</v>
      </c>
      <c r="O116" s="49">
        <v>90</v>
      </c>
      <c r="P116" s="54">
        <f>K116</f>
        <v>160</v>
      </c>
      <c r="Q116" s="44">
        <f t="shared" si="61"/>
        <v>150</v>
      </c>
      <c r="R116" s="50">
        <f t="shared" si="61"/>
        <v>270</v>
      </c>
    </row>
    <row r="117" spans="1:18" x14ac:dyDescent="0.25">
      <c r="A117" s="41">
        <f t="shared" si="59"/>
        <v>965</v>
      </c>
      <c r="B117" s="42">
        <f t="shared" si="59"/>
        <v>107</v>
      </c>
      <c r="C117" s="41" t="s">
        <v>1976</v>
      </c>
      <c r="D117" s="43">
        <f t="shared" si="62"/>
        <v>11.8</v>
      </c>
      <c r="E117" s="61">
        <f t="shared" si="39"/>
        <v>2.0230000000000001</v>
      </c>
      <c r="F117" s="61">
        <f t="shared" si="40"/>
        <v>42</v>
      </c>
      <c r="G117" s="64">
        <f t="shared" si="41"/>
        <v>0.58988764044943809</v>
      </c>
      <c r="H117" s="44">
        <f t="shared" si="49"/>
        <v>36.958278003936336</v>
      </c>
      <c r="I117" s="42" t="str">
        <f t="shared" si="60"/>
        <v>Half</v>
      </c>
      <c r="J117" s="50">
        <f t="shared" si="60"/>
        <v>6</v>
      </c>
      <c r="K117" s="49">
        <f t="shared" si="60"/>
        <v>160</v>
      </c>
      <c r="L117" s="44">
        <f t="shared" si="60"/>
        <v>8</v>
      </c>
      <c r="M117" s="44">
        <f t="shared" si="60"/>
        <v>8</v>
      </c>
      <c r="N117" s="45">
        <f t="shared" si="60"/>
        <v>0.2</v>
      </c>
      <c r="O117" s="49">
        <v>90</v>
      </c>
      <c r="P117" s="54">
        <f>K117+3</f>
        <v>163</v>
      </c>
      <c r="Q117" s="44">
        <f t="shared" si="61"/>
        <v>150</v>
      </c>
      <c r="R117" s="50">
        <f t="shared" si="61"/>
        <v>270</v>
      </c>
    </row>
    <row r="118" spans="1:18" x14ac:dyDescent="0.25">
      <c r="A118" s="41">
        <f t="shared" si="59"/>
        <v>966</v>
      </c>
      <c r="B118" s="42">
        <f t="shared" si="59"/>
        <v>108</v>
      </c>
      <c r="C118" s="41" t="s">
        <v>1977</v>
      </c>
      <c r="D118" s="43">
        <f t="shared" si="62"/>
        <v>11.8</v>
      </c>
      <c r="E118" s="61">
        <f t="shared" si="39"/>
        <v>2.0230000000000001</v>
      </c>
      <c r="F118" s="61">
        <f t="shared" si="40"/>
        <v>42</v>
      </c>
      <c r="G118" s="64">
        <f t="shared" si="41"/>
        <v>0.58988764044943809</v>
      </c>
      <c r="H118" s="44">
        <f t="shared" si="49"/>
        <v>36.958278003936336</v>
      </c>
      <c r="I118" s="42" t="str">
        <f t="shared" si="60"/>
        <v>Half</v>
      </c>
      <c r="J118" s="50">
        <f t="shared" si="60"/>
        <v>6</v>
      </c>
      <c r="K118" s="49">
        <f t="shared" si="60"/>
        <v>160</v>
      </c>
      <c r="L118" s="44">
        <f t="shared" si="60"/>
        <v>8</v>
      </c>
      <c r="M118" s="44">
        <f t="shared" si="60"/>
        <v>8</v>
      </c>
      <c r="N118" s="45">
        <f t="shared" si="60"/>
        <v>0.2</v>
      </c>
      <c r="O118" s="49">
        <v>90</v>
      </c>
      <c r="P118" s="54">
        <f>K118+6</f>
        <v>166</v>
      </c>
      <c r="Q118" s="44">
        <f t="shared" si="61"/>
        <v>150</v>
      </c>
      <c r="R118" s="50">
        <f t="shared" si="61"/>
        <v>270</v>
      </c>
    </row>
    <row r="119" spans="1:18" x14ac:dyDescent="0.25">
      <c r="A119" s="41">
        <f t="shared" si="59"/>
        <v>967</v>
      </c>
      <c r="B119" s="42">
        <f t="shared" si="59"/>
        <v>109</v>
      </c>
      <c r="C119" s="41" t="s">
        <v>1978</v>
      </c>
      <c r="D119" s="43">
        <f t="shared" si="62"/>
        <v>11.8</v>
      </c>
      <c r="E119" s="61">
        <f t="shared" si="39"/>
        <v>2.0230000000000001</v>
      </c>
      <c r="F119" s="61">
        <f t="shared" si="40"/>
        <v>42</v>
      </c>
      <c r="G119" s="64">
        <f t="shared" si="41"/>
        <v>0.58988764044943809</v>
      </c>
      <c r="H119" s="44">
        <f>-6.4*ATAN(E119/D119*G119)/PI()*180</f>
        <v>-36.958278003936336</v>
      </c>
      <c r="I119" s="42" t="str">
        <f t="shared" si="60"/>
        <v>Half</v>
      </c>
      <c r="J119" s="50">
        <f t="shared" si="60"/>
        <v>6</v>
      </c>
      <c r="K119" s="49">
        <f t="shared" si="60"/>
        <v>160</v>
      </c>
      <c r="L119" s="44">
        <f t="shared" si="60"/>
        <v>8</v>
      </c>
      <c r="M119" s="44">
        <f>yaw_min</f>
        <v>-8</v>
      </c>
      <c r="N119" s="45">
        <f t="shared" si="60"/>
        <v>0.2</v>
      </c>
      <c r="O119" s="49">
        <v>0</v>
      </c>
      <c r="P119" s="54">
        <f>K119</f>
        <v>160</v>
      </c>
      <c r="Q119" s="44">
        <f t="shared" si="61"/>
        <v>150</v>
      </c>
      <c r="R119" s="50">
        <f t="shared" si="61"/>
        <v>270</v>
      </c>
    </row>
    <row r="120" spans="1:18" x14ac:dyDescent="0.25">
      <c r="A120" s="41">
        <f t="shared" si="59"/>
        <v>968</v>
      </c>
      <c r="B120" s="42">
        <f t="shared" si="59"/>
        <v>110</v>
      </c>
      <c r="C120" s="41" t="s">
        <v>1979</v>
      </c>
      <c r="D120" s="43">
        <f t="shared" si="62"/>
        <v>11.8</v>
      </c>
      <c r="E120" s="61">
        <f t="shared" si="39"/>
        <v>2.0230000000000001</v>
      </c>
      <c r="F120" s="61">
        <f t="shared" si="40"/>
        <v>42</v>
      </c>
      <c r="G120" s="64">
        <f t="shared" si="41"/>
        <v>0.58988764044943809</v>
      </c>
      <c r="H120" s="44">
        <f t="shared" ref="H120:H154" si="65">-6.4*ATAN(E120/D120*G120)/PI()*180</f>
        <v>-36.958278003936336</v>
      </c>
      <c r="I120" s="42" t="str">
        <f t="shared" si="60"/>
        <v>Half</v>
      </c>
      <c r="J120" s="50">
        <f t="shared" si="60"/>
        <v>6</v>
      </c>
      <c r="K120" s="49">
        <f t="shared" si="60"/>
        <v>160</v>
      </c>
      <c r="L120" s="44">
        <f t="shared" si="60"/>
        <v>8</v>
      </c>
      <c r="M120" s="44">
        <f t="shared" si="60"/>
        <v>-8</v>
      </c>
      <c r="N120" s="45">
        <f t="shared" si="60"/>
        <v>0.2</v>
      </c>
      <c r="O120" s="49">
        <v>0</v>
      </c>
      <c r="P120" s="54">
        <f>K120+3</f>
        <v>163</v>
      </c>
      <c r="Q120" s="44">
        <f t="shared" si="61"/>
        <v>150</v>
      </c>
      <c r="R120" s="50">
        <f t="shared" si="61"/>
        <v>270</v>
      </c>
    </row>
    <row r="121" spans="1:18" x14ac:dyDescent="0.25">
      <c r="A121" s="41">
        <f t="shared" si="59"/>
        <v>969</v>
      </c>
      <c r="B121" s="42">
        <f t="shared" si="59"/>
        <v>111</v>
      </c>
      <c r="C121" s="41" t="s">
        <v>1980</v>
      </c>
      <c r="D121" s="43">
        <f t="shared" si="62"/>
        <v>11.8</v>
      </c>
      <c r="E121" s="61">
        <f t="shared" si="39"/>
        <v>2.0230000000000001</v>
      </c>
      <c r="F121" s="61">
        <f t="shared" si="40"/>
        <v>42</v>
      </c>
      <c r="G121" s="64">
        <f t="shared" si="41"/>
        <v>0.58988764044943809</v>
      </c>
      <c r="H121" s="44">
        <f t="shared" si="65"/>
        <v>-36.958278003936336</v>
      </c>
      <c r="I121" s="42" t="str">
        <f t="shared" si="60"/>
        <v>Half</v>
      </c>
      <c r="J121" s="50">
        <f t="shared" si="60"/>
        <v>6</v>
      </c>
      <c r="K121" s="49">
        <f t="shared" si="60"/>
        <v>160</v>
      </c>
      <c r="L121" s="44">
        <f t="shared" si="60"/>
        <v>8</v>
      </c>
      <c r="M121" s="44">
        <f t="shared" si="60"/>
        <v>-8</v>
      </c>
      <c r="N121" s="45">
        <f t="shared" si="60"/>
        <v>0.2</v>
      </c>
      <c r="O121" s="49">
        <v>0</v>
      </c>
      <c r="P121" s="54">
        <f>K121+6</f>
        <v>166</v>
      </c>
      <c r="Q121" s="44">
        <f t="shared" si="61"/>
        <v>150</v>
      </c>
      <c r="R121" s="50">
        <f t="shared" si="61"/>
        <v>270</v>
      </c>
    </row>
    <row r="122" spans="1:18" x14ac:dyDescent="0.25">
      <c r="A122" s="41">
        <f t="shared" si="59"/>
        <v>970</v>
      </c>
      <c r="B122" s="42">
        <f t="shared" si="59"/>
        <v>112</v>
      </c>
      <c r="C122" s="41" t="s">
        <v>1981</v>
      </c>
      <c r="D122" s="43">
        <f t="shared" si="62"/>
        <v>11.8</v>
      </c>
      <c r="E122" s="61">
        <f t="shared" si="39"/>
        <v>2.0230000000000001</v>
      </c>
      <c r="F122" s="61">
        <f t="shared" si="40"/>
        <v>42</v>
      </c>
      <c r="G122" s="64">
        <f t="shared" si="41"/>
        <v>0.58988764044943809</v>
      </c>
      <c r="H122" s="44">
        <f t="shared" si="65"/>
        <v>-36.958278003936336</v>
      </c>
      <c r="I122" s="42" t="str">
        <f t="shared" si="60"/>
        <v>Half</v>
      </c>
      <c r="J122" s="50">
        <f t="shared" si="60"/>
        <v>6</v>
      </c>
      <c r="K122" s="49">
        <f t="shared" si="60"/>
        <v>160</v>
      </c>
      <c r="L122" s="44">
        <f t="shared" si="60"/>
        <v>8</v>
      </c>
      <c r="M122" s="44">
        <f t="shared" si="60"/>
        <v>-8</v>
      </c>
      <c r="N122" s="45">
        <f t="shared" si="60"/>
        <v>0.2</v>
      </c>
      <c r="O122" s="49">
        <v>30</v>
      </c>
      <c r="P122" s="54">
        <f>K122</f>
        <v>160</v>
      </c>
      <c r="Q122" s="44">
        <f t="shared" si="61"/>
        <v>150</v>
      </c>
      <c r="R122" s="50">
        <f t="shared" si="61"/>
        <v>270</v>
      </c>
    </row>
    <row r="123" spans="1:18" x14ac:dyDescent="0.25">
      <c r="A123" s="41">
        <f t="shared" si="59"/>
        <v>971</v>
      </c>
      <c r="B123" s="42">
        <f t="shared" si="59"/>
        <v>113</v>
      </c>
      <c r="C123" s="41" t="s">
        <v>1982</v>
      </c>
      <c r="D123" s="43">
        <f t="shared" si="62"/>
        <v>11.8</v>
      </c>
      <c r="E123" s="61">
        <f t="shared" si="39"/>
        <v>2.0230000000000001</v>
      </c>
      <c r="F123" s="61">
        <f t="shared" si="40"/>
        <v>42</v>
      </c>
      <c r="G123" s="64">
        <f t="shared" si="41"/>
        <v>0.58988764044943809</v>
      </c>
      <c r="H123" s="44">
        <f t="shared" si="65"/>
        <v>-36.958278003936336</v>
      </c>
      <c r="I123" s="42" t="str">
        <f t="shared" si="60"/>
        <v>Half</v>
      </c>
      <c r="J123" s="50">
        <f t="shared" si="60"/>
        <v>6</v>
      </c>
      <c r="K123" s="49">
        <f t="shared" si="60"/>
        <v>160</v>
      </c>
      <c r="L123" s="44">
        <f t="shared" si="60"/>
        <v>8</v>
      </c>
      <c r="M123" s="44">
        <f t="shared" si="60"/>
        <v>-8</v>
      </c>
      <c r="N123" s="45">
        <f t="shared" si="60"/>
        <v>0.2</v>
      </c>
      <c r="O123" s="49">
        <v>30</v>
      </c>
      <c r="P123" s="54">
        <f>K123+3</f>
        <v>163</v>
      </c>
      <c r="Q123" s="44">
        <f t="shared" si="61"/>
        <v>150</v>
      </c>
      <c r="R123" s="50">
        <f t="shared" si="61"/>
        <v>270</v>
      </c>
    </row>
    <row r="124" spans="1:18" x14ac:dyDescent="0.25">
      <c r="A124" s="41">
        <f t="shared" ref="A124:B139" si="66">A123+1</f>
        <v>972</v>
      </c>
      <c r="B124" s="42">
        <f t="shared" si="66"/>
        <v>114</v>
      </c>
      <c r="C124" s="41" t="s">
        <v>1983</v>
      </c>
      <c r="D124" s="43">
        <f t="shared" si="62"/>
        <v>11.8</v>
      </c>
      <c r="E124" s="61">
        <f t="shared" si="39"/>
        <v>2.0230000000000001</v>
      </c>
      <c r="F124" s="61">
        <f t="shared" si="40"/>
        <v>42</v>
      </c>
      <c r="G124" s="64">
        <f t="shared" si="41"/>
        <v>0.58988764044943809</v>
      </c>
      <c r="H124" s="44">
        <f t="shared" si="65"/>
        <v>-36.958278003936336</v>
      </c>
      <c r="I124" s="42" t="str">
        <f t="shared" ref="I124:N139" si="67">I123</f>
        <v>Half</v>
      </c>
      <c r="J124" s="50">
        <f t="shared" si="67"/>
        <v>6</v>
      </c>
      <c r="K124" s="49">
        <f t="shared" si="67"/>
        <v>160</v>
      </c>
      <c r="L124" s="44">
        <f t="shared" si="67"/>
        <v>8</v>
      </c>
      <c r="M124" s="44">
        <f t="shared" si="67"/>
        <v>-8</v>
      </c>
      <c r="N124" s="45">
        <f t="shared" si="67"/>
        <v>0.2</v>
      </c>
      <c r="O124" s="49">
        <v>30</v>
      </c>
      <c r="P124" s="54">
        <f>K124+6</f>
        <v>166</v>
      </c>
      <c r="Q124" s="44">
        <f t="shared" si="61"/>
        <v>150</v>
      </c>
      <c r="R124" s="50">
        <f t="shared" si="61"/>
        <v>270</v>
      </c>
    </row>
    <row r="125" spans="1:18" x14ac:dyDescent="0.25">
      <c r="A125" s="41">
        <f t="shared" si="66"/>
        <v>973</v>
      </c>
      <c r="B125" s="42">
        <f t="shared" si="66"/>
        <v>115</v>
      </c>
      <c r="C125" s="41" t="s">
        <v>1984</v>
      </c>
      <c r="D125" s="43">
        <f t="shared" si="62"/>
        <v>11.8</v>
      </c>
      <c r="E125" s="61">
        <f t="shared" si="39"/>
        <v>2.0230000000000001</v>
      </c>
      <c r="F125" s="61">
        <f t="shared" si="40"/>
        <v>42</v>
      </c>
      <c r="G125" s="64">
        <f t="shared" si="41"/>
        <v>0.58988764044943809</v>
      </c>
      <c r="H125" s="44">
        <f t="shared" si="65"/>
        <v>-36.958278003936336</v>
      </c>
      <c r="I125" s="42" t="str">
        <f t="shared" si="67"/>
        <v>Half</v>
      </c>
      <c r="J125" s="50">
        <f t="shared" si="67"/>
        <v>6</v>
      </c>
      <c r="K125" s="49">
        <f t="shared" si="67"/>
        <v>160</v>
      </c>
      <c r="L125" s="44">
        <f t="shared" si="67"/>
        <v>8</v>
      </c>
      <c r="M125" s="44">
        <f t="shared" si="67"/>
        <v>-8</v>
      </c>
      <c r="N125" s="45">
        <f t="shared" si="67"/>
        <v>0.2</v>
      </c>
      <c r="O125" s="49">
        <v>60</v>
      </c>
      <c r="P125" s="54">
        <f>K125</f>
        <v>160</v>
      </c>
      <c r="Q125" s="44">
        <f t="shared" ref="Q125:R140" si="68">Q124</f>
        <v>150</v>
      </c>
      <c r="R125" s="50">
        <f t="shared" si="68"/>
        <v>270</v>
      </c>
    </row>
    <row r="126" spans="1:18" x14ac:dyDescent="0.25">
      <c r="A126" s="41">
        <f t="shared" si="66"/>
        <v>974</v>
      </c>
      <c r="B126" s="42">
        <f t="shared" si="66"/>
        <v>116</v>
      </c>
      <c r="C126" s="41" t="s">
        <v>1985</v>
      </c>
      <c r="D126" s="43">
        <f t="shared" si="62"/>
        <v>11.8</v>
      </c>
      <c r="E126" s="61">
        <f t="shared" si="39"/>
        <v>2.0230000000000001</v>
      </c>
      <c r="F126" s="61">
        <f t="shared" si="40"/>
        <v>42</v>
      </c>
      <c r="G126" s="64">
        <f t="shared" si="41"/>
        <v>0.58988764044943809</v>
      </c>
      <c r="H126" s="44">
        <f t="shared" si="65"/>
        <v>-36.958278003936336</v>
      </c>
      <c r="I126" s="42" t="str">
        <f t="shared" si="67"/>
        <v>Half</v>
      </c>
      <c r="J126" s="50">
        <f t="shared" si="67"/>
        <v>6</v>
      </c>
      <c r="K126" s="49">
        <f t="shared" si="67"/>
        <v>160</v>
      </c>
      <c r="L126" s="44">
        <f t="shared" si="67"/>
        <v>8</v>
      </c>
      <c r="M126" s="44">
        <f t="shared" si="67"/>
        <v>-8</v>
      </c>
      <c r="N126" s="45">
        <f t="shared" si="67"/>
        <v>0.2</v>
      </c>
      <c r="O126" s="49">
        <v>60</v>
      </c>
      <c r="P126" s="54">
        <f>K126+3</f>
        <v>163</v>
      </c>
      <c r="Q126" s="44">
        <f t="shared" si="68"/>
        <v>150</v>
      </c>
      <c r="R126" s="50">
        <f t="shared" si="68"/>
        <v>270</v>
      </c>
    </row>
    <row r="127" spans="1:18" x14ac:dyDescent="0.25">
      <c r="A127" s="41">
        <f t="shared" si="66"/>
        <v>975</v>
      </c>
      <c r="B127" s="42">
        <f t="shared" si="66"/>
        <v>117</v>
      </c>
      <c r="C127" s="41" t="s">
        <v>1986</v>
      </c>
      <c r="D127" s="43">
        <f t="shared" si="62"/>
        <v>11.8</v>
      </c>
      <c r="E127" s="61">
        <f t="shared" si="39"/>
        <v>2.0230000000000001</v>
      </c>
      <c r="F127" s="61">
        <f t="shared" si="40"/>
        <v>42</v>
      </c>
      <c r="G127" s="64">
        <f t="shared" si="41"/>
        <v>0.58988764044943809</v>
      </c>
      <c r="H127" s="44">
        <f t="shared" si="65"/>
        <v>-36.958278003936336</v>
      </c>
      <c r="I127" s="42" t="str">
        <f t="shared" si="67"/>
        <v>Half</v>
      </c>
      <c r="J127" s="50">
        <f t="shared" si="67"/>
        <v>6</v>
      </c>
      <c r="K127" s="49">
        <f t="shared" si="67"/>
        <v>160</v>
      </c>
      <c r="L127" s="44">
        <f t="shared" si="67"/>
        <v>8</v>
      </c>
      <c r="M127" s="44">
        <f t="shared" si="67"/>
        <v>-8</v>
      </c>
      <c r="N127" s="45">
        <f t="shared" si="67"/>
        <v>0.2</v>
      </c>
      <c r="O127" s="49">
        <v>60</v>
      </c>
      <c r="P127" s="54">
        <f>K127+6</f>
        <v>166</v>
      </c>
      <c r="Q127" s="44">
        <f t="shared" si="68"/>
        <v>150</v>
      </c>
      <c r="R127" s="50">
        <f t="shared" si="68"/>
        <v>270</v>
      </c>
    </row>
    <row r="128" spans="1:18" x14ac:dyDescent="0.25">
      <c r="A128" s="41">
        <f t="shared" si="66"/>
        <v>976</v>
      </c>
      <c r="B128" s="42">
        <f t="shared" si="66"/>
        <v>118</v>
      </c>
      <c r="C128" s="41" t="s">
        <v>1987</v>
      </c>
      <c r="D128" s="43">
        <f t="shared" si="62"/>
        <v>11.8</v>
      </c>
      <c r="E128" s="61">
        <f t="shared" si="39"/>
        <v>2.0230000000000001</v>
      </c>
      <c r="F128" s="61">
        <f t="shared" si="40"/>
        <v>42</v>
      </c>
      <c r="G128" s="64">
        <f t="shared" si="41"/>
        <v>0.58988764044943809</v>
      </c>
      <c r="H128" s="44">
        <f t="shared" si="65"/>
        <v>-36.958278003936336</v>
      </c>
      <c r="I128" s="42" t="str">
        <f>I127</f>
        <v>Half</v>
      </c>
      <c r="J128" s="50">
        <f t="shared" ref="J128" si="69">J127</f>
        <v>6</v>
      </c>
      <c r="K128" s="49">
        <f t="shared" si="67"/>
        <v>160</v>
      </c>
      <c r="L128" s="44">
        <f t="shared" si="67"/>
        <v>8</v>
      </c>
      <c r="M128" s="44">
        <f t="shared" si="67"/>
        <v>-8</v>
      </c>
      <c r="N128" s="45">
        <f t="shared" si="67"/>
        <v>0.2</v>
      </c>
      <c r="O128" s="49">
        <v>90</v>
      </c>
      <c r="P128" s="54">
        <f>K128</f>
        <v>160</v>
      </c>
      <c r="Q128" s="44">
        <f t="shared" si="68"/>
        <v>150</v>
      </c>
      <c r="R128" s="50">
        <f t="shared" si="68"/>
        <v>270</v>
      </c>
    </row>
    <row r="129" spans="1:18" x14ac:dyDescent="0.25">
      <c r="A129" s="41">
        <f t="shared" si="66"/>
        <v>977</v>
      </c>
      <c r="B129" s="42">
        <f t="shared" si="66"/>
        <v>119</v>
      </c>
      <c r="C129" s="41" t="s">
        <v>1988</v>
      </c>
      <c r="D129" s="43">
        <f t="shared" si="62"/>
        <v>11.8</v>
      </c>
      <c r="E129" s="61">
        <f t="shared" si="39"/>
        <v>2.0230000000000001</v>
      </c>
      <c r="F129" s="61">
        <f t="shared" si="40"/>
        <v>42</v>
      </c>
      <c r="G129" s="64">
        <f t="shared" si="41"/>
        <v>0.58988764044943809</v>
      </c>
      <c r="H129" s="44">
        <f t="shared" si="65"/>
        <v>-36.958278003936336</v>
      </c>
      <c r="I129" s="42" t="str">
        <f>I128</f>
        <v>Half</v>
      </c>
      <c r="J129" s="50">
        <f t="shared" ref="J129" si="70">J128</f>
        <v>6</v>
      </c>
      <c r="K129" s="49">
        <f t="shared" si="67"/>
        <v>160</v>
      </c>
      <c r="L129" s="44">
        <f t="shared" si="67"/>
        <v>8</v>
      </c>
      <c r="M129" s="44">
        <f t="shared" si="67"/>
        <v>-8</v>
      </c>
      <c r="N129" s="45">
        <f t="shared" si="67"/>
        <v>0.2</v>
      </c>
      <c r="O129" s="49">
        <v>90</v>
      </c>
      <c r="P129" s="54">
        <f>K129+3</f>
        <v>163</v>
      </c>
      <c r="Q129" s="44">
        <f t="shared" si="68"/>
        <v>150</v>
      </c>
      <c r="R129" s="50">
        <f t="shared" si="68"/>
        <v>270</v>
      </c>
    </row>
    <row r="130" spans="1:18" x14ac:dyDescent="0.25">
      <c r="A130" s="41">
        <f t="shared" si="66"/>
        <v>978</v>
      </c>
      <c r="B130" s="42">
        <f t="shared" si="66"/>
        <v>120</v>
      </c>
      <c r="C130" s="127" t="s">
        <v>1989</v>
      </c>
      <c r="D130" s="43">
        <f t="shared" si="62"/>
        <v>11.8</v>
      </c>
      <c r="E130" s="61">
        <f t="shared" si="39"/>
        <v>2.0230000000000001</v>
      </c>
      <c r="F130" s="61">
        <f t="shared" si="40"/>
        <v>42</v>
      </c>
      <c r="G130" s="64">
        <f t="shared" si="41"/>
        <v>0.58988764044943809</v>
      </c>
      <c r="H130" s="44">
        <f t="shared" si="65"/>
        <v>-36.958278003936336</v>
      </c>
      <c r="I130" s="42" t="str">
        <f>I129</f>
        <v>Half</v>
      </c>
      <c r="J130" s="50">
        <f t="shared" ref="J130" si="71">J129</f>
        <v>6</v>
      </c>
      <c r="K130" s="49">
        <f t="shared" si="67"/>
        <v>160</v>
      </c>
      <c r="L130" s="44">
        <f t="shared" si="67"/>
        <v>8</v>
      </c>
      <c r="M130" s="44">
        <f t="shared" si="67"/>
        <v>-8</v>
      </c>
      <c r="N130" s="45">
        <f t="shared" si="67"/>
        <v>0.2</v>
      </c>
      <c r="O130" s="49">
        <v>90</v>
      </c>
      <c r="P130" s="54">
        <f>K130+6</f>
        <v>166</v>
      </c>
      <c r="Q130" s="44">
        <f t="shared" si="68"/>
        <v>150</v>
      </c>
      <c r="R130" s="50">
        <f t="shared" si="68"/>
        <v>270</v>
      </c>
    </row>
    <row r="131" spans="1:18" x14ac:dyDescent="0.25">
      <c r="A131" s="41">
        <f t="shared" si="66"/>
        <v>979</v>
      </c>
      <c r="B131" s="42">
        <f t="shared" si="66"/>
        <v>121</v>
      </c>
      <c r="C131" s="41" t="s">
        <v>1990</v>
      </c>
      <c r="D131" s="43">
        <f t="shared" si="62"/>
        <v>11.8</v>
      </c>
      <c r="E131" s="61">
        <f t="shared" si="39"/>
        <v>2.0230000000000001</v>
      </c>
      <c r="F131" s="61">
        <f t="shared" si="40"/>
        <v>42</v>
      </c>
      <c r="G131" s="64">
        <f t="shared" si="41"/>
        <v>0.58988764044943809</v>
      </c>
      <c r="H131" s="44">
        <f t="shared" si="65"/>
        <v>-36.958278003936336</v>
      </c>
      <c r="I131" s="42" t="str">
        <f t="shared" si="67"/>
        <v>Half</v>
      </c>
      <c r="J131" s="50">
        <f t="shared" si="67"/>
        <v>6</v>
      </c>
      <c r="K131" s="49">
        <f t="shared" si="67"/>
        <v>160</v>
      </c>
      <c r="L131" s="44">
        <f t="shared" si="67"/>
        <v>8</v>
      </c>
      <c r="M131" s="44">
        <f>yaw_null</f>
        <v>0</v>
      </c>
      <c r="N131" s="45">
        <f t="shared" si="67"/>
        <v>0.2</v>
      </c>
      <c r="O131" s="49">
        <v>0</v>
      </c>
      <c r="P131" s="54">
        <f>K131</f>
        <v>160</v>
      </c>
      <c r="Q131" s="44">
        <f t="shared" si="68"/>
        <v>150</v>
      </c>
      <c r="R131" s="50">
        <f t="shared" si="68"/>
        <v>270</v>
      </c>
    </row>
    <row r="132" spans="1:18" x14ac:dyDescent="0.25">
      <c r="A132" s="41">
        <f t="shared" si="66"/>
        <v>980</v>
      </c>
      <c r="B132" s="42">
        <f t="shared" si="66"/>
        <v>122</v>
      </c>
      <c r="C132" s="41" t="s">
        <v>1991</v>
      </c>
      <c r="D132" s="43">
        <f t="shared" si="62"/>
        <v>11.8</v>
      </c>
      <c r="E132" s="61">
        <f t="shared" si="39"/>
        <v>2.0230000000000001</v>
      </c>
      <c r="F132" s="61">
        <f t="shared" si="40"/>
        <v>42</v>
      </c>
      <c r="G132" s="64">
        <f t="shared" si="41"/>
        <v>0.58988764044943809</v>
      </c>
      <c r="H132" s="44">
        <f t="shared" si="65"/>
        <v>-36.958278003936336</v>
      </c>
      <c r="I132" s="42" t="str">
        <f t="shared" si="67"/>
        <v>Half</v>
      </c>
      <c r="J132" s="50">
        <f t="shared" si="67"/>
        <v>6</v>
      </c>
      <c r="K132" s="49">
        <f t="shared" si="67"/>
        <v>160</v>
      </c>
      <c r="L132" s="44">
        <f t="shared" si="67"/>
        <v>8</v>
      </c>
      <c r="M132" s="44">
        <f t="shared" si="67"/>
        <v>0</v>
      </c>
      <c r="N132" s="45">
        <f t="shared" si="67"/>
        <v>0.2</v>
      </c>
      <c r="O132" s="49">
        <v>0</v>
      </c>
      <c r="P132" s="54">
        <f>K132+3</f>
        <v>163</v>
      </c>
      <c r="Q132" s="44">
        <f t="shared" si="68"/>
        <v>150</v>
      </c>
      <c r="R132" s="50">
        <f t="shared" si="68"/>
        <v>270</v>
      </c>
    </row>
    <row r="133" spans="1:18" x14ac:dyDescent="0.25">
      <c r="A133" s="41">
        <f t="shared" si="66"/>
        <v>981</v>
      </c>
      <c r="B133" s="42">
        <f t="shared" si="66"/>
        <v>123</v>
      </c>
      <c r="C133" s="41" t="s">
        <v>1992</v>
      </c>
      <c r="D133" s="43">
        <f t="shared" si="62"/>
        <v>11.8</v>
      </c>
      <c r="E133" s="61">
        <f t="shared" si="39"/>
        <v>2.0230000000000001</v>
      </c>
      <c r="F133" s="61">
        <f t="shared" si="40"/>
        <v>42</v>
      </c>
      <c r="G133" s="64">
        <f t="shared" si="41"/>
        <v>0.58988764044943809</v>
      </c>
      <c r="H133" s="44">
        <f t="shared" si="65"/>
        <v>-36.958278003936336</v>
      </c>
      <c r="I133" s="42" t="str">
        <f t="shared" si="67"/>
        <v>Half</v>
      </c>
      <c r="J133" s="50">
        <f t="shared" si="67"/>
        <v>6</v>
      </c>
      <c r="K133" s="49">
        <f t="shared" si="67"/>
        <v>160</v>
      </c>
      <c r="L133" s="44">
        <f t="shared" si="67"/>
        <v>8</v>
      </c>
      <c r="M133" s="44">
        <f t="shared" si="67"/>
        <v>0</v>
      </c>
      <c r="N133" s="45">
        <f t="shared" si="67"/>
        <v>0.2</v>
      </c>
      <c r="O133" s="49">
        <v>0</v>
      </c>
      <c r="P133" s="54">
        <f>K133+6</f>
        <v>166</v>
      </c>
      <c r="Q133" s="44">
        <f t="shared" si="68"/>
        <v>150</v>
      </c>
      <c r="R133" s="50">
        <f t="shared" si="68"/>
        <v>270</v>
      </c>
    </row>
    <row r="134" spans="1:18" x14ac:dyDescent="0.25">
      <c r="A134" s="41">
        <f t="shared" si="66"/>
        <v>982</v>
      </c>
      <c r="B134" s="42">
        <f t="shared" si="66"/>
        <v>124</v>
      </c>
      <c r="C134" s="41" t="s">
        <v>1993</v>
      </c>
      <c r="D134" s="43">
        <f t="shared" si="62"/>
        <v>11.8</v>
      </c>
      <c r="E134" s="61">
        <f t="shared" si="39"/>
        <v>2.0230000000000001</v>
      </c>
      <c r="F134" s="61">
        <f t="shared" si="40"/>
        <v>42</v>
      </c>
      <c r="G134" s="64">
        <f t="shared" si="41"/>
        <v>0.58988764044943809</v>
      </c>
      <c r="H134" s="44">
        <f t="shared" si="65"/>
        <v>-36.958278003936336</v>
      </c>
      <c r="I134" s="42" t="str">
        <f t="shared" si="67"/>
        <v>Half</v>
      </c>
      <c r="J134" s="50">
        <f t="shared" si="67"/>
        <v>6</v>
      </c>
      <c r="K134" s="49">
        <f t="shared" si="67"/>
        <v>160</v>
      </c>
      <c r="L134" s="44">
        <f t="shared" si="67"/>
        <v>8</v>
      </c>
      <c r="M134" s="44">
        <f t="shared" si="67"/>
        <v>0</v>
      </c>
      <c r="N134" s="45">
        <f t="shared" si="67"/>
        <v>0.2</v>
      </c>
      <c r="O134" s="49">
        <v>30</v>
      </c>
      <c r="P134" s="54">
        <f>K134</f>
        <v>160</v>
      </c>
      <c r="Q134" s="44">
        <f t="shared" si="68"/>
        <v>150</v>
      </c>
      <c r="R134" s="50">
        <f t="shared" si="68"/>
        <v>270</v>
      </c>
    </row>
    <row r="135" spans="1:18" x14ac:dyDescent="0.25">
      <c r="A135" s="41">
        <f t="shared" si="66"/>
        <v>983</v>
      </c>
      <c r="B135" s="42">
        <f t="shared" si="66"/>
        <v>125</v>
      </c>
      <c r="C135" s="41" t="s">
        <v>1994</v>
      </c>
      <c r="D135" s="43">
        <f t="shared" si="62"/>
        <v>11.8</v>
      </c>
      <c r="E135" s="61">
        <f t="shared" si="39"/>
        <v>2.0230000000000001</v>
      </c>
      <c r="F135" s="61">
        <f t="shared" si="40"/>
        <v>42</v>
      </c>
      <c r="G135" s="64">
        <f t="shared" si="41"/>
        <v>0.58988764044943809</v>
      </c>
      <c r="H135" s="44">
        <f t="shared" si="65"/>
        <v>-36.958278003936336</v>
      </c>
      <c r="I135" s="42" t="s">
        <v>12</v>
      </c>
      <c r="J135" s="50">
        <f t="shared" ref="J135" si="72">J134</f>
        <v>6</v>
      </c>
      <c r="K135" s="49">
        <f t="shared" si="67"/>
        <v>160</v>
      </c>
      <c r="L135" s="44">
        <f t="shared" si="67"/>
        <v>8</v>
      </c>
      <c r="M135" s="44">
        <f t="shared" si="67"/>
        <v>0</v>
      </c>
      <c r="N135" s="45">
        <f t="shared" si="67"/>
        <v>0.2</v>
      </c>
      <c r="O135" s="49">
        <v>30</v>
      </c>
      <c r="P135" s="54">
        <f>K135+3</f>
        <v>163</v>
      </c>
      <c r="Q135" s="44">
        <f t="shared" si="68"/>
        <v>150</v>
      </c>
      <c r="R135" s="50">
        <f t="shared" si="68"/>
        <v>270</v>
      </c>
    </row>
    <row r="136" spans="1:18" x14ac:dyDescent="0.25">
      <c r="A136" s="41">
        <f t="shared" si="66"/>
        <v>984</v>
      </c>
      <c r="B136" s="42">
        <f t="shared" si="66"/>
        <v>126</v>
      </c>
      <c r="C136" s="41" t="s">
        <v>1995</v>
      </c>
      <c r="D136" s="43">
        <f t="shared" si="62"/>
        <v>11.8</v>
      </c>
      <c r="E136" s="61">
        <f t="shared" si="39"/>
        <v>2.0230000000000001</v>
      </c>
      <c r="F136" s="61">
        <f t="shared" si="40"/>
        <v>42</v>
      </c>
      <c r="G136" s="64">
        <f t="shared" si="41"/>
        <v>0.58988764044943809</v>
      </c>
      <c r="H136" s="44">
        <f t="shared" si="65"/>
        <v>-36.958278003936336</v>
      </c>
      <c r="I136" s="42" t="str">
        <f>I135</f>
        <v>Half</v>
      </c>
      <c r="J136" s="50">
        <f t="shared" ref="J136" si="73">J135</f>
        <v>6</v>
      </c>
      <c r="K136" s="49">
        <f t="shared" si="67"/>
        <v>160</v>
      </c>
      <c r="L136" s="44">
        <f t="shared" si="67"/>
        <v>8</v>
      </c>
      <c r="M136" s="44">
        <f t="shared" si="67"/>
        <v>0</v>
      </c>
      <c r="N136" s="45">
        <f t="shared" si="67"/>
        <v>0.2</v>
      </c>
      <c r="O136" s="49">
        <v>30</v>
      </c>
      <c r="P136" s="54">
        <f>K136+6</f>
        <v>166</v>
      </c>
      <c r="Q136" s="44">
        <f t="shared" si="68"/>
        <v>150</v>
      </c>
      <c r="R136" s="50">
        <f t="shared" si="68"/>
        <v>270</v>
      </c>
    </row>
    <row r="137" spans="1:18" x14ac:dyDescent="0.25">
      <c r="A137" s="41">
        <f t="shared" si="66"/>
        <v>985</v>
      </c>
      <c r="B137" s="42">
        <f t="shared" si="66"/>
        <v>127</v>
      </c>
      <c r="C137" s="41" t="s">
        <v>1996</v>
      </c>
      <c r="D137" s="43">
        <f t="shared" si="62"/>
        <v>11.8</v>
      </c>
      <c r="E137" s="61">
        <f t="shared" si="39"/>
        <v>2.0230000000000001</v>
      </c>
      <c r="F137" s="61">
        <f t="shared" si="40"/>
        <v>42</v>
      </c>
      <c r="G137" s="64">
        <f t="shared" si="41"/>
        <v>0.58988764044943809</v>
      </c>
      <c r="H137" s="44">
        <f t="shared" si="65"/>
        <v>-36.958278003936336</v>
      </c>
      <c r="I137" s="42" t="str">
        <f t="shared" si="67"/>
        <v>Half</v>
      </c>
      <c r="J137" s="50">
        <f t="shared" si="67"/>
        <v>6</v>
      </c>
      <c r="K137" s="49">
        <f t="shared" si="67"/>
        <v>160</v>
      </c>
      <c r="L137" s="44">
        <f t="shared" si="67"/>
        <v>8</v>
      </c>
      <c r="M137" s="44">
        <f t="shared" si="67"/>
        <v>0</v>
      </c>
      <c r="N137" s="45">
        <f t="shared" si="67"/>
        <v>0.2</v>
      </c>
      <c r="O137" s="49">
        <v>60</v>
      </c>
      <c r="P137" s="54">
        <f>K137</f>
        <v>160</v>
      </c>
      <c r="Q137" s="44">
        <f t="shared" si="68"/>
        <v>150</v>
      </c>
      <c r="R137" s="50">
        <f t="shared" si="68"/>
        <v>270</v>
      </c>
    </row>
    <row r="138" spans="1:18" x14ac:dyDescent="0.25">
      <c r="A138" s="41">
        <f t="shared" si="66"/>
        <v>986</v>
      </c>
      <c r="B138" s="42">
        <f t="shared" si="66"/>
        <v>128</v>
      </c>
      <c r="C138" s="41" t="s">
        <v>1997</v>
      </c>
      <c r="D138" s="43">
        <f t="shared" si="62"/>
        <v>11.8</v>
      </c>
      <c r="E138" s="61">
        <f t="shared" si="39"/>
        <v>2.0230000000000001</v>
      </c>
      <c r="F138" s="61">
        <f t="shared" si="40"/>
        <v>42</v>
      </c>
      <c r="G138" s="64">
        <f t="shared" si="41"/>
        <v>0.58988764044943809</v>
      </c>
      <c r="H138" s="44">
        <f t="shared" si="65"/>
        <v>-36.958278003936336</v>
      </c>
      <c r="I138" s="42" t="str">
        <f t="shared" si="67"/>
        <v>Half</v>
      </c>
      <c r="J138" s="50">
        <f t="shared" si="67"/>
        <v>6</v>
      </c>
      <c r="K138" s="49">
        <f t="shared" si="67"/>
        <v>160</v>
      </c>
      <c r="L138" s="44">
        <f t="shared" si="67"/>
        <v>8</v>
      </c>
      <c r="M138" s="44">
        <f t="shared" si="67"/>
        <v>0</v>
      </c>
      <c r="N138" s="45">
        <f t="shared" si="67"/>
        <v>0.2</v>
      </c>
      <c r="O138" s="49">
        <v>60</v>
      </c>
      <c r="P138" s="54">
        <f>K138+3</f>
        <v>163</v>
      </c>
      <c r="Q138" s="44">
        <f t="shared" si="68"/>
        <v>150</v>
      </c>
      <c r="R138" s="50">
        <f t="shared" si="68"/>
        <v>270</v>
      </c>
    </row>
    <row r="139" spans="1:18" x14ac:dyDescent="0.25">
      <c r="A139" s="41">
        <f t="shared" si="66"/>
        <v>987</v>
      </c>
      <c r="B139" s="42">
        <f t="shared" si="66"/>
        <v>129</v>
      </c>
      <c r="C139" s="41" t="s">
        <v>1998</v>
      </c>
      <c r="D139" s="43">
        <f t="shared" si="62"/>
        <v>11.8</v>
      </c>
      <c r="E139" s="61">
        <f t="shared" ref="E139:E202" si="74">I_ref*(0.75*D139+5.6)</f>
        <v>2.0230000000000001</v>
      </c>
      <c r="F139" s="61">
        <f t="shared" ref="F139:F202" si="75">tur_scale</f>
        <v>42</v>
      </c>
      <c r="G139" s="64">
        <f t="shared" ref="G139:G202" si="76">1/(1+0.2*(diameter/F139))</f>
        <v>0.58988764044943809</v>
      </c>
      <c r="H139" s="44">
        <f t="shared" si="65"/>
        <v>-36.958278003936336</v>
      </c>
      <c r="I139" s="42" t="str">
        <f t="shared" si="67"/>
        <v>Half</v>
      </c>
      <c r="J139" s="50">
        <f t="shared" si="67"/>
        <v>6</v>
      </c>
      <c r="K139" s="49">
        <f t="shared" si="67"/>
        <v>160</v>
      </c>
      <c r="L139" s="44">
        <f t="shared" si="67"/>
        <v>8</v>
      </c>
      <c r="M139" s="44">
        <f t="shared" si="67"/>
        <v>0</v>
      </c>
      <c r="N139" s="45">
        <f t="shared" si="67"/>
        <v>0.2</v>
      </c>
      <c r="O139" s="49">
        <v>60</v>
      </c>
      <c r="P139" s="54">
        <f>K139+6</f>
        <v>166</v>
      </c>
      <c r="Q139" s="44">
        <f t="shared" si="68"/>
        <v>150</v>
      </c>
      <c r="R139" s="50">
        <f t="shared" si="68"/>
        <v>270</v>
      </c>
    </row>
    <row r="140" spans="1:18" x14ac:dyDescent="0.25">
      <c r="A140" s="41">
        <f t="shared" ref="A140:B155" si="77">A139+1</f>
        <v>988</v>
      </c>
      <c r="B140" s="42">
        <f t="shared" si="77"/>
        <v>130</v>
      </c>
      <c r="C140" s="41" t="s">
        <v>1999</v>
      </c>
      <c r="D140" s="43">
        <f t="shared" si="62"/>
        <v>11.8</v>
      </c>
      <c r="E140" s="61">
        <f t="shared" si="74"/>
        <v>2.0230000000000001</v>
      </c>
      <c r="F140" s="61">
        <f t="shared" si="75"/>
        <v>42</v>
      </c>
      <c r="G140" s="64">
        <f t="shared" si="76"/>
        <v>0.58988764044943809</v>
      </c>
      <c r="H140" s="44">
        <f t="shared" si="65"/>
        <v>-36.958278003936336</v>
      </c>
      <c r="I140" s="42" t="str">
        <f t="shared" ref="I140:N155" si="78">I139</f>
        <v>Half</v>
      </c>
      <c r="J140" s="50">
        <f t="shared" si="78"/>
        <v>6</v>
      </c>
      <c r="K140" s="49">
        <f t="shared" si="78"/>
        <v>160</v>
      </c>
      <c r="L140" s="44">
        <f t="shared" si="78"/>
        <v>8</v>
      </c>
      <c r="M140" s="44">
        <f t="shared" si="78"/>
        <v>0</v>
      </c>
      <c r="N140" s="45">
        <f t="shared" si="78"/>
        <v>0.2</v>
      </c>
      <c r="O140" s="49">
        <v>90</v>
      </c>
      <c r="P140" s="54">
        <f>K140</f>
        <v>160</v>
      </c>
      <c r="Q140" s="44">
        <f t="shared" si="68"/>
        <v>150</v>
      </c>
      <c r="R140" s="50">
        <f t="shared" si="68"/>
        <v>270</v>
      </c>
    </row>
    <row r="141" spans="1:18" x14ac:dyDescent="0.25">
      <c r="A141" s="41">
        <f t="shared" si="77"/>
        <v>989</v>
      </c>
      <c r="B141" s="42">
        <f t="shared" si="77"/>
        <v>131</v>
      </c>
      <c r="C141" s="41" t="s">
        <v>2000</v>
      </c>
      <c r="D141" s="43">
        <f t="shared" si="62"/>
        <v>11.8</v>
      </c>
      <c r="E141" s="61">
        <f t="shared" si="74"/>
        <v>2.0230000000000001</v>
      </c>
      <c r="F141" s="61">
        <f t="shared" si="75"/>
        <v>42</v>
      </c>
      <c r="G141" s="64">
        <f t="shared" si="76"/>
        <v>0.58988764044943809</v>
      </c>
      <c r="H141" s="44">
        <f t="shared" si="65"/>
        <v>-36.958278003936336</v>
      </c>
      <c r="I141" s="42" t="str">
        <f t="shared" si="78"/>
        <v>Half</v>
      </c>
      <c r="J141" s="50">
        <f t="shared" si="78"/>
        <v>6</v>
      </c>
      <c r="K141" s="49">
        <f t="shared" si="78"/>
        <v>160</v>
      </c>
      <c r="L141" s="44">
        <f t="shared" si="78"/>
        <v>8</v>
      </c>
      <c r="M141" s="44">
        <f t="shared" si="78"/>
        <v>0</v>
      </c>
      <c r="N141" s="45">
        <f t="shared" si="78"/>
        <v>0.2</v>
      </c>
      <c r="O141" s="49">
        <v>90</v>
      </c>
      <c r="P141" s="54">
        <f>K141+3</f>
        <v>163</v>
      </c>
      <c r="Q141" s="44">
        <f t="shared" ref="Q141:R156" si="79">Q140</f>
        <v>150</v>
      </c>
      <c r="R141" s="50">
        <f t="shared" si="79"/>
        <v>270</v>
      </c>
    </row>
    <row r="142" spans="1:18" x14ac:dyDescent="0.25">
      <c r="A142" s="41">
        <f t="shared" si="77"/>
        <v>990</v>
      </c>
      <c r="B142" s="42">
        <f t="shared" si="77"/>
        <v>132</v>
      </c>
      <c r="C142" s="127" t="s">
        <v>2001</v>
      </c>
      <c r="D142" s="43">
        <f t="shared" si="62"/>
        <v>11.8</v>
      </c>
      <c r="E142" s="61">
        <f t="shared" si="74"/>
        <v>2.0230000000000001</v>
      </c>
      <c r="F142" s="61">
        <f t="shared" si="75"/>
        <v>42</v>
      </c>
      <c r="G142" s="64">
        <f t="shared" si="76"/>
        <v>0.58988764044943809</v>
      </c>
      <c r="H142" s="44">
        <f t="shared" si="65"/>
        <v>-36.958278003936336</v>
      </c>
      <c r="I142" s="42" t="str">
        <f t="shared" si="78"/>
        <v>Half</v>
      </c>
      <c r="J142" s="50">
        <f t="shared" si="78"/>
        <v>6</v>
      </c>
      <c r="K142" s="49">
        <f t="shared" si="78"/>
        <v>160</v>
      </c>
      <c r="L142" s="44">
        <f t="shared" si="78"/>
        <v>8</v>
      </c>
      <c r="M142" s="44">
        <f t="shared" si="78"/>
        <v>0</v>
      </c>
      <c r="N142" s="45">
        <f t="shared" si="78"/>
        <v>0.2</v>
      </c>
      <c r="O142" s="49">
        <v>90</v>
      </c>
      <c r="P142" s="54">
        <f>K142+6</f>
        <v>166</v>
      </c>
      <c r="Q142" s="44">
        <f t="shared" si="79"/>
        <v>150</v>
      </c>
      <c r="R142" s="50">
        <f t="shared" si="79"/>
        <v>270</v>
      </c>
    </row>
    <row r="143" spans="1:18" x14ac:dyDescent="0.25">
      <c r="A143" s="41">
        <f t="shared" si="77"/>
        <v>991</v>
      </c>
      <c r="B143" s="42">
        <f t="shared" si="77"/>
        <v>133</v>
      </c>
      <c r="C143" s="41" t="s">
        <v>2002</v>
      </c>
      <c r="D143" s="43">
        <f t="shared" si="62"/>
        <v>11.8</v>
      </c>
      <c r="E143" s="61">
        <f t="shared" si="74"/>
        <v>2.0230000000000001</v>
      </c>
      <c r="F143" s="61">
        <f t="shared" si="75"/>
        <v>42</v>
      </c>
      <c r="G143" s="64">
        <f t="shared" si="76"/>
        <v>0.58988764044943809</v>
      </c>
      <c r="H143" s="44">
        <f t="shared" si="65"/>
        <v>-36.958278003936336</v>
      </c>
      <c r="I143" s="42" t="str">
        <f t="shared" si="78"/>
        <v>Half</v>
      </c>
      <c r="J143" s="50">
        <f t="shared" si="78"/>
        <v>6</v>
      </c>
      <c r="K143" s="49">
        <f t="shared" si="78"/>
        <v>160</v>
      </c>
      <c r="L143" s="44">
        <f t="shared" si="78"/>
        <v>8</v>
      </c>
      <c r="M143" s="44">
        <f>yaw_max</f>
        <v>8</v>
      </c>
      <c r="N143" s="45">
        <f t="shared" si="78"/>
        <v>0.2</v>
      </c>
      <c r="O143" s="49">
        <v>0</v>
      </c>
      <c r="P143" s="54">
        <f>K143</f>
        <v>160</v>
      </c>
      <c r="Q143" s="44">
        <f t="shared" si="79"/>
        <v>150</v>
      </c>
      <c r="R143" s="50">
        <f t="shared" si="79"/>
        <v>270</v>
      </c>
    </row>
    <row r="144" spans="1:18" x14ac:dyDescent="0.25">
      <c r="A144" s="41">
        <f t="shared" si="77"/>
        <v>992</v>
      </c>
      <c r="B144" s="42">
        <f t="shared" si="77"/>
        <v>134</v>
      </c>
      <c r="C144" s="41" t="s">
        <v>2003</v>
      </c>
      <c r="D144" s="43">
        <f t="shared" si="62"/>
        <v>11.8</v>
      </c>
      <c r="E144" s="61">
        <f t="shared" si="74"/>
        <v>2.0230000000000001</v>
      </c>
      <c r="F144" s="61">
        <f t="shared" si="75"/>
        <v>42</v>
      </c>
      <c r="G144" s="64">
        <f t="shared" si="76"/>
        <v>0.58988764044943809</v>
      </c>
      <c r="H144" s="44">
        <f t="shared" si="65"/>
        <v>-36.958278003936336</v>
      </c>
      <c r="I144" s="42" t="str">
        <f t="shared" si="78"/>
        <v>Half</v>
      </c>
      <c r="J144" s="50">
        <f t="shared" si="78"/>
        <v>6</v>
      </c>
      <c r="K144" s="49">
        <f t="shared" si="78"/>
        <v>160</v>
      </c>
      <c r="L144" s="44">
        <f t="shared" si="78"/>
        <v>8</v>
      </c>
      <c r="M144" s="44">
        <f t="shared" si="78"/>
        <v>8</v>
      </c>
      <c r="N144" s="45">
        <f t="shared" si="78"/>
        <v>0.2</v>
      </c>
      <c r="O144" s="49">
        <v>0</v>
      </c>
      <c r="P144" s="54">
        <f>K144+3</f>
        <v>163</v>
      </c>
      <c r="Q144" s="44">
        <f t="shared" si="79"/>
        <v>150</v>
      </c>
      <c r="R144" s="50">
        <f t="shared" si="79"/>
        <v>270</v>
      </c>
    </row>
    <row r="145" spans="1:18" x14ac:dyDescent="0.25">
      <c r="A145" s="41">
        <f t="shared" si="77"/>
        <v>993</v>
      </c>
      <c r="B145" s="42">
        <f t="shared" si="77"/>
        <v>135</v>
      </c>
      <c r="C145" s="41" t="s">
        <v>2004</v>
      </c>
      <c r="D145" s="43">
        <f t="shared" si="62"/>
        <v>11.8</v>
      </c>
      <c r="E145" s="61">
        <f t="shared" si="74"/>
        <v>2.0230000000000001</v>
      </c>
      <c r="F145" s="61">
        <f t="shared" si="75"/>
        <v>42</v>
      </c>
      <c r="G145" s="64">
        <f t="shared" si="76"/>
        <v>0.58988764044943809</v>
      </c>
      <c r="H145" s="44">
        <f t="shared" si="65"/>
        <v>-36.958278003936336</v>
      </c>
      <c r="I145" s="42" t="str">
        <f t="shared" si="78"/>
        <v>Half</v>
      </c>
      <c r="J145" s="50">
        <f t="shared" si="78"/>
        <v>6</v>
      </c>
      <c r="K145" s="49">
        <f t="shared" si="78"/>
        <v>160</v>
      </c>
      <c r="L145" s="44">
        <f t="shared" si="78"/>
        <v>8</v>
      </c>
      <c r="M145" s="44">
        <f t="shared" si="78"/>
        <v>8</v>
      </c>
      <c r="N145" s="45">
        <f t="shared" si="78"/>
        <v>0.2</v>
      </c>
      <c r="O145" s="49">
        <v>0</v>
      </c>
      <c r="P145" s="54">
        <f>K145+6</f>
        <v>166</v>
      </c>
      <c r="Q145" s="44">
        <f t="shared" si="79"/>
        <v>150</v>
      </c>
      <c r="R145" s="50">
        <f t="shared" si="79"/>
        <v>270</v>
      </c>
    </row>
    <row r="146" spans="1:18" x14ac:dyDescent="0.25">
      <c r="A146" s="41">
        <f t="shared" si="77"/>
        <v>994</v>
      </c>
      <c r="B146" s="42">
        <f t="shared" si="77"/>
        <v>136</v>
      </c>
      <c r="C146" s="41" t="s">
        <v>2005</v>
      </c>
      <c r="D146" s="43">
        <f t="shared" si="62"/>
        <v>11.8</v>
      </c>
      <c r="E146" s="61">
        <f t="shared" si="74"/>
        <v>2.0230000000000001</v>
      </c>
      <c r="F146" s="61">
        <f t="shared" si="75"/>
        <v>42</v>
      </c>
      <c r="G146" s="64">
        <f t="shared" si="76"/>
        <v>0.58988764044943809</v>
      </c>
      <c r="H146" s="44">
        <f t="shared" si="65"/>
        <v>-36.958278003936336</v>
      </c>
      <c r="I146" s="42" t="str">
        <f t="shared" si="78"/>
        <v>Half</v>
      </c>
      <c r="J146" s="50">
        <f t="shared" si="78"/>
        <v>6</v>
      </c>
      <c r="K146" s="49">
        <f t="shared" si="78"/>
        <v>160</v>
      </c>
      <c r="L146" s="44">
        <f t="shared" si="78"/>
        <v>8</v>
      </c>
      <c r="M146" s="44">
        <f t="shared" si="78"/>
        <v>8</v>
      </c>
      <c r="N146" s="45">
        <f t="shared" si="78"/>
        <v>0.2</v>
      </c>
      <c r="O146" s="49">
        <v>30</v>
      </c>
      <c r="P146" s="54">
        <f>K146</f>
        <v>160</v>
      </c>
      <c r="Q146" s="44">
        <f t="shared" si="79"/>
        <v>150</v>
      </c>
      <c r="R146" s="50">
        <f t="shared" si="79"/>
        <v>270</v>
      </c>
    </row>
    <row r="147" spans="1:18" x14ac:dyDescent="0.25">
      <c r="A147" s="41">
        <f t="shared" si="77"/>
        <v>995</v>
      </c>
      <c r="B147" s="42">
        <f t="shared" si="77"/>
        <v>137</v>
      </c>
      <c r="C147" s="41" t="s">
        <v>2006</v>
      </c>
      <c r="D147" s="43">
        <f t="shared" ref="D147:D154" si="80">vr_a</f>
        <v>11.8</v>
      </c>
      <c r="E147" s="61">
        <f t="shared" si="74"/>
        <v>2.0230000000000001</v>
      </c>
      <c r="F147" s="61">
        <f t="shared" si="75"/>
        <v>42</v>
      </c>
      <c r="G147" s="64">
        <f t="shared" si="76"/>
        <v>0.58988764044943809</v>
      </c>
      <c r="H147" s="44">
        <f t="shared" si="65"/>
        <v>-36.958278003936336</v>
      </c>
      <c r="I147" s="42" t="str">
        <f t="shared" si="78"/>
        <v>Half</v>
      </c>
      <c r="J147" s="50">
        <f t="shared" si="78"/>
        <v>6</v>
      </c>
      <c r="K147" s="49">
        <f t="shared" si="78"/>
        <v>160</v>
      </c>
      <c r="L147" s="44">
        <f t="shared" si="78"/>
        <v>8</v>
      </c>
      <c r="M147" s="44">
        <f t="shared" si="78"/>
        <v>8</v>
      </c>
      <c r="N147" s="45">
        <f t="shared" si="78"/>
        <v>0.2</v>
      </c>
      <c r="O147" s="49">
        <v>30</v>
      </c>
      <c r="P147" s="54">
        <f>K147+3</f>
        <v>163</v>
      </c>
      <c r="Q147" s="44">
        <f t="shared" si="79"/>
        <v>150</v>
      </c>
      <c r="R147" s="50">
        <f t="shared" si="79"/>
        <v>270</v>
      </c>
    </row>
    <row r="148" spans="1:18" x14ac:dyDescent="0.25">
      <c r="A148" s="41">
        <f t="shared" si="77"/>
        <v>996</v>
      </c>
      <c r="B148" s="42">
        <f t="shared" si="77"/>
        <v>138</v>
      </c>
      <c r="C148" s="41" t="s">
        <v>2007</v>
      </c>
      <c r="D148" s="43">
        <f t="shared" si="80"/>
        <v>11.8</v>
      </c>
      <c r="E148" s="61">
        <f t="shared" si="74"/>
        <v>2.0230000000000001</v>
      </c>
      <c r="F148" s="61">
        <f t="shared" si="75"/>
        <v>42</v>
      </c>
      <c r="G148" s="64">
        <f t="shared" si="76"/>
        <v>0.58988764044943809</v>
      </c>
      <c r="H148" s="44">
        <f t="shared" si="65"/>
        <v>-36.958278003936336</v>
      </c>
      <c r="I148" s="42" t="str">
        <f t="shared" si="78"/>
        <v>Half</v>
      </c>
      <c r="J148" s="50">
        <f t="shared" si="78"/>
        <v>6</v>
      </c>
      <c r="K148" s="49">
        <f t="shared" si="78"/>
        <v>160</v>
      </c>
      <c r="L148" s="44">
        <f t="shared" si="78"/>
        <v>8</v>
      </c>
      <c r="M148" s="44">
        <f t="shared" si="78"/>
        <v>8</v>
      </c>
      <c r="N148" s="45">
        <f t="shared" si="78"/>
        <v>0.2</v>
      </c>
      <c r="O148" s="49">
        <v>30</v>
      </c>
      <c r="P148" s="54">
        <f>K148+6</f>
        <v>166</v>
      </c>
      <c r="Q148" s="44">
        <f t="shared" si="79"/>
        <v>150</v>
      </c>
      <c r="R148" s="50">
        <f t="shared" si="79"/>
        <v>270</v>
      </c>
    </row>
    <row r="149" spans="1:18" x14ac:dyDescent="0.25">
      <c r="A149" s="41">
        <f t="shared" si="77"/>
        <v>997</v>
      </c>
      <c r="B149" s="42">
        <f t="shared" si="77"/>
        <v>139</v>
      </c>
      <c r="C149" s="41" t="s">
        <v>2008</v>
      </c>
      <c r="D149" s="43">
        <f t="shared" si="80"/>
        <v>11.8</v>
      </c>
      <c r="E149" s="61">
        <f t="shared" si="74"/>
        <v>2.0230000000000001</v>
      </c>
      <c r="F149" s="61">
        <f t="shared" si="75"/>
        <v>42</v>
      </c>
      <c r="G149" s="64">
        <f t="shared" si="76"/>
        <v>0.58988764044943809</v>
      </c>
      <c r="H149" s="44">
        <f t="shared" si="65"/>
        <v>-36.958278003936336</v>
      </c>
      <c r="I149" s="42" t="str">
        <f t="shared" si="78"/>
        <v>Half</v>
      </c>
      <c r="J149" s="50">
        <f t="shared" si="78"/>
        <v>6</v>
      </c>
      <c r="K149" s="49">
        <f t="shared" si="78"/>
        <v>160</v>
      </c>
      <c r="L149" s="44">
        <f t="shared" si="78"/>
        <v>8</v>
      </c>
      <c r="M149" s="44">
        <f t="shared" si="78"/>
        <v>8</v>
      </c>
      <c r="N149" s="45">
        <f t="shared" si="78"/>
        <v>0.2</v>
      </c>
      <c r="O149" s="49">
        <v>60</v>
      </c>
      <c r="P149" s="54">
        <f>K149</f>
        <v>160</v>
      </c>
      <c r="Q149" s="44">
        <f t="shared" si="79"/>
        <v>150</v>
      </c>
      <c r="R149" s="50">
        <f t="shared" si="79"/>
        <v>270</v>
      </c>
    </row>
    <row r="150" spans="1:18" x14ac:dyDescent="0.25">
      <c r="A150" s="41">
        <f t="shared" si="77"/>
        <v>998</v>
      </c>
      <c r="B150" s="42">
        <f t="shared" si="77"/>
        <v>140</v>
      </c>
      <c r="C150" s="41" t="s">
        <v>2009</v>
      </c>
      <c r="D150" s="43">
        <f t="shared" si="80"/>
        <v>11.8</v>
      </c>
      <c r="E150" s="61">
        <f t="shared" si="74"/>
        <v>2.0230000000000001</v>
      </c>
      <c r="F150" s="61">
        <f t="shared" si="75"/>
        <v>42</v>
      </c>
      <c r="G150" s="64">
        <f t="shared" si="76"/>
        <v>0.58988764044943809</v>
      </c>
      <c r="H150" s="44">
        <f t="shared" si="65"/>
        <v>-36.958278003936336</v>
      </c>
      <c r="I150" s="42" t="str">
        <f t="shared" si="78"/>
        <v>Half</v>
      </c>
      <c r="J150" s="50">
        <f t="shared" si="78"/>
        <v>6</v>
      </c>
      <c r="K150" s="49">
        <f t="shared" si="78"/>
        <v>160</v>
      </c>
      <c r="L150" s="44">
        <f t="shared" si="78"/>
        <v>8</v>
      </c>
      <c r="M150" s="44">
        <f t="shared" si="78"/>
        <v>8</v>
      </c>
      <c r="N150" s="45">
        <f t="shared" si="78"/>
        <v>0.2</v>
      </c>
      <c r="O150" s="49">
        <v>60</v>
      </c>
      <c r="P150" s="54">
        <f>K150+3</f>
        <v>163</v>
      </c>
      <c r="Q150" s="44">
        <f t="shared" si="79"/>
        <v>150</v>
      </c>
      <c r="R150" s="50">
        <f t="shared" si="79"/>
        <v>270</v>
      </c>
    </row>
    <row r="151" spans="1:18" x14ac:dyDescent="0.25">
      <c r="A151" s="41">
        <f t="shared" si="77"/>
        <v>999</v>
      </c>
      <c r="B151" s="42">
        <f t="shared" si="77"/>
        <v>141</v>
      </c>
      <c r="C151" s="41" t="s">
        <v>2010</v>
      </c>
      <c r="D151" s="43">
        <f t="shared" si="80"/>
        <v>11.8</v>
      </c>
      <c r="E151" s="61">
        <f t="shared" si="74"/>
        <v>2.0230000000000001</v>
      </c>
      <c r="F151" s="61">
        <f t="shared" si="75"/>
        <v>42</v>
      </c>
      <c r="G151" s="64">
        <f t="shared" si="76"/>
        <v>0.58988764044943809</v>
      </c>
      <c r="H151" s="44">
        <f t="shared" si="65"/>
        <v>-36.958278003936336</v>
      </c>
      <c r="I151" s="42" t="s">
        <v>12</v>
      </c>
      <c r="J151" s="50">
        <f t="shared" ref="J151" si="81">J150</f>
        <v>6</v>
      </c>
      <c r="K151" s="49">
        <f t="shared" si="78"/>
        <v>160</v>
      </c>
      <c r="L151" s="44">
        <f t="shared" si="78"/>
        <v>8</v>
      </c>
      <c r="M151" s="44">
        <f t="shared" si="78"/>
        <v>8</v>
      </c>
      <c r="N151" s="45">
        <f t="shared" si="78"/>
        <v>0.2</v>
      </c>
      <c r="O151" s="49">
        <v>60</v>
      </c>
      <c r="P151" s="54">
        <f>K151+6</f>
        <v>166</v>
      </c>
      <c r="Q151" s="44">
        <f t="shared" si="79"/>
        <v>150</v>
      </c>
      <c r="R151" s="50">
        <f t="shared" si="79"/>
        <v>270</v>
      </c>
    </row>
    <row r="152" spans="1:18" x14ac:dyDescent="0.25">
      <c r="A152" s="41">
        <f t="shared" si="77"/>
        <v>1000</v>
      </c>
      <c r="B152" s="42">
        <f t="shared" si="77"/>
        <v>142</v>
      </c>
      <c r="C152" s="41" t="s">
        <v>2011</v>
      </c>
      <c r="D152" s="43">
        <f t="shared" si="80"/>
        <v>11.8</v>
      </c>
      <c r="E152" s="61">
        <f t="shared" si="74"/>
        <v>2.0230000000000001</v>
      </c>
      <c r="F152" s="61">
        <f t="shared" si="75"/>
        <v>42</v>
      </c>
      <c r="G152" s="64">
        <f t="shared" si="76"/>
        <v>0.58988764044943809</v>
      </c>
      <c r="H152" s="44">
        <f t="shared" si="65"/>
        <v>-36.958278003936336</v>
      </c>
      <c r="I152" s="42" t="str">
        <f>I151</f>
        <v>Half</v>
      </c>
      <c r="J152" s="50">
        <f t="shared" ref="J152" si="82">J151</f>
        <v>6</v>
      </c>
      <c r="K152" s="49">
        <f t="shared" si="78"/>
        <v>160</v>
      </c>
      <c r="L152" s="44">
        <f t="shared" si="78"/>
        <v>8</v>
      </c>
      <c r="M152" s="44">
        <f t="shared" si="78"/>
        <v>8</v>
      </c>
      <c r="N152" s="45">
        <f t="shared" si="78"/>
        <v>0.2</v>
      </c>
      <c r="O152" s="49">
        <v>90</v>
      </c>
      <c r="P152" s="54">
        <f>K152</f>
        <v>160</v>
      </c>
      <c r="Q152" s="44">
        <f t="shared" si="79"/>
        <v>150</v>
      </c>
      <c r="R152" s="50">
        <f t="shared" si="79"/>
        <v>270</v>
      </c>
    </row>
    <row r="153" spans="1:18" x14ac:dyDescent="0.25">
      <c r="A153" s="41">
        <f t="shared" si="77"/>
        <v>1001</v>
      </c>
      <c r="B153" s="42">
        <f t="shared" si="77"/>
        <v>143</v>
      </c>
      <c r="C153" s="41" t="s">
        <v>2012</v>
      </c>
      <c r="D153" s="43">
        <f t="shared" si="80"/>
        <v>11.8</v>
      </c>
      <c r="E153" s="61">
        <f t="shared" si="74"/>
        <v>2.0230000000000001</v>
      </c>
      <c r="F153" s="61">
        <f t="shared" si="75"/>
        <v>42</v>
      </c>
      <c r="G153" s="64">
        <f t="shared" si="76"/>
        <v>0.58988764044943809</v>
      </c>
      <c r="H153" s="44">
        <f t="shared" si="65"/>
        <v>-36.958278003936336</v>
      </c>
      <c r="I153" s="42" t="str">
        <f t="shared" si="78"/>
        <v>Half</v>
      </c>
      <c r="J153" s="50">
        <f t="shared" si="78"/>
        <v>6</v>
      </c>
      <c r="K153" s="49">
        <f t="shared" si="78"/>
        <v>160</v>
      </c>
      <c r="L153" s="44">
        <f t="shared" si="78"/>
        <v>8</v>
      </c>
      <c r="M153" s="44">
        <f t="shared" si="78"/>
        <v>8</v>
      </c>
      <c r="N153" s="45">
        <f t="shared" si="78"/>
        <v>0.2</v>
      </c>
      <c r="O153" s="49">
        <v>90</v>
      </c>
      <c r="P153" s="54">
        <f>K153+3</f>
        <v>163</v>
      </c>
      <c r="Q153" s="44">
        <f t="shared" si="79"/>
        <v>150</v>
      </c>
      <c r="R153" s="50">
        <f t="shared" si="79"/>
        <v>270</v>
      </c>
    </row>
    <row r="154" spans="1:18" x14ac:dyDescent="0.25">
      <c r="A154" s="41">
        <f t="shared" si="77"/>
        <v>1002</v>
      </c>
      <c r="B154" s="42">
        <f t="shared" si="77"/>
        <v>144</v>
      </c>
      <c r="C154" s="127" t="s">
        <v>2013</v>
      </c>
      <c r="D154" s="43">
        <f t="shared" si="80"/>
        <v>11.8</v>
      </c>
      <c r="E154" s="61">
        <f t="shared" si="74"/>
        <v>2.0230000000000001</v>
      </c>
      <c r="F154" s="61">
        <f t="shared" si="75"/>
        <v>42</v>
      </c>
      <c r="G154" s="64">
        <f t="shared" si="76"/>
        <v>0.58988764044943809</v>
      </c>
      <c r="H154" s="44">
        <f t="shared" si="65"/>
        <v>-36.958278003936336</v>
      </c>
      <c r="I154" s="42" t="str">
        <f t="shared" si="78"/>
        <v>Half</v>
      </c>
      <c r="J154" s="50">
        <f t="shared" si="78"/>
        <v>6</v>
      </c>
      <c r="K154" s="49">
        <f t="shared" si="78"/>
        <v>160</v>
      </c>
      <c r="L154" s="44">
        <f t="shared" si="78"/>
        <v>8</v>
      </c>
      <c r="M154" s="44">
        <f t="shared" si="78"/>
        <v>8</v>
      </c>
      <c r="N154" s="45">
        <f t="shared" si="78"/>
        <v>0.2</v>
      </c>
      <c r="O154" s="49">
        <v>90</v>
      </c>
      <c r="P154" s="54">
        <f>K154+6</f>
        <v>166</v>
      </c>
      <c r="Q154" s="44">
        <f t="shared" si="79"/>
        <v>150</v>
      </c>
      <c r="R154" s="50">
        <f t="shared" si="79"/>
        <v>270</v>
      </c>
    </row>
    <row r="155" spans="1:18" x14ac:dyDescent="0.25">
      <c r="A155" s="41">
        <f t="shared" si="77"/>
        <v>1003</v>
      </c>
      <c r="B155" s="42">
        <f t="shared" si="77"/>
        <v>145</v>
      </c>
      <c r="C155" s="41" t="s">
        <v>2014</v>
      </c>
      <c r="D155" s="43">
        <f t="shared" ref="D155:D186" si="83">v_c</f>
        <v>20</v>
      </c>
      <c r="E155" s="61">
        <f t="shared" si="74"/>
        <v>2.8840000000000003</v>
      </c>
      <c r="F155" s="61">
        <f t="shared" si="75"/>
        <v>42</v>
      </c>
      <c r="G155" s="64">
        <f t="shared" si="76"/>
        <v>0.58988764044943809</v>
      </c>
      <c r="H155" s="44">
        <f>6.4*ATAN(E155/D155*G155)/PI()*180</f>
        <v>31.11666081726781</v>
      </c>
      <c r="I155" s="42" t="str">
        <f t="shared" si="78"/>
        <v>Half</v>
      </c>
      <c r="J155" s="50">
        <f t="shared" si="78"/>
        <v>6</v>
      </c>
      <c r="K155" s="49">
        <f t="shared" si="78"/>
        <v>160</v>
      </c>
      <c r="L155" s="44">
        <f t="shared" si="78"/>
        <v>8</v>
      </c>
      <c r="M155" s="44">
        <f>yaw_min</f>
        <v>-8</v>
      </c>
      <c r="N155" s="45">
        <f t="shared" si="78"/>
        <v>0.2</v>
      </c>
      <c r="O155" s="49">
        <v>0</v>
      </c>
      <c r="P155" s="54">
        <f>K155</f>
        <v>160</v>
      </c>
      <c r="Q155" s="44">
        <f t="shared" si="79"/>
        <v>150</v>
      </c>
      <c r="R155" s="50">
        <f t="shared" si="79"/>
        <v>270</v>
      </c>
    </row>
    <row r="156" spans="1:18" x14ac:dyDescent="0.25">
      <c r="A156" s="41">
        <f t="shared" ref="A156:B171" si="84">A155+1</f>
        <v>1004</v>
      </c>
      <c r="B156" s="42">
        <f t="shared" si="84"/>
        <v>146</v>
      </c>
      <c r="C156" s="41" t="s">
        <v>2015</v>
      </c>
      <c r="D156" s="43">
        <f t="shared" si="83"/>
        <v>20</v>
      </c>
      <c r="E156" s="61">
        <f t="shared" si="74"/>
        <v>2.8840000000000003</v>
      </c>
      <c r="F156" s="61">
        <f t="shared" si="75"/>
        <v>42</v>
      </c>
      <c r="G156" s="64">
        <f t="shared" si="76"/>
        <v>0.58988764044943809</v>
      </c>
      <c r="H156" s="44">
        <f t="shared" ref="H156:H190" si="85">6.4*ATAN(E156/D156*G156)/PI()*180</f>
        <v>31.11666081726781</v>
      </c>
      <c r="I156" s="42" t="str">
        <f t="shared" ref="I156:N171" si="86">I155</f>
        <v>Half</v>
      </c>
      <c r="J156" s="50">
        <f t="shared" si="86"/>
        <v>6</v>
      </c>
      <c r="K156" s="49">
        <f t="shared" si="86"/>
        <v>160</v>
      </c>
      <c r="L156" s="44">
        <f t="shared" si="86"/>
        <v>8</v>
      </c>
      <c r="M156" s="44">
        <f t="shared" si="86"/>
        <v>-8</v>
      </c>
      <c r="N156" s="45">
        <f t="shared" si="86"/>
        <v>0.2</v>
      </c>
      <c r="O156" s="49">
        <v>0</v>
      </c>
      <c r="P156" s="54">
        <f>K156+3</f>
        <v>163</v>
      </c>
      <c r="Q156" s="44">
        <f t="shared" si="79"/>
        <v>150</v>
      </c>
      <c r="R156" s="50">
        <f t="shared" si="79"/>
        <v>270</v>
      </c>
    </row>
    <row r="157" spans="1:18" x14ac:dyDescent="0.25">
      <c r="A157" s="41">
        <f t="shared" si="84"/>
        <v>1005</v>
      </c>
      <c r="B157" s="42">
        <f t="shared" si="84"/>
        <v>147</v>
      </c>
      <c r="C157" s="41" t="s">
        <v>2016</v>
      </c>
      <c r="D157" s="43">
        <f t="shared" si="83"/>
        <v>20</v>
      </c>
      <c r="E157" s="61">
        <f t="shared" si="74"/>
        <v>2.8840000000000003</v>
      </c>
      <c r="F157" s="61">
        <f t="shared" si="75"/>
        <v>42</v>
      </c>
      <c r="G157" s="64">
        <f t="shared" si="76"/>
        <v>0.58988764044943809</v>
      </c>
      <c r="H157" s="44">
        <f t="shared" si="85"/>
        <v>31.11666081726781</v>
      </c>
      <c r="I157" s="42" t="str">
        <f t="shared" si="86"/>
        <v>Half</v>
      </c>
      <c r="J157" s="50">
        <f t="shared" si="86"/>
        <v>6</v>
      </c>
      <c r="K157" s="49">
        <f t="shared" si="86"/>
        <v>160</v>
      </c>
      <c r="L157" s="44">
        <f t="shared" si="86"/>
        <v>8</v>
      </c>
      <c r="M157" s="44">
        <f t="shared" si="86"/>
        <v>-8</v>
      </c>
      <c r="N157" s="45">
        <f t="shared" si="86"/>
        <v>0.2</v>
      </c>
      <c r="O157" s="49">
        <v>0</v>
      </c>
      <c r="P157" s="54">
        <f>K157+6</f>
        <v>166</v>
      </c>
      <c r="Q157" s="44">
        <f t="shared" ref="Q157:R172" si="87">Q156</f>
        <v>150</v>
      </c>
      <c r="R157" s="50">
        <f t="shared" si="87"/>
        <v>270</v>
      </c>
    </row>
    <row r="158" spans="1:18" x14ac:dyDescent="0.25">
      <c r="A158" s="41">
        <f t="shared" si="84"/>
        <v>1006</v>
      </c>
      <c r="B158" s="42">
        <f t="shared" si="84"/>
        <v>148</v>
      </c>
      <c r="C158" s="41" t="s">
        <v>2017</v>
      </c>
      <c r="D158" s="43">
        <f t="shared" si="83"/>
        <v>20</v>
      </c>
      <c r="E158" s="61">
        <f t="shared" si="74"/>
        <v>2.8840000000000003</v>
      </c>
      <c r="F158" s="61">
        <f t="shared" si="75"/>
        <v>42</v>
      </c>
      <c r="G158" s="64">
        <f t="shared" si="76"/>
        <v>0.58988764044943809</v>
      </c>
      <c r="H158" s="44">
        <f t="shared" si="85"/>
        <v>31.11666081726781</v>
      </c>
      <c r="I158" s="42" t="str">
        <f t="shared" si="86"/>
        <v>Half</v>
      </c>
      <c r="J158" s="50">
        <f t="shared" si="86"/>
        <v>6</v>
      </c>
      <c r="K158" s="49">
        <f t="shared" si="86"/>
        <v>160</v>
      </c>
      <c r="L158" s="44">
        <f t="shared" si="86"/>
        <v>8</v>
      </c>
      <c r="M158" s="44">
        <f t="shared" si="86"/>
        <v>-8</v>
      </c>
      <c r="N158" s="45">
        <f t="shared" si="86"/>
        <v>0.2</v>
      </c>
      <c r="O158" s="49">
        <v>30</v>
      </c>
      <c r="P158" s="54">
        <f>K158</f>
        <v>160</v>
      </c>
      <c r="Q158" s="44">
        <f t="shared" si="87"/>
        <v>150</v>
      </c>
      <c r="R158" s="50">
        <f t="shared" si="87"/>
        <v>270</v>
      </c>
    </row>
    <row r="159" spans="1:18" x14ac:dyDescent="0.25">
      <c r="A159" s="41">
        <f t="shared" si="84"/>
        <v>1007</v>
      </c>
      <c r="B159" s="42">
        <f t="shared" si="84"/>
        <v>149</v>
      </c>
      <c r="C159" s="41" t="s">
        <v>2018</v>
      </c>
      <c r="D159" s="43">
        <f t="shared" si="83"/>
        <v>20</v>
      </c>
      <c r="E159" s="61">
        <f t="shared" si="74"/>
        <v>2.8840000000000003</v>
      </c>
      <c r="F159" s="61">
        <f t="shared" si="75"/>
        <v>42</v>
      </c>
      <c r="G159" s="64">
        <f t="shared" si="76"/>
        <v>0.58988764044943809</v>
      </c>
      <c r="H159" s="44">
        <f t="shared" si="85"/>
        <v>31.11666081726781</v>
      </c>
      <c r="I159" s="42" t="str">
        <f t="shared" si="86"/>
        <v>Half</v>
      </c>
      <c r="J159" s="50">
        <f t="shared" si="86"/>
        <v>6</v>
      </c>
      <c r="K159" s="49">
        <f t="shared" si="86"/>
        <v>160</v>
      </c>
      <c r="L159" s="44">
        <f t="shared" si="86"/>
        <v>8</v>
      </c>
      <c r="M159" s="44">
        <f t="shared" si="86"/>
        <v>-8</v>
      </c>
      <c r="N159" s="45">
        <f t="shared" si="86"/>
        <v>0.2</v>
      </c>
      <c r="O159" s="49">
        <v>30</v>
      </c>
      <c r="P159" s="54">
        <f>K159+3</f>
        <v>163</v>
      </c>
      <c r="Q159" s="44">
        <f t="shared" si="87"/>
        <v>150</v>
      </c>
      <c r="R159" s="50">
        <f t="shared" si="87"/>
        <v>270</v>
      </c>
    </row>
    <row r="160" spans="1:18" x14ac:dyDescent="0.25">
      <c r="A160" s="41">
        <f t="shared" si="84"/>
        <v>1008</v>
      </c>
      <c r="B160" s="42">
        <f t="shared" si="84"/>
        <v>150</v>
      </c>
      <c r="C160" s="41" t="s">
        <v>2019</v>
      </c>
      <c r="D160" s="43">
        <f t="shared" si="83"/>
        <v>20</v>
      </c>
      <c r="E160" s="61">
        <f t="shared" si="74"/>
        <v>2.8840000000000003</v>
      </c>
      <c r="F160" s="61">
        <f t="shared" si="75"/>
        <v>42</v>
      </c>
      <c r="G160" s="64">
        <f t="shared" si="76"/>
        <v>0.58988764044943809</v>
      </c>
      <c r="H160" s="44">
        <f t="shared" si="85"/>
        <v>31.11666081726781</v>
      </c>
      <c r="I160" s="42" t="str">
        <f t="shared" si="86"/>
        <v>Half</v>
      </c>
      <c r="J160" s="50">
        <f t="shared" si="86"/>
        <v>6</v>
      </c>
      <c r="K160" s="49">
        <f t="shared" si="86"/>
        <v>160</v>
      </c>
      <c r="L160" s="44">
        <f t="shared" si="86"/>
        <v>8</v>
      </c>
      <c r="M160" s="44">
        <f t="shared" si="86"/>
        <v>-8</v>
      </c>
      <c r="N160" s="45">
        <f t="shared" si="86"/>
        <v>0.2</v>
      </c>
      <c r="O160" s="49">
        <v>30</v>
      </c>
      <c r="P160" s="54">
        <f>K160+6</f>
        <v>166</v>
      </c>
      <c r="Q160" s="44">
        <f t="shared" si="87"/>
        <v>150</v>
      </c>
      <c r="R160" s="50">
        <f t="shared" si="87"/>
        <v>270</v>
      </c>
    </row>
    <row r="161" spans="1:18" x14ac:dyDescent="0.25">
      <c r="A161" s="41">
        <f t="shared" si="84"/>
        <v>1009</v>
      </c>
      <c r="B161" s="42">
        <f t="shared" si="84"/>
        <v>151</v>
      </c>
      <c r="C161" s="41" t="s">
        <v>2020</v>
      </c>
      <c r="D161" s="43">
        <f t="shared" si="83"/>
        <v>20</v>
      </c>
      <c r="E161" s="61">
        <f t="shared" si="74"/>
        <v>2.8840000000000003</v>
      </c>
      <c r="F161" s="61">
        <f t="shared" si="75"/>
        <v>42</v>
      </c>
      <c r="G161" s="64">
        <f t="shared" si="76"/>
        <v>0.58988764044943809</v>
      </c>
      <c r="H161" s="44">
        <f t="shared" si="85"/>
        <v>31.11666081726781</v>
      </c>
      <c r="I161" s="42" t="str">
        <f t="shared" si="86"/>
        <v>Half</v>
      </c>
      <c r="J161" s="50">
        <f t="shared" si="86"/>
        <v>6</v>
      </c>
      <c r="K161" s="49">
        <f t="shared" si="86"/>
        <v>160</v>
      </c>
      <c r="L161" s="44">
        <f t="shared" si="86"/>
        <v>8</v>
      </c>
      <c r="M161" s="44">
        <f t="shared" si="86"/>
        <v>-8</v>
      </c>
      <c r="N161" s="45">
        <f t="shared" si="86"/>
        <v>0.2</v>
      </c>
      <c r="O161" s="49">
        <v>60</v>
      </c>
      <c r="P161" s="54">
        <f>K161</f>
        <v>160</v>
      </c>
      <c r="Q161" s="44">
        <f t="shared" si="87"/>
        <v>150</v>
      </c>
      <c r="R161" s="50">
        <f t="shared" si="87"/>
        <v>270</v>
      </c>
    </row>
    <row r="162" spans="1:18" x14ac:dyDescent="0.25">
      <c r="A162" s="41">
        <f t="shared" si="84"/>
        <v>1010</v>
      </c>
      <c r="B162" s="42">
        <f t="shared" si="84"/>
        <v>152</v>
      </c>
      <c r="C162" s="41" t="s">
        <v>2021</v>
      </c>
      <c r="D162" s="43">
        <f t="shared" si="83"/>
        <v>20</v>
      </c>
      <c r="E162" s="61">
        <f t="shared" si="74"/>
        <v>2.8840000000000003</v>
      </c>
      <c r="F162" s="61">
        <f t="shared" si="75"/>
        <v>42</v>
      </c>
      <c r="G162" s="64">
        <f t="shared" si="76"/>
        <v>0.58988764044943809</v>
      </c>
      <c r="H162" s="44">
        <f t="shared" si="85"/>
        <v>31.11666081726781</v>
      </c>
      <c r="I162" s="42" t="str">
        <f t="shared" si="86"/>
        <v>Half</v>
      </c>
      <c r="J162" s="50">
        <f t="shared" si="86"/>
        <v>6</v>
      </c>
      <c r="K162" s="49">
        <f t="shared" si="86"/>
        <v>160</v>
      </c>
      <c r="L162" s="44">
        <f t="shared" si="86"/>
        <v>8</v>
      </c>
      <c r="M162" s="44">
        <f t="shared" si="86"/>
        <v>-8</v>
      </c>
      <c r="N162" s="45">
        <f t="shared" si="86"/>
        <v>0.2</v>
      </c>
      <c r="O162" s="49">
        <v>60</v>
      </c>
      <c r="P162" s="54">
        <f>K162+3</f>
        <v>163</v>
      </c>
      <c r="Q162" s="44">
        <f t="shared" si="87"/>
        <v>150</v>
      </c>
      <c r="R162" s="50">
        <f t="shared" si="87"/>
        <v>270</v>
      </c>
    </row>
    <row r="163" spans="1:18" x14ac:dyDescent="0.25">
      <c r="A163" s="41">
        <f t="shared" si="84"/>
        <v>1011</v>
      </c>
      <c r="B163" s="42">
        <f t="shared" si="84"/>
        <v>153</v>
      </c>
      <c r="C163" s="41" t="s">
        <v>2022</v>
      </c>
      <c r="D163" s="43">
        <f t="shared" si="83"/>
        <v>20</v>
      </c>
      <c r="E163" s="61">
        <f t="shared" si="74"/>
        <v>2.8840000000000003</v>
      </c>
      <c r="F163" s="61">
        <f t="shared" si="75"/>
        <v>42</v>
      </c>
      <c r="G163" s="64">
        <f t="shared" si="76"/>
        <v>0.58988764044943809</v>
      </c>
      <c r="H163" s="44">
        <f t="shared" si="85"/>
        <v>31.11666081726781</v>
      </c>
      <c r="I163" s="42" t="str">
        <f t="shared" si="86"/>
        <v>Half</v>
      </c>
      <c r="J163" s="50">
        <f t="shared" si="86"/>
        <v>6</v>
      </c>
      <c r="K163" s="49">
        <f t="shared" si="86"/>
        <v>160</v>
      </c>
      <c r="L163" s="44">
        <f t="shared" si="86"/>
        <v>8</v>
      </c>
      <c r="M163" s="44">
        <f t="shared" si="86"/>
        <v>-8</v>
      </c>
      <c r="N163" s="45">
        <f t="shared" si="86"/>
        <v>0.2</v>
      </c>
      <c r="O163" s="49">
        <v>60</v>
      </c>
      <c r="P163" s="54">
        <f>K163+6</f>
        <v>166</v>
      </c>
      <c r="Q163" s="44">
        <f t="shared" si="87"/>
        <v>150</v>
      </c>
      <c r="R163" s="50">
        <f t="shared" si="87"/>
        <v>270</v>
      </c>
    </row>
    <row r="164" spans="1:18" x14ac:dyDescent="0.25">
      <c r="A164" s="41">
        <f t="shared" si="84"/>
        <v>1012</v>
      </c>
      <c r="B164" s="42">
        <f t="shared" si="84"/>
        <v>154</v>
      </c>
      <c r="C164" s="41" t="s">
        <v>2023</v>
      </c>
      <c r="D164" s="43">
        <f t="shared" si="83"/>
        <v>20</v>
      </c>
      <c r="E164" s="61">
        <f t="shared" si="74"/>
        <v>2.8840000000000003</v>
      </c>
      <c r="F164" s="61">
        <f t="shared" si="75"/>
        <v>42</v>
      </c>
      <c r="G164" s="64">
        <f t="shared" si="76"/>
        <v>0.58988764044943809</v>
      </c>
      <c r="H164" s="44">
        <f t="shared" si="85"/>
        <v>31.11666081726781</v>
      </c>
      <c r="I164" s="42" t="str">
        <f>I163</f>
        <v>Half</v>
      </c>
      <c r="J164" s="50">
        <f t="shared" ref="J164" si="88">J163</f>
        <v>6</v>
      </c>
      <c r="K164" s="49">
        <f t="shared" si="86"/>
        <v>160</v>
      </c>
      <c r="L164" s="44">
        <f t="shared" si="86"/>
        <v>8</v>
      </c>
      <c r="M164" s="44">
        <f t="shared" si="86"/>
        <v>-8</v>
      </c>
      <c r="N164" s="45">
        <f t="shared" si="86"/>
        <v>0.2</v>
      </c>
      <c r="O164" s="49">
        <v>90</v>
      </c>
      <c r="P164" s="54">
        <f>K164</f>
        <v>160</v>
      </c>
      <c r="Q164" s="44">
        <f t="shared" si="87"/>
        <v>150</v>
      </c>
      <c r="R164" s="50">
        <f t="shared" si="87"/>
        <v>270</v>
      </c>
    </row>
    <row r="165" spans="1:18" x14ac:dyDescent="0.25">
      <c r="A165" s="41">
        <f t="shared" si="84"/>
        <v>1013</v>
      </c>
      <c r="B165" s="42">
        <f t="shared" si="84"/>
        <v>155</v>
      </c>
      <c r="C165" s="41" t="s">
        <v>2024</v>
      </c>
      <c r="D165" s="43">
        <f t="shared" si="83"/>
        <v>20</v>
      </c>
      <c r="E165" s="61">
        <f t="shared" si="74"/>
        <v>2.8840000000000003</v>
      </c>
      <c r="F165" s="61">
        <f t="shared" si="75"/>
        <v>42</v>
      </c>
      <c r="G165" s="64">
        <f t="shared" si="76"/>
        <v>0.58988764044943809</v>
      </c>
      <c r="H165" s="44">
        <f t="shared" si="85"/>
        <v>31.11666081726781</v>
      </c>
      <c r="I165" s="42" t="str">
        <f>I164</f>
        <v>Half</v>
      </c>
      <c r="J165" s="50">
        <f t="shared" ref="J165" si="89">J164</f>
        <v>6</v>
      </c>
      <c r="K165" s="49">
        <f t="shared" si="86"/>
        <v>160</v>
      </c>
      <c r="L165" s="44">
        <f t="shared" si="86"/>
        <v>8</v>
      </c>
      <c r="M165" s="44">
        <f t="shared" si="86"/>
        <v>-8</v>
      </c>
      <c r="N165" s="45">
        <f t="shared" si="86"/>
        <v>0.2</v>
      </c>
      <c r="O165" s="49">
        <v>90</v>
      </c>
      <c r="P165" s="54">
        <f>K165+3</f>
        <v>163</v>
      </c>
      <c r="Q165" s="44">
        <f t="shared" si="87"/>
        <v>150</v>
      </c>
      <c r="R165" s="50">
        <f t="shared" si="87"/>
        <v>270</v>
      </c>
    </row>
    <row r="166" spans="1:18" x14ac:dyDescent="0.25">
      <c r="A166" s="41">
        <f t="shared" si="84"/>
        <v>1014</v>
      </c>
      <c r="B166" s="42">
        <f t="shared" si="84"/>
        <v>156</v>
      </c>
      <c r="C166" s="41" t="s">
        <v>2025</v>
      </c>
      <c r="D166" s="43">
        <f t="shared" si="83"/>
        <v>20</v>
      </c>
      <c r="E166" s="61">
        <f t="shared" si="74"/>
        <v>2.8840000000000003</v>
      </c>
      <c r="F166" s="61">
        <f t="shared" si="75"/>
        <v>42</v>
      </c>
      <c r="G166" s="64">
        <f t="shared" si="76"/>
        <v>0.58988764044943809</v>
      </c>
      <c r="H166" s="44">
        <f t="shared" si="85"/>
        <v>31.11666081726781</v>
      </c>
      <c r="I166" s="42" t="str">
        <f>I165</f>
        <v>Half</v>
      </c>
      <c r="J166" s="50">
        <f t="shared" ref="J166" si="90">J165</f>
        <v>6</v>
      </c>
      <c r="K166" s="49">
        <f t="shared" si="86"/>
        <v>160</v>
      </c>
      <c r="L166" s="44">
        <f t="shared" si="86"/>
        <v>8</v>
      </c>
      <c r="M166" s="44">
        <f t="shared" si="86"/>
        <v>-8</v>
      </c>
      <c r="N166" s="45">
        <f t="shared" si="86"/>
        <v>0.2</v>
      </c>
      <c r="O166" s="49">
        <v>90</v>
      </c>
      <c r="P166" s="54">
        <f>K166+6</f>
        <v>166</v>
      </c>
      <c r="Q166" s="44">
        <f t="shared" si="87"/>
        <v>150</v>
      </c>
      <c r="R166" s="50">
        <f t="shared" si="87"/>
        <v>270</v>
      </c>
    </row>
    <row r="167" spans="1:18" x14ac:dyDescent="0.25">
      <c r="A167" s="41">
        <f t="shared" si="84"/>
        <v>1015</v>
      </c>
      <c r="B167" s="42">
        <f t="shared" si="84"/>
        <v>157</v>
      </c>
      <c r="C167" s="41" t="s">
        <v>2026</v>
      </c>
      <c r="D167" s="43">
        <f t="shared" si="83"/>
        <v>20</v>
      </c>
      <c r="E167" s="61">
        <f t="shared" si="74"/>
        <v>2.8840000000000003</v>
      </c>
      <c r="F167" s="61">
        <f t="shared" si="75"/>
        <v>42</v>
      </c>
      <c r="G167" s="64">
        <f t="shared" si="76"/>
        <v>0.58988764044943809</v>
      </c>
      <c r="H167" s="44">
        <f>6.4*ATAN(E167/D167*G167)/PI()*180</f>
        <v>31.11666081726781</v>
      </c>
      <c r="I167" s="42" t="str">
        <f t="shared" si="86"/>
        <v>Half</v>
      </c>
      <c r="J167" s="50">
        <f t="shared" si="86"/>
        <v>6</v>
      </c>
      <c r="K167" s="49">
        <f t="shared" si="86"/>
        <v>160</v>
      </c>
      <c r="L167" s="44">
        <f t="shared" si="86"/>
        <v>8</v>
      </c>
      <c r="M167" s="44">
        <f>yaw_null</f>
        <v>0</v>
      </c>
      <c r="N167" s="45">
        <f t="shared" si="86"/>
        <v>0.2</v>
      </c>
      <c r="O167" s="49">
        <v>0</v>
      </c>
      <c r="P167" s="54">
        <f>K167</f>
        <v>160</v>
      </c>
      <c r="Q167" s="44">
        <f t="shared" si="87"/>
        <v>150</v>
      </c>
      <c r="R167" s="50">
        <f t="shared" si="87"/>
        <v>270</v>
      </c>
    </row>
    <row r="168" spans="1:18" x14ac:dyDescent="0.25">
      <c r="A168" s="41">
        <f t="shared" si="84"/>
        <v>1016</v>
      </c>
      <c r="B168" s="42">
        <f t="shared" si="84"/>
        <v>158</v>
      </c>
      <c r="C168" s="41" t="s">
        <v>2027</v>
      </c>
      <c r="D168" s="43">
        <f t="shared" si="83"/>
        <v>20</v>
      </c>
      <c r="E168" s="61">
        <f t="shared" si="74"/>
        <v>2.8840000000000003</v>
      </c>
      <c r="F168" s="61">
        <f t="shared" si="75"/>
        <v>42</v>
      </c>
      <c r="G168" s="64">
        <f t="shared" si="76"/>
        <v>0.58988764044943809</v>
      </c>
      <c r="H168" s="44">
        <f t="shared" si="85"/>
        <v>31.11666081726781</v>
      </c>
      <c r="I168" s="42" t="str">
        <f t="shared" si="86"/>
        <v>Half</v>
      </c>
      <c r="J168" s="50">
        <f t="shared" si="86"/>
        <v>6</v>
      </c>
      <c r="K168" s="49">
        <f t="shared" si="86"/>
        <v>160</v>
      </c>
      <c r="L168" s="44">
        <f t="shared" si="86"/>
        <v>8</v>
      </c>
      <c r="M168" s="44">
        <f t="shared" si="86"/>
        <v>0</v>
      </c>
      <c r="N168" s="45">
        <f t="shared" si="86"/>
        <v>0.2</v>
      </c>
      <c r="O168" s="49">
        <v>0</v>
      </c>
      <c r="P168" s="54">
        <f>K168+3</f>
        <v>163</v>
      </c>
      <c r="Q168" s="44">
        <f t="shared" si="87"/>
        <v>150</v>
      </c>
      <c r="R168" s="50">
        <f t="shared" si="87"/>
        <v>270</v>
      </c>
    </row>
    <row r="169" spans="1:18" x14ac:dyDescent="0.25">
      <c r="A169" s="41">
        <f t="shared" si="84"/>
        <v>1017</v>
      </c>
      <c r="B169" s="42">
        <f t="shared" si="84"/>
        <v>159</v>
      </c>
      <c r="C169" s="41" t="s">
        <v>2028</v>
      </c>
      <c r="D169" s="43">
        <f t="shared" si="83"/>
        <v>20</v>
      </c>
      <c r="E169" s="61">
        <f t="shared" si="74"/>
        <v>2.8840000000000003</v>
      </c>
      <c r="F169" s="61">
        <f t="shared" si="75"/>
        <v>42</v>
      </c>
      <c r="G169" s="64">
        <f t="shared" si="76"/>
        <v>0.58988764044943809</v>
      </c>
      <c r="H169" s="44">
        <f t="shared" si="85"/>
        <v>31.11666081726781</v>
      </c>
      <c r="I169" s="42" t="str">
        <f t="shared" si="86"/>
        <v>Half</v>
      </c>
      <c r="J169" s="50">
        <f t="shared" si="86"/>
        <v>6</v>
      </c>
      <c r="K169" s="49">
        <f t="shared" si="86"/>
        <v>160</v>
      </c>
      <c r="L169" s="44">
        <f t="shared" si="86"/>
        <v>8</v>
      </c>
      <c r="M169" s="44">
        <f t="shared" si="86"/>
        <v>0</v>
      </c>
      <c r="N169" s="45">
        <f t="shared" si="86"/>
        <v>0.2</v>
      </c>
      <c r="O169" s="49">
        <v>0</v>
      </c>
      <c r="P169" s="54">
        <f>K169+6</f>
        <v>166</v>
      </c>
      <c r="Q169" s="44">
        <f t="shared" si="87"/>
        <v>150</v>
      </c>
      <c r="R169" s="50">
        <f t="shared" si="87"/>
        <v>270</v>
      </c>
    </row>
    <row r="170" spans="1:18" x14ac:dyDescent="0.25">
      <c r="A170" s="41">
        <f t="shared" si="84"/>
        <v>1018</v>
      </c>
      <c r="B170" s="42">
        <f t="shared" si="84"/>
        <v>160</v>
      </c>
      <c r="C170" s="41" t="s">
        <v>2029</v>
      </c>
      <c r="D170" s="43">
        <f t="shared" si="83"/>
        <v>20</v>
      </c>
      <c r="E170" s="61">
        <f t="shared" si="74"/>
        <v>2.8840000000000003</v>
      </c>
      <c r="F170" s="61">
        <f t="shared" si="75"/>
        <v>42</v>
      </c>
      <c r="G170" s="64">
        <f t="shared" si="76"/>
        <v>0.58988764044943809</v>
      </c>
      <c r="H170" s="44">
        <f t="shared" si="85"/>
        <v>31.11666081726781</v>
      </c>
      <c r="I170" s="42" t="str">
        <f t="shared" si="86"/>
        <v>Half</v>
      </c>
      <c r="J170" s="50">
        <f t="shared" si="86"/>
        <v>6</v>
      </c>
      <c r="K170" s="49">
        <f t="shared" si="86"/>
        <v>160</v>
      </c>
      <c r="L170" s="44">
        <f t="shared" si="86"/>
        <v>8</v>
      </c>
      <c r="M170" s="44">
        <f t="shared" si="86"/>
        <v>0</v>
      </c>
      <c r="N170" s="45">
        <f t="shared" si="86"/>
        <v>0.2</v>
      </c>
      <c r="O170" s="49">
        <v>30</v>
      </c>
      <c r="P170" s="54">
        <f>K170</f>
        <v>160</v>
      </c>
      <c r="Q170" s="44">
        <f t="shared" si="87"/>
        <v>150</v>
      </c>
      <c r="R170" s="50">
        <f t="shared" si="87"/>
        <v>270</v>
      </c>
    </row>
    <row r="171" spans="1:18" x14ac:dyDescent="0.25">
      <c r="A171" s="41">
        <f t="shared" si="84"/>
        <v>1019</v>
      </c>
      <c r="B171" s="42">
        <f t="shared" si="84"/>
        <v>161</v>
      </c>
      <c r="C171" s="41" t="s">
        <v>2030</v>
      </c>
      <c r="D171" s="43">
        <f t="shared" si="83"/>
        <v>20</v>
      </c>
      <c r="E171" s="61">
        <f t="shared" si="74"/>
        <v>2.8840000000000003</v>
      </c>
      <c r="F171" s="61">
        <f t="shared" si="75"/>
        <v>42</v>
      </c>
      <c r="G171" s="64">
        <f t="shared" si="76"/>
        <v>0.58988764044943809</v>
      </c>
      <c r="H171" s="44">
        <f t="shared" si="85"/>
        <v>31.11666081726781</v>
      </c>
      <c r="I171" s="42" t="s">
        <v>12</v>
      </c>
      <c r="J171" s="50">
        <f t="shared" ref="J171" si="91">J170</f>
        <v>6</v>
      </c>
      <c r="K171" s="49">
        <f t="shared" si="86"/>
        <v>160</v>
      </c>
      <c r="L171" s="44">
        <f t="shared" si="86"/>
        <v>8</v>
      </c>
      <c r="M171" s="44">
        <f t="shared" si="86"/>
        <v>0</v>
      </c>
      <c r="N171" s="45">
        <f t="shared" si="86"/>
        <v>0.2</v>
      </c>
      <c r="O171" s="49">
        <v>30</v>
      </c>
      <c r="P171" s="54">
        <f>K171+3</f>
        <v>163</v>
      </c>
      <c r="Q171" s="44">
        <f t="shared" si="87"/>
        <v>150</v>
      </c>
      <c r="R171" s="50">
        <f t="shared" si="87"/>
        <v>270</v>
      </c>
    </row>
    <row r="172" spans="1:18" x14ac:dyDescent="0.25">
      <c r="A172" s="41">
        <f t="shared" ref="A172:B187" si="92">A171+1</f>
        <v>1020</v>
      </c>
      <c r="B172" s="42">
        <f t="shared" si="92"/>
        <v>162</v>
      </c>
      <c r="C172" s="41" t="s">
        <v>2031</v>
      </c>
      <c r="D172" s="43">
        <f t="shared" si="83"/>
        <v>20</v>
      </c>
      <c r="E172" s="61">
        <f t="shared" si="74"/>
        <v>2.8840000000000003</v>
      </c>
      <c r="F172" s="61">
        <f t="shared" si="75"/>
        <v>42</v>
      </c>
      <c r="G172" s="64">
        <f t="shared" si="76"/>
        <v>0.58988764044943809</v>
      </c>
      <c r="H172" s="44">
        <f t="shared" si="85"/>
        <v>31.11666081726781</v>
      </c>
      <c r="I172" s="42" t="str">
        <f>I171</f>
        <v>Half</v>
      </c>
      <c r="J172" s="50">
        <f t="shared" ref="J172" si="93">J171</f>
        <v>6</v>
      </c>
      <c r="K172" s="49">
        <f t="shared" ref="K172:N172" si="94">K171</f>
        <v>160</v>
      </c>
      <c r="L172" s="44">
        <f t="shared" si="94"/>
        <v>8</v>
      </c>
      <c r="M172" s="44">
        <f t="shared" si="94"/>
        <v>0</v>
      </c>
      <c r="N172" s="45">
        <f t="shared" si="94"/>
        <v>0.2</v>
      </c>
      <c r="O172" s="49">
        <v>30</v>
      </c>
      <c r="P172" s="54">
        <f>K172+6</f>
        <v>166</v>
      </c>
      <c r="Q172" s="44">
        <f t="shared" si="87"/>
        <v>150</v>
      </c>
      <c r="R172" s="50">
        <f t="shared" si="87"/>
        <v>270</v>
      </c>
    </row>
    <row r="173" spans="1:18" x14ac:dyDescent="0.25">
      <c r="A173" s="41">
        <f t="shared" si="92"/>
        <v>1021</v>
      </c>
      <c r="B173" s="42">
        <f t="shared" si="92"/>
        <v>163</v>
      </c>
      <c r="C173" s="41" t="s">
        <v>2032</v>
      </c>
      <c r="D173" s="43">
        <f t="shared" si="83"/>
        <v>20</v>
      </c>
      <c r="E173" s="61">
        <f t="shared" si="74"/>
        <v>2.8840000000000003</v>
      </c>
      <c r="F173" s="61">
        <f t="shared" si="75"/>
        <v>42</v>
      </c>
      <c r="G173" s="64">
        <f t="shared" si="76"/>
        <v>0.58988764044943809</v>
      </c>
      <c r="H173" s="44">
        <f t="shared" si="85"/>
        <v>31.11666081726781</v>
      </c>
      <c r="I173" s="42" t="str">
        <f t="shared" ref="I173:N187" si="95">I172</f>
        <v>Half</v>
      </c>
      <c r="J173" s="50">
        <f t="shared" si="95"/>
        <v>6</v>
      </c>
      <c r="K173" s="49">
        <f t="shared" si="95"/>
        <v>160</v>
      </c>
      <c r="L173" s="44">
        <f t="shared" si="95"/>
        <v>8</v>
      </c>
      <c r="M173" s="44">
        <f t="shared" si="95"/>
        <v>0</v>
      </c>
      <c r="N173" s="45">
        <f t="shared" si="95"/>
        <v>0.2</v>
      </c>
      <c r="O173" s="49">
        <v>60</v>
      </c>
      <c r="P173" s="54">
        <f>K173</f>
        <v>160</v>
      </c>
      <c r="Q173" s="44">
        <f t="shared" ref="Q173:R188" si="96">Q172</f>
        <v>150</v>
      </c>
      <c r="R173" s="50">
        <f t="shared" si="96"/>
        <v>270</v>
      </c>
    </row>
    <row r="174" spans="1:18" x14ac:dyDescent="0.25">
      <c r="A174" s="41">
        <f t="shared" si="92"/>
        <v>1022</v>
      </c>
      <c r="B174" s="42">
        <f t="shared" si="92"/>
        <v>164</v>
      </c>
      <c r="C174" s="41" t="s">
        <v>2033</v>
      </c>
      <c r="D174" s="43">
        <f t="shared" si="83"/>
        <v>20</v>
      </c>
      <c r="E174" s="61">
        <f t="shared" si="74"/>
        <v>2.8840000000000003</v>
      </c>
      <c r="F174" s="61">
        <f t="shared" si="75"/>
        <v>42</v>
      </c>
      <c r="G174" s="64">
        <f t="shared" si="76"/>
        <v>0.58988764044943809</v>
      </c>
      <c r="H174" s="44">
        <f t="shared" si="85"/>
        <v>31.11666081726781</v>
      </c>
      <c r="I174" s="42" t="str">
        <f t="shared" si="95"/>
        <v>Half</v>
      </c>
      <c r="J174" s="50">
        <f t="shared" si="95"/>
        <v>6</v>
      </c>
      <c r="K174" s="49">
        <f t="shared" si="95"/>
        <v>160</v>
      </c>
      <c r="L174" s="44">
        <f t="shared" si="95"/>
        <v>8</v>
      </c>
      <c r="M174" s="44">
        <f t="shared" si="95"/>
        <v>0</v>
      </c>
      <c r="N174" s="45">
        <f t="shared" si="95"/>
        <v>0.2</v>
      </c>
      <c r="O174" s="49">
        <v>60</v>
      </c>
      <c r="P174" s="54">
        <f>K174+3</f>
        <v>163</v>
      </c>
      <c r="Q174" s="44">
        <f t="shared" si="96"/>
        <v>150</v>
      </c>
      <c r="R174" s="50">
        <f t="shared" si="96"/>
        <v>270</v>
      </c>
    </row>
    <row r="175" spans="1:18" x14ac:dyDescent="0.25">
      <c r="A175" s="41">
        <f t="shared" si="92"/>
        <v>1023</v>
      </c>
      <c r="B175" s="42">
        <f t="shared" si="92"/>
        <v>165</v>
      </c>
      <c r="C175" s="41" t="s">
        <v>2034</v>
      </c>
      <c r="D175" s="43">
        <f t="shared" si="83"/>
        <v>20</v>
      </c>
      <c r="E175" s="61">
        <f t="shared" si="74"/>
        <v>2.8840000000000003</v>
      </c>
      <c r="F175" s="61">
        <f t="shared" si="75"/>
        <v>42</v>
      </c>
      <c r="G175" s="64">
        <f t="shared" si="76"/>
        <v>0.58988764044943809</v>
      </c>
      <c r="H175" s="44">
        <f t="shared" si="85"/>
        <v>31.11666081726781</v>
      </c>
      <c r="I175" s="42" t="str">
        <f t="shared" si="95"/>
        <v>Half</v>
      </c>
      <c r="J175" s="50">
        <f t="shared" si="95"/>
        <v>6</v>
      </c>
      <c r="K175" s="49">
        <f t="shared" si="95"/>
        <v>160</v>
      </c>
      <c r="L175" s="44">
        <f t="shared" si="95"/>
        <v>8</v>
      </c>
      <c r="M175" s="44">
        <f t="shared" si="95"/>
        <v>0</v>
      </c>
      <c r="N175" s="45">
        <f t="shared" si="95"/>
        <v>0.2</v>
      </c>
      <c r="O175" s="49">
        <v>60</v>
      </c>
      <c r="P175" s="54">
        <f>K175+6</f>
        <v>166</v>
      </c>
      <c r="Q175" s="44">
        <f t="shared" si="96"/>
        <v>150</v>
      </c>
      <c r="R175" s="50">
        <f t="shared" si="96"/>
        <v>270</v>
      </c>
    </row>
    <row r="176" spans="1:18" x14ac:dyDescent="0.25">
      <c r="A176" s="41">
        <f t="shared" si="92"/>
        <v>1024</v>
      </c>
      <c r="B176" s="42">
        <f t="shared" si="92"/>
        <v>166</v>
      </c>
      <c r="C176" s="41" t="s">
        <v>2035</v>
      </c>
      <c r="D176" s="43">
        <f t="shared" si="83"/>
        <v>20</v>
      </c>
      <c r="E176" s="61">
        <f t="shared" si="74"/>
        <v>2.8840000000000003</v>
      </c>
      <c r="F176" s="61">
        <f t="shared" si="75"/>
        <v>42</v>
      </c>
      <c r="G176" s="64">
        <f t="shared" si="76"/>
        <v>0.58988764044943809</v>
      </c>
      <c r="H176" s="44">
        <f t="shared" si="85"/>
        <v>31.11666081726781</v>
      </c>
      <c r="I176" s="42" t="str">
        <f t="shared" si="95"/>
        <v>Half</v>
      </c>
      <c r="J176" s="50">
        <f t="shared" si="95"/>
        <v>6</v>
      </c>
      <c r="K176" s="49">
        <f t="shared" si="95"/>
        <v>160</v>
      </c>
      <c r="L176" s="44">
        <f t="shared" si="95"/>
        <v>8</v>
      </c>
      <c r="M176" s="44">
        <f t="shared" si="95"/>
        <v>0</v>
      </c>
      <c r="N176" s="45">
        <f t="shared" si="95"/>
        <v>0.2</v>
      </c>
      <c r="O176" s="49">
        <v>90</v>
      </c>
      <c r="P176" s="54">
        <f>K176</f>
        <v>160</v>
      </c>
      <c r="Q176" s="44">
        <f t="shared" si="96"/>
        <v>150</v>
      </c>
      <c r="R176" s="50">
        <f t="shared" si="96"/>
        <v>270</v>
      </c>
    </row>
    <row r="177" spans="1:18" x14ac:dyDescent="0.25">
      <c r="A177" s="41">
        <f t="shared" si="92"/>
        <v>1025</v>
      </c>
      <c r="B177" s="42">
        <f t="shared" si="92"/>
        <v>167</v>
      </c>
      <c r="C177" s="41" t="s">
        <v>2036</v>
      </c>
      <c r="D177" s="43">
        <f t="shared" si="83"/>
        <v>20</v>
      </c>
      <c r="E177" s="61">
        <f t="shared" si="74"/>
        <v>2.8840000000000003</v>
      </c>
      <c r="F177" s="61">
        <f t="shared" si="75"/>
        <v>42</v>
      </c>
      <c r="G177" s="64">
        <f t="shared" si="76"/>
        <v>0.58988764044943809</v>
      </c>
      <c r="H177" s="44">
        <f t="shared" si="85"/>
        <v>31.11666081726781</v>
      </c>
      <c r="I177" s="42" t="str">
        <f t="shared" si="95"/>
        <v>Half</v>
      </c>
      <c r="J177" s="50">
        <f t="shared" si="95"/>
        <v>6</v>
      </c>
      <c r="K177" s="49">
        <f t="shared" si="95"/>
        <v>160</v>
      </c>
      <c r="L177" s="44">
        <f t="shared" si="95"/>
        <v>8</v>
      </c>
      <c r="M177" s="44">
        <f t="shared" si="95"/>
        <v>0</v>
      </c>
      <c r="N177" s="45">
        <f t="shared" si="95"/>
        <v>0.2</v>
      </c>
      <c r="O177" s="49">
        <v>90</v>
      </c>
      <c r="P177" s="54">
        <f>K177+3</f>
        <v>163</v>
      </c>
      <c r="Q177" s="44">
        <f t="shared" si="96"/>
        <v>150</v>
      </c>
      <c r="R177" s="50">
        <f t="shared" si="96"/>
        <v>270</v>
      </c>
    </row>
    <row r="178" spans="1:18" x14ac:dyDescent="0.25">
      <c r="A178" s="41">
        <f t="shared" si="92"/>
        <v>1026</v>
      </c>
      <c r="B178" s="42">
        <f t="shared" si="92"/>
        <v>168</v>
      </c>
      <c r="C178" s="127" t="s">
        <v>2037</v>
      </c>
      <c r="D178" s="43">
        <f t="shared" si="83"/>
        <v>20</v>
      </c>
      <c r="E178" s="61">
        <f t="shared" si="74"/>
        <v>2.8840000000000003</v>
      </c>
      <c r="F178" s="61">
        <f t="shared" si="75"/>
        <v>42</v>
      </c>
      <c r="G178" s="64">
        <f t="shared" si="76"/>
        <v>0.58988764044943809</v>
      </c>
      <c r="H178" s="44">
        <f t="shared" si="85"/>
        <v>31.11666081726781</v>
      </c>
      <c r="I178" s="42" t="str">
        <f t="shared" si="95"/>
        <v>Half</v>
      </c>
      <c r="J178" s="50">
        <f t="shared" si="95"/>
        <v>6</v>
      </c>
      <c r="K178" s="49">
        <f t="shared" si="95"/>
        <v>160</v>
      </c>
      <c r="L178" s="44">
        <f t="shared" si="95"/>
        <v>8</v>
      </c>
      <c r="M178" s="44">
        <f t="shared" si="95"/>
        <v>0</v>
      </c>
      <c r="N178" s="45">
        <f t="shared" si="95"/>
        <v>0.2</v>
      </c>
      <c r="O178" s="49">
        <v>90</v>
      </c>
      <c r="P178" s="54">
        <f>K178+6</f>
        <v>166</v>
      </c>
      <c r="Q178" s="44">
        <f t="shared" si="96"/>
        <v>150</v>
      </c>
      <c r="R178" s="50">
        <f t="shared" si="96"/>
        <v>270</v>
      </c>
    </row>
    <row r="179" spans="1:18" x14ac:dyDescent="0.25">
      <c r="A179" s="41">
        <f t="shared" si="92"/>
        <v>1027</v>
      </c>
      <c r="B179" s="42">
        <f t="shared" si="92"/>
        <v>169</v>
      </c>
      <c r="C179" s="41" t="s">
        <v>2038</v>
      </c>
      <c r="D179" s="43">
        <f t="shared" si="83"/>
        <v>20</v>
      </c>
      <c r="E179" s="61">
        <f t="shared" si="74"/>
        <v>2.8840000000000003</v>
      </c>
      <c r="F179" s="61">
        <f t="shared" si="75"/>
        <v>42</v>
      </c>
      <c r="G179" s="64">
        <f t="shared" si="76"/>
        <v>0.58988764044943809</v>
      </c>
      <c r="H179" s="44">
        <f>6.4*ATAN(E179/D179*G179)/PI()*180</f>
        <v>31.11666081726781</v>
      </c>
      <c r="I179" s="42" t="str">
        <f t="shared" si="95"/>
        <v>Half</v>
      </c>
      <c r="J179" s="50">
        <f t="shared" si="95"/>
        <v>6</v>
      </c>
      <c r="K179" s="49">
        <f t="shared" si="95"/>
        <v>160</v>
      </c>
      <c r="L179" s="44">
        <f t="shared" si="95"/>
        <v>8</v>
      </c>
      <c r="M179" s="44">
        <f>yaw_max</f>
        <v>8</v>
      </c>
      <c r="N179" s="45">
        <f t="shared" si="95"/>
        <v>0.2</v>
      </c>
      <c r="O179" s="49">
        <v>0</v>
      </c>
      <c r="P179" s="54">
        <f>K179</f>
        <v>160</v>
      </c>
      <c r="Q179" s="44">
        <f t="shared" si="96"/>
        <v>150</v>
      </c>
      <c r="R179" s="50">
        <f t="shared" si="96"/>
        <v>270</v>
      </c>
    </row>
    <row r="180" spans="1:18" x14ac:dyDescent="0.25">
      <c r="A180" s="41">
        <f t="shared" si="92"/>
        <v>1028</v>
      </c>
      <c r="B180" s="42">
        <f t="shared" si="92"/>
        <v>170</v>
      </c>
      <c r="C180" s="41" t="s">
        <v>2039</v>
      </c>
      <c r="D180" s="43">
        <f t="shared" si="83"/>
        <v>20</v>
      </c>
      <c r="E180" s="61">
        <f t="shared" si="74"/>
        <v>2.8840000000000003</v>
      </c>
      <c r="F180" s="61">
        <f t="shared" si="75"/>
        <v>42</v>
      </c>
      <c r="G180" s="64">
        <f t="shared" si="76"/>
        <v>0.58988764044943809</v>
      </c>
      <c r="H180" s="44">
        <f t="shared" si="85"/>
        <v>31.11666081726781</v>
      </c>
      <c r="I180" s="42" t="str">
        <f t="shared" si="95"/>
        <v>Half</v>
      </c>
      <c r="J180" s="50">
        <f t="shared" si="95"/>
        <v>6</v>
      </c>
      <c r="K180" s="49">
        <f t="shared" si="95"/>
        <v>160</v>
      </c>
      <c r="L180" s="44">
        <f t="shared" si="95"/>
        <v>8</v>
      </c>
      <c r="M180" s="44">
        <f t="shared" si="95"/>
        <v>8</v>
      </c>
      <c r="N180" s="45">
        <f t="shared" si="95"/>
        <v>0.2</v>
      </c>
      <c r="O180" s="49">
        <v>0</v>
      </c>
      <c r="P180" s="54">
        <f>K180+3</f>
        <v>163</v>
      </c>
      <c r="Q180" s="44">
        <f t="shared" si="96"/>
        <v>150</v>
      </c>
      <c r="R180" s="50">
        <f t="shared" si="96"/>
        <v>270</v>
      </c>
    </row>
    <row r="181" spans="1:18" x14ac:dyDescent="0.25">
      <c r="A181" s="41">
        <f t="shared" si="92"/>
        <v>1029</v>
      </c>
      <c r="B181" s="42">
        <f t="shared" si="92"/>
        <v>171</v>
      </c>
      <c r="C181" s="41" t="s">
        <v>2040</v>
      </c>
      <c r="D181" s="43">
        <f t="shared" si="83"/>
        <v>20</v>
      </c>
      <c r="E181" s="61">
        <f t="shared" si="74"/>
        <v>2.8840000000000003</v>
      </c>
      <c r="F181" s="61">
        <f t="shared" si="75"/>
        <v>42</v>
      </c>
      <c r="G181" s="64">
        <f t="shared" si="76"/>
        <v>0.58988764044943809</v>
      </c>
      <c r="H181" s="44">
        <f t="shared" si="85"/>
        <v>31.11666081726781</v>
      </c>
      <c r="I181" s="42" t="str">
        <f t="shared" si="95"/>
        <v>Half</v>
      </c>
      <c r="J181" s="50">
        <f t="shared" si="95"/>
        <v>6</v>
      </c>
      <c r="K181" s="49">
        <f t="shared" si="95"/>
        <v>160</v>
      </c>
      <c r="L181" s="44">
        <f t="shared" si="95"/>
        <v>8</v>
      </c>
      <c r="M181" s="44">
        <f t="shared" si="95"/>
        <v>8</v>
      </c>
      <c r="N181" s="45">
        <f t="shared" si="95"/>
        <v>0.2</v>
      </c>
      <c r="O181" s="49">
        <v>0</v>
      </c>
      <c r="P181" s="54">
        <f>K181+6</f>
        <v>166</v>
      </c>
      <c r="Q181" s="44">
        <f t="shared" si="96"/>
        <v>150</v>
      </c>
      <c r="R181" s="50">
        <f t="shared" si="96"/>
        <v>270</v>
      </c>
    </row>
    <row r="182" spans="1:18" x14ac:dyDescent="0.25">
      <c r="A182" s="41">
        <f t="shared" si="92"/>
        <v>1030</v>
      </c>
      <c r="B182" s="42">
        <f t="shared" si="92"/>
        <v>172</v>
      </c>
      <c r="C182" s="41" t="s">
        <v>2041</v>
      </c>
      <c r="D182" s="43">
        <f t="shared" si="83"/>
        <v>20</v>
      </c>
      <c r="E182" s="61">
        <f t="shared" si="74"/>
        <v>2.8840000000000003</v>
      </c>
      <c r="F182" s="61">
        <f t="shared" si="75"/>
        <v>42</v>
      </c>
      <c r="G182" s="64">
        <f t="shared" si="76"/>
        <v>0.58988764044943809</v>
      </c>
      <c r="H182" s="44">
        <f t="shared" si="85"/>
        <v>31.11666081726781</v>
      </c>
      <c r="I182" s="42" t="str">
        <f t="shared" si="95"/>
        <v>Half</v>
      </c>
      <c r="J182" s="50">
        <f t="shared" si="95"/>
        <v>6</v>
      </c>
      <c r="K182" s="49">
        <f t="shared" si="95"/>
        <v>160</v>
      </c>
      <c r="L182" s="44">
        <f t="shared" si="95"/>
        <v>8</v>
      </c>
      <c r="M182" s="44">
        <f t="shared" si="95"/>
        <v>8</v>
      </c>
      <c r="N182" s="45">
        <f t="shared" si="95"/>
        <v>0.2</v>
      </c>
      <c r="O182" s="49">
        <v>30</v>
      </c>
      <c r="P182" s="54">
        <f>K182</f>
        <v>160</v>
      </c>
      <c r="Q182" s="44">
        <f t="shared" si="96"/>
        <v>150</v>
      </c>
      <c r="R182" s="50">
        <f t="shared" si="96"/>
        <v>270</v>
      </c>
    </row>
    <row r="183" spans="1:18" x14ac:dyDescent="0.25">
      <c r="A183" s="41">
        <f t="shared" si="92"/>
        <v>1031</v>
      </c>
      <c r="B183" s="42">
        <f t="shared" si="92"/>
        <v>173</v>
      </c>
      <c r="C183" s="41" t="s">
        <v>2042</v>
      </c>
      <c r="D183" s="43">
        <f t="shared" si="83"/>
        <v>20</v>
      </c>
      <c r="E183" s="61">
        <f t="shared" si="74"/>
        <v>2.8840000000000003</v>
      </c>
      <c r="F183" s="61">
        <f t="shared" si="75"/>
        <v>42</v>
      </c>
      <c r="G183" s="64">
        <f t="shared" si="76"/>
        <v>0.58988764044943809</v>
      </c>
      <c r="H183" s="44">
        <f t="shared" si="85"/>
        <v>31.11666081726781</v>
      </c>
      <c r="I183" s="42" t="str">
        <f t="shared" si="95"/>
        <v>Half</v>
      </c>
      <c r="J183" s="50">
        <f t="shared" si="95"/>
        <v>6</v>
      </c>
      <c r="K183" s="49">
        <f t="shared" si="95"/>
        <v>160</v>
      </c>
      <c r="L183" s="44">
        <f t="shared" si="95"/>
        <v>8</v>
      </c>
      <c r="M183" s="44">
        <f t="shared" si="95"/>
        <v>8</v>
      </c>
      <c r="N183" s="45">
        <f t="shared" si="95"/>
        <v>0.2</v>
      </c>
      <c r="O183" s="49">
        <v>30</v>
      </c>
      <c r="P183" s="54">
        <f>K183+3</f>
        <v>163</v>
      </c>
      <c r="Q183" s="44">
        <f t="shared" si="96"/>
        <v>150</v>
      </c>
      <c r="R183" s="50">
        <f t="shared" si="96"/>
        <v>270</v>
      </c>
    </row>
    <row r="184" spans="1:18" x14ac:dyDescent="0.25">
      <c r="A184" s="41">
        <f t="shared" si="92"/>
        <v>1032</v>
      </c>
      <c r="B184" s="42">
        <f t="shared" si="92"/>
        <v>174</v>
      </c>
      <c r="C184" s="41" t="s">
        <v>2043</v>
      </c>
      <c r="D184" s="43">
        <f t="shared" si="83"/>
        <v>20</v>
      </c>
      <c r="E184" s="61">
        <f t="shared" si="74"/>
        <v>2.8840000000000003</v>
      </c>
      <c r="F184" s="61">
        <f t="shared" si="75"/>
        <v>42</v>
      </c>
      <c r="G184" s="64">
        <f t="shared" si="76"/>
        <v>0.58988764044943809</v>
      </c>
      <c r="H184" s="44">
        <f t="shared" si="85"/>
        <v>31.11666081726781</v>
      </c>
      <c r="I184" s="42" t="str">
        <f t="shared" si="95"/>
        <v>Half</v>
      </c>
      <c r="J184" s="50">
        <f t="shared" si="95"/>
        <v>6</v>
      </c>
      <c r="K184" s="49">
        <f t="shared" si="95"/>
        <v>160</v>
      </c>
      <c r="L184" s="44">
        <f t="shared" si="95"/>
        <v>8</v>
      </c>
      <c r="M184" s="44">
        <f t="shared" si="95"/>
        <v>8</v>
      </c>
      <c r="N184" s="45">
        <f t="shared" si="95"/>
        <v>0.2</v>
      </c>
      <c r="O184" s="49">
        <v>30</v>
      </c>
      <c r="P184" s="54">
        <f>K184+6</f>
        <v>166</v>
      </c>
      <c r="Q184" s="44">
        <f t="shared" si="96"/>
        <v>150</v>
      </c>
      <c r="R184" s="50">
        <f t="shared" si="96"/>
        <v>270</v>
      </c>
    </row>
    <row r="185" spans="1:18" x14ac:dyDescent="0.25">
      <c r="A185" s="41">
        <f t="shared" si="92"/>
        <v>1033</v>
      </c>
      <c r="B185" s="42">
        <f t="shared" si="92"/>
        <v>175</v>
      </c>
      <c r="C185" s="41" t="s">
        <v>2044</v>
      </c>
      <c r="D185" s="43">
        <f t="shared" si="83"/>
        <v>20</v>
      </c>
      <c r="E185" s="61">
        <f t="shared" si="74"/>
        <v>2.8840000000000003</v>
      </c>
      <c r="F185" s="61">
        <f t="shared" si="75"/>
        <v>42</v>
      </c>
      <c r="G185" s="64">
        <f t="shared" si="76"/>
        <v>0.58988764044943809</v>
      </c>
      <c r="H185" s="44">
        <f t="shared" si="85"/>
        <v>31.11666081726781</v>
      </c>
      <c r="I185" s="42" t="str">
        <f t="shared" si="95"/>
        <v>Half</v>
      </c>
      <c r="J185" s="50">
        <f t="shared" si="95"/>
        <v>6</v>
      </c>
      <c r="K185" s="49">
        <f t="shared" si="95"/>
        <v>160</v>
      </c>
      <c r="L185" s="44">
        <f t="shared" si="95"/>
        <v>8</v>
      </c>
      <c r="M185" s="44">
        <f t="shared" si="95"/>
        <v>8</v>
      </c>
      <c r="N185" s="45">
        <f t="shared" si="95"/>
        <v>0.2</v>
      </c>
      <c r="O185" s="49">
        <v>60</v>
      </c>
      <c r="P185" s="54">
        <f>K185</f>
        <v>160</v>
      </c>
      <c r="Q185" s="44">
        <f t="shared" si="96"/>
        <v>150</v>
      </c>
      <c r="R185" s="50">
        <f t="shared" si="96"/>
        <v>270</v>
      </c>
    </row>
    <row r="186" spans="1:18" x14ac:dyDescent="0.25">
      <c r="A186" s="41">
        <f t="shared" si="92"/>
        <v>1034</v>
      </c>
      <c r="B186" s="42">
        <f t="shared" si="92"/>
        <v>176</v>
      </c>
      <c r="C186" s="41" t="s">
        <v>2045</v>
      </c>
      <c r="D186" s="43">
        <f t="shared" si="83"/>
        <v>20</v>
      </c>
      <c r="E186" s="61">
        <f t="shared" si="74"/>
        <v>2.8840000000000003</v>
      </c>
      <c r="F186" s="61">
        <f t="shared" si="75"/>
        <v>42</v>
      </c>
      <c r="G186" s="64">
        <f t="shared" si="76"/>
        <v>0.58988764044943809</v>
      </c>
      <c r="H186" s="44">
        <f t="shared" si="85"/>
        <v>31.11666081726781</v>
      </c>
      <c r="I186" s="42" t="str">
        <f t="shared" si="95"/>
        <v>Half</v>
      </c>
      <c r="J186" s="50">
        <f t="shared" si="95"/>
        <v>6</v>
      </c>
      <c r="K186" s="49">
        <f t="shared" si="95"/>
        <v>160</v>
      </c>
      <c r="L186" s="44">
        <f t="shared" si="95"/>
        <v>8</v>
      </c>
      <c r="M186" s="44">
        <f t="shared" si="95"/>
        <v>8</v>
      </c>
      <c r="N186" s="45">
        <f t="shared" si="95"/>
        <v>0.2</v>
      </c>
      <c r="O186" s="49">
        <v>60</v>
      </c>
      <c r="P186" s="54">
        <f>K186+3</f>
        <v>163</v>
      </c>
      <c r="Q186" s="44">
        <f t="shared" si="96"/>
        <v>150</v>
      </c>
      <c r="R186" s="50">
        <f t="shared" si="96"/>
        <v>270</v>
      </c>
    </row>
    <row r="187" spans="1:18" x14ac:dyDescent="0.25">
      <c r="A187" s="41">
        <f t="shared" si="92"/>
        <v>1035</v>
      </c>
      <c r="B187" s="42">
        <f t="shared" si="92"/>
        <v>177</v>
      </c>
      <c r="C187" s="41" t="s">
        <v>2046</v>
      </c>
      <c r="D187" s="43">
        <f t="shared" ref="D187:D218" si="97">v_c</f>
        <v>20</v>
      </c>
      <c r="E187" s="61">
        <f t="shared" si="74"/>
        <v>2.8840000000000003</v>
      </c>
      <c r="F187" s="61">
        <f t="shared" si="75"/>
        <v>42</v>
      </c>
      <c r="G187" s="64">
        <f t="shared" si="76"/>
        <v>0.58988764044943809</v>
      </c>
      <c r="H187" s="44">
        <f t="shared" si="85"/>
        <v>31.11666081726781</v>
      </c>
      <c r="I187" s="42" t="s">
        <v>12</v>
      </c>
      <c r="J187" s="50">
        <f t="shared" ref="J187" si="98">J186</f>
        <v>6</v>
      </c>
      <c r="K187" s="49">
        <f t="shared" si="95"/>
        <v>160</v>
      </c>
      <c r="L187" s="44">
        <f t="shared" si="95"/>
        <v>8</v>
      </c>
      <c r="M187" s="44">
        <f t="shared" si="95"/>
        <v>8</v>
      </c>
      <c r="N187" s="45">
        <f t="shared" si="95"/>
        <v>0.2</v>
      </c>
      <c r="O187" s="49">
        <v>60</v>
      </c>
      <c r="P187" s="54">
        <f>K187+6</f>
        <v>166</v>
      </c>
      <c r="Q187" s="44">
        <f t="shared" si="96"/>
        <v>150</v>
      </c>
      <c r="R187" s="50">
        <f t="shared" si="96"/>
        <v>270</v>
      </c>
    </row>
    <row r="188" spans="1:18" x14ac:dyDescent="0.25">
      <c r="A188" s="41">
        <f t="shared" ref="A188:B203" si="99">A187+1</f>
        <v>1036</v>
      </c>
      <c r="B188" s="42">
        <f t="shared" si="99"/>
        <v>178</v>
      </c>
      <c r="C188" s="41" t="s">
        <v>2047</v>
      </c>
      <c r="D188" s="43">
        <f t="shared" si="97"/>
        <v>20</v>
      </c>
      <c r="E188" s="61">
        <f t="shared" si="74"/>
        <v>2.8840000000000003</v>
      </c>
      <c r="F188" s="61">
        <f t="shared" si="75"/>
        <v>42</v>
      </c>
      <c r="G188" s="64">
        <f t="shared" si="76"/>
        <v>0.58988764044943809</v>
      </c>
      <c r="H188" s="44">
        <f t="shared" si="85"/>
        <v>31.11666081726781</v>
      </c>
      <c r="I188" s="42" t="str">
        <f>I187</f>
        <v>Half</v>
      </c>
      <c r="J188" s="50">
        <f t="shared" ref="J188" si="100">J187</f>
        <v>6</v>
      </c>
      <c r="K188" s="49">
        <f t="shared" ref="K188:N188" si="101">K187</f>
        <v>160</v>
      </c>
      <c r="L188" s="44">
        <f t="shared" si="101"/>
        <v>8</v>
      </c>
      <c r="M188" s="44">
        <f t="shared" si="101"/>
        <v>8</v>
      </c>
      <c r="N188" s="45">
        <f t="shared" si="101"/>
        <v>0.2</v>
      </c>
      <c r="O188" s="49">
        <v>90</v>
      </c>
      <c r="P188" s="54">
        <f>K188</f>
        <v>160</v>
      </c>
      <c r="Q188" s="44">
        <f t="shared" si="96"/>
        <v>150</v>
      </c>
      <c r="R188" s="50">
        <f t="shared" si="96"/>
        <v>270</v>
      </c>
    </row>
    <row r="189" spans="1:18" x14ac:dyDescent="0.25">
      <c r="A189" s="41">
        <f t="shared" si="99"/>
        <v>1037</v>
      </c>
      <c r="B189" s="42">
        <f t="shared" si="99"/>
        <v>179</v>
      </c>
      <c r="C189" s="41" t="s">
        <v>2048</v>
      </c>
      <c r="D189" s="43">
        <f t="shared" si="97"/>
        <v>20</v>
      </c>
      <c r="E189" s="61">
        <f t="shared" si="74"/>
        <v>2.8840000000000003</v>
      </c>
      <c r="F189" s="61">
        <f t="shared" si="75"/>
        <v>42</v>
      </c>
      <c r="G189" s="64">
        <f t="shared" si="76"/>
        <v>0.58988764044943809</v>
      </c>
      <c r="H189" s="44">
        <f t="shared" si="85"/>
        <v>31.11666081726781</v>
      </c>
      <c r="I189" s="42" t="str">
        <f t="shared" ref="I189:N203" si="102">I188</f>
        <v>Half</v>
      </c>
      <c r="J189" s="50">
        <f t="shared" si="102"/>
        <v>6</v>
      </c>
      <c r="K189" s="49">
        <f t="shared" si="102"/>
        <v>160</v>
      </c>
      <c r="L189" s="44">
        <f t="shared" si="102"/>
        <v>8</v>
      </c>
      <c r="M189" s="44">
        <f t="shared" si="102"/>
        <v>8</v>
      </c>
      <c r="N189" s="45">
        <f t="shared" si="102"/>
        <v>0.2</v>
      </c>
      <c r="O189" s="49">
        <v>90</v>
      </c>
      <c r="P189" s="54">
        <f>K189+3</f>
        <v>163</v>
      </c>
      <c r="Q189" s="44">
        <f t="shared" ref="Q189:R204" si="103">Q188</f>
        <v>150</v>
      </c>
      <c r="R189" s="50">
        <f t="shared" si="103"/>
        <v>270</v>
      </c>
    </row>
    <row r="190" spans="1:18" x14ac:dyDescent="0.25">
      <c r="A190" s="41">
        <f t="shared" si="99"/>
        <v>1038</v>
      </c>
      <c r="B190" s="42">
        <f t="shared" si="99"/>
        <v>180</v>
      </c>
      <c r="C190" s="41" t="s">
        <v>2049</v>
      </c>
      <c r="D190" s="43">
        <f t="shared" si="97"/>
        <v>20</v>
      </c>
      <c r="E190" s="61">
        <f t="shared" si="74"/>
        <v>2.8840000000000003</v>
      </c>
      <c r="F190" s="61">
        <f t="shared" si="75"/>
        <v>42</v>
      </c>
      <c r="G190" s="64">
        <f t="shared" si="76"/>
        <v>0.58988764044943809</v>
      </c>
      <c r="H190" s="44">
        <f t="shared" si="85"/>
        <v>31.11666081726781</v>
      </c>
      <c r="I190" s="42" t="str">
        <f t="shared" si="102"/>
        <v>Half</v>
      </c>
      <c r="J190" s="50">
        <f t="shared" si="102"/>
        <v>6</v>
      </c>
      <c r="K190" s="49">
        <f t="shared" si="102"/>
        <v>160</v>
      </c>
      <c r="L190" s="44">
        <f t="shared" si="102"/>
        <v>8</v>
      </c>
      <c r="M190" s="44">
        <f t="shared" si="102"/>
        <v>8</v>
      </c>
      <c r="N190" s="45">
        <f t="shared" si="102"/>
        <v>0.2</v>
      </c>
      <c r="O190" s="49">
        <v>90</v>
      </c>
      <c r="P190" s="54">
        <f>K190+6</f>
        <v>166</v>
      </c>
      <c r="Q190" s="44">
        <f t="shared" si="103"/>
        <v>150</v>
      </c>
      <c r="R190" s="50">
        <f t="shared" si="103"/>
        <v>270</v>
      </c>
    </row>
    <row r="191" spans="1:18" x14ac:dyDescent="0.25">
      <c r="A191" s="41">
        <f t="shared" si="99"/>
        <v>1039</v>
      </c>
      <c r="B191" s="42">
        <f t="shared" si="99"/>
        <v>181</v>
      </c>
      <c r="C191" s="41" t="s">
        <v>2050</v>
      </c>
      <c r="D191" s="43">
        <f t="shared" si="97"/>
        <v>20</v>
      </c>
      <c r="E191" s="61">
        <f t="shared" si="74"/>
        <v>2.8840000000000003</v>
      </c>
      <c r="F191" s="61">
        <f t="shared" si="75"/>
        <v>42</v>
      </c>
      <c r="G191" s="64">
        <f t="shared" si="76"/>
        <v>0.58988764044943809</v>
      </c>
      <c r="H191" s="44">
        <f>-6.4*ATAN(E191/D191*G191)/PI()*180</f>
        <v>-31.11666081726781</v>
      </c>
      <c r="I191" s="42" t="str">
        <f t="shared" si="102"/>
        <v>Half</v>
      </c>
      <c r="J191" s="50">
        <f t="shared" si="102"/>
        <v>6</v>
      </c>
      <c r="K191" s="49">
        <f t="shared" si="102"/>
        <v>160</v>
      </c>
      <c r="L191" s="44">
        <f t="shared" si="102"/>
        <v>8</v>
      </c>
      <c r="M191" s="44">
        <f>yaw_min</f>
        <v>-8</v>
      </c>
      <c r="N191" s="45">
        <f t="shared" si="102"/>
        <v>0.2</v>
      </c>
      <c r="O191" s="49">
        <v>0</v>
      </c>
      <c r="P191" s="54">
        <f>K191</f>
        <v>160</v>
      </c>
      <c r="Q191" s="44">
        <f t="shared" si="103"/>
        <v>150</v>
      </c>
      <c r="R191" s="50">
        <f t="shared" si="103"/>
        <v>270</v>
      </c>
    </row>
    <row r="192" spans="1:18" x14ac:dyDescent="0.25">
      <c r="A192" s="41">
        <f t="shared" si="99"/>
        <v>1040</v>
      </c>
      <c r="B192" s="42">
        <f t="shared" si="99"/>
        <v>182</v>
      </c>
      <c r="C192" s="41" t="s">
        <v>2051</v>
      </c>
      <c r="D192" s="43">
        <f t="shared" si="97"/>
        <v>20</v>
      </c>
      <c r="E192" s="61">
        <f t="shared" si="74"/>
        <v>2.8840000000000003</v>
      </c>
      <c r="F192" s="61">
        <f t="shared" si="75"/>
        <v>42</v>
      </c>
      <c r="G192" s="64">
        <f t="shared" si="76"/>
        <v>0.58988764044943809</v>
      </c>
      <c r="H192" s="44">
        <f t="shared" ref="H192:H226" si="104">-6.4*ATAN(E192/D192*G192)/PI()*180</f>
        <v>-31.11666081726781</v>
      </c>
      <c r="I192" s="42" t="str">
        <f t="shared" si="102"/>
        <v>Half</v>
      </c>
      <c r="J192" s="50">
        <f t="shared" si="102"/>
        <v>6</v>
      </c>
      <c r="K192" s="49">
        <f t="shared" si="102"/>
        <v>160</v>
      </c>
      <c r="L192" s="44">
        <f t="shared" si="102"/>
        <v>8</v>
      </c>
      <c r="M192" s="44">
        <f t="shared" si="102"/>
        <v>-8</v>
      </c>
      <c r="N192" s="45">
        <f t="shared" si="102"/>
        <v>0.2</v>
      </c>
      <c r="O192" s="49">
        <v>0</v>
      </c>
      <c r="P192" s="54">
        <f>K192+3</f>
        <v>163</v>
      </c>
      <c r="Q192" s="44">
        <f t="shared" si="103"/>
        <v>150</v>
      </c>
      <c r="R192" s="50">
        <f t="shared" si="103"/>
        <v>270</v>
      </c>
    </row>
    <row r="193" spans="1:18" x14ac:dyDescent="0.25">
      <c r="A193" s="41">
        <f t="shared" si="99"/>
        <v>1041</v>
      </c>
      <c r="B193" s="42">
        <f t="shared" si="99"/>
        <v>183</v>
      </c>
      <c r="C193" s="41" t="s">
        <v>2052</v>
      </c>
      <c r="D193" s="43">
        <f t="shared" si="97"/>
        <v>20</v>
      </c>
      <c r="E193" s="61">
        <f t="shared" si="74"/>
        <v>2.8840000000000003</v>
      </c>
      <c r="F193" s="61">
        <f t="shared" si="75"/>
        <v>42</v>
      </c>
      <c r="G193" s="64">
        <f t="shared" si="76"/>
        <v>0.58988764044943809</v>
      </c>
      <c r="H193" s="44">
        <f t="shared" si="104"/>
        <v>-31.11666081726781</v>
      </c>
      <c r="I193" s="42" t="str">
        <f t="shared" si="102"/>
        <v>Half</v>
      </c>
      <c r="J193" s="50">
        <f t="shared" si="102"/>
        <v>6</v>
      </c>
      <c r="K193" s="49">
        <f t="shared" si="102"/>
        <v>160</v>
      </c>
      <c r="L193" s="44">
        <f t="shared" si="102"/>
        <v>8</v>
      </c>
      <c r="M193" s="44">
        <f t="shared" si="102"/>
        <v>-8</v>
      </c>
      <c r="N193" s="45">
        <f t="shared" si="102"/>
        <v>0.2</v>
      </c>
      <c r="O193" s="49">
        <v>0</v>
      </c>
      <c r="P193" s="54">
        <f>K193+6</f>
        <v>166</v>
      </c>
      <c r="Q193" s="44">
        <f t="shared" si="103"/>
        <v>150</v>
      </c>
      <c r="R193" s="50">
        <f t="shared" si="103"/>
        <v>270</v>
      </c>
    </row>
    <row r="194" spans="1:18" x14ac:dyDescent="0.25">
      <c r="A194" s="41">
        <f t="shared" si="99"/>
        <v>1042</v>
      </c>
      <c r="B194" s="42">
        <f t="shared" si="99"/>
        <v>184</v>
      </c>
      <c r="C194" s="41" t="s">
        <v>2053</v>
      </c>
      <c r="D194" s="43">
        <f t="shared" si="97"/>
        <v>20</v>
      </c>
      <c r="E194" s="61">
        <f t="shared" si="74"/>
        <v>2.8840000000000003</v>
      </c>
      <c r="F194" s="61">
        <f t="shared" si="75"/>
        <v>42</v>
      </c>
      <c r="G194" s="64">
        <f t="shared" si="76"/>
        <v>0.58988764044943809</v>
      </c>
      <c r="H194" s="44">
        <f t="shared" si="104"/>
        <v>-31.11666081726781</v>
      </c>
      <c r="I194" s="42" t="str">
        <f t="shared" si="102"/>
        <v>Half</v>
      </c>
      <c r="J194" s="50">
        <f t="shared" si="102"/>
        <v>6</v>
      </c>
      <c r="K194" s="49">
        <f t="shared" si="102"/>
        <v>160</v>
      </c>
      <c r="L194" s="44">
        <f t="shared" si="102"/>
        <v>8</v>
      </c>
      <c r="M194" s="44">
        <f t="shared" si="102"/>
        <v>-8</v>
      </c>
      <c r="N194" s="45">
        <f t="shared" si="102"/>
        <v>0.2</v>
      </c>
      <c r="O194" s="49">
        <v>30</v>
      </c>
      <c r="P194" s="54">
        <f>K194</f>
        <v>160</v>
      </c>
      <c r="Q194" s="44">
        <f t="shared" si="103"/>
        <v>150</v>
      </c>
      <c r="R194" s="50">
        <f t="shared" si="103"/>
        <v>270</v>
      </c>
    </row>
    <row r="195" spans="1:18" x14ac:dyDescent="0.25">
      <c r="A195" s="41">
        <f t="shared" si="99"/>
        <v>1043</v>
      </c>
      <c r="B195" s="42">
        <f t="shared" si="99"/>
        <v>185</v>
      </c>
      <c r="C195" s="41" t="s">
        <v>2054</v>
      </c>
      <c r="D195" s="43">
        <f t="shared" si="97"/>
        <v>20</v>
      </c>
      <c r="E195" s="61">
        <f t="shared" si="74"/>
        <v>2.8840000000000003</v>
      </c>
      <c r="F195" s="61">
        <f t="shared" si="75"/>
        <v>42</v>
      </c>
      <c r="G195" s="64">
        <f t="shared" si="76"/>
        <v>0.58988764044943809</v>
      </c>
      <c r="H195" s="44">
        <f t="shared" si="104"/>
        <v>-31.11666081726781</v>
      </c>
      <c r="I195" s="42" t="str">
        <f t="shared" si="102"/>
        <v>Half</v>
      </c>
      <c r="J195" s="50">
        <f t="shared" si="102"/>
        <v>6</v>
      </c>
      <c r="K195" s="49">
        <f t="shared" si="102"/>
        <v>160</v>
      </c>
      <c r="L195" s="44">
        <f t="shared" si="102"/>
        <v>8</v>
      </c>
      <c r="M195" s="44">
        <f t="shared" si="102"/>
        <v>-8</v>
      </c>
      <c r="N195" s="45">
        <f t="shared" si="102"/>
        <v>0.2</v>
      </c>
      <c r="O195" s="49">
        <v>30</v>
      </c>
      <c r="P195" s="54">
        <f>K195+3</f>
        <v>163</v>
      </c>
      <c r="Q195" s="44">
        <f t="shared" si="103"/>
        <v>150</v>
      </c>
      <c r="R195" s="50">
        <f t="shared" si="103"/>
        <v>270</v>
      </c>
    </row>
    <row r="196" spans="1:18" x14ac:dyDescent="0.25">
      <c r="A196" s="41">
        <f t="shared" si="99"/>
        <v>1044</v>
      </c>
      <c r="B196" s="42">
        <f t="shared" si="99"/>
        <v>186</v>
      </c>
      <c r="C196" s="41" t="s">
        <v>2055</v>
      </c>
      <c r="D196" s="43">
        <f t="shared" si="97"/>
        <v>20</v>
      </c>
      <c r="E196" s="61">
        <f t="shared" si="74"/>
        <v>2.8840000000000003</v>
      </c>
      <c r="F196" s="61">
        <f t="shared" si="75"/>
        <v>42</v>
      </c>
      <c r="G196" s="64">
        <f t="shared" si="76"/>
        <v>0.58988764044943809</v>
      </c>
      <c r="H196" s="44">
        <f t="shared" si="104"/>
        <v>-31.11666081726781</v>
      </c>
      <c r="I196" s="42" t="str">
        <f t="shared" si="102"/>
        <v>Half</v>
      </c>
      <c r="J196" s="50">
        <f t="shared" si="102"/>
        <v>6</v>
      </c>
      <c r="K196" s="49">
        <f t="shared" si="102"/>
        <v>160</v>
      </c>
      <c r="L196" s="44">
        <f t="shared" si="102"/>
        <v>8</v>
      </c>
      <c r="M196" s="44">
        <f t="shared" si="102"/>
        <v>-8</v>
      </c>
      <c r="N196" s="45">
        <f t="shared" si="102"/>
        <v>0.2</v>
      </c>
      <c r="O196" s="49">
        <v>30</v>
      </c>
      <c r="P196" s="54">
        <f>K196+6</f>
        <v>166</v>
      </c>
      <c r="Q196" s="44">
        <f t="shared" si="103"/>
        <v>150</v>
      </c>
      <c r="R196" s="50">
        <f t="shared" si="103"/>
        <v>270</v>
      </c>
    </row>
    <row r="197" spans="1:18" x14ac:dyDescent="0.25">
      <c r="A197" s="41">
        <f t="shared" si="99"/>
        <v>1045</v>
      </c>
      <c r="B197" s="42">
        <f t="shared" si="99"/>
        <v>187</v>
      </c>
      <c r="C197" s="41" t="s">
        <v>2056</v>
      </c>
      <c r="D197" s="43">
        <f t="shared" si="97"/>
        <v>20</v>
      </c>
      <c r="E197" s="61">
        <f t="shared" si="74"/>
        <v>2.8840000000000003</v>
      </c>
      <c r="F197" s="61">
        <f t="shared" si="75"/>
        <v>42</v>
      </c>
      <c r="G197" s="64">
        <f t="shared" si="76"/>
        <v>0.58988764044943809</v>
      </c>
      <c r="H197" s="44">
        <f t="shared" si="104"/>
        <v>-31.11666081726781</v>
      </c>
      <c r="I197" s="42" t="str">
        <f t="shared" si="102"/>
        <v>Half</v>
      </c>
      <c r="J197" s="50">
        <f t="shared" si="102"/>
        <v>6</v>
      </c>
      <c r="K197" s="49">
        <f t="shared" si="102"/>
        <v>160</v>
      </c>
      <c r="L197" s="44">
        <f t="shared" si="102"/>
        <v>8</v>
      </c>
      <c r="M197" s="44">
        <f t="shared" si="102"/>
        <v>-8</v>
      </c>
      <c r="N197" s="45">
        <f t="shared" si="102"/>
        <v>0.2</v>
      </c>
      <c r="O197" s="49">
        <v>60</v>
      </c>
      <c r="P197" s="54">
        <f>K197</f>
        <v>160</v>
      </c>
      <c r="Q197" s="44">
        <f t="shared" si="103"/>
        <v>150</v>
      </c>
      <c r="R197" s="50">
        <f t="shared" si="103"/>
        <v>270</v>
      </c>
    </row>
    <row r="198" spans="1:18" x14ac:dyDescent="0.25">
      <c r="A198" s="41">
        <f t="shared" si="99"/>
        <v>1046</v>
      </c>
      <c r="B198" s="42">
        <f t="shared" si="99"/>
        <v>188</v>
      </c>
      <c r="C198" s="41" t="s">
        <v>2057</v>
      </c>
      <c r="D198" s="43">
        <f t="shared" si="97"/>
        <v>20</v>
      </c>
      <c r="E198" s="61">
        <f t="shared" si="74"/>
        <v>2.8840000000000003</v>
      </c>
      <c r="F198" s="61">
        <f t="shared" si="75"/>
        <v>42</v>
      </c>
      <c r="G198" s="64">
        <f t="shared" si="76"/>
        <v>0.58988764044943809</v>
      </c>
      <c r="H198" s="44">
        <f t="shared" si="104"/>
        <v>-31.11666081726781</v>
      </c>
      <c r="I198" s="42" t="str">
        <f t="shared" si="102"/>
        <v>Half</v>
      </c>
      <c r="J198" s="50">
        <f t="shared" si="102"/>
        <v>6</v>
      </c>
      <c r="K198" s="49">
        <f t="shared" si="102"/>
        <v>160</v>
      </c>
      <c r="L198" s="44">
        <f t="shared" si="102"/>
        <v>8</v>
      </c>
      <c r="M198" s="44">
        <f t="shared" si="102"/>
        <v>-8</v>
      </c>
      <c r="N198" s="45">
        <f t="shared" si="102"/>
        <v>0.2</v>
      </c>
      <c r="O198" s="49">
        <v>60</v>
      </c>
      <c r="P198" s="54">
        <f>K198+3</f>
        <v>163</v>
      </c>
      <c r="Q198" s="44">
        <f t="shared" si="103"/>
        <v>150</v>
      </c>
      <c r="R198" s="50">
        <f t="shared" si="103"/>
        <v>270</v>
      </c>
    </row>
    <row r="199" spans="1:18" x14ac:dyDescent="0.25">
      <c r="A199" s="41">
        <f t="shared" si="99"/>
        <v>1047</v>
      </c>
      <c r="B199" s="42">
        <f t="shared" si="99"/>
        <v>189</v>
      </c>
      <c r="C199" s="41" t="s">
        <v>2058</v>
      </c>
      <c r="D199" s="43">
        <f t="shared" si="97"/>
        <v>20</v>
      </c>
      <c r="E199" s="61">
        <f t="shared" si="74"/>
        <v>2.8840000000000003</v>
      </c>
      <c r="F199" s="61">
        <f t="shared" si="75"/>
        <v>42</v>
      </c>
      <c r="G199" s="64">
        <f t="shared" si="76"/>
        <v>0.58988764044943809</v>
      </c>
      <c r="H199" s="44">
        <f t="shared" si="104"/>
        <v>-31.11666081726781</v>
      </c>
      <c r="I199" s="42" t="str">
        <f t="shared" si="102"/>
        <v>Half</v>
      </c>
      <c r="J199" s="50">
        <f t="shared" si="102"/>
        <v>6</v>
      </c>
      <c r="K199" s="49">
        <f t="shared" si="102"/>
        <v>160</v>
      </c>
      <c r="L199" s="44">
        <f t="shared" si="102"/>
        <v>8</v>
      </c>
      <c r="M199" s="44">
        <f t="shared" si="102"/>
        <v>-8</v>
      </c>
      <c r="N199" s="45">
        <f t="shared" si="102"/>
        <v>0.2</v>
      </c>
      <c r="O199" s="49">
        <v>60</v>
      </c>
      <c r="P199" s="54">
        <f>K199+6</f>
        <v>166</v>
      </c>
      <c r="Q199" s="44">
        <f t="shared" si="103"/>
        <v>150</v>
      </c>
      <c r="R199" s="50">
        <f t="shared" si="103"/>
        <v>270</v>
      </c>
    </row>
    <row r="200" spans="1:18" x14ac:dyDescent="0.25">
      <c r="A200" s="41">
        <f t="shared" si="99"/>
        <v>1048</v>
      </c>
      <c r="B200" s="42">
        <f t="shared" si="99"/>
        <v>190</v>
      </c>
      <c r="C200" s="41" t="s">
        <v>2059</v>
      </c>
      <c r="D200" s="43">
        <f t="shared" si="97"/>
        <v>20</v>
      </c>
      <c r="E200" s="61">
        <f t="shared" si="74"/>
        <v>2.8840000000000003</v>
      </c>
      <c r="F200" s="61">
        <f t="shared" si="75"/>
        <v>42</v>
      </c>
      <c r="G200" s="64">
        <f t="shared" si="76"/>
        <v>0.58988764044943809</v>
      </c>
      <c r="H200" s="44">
        <f t="shared" si="104"/>
        <v>-31.11666081726781</v>
      </c>
      <c r="I200" s="42" t="str">
        <f>I199</f>
        <v>Half</v>
      </c>
      <c r="J200" s="50">
        <f t="shared" ref="J200" si="105">J199</f>
        <v>6</v>
      </c>
      <c r="K200" s="49">
        <f t="shared" si="102"/>
        <v>160</v>
      </c>
      <c r="L200" s="44">
        <f t="shared" si="102"/>
        <v>8</v>
      </c>
      <c r="M200" s="44">
        <f t="shared" si="102"/>
        <v>-8</v>
      </c>
      <c r="N200" s="45">
        <f t="shared" si="102"/>
        <v>0.2</v>
      </c>
      <c r="O200" s="49">
        <v>90</v>
      </c>
      <c r="P200" s="54">
        <f>K200</f>
        <v>160</v>
      </c>
      <c r="Q200" s="44">
        <f t="shared" si="103"/>
        <v>150</v>
      </c>
      <c r="R200" s="50">
        <f t="shared" si="103"/>
        <v>270</v>
      </c>
    </row>
    <row r="201" spans="1:18" x14ac:dyDescent="0.25">
      <c r="A201" s="41">
        <f t="shared" si="99"/>
        <v>1049</v>
      </c>
      <c r="B201" s="42">
        <f t="shared" si="99"/>
        <v>191</v>
      </c>
      <c r="C201" s="41" t="s">
        <v>2060</v>
      </c>
      <c r="D201" s="43">
        <f t="shared" si="97"/>
        <v>20</v>
      </c>
      <c r="E201" s="61">
        <f t="shared" si="74"/>
        <v>2.8840000000000003</v>
      </c>
      <c r="F201" s="61">
        <f t="shared" si="75"/>
        <v>42</v>
      </c>
      <c r="G201" s="64">
        <f t="shared" si="76"/>
        <v>0.58988764044943809</v>
      </c>
      <c r="H201" s="44">
        <f t="shared" si="104"/>
        <v>-31.11666081726781</v>
      </c>
      <c r="I201" s="42" t="str">
        <f>I200</f>
        <v>Half</v>
      </c>
      <c r="J201" s="50">
        <f t="shared" ref="J201" si="106">J200</f>
        <v>6</v>
      </c>
      <c r="K201" s="49">
        <f t="shared" si="102"/>
        <v>160</v>
      </c>
      <c r="L201" s="44">
        <f t="shared" si="102"/>
        <v>8</v>
      </c>
      <c r="M201" s="44">
        <f t="shared" si="102"/>
        <v>-8</v>
      </c>
      <c r="N201" s="45">
        <f t="shared" si="102"/>
        <v>0.2</v>
      </c>
      <c r="O201" s="49">
        <v>90</v>
      </c>
      <c r="P201" s="54">
        <f>K201+3</f>
        <v>163</v>
      </c>
      <c r="Q201" s="44">
        <f t="shared" si="103"/>
        <v>150</v>
      </c>
      <c r="R201" s="50">
        <f t="shared" si="103"/>
        <v>270</v>
      </c>
    </row>
    <row r="202" spans="1:18" x14ac:dyDescent="0.25">
      <c r="A202" s="41">
        <f t="shared" si="99"/>
        <v>1050</v>
      </c>
      <c r="B202" s="42">
        <f t="shared" si="99"/>
        <v>192</v>
      </c>
      <c r="C202" s="127" t="s">
        <v>2061</v>
      </c>
      <c r="D202" s="43">
        <f t="shared" si="97"/>
        <v>20</v>
      </c>
      <c r="E202" s="61">
        <f t="shared" si="74"/>
        <v>2.8840000000000003</v>
      </c>
      <c r="F202" s="61">
        <f t="shared" si="75"/>
        <v>42</v>
      </c>
      <c r="G202" s="64">
        <f t="shared" si="76"/>
        <v>0.58988764044943809</v>
      </c>
      <c r="H202" s="44">
        <f t="shared" si="104"/>
        <v>-31.11666081726781</v>
      </c>
      <c r="I202" s="42" t="str">
        <f>I201</f>
        <v>Half</v>
      </c>
      <c r="J202" s="50">
        <f t="shared" ref="J202" si="107">J201</f>
        <v>6</v>
      </c>
      <c r="K202" s="49">
        <f t="shared" si="102"/>
        <v>160</v>
      </c>
      <c r="L202" s="44">
        <f t="shared" si="102"/>
        <v>8</v>
      </c>
      <c r="M202" s="44">
        <f t="shared" si="102"/>
        <v>-8</v>
      </c>
      <c r="N202" s="45">
        <f t="shared" si="102"/>
        <v>0.2</v>
      </c>
      <c r="O202" s="49">
        <v>90</v>
      </c>
      <c r="P202" s="54">
        <f>K202+6</f>
        <v>166</v>
      </c>
      <c r="Q202" s="44">
        <f t="shared" si="103"/>
        <v>150</v>
      </c>
      <c r="R202" s="50">
        <f t="shared" si="103"/>
        <v>270</v>
      </c>
    </row>
    <row r="203" spans="1:18" x14ac:dyDescent="0.25">
      <c r="A203" s="41">
        <f t="shared" si="99"/>
        <v>1051</v>
      </c>
      <c r="B203" s="42">
        <f t="shared" si="99"/>
        <v>193</v>
      </c>
      <c r="C203" s="41" t="s">
        <v>2062</v>
      </c>
      <c r="D203" s="43">
        <f t="shared" si="97"/>
        <v>20</v>
      </c>
      <c r="E203" s="61">
        <f t="shared" ref="E203:E266" si="108">I_ref*(0.75*D203+5.6)</f>
        <v>2.8840000000000003</v>
      </c>
      <c r="F203" s="61">
        <f t="shared" ref="F203:F266" si="109">tur_scale</f>
        <v>42</v>
      </c>
      <c r="G203" s="64">
        <f t="shared" ref="G203:G266" si="110">1/(1+0.2*(diameter/F203))</f>
        <v>0.58988764044943809</v>
      </c>
      <c r="H203" s="44">
        <f t="shared" si="104"/>
        <v>-31.11666081726781</v>
      </c>
      <c r="I203" s="42" t="str">
        <f t="shared" si="102"/>
        <v>Half</v>
      </c>
      <c r="J203" s="50">
        <f t="shared" si="102"/>
        <v>6</v>
      </c>
      <c r="K203" s="49">
        <f t="shared" si="102"/>
        <v>160</v>
      </c>
      <c r="L203" s="44">
        <f t="shared" si="102"/>
        <v>8</v>
      </c>
      <c r="M203" s="44">
        <f>yaw_null</f>
        <v>0</v>
      </c>
      <c r="N203" s="45">
        <f t="shared" si="102"/>
        <v>0.2</v>
      </c>
      <c r="O203" s="49">
        <v>0</v>
      </c>
      <c r="P203" s="54">
        <f>K203</f>
        <v>160</v>
      </c>
      <c r="Q203" s="44">
        <f t="shared" si="103"/>
        <v>150</v>
      </c>
      <c r="R203" s="50">
        <f t="shared" si="103"/>
        <v>270</v>
      </c>
    </row>
    <row r="204" spans="1:18" x14ac:dyDescent="0.25">
      <c r="A204" s="41">
        <f t="shared" ref="A204:B219" si="111">A203+1</f>
        <v>1052</v>
      </c>
      <c r="B204" s="42">
        <f t="shared" si="111"/>
        <v>194</v>
      </c>
      <c r="C204" s="41" t="s">
        <v>2063</v>
      </c>
      <c r="D204" s="43">
        <f t="shared" si="97"/>
        <v>20</v>
      </c>
      <c r="E204" s="61">
        <f t="shared" si="108"/>
        <v>2.8840000000000003</v>
      </c>
      <c r="F204" s="61">
        <f t="shared" si="109"/>
        <v>42</v>
      </c>
      <c r="G204" s="64">
        <f t="shared" si="110"/>
        <v>0.58988764044943809</v>
      </c>
      <c r="H204" s="44">
        <f t="shared" si="104"/>
        <v>-31.11666081726781</v>
      </c>
      <c r="I204" s="42" t="str">
        <f t="shared" ref="I204:N219" si="112">I203</f>
        <v>Half</v>
      </c>
      <c r="J204" s="50">
        <f t="shared" si="112"/>
        <v>6</v>
      </c>
      <c r="K204" s="49">
        <f t="shared" si="112"/>
        <v>160</v>
      </c>
      <c r="L204" s="44">
        <f t="shared" si="112"/>
        <v>8</v>
      </c>
      <c r="M204" s="44">
        <f t="shared" si="112"/>
        <v>0</v>
      </c>
      <c r="N204" s="45">
        <f t="shared" si="112"/>
        <v>0.2</v>
      </c>
      <c r="O204" s="49">
        <v>0</v>
      </c>
      <c r="P204" s="54">
        <f>K204+3</f>
        <v>163</v>
      </c>
      <c r="Q204" s="44">
        <f t="shared" si="103"/>
        <v>150</v>
      </c>
      <c r="R204" s="50">
        <f t="shared" si="103"/>
        <v>270</v>
      </c>
    </row>
    <row r="205" spans="1:18" x14ac:dyDescent="0.25">
      <c r="A205" s="41">
        <f t="shared" si="111"/>
        <v>1053</v>
      </c>
      <c r="B205" s="42">
        <f t="shared" si="111"/>
        <v>195</v>
      </c>
      <c r="C205" s="41" t="s">
        <v>2064</v>
      </c>
      <c r="D205" s="43">
        <f t="shared" si="97"/>
        <v>20</v>
      </c>
      <c r="E205" s="61">
        <f t="shared" si="108"/>
        <v>2.8840000000000003</v>
      </c>
      <c r="F205" s="61">
        <f t="shared" si="109"/>
        <v>42</v>
      </c>
      <c r="G205" s="64">
        <f t="shared" si="110"/>
        <v>0.58988764044943809</v>
      </c>
      <c r="H205" s="44">
        <f t="shared" si="104"/>
        <v>-31.11666081726781</v>
      </c>
      <c r="I205" s="42" t="str">
        <f t="shared" si="112"/>
        <v>Half</v>
      </c>
      <c r="J205" s="50">
        <f t="shared" si="112"/>
        <v>6</v>
      </c>
      <c r="K205" s="49">
        <f t="shared" si="112"/>
        <v>160</v>
      </c>
      <c r="L205" s="44">
        <f t="shared" si="112"/>
        <v>8</v>
      </c>
      <c r="M205" s="44">
        <f t="shared" si="112"/>
        <v>0</v>
      </c>
      <c r="N205" s="45">
        <f t="shared" si="112"/>
        <v>0.2</v>
      </c>
      <c r="O205" s="49">
        <v>0</v>
      </c>
      <c r="P205" s="54">
        <f>K205+6</f>
        <v>166</v>
      </c>
      <c r="Q205" s="44">
        <f t="shared" ref="Q205:R220" si="113">Q204</f>
        <v>150</v>
      </c>
      <c r="R205" s="50">
        <f t="shared" si="113"/>
        <v>270</v>
      </c>
    </row>
    <row r="206" spans="1:18" x14ac:dyDescent="0.25">
      <c r="A206" s="41">
        <f t="shared" si="111"/>
        <v>1054</v>
      </c>
      <c r="B206" s="42">
        <f t="shared" si="111"/>
        <v>196</v>
      </c>
      <c r="C206" s="41" t="s">
        <v>2065</v>
      </c>
      <c r="D206" s="43">
        <f t="shared" si="97"/>
        <v>20</v>
      </c>
      <c r="E206" s="61">
        <f t="shared" si="108"/>
        <v>2.8840000000000003</v>
      </c>
      <c r="F206" s="61">
        <f t="shared" si="109"/>
        <v>42</v>
      </c>
      <c r="G206" s="64">
        <f t="shared" si="110"/>
        <v>0.58988764044943809</v>
      </c>
      <c r="H206" s="44">
        <f t="shared" si="104"/>
        <v>-31.11666081726781</v>
      </c>
      <c r="I206" s="42" t="str">
        <f t="shared" si="112"/>
        <v>Half</v>
      </c>
      <c r="J206" s="50">
        <f t="shared" si="112"/>
        <v>6</v>
      </c>
      <c r="K206" s="49">
        <f t="shared" si="112"/>
        <v>160</v>
      </c>
      <c r="L206" s="44">
        <f t="shared" si="112"/>
        <v>8</v>
      </c>
      <c r="M206" s="44">
        <f t="shared" si="112"/>
        <v>0</v>
      </c>
      <c r="N206" s="45">
        <f t="shared" si="112"/>
        <v>0.2</v>
      </c>
      <c r="O206" s="49">
        <v>30</v>
      </c>
      <c r="P206" s="54">
        <f>K206</f>
        <v>160</v>
      </c>
      <c r="Q206" s="44">
        <f t="shared" si="113"/>
        <v>150</v>
      </c>
      <c r="R206" s="50">
        <f t="shared" si="113"/>
        <v>270</v>
      </c>
    </row>
    <row r="207" spans="1:18" x14ac:dyDescent="0.25">
      <c r="A207" s="41">
        <f t="shared" si="111"/>
        <v>1055</v>
      </c>
      <c r="B207" s="42">
        <f t="shared" si="111"/>
        <v>197</v>
      </c>
      <c r="C207" s="41" t="s">
        <v>2066</v>
      </c>
      <c r="D207" s="43">
        <f t="shared" si="97"/>
        <v>20</v>
      </c>
      <c r="E207" s="61">
        <f t="shared" si="108"/>
        <v>2.8840000000000003</v>
      </c>
      <c r="F207" s="61">
        <f t="shared" si="109"/>
        <v>42</v>
      </c>
      <c r="G207" s="64">
        <f t="shared" si="110"/>
        <v>0.58988764044943809</v>
      </c>
      <c r="H207" s="44">
        <f t="shared" si="104"/>
        <v>-31.11666081726781</v>
      </c>
      <c r="I207" s="42" t="s">
        <v>12</v>
      </c>
      <c r="J207" s="50">
        <f t="shared" ref="J207" si="114">J206</f>
        <v>6</v>
      </c>
      <c r="K207" s="49">
        <f t="shared" si="112"/>
        <v>160</v>
      </c>
      <c r="L207" s="44">
        <f t="shared" si="112"/>
        <v>8</v>
      </c>
      <c r="M207" s="44">
        <f t="shared" si="112"/>
        <v>0</v>
      </c>
      <c r="N207" s="45">
        <f t="shared" si="112"/>
        <v>0.2</v>
      </c>
      <c r="O207" s="49">
        <v>30</v>
      </c>
      <c r="P207" s="54">
        <f>K207+3</f>
        <v>163</v>
      </c>
      <c r="Q207" s="44">
        <f t="shared" si="113"/>
        <v>150</v>
      </c>
      <c r="R207" s="50">
        <f t="shared" si="113"/>
        <v>270</v>
      </c>
    </row>
    <row r="208" spans="1:18" x14ac:dyDescent="0.25">
      <c r="A208" s="41">
        <f t="shared" si="111"/>
        <v>1056</v>
      </c>
      <c r="B208" s="42">
        <f t="shared" si="111"/>
        <v>198</v>
      </c>
      <c r="C208" s="41" t="s">
        <v>2067</v>
      </c>
      <c r="D208" s="43">
        <f t="shared" si="97"/>
        <v>20</v>
      </c>
      <c r="E208" s="61">
        <f t="shared" si="108"/>
        <v>2.8840000000000003</v>
      </c>
      <c r="F208" s="61">
        <f t="shared" si="109"/>
        <v>42</v>
      </c>
      <c r="G208" s="64">
        <f t="shared" si="110"/>
        <v>0.58988764044943809</v>
      </c>
      <c r="H208" s="44">
        <f t="shared" si="104"/>
        <v>-31.11666081726781</v>
      </c>
      <c r="I208" s="42" t="str">
        <f>I207</f>
        <v>Half</v>
      </c>
      <c r="J208" s="50">
        <f t="shared" ref="J208" si="115">J207</f>
        <v>6</v>
      </c>
      <c r="K208" s="49">
        <f t="shared" si="112"/>
        <v>160</v>
      </c>
      <c r="L208" s="44">
        <f t="shared" si="112"/>
        <v>8</v>
      </c>
      <c r="M208" s="44">
        <f t="shared" si="112"/>
        <v>0</v>
      </c>
      <c r="N208" s="45">
        <f t="shared" si="112"/>
        <v>0.2</v>
      </c>
      <c r="O208" s="49">
        <v>30</v>
      </c>
      <c r="P208" s="54">
        <f>K208+6</f>
        <v>166</v>
      </c>
      <c r="Q208" s="44">
        <f t="shared" si="113"/>
        <v>150</v>
      </c>
      <c r="R208" s="50">
        <f t="shared" si="113"/>
        <v>270</v>
      </c>
    </row>
    <row r="209" spans="1:18" x14ac:dyDescent="0.25">
      <c r="A209" s="41">
        <f t="shared" si="111"/>
        <v>1057</v>
      </c>
      <c r="B209" s="42">
        <f t="shared" si="111"/>
        <v>199</v>
      </c>
      <c r="C209" s="41" t="s">
        <v>2068</v>
      </c>
      <c r="D209" s="43">
        <f t="shared" si="97"/>
        <v>20</v>
      </c>
      <c r="E209" s="61">
        <f t="shared" si="108"/>
        <v>2.8840000000000003</v>
      </c>
      <c r="F209" s="61">
        <f t="shared" si="109"/>
        <v>42</v>
      </c>
      <c r="G209" s="64">
        <f t="shared" si="110"/>
        <v>0.58988764044943809</v>
      </c>
      <c r="H209" s="44">
        <f t="shared" si="104"/>
        <v>-31.11666081726781</v>
      </c>
      <c r="I209" s="42" t="str">
        <f t="shared" si="112"/>
        <v>Half</v>
      </c>
      <c r="J209" s="50">
        <f t="shared" si="112"/>
        <v>6</v>
      </c>
      <c r="K209" s="49">
        <f t="shared" si="112"/>
        <v>160</v>
      </c>
      <c r="L209" s="44">
        <f t="shared" si="112"/>
        <v>8</v>
      </c>
      <c r="M209" s="44">
        <f t="shared" si="112"/>
        <v>0</v>
      </c>
      <c r="N209" s="45">
        <f t="shared" si="112"/>
        <v>0.2</v>
      </c>
      <c r="O209" s="49">
        <v>60</v>
      </c>
      <c r="P209" s="54">
        <f>K209</f>
        <v>160</v>
      </c>
      <c r="Q209" s="44">
        <f t="shared" si="113"/>
        <v>150</v>
      </c>
      <c r="R209" s="50">
        <f t="shared" si="113"/>
        <v>270</v>
      </c>
    </row>
    <row r="210" spans="1:18" x14ac:dyDescent="0.25">
      <c r="A210" s="41">
        <f t="shared" si="111"/>
        <v>1058</v>
      </c>
      <c r="B210" s="42">
        <f t="shared" si="111"/>
        <v>200</v>
      </c>
      <c r="C210" s="41" t="s">
        <v>2069</v>
      </c>
      <c r="D210" s="43">
        <f t="shared" si="97"/>
        <v>20</v>
      </c>
      <c r="E210" s="61">
        <f t="shared" si="108"/>
        <v>2.8840000000000003</v>
      </c>
      <c r="F210" s="61">
        <f t="shared" si="109"/>
        <v>42</v>
      </c>
      <c r="G210" s="64">
        <f t="shared" si="110"/>
        <v>0.58988764044943809</v>
      </c>
      <c r="H210" s="44">
        <f t="shared" si="104"/>
        <v>-31.11666081726781</v>
      </c>
      <c r="I210" s="42" t="str">
        <f t="shared" si="112"/>
        <v>Half</v>
      </c>
      <c r="J210" s="50">
        <f t="shared" si="112"/>
        <v>6</v>
      </c>
      <c r="K210" s="49">
        <f t="shared" si="112"/>
        <v>160</v>
      </c>
      <c r="L210" s="44">
        <f t="shared" si="112"/>
        <v>8</v>
      </c>
      <c r="M210" s="44">
        <f t="shared" si="112"/>
        <v>0</v>
      </c>
      <c r="N210" s="45">
        <f t="shared" si="112"/>
        <v>0.2</v>
      </c>
      <c r="O210" s="49">
        <v>60</v>
      </c>
      <c r="P210" s="54">
        <f>K210+3</f>
        <v>163</v>
      </c>
      <c r="Q210" s="44">
        <f t="shared" si="113"/>
        <v>150</v>
      </c>
      <c r="R210" s="50">
        <f t="shared" si="113"/>
        <v>270</v>
      </c>
    </row>
    <row r="211" spans="1:18" x14ac:dyDescent="0.25">
      <c r="A211" s="41">
        <f t="shared" si="111"/>
        <v>1059</v>
      </c>
      <c r="B211" s="42">
        <f t="shared" si="111"/>
        <v>201</v>
      </c>
      <c r="C211" s="41" t="s">
        <v>2070</v>
      </c>
      <c r="D211" s="43">
        <f t="shared" si="97"/>
        <v>20</v>
      </c>
      <c r="E211" s="61">
        <f t="shared" si="108"/>
        <v>2.8840000000000003</v>
      </c>
      <c r="F211" s="61">
        <f t="shared" si="109"/>
        <v>42</v>
      </c>
      <c r="G211" s="64">
        <f t="shared" si="110"/>
        <v>0.58988764044943809</v>
      </c>
      <c r="H211" s="44">
        <f t="shared" si="104"/>
        <v>-31.11666081726781</v>
      </c>
      <c r="I211" s="42" t="str">
        <f t="shared" si="112"/>
        <v>Half</v>
      </c>
      <c r="J211" s="50">
        <f t="shared" si="112"/>
        <v>6</v>
      </c>
      <c r="K211" s="49">
        <f t="shared" si="112"/>
        <v>160</v>
      </c>
      <c r="L211" s="44">
        <f t="shared" si="112"/>
        <v>8</v>
      </c>
      <c r="M211" s="44">
        <f t="shared" si="112"/>
        <v>0</v>
      </c>
      <c r="N211" s="45">
        <f t="shared" si="112"/>
        <v>0.2</v>
      </c>
      <c r="O211" s="49">
        <v>60</v>
      </c>
      <c r="P211" s="54">
        <f>K211+6</f>
        <v>166</v>
      </c>
      <c r="Q211" s="44">
        <f t="shared" si="113"/>
        <v>150</v>
      </c>
      <c r="R211" s="50">
        <f t="shared" si="113"/>
        <v>270</v>
      </c>
    </row>
    <row r="212" spans="1:18" x14ac:dyDescent="0.25">
      <c r="A212" s="41">
        <f t="shared" si="111"/>
        <v>1060</v>
      </c>
      <c r="B212" s="42">
        <f t="shared" si="111"/>
        <v>202</v>
      </c>
      <c r="C212" s="41" t="s">
        <v>2071</v>
      </c>
      <c r="D212" s="43">
        <f t="shared" si="97"/>
        <v>20</v>
      </c>
      <c r="E212" s="61">
        <f t="shared" si="108"/>
        <v>2.8840000000000003</v>
      </c>
      <c r="F212" s="61">
        <f t="shared" si="109"/>
        <v>42</v>
      </c>
      <c r="G212" s="64">
        <f t="shared" si="110"/>
        <v>0.58988764044943809</v>
      </c>
      <c r="H212" s="44">
        <f t="shared" si="104"/>
        <v>-31.11666081726781</v>
      </c>
      <c r="I212" s="42" t="str">
        <f t="shared" si="112"/>
        <v>Half</v>
      </c>
      <c r="J212" s="50">
        <f t="shared" si="112"/>
        <v>6</v>
      </c>
      <c r="K212" s="49">
        <f t="shared" si="112"/>
        <v>160</v>
      </c>
      <c r="L212" s="44">
        <f t="shared" si="112"/>
        <v>8</v>
      </c>
      <c r="M212" s="44">
        <f t="shared" si="112"/>
        <v>0</v>
      </c>
      <c r="N212" s="45">
        <f t="shared" si="112"/>
        <v>0.2</v>
      </c>
      <c r="O212" s="49">
        <v>90</v>
      </c>
      <c r="P212" s="54">
        <f>K212</f>
        <v>160</v>
      </c>
      <c r="Q212" s="44">
        <f t="shared" si="113"/>
        <v>150</v>
      </c>
      <c r="R212" s="50">
        <f t="shared" si="113"/>
        <v>270</v>
      </c>
    </row>
    <row r="213" spans="1:18" x14ac:dyDescent="0.25">
      <c r="A213" s="41">
        <f t="shared" si="111"/>
        <v>1061</v>
      </c>
      <c r="B213" s="42">
        <f t="shared" si="111"/>
        <v>203</v>
      </c>
      <c r="C213" s="41" t="s">
        <v>2072</v>
      </c>
      <c r="D213" s="43">
        <f t="shared" si="97"/>
        <v>20</v>
      </c>
      <c r="E213" s="61">
        <f t="shared" si="108"/>
        <v>2.8840000000000003</v>
      </c>
      <c r="F213" s="61">
        <f t="shared" si="109"/>
        <v>42</v>
      </c>
      <c r="G213" s="64">
        <f t="shared" si="110"/>
        <v>0.58988764044943809</v>
      </c>
      <c r="H213" s="44">
        <f t="shared" si="104"/>
        <v>-31.11666081726781</v>
      </c>
      <c r="I213" s="42" t="str">
        <f t="shared" si="112"/>
        <v>Half</v>
      </c>
      <c r="J213" s="50">
        <f t="shared" si="112"/>
        <v>6</v>
      </c>
      <c r="K213" s="49">
        <f t="shared" si="112"/>
        <v>160</v>
      </c>
      <c r="L213" s="44">
        <f t="shared" si="112"/>
        <v>8</v>
      </c>
      <c r="M213" s="44">
        <f t="shared" si="112"/>
        <v>0</v>
      </c>
      <c r="N213" s="45">
        <f t="shared" si="112"/>
        <v>0.2</v>
      </c>
      <c r="O213" s="49">
        <v>90</v>
      </c>
      <c r="P213" s="54">
        <f>K213+3</f>
        <v>163</v>
      </c>
      <c r="Q213" s="44">
        <f t="shared" si="113"/>
        <v>150</v>
      </c>
      <c r="R213" s="50">
        <f t="shared" si="113"/>
        <v>270</v>
      </c>
    </row>
    <row r="214" spans="1:18" x14ac:dyDescent="0.25">
      <c r="A214" s="41">
        <f t="shared" si="111"/>
        <v>1062</v>
      </c>
      <c r="B214" s="42">
        <f t="shared" si="111"/>
        <v>204</v>
      </c>
      <c r="C214" s="127" t="s">
        <v>2073</v>
      </c>
      <c r="D214" s="43">
        <f t="shared" si="97"/>
        <v>20</v>
      </c>
      <c r="E214" s="61">
        <f t="shared" si="108"/>
        <v>2.8840000000000003</v>
      </c>
      <c r="F214" s="61">
        <f t="shared" si="109"/>
        <v>42</v>
      </c>
      <c r="G214" s="64">
        <f t="shared" si="110"/>
        <v>0.58988764044943809</v>
      </c>
      <c r="H214" s="44">
        <f t="shared" si="104"/>
        <v>-31.11666081726781</v>
      </c>
      <c r="I214" s="42" t="str">
        <f t="shared" si="112"/>
        <v>Half</v>
      </c>
      <c r="J214" s="50">
        <f t="shared" si="112"/>
        <v>6</v>
      </c>
      <c r="K214" s="49">
        <f t="shared" si="112"/>
        <v>160</v>
      </c>
      <c r="L214" s="44">
        <f t="shared" si="112"/>
        <v>8</v>
      </c>
      <c r="M214" s="44">
        <f t="shared" si="112"/>
        <v>0</v>
      </c>
      <c r="N214" s="45">
        <f t="shared" si="112"/>
        <v>0.2</v>
      </c>
      <c r="O214" s="49">
        <v>90</v>
      </c>
      <c r="P214" s="54">
        <f>K214+6</f>
        <v>166</v>
      </c>
      <c r="Q214" s="44">
        <f t="shared" si="113"/>
        <v>150</v>
      </c>
      <c r="R214" s="50">
        <f t="shared" si="113"/>
        <v>270</v>
      </c>
    </row>
    <row r="215" spans="1:18" x14ac:dyDescent="0.25">
      <c r="A215" s="41">
        <f t="shared" si="111"/>
        <v>1063</v>
      </c>
      <c r="B215" s="42">
        <f t="shared" si="111"/>
        <v>205</v>
      </c>
      <c r="C215" s="41" t="s">
        <v>2074</v>
      </c>
      <c r="D215" s="43">
        <f t="shared" si="97"/>
        <v>20</v>
      </c>
      <c r="E215" s="61">
        <f t="shared" si="108"/>
        <v>2.8840000000000003</v>
      </c>
      <c r="F215" s="61">
        <f t="shared" si="109"/>
        <v>42</v>
      </c>
      <c r="G215" s="64">
        <f t="shared" si="110"/>
        <v>0.58988764044943809</v>
      </c>
      <c r="H215" s="44">
        <f t="shared" si="104"/>
        <v>-31.11666081726781</v>
      </c>
      <c r="I215" s="42" t="str">
        <f t="shared" si="112"/>
        <v>Half</v>
      </c>
      <c r="J215" s="50">
        <f t="shared" si="112"/>
        <v>6</v>
      </c>
      <c r="K215" s="49">
        <f t="shared" si="112"/>
        <v>160</v>
      </c>
      <c r="L215" s="44">
        <f t="shared" si="112"/>
        <v>8</v>
      </c>
      <c r="M215" s="44">
        <f>yaw_max</f>
        <v>8</v>
      </c>
      <c r="N215" s="45">
        <f t="shared" si="112"/>
        <v>0.2</v>
      </c>
      <c r="O215" s="49">
        <v>0</v>
      </c>
      <c r="P215" s="54">
        <f>K215</f>
        <v>160</v>
      </c>
      <c r="Q215" s="44">
        <f t="shared" si="113"/>
        <v>150</v>
      </c>
      <c r="R215" s="50">
        <f t="shared" si="113"/>
        <v>270</v>
      </c>
    </row>
    <row r="216" spans="1:18" x14ac:dyDescent="0.25">
      <c r="A216" s="41">
        <f t="shared" si="111"/>
        <v>1064</v>
      </c>
      <c r="B216" s="42">
        <f t="shared" si="111"/>
        <v>206</v>
      </c>
      <c r="C216" s="41" t="s">
        <v>2075</v>
      </c>
      <c r="D216" s="43">
        <f t="shared" si="97"/>
        <v>20</v>
      </c>
      <c r="E216" s="61">
        <f t="shared" si="108"/>
        <v>2.8840000000000003</v>
      </c>
      <c r="F216" s="61">
        <f t="shared" si="109"/>
        <v>42</v>
      </c>
      <c r="G216" s="64">
        <f t="shared" si="110"/>
        <v>0.58988764044943809</v>
      </c>
      <c r="H216" s="44">
        <f t="shared" si="104"/>
        <v>-31.11666081726781</v>
      </c>
      <c r="I216" s="42" t="str">
        <f t="shared" si="112"/>
        <v>Half</v>
      </c>
      <c r="J216" s="50">
        <f t="shared" si="112"/>
        <v>6</v>
      </c>
      <c r="K216" s="49">
        <f t="shared" si="112"/>
        <v>160</v>
      </c>
      <c r="L216" s="44">
        <f t="shared" si="112"/>
        <v>8</v>
      </c>
      <c r="M216" s="44">
        <f t="shared" si="112"/>
        <v>8</v>
      </c>
      <c r="N216" s="45">
        <f t="shared" si="112"/>
        <v>0.2</v>
      </c>
      <c r="O216" s="49">
        <v>0</v>
      </c>
      <c r="P216" s="54">
        <f>K216+3</f>
        <v>163</v>
      </c>
      <c r="Q216" s="44">
        <f t="shared" si="113"/>
        <v>150</v>
      </c>
      <c r="R216" s="50">
        <f t="shared" si="113"/>
        <v>270</v>
      </c>
    </row>
    <row r="217" spans="1:18" x14ac:dyDescent="0.25">
      <c r="A217" s="41">
        <f t="shared" si="111"/>
        <v>1065</v>
      </c>
      <c r="B217" s="42">
        <f t="shared" si="111"/>
        <v>207</v>
      </c>
      <c r="C217" s="41" t="s">
        <v>2076</v>
      </c>
      <c r="D217" s="43">
        <f t="shared" si="97"/>
        <v>20</v>
      </c>
      <c r="E217" s="61">
        <f t="shared" si="108"/>
        <v>2.8840000000000003</v>
      </c>
      <c r="F217" s="61">
        <f t="shared" si="109"/>
        <v>42</v>
      </c>
      <c r="G217" s="64">
        <f t="shared" si="110"/>
        <v>0.58988764044943809</v>
      </c>
      <c r="H217" s="44">
        <f t="shared" si="104"/>
        <v>-31.11666081726781</v>
      </c>
      <c r="I217" s="42" t="str">
        <f t="shared" si="112"/>
        <v>Half</v>
      </c>
      <c r="J217" s="50">
        <f t="shared" si="112"/>
        <v>6</v>
      </c>
      <c r="K217" s="49">
        <f t="shared" si="112"/>
        <v>160</v>
      </c>
      <c r="L217" s="44">
        <f t="shared" si="112"/>
        <v>8</v>
      </c>
      <c r="M217" s="44">
        <f t="shared" si="112"/>
        <v>8</v>
      </c>
      <c r="N217" s="45">
        <f t="shared" si="112"/>
        <v>0.2</v>
      </c>
      <c r="O217" s="49">
        <v>0</v>
      </c>
      <c r="P217" s="54">
        <f>K217+6</f>
        <v>166</v>
      </c>
      <c r="Q217" s="44">
        <f t="shared" si="113"/>
        <v>150</v>
      </c>
      <c r="R217" s="50">
        <f t="shared" si="113"/>
        <v>270</v>
      </c>
    </row>
    <row r="218" spans="1:18" x14ac:dyDescent="0.25">
      <c r="A218" s="41">
        <f t="shared" si="111"/>
        <v>1066</v>
      </c>
      <c r="B218" s="42">
        <f t="shared" si="111"/>
        <v>208</v>
      </c>
      <c r="C218" s="41" t="s">
        <v>2077</v>
      </c>
      <c r="D218" s="43">
        <f t="shared" si="97"/>
        <v>20</v>
      </c>
      <c r="E218" s="61">
        <f t="shared" si="108"/>
        <v>2.8840000000000003</v>
      </c>
      <c r="F218" s="61">
        <f t="shared" si="109"/>
        <v>42</v>
      </c>
      <c r="G218" s="64">
        <f t="shared" si="110"/>
        <v>0.58988764044943809</v>
      </c>
      <c r="H218" s="44">
        <f t="shared" si="104"/>
        <v>-31.11666081726781</v>
      </c>
      <c r="I218" s="42" t="str">
        <f t="shared" si="112"/>
        <v>Half</v>
      </c>
      <c r="J218" s="50">
        <f t="shared" si="112"/>
        <v>6</v>
      </c>
      <c r="K218" s="49">
        <f t="shared" si="112"/>
        <v>160</v>
      </c>
      <c r="L218" s="44">
        <f t="shared" si="112"/>
        <v>8</v>
      </c>
      <c r="M218" s="44">
        <f t="shared" si="112"/>
        <v>8</v>
      </c>
      <c r="N218" s="45">
        <f t="shared" si="112"/>
        <v>0.2</v>
      </c>
      <c r="O218" s="49">
        <v>30</v>
      </c>
      <c r="P218" s="54">
        <f>K218</f>
        <v>160</v>
      </c>
      <c r="Q218" s="44">
        <f t="shared" si="113"/>
        <v>150</v>
      </c>
      <c r="R218" s="50">
        <f t="shared" si="113"/>
        <v>270</v>
      </c>
    </row>
    <row r="219" spans="1:18" x14ac:dyDescent="0.25">
      <c r="A219" s="41">
        <f t="shared" si="111"/>
        <v>1067</v>
      </c>
      <c r="B219" s="42">
        <f t="shared" si="111"/>
        <v>209</v>
      </c>
      <c r="C219" s="41" t="s">
        <v>2078</v>
      </c>
      <c r="D219" s="43">
        <f t="shared" ref="D219:D226" si="116">v_c</f>
        <v>20</v>
      </c>
      <c r="E219" s="61">
        <f t="shared" si="108"/>
        <v>2.8840000000000003</v>
      </c>
      <c r="F219" s="61">
        <f t="shared" si="109"/>
        <v>42</v>
      </c>
      <c r="G219" s="64">
        <f t="shared" si="110"/>
        <v>0.58988764044943809</v>
      </c>
      <c r="H219" s="44">
        <f t="shared" si="104"/>
        <v>-31.11666081726781</v>
      </c>
      <c r="I219" s="42" t="str">
        <f t="shared" si="112"/>
        <v>Half</v>
      </c>
      <c r="J219" s="50">
        <f t="shared" si="112"/>
        <v>6</v>
      </c>
      <c r="K219" s="49">
        <f t="shared" si="112"/>
        <v>160</v>
      </c>
      <c r="L219" s="44">
        <f t="shared" si="112"/>
        <v>8</v>
      </c>
      <c r="M219" s="44">
        <f t="shared" si="112"/>
        <v>8</v>
      </c>
      <c r="N219" s="45">
        <f t="shared" si="112"/>
        <v>0.2</v>
      </c>
      <c r="O219" s="49">
        <v>30</v>
      </c>
      <c r="P219" s="54">
        <f>K219+3</f>
        <v>163</v>
      </c>
      <c r="Q219" s="44">
        <f t="shared" si="113"/>
        <v>150</v>
      </c>
      <c r="R219" s="50">
        <f t="shared" si="113"/>
        <v>270</v>
      </c>
    </row>
    <row r="220" spans="1:18" x14ac:dyDescent="0.25">
      <c r="A220" s="41">
        <f t="shared" ref="A220:B235" si="117">A219+1</f>
        <v>1068</v>
      </c>
      <c r="B220" s="42">
        <f t="shared" si="117"/>
        <v>210</v>
      </c>
      <c r="C220" s="41" t="s">
        <v>2079</v>
      </c>
      <c r="D220" s="43">
        <f t="shared" si="116"/>
        <v>20</v>
      </c>
      <c r="E220" s="61">
        <f t="shared" si="108"/>
        <v>2.8840000000000003</v>
      </c>
      <c r="F220" s="61">
        <f t="shared" si="109"/>
        <v>42</v>
      </c>
      <c r="G220" s="64">
        <f t="shared" si="110"/>
        <v>0.58988764044943809</v>
      </c>
      <c r="H220" s="44">
        <f t="shared" si="104"/>
        <v>-31.11666081726781</v>
      </c>
      <c r="I220" s="42" t="str">
        <f t="shared" ref="I220:N235" si="118">I219</f>
        <v>Half</v>
      </c>
      <c r="J220" s="50">
        <f t="shared" si="118"/>
        <v>6</v>
      </c>
      <c r="K220" s="49">
        <f t="shared" ref="K220:N224" si="119">K219</f>
        <v>160</v>
      </c>
      <c r="L220" s="44">
        <f t="shared" si="119"/>
        <v>8</v>
      </c>
      <c r="M220" s="44">
        <f t="shared" si="119"/>
        <v>8</v>
      </c>
      <c r="N220" s="45">
        <f t="shared" si="119"/>
        <v>0.2</v>
      </c>
      <c r="O220" s="49">
        <v>30</v>
      </c>
      <c r="P220" s="54">
        <f>K220+6</f>
        <v>166</v>
      </c>
      <c r="Q220" s="44">
        <f t="shared" si="113"/>
        <v>150</v>
      </c>
      <c r="R220" s="50">
        <f t="shared" si="113"/>
        <v>270</v>
      </c>
    </row>
    <row r="221" spans="1:18" x14ac:dyDescent="0.25">
      <c r="A221" s="41">
        <f t="shared" si="117"/>
        <v>1069</v>
      </c>
      <c r="B221" s="42">
        <f t="shared" si="117"/>
        <v>211</v>
      </c>
      <c r="C221" s="41" t="s">
        <v>2080</v>
      </c>
      <c r="D221" s="43">
        <f t="shared" si="116"/>
        <v>20</v>
      </c>
      <c r="E221" s="61">
        <f t="shared" si="108"/>
        <v>2.8840000000000003</v>
      </c>
      <c r="F221" s="61">
        <f t="shared" si="109"/>
        <v>42</v>
      </c>
      <c r="G221" s="64">
        <f t="shared" si="110"/>
        <v>0.58988764044943809</v>
      </c>
      <c r="H221" s="44">
        <f t="shared" si="104"/>
        <v>-31.11666081726781</v>
      </c>
      <c r="I221" s="42" t="str">
        <f t="shared" si="118"/>
        <v>Half</v>
      </c>
      <c r="J221" s="50">
        <f t="shared" si="118"/>
        <v>6</v>
      </c>
      <c r="K221" s="49">
        <f t="shared" si="119"/>
        <v>160</v>
      </c>
      <c r="L221" s="44">
        <f t="shared" si="119"/>
        <v>8</v>
      </c>
      <c r="M221" s="44">
        <f t="shared" si="119"/>
        <v>8</v>
      </c>
      <c r="N221" s="45">
        <f t="shared" si="119"/>
        <v>0.2</v>
      </c>
      <c r="O221" s="49">
        <v>60</v>
      </c>
      <c r="P221" s="54">
        <f>K221</f>
        <v>160</v>
      </c>
      <c r="Q221" s="44">
        <f t="shared" ref="Q221:R236" si="120">Q220</f>
        <v>150</v>
      </c>
      <c r="R221" s="50">
        <f t="shared" si="120"/>
        <v>270</v>
      </c>
    </row>
    <row r="222" spans="1:18" x14ac:dyDescent="0.25">
      <c r="A222" s="41">
        <f t="shared" si="117"/>
        <v>1070</v>
      </c>
      <c r="B222" s="42">
        <f t="shared" si="117"/>
        <v>212</v>
      </c>
      <c r="C222" s="41" t="s">
        <v>2081</v>
      </c>
      <c r="D222" s="43">
        <f t="shared" si="116"/>
        <v>20</v>
      </c>
      <c r="E222" s="61">
        <f t="shared" si="108"/>
        <v>2.8840000000000003</v>
      </c>
      <c r="F222" s="61">
        <f t="shared" si="109"/>
        <v>42</v>
      </c>
      <c r="G222" s="64">
        <f t="shared" si="110"/>
        <v>0.58988764044943809</v>
      </c>
      <c r="H222" s="44">
        <f t="shared" si="104"/>
        <v>-31.11666081726781</v>
      </c>
      <c r="I222" s="42" t="str">
        <f t="shared" si="118"/>
        <v>Half</v>
      </c>
      <c r="J222" s="50">
        <f t="shared" si="118"/>
        <v>6</v>
      </c>
      <c r="K222" s="49">
        <f t="shared" si="119"/>
        <v>160</v>
      </c>
      <c r="L222" s="44">
        <f t="shared" si="119"/>
        <v>8</v>
      </c>
      <c r="M222" s="44">
        <f t="shared" si="119"/>
        <v>8</v>
      </c>
      <c r="N222" s="45">
        <f t="shared" si="119"/>
        <v>0.2</v>
      </c>
      <c r="O222" s="49">
        <v>60</v>
      </c>
      <c r="P222" s="54">
        <f>K222+3</f>
        <v>163</v>
      </c>
      <c r="Q222" s="44">
        <f t="shared" si="120"/>
        <v>150</v>
      </c>
      <c r="R222" s="50">
        <f t="shared" si="120"/>
        <v>270</v>
      </c>
    </row>
    <row r="223" spans="1:18" x14ac:dyDescent="0.25">
      <c r="A223" s="41">
        <f t="shared" si="117"/>
        <v>1071</v>
      </c>
      <c r="B223" s="42">
        <f t="shared" si="117"/>
        <v>213</v>
      </c>
      <c r="C223" s="41" t="s">
        <v>2082</v>
      </c>
      <c r="D223" s="43">
        <f t="shared" si="116"/>
        <v>20</v>
      </c>
      <c r="E223" s="61">
        <f t="shared" si="108"/>
        <v>2.8840000000000003</v>
      </c>
      <c r="F223" s="61">
        <f t="shared" si="109"/>
        <v>42</v>
      </c>
      <c r="G223" s="64">
        <f t="shared" si="110"/>
        <v>0.58988764044943809</v>
      </c>
      <c r="H223" s="44">
        <f t="shared" si="104"/>
        <v>-31.11666081726781</v>
      </c>
      <c r="I223" s="42" t="s">
        <v>12</v>
      </c>
      <c r="J223" s="50">
        <f t="shared" ref="J223" si="121">J222</f>
        <v>6</v>
      </c>
      <c r="K223" s="49">
        <f t="shared" si="119"/>
        <v>160</v>
      </c>
      <c r="L223" s="44">
        <f t="shared" si="119"/>
        <v>8</v>
      </c>
      <c r="M223" s="44">
        <f t="shared" si="119"/>
        <v>8</v>
      </c>
      <c r="N223" s="45">
        <f t="shared" si="119"/>
        <v>0.2</v>
      </c>
      <c r="O223" s="49">
        <v>60</v>
      </c>
      <c r="P223" s="54">
        <f>K223+6</f>
        <v>166</v>
      </c>
      <c r="Q223" s="44">
        <f t="shared" si="120"/>
        <v>150</v>
      </c>
      <c r="R223" s="50">
        <f t="shared" si="120"/>
        <v>270</v>
      </c>
    </row>
    <row r="224" spans="1:18" x14ac:dyDescent="0.25">
      <c r="A224" s="41">
        <f t="shared" si="117"/>
        <v>1072</v>
      </c>
      <c r="B224" s="42">
        <f t="shared" si="117"/>
        <v>214</v>
      </c>
      <c r="C224" s="41" t="s">
        <v>2083</v>
      </c>
      <c r="D224" s="43">
        <f t="shared" si="116"/>
        <v>20</v>
      </c>
      <c r="E224" s="61">
        <f t="shared" si="108"/>
        <v>2.8840000000000003</v>
      </c>
      <c r="F224" s="61">
        <f t="shared" si="109"/>
        <v>42</v>
      </c>
      <c r="G224" s="64">
        <f t="shared" si="110"/>
        <v>0.58988764044943809</v>
      </c>
      <c r="H224" s="44">
        <f t="shared" si="104"/>
        <v>-31.11666081726781</v>
      </c>
      <c r="I224" s="42" t="str">
        <f>I223</f>
        <v>Half</v>
      </c>
      <c r="J224" s="50">
        <f t="shared" ref="J224" si="122">J223</f>
        <v>6</v>
      </c>
      <c r="K224" s="49">
        <f t="shared" si="119"/>
        <v>160</v>
      </c>
      <c r="L224" s="44">
        <f t="shared" si="119"/>
        <v>8</v>
      </c>
      <c r="M224" s="44">
        <f t="shared" si="119"/>
        <v>8</v>
      </c>
      <c r="N224" s="45">
        <f t="shared" si="119"/>
        <v>0.2</v>
      </c>
      <c r="O224" s="49">
        <v>90</v>
      </c>
      <c r="P224" s="54">
        <f>K224</f>
        <v>160</v>
      </c>
      <c r="Q224" s="44">
        <f t="shared" si="120"/>
        <v>150</v>
      </c>
      <c r="R224" s="50">
        <f t="shared" si="120"/>
        <v>270</v>
      </c>
    </row>
    <row r="225" spans="1:18" x14ac:dyDescent="0.25">
      <c r="A225" s="41">
        <f t="shared" si="117"/>
        <v>1073</v>
      </c>
      <c r="B225" s="42">
        <f t="shared" si="117"/>
        <v>215</v>
      </c>
      <c r="C225" s="41" t="s">
        <v>2084</v>
      </c>
      <c r="D225" s="43">
        <f t="shared" si="116"/>
        <v>20</v>
      </c>
      <c r="E225" s="61">
        <f t="shared" si="108"/>
        <v>2.8840000000000003</v>
      </c>
      <c r="F225" s="61">
        <f t="shared" si="109"/>
        <v>42</v>
      </c>
      <c r="G225" s="64">
        <f t="shared" si="110"/>
        <v>0.58988764044943809</v>
      </c>
      <c r="H225" s="44">
        <f t="shared" si="104"/>
        <v>-31.11666081726781</v>
      </c>
      <c r="I225" s="42" t="str">
        <f t="shared" si="118"/>
        <v>Half</v>
      </c>
      <c r="J225" s="50">
        <f t="shared" si="118"/>
        <v>6</v>
      </c>
      <c r="K225" s="49">
        <f t="shared" si="118"/>
        <v>160</v>
      </c>
      <c r="L225" s="44">
        <f t="shared" si="118"/>
        <v>8</v>
      </c>
      <c r="M225" s="44">
        <f t="shared" si="118"/>
        <v>8</v>
      </c>
      <c r="N225" s="45">
        <f t="shared" si="118"/>
        <v>0.2</v>
      </c>
      <c r="O225" s="49">
        <v>90</v>
      </c>
      <c r="P225" s="54">
        <f>K225+3</f>
        <v>163</v>
      </c>
      <c r="Q225" s="44">
        <f t="shared" si="120"/>
        <v>150</v>
      </c>
      <c r="R225" s="50">
        <f t="shared" si="120"/>
        <v>270</v>
      </c>
    </row>
    <row r="226" spans="1:18" x14ac:dyDescent="0.25">
      <c r="A226" s="41">
        <f t="shared" si="117"/>
        <v>1074</v>
      </c>
      <c r="B226" s="42">
        <f t="shared" si="117"/>
        <v>216</v>
      </c>
      <c r="C226" s="127" t="s">
        <v>2085</v>
      </c>
      <c r="D226" s="43">
        <f t="shared" si="116"/>
        <v>20</v>
      </c>
      <c r="E226" s="61">
        <f t="shared" si="108"/>
        <v>2.8840000000000003</v>
      </c>
      <c r="F226" s="61">
        <f t="shared" si="109"/>
        <v>42</v>
      </c>
      <c r="G226" s="64">
        <f t="shared" si="110"/>
        <v>0.58988764044943809</v>
      </c>
      <c r="H226" s="44">
        <f t="shared" si="104"/>
        <v>-31.11666081726781</v>
      </c>
      <c r="I226" s="42" t="str">
        <f t="shared" si="118"/>
        <v>Half</v>
      </c>
      <c r="J226" s="50">
        <f t="shared" si="118"/>
        <v>6</v>
      </c>
      <c r="K226" s="49">
        <f t="shared" si="118"/>
        <v>160</v>
      </c>
      <c r="L226" s="44">
        <f t="shared" si="118"/>
        <v>8</v>
      </c>
      <c r="M226" s="44">
        <f t="shared" si="118"/>
        <v>8</v>
      </c>
      <c r="N226" s="45">
        <f t="shared" si="118"/>
        <v>0.2</v>
      </c>
      <c r="O226" s="49">
        <v>90</v>
      </c>
      <c r="P226" s="54">
        <f>K226+6</f>
        <v>166</v>
      </c>
      <c r="Q226" s="44">
        <f t="shared" si="120"/>
        <v>150</v>
      </c>
      <c r="R226" s="50">
        <f t="shared" si="120"/>
        <v>270</v>
      </c>
    </row>
    <row r="227" spans="1:18" x14ac:dyDescent="0.25">
      <c r="A227" s="41">
        <f t="shared" si="117"/>
        <v>1075</v>
      </c>
      <c r="B227" s="42">
        <f t="shared" si="117"/>
        <v>217</v>
      </c>
      <c r="C227" s="41" t="s">
        <v>2086</v>
      </c>
      <c r="D227" s="43">
        <f t="shared" ref="D227:D258" si="123">v_out</f>
        <v>25</v>
      </c>
      <c r="E227" s="61">
        <f t="shared" si="108"/>
        <v>3.4090000000000007</v>
      </c>
      <c r="F227" s="61">
        <f t="shared" si="109"/>
        <v>42</v>
      </c>
      <c r="G227" s="64">
        <f t="shared" si="110"/>
        <v>0.58988764044943809</v>
      </c>
      <c r="H227" s="44">
        <f>6.4*ATAN(E227/D227*G227)/PI()*180</f>
        <v>29.432344969112751</v>
      </c>
      <c r="I227" s="42" t="str">
        <f t="shared" si="118"/>
        <v>Half</v>
      </c>
      <c r="J227" s="50">
        <f t="shared" si="118"/>
        <v>6</v>
      </c>
      <c r="K227" s="49">
        <f t="shared" si="118"/>
        <v>160</v>
      </c>
      <c r="L227" s="44">
        <f t="shared" si="118"/>
        <v>8</v>
      </c>
      <c r="M227" s="44">
        <f>yaw_min</f>
        <v>-8</v>
      </c>
      <c r="N227" s="45">
        <f t="shared" si="118"/>
        <v>0.2</v>
      </c>
      <c r="O227" s="49">
        <v>0</v>
      </c>
      <c r="P227" s="54">
        <f>K227</f>
        <v>160</v>
      </c>
      <c r="Q227" s="44">
        <f t="shared" si="120"/>
        <v>150</v>
      </c>
      <c r="R227" s="50">
        <f t="shared" si="120"/>
        <v>270</v>
      </c>
    </row>
    <row r="228" spans="1:18" x14ac:dyDescent="0.25">
      <c r="A228" s="41">
        <f t="shared" si="117"/>
        <v>1076</v>
      </c>
      <c r="B228" s="42">
        <f t="shared" si="117"/>
        <v>218</v>
      </c>
      <c r="C228" s="41" t="s">
        <v>2087</v>
      </c>
      <c r="D228" s="43">
        <f t="shared" si="123"/>
        <v>25</v>
      </c>
      <c r="E228" s="61">
        <f t="shared" si="108"/>
        <v>3.4090000000000007</v>
      </c>
      <c r="F228" s="61">
        <f t="shared" si="109"/>
        <v>42</v>
      </c>
      <c r="G228" s="64">
        <f t="shared" si="110"/>
        <v>0.58988764044943809</v>
      </c>
      <c r="H228" s="44">
        <f t="shared" ref="H228:H262" si="124">6.4*ATAN(E228/D228*G228)/PI()*180</f>
        <v>29.432344969112751</v>
      </c>
      <c r="I228" s="42" t="str">
        <f t="shared" si="118"/>
        <v>Half</v>
      </c>
      <c r="J228" s="50">
        <f t="shared" si="118"/>
        <v>6</v>
      </c>
      <c r="K228" s="49">
        <f t="shared" si="118"/>
        <v>160</v>
      </c>
      <c r="L228" s="44">
        <f t="shared" si="118"/>
        <v>8</v>
      </c>
      <c r="M228" s="44">
        <f t="shared" si="118"/>
        <v>-8</v>
      </c>
      <c r="N228" s="45">
        <f t="shared" si="118"/>
        <v>0.2</v>
      </c>
      <c r="O228" s="49">
        <v>0</v>
      </c>
      <c r="P228" s="54">
        <f>K228+3</f>
        <v>163</v>
      </c>
      <c r="Q228" s="44">
        <f t="shared" si="120"/>
        <v>150</v>
      </c>
      <c r="R228" s="50">
        <f t="shared" si="120"/>
        <v>270</v>
      </c>
    </row>
    <row r="229" spans="1:18" x14ac:dyDescent="0.25">
      <c r="A229" s="41">
        <f t="shared" si="117"/>
        <v>1077</v>
      </c>
      <c r="B229" s="42">
        <f t="shared" si="117"/>
        <v>219</v>
      </c>
      <c r="C229" s="41" t="s">
        <v>2088</v>
      </c>
      <c r="D229" s="43">
        <f t="shared" si="123"/>
        <v>25</v>
      </c>
      <c r="E229" s="61">
        <f t="shared" si="108"/>
        <v>3.4090000000000007</v>
      </c>
      <c r="F229" s="61">
        <f t="shared" si="109"/>
        <v>42</v>
      </c>
      <c r="G229" s="64">
        <f t="shared" si="110"/>
        <v>0.58988764044943809</v>
      </c>
      <c r="H229" s="44">
        <f t="shared" si="124"/>
        <v>29.432344969112751</v>
      </c>
      <c r="I229" s="42" t="str">
        <f t="shared" si="118"/>
        <v>Half</v>
      </c>
      <c r="J229" s="50">
        <f t="shared" si="118"/>
        <v>6</v>
      </c>
      <c r="K229" s="49">
        <f t="shared" si="118"/>
        <v>160</v>
      </c>
      <c r="L229" s="44">
        <f t="shared" si="118"/>
        <v>8</v>
      </c>
      <c r="M229" s="44">
        <f t="shared" si="118"/>
        <v>-8</v>
      </c>
      <c r="N229" s="45">
        <f t="shared" si="118"/>
        <v>0.2</v>
      </c>
      <c r="O229" s="49">
        <v>0</v>
      </c>
      <c r="P229" s="54">
        <f>K229+6</f>
        <v>166</v>
      </c>
      <c r="Q229" s="44">
        <f t="shared" si="120"/>
        <v>150</v>
      </c>
      <c r="R229" s="50">
        <f t="shared" si="120"/>
        <v>270</v>
      </c>
    </row>
    <row r="230" spans="1:18" x14ac:dyDescent="0.25">
      <c r="A230" s="41">
        <f t="shared" si="117"/>
        <v>1078</v>
      </c>
      <c r="B230" s="42">
        <f t="shared" si="117"/>
        <v>220</v>
      </c>
      <c r="C230" s="41" t="s">
        <v>2089</v>
      </c>
      <c r="D230" s="43">
        <f t="shared" si="123"/>
        <v>25</v>
      </c>
      <c r="E230" s="61">
        <f t="shared" si="108"/>
        <v>3.4090000000000007</v>
      </c>
      <c r="F230" s="61">
        <f t="shared" si="109"/>
        <v>42</v>
      </c>
      <c r="G230" s="64">
        <f t="shared" si="110"/>
        <v>0.58988764044943809</v>
      </c>
      <c r="H230" s="44">
        <f t="shared" si="124"/>
        <v>29.432344969112751</v>
      </c>
      <c r="I230" s="42" t="str">
        <f t="shared" si="118"/>
        <v>Half</v>
      </c>
      <c r="J230" s="50">
        <f t="shared" si="118"/>
        <v>6</v>
      </c>
      <c r="K230" s="49">
        <f t="shared" si="118"/>
        <v>160</v>
      </c>
      <c r="L230" s="44">
        <f t="shared" si="118"/>
        <v>8</v>
      </c>
      <c r="M230" s="44">
        <f t="shared" si="118"/>
        <v>-8</v>
      </c>
      <c r="N230" s="45">
        <f t="shared" si="118"/>
        <v>0.2</v>
      </c>
      <c r="O230" s="49">
        <v>30</v>
      </c>
      <c r="P230" s="54">
        <f>K230</f>
        <v>160</v>
      </c>
      <c r="Q230" s="44">
        <f t="shared" si="120"/>
        <v>150</v>
      </c>
      <c r="R230" s="50">
        <f t="shared" si="120"/>
        <v>270</v>
      </c>
    </row>
    <row r="231" spans="1:18" x14ac:dyDescent="0.25">
      <c r="A231" s="41">
        <f t="shared" si="117"/>
        <v>1079</v>
      </c>
      <c r="B231" s="42">
        <f t="shared" si="117"/>
        <v>221</v>
      </c>
      <c r="C231" s="41" t="s">
        <v>2090</v>
      </c>
      <c r="D231" s="43">
        <f t="shared" si="123"/>
        <v>25</v>
      </c>
      <c r="E231" s="61">
        <f t="shared" si="108"/>
        <v>3.4090000000000007</v>
      </c>
      <c r="F231" s="61">
        <f t="shared" si="109"/>
        <v>42</v>
      </c>
      <c r="G231" s="64">
        <f t="shared" si="110"/>
        <v>0.58988764044943809</v>
      </c>
      <c r="H231" s="44">
        <f t="shared" si="124"/>
        <v>29.432344969112751</v>
      </c>
      <c r="I231" s="42" t="str">
        <f t="shared" si="118"/>
        <v>Half</v>
      </c>
      <c r="J231" s="50">
        <f t="shared" si="118"/>
        <v>6</v>
      </c>
      <c r="K231" s="49">
        <f t="shared" si="118"/>
        <v>160</v>
      </c>
      <c r="L231" s="44">
        <f t="shared" si="118"/>
        <v>8</v>
      </c>
      <c r="M231" s="44">
        <f t="shared" si="118"/>
        <v>-8</v>
      </c>
      <c r="N231" s="45">
        <f t="shared" si="118"/>
        <v>0.2</v>
      </c>
      <c r="O231" s="49">
        <v>30</v>
      </c>
      <c r="P231" s="54">
        <f>K231+3</f>
        <v>163</v>
      </c>
      <c r="Q231" s="44">
        <f t="shared" si="120"/>
        <v>150</v>
      </c>
      <c r="R231" s="50">
        <f t="shared" si="120"/>
        <v>270</v>
      </c>
    </row>
    <row r="232" spans="1:18" x14ac:dyDescent="0.25">
      <c r="A232" s="41">
        <f t="shared" si="117"/>
        <v>1080</v>
      </c>
      <c r="B232" s="42">
        <f t="shared" si="117"/>
        <v>222</v>
      </c>
      <c r="C232" s="41" t="s">
        <v>2091</v>
      </c>
      <c r="D232" s="43">
        <f t="shared" si="123"/>
        <v>25</v>
      </c>
      <c r="E232" s="61">
        <f t="shared" si="108"/>
        <v>3.4090000000000007</v>
      </c>
      <c r="F232" s="61">
        <f t="shared" si="109"/>
        <v>42</v>
      </c>
      <c r="G232" s="64">
        <f t="shared" si="110"/>
        <v>0.58988764044943809</v>
      </c>
      <c r="H232" s="44">
        <f t="shared" si="124"/>
        <v>29.432344969112751</v>
      </c>
      <c r="I232" s="42" t="str">
        <f t="shared" si="118"/>
        <v>Half</v>
      </c>
      <c r="J232" s="50">
        <f t="shared" si="118"/>
        <v>6</v>
      </c>
      <c r="K232" s="49">
        <f t="shared" si="118"/>
        <v>160</v>
      </c>
      <c r="L232" s="44">
        <f t="shared" si="118"/>
        <v>8</v>
      </c>
      <c r="M232" s="44">
        <f t="shared" si="118"/>
        <v>-8</v>
      </c>
      <c r="N232" s="45">
        <f t="shared" si="118"/>
        <v>0.2</v>
      </c>
      <c r="O232" s="49">
        <v>30</v>
      </c>
      <c r="P232" s="54">
        <f>K232+6</f>
        <v>166</v>
      </c>
      <c r="Q232" s="44">
        <f t="shared" si="120"/>
        <v>150</v>
      </c>
      <c r="R232" s="50">
        <f t="shared" si="120"/>
        <v>270</v>
      </c>
    </row>
    <row r="233" spans="1:18" x14ac:dyDescent="0.25">
      <c r="A233" s="41">
        <f t="shared" si="117"/>
        <v>1081</v>
      </c>
      <c r="B233" s="42">
        <f t="shared" si="117"/>
        <v>223</v>
      </c>
      <c r="C233" s="41" t="s">
        <v>2092</v>
      </c>
      <c r="D233" s="43">
        <f t="shared" si="123"/>
        <v>25</v>
      </c>
      <c r="E233" s="61">
        <f t="shared" si="108"/>
        <v>3.4090000000000007</v>
      </c>
      <c r="F233" s="61">
        <f t="shared" si="109"/>
        <v>42</v>
      </c>
      <c r="G233" s="64">
        <f t="shared" si="110"/>
        <v>0.58988764044943809</v>
      </c>
      <c r="H233" s="44">
        <f t="shared" si="124"/>
        <v>29.432344969112751</v>
      </c>
      <c r="I233" s="42" t="str">
        <f t="shared" si="118"/>
        <v>Half</v>
      </c>
      <c r="J233" s="50">
        <f t="shared" si="118"/>
        <v>6</v>
      </c>
      <c r="K233" s="49">
        <f t="shared" si="118"/>
        <v>160</v>
      </c>
      <c r="L233" s="44">
        <f t="shared" si="118"/>
        <v>8</v>
      </c>
      <c r="M233" s="44">
        <f t="shared" si="118"/>
        <v>-8</v>
      </c>
      <c r="N233" s="45">
        <f t="shared" si="118"/>
        <v>0.2</v>
      </c>
      <c r="O233" s="49">
        <v>60</v>
      </c>
      <c r="P233" s="54">
        <f>K233</f>
        <v>160</v>
      </c>
      <c r="Q233" s="44">
        <f t="shared" si="120"/>
        <v>150</v>
      </c>
      <c r="R233" s="50">
        <f t="shared" si="120"/>
        <v>270</v>
      </c>
    </row>
    <row r="234" spans="1:18" x14ac:dyDescent="0.25">
      <c r="A234" s="41">
        <f t="shared" si="117"/>
        <v>1082</v>
      </c>
      <c r="B234" s="42">
        <f t="shared" si="117"/>
        <v>224</v>
      </c>
      <c r="C234" s="41" t="s">
        <v>2093</v>
      </c>
      <c r="D234" s="43">
        <f t="shared" si="123"/>
        <v>25</v>
      </c>
      <c r="E234" s="61">
        <f t="shared" si="108"/>
        <v>3.4090000000000007</v>
      </c>
      <c r="F234" s="61">
        <f t="shared" si="109"/>
        <v>42</v>
      </c>
      <c r="G234" s="64">
        <f t="shared" si="110"/>
        <v>0.58988764044943809</v>
      </c>
      <c r="H234" s="44">
        <f t="shared" si="124"/>
        <v>29.432344969112751</v>
      </c>
      <c r="I234" s="42" t="str">
        <f t="shared" si="118"/>
        <v>Half</v>
      </c>
      <c r="J234" s="50">
        <f t="shared" si="118"/>
        <v>6</v>
      </c>
      <c r="K234" s="49">
        <f t="shared" si="118"/>
        <v>160</v>
      </c>
      <c r="L234" s="44">
        <f t="shared" si="118"/>
        <v>8</v>
      </c>
      <c r="M234" s="44">
        <f t="shared" si="118"/>
        <v>-8</v>
      </c>
      <c r="N234" s="45">
        <f t="shared" si="118"/>
        <v>0.2</v>
      </c>
      <c r="O234" s="49">
        <v>60</v>
      </c>
      <c r="P234" s="54">
        <f>K234+3</f>
        <v>163</v>
      </c>
      <c r="Q234" s="44">
        <f t="shared" si="120"/>
        <v>150</v>
      </c>
      <c r="R234" s="50">
        <f t="shared" si="120"/>
        <v>270</v>
      </c>
    </row>
    <row r="235" spans="1:18" x14ac:dyDescent="0.25">
      <c r="A235" s="41">
        <f t="shared" si="117"/>
        <v>1083</v>
      </c>
      <c r="B235" s="42">
        <f t="shared" si="117"/>
        <v>225</v>
      </c>
      <c r="C235" s="41" t="s">
        <v>2094</v>
      </c>
      <c r="D235" s="43">
        <f t="shared" si="123"/>
        <v>25</v>
      </c>
      <c r="E235" s="61">
        <f t="shared" si="108"/>
        <v>3.4090000000000007</v>
      </c>
      <c r="F235" s="61">
        <f t="shared" si="109"/>
        <v>42</v>
      </c>
      <c r="G235" s="64">
        <f t="shared" si="110"/>
        <v>0.58988764044943809</v>
      </c>
      <c r="H235" s="44">
        <f t="shared" si="124"/>
        <v>29.432344969112751</v>
      </c>
      <c r="I235" s="42" t="str">
        <f t="shared" si="118"/>
        <v>Half</v>
      </c>
      <c r="J235" s="50">
        <f t="shared" si="118"/>
        <v>6</v>
      </c>
      <c r="K235" s="49">
        <f t="shared" si="118"/>
        <v>160</v>
      </c>
      <c r="L235" s="44">
        <f t="shared" si="118"/>
        <v>8</v>
      </c>
      <c r="M235" s="44">
        <f t="shared" si="118"/>
        <v>-8</v>
      </c>
      <c r="N235" s="45">
        <f t="shared" si="118"/>
        <v>0.2</v>
      </c>
      <c r="O235" s="49">
        <v>60</v>
      </c>
      <c r="P235" s="54">
        <f>K235+6</f>
        <v>166</v>
      </c>
      <c r="Q235" s="44">
        <f t="shared" si="120"/>
        <v>150</v>
      </c>
      <c r="R235" s="50">
        <f t="shared" si="120"/>
        <v>270</v>
      </c>
    </row>
    <row r="236" spans="1:18" x14ac:dyDescent="0.25">
      <c r="A236" s="41">
        <f t="shared" ref="A236:B251" si="125">A235+1</f>
        <v>1084</v>
      </c>
      <c r="B236" s="42">
        <f t="shared" si="125"/>
        <v>226</v>
      </c>
      <c r="C236" s="41" t="s">
        <v>2095</v>
      </c>
      <c r="D236" s="43">
        <f t="shared" si="123"/>
        <v>25</v>
      </c>
      <c r="E236" s="61">
        <f t="shared" si="108"/>
        <v>3.4090000000000007</v>
      </c>
      <c r="F236" s="61">
        <f t="shared" si="109"/>
        <v>42</v>
      </c>
      <c r="G236" s="64">
        <f t="shared" si="110"/>
        <v>0.58988764044943809</v>
      </c>
      <c r="H236" s="44">
        <f t="shared" si="124"/>
        <v>29.432344969112751</v>
      </c>
      <c r="I236" s="42" t="str">
        <f>I235</f>
        <v>Half</v>
      </c>
      <c r="J236" s="50">
        <f t="shared" ref="J236" si="126">J235</f>
        <v>6</v>
      </c>
      <c r="K236" s="49">
        <f t="shared" ref="K236:N239" si="127">K235</f>
        <v>160</v>
      </c>
      <c r="L236" s="44">
        <f t="shared" si="127"/>
        <v>8</v>
      </c>
      <c r="M236" s="44">
        <f t="shared" si="127"/>
        <v>-8</v>
      </c>
      <c r="N236" s="45">
        <f t="shared" si="127"/>
        <v>0.2</v>
      </c>
      <c r="O236" s="49">
        <v>90</v>
      </c>
      <c r="P236" s="54">
        <f>K236</f>
        <v>160</v>
      </c>
      <c r="Q236" s="44">
        <f t="shared" si="120"/>
        <v>150</v>
      </c>
      <c r="R236" s="50">
        <f t="shared" si="120"/>
        <v>270</v>
      </c>
    </row>
    <row r="237" spans="1:18" x14ac:dyDescent="0.25">
      <c r="A237" s="41">
        <f t="shared" si="125"/>
        <v>1085</v>
      </c>
      <c r="B237" s="42">
        <f t="shared" si="125"/>
        <v>227</v>
      </c>
      <c r="C237" s="41" t="s">
        <v>2096</v>
      </c>
      <c r="D237" s="43">
        <f t="shared" si="123"/>
        <v>25</v>
      </c>
      <c r="E237" s="61">
        <f t="shared" si="108"/>
        <v>3.4090000000000007</v>
      </c>
      <c r="F237" s="61">
        <f t="shared" si="109"/>
        <v>42</v>
      </c>
      <c r="G237" s="64">
        <f t="shared" si="110"/>
        <v>0.58988764044943809</v>
      </c>
      <c r="H237" s="44">
        <f t="shared" si="124"/>
        <v>29.432344969112751</v>
      </c>
      <c r="I237" s="42" t="str">
        <f>I236</f>
        <v>Half</v>
      </c>
      <c r="J237" s="50">
        <f t="shared" ref="J237" si="128">J236</f>
        <v>6</v>
      </c>
      <c r="K237" s="49">
        <f t="shared" si="127"/>
        <v>160</v>
      </c>
      <c r="L237" s="44">
        <f t="shared" si="127"/>
        <v>8</v>
      </c>
      <c r="M237" s="44">
        <f t="shared" si="127"/>
        <v>-8</v>
      </c>
      <c r="N237" s="45">
        <f t="shared" si="127"/>
        <v>0.2</v>
      </c>
      <c r="O237" s="49">
        <v>90</v>
      </c>
      <c r="P237" s="54">
        <f>K237+3</f>
        <v>163</v>
      </c>
      <c r="Q237" s="44">
        <f t="shared" ref="Q237:R252" si="129">Q236</f>
        <v>150</v>
      </c>
      <c r="R237" s="50">
        <f t="shared" si="129"/>
        <v>270</v>
      </c>
    </row>
    <row r="238" spans="1:18" x14ac:dyDescent="0.25">
      <c r="A238" s="41">
        <f t="shared" si="125"/>
        <v>1086</v>
      </c>
      <c r="B238" s="42">
        <f t="shared" si="125"/>
        <v>228</v>
      </c>
      <c r="C238" s="41" t="s">
        <v>2097</v>
      </c>
      <c r="D238" s="43">
        <f t="shared" si="123"/>
        <v>25</v>
      </c>
      <c r="E238" s="61">
        <f t="shared" si="108"/>
        <v>3.4090000000000007</v>
      </c>
      <c r="F238" s="61">
        <f t="shared" si="109"/>
        <v>42</v>
      </c>
      <c r="G238" s="64">
        <f t="shared" si="110"/>
        <v>0.58988764044943809</v>
      </c>
      <c r="H238" s="44">
        <f t="shared" si="124"/>
        <v>29.432344969112751</v>
      </c>
      <c r="I238" s="42" t="str">
        <f>I237</f>
        <v>Half</v>
      </c>
      <c r="J238" s="50">
        <f t="shared" ref="J238" si="130">J237</f>
        <v>6</v>
      </c>
      <c r="K238" s="49">
        <f t="shared" si="127"/>
        <v>160</v>
      </c>
      <c r="L238" s="44">
        <f t="shared" si="127"/>
        <v>8</v>
      </c>
      <c r="M238" s="44">
        <f t="shared" si="127"/>
        <v>-8</v>
      </c>
      <c r="N238" s="45">
        <f t="shared" si="127"/>
        <v>0.2</v>
      </c>
      <c r="O238" s="49">
        <v>90</v>
      </c>
      <c r="P238" s="54">
        <f>K238+6</f>
        <v>166</v>
      </c>
      <c r="Q238" s="44">
        <f t="shared" si="129"/>
        <v>150</v>
      </c>
      <c r="R238" s="50">
        <f t="shared" si="129"/>
        <v>270</v>
      </c>
    </row>
    <row r="239" spans="1:18" x14ac:dyDescent="0.25">
      <c r="A239" s="41">
        <f t="shared" si="125"/>
        <v>1087</v>
      </c>
      <c r="B239" s="42">
        <f t="shared" si="125"/>
        <v>229</v>
      </c>
      <c r="C239" s="41" t="s">
        <v>2098</v>
      </c>
      <c r="D239" s="43">
        <f t="shared" si="123"/>
        <v>25</v>
      </c>
      <c r="E239" s="61">
        <f t="shared" si="108"/>
        <v>3.4090000000000007</v>
      </c>
      <c r="F239" s="61">
        <f t="shared" si="109"/>
        <v>42</v>
      </c>
      <c r="G239" s="64">
        <f t="shared" si="110"/>
        <v>0.58988764044943809</v>
      </c>
      <c r="H239" s="44">
        <f>6.4*ATAN(E239/D239*G239)/PI()*180</f>
        <v>29.432344969112751</v>
      </c>
      <c r="I239" s="42" t="str">
        <f t="shared" ref="I239:N251" si="131">I238</f>
        <v>Half</v>
      </c>
      <c r="J239" s="50">
        <f t="shared" si="131"/>
        <v>6</v>
      </c>
      <c r="K239" s="49">
        <f t="shared" si="127"/>
        <v>160</v>
      </c>
      <c r="L239" s="44">
        <f t="shared" si="127"/>
        <v>8</v>
      </c>
      <c r="M239" s="44">
        <f>yaw_null</f>
        <v>0</v>
      </c>
      <c r="N239" s="45">
        <f t="shared" si="127"/>
        <v>0.2</v>
      </c>
      <c r="O239" s="49">
        <v>0</v>
      </c>
      <c r="P239" s="54">
        <f>K239</f>
        <v>160</v>
      </c>
      <c r="Q239" s="44">
        <f t="shared" si="129"/>
        <v>150</v>
      </c>
      <c r="R239" s="50">
        <f t="shared" si="129"/>
        <v>270</v>
      </c>
    </row>
    <row r="240" spans="1:18" x14ac:dyDescent="0.25">
      <c r="A240" s="41">
        <f t="shared" si="125"/>
        <v>1088</v>
      </c>
      <c r="B240" s="42">
        <f t="shared" si="125"/>
        <v>230</v>
      </c>
      <c r="C240" s="41" t="s">
        <v>2099</v>
      </c>
      <c r="D240" s="43">
        <f t="shared" si="123"/>
        <v>25</v>
      </c>
      <c r="E240" s="61">
        <f t="shared" si="108"/>
        <v>3.4090000000000007</v>
      </c>
      <c r="F240" s="61">
        <f t="shared" si="109"/>
        <v>42</v>
      </c>
      <c r="G240" s="64">
        <f t="shared" si="110"/>
        <v>0.58988764044943809</v>
      </c>
      <c r="H240" s="44">
        <f t="shared" si="124"/>
        <v>29.432344969112751</v>
      </c>
      <c r="I240" s="42" t="str">
        <f t="shared" si="131"/>
        <v>Half</v>
      </c>
      <c r="J240" s="50">
        <f t="shared" si="131"/>
        <v>6</v>
      </c>
      <c r="K240" s="49">
        <f t="shared" si="131"/>
        <v>160</v>
      </c>
      <c r="L240" s="44">
        <f t="shared" si="131"/>
        <v>8</v>
      </c>
      <c r="M240" s="44">
        <f t="shared" si="131"/>
        <v>0</v>
      </c>
      <c r="N240" s="45">
        <f t="shared" si="131"/>
        <v>0.2</v>
      </c>
      <c r="O240" s="49">
        <v>0</v>
      </c>
      <c r="P240" s="54">
        <f>K240+3</f>
        <v>163</v>
      </c>
      <c r="Q240" s="44">
        <f t="shared" si="129"/>
        <v>150</v>
      </c>
      <c r="R240" s="50">
        <f t="shared" si="129"/>
        <v>270</v>
      </c>
    </row>
    <row r="241" spans="1:18" x14ac:dyDescent="0.25">
      <c r="A241" s="41">
        <f t="shared" si="125"/>
        <v>1089</v>
      </c>
      <c r="B241" s="42">
        <f t="shared" si="125"/>
        <v>231</v>
      </c>
      <c r="C241" s="41" t="s">
        <v>2100</v>
      </c>
      <c r="D241" s="43">
        <f t="shared" si="123"/>
        <v>25</v>
      </c>
      <c r="E241" s="61">
        <f t="shared" si="108"/>
        <v>3.4090000000000007</v>
      </c>
      <c r="F241" s="61">
        <f t="shared" si="109"/>
        <v>42</v>
      </c>
      <c r="G241" s="64">
        <f t="shared" si="110"/>
        <v>0.58988764044943809</v>
      </c>
      <c r="H241" s="44">
        <f t="shared" si="124"/>
        <v>29.432344969112751</v>
      </c>
      <c r="I241" s="42" t="str">
        <f t="shared" si="131"/>
        <v>Half</v>
      </c>
      <c r="J241" s="50">
        <f t="shared" si="131"/>
        <v>6</v>
      </c>
      <c r="K241" s="49">
        <f t="shared" si="131"/>
        <v>160</v>
      </c>
      <c r="L241" s="44">
        <f t="shared" si="131"/>
        <v>8</v>
      </c>
      <c r="M241" s="44">
        <f t="shared" si="131"/>
        <v>0</v>
      </c>
      <c r="N241" s="45">
        <f t="shared" si="131"/>
        <v>0.2</v>
      </c>
      <c r="O241" s="49">
        <v>0</v>
      </c>
      <c r="P241" s="54">
        <f>K241+6</f>
        <v>166</v>
      </c>
      <c r="Q241" s="44">
        <f t="shared" si="129"/>
        <v>150</v>
      </c>
      <c r="R241" s="50">
        <f t="shared" si="129"/>
        <v>270</v>
      </c>
    </row>
    <row r="242" spans="1:18" x14ac:dyDescent="0.25">
      <c r="A242" s="41">
        <f t="shared" si="125"/>
        <v>1090</v>
      </c>
      <c r="B242" s="42">
        <f t="shared" si="125"/>
        <v>232</v>
      </c>
      <c r="C242" s="41" t="s">
        <v>2101</v>
      </c>
      <c r="D242" s="43">
        <f t="shared" si="123"/>
        <v>25</v>
      </c>
      <c r="E242" s="61">
        <f t="shared" si="108"/>
        <v>3.4090000000000007</v>
      </c>
      <c r="F242" s="61">
        <f t="shared" si="109"/>
        <v>42</v>
      </c>
      <c r="G242" s="64">
        <f t="shared" si="110"/>
        <v>0.58988764044943809</v>
      </c>
      <c r="H242" s="44">
        <f t="shared" si="124"/>
        <v>29.432344969112751</v>
      </c>
      <c r="I242" s="42" t="str">
        <f t="shared" si="131"/>
        <v>Half</v>
      </c>
      <c r="J242" s="50">
        <f t="shared" si="131"/>
        <v>6</v>
      </c>
      <c r="K242" s="49">
        <f t="shared" si="131"/>
        <v>160</v>
      </c>
      <c r="L242" s="44">
        <f t="shared" si="131"/>
        <v>8</v>
      </c>
      <c r="M242" s="44">
        <f t="shared" si="131"/>
        <v>0</v>
      </c>
      <c r="N242" s="45">
        <f t="shared" si="131"/>
        <v>0.2</v>
      </c>
      <c r="O242" s="49">
        <v>30</v>
      </c>
      <c r="P242" s="54">
        <f>K242</f>
        <v>160</v>
      </c>
      <c r="Q242" s="44">
        <f t="shared" si="129"/>
        <v>150</v>
      </c>
      <c r="R242" s="50">
        <f t="shared" si="129"/>
        <v>270</v>
      </c>
    </row>
    <row r="243" spans="1:18" x14ac:dyDescent="0.25">
      <c r="A243" s="41">
        <f t="shared" si="125"/>
        <v>1091</v>
      </c>
      <c r="B243" s="42">
        <f t="shared" si="125"/>
        <v>233</v>
      </c>
      <c r="C243" s="41" t="s">
        <v>2102</v>
      </c>
      <c r="D243" s="43">
        <f t="shared" si="123"/>
        <v>25</v>
      </c>
      <c r="E243" s="61">
        <f t="shared" si="108"/>
        <v>3.4090000000000007</v>
      </c>
      <c r="F243" s="61">
        <f t="shared" si="109"/>
        <v>42</v>
      </c>
      <c r="G243" s="64">
        <f t="shared" si="110"/>
        <v>0.58988764044943809</v>
      </c>
      <c r="H243" s="44">
        <f t="shared" si="124"/>
        <v>29.432344969112751</v>
      </c>
      <c r="I243" s="42" t="s">
        <v>12</v>
      </c>
      <c r="J243" s="50">
        <f t="shared" ref="J243" si="132">J242</f>
        <v>6</v>
      </c>
      <c r="K243" s="49">
        <f t="shared" si="131"/>
        <v>160</v>
      </c>
      <c r="L243" s="44">
        <f t="shared" si="131"/>
        <v>8</v>
      </c>
      <c r="M243" s="44">
        <f t="shared" si="131"/>
        <v>0</v>
      </c>
      <c r="N243" s="45">
        <f t="shared" si="131"/>
        <v>0.2</v>
      </c>
      <c r="O243" s="49">
        <v>30</v>
      </c>
      <c r="P243" s="54">
        <f>K243+3</f>
        <v>163</v>
      </c>
      <c r="Q243" s="44">
        <f t="shared" si="129"/>
        <v>150</v>
      </c>
      <c r="R243" s="50">
        <f t="shared" si="129"/>
        <v>270</v>
      </c>
    </row>
    <row r="244" spans="1:18" x14ac:dyDescent="0.25">
      <c r="A244" s="41">
        <f t="shared" si="125"/>
        <v>1092</v>
      </c>
      <c r="B244" s="42">
        <f t="shared" si="125"/>
        <v>234</v>
      </c>
      <c r="C244" s="41" t="s">
        <v>2103</v>
      </c>
      <c r="D244" s="43">
        <f t="shared" si="123"/>
        <v>25</v>
      </c>
      <c r="E244" s="61">
        <f t="shared" si="108"/>
        <v>3.4090000000000007</v>
      </c>
      <c r="F244" s="61">
        <f t="shared" si="109"/>
        <v>42</v>
      </c>
      <c r="G244" s="64">
        <f t="shared" si="110"/>
        <v>0.58988764044943809</v>
      </c>
      <c r="H244" s="44">
        <f t="shared" si="124"/>
        <v>29.432344969112751</v>
      </c>
      <c r="I244" s="42" t="str">
        <f>I243</f>
        <v>Half</v>
      </c>
      <c r="J244" s="50">
        <f t="shared" ref="J244" si="133">J243</f>
        <v>6</v>
      </c>
      <c r="K244" s="49">
        <f t="shared" si="131"/>
        <v>160</v>
      </c>
      <c r="L244" s="44">
        <f t="shared" si="131"/>
        <v>8</v>
      </c>
      <c r="M244" s="44">
        <f t="shared" si="131"/>
        <v>0</v>
      </c>
      <c r="N244" s="45">
        <f t="shared" si="131"/>
        <v>0.2</v>
      </c>
      <c r="O244" s="49">
        <v>30</v>
      </c>
      <c r="P244" s="54">
        <f>K244+6</f>
        <v>166</v>
      </c>
      <c r="Q244" s="44">
        <f t="shared" si="129"/>
        <v>150</v>
      </c>
      <c r="R244" s="50">
        <f t="shared" si="129"/>
        <v>270</v>
      </c>
    </row>
    <row r="245" spans="1:18" x14ac:dyDescent="0.25">
      <c r="A245" s="41">
        <f t="shared" si="125"/>
        <v>1093</v>
      </c>
      <c r="B245" s="42">
        <f t="shared" si="125"/>
        <v>235</v>
      </c>
      <c r="C245" s="41" t="s">
        <v>2104</v>
      </c>
      <c r="D245" s="43">
        <f t="shared" si="123"/>
        <v>25</v>
      </c>
      <c r="E245" s="61">
        <f t="shared" si="108"/>
        <v>3.4090000000000007</v>
      </c>
      <c r="F245" s="61">
        <f t="shared" si="109"/>
        <v>42</v>
      </c>
      <c r="G245" s="64">
        <f t="shared" si="110"/>
        <v>0.58988764044943809</v>
      </c>
      <c r="H245" s="44">
        <f t="shared" si="124"/>
        <v>29.432344969112751</v>
      </c>
      <c r="I245" s="42" t="str">
        <f t="shared" si="131"/>
        <v>Half</v>
      </c>
      <c r="J245" s="50">
        <f t="shared" si="131"/>
        <v>6</v>
      </c>
      <c r="K245" s="49">
        <f t="shared" si="131"/>
        <v>160</v>
      </c>
      <c r="L245" s="44">
        <f t="shared" si="131"/>
        <v>8</v>
      </c>
      <c r="M245" s="44">
        <f t="shared" si="131"/>
        <v>0</v>
      </c>
      <c r="N245" s="45">
        <f t="shared" si="131"/>
        <v>0.2</v>
      </c>
      <c r="O245" s="49">
        <v>60</v>
      </c>
      <c r="P245" s="54">
        <f>K245</f>
        <v>160</v>
      </c>
      <c r="Q245" s="44">
        <f t="shared" si="129"/>
        <v>150</v>
      </c>
      <c r="R245" s="50">
        <f t="shared" si="129"/>
        <v>270</v>
      </c>
    </row>
    <row r="246" spans="1:18" x14ac:dyDescent="0.25">
      <c r="A246" s="41">
        <f t="shared" si="125"/>
        <v>1094</v>
      </c>
      <c r="B246" s="42">
        <f t="shared" si="125"/>
        <v>236</v>
      </c>
      <c r="C246" s="41" t="s">
        <v>2105</v>
      </c>
      <c r="D246" s="43">
        <f t="shared" si="123"/>
        <v>25</v>
      </c>
      <c r="E246" s="61">
        <f t="shared" si="108"/>
        <v>3.4090000000000007</v>
      </c>
      <c r="F246" s="61">
        <f t="shared" si="109"/>
        <v>42</v>
      </c>
      <c r="G246" s="64">
        <f t="shared" si="110"/>
        <v>0.58988764044943809</v>
      </c>
      <c r="H246" s="44">
        <f t="shared" si="124"/>
        <v>29.432344969112751</v>
      </c>
      <c r="I246" s="42" t="str">
        <f t="shared" si="131"/>
        <v>Half</v>
      </c>
      <c r="J246" s="50">
        <f t="shared" si="131"/>
        <v>6</v>
      </c>
      <c r="K246" s="49">
        <f t="shared" si="131"/>
        <v>160</v>
      </c>
      <c r="L246" s="44">
        <f t="shared" si="131"/>
        <v>8</v>
      </c>
      <c r="M246" s="44">
        <f t="shared" si="131"/>
        <v>0</v>
      </c>
      <c r="N246" s="45">
        <f t="shared" si="131"/>
        <v>0.2</v>
      </c>
      <c r="O246" s="49">
        <v>60</v>
      </c>
      <c r="P246" s="54">
        <f>K246+3</f>
        <v>163</v>
      </c>
      <c r="Q246" s="44">
        <f t="shared" si="129"/>
        <v>150</v>
      </c>
      <c r="R246" s="50">
        <f t="shared" si="129"/>
        <v>270</v>
      </c>
    </row>
    <row r="247" spans="1:18" x14ac:dyDescent="0.25">
      <c r="A247" s="41">
        <f t="shared" si="125"/>
        <v>1095</v>
      </c>
      <c r="B247" s="42">
        <f t="shared" si="125"/>
        <v>237</v>
      </c>
      <c r="C247" s="41" t="s">
        <v>2106</v>
      </c>
      <c r="D247" s="43">
        <f t="shared" si="123"/>
        <v>25</v>
      </c>
      <c r="E247" s="61">
        <f t="shared" si="108"/>
        <v>3.4090000000000007</v>
      </c>
      <c r="F247" s="61">
        <f t="shared" si="109"/>
        <v>42</v>
      </c>
      <c r="G247" s="64">
        <f t="shared" si="110"/>
        <v>0.58988764044943809</v>
      </c>
      <c r="H247" s="44">
        <f t="shared" si="124"/>
        <v>29.432344969112751</v>
      </c>
      <c r="I247" s="42" t="str">
        <f t="shared" si="131"/>
        <v>Half</v>
      </c>
      <c r="J247" s="50">
        <f t="shared" si="131"/>
        <v>6</v>
      </c>
      <c r="K247" s="49">
        <f t="shared" si="131"/>
        <v>160</v>
      </c>
      <c r="L247" s="44">
        <f t="shared" si="131"/>
        <v>8</v>
      </c>
      <c r="M247" s="44">
        <f t="shared" si="131"/>
        <v>0</v>
      </c>
      <c r="N247" s="45">
        <f t="shared" si="131"/>
        <v>0.2</v>
      </c>
      <c r="O247" s="49">
        <v>60</v>
      </c>
      <c r="P247" s="54">
        <f>K247+6</f>
        <v>166</v>
      </c>
      <c r="Q247" s="44">
        <f t="shared" si="129"/>
        <v>150</v>
      </c>
      <c r="R247" s="50">
        <f t="shared" si="129"/>
        <v>270</v>
      </c>
    </row>
    <row r="248" spans="1:18" x14ac:dyDescent="0.25">
      <c r="A248" s="41">
        <f t="shared" si="125"/>
        <v>1096</v>
      </c>
      <c r="B248" s="42">
        <f t="shared" si="125"/>
        <v>238</v>
      </c>
      <c r="C248" s="41" t="s">
        <v>2107</v>
      </c>
      <c r="D248" s="43">
        <f t="shared" si="123"/>
        <v>25</v>
      </c>
      <c r="E248" s="61">
        <f t="shared" si="108"/>
        <v>3.4090000000000007</v>
      </c>
      <c r="F248" s="61">
        <f t="shared" si="109"/>
        <v>42</v>
      </c>
      <c r="G248" s="64">
        <f t="shared" si="110"/>
        <v>0.58988764044943809</v>
      </c>
      <c r="H248" s="44">
        <f t="shared" si="124"/>
        <v>29.432344969112751</v>
      </c>
      <c r="I248" s="42" t="str">
        <f t="shared" si="131"/>
        <v>Half</v>
      </c>
      <c r="J248" s="50">
        <f t="shared" si="131"/>
        <v>6</v>
      </c>
      <c r="K248" s="49">
        <f t="shared" si="131"/>
        <v>160</v>
      </c>
      <c r="L248" s="44">
        <f t="shared" si="131"/>
        <v>8</v>
      </c>
      <c r="M248" s="44">
        <f t="shared" si="131"/>
        <v>0</v>
      </c>
      <c r="N248" s="45">
        <f t="shared" si="131"/>
        <v>0.2</v>
      </c>
      <c r="O248" s="49">
        <v>90</v>
      </c>
      <c r="P248" s="54">
        <f>K248</f>
        <v>160</v>
      </c>
      <c r="Q248" s="44">
        <f t="shared" si="129"/>
        <v>150</v>
      </c>
      <c r="R248" s="50">
        <f t="shared" si="129"/>
        <v>270</v>
      </c>
    </row>
    <row r="249" spans="1:18" x14ac:dyDescent="0.25">
      <c r="A249" s="41">
        <f t="shared" si="125"/>
        <v>1097</v>
      </c>
      <c r="B249" s="42">
        <f t="shared" si="125"/>
        <v>239</v>
      </c>
      <c r="C249" s="41" t="s">
        <v>2108</v>
      </c>
      <c r="D249" s="43">
        <f t="shared" si="123"/>
        <v>25</v>
      </c>
      <c r="E249" s="61">
        <f t="shared" si="108"/>
        <v>3.4090000000000007</v>
      </c>
      <c r="F249" s="61">
        <f t="shared" si="109"/>
        <v>42</v>
      </c>
      <c r="G249" s="64">
        <f t="shared" si="110"/>
        <v>0.58988764044943809</v>
      </c>
      <c r="H249" s="44">
        <f t="shared" si="124"/>
        <v>29.432344969112751</v>
      </c>
      <c r="I249" s="42" t="str">
        <f t="shared" si="131"/>
        <v>Half</v>
      </c>
      <c r="J249" s="50">
        <f t="shared" si="131"/>
        <v>6</v>
      </c>
      <c r="K249" s="49">
        <f t="shared" si="131"/>
        <v>160</v>
      </c>
      <c r="L249" s="44">
        <f t="shared" si="131"/>
        <v>8</v>
      </c>
      <c r="M249" s="44">
        <f t="shared" si="131"/>
        <v>0</v>
      </c>
      <c r="N249" s="45">
        <f t="shared" si="131"/>
        <v>0.2</v>
      </c>
      <c r="O249" s="49">
        <v>90</v>
      </c>
      <c r="P249" s="54">
        <f>K249+3</f>
        <v>163</v>
      </c>
      <c r="Q249" s="44">
        <f t="shared" si="129"/>
        <v>150</v>
      </c>
      <c r="R249" s="50">
        <f t="shared" si="129"/>
        <v>270</v>
      </c>
    </row>
    <row r="250" spans="1:18" x14ac:dyDescent="0.25">
      <c r="A250" s="41">
        <f t="shared" si="125"/>
        <v>1098</v>
      </c>
      <c r="B250" s="42">
        <f t="shared" si="125"/>
        <v>240</v>
      </c>
      <c r="C250" s="127" t="s">
        <v>2109</v>
      </c>
      <c r="D250" s="43">
        <f t="shared" si="123"/>
        <v>25</v>
      </c>
      <c r="E250" s="61">
        <f t="shared" si="108"/>
        <v>3.4090000000000007</v>
      </c>
      <c r="F250" s="61">
        <f t="shared" si="109"/>
        <v>42</v>
      </c>
      <c r="G250" s="64">
        <f t="shared" si="110"/>
        <v>0.58988764044943809</v>
      </c>
      <c r="H250" s="44">
        <f t="shared" si="124"/>
        <v>29.432344969112751</v>
      </c>
      <c r="I250" s="42" t="str">
        <f t="shared" si="131"/>
        <v>Half</v>
      </c>
      <c r="J250" s="50">
        <f t="shared" si="131"/>
        <v>6</v>
      </c>
      <c r="K250" s="49">
        <f t="shared" si="131"/>
        <v>160</v>
      </c>
      <c r="L250" s="44">
        <f t="shared" si="131"/>
        <v>8</v>
      </c>
      <c r="M250" s="44">
        <f t="shared" si="131"/>
        <v>0</v>
      </c>
      <c r="N250" s="45">
        <f t="shared" si="131"/>
        <v>0.2</v>
      </c>
      <c r="O250" s="49">
        <v>90</v>
      </c>
      <c r="P250" s="54">
        <f>K250+6</f>
        <v>166</v>
      </c>
      <c r="Q250" s="44">
        <f t="shared" si="129"/>
        <v>150</v>
      </c>
      <c r="R250" s="50">
        <f t="shared" si="129"/>
        <v>270</v>
      </c>
    </row>
    <row r="251" spans="1:18" x14ac:dyDescent="0.25">
      <c r="A251" s="41">
        <f t="shared" si="125"/>
        <v>1099</v>
      </c>
      <c r="B251" s="42">
        <f t="shared" si="125"/>
        <v>241</v>
      </c>
      <c r="C251" s="41" t="s">
        <v>2110</v>
      </c>
      <c r="D251" s="43">
        <f t="shared" si="123"/>
        <v>25</v>
      </c>
      <c r="E251" s="61">
        <f t="shared" si="108"/>
        <v>3.4090000000000007</v>
      </c>
      <c r="F251" s="61">
        <f t="shared" si="109"/>
        <v>42</v>
      </c>
      <c r="G251" s="64">
        <f t="shared" si="110"/>
        <v>0.58988764044943809</v>
      </c>
      <c r="H251" s="44">
        <f>6.4*ATAN(E251/D251*G251)/PI()*180</f>
        <v>29.432344969112751</v>
      </c>
      <c r="I251" s="42" t="str">
        <f t="shared" si="131"/>
        <v>Half</v>
      </c>
      <c r="J251" s="50">
        <f t="shared" si="131"/>
        <v>6</v>
      </c>
      <c r="K251" s="49">
        <f t="shared" si="131"/>
        <v>160</v>
      </c>
      <c r="L251" s="44">
        <f t="shared" si="131"/>
        <v>8</v>
      </c>
      <c r="M251" s="44">
        <f>yaw_max</f>
        <v>8</v>
      </c>
      <c r="N251" s="45">
        <f t="shared" si="131"/>
        <v>0.2</v>
      </c>
      <c r="O251" s="49">
        <v>0</v>
      </c>
      <c r="P251" s="54">
        <f>K251</f>
        <v>160</v>
      </c>
      <c r="Q251" s="44">
        <f t="shared" si="129"/>
        <v>150</v>
      </c>
      <c r="R251" s="50">
        <f t="shared" si="129"/>
        <v>270</v>
      </c>
    </row>
    <row r="252" spans="1:18" x14ac:dyDescent="0.25">
      <c r="A252" s="41">
        <f t="shared" ref="A252:B267" si="134">A251+1</f>
        <v>1100</v>
      </c>
      <c r="B252" s="42">
        <f t="shared" si="134"/>
        <v>242</v>
      </c>
      <c r="C252" s="41" t="s">
        <v>2111</v>
      </c>
      <c r="D252" s="43">
        <f t="shared" si="123"/>
        <v>25</v>
      </c>
      <c r="E252" s="61">
        <f t="shared" si="108"/>
        <v>3.4090000000000007</v>
      </c>
      <c r="F252" s="61">
        <f t="shared" si="109"/>
        <v>42</v>
      </c>
      <c r="G252" s="64">
        <f t="shared" si="110"/>
        <v>0.58988764044943809</v>
      </c>
      <c r="H252" s="44">
        <f t="shared" si="124"/>
        <v>29.432344969112751</v>
      </c>
      <c r="I252" s="42" t="str">
        <f t="shared" ref="I252:N267" si="135">I251</f>
        <v>Half</v>
      </c>
      <c r="J252" s="50">
        <f t="shared" si="135"/>
        <v>6</v>
      </c>
      <c r="K252" s="49">
        <f t="shared" si="135"/>
        <v>160</v>
      </c>
      <c r="L252" s="44">
        <f t="shared" si="135"/>
        <v>8</v>
      </c>
      <c r="M252" s="44">
        <f t="shared" si="135"/>
        <v>8</v>
      </c>
      <c r="N252" s="45">
        <f t="shared" si="135"/>
        <v>0.2</v>
      </c>
      <c r="O252" s="49">
        <v>0</v>
      </c>
      <c r="P252" s="54">
        <f>K252+3</f>
        <v>163</v>
      </c>
      <c r="Q252" s="44">
        <f t="shared" si="129"/>
        <v>150</v>
      </c>
      <c r="R252" s="50">
        <f t="shared" si="129"/>
        <v>270</v>
      </c>
    </row>
    <row r="253" spans="1:18" x14ac:dyDescent="0.25">
      <c r="A253" s="41">
        <f t="shared" si="134"/>
        <v>1101</v>
      </c>
      <c r="B253" s="42">
        <f t="shared" si="134"/>
        <v>243</v>
      </c>
      <c r="C253" s="41" t="s">
        <v>2112</v>
      </c>
      <c r="D253" s="43">
        <f t="shared" si="123"/>
        <v>25</v>
      </c>
      <c r="E253" s="61">
        <f t="shared" si="108"/>
        <v>3.4090000000000007</v>
      </c>
      <c r="F253" s="61">
        <f t="shared" si="109"/>
        <v>42</v>
      </c>
      <c r="G253" s="64">
        <f t="shared" si="110"/>
        <v>0.58988764044943809</v>
      </c>
      <c r="H253" s="44">
        <f t="shared" si="124"/>
        <v>29.432344969112751</v>
      </c>
      <c r="I253" s="42" t="str">
        <f t="shared" si="135"/>
        <v>Half</v>
      </c>
      <c r="J253" s="50">
        <f t="shared" si="135"/>
        <v>6</v>
      </c>
      <c r="K253" s="49">
        <f t="shared" si="135"/>
        <v>160</v>
      </c>
      <c r="L253" s="44">
        <f t="shared" si="135"/>
        <v>8</v>
      </c>
      <c r="M253" s="44">
        <f t="shared" si="135"/>
        <v>8</v>
      </c>
      <c r="N253" s="45">
        <f t="shared" si="135"/>
        <v>0.2</v>
      </c>
      <c r="O253" s="49">
        <v>0</v>
      </c>
      <c r="P253" s="54">
        <f>K253+6</f>
        <v>166</v>
      </c>
      <c r="Q253" s="44">
        <f t="shared" ref="Q253:R268" si="136">Q252</f>
        <v>150</v>
      </c>
      <c r="R253" s="50">
        <f t="shared" si="136"/>
        <v>270</v>
      </c>
    </row>
    <row r="254" spans="1:18" x14ac:dyDescent="0.25">
      <c r="A254" s="41">
        <f t="shared" si="134"/>
        <v>1102</v>
      </c>
      <c r="B254" s="42">
        <f t="shared" si="134"/>
        <v>244</v>
      </c>
      <c r="C254" s="41" t="s">
        <v>2113</v>
      </c>
      <c r="D254" s="43">
        <f t="shared" si="123"/>
        <v>25</v>
      </c>
      <c r="E254" s="61">
        <f t="shared" si="108"/>
        <v>3.4090000000000007</v>
      </c>
      <c r="F254" s="61">
        <f t="shared" si="109"/>
        <v>42</v>
      </c>
      <c r="G254" s="64">
        <f t="shared" si="110"/>
        <v>0.58988764044943809</v>
      </c>
      <c r="H254" s="44">
        <f t="shared" si="124"/>
        <v>29.432344969112751</v>
      </c>
      <c r="I254" s="42" t="str">
        <f t="shared" si="135"/>
        <v>Half</v>
      </c>
      <c r="J254" s="50">
        <f t="shared" si="135"/>
        <v>6</v>
      </c>
      <c r="K254" s="49">
        <f t="shared" si="135"/>
        <v>160</v>
      </c>
      <c r="L254" s="44">
        <f t="shared" si="135"/>
        <v>8</v>
      </c>
      <c r="M254" s="44">
        <f t="shared" si="135"/>
        <v>8</v>
      </c>
      <c r="N254" s="45">
        <f t="shared" si="135"/>
        <v>0.2</v>
      </c>
      <c r="O254" s="49">
        <v>30</v>
      </c>
      <c r="P254" s="54">
        <f>K254</f>
        <v>160</v>
      </c>
      <c r="Q254" s="44">
        <f t="shared" si="136"/>
        <v>150</v>
      </c>
      <c r="R254" s="50">
        <f t="shared" si="136"/>
        <v>270</v>
      </c>
    </row>
    <row r="255" spans="1:18" x14ac:dyDescent="0.25">
      <c r="A255" s="41">
        <f t="shared" si="134"/>
        <v>1103</v>
      </c>
      <c r="B255" s="42">
        <f t="shared" si="134"/>
        <v>245</v>
      </c>
      <c r="C255" s="41" t="s">
        <v>2114</v>
      </c>
      <c r="D255" s="43">
        <f t="shared" si="123"/>
        <v>25</v>
      </c>
      <c r="E255" s="61">
        <f t="shared" si="108"/>
        <v>3.4090000000000007</v>
      </c>
      <c r="F255" s="61">
        <f t="shared" si="109"/>
        <v>42</v>
      </c>
      <c r="G255" s="64">
        <f t="shared" si="110"/>
        <v>0.58988764044943809</v>
      </c>
      <c r="H255" s="44">
        <f t="shared" si="124"/>
        <v>29.432344969112751</v>
      </c>
      <c r="I255" s="42" t="str">
        <f t="shared" si="135"/>
        <v>Half</v>
      </c>
      <c r="J255" s="50">
        <f t="shared" si="135"/>
        <v>6</v>
      </c>
      <c r="K255" s="49">
        <f t="shared" si="135"/>
        <v>160</v>
      </c>
      <c r="L255" s="44">
        <f t="shared" si="135"/>
        <v>8</v>
      </c>
      <c r="M255" s="44">
        <f t="shared" si="135"/>
        <v>8</v>
      </c>
      <c r="N255" s="45">
        <f t="shared" si="135"/>
        <v>0.2</v>
      </c>
      <c r="O255" s="49">
        <v>30</v>
      </c>
      <c r="P255" s="54">
        <f>K255+3</f>
        <v>163</v>
      </c>
      <c r="Q255" s="44">
        <f t="shared" si="136"/>
        <v>150</v>
      </c>
      <c r="R255" s="50">
        <f t="shared" si="136"/>
        <v>270</v>
      </c>
    </row>
    <row r="256" spans="1:18" x14ac:dyDescent="0.25">
      <c r="A256" s="41">
        <f t="shared" si="134"/>
        <v>1104</v>
      </c>
      <c r="B256" s="42">
        <f t="shared" si="134"/>
        <v>246</v>
      </c>
      <c r="C256" s="41" t="s">
        <v>2115</v>
      </c>
      <c r="D256" s="43">
        <f t="shared" si="123"/>
        <v>25</v>
      </c>
      <c r="E256" s="61">
        <f t="shared" si="108"/>
        <v>3.4090000000000007</v>
      </c>
      <c r="F256" s="61">
        <f t="shared" si="109"/>
        <v>42</v>
      </c>
      <c r="G256" s="64">
        <f t="shared" si="110"/>
        <v>0.58988764044943809</v>
      </c>
      <c r="H256" s="44">
        <f t="shared" si="124"/>
        <v>29.432344969112751</v>
      </c>
      <c r="I256" s="42" t="str">
        <f t="shared" si="135"/>
        <v>Half</v>
      </c>
      <c r="J256" s="50">
        <f t="shared" si="135"/>
        <v>6</v>
      </c>
      <c r="K256" s="49">
        <f t="shared" si="135"/>
        <v>160</v>
      </c>
      <c r="L256" s="44">
        <f t="shared" si="135"/>
        <v>8</v>
      </c>
      <c r="M256" s="44">
        <f t="shared" si="135"/>
        <v>8</v>
      </c>
      <c r="N256" s="45">
        <f t="shared" si="135"/>
        <v>0.2</v>
      </c>
      <c r="O256" s="49">
        <v>30</v>
      </c>
      <c r="P256" s="54">
        <f>K256+6</f>
        <v>166</v>
      </c>
      <c r="Q256" s="44">
        <f t="shared" si="136"/>
        <v>150</v>
      </c>
      <c r="R256" s="50">
        <f t="shared" si="136"/>
        <v>270</v>
      </c>
    </row>
    <row r="257" spans="1:18" x14ac:dyDescent="0.25">
      <c r="A257" s="41">
        <f t="shared" si="134"/>
        <v>1105</v>
      </c>
      <c r="B257" s="42">
        <f t="shared" si="134"/>
        <v>247</v>
      </c>
      <c r="C257" s="41" t="s">
        <v>2116</v>
      </c>
      <c r="D257" s="43">
        <f t="shared" si="123"/>
        <v>25</v>
      </c>
      <c r="E257" s="61">
        <f t="shared" si="108"/>
        <v>3.4090000000000007</v>
      </c>
      <c r="F257" s="61">
        <f t="shared" si="109"/>
        <v>42</v>
      </c>
      <c r="G257" s="64">
        <f t="shared" si="110"/>
        <v>0.58988764044943809</v>
      </c>
      <c r="H257" s="44">
        <f t="shared" si="124"/>
        <v>29.432344969112751</v>
      </c>
      <c r="I257" s="42" t="str">
        <f t="shared" si="135"/>
        <v>Half</v>
      </c>
      <c r="J257" s="50">
        <f t="shared" si="135"/>
        <v>6</v>
      </c>
      <c r="K257" s="49">
        <f t="shared" si="135"/>
        <v>160</v>
      </c>
      <c r="L257" s="44">
        <f t="shared" si="135"/>
        <v>8</v>
      </c>
      <c r="M257" s="44">
        <f t="shared" si="135"/>
        <v>8</v>
      </c>
      <c r="N257" s="45">
        <f t="shared" si="135"/>
        <v>0.2</v>
      </c>
      <c r="O257" s="49">
        <v>60</v>
      </c>
      <c r="P257" s="54">
        <f>K257</f>
        <v>160</v>
      </c>
      <c r="Q257" s="44">
        <f t="shared" si="136"/>
        <v>150</v>
      </c>
      <c r="R257" s="50">
        <f t="shared" si="136"/>
        <v>270</v>
      </c>
    </row>
    <row r="258" spans="1:18" x14ac:dyDescent="0.25">
      <c r="A258" s="41">
        <f t="shared" si="134"/>
        <v>1106</v>
      </c>
      <c r="B258" s="42">
        <f t="shared" si="134"/>
        <v>248</v>
      </c>
      <c r="C258" s="41" t="s">
        <v>2117</v>
      </c>
      <c r="D258" s="43">
        <f t="shared" si="123"/>
        <v>25</v>
      </c>
      <c r="E258" s="61">
        <f t="shared" si="108"/>
        <v>3.4090000000000007</v>
      </c>
      <c r="F258" s="61">
        <f t="shared" si="109"/>
        <v>42</v>
      </c>
      <c r="G258" s="64">
        <f t="shared" si="110"/>
        <v>0.58988764044943809</v>
      </c>
      <c r="H258" s="44">
        <f t="shared" si="124"/>
        <v>29.432344969112751</v>
      </c>
      <c r="I258" s="42" t="str">
        <f t="shared" si="135"/>
        <v>Half</v>
      </c>
      <c r="J258" s="50">
        <f t="shared" si="135"/>
        <v>6</v>
      </c>
      <c r="K258" s="49">
        <f t="shared" si="135"/>
        <v>160</v>
      </c>
      <c r="L258" s="44">
        <f t="shared" si="135"/>
        <v>8</v>
      </c>
      <c r="M258" s="44">
        <f t="shared" si="135"/>
        <v>8</v>
      </c>
      <c r="N258" s="45">
        <f t="shared" si="135"/>
        <v>0.2</v>
      </c>
      <c r="O258" s="49">
        <v>60</v>
      </c>
      <c r="P258" s="54">
        <f>K258+3</f>
        <v>163</v>
      </c>
      <c r="Q258" s="44">
        <f t="shared" si="136"/>
        <v>150</v>
      </c>
      <c r="R258" s="50">
        <f t="shared" si="136"/>
        <v>270</v>
      </c>
    </row>
    <row r="259" spans="1:18" x14ac:dyDescent="0.25">
      <c r="A259" s="41">
        <f t="shared" si="134"/>
        <v>1107</v>
      </c>
      <c r="B259" s="42">
        <f t="shared" si="134"/>
        <v>249</v>
      </c>
      <c r="C259" s="41" t="s">
        <v>2118</v>
      </c>
      <c r="D259" s="43">
        <f t="shared" ref="D259:D290" si="137">v_out</f>
        <v>25</v>
      </c>
      <c r="E259" s="61">
        <f t="shared" si="108"/>
        <v>3.4090000000000007</v>
      </c>
      <c r="F259" s="61">
        <f t="shared" si="109"/>
        <v>42</v>
      </c>
      <c r="G259" s="64">
        <f t="shared" si="110"/>
        <v>0.58988764044943809</v>
      </c>
      <c r="H259" s="44">
        <f t="shared" si="124"/>
        <v>29.432344969112751</v>
      </c>
      <c r="I259" s="42" t="s">
        <v>12</v>
      </c>
      <c r="J259" s="50">
        <f t="shared" ref="J259" si="138">J258</f>
        <v>6</v>
      </c>
      <c r="K259" s="49">
        <f t="shared" si="135"/>
        <v>160</v>
      </c>
      <c r="L259" s="44">
        <f t="shared" si="135"/>
        <v>8</v>
      </c>
      <c r="M259" s="44">
        <f t="shared" si="135"/>
        <v>8</v>
      </c>
      <c r="N259" s="45">
        <f t="shared" si="135"/>
        <v>0.2</v>
      </c>
      <c r="O259" s="49">
        <v>60</v>
      </c>
      <c r="P259" s="54">
        <f>K259+6</f>
        <v>166</v>
      </c>
      <c r="Q259" s="44">
        <f t="shared" si="136"/>
        <v>150</v>
      </c>
      <c r="R259" s="50">
        <f t="shared" si="136"/>
        <v>270</v>
      </c>
    </row>
    <row r="260" spans="1:18" x14ac:dyDescent="0.25">
      <c r="A260" s="41">
        <f t="shared" si="134"/>
        <v>1108</v>
      </c>
      <c r="B260" s="42">
        <f t="shared" si="134"/>
        <v>250</v>
      </c>
      <c r="C260" s="41" t="s">
        <v>2119</v>
      </c>
      <c r="D260" s="43">
        <f t="shared" si="137"/>
        <v>25</v>
      </c>
      <c r="E260" s="61">
        <f t="shared" si="108"/>
        <v>3.4090000000000007</v>
      </c>
      <c r="F260" s="61">
        <f t="shared" si="109"/>
        <v>42</v>
      </c>
      <c r="G260" s="64">
        <f t="shared" si="110"/>
        <v>0.58988764044943809</v>
      </c>
      <c r="H260" s="44">
        <f t="shared" si="124"/>
        <v>29.432344969112751</v>
      </c>
      <c r="I260" s="42" t="str">
        <f>I259</f>
        <v>Half</v>
      </c>
      <c r="J260" s="50">
        <f t="shared" ref="J260" si="139">J259</f>
        <v>6</v>
      </c>
      <c r="K260" s="49">
        <f t="shared" si="135"/>
        <v>160</v>
      </c>
      <c r="L260" s="44">
        <f t="shared" si="135"/>
        <v>8</v>
      </c>
      <c r="M260" s="44">
        <f t="shared" si="135"/>
        <v>8</v>
      </c>
      <c r="N260" s="45">
        <f t="shared" si="135"/>
        <v>0.2</v>
      </c>
      <c r="O260" s="49">
        <v>90</v>
      </c>
      <c r="P260" s="54">
        <f>K260</f>
        <v>160</v>
      </c>
      <c r="Q260" s="44">
        <f t="shared" si="136"/>
        <v>150</v>
      </c>
      <c r="R260" s="50">
        <f t="shared" si="136"/>
        <v>270</v>
      </c>
    </row>
    <row r="261" spans="1:18" x14ac:dyDescent="0.25">
      <c r="A261" s="41">
        <f t="shared" si="134"/>
        <v>1109</v>
      </c>
      <c r="B261" s="42">
        <f t="shared" si="134"/>
        <v>251</v>
      </c>
      <c r="C261" s="41" t="s">
        <v>2120</v>
      </c>
      <c r="D261" s="43">
        <f t="shared" si="137"/>
        <v>25</v>
      </c>
      <c r="E261" s="61">
        <f t="shared" si="108"/>
        <v>3.4090000000000007</v>
      </c>
      <c r="F261" s="61">
        <f t="shared" si="109"/>
        <v>42</v>
      </c>
      <c r="G261" s="64">
        <f t="shared" si="110"/>
        <v>0.58988764044943809</v>
      </c>
      <c r="H261" s="44">
        <f t="shared" si="124"/>
        <v>29.432344969112751</v>
      </c>
      <c r="I261" s="42" t="str">
        <f t="shared" si="135"/>
        <v>Half</v>
      </c>
      <c r="J261" s="50">
        <f t="shared" si="135"/>
        <v>6</v>
      </c>
      <c r="K261" s="49">
        <f t="shared" si="135"/>
        <v>160</v>
      </c>
      <c r="L261" s="44">
        <f t="shared" si="135"/>
        <v>8</v>
      </c>
      <c r="M261" s="44">
        <f t="shared" si="135"/>
        <v>8</v>
      </c>
      <c r="N261" s="45">
        <f t="shared" si="135"/>
        <v>0.2</v>
      </c>
      <c r="O261" s="49">
        <v>90</v>
      </c>
      <c r="P261" s="54">
        <f>K261+3</f>
        <v>163</v>
      </c>
      <c r="Q261" s="44">
        <f t="shared" si="136"/>
        <v>150</v>
      </c>
      <c r="R261" s="50">
        <f t="shared" si="136"/>
        <v>270</v>
      </c>
    </row>
    <row r="262" spans="1:18" x14ac:dyDescent="0.25">
      <c r="A262" s="41">
        <f t="shared" si="134"/>
        <v>1110</v>
      </c>
      <c r="B262" s="42">
        <f t="shared" si="134"/>
        <v>252</v>
      </c>
      <c r="C262" s="41" t="s">
        <v>2121</v>
      </c>
      <c r="D262" s="43">
        <f t="shared" si="137"/>
        <v>25</v>
      </c>
      <c r="E262" s="61">
        <f t="shared" si="108"/>
        <v>3.4090000000000007</v>
      </c>
      <c r="F262" s="61">
        <f t="shared" si="109"/>
        <v>42</v>
      </c>
      <c r="G262" s="64">
        <f t="shared" si="110"/>
        <v>0.58988764044943809</v>
      </c>
      <c r="H262" s="44">
        <f t="shared" si="124"/>
        <v>29.432344969112751</v>
      </c>
      <c r="I262" s="42" t="str">
        <f t="shared" si="135"/>
        <v>Half</v>
      </c>
      <c r="J262" s="50">
        <f t="shared" si="135"/>
        <v>6</v>
      </c>
      <c r="K262" s="49">
        <f t="shared" si="135"/>
        <v>160</v>
      </c>
      <c r="L262" s="44">
        <f t="shared" si="135"/>
        <v>8</v>
      </c>
      <c r="M262" s="44">
        <f t="shared" si="135"/>
        <v>8</v>
      </c>
      <c r="N262" s="45">
        <f t="shared" si="135"/>
        <v>0.2</v>
      </c>
      <c r="O262" s="49">
        <v>90</v>
      </c>
      <c r="P262" s="54">
        <f>K262+6</f>
        <v>166</v>
      </c>
      <c r="Q262" s="44">
        <f t="shared" si="136"/>
        <v>150</v>
      </c>
      <c r="R262" s="50">
        <f t="shared" si="136"/>
        <v>270</v>
      </c>
    </row>
    <row r="263" spans="1:18" x14ac:dyDescent="0.25">
      <c r="A263" s="41">
        <f t="shared" si="134"/>
        <v>1111</v>
      </c>
      <c r="B263" s="42">
        <f t="shared" si="134"/>
        <v>253</v>
      </c>
      <c r="C263" s="41" t="s">
        <v>2122</v>
      </c>
      <c r="D263" s="43">
        <f t="shared" si="137"/>
        <v>25</v>
      </c>
      <c r="E263" s="61">
        <f t="shared" si="108"/>
        <v>3.4090000000000007</v>
      </c>
      <c r="F263" s="61">
        <f t="shared" si="109"/>
        <v>42</v>
      </c>
      <c r="G263" s="64">
        <f t="shared" si="110"/>
        <v>0.58988764044943809</v>
      </c>
      <c r="H263" s="44">
        <f>-6.4*ATAN(E263/D263*G263)/PI()*180</f>
        <v>-29.432344969112751</v>
      </c>
      <c r="I263" s="42" t="str">
        <f t="shared" si="135"/>
        <v>Half</v>
      </c>
      <c r="J263" s="50">
        <f t="shared" si="135"/>
        <v>6</v>
      </c>
      <c r="K263" s="49">
        <f t="shared" si="135"/>
        <v>160</v>
      </c>
      <c r="L263" s="44">
        <f t="shared" si="135"/>
        <v>8</v>
      </c>
      <c r="M263" s="44">
        <f>yaw_min</f>
        <v>-8</v>
      </c>
      <c r="N263" s="45">
        <f t="shared" si="135"/>
        <v>0.2</v>
      </c>
      <c r="O263" s="49">
        <v>0</v>
      </c>
      <c r="P263" s="54">
        <f>K263</f>
        <v>160</v>
      </c>
      <c r="Q263" s="44">
        <f t="shared" si="136"/>
        <v>150</v>
      </c>
      <c r="R263" s="50">
        <f t="shared" si="136"/>
        <v>270</v>
      </c>
    </row>
    <row r="264" spans="1:18" x14ac:dyDescent="0.25">
      <c r="A264" s="41">
        <f t="shared" si="134"/>
        <v>1112</v>
      </c>
      <c r="B264" s="42">
        <f t="shared" si="134"/>
        <v>254</v>
      </c>
      <c r="C264" s="41" t="s">
        <v>2123</v>
      </c>
      <c r="D264" s="43">
        <f t="shared" si="137"/>
        <v>25</v>
      </c>
      <c r="E264" s="61">
        <f t="shared" si="108"/>
        <v>3.4090000000000007</v>
      </c>
      <c r="F264" s="61">
        <f t="shared" si="109"/>
        <v>42</v>
      </c>
      <c r="G264" s="64">
        <f t="shared" si="110"/>
        <v>0.58988764044943809</v>
      </c>
      <c r="H264" s="44">
        <f t="shared" ref="H264:H298" si="140">-6.4*ATAN(E264/D264*G264)/PI()*180</f>
        <v>-29.432344969112751</v>
      </c>
      <c r="I264" s="42" t="str">
        <f t="shared" si="135"/>
        <v>Half</v>
      </c>
      <c r="J264" s="50">
        <f t="shared" si="135"/>
        <v>6</v>
      </c>
      <c r="K264" s="49">
        <f t="shared" si="135"/>
        <v>160</v>
      </c>
      <c r="L264" s="44">
        <f t="shared" si="135"/>
        <v>8</v>
      </c>
      <c r="M264" s="44">
        <f t="shared" si="135"/>
        <v>-8</v>
      </c>
      <c r="N264" s="45">
        <f t="shared" si="135"/>
        <v>0.2</v>
      </c>
      <c r="O264" s="49">
        <v>0</v>
      </c>
      <c r="P264" s="54">
        <f>K264+3</f>
        <v>163</v>
      </c>
      <c r="Q264" s="44">
        <f t="shared" si="136"/>
        <v>150</v>
      </c>
      <c r="R264" s="50">
        <f t="shared" si="136"/>
        <v>270</v>
      </c>
    </row>
    <row r="265" spans="1:18" x14ac:dyDescent="0.25">
      <c r="A265" s="41">
        <f t="shared" si="134"/>
        <v>1113</v>
      </c>
      <c r="B265" s="42">
        <f t="shared" si="134"/>
        <v>255</v>
      </c>
      <c r="C265" s="41" t="s">
        <v>2124</v>
      </c>
      <c r="D265" s="43">
        <f t="shared" si="137"/>
        <v>25</v>
      </c>
      <c r="E265" s="61">
        <f t="shared" si="108"/>
        <v>3.4090000000000007</v>
      </c>
      <c r="F265" s="61">
        <f t="shared" si="109"/>
        <v>42</v>
      </c>
      <c r="G265" s="64">
        <f t="shared" si="110"/>
        <v>0.58988764044943809</v>
      </c>
      <c r="H265" s="44">
        <f t="shared" si="140"/>
        <v>-29.432344969112751</v>
      </c>
      <c r="I265" s="42" t="str">
        <f t="shared" si="135"/>
        <v>Half</v>
      </c>
      <c r="J265" s="50">
        <f t="shared" si="135"/>
        <v>6</v>
      </c>
      <c r="K265" s="49">
        <f t="shared" si="135"/>
        <v>160</v>
      </c>
      <c r="L265" s="44">
        <f t="shared" si="135"/>
        <v>8</v>
      </c>
      <c r="M265" s="44">
        <f t="shared" si="135"/>
        <v>-8</v>
      </c>
      <c r="N265" s="45">
        <f t="shared" si="135"/>
        <v>0.2</v>
      </c>
      <c r="O265" s="49">
        <v>0</v>
      </c>
      <c r="P265" s="54">
        <f>K265+6</f>
        <v>166</v>
      </c>
      <c r="Q265" s="44">
        <f t="shared" si="136"/>
        <v>150</v>
      </c>
      <c r="R265" s="50">
        <f t="shared" si="136"/>
        <v>270</v>
      </c>
    </row>
    <row r="266" spans="1:18" x14ac:dyDescent="0.25">
      <c r="A266" s="41">
        <f t="shared" si="134"/>
        <v>1114</v>
      </c>
      <c r="B266" s="42">
        <f t="shared" si="134"/>
        <v>256</v>
      </c>
      <c r="C266" s="41" t="s">
        <v>2125</v>
      </c>
      <c r="D266" s="43">
        <f t="shared" si="137"/>
        <v>25</v>
      </c>
      <c r="E266" s="61">
        <f t="shared" si="108"/>
        <v>3.4090000000000007</v>
      </c>
      <c r="F266" s="61">
        <f t="shared" si="109"/>
        <v>42</v>
      </c>
      <c r="G266" s="64">
        <f t="shared" si="110"/>
        <v>0.58988764044943809</v>
      </c>
      <c r="H266" s="44">
        <f t="shared" si="140"/>
        <v>-29.432344969112751</v>
      </c>
      <c r="I266" s="42" t="str">
        <f t="shared" si="135"/>
        <v>Half</v>
      </c>
      <c r="J266" s="50">
        <f t="shared" si="135"/>
        <v>6</v>
      </c>
      <c r="K266" s="49">
        <f t="shared" si="135"/>
        <v>160</v>
      </c>
      <c r="L266" s="44">
        <f t="shared" si="135"/>
        <v>8</v>
      </c>
      <c r="M266" s="44">
        <f t="shared" si="135"/>
        <v>-8</v>
      </c>
      <c r="N266" s="45">
        <f t="shared" si="135"/>
        <v>0.2</v>
      </c>
      <c r="O266" s="49">
        <v>30</v>
      </c>
      <c r="P266" s="54">
        <f>K266</f>
        <v>160</v>
      </c>
      <c r="Q266" s="44">
        <f t="shared" si="136"/>
        <v>150</v>
      </c>
      <c r="R266" s="50">
        <f t="shared" si="136"/>
        <v>270</v>
      </c>
    </row>
    <row r="267" spans="1:18" x14ac:dyDescent="0.25">
      <c r="A267" s="41">
        <f t="shared" si="134"/>
        <v>1115</v>
      </c>
      <c r="B267" s="42">
        <f t="shared" si="134"/>
        <v>257</v>
      </c>
      <c r="C267" s="41" t="s">
        <v>2126</v>
      </c>
      <c r="D267" s="43">
        <f t="shared" si="137"/>
        <v>25</v>
      </c>
      <c r="E267" s="61">
        <f t="shared" ref="E267:E298" si="141">I_ref*(0.75*D267+5.6)</f>
        <v>3.4090000000000007</v>
      </c>
      <c r="F267" s="61">
        <f t="shared" ref="F267:F298" si="142">tur_scale</f>
        <v>42</v>
      </c>
      <c r="G267" s="64">
        <f t="shared" ref="G267:G298" si="143">1/(1+0.2*(diameter/F267))</f>
        <v>0.58988764044943809</v>
      </c>
      <c r="H267" s="44">
        <f t="shared" si="140"/>
        <v>-29.432344969112751</v>
      </c>
      <c r="I267" s="42" t="str">
        <f t="shared" si="135"/>
        <v>Half</v>
      </c>
      <c r="J267" s="50">
        <f t="shared" si="135"/>
        <v>6</v>
      </c>
      <c r="K267" s="49">
        <f t="shared" si="135"/>
        <v>160</v>
      </c>
      <c r="L267" s="44">
        <f t="shared" si="135"/>
        <v>8</v>
      </c>
      <c r="M267" s="44">
        <f t="shared" si="135"/>
        <v>-8</v>
      </c>
      <c r="N267" s="45">
        <f t="shared" si="135"/>
        <v>0.2</v>
      </c>
      <c r="O267" s="49">
        <v>30</v>
      </c>
      <c r="P267" s="54">
        <f>K267+3</f>
        <v>163</v>
      </c>
      <c r="Q267" s="44">
        <f t="shared" si="136"/>
        <v>150</v>
      </c>
      <c r="R267" s="50">
        <f t="shared" si="136"/>
        <v>270</v>
      </c>
    </row>
    <row r="268" spans="1:18" x14ac:dyDescent="0.25">
      <c r="A268" s="41">
        <f t="shared" ref="A268:B283" si="144">A267+1</f>
        <v>1116</v>
      </c>
      <c r="B268" s="42">
        <f t="shared" si="144"/>
        <v>258</v>
      </c>
      <c r="C268" s="41" t="s">
        <v>2127</v>
      </c>
      <c r="D268" s="43">
        <f t="shared" si="137"/>
        <v>25</v>
      </c>
      <c r="E268" s="61">
        <f t="shared" si="141"/>
        <v>3.4090000000000007</v>
      </c>
      <c r="F268" s="61">
        <f t="shared" si="142"/>
        <v>42</v>
      </c>
      <c r="G268" s="64">
        <f t="shared" si="143"/>
        <v>0.58988764044943809</v>
      </c>
      <c r="H268" s="44">
        <f t="shared" si="140"/>
        <v>-29.432344969112751</v>
      </c>
      <c r="I268" s="42" t="str">
        <f t="shared" ref="I268:N283" si="145">I267</f>
        <v>Half</v>
      </c>
      <c r="J268" s="50">
        <f t="shared" si="145"/>
        <v>6</v>
      </c>
      <c r="K268" s="49">
        <f t="shared" si="145"/>
        <v>160</v>
      </c>
      <c r="L268" s="44">
        <f t="shared" si="145"/>
        <v>8</v>
      </c>
      <c r="M268" s="44">
        <f t="shared" si="145"/>
        <v>-8</v>
      </c>
      <c r="N268" s="45">
        <f t="shared" si="145"/>
        <v>0.2</v>
      </c>
      <c r="O268" s="49">
        <v>30</v>
      </c>
      <c r="P268" s="54">
        <f>K268+6</f>
        <v>166</v>
      </c>
      <c r="Q268" s="44">
        <f t="shared" si="136"/>
        <v>150</v>
      </c>
      <c r="R268" s="50">
        <f t="shared" si="136"/>
        <v>270</v>
      </c>
    </row>
    <row r="269" spans="1:18" x14ac:dyDescent="0.25">
      <c r="A269" s="41">
        <f t="shared" si="144"/>
        <v>1117</v>
      </c>
      <c r="B269" s="42">
        <f t="shared" si="144"/>
        <v>259</v>
      </c>
      <c r="C269" s="41" t="s">
        <v>2128</v>
      </c>
      <c r="D269" s="43">
        <f t="shared" si="137"/>
        <v>25</v>
      </c>
      <c r="E269" s="61">
        <f t="shared" si="141"/>
        <v>3.4090000000000007</v>
      </c>
      <c r="F269" s="61">
        <f t="shared" si="142"/>
        <v>42</v>
      </c>
      <c r="G269" s="64">
        <f t="shared" si="143"/>
        <v>0.58988764044943809</v>
      </c>
      <c r="H269" s="44">
        <f t="shared" si="140"/>
        <v>-29.432344969112751</v>
      </c>
      <c r="I269" s="42" t="str">
        <f t="shared" si="145"/>
        <v>Half</v>
      </c>
      <c r="J269" s="50">
        <f t="shared" si="145"/>
        <v>6</v>
      </c>
      <c r="K269" s="49">
        <f t="shared" si="145"/>
        <v>160</v>
      </c>
      <c r="L269" s="44">
        <f t="shared" si="145"/>
        <v>8</v>
      </c>
      <c r="M269" s="44">
        <f t="shared" si="145"/>
        <v>-8</v>
      </c>
      <c r="N269" s="45">
        <f t="shared" si="145"/>
        <v>0.2</v>
      </c>
      <c r="O269" s="49">
        <v>60</v>
      </c>
      <c r="P269" s="54">
        <f>K269</f>
        <v>160</v>
      </c>
      <c r="Q269" s="44">
        <f t="shared" ref="Q269:R284" si="146">Q268</f>
        <v>150</v>
      </c>
      <c r="R269" s="50">
        <f t="shared" si="146"/>
        <v>270</v>
      </c>
    </row>
    <row r="270" spans="1:18" x14ac:dyDescent="0.25">
      <c r="A270" s="41">
        <f t="shared" si="144"/>
        <v>1118</v>
      </c>
      <c r="B270" s="42">
        <f t="shared" si="144"/>
        <v>260</v>
      </c>
      <c r="C270" s="41" t="s">
        <v>2129</v>
      </c>
      <c r="D270" s="43">
        <f t="shared" si="137"/>
        <v>25</v>
      </c>
      <c r="E270" s="61">
        <f t="shared" si="141"/>
        <v>3.4090000000000007</v>
      </c>
      <c r="F270" s="61">
        <f t="shared" si="142"/>
        <v>42</v>
      </c>
      <c r="G270" s="64">
        <f t="shared" si="143"/>
        <v>0.58988764044943809</v>
      </c>
      <c r="H270" s="44">
        <f t="shared" si="140"/>
        <v>-29.432344969112751</v>
      </c>
      <c r="I270" s="42" t="str">
        <f t="shared" si="145"/>
        <v>Half</v>
      </c>
      <c r="J270" s="50">
        <f t="shared" si="145"/>
        <v>6</v>
      </c>
      <c r="K270" s="49">
        <f t="shared" si="145"/>
        <v>160</v>
      </c>
      <c r="L270" s="44">
        <f t="shared" si="145"/>
        <v>8</v>
      </c>
      <c r="M270" s="44">
        <f t="shared" si="145"/>
        <v>-8</v>
      </c>
      <c r="N270" s="45">
        <f t="shared" si="145"/>
        <v>0.2</v>
      </c>
      <c r="O270" s="49">
        <v>60</v>
      </c>
      <c r="P270" s="54">
        <f>K270+3</f>
        <v>163</v>
      </c>
      <c r="Q270" s="44">
        <f t="shared" si="146"/>
        <v>150</v>
      </c>
      <c r="R270" s="50">
        <f t="shared" si="146"/>
        <v>270</v>
      </c>
    </row>
    <row r="271" spans="1:18" x14ac:dyDescent="0.25">
      <c r="A271" s="41">
        <f t="shared" si="144"/>
        <v>1119</v>
      </c>
      <c r="B271" s="42">
        <f t="shared" si="144"/>
        <v>261</v>
      </c>
      <c r="C271" s="41" t="s">
        <v>2130</v>
      </c>
      <c r="D271" s="43">
        <f t="shared" si="137"/>
        <v>25</v>
      </c>
      <c r="E271" s="61">
        <f t="shared" si="141"/>
        <v>3.4090000000000007</v>
      </c>
      <c r="F271" s="61">
        <f t="shared" si="142"/>
        <v>42</v>
      </c>
      <c r="G271" s="64">
        <f t="shared" si="143"/>
        <v>0.58988764044943809</v>
      </c>
      <c r="H271" s="44">
        <f t="shared" si="140"/>
        <v>-29.432344969112751</v>
      </c>
      <c r="I271" s="42" t="str">
        <f t="shared" si="145"/>
        <v>Half</v>
      </c>
      <c r="J271" s="50">
        <f t="shared" si="145"/>
        <v>6</v>
      </c>
      <c r="K271" s="49">
        <f t="shared" si="145"/>
        <v>160</v>
      </c>
      <c r="L271" s="44">
        <f t="shared" si="145"/>
        <v>8</v>
      </c>
      <c r="M271" s="44">
        <f t="shared" si="145"/>
        <v>-8</v>
      </c>
      <c r="N271" s="45">
        <f t="shared" si="145"/>
        <v>0.2</v>
      </c>
      <c r="O271" s="49">
        <v>60</v>
      </c>
      <c r="P271" s="54">
        <f>K271+6</f>
        <v>166</v>
      </c>
      <c r="Q271" s="44">
        <f t="shared" si="146"/>
        <v>150</v>
      </c>
      <c r="R271" s="50">
        <f t="shared" si="146"/>
        <v>270</v>
      </c>
    </row>
    <row r="272" spans="1:18" x14ac:dyDescent="0.25">
      <c r="A272" s="41">
        <f t="shared" si="144"/>
        <v>1120</v>
      </c>
      <c r="B272" s="42">
        <f t="shared" si="144"/>
        <v>262</v>
      </c>
      <c r="C272" s="41" t="s">
        <v>2131</v>
      </c>
      <c r="D272" s="43">
        <f t="shared" si="137"/>
        <v>25</v>
      </c>
      <c r="E272" s="61">
        <f t="shared" si="141"/>
        <v>3.4090000000000007</v>
      </c>
      <c r="F272" s="61">
        <f t="shared" si="142"/>
        <v>42</v>
      </c>
      <c r="G272" s="64">
        <f t="shared" si="143"/>
        <v>0.58988764044943809</v>
      </c>
      <c r="H272" s="44">
        <f t="shared" si="140"/>
        <v>-29.432344969112751</v>
      </c>
      <c r="I272" s="42" t="str">
        <f>I271</f>
        <v>Half</v>
      </c>
      <c r="J272" s="50">
        <f t="shared" ref="J272" si="147">J271</f>
        <v>6</v>
      </c>
      <c r="K272" s="49">
        <f t="shared" si="145"/>
        <v>160</v>
      </c>
      <c r="L272" s="44">
        <f t="shared" si="145"/>
        <v>8</v>
      </c>
      <c r="M272" s="44">
        <f t="shared" si="145"/>
        <v>-8</v>
      </c>
      <c r="N272" s="45">
        <f t="shared" si="145"/>
        <v>0.2</v>
      </c>
      <c r="O272" s="49">
        <v>90</v>
      </c>
      <c r="P272" s="54">
        <f>K272</f>
        <v>160</v>
      </c>
      <c r="Q272" s="44">
        <f t="shared" si="146"/>
        <v>150</v>
      </c>
      <c r="R272" s="50">
        <f t="shared" si="146"/>
        <v>270</v>
      </c>
    </row>
    <row r="273" spans="1:18" x14ac:dyDescent="0.25">
      <c r="A273" s="41">
        <f t="shared" si="144"/>
        <v>1121</v>
      </c>
      <c r="B273" s="42">
        <f t="shared" si="144"/>
        <v>263</v>
      </c>
      <c r="C273" s="41" t="s">
        <v>2132</v>
      </c>
      <c r="D273" s="43">
        <f t="shared" si="137"/>
        <v>25</v>
      </c>
      <c r="E273" s="61">
        <f t="shared" si="141"/>
        <v>3.4090000000000007</v>
      </c>
      <c r="F273" s="61">
        <f t="shared" si="142"/>
        <v>42</v>
      </c>
      <c r="G273" s="64">
        <f t="shared" si="143"/>
        <v>0.58988764044943809</v>
      </c>
      <c r="H273" s="44">
        <f t="shared" si="140"/>
        <v>-29.432344969112751</v>
      </c>
      <c r="I273" s="42" t="str">
        <f>I272</f>
        <v>Half</v>
      </c>
      <c r="J273" s="50">
        <f t="shared" ref="J273" si="148">J272</f>
        <v>6</v>
      </c>
      <c r="K273" s="49">
        <f t="shared" si="145"/>
        <v>160</v>
      </c>
      <c r="L273" s="44">
        <f t="shared" si="145"/>
        <v>8</v>
      </c>
      <c r="M273" s="44">
        <f t="shared" si="145"/>
        <v>-8</v>
      </c>
      <c r="N273" s="45">
        <f t="shared" si="145"/>
        <v>0.2</v>
      </c>
      <c r="O273" s="49">
        <v>90</v>
      </c>
      <c r="P273" s="54">
        <f>K273+3</f>
        <v>163</v>
      </c>
      <c r="Q273" s="44">
        <f t="shared" si="146"/>
        <v>150</v>
      </c>
      <c r="R273" s="50">
        <f t="shared" si="146"/>
        <v>270</v>
      </c>
    </row>
    <row r="274" spans="1:18" x14ac:dyDescent="0.25">
      <c r="A274" s="41">
        <f t="shared" si="144"/>
        <v>1122</v>
      </c>
      <c r="B274" s="42">
        <f t="shared" si="144"/>
        <v>264</v>
      </c>
      <c r="C274" s="127" t="s">
        <v>2133</v>
      </c>
      <c r="D274" s="43">
        <f t="shared" si="137"/>
        <v>25</v>
      </c>
      <c r="E274" s="61">
        <f t="shared" si="141"/>
        <v>3.4090000000000007</v>
      </c>
      <c r="F274" s="61">
        <f t="shared" si="142"/>
        <v>42</v>
      </c>
      <c r="G274" s="64">
        <f t="shared" si="143"/>
        <v>0.58988764044943809</v>
      </c>
      <c r="H274" s="44">
        <f t="shared" si="140"/>
        <v>-29.432344969112751</v>
      </c>
      <c r="I274" s="42" t="str">
        <f>I273</f>
        <v>Half</v>
      </c>
      <c r="J274" s="50">
        <f t="shared" ref="J274" si="149">J273</f>
        <v>6</v>
      </c>
      <c r="K274" s="49">
        <f t="shared" si="145"/>
        <v>160</v>
      </c>
      <c r="L274" s="44">
        <f t="shared" si="145"/>
        <v>8</v>
      </c>
      <c r="M274" s="44">
        <f t="shared" si="145"/>
        <v>-8</v>
      </c>
      <c r="N274" s="45">
        <f t="shared" si="145"/>
        <v>0.2</v>
      </c>
      <c r="O274" s="49">
        <v>90</v>
      </c>
      <c r="P274" s="54">
        <f>K274+6</f>
        <v>166</v>
      </c>
      <c r="Q274" s="44">
        <f t="shared" si="146"/>
        <v>150</v>
      </c>
      <c r="R274" s="50">
        <f t="shared" si="146"/>
        <v>270</v>
      </c>
    </row>
    <row r="275" spans="1:18" x14ac:dyDescent="0.25">
      <c r="A275" s="41">
        <f t="shared" si="144"/>
        <v>1123</v>
      </c>
      <c r="B275" s="42">
        <f t="shared" si="144"/>
        <v>265</v>
      </c>
      <c r="C275" s="41" t="s">
        <v>2134</v>
      </c>
      <c r="D275" s="43">
        <f t="shared" si="137"/>
        <v>25</v>
      </c>
      <c r="E275" s="61">
        <f t="shared" si="141"/>
        <v>3.4090000000000007</v>
      </c>
      <c r="F275" s="61">
        <f t="shared" si="142"/>
        <v>42</v>
      </c>
      <c r="G275" s="64">
        <f t="shared" si="143"/>
        <v>0.58988764044943809</v>
      </c>
      <c r="H275" s="44">
        <f t="shared" si="140"/>
        <v>-29.432344969112751</v>
      </c>
      <c r="I275" s="42" t="str">
        <f t="shared" si="145"/>
        <v>Half</v>
      </c>
      <c r="J275" s="50">
        <f t="shared" si="145"/>
        <v>6</v>
      </c>
      <c r="K275" s="49">
        <f t="shared" si="145"/>
        <v>160</v>
      </c>
      <c r="L275" s="44">
        <f t="shared" si="145"/>
        <v>8</v>
      </c>
      <c r="M275" s="44">
        <f>yaw_null</f>
        <v>0</v>
      </c>
      <c r="N275" s="45">
        <f t="shared" si="145"/>
        <v>0.2</v>
      </c>
      <c r="O275" s="49">
        <v>0</v>
      </c>
      <c r="P275" s="54">
        <f>K275</f>
        <v>160</v>
      </c>
      <c r="Q275" s="44">
        <f t="shared" si="146"/>
        <v>150</v>
      </c>
      <c r="R275" s="50">
        <f t="shared" si="146"/>
        <v>270</v>
      </c>
    </row>
    <row r="276" spans="1:18" x14ac:dyDescent="0.25">
      <c r="A276" s="41">
        <f t="shared" si="144"/>
        <v>1124</v>
      </c>
      <c r="B276" s="42">
        <f t="shared" si="144"/>
        <v>266</v>
      </c>
      <c r="C276" s="41" t="s">
        <v>2135</v>
      </c>
      <c r="D276" s="43">
        <f t="shared" si="137"/>
        <v>25</v>
      </c>
      <c r="E276" s="61">
        <f t="shared" si="141"/>
        <v>3.4090000000000007</v>
      </c>
      <c r="F276" s="61">
        <f t="shared" si="142"/>
        <v>42</v>
      </c>
      <c r="G276" s="64">
        <f t="shared" si="143"/>
        <v>0.58988764044943809</v>
      </c>
      <c r="H276" s="44">
        <f t="shared" si="140"/>
        <v>-29.432344969112751</v>
      </c>
      <c r="I276" s="42" t="str">
        <f t="shared" si="145"/>
        <v>Half</v>
      </c>
      <c r="J276" s="50">
        <f t="shared" si="145"/>
        <v>6</v>
      </c>
      <c r="K276" s="49">
        <f t="shared" si="145"/>
        <v>160</v>
      </c>
      <c r="L276" s="44">
        <f t="shared" si="145"/>
        <v>8</v>
      </c>
      <c r="M276" s="44">
        <f t="shared" si="145"/>
        <v>0</v>
      </c>
      <c r="N276" s="45">
        <f t="shared" si="145"/>
        <v>0.2</v>
      </c>
      <c r="O276" s="49">
        <v>0</v>
      </c>
      <c r="P276" s="54">
        <f>K276+3</f>
        <v>163</v>
      </c>
      <c r="Q276" s="44">
        <f t="shared" si="146"/>
        <v>150</v>
      </c>
      <c r="R276" s="50">
        <f t="shared" si="146"/>
        <v>270</v>
      </c>
    </row>
    <row r="277" spans="1:18" x14ac:dyDescent="0.25">
      <c r="A277" s="41">
        <f t="shared" si="144"/>
        <v>1125</v>
      </c>
      <c r="B277" s="42">
        <f t="shared" si="144"/>
        <v>267</v>
      </c>
      <c r="C277" s="41" t="s">
        <v>2136</v>
      </c>
      <c r="D277" s="43">
        <f t="shared" si="137"/>
        <v>25</v>
      </c>
      <c r="E277" s="61">
        <f t="shared" si="141"/>
        <v>3.4090000000000007</v>
      </c>
      <c r="F277" s="61">
        <f t="shared" si="142"/>
        <v>42</v>
      </c>
      <c r="G277" s="64">
        <f t="shared" si="143"/>
        <v>0.58988764044943809</v>
      </c>
      <c r="H277" s="44">
        <f t="shared" si="140"/>
        <v>-29.432344969112751</v>
      </c>
      <c r="I277" s="42" t="str">
        <f t="shared" si="145"/>
        <v>Half</v>
      </c>
      <c r="J277" s="50">
        <f t="shared" si="145"/>
        <v>6</v>
      </c>
      <c r="K277" s="49">
        <f t="shared" si="145"/>
        <v>160</v>
      </c>
      <c r="L277" s="44">
        <f t="shared" si="145"/>
        <v>8</v>
      </c>
      <c r="M277" s="44">
        <f t="shared" si="145"/>
        <v>0</v>
      </c>
      <c r="N277" s="45">
        <f t="shared" si="145"/>
        <v>0.2</v>
      </c>
      <c r="O277" s="49">
        <v>0</v>
      </c>
      <c r="P277" s="54">
        <f>K277+6</f>
        <v>166</v>
      </c>
      <c r="Q277" s="44">
        <f t="shared" si="146"/>
        <v>150</v>
      </c>
      <c r="R277" s="50">
        <f t="shared" si="146"/>
        <v>270</v>
      </c>
    </row>
    <row r="278" spans="1:18" x14ac:dyDescent="0.25">
      <c r="A278" s="41">
        <f t="shared" si="144"/>
        <v>1126</v>
      </c>
      <c r="B278" s="42">
        <f t="shared" si="144"/>
        <v>268</v>
      </c>
      <c r="C278" s="41" t="s">
        <v>2137</v>
      </c>
      <c r="D278" s="43">
        <f t="shared" si="137"/>
        <v>25</v>
      </c>
      <c r="E278" s="61">
        <f t="shared" si="141"/>
        <v>3.4090000000000007</v>
      </c>
      <c r="F278" s="61">
        <f t="shared" si="142"/>
        <v>42</v>
      </c>
      <c r="G278" s="64">
        <f t="shared" si="143"/>
        <v>0.58988764044943809</v>
      </c>
      <c r="H278" s="44">
        <f t="shared" si="140"/>
        <v>-29.432344969112751</v>
      </c>
      <c r="I278" s="42" t="str">
        <f t="shared" si="145"/>
        <v>Half</v>
      </c>
      <c r="J278" s="50">
        <f t="shared" si="145"/>
        <v>6</v>
      </c>
      <c r="K278" s="49">
        <f t="shared" si="145"/>
        <v>160</v>
      </c>
      <c r="L278" s="44">
        <f t="shared" si="145"/>
        <v>8</v>
      </c>
      <c r="M278" s="44">
        <f t="shared" si="145"/>
        <v>0</v>
      </c>
      <c r="N278" s="45">
        <f t="shared" si="145"/>
        <v>0.2</v>
      </c>
      <c r="O278" s="49">
        <v>30</v>
      </c>
      <c r="P278" s="54">
        <f>K278</f>
        <v>160</v>
      </c>
      <c r="Q278" s="44">
        <f t="shared" si="146"/>
        <v>150</v>
      </c>
      <c r="R278" s="50">
        <f t="shared" si="146"/>
        <v>270</v>
      </c>
    </row>
    <row r="279" spans="1:18" x14ac:dyDescent="0.25">
      <c r="A279" s="41">
        <f t="shared" si="144"/>
        <v>1127</v>
      </c>
      <c r="B279" s="42">
        <f t="shared" si="144"/>
        <v>269</v>
      </c>
      <c r="C279" s="41" t="s">
        <v>2138</v>
      </c>
      <c r="D279" s="43">
        <f t="shared" si="137"/>
        <v>25</v>
      </c>
      <c r="E279" s="61">
        <f t="shared" si="141"/>
        <v>3.4090000000000007</v>
      </c>
      <c r="F279" s="61">
        <f t="shared" si="142"/>
        <v>42</v>
      </c>
      <c r="G279" s="64">
        <f t="shared" si="143"/>
        <v>0.58988764044943809</v>
      </c>
      <c r="H279" s="44">
        <f t="shared" si="140"/>
        <v>-29.432344969112751</v>
      </c>
      <c r="I279" s="42" t="s">
        <v>12</v>
      </c>
      <c r="J279" s="50">
        <f t="shared" ref="J279" si="150">J278</f>
        <v>6</v>
      </c>
      <c r="K279" s="49">
        <f t="shared" si="145"/>
        <v>160</v>
      </c>
      <c r="L279" s="44">
        <f t="shared" si="145"/>
        <v>8</v>
      </c>
      <c r="M279" s="44">
        <f t="shared" si="145"/>
        <v>0</v>
      </c>
      <c r="N279" s="45">
        <f t="shared" si="145"/>
        <v>0.2</v>
      </c>
      <c r="O279" s="49">
        <v>30</v>
      </c>
      <c r="P279" s="54">
        <f>K279+3</f>
        <v>163</v>
      </c>
      <c r="Q279" s="44">
        <f t="shared" si="146"/>
        <v>150</v>
      </c>
      <c r="R279" s="50">
        <f t="shared" si="146"/>
        <v>270</v>
      </c>
    </row>
    <row r="280" spans="1:18" x14ac:dyDescent="0.25">
      <c r="A280" s="41">
        <f t="shared" si="144"/>
        <v>1128</v>
      </c>
      <c r="B280" s="42">
        <f t="shared" si="144"/>
        <v>270</v>
      </c>
      <c r="C280" s="41" t="s">
        <v>2139</v>
      </c>
      <c r="D280" s="43">
        <f t="shared" si="137"/>
        <v>25</v>
      </c>
      <c r="E280" s="61">
        <f t="shared" si="141"/>
        <v>3.4090000000000007</v>
      </c>
      <c r="F280" s="61">
        <f t="shared" si="142"/>
        <v>42</v>
      </c>
      <c r="G280" s="64">
        <f t="shared" si="143"/>
        <v>0.58988764044943809</v>
      </c>
      <c r="H280" s="44">
        <f t="shared" si="140"/>
        <v>-29.432344969112751</v>
      </c>
      <c r="I280" s="42" t="str">
        <f>I279</f>
        <v>Half</v>
      </c>
      <c r="J280" s="50">
        <f t="shared" ref="J280" si="151">J279</f>
        <v>6</v>
      </c>
      <c r="K280" s="49">
        <f t="shared" si="145"/>
        <v>160</v>
      </c>
      <c r="L280" s="44">
        <f t="shared" si="145"/>
        <v>8</v>
      </c>
      <c r="M280" s="44">
        <f t="shared" si="145"/>
        <v>0</v>
      </c>
      <c r="N280" s="45">
        <f t="shared" si="145"/>
        <v>0.2</v>
      </c>
      <c r="O280" s="49">
        <v>30</v>
      </c>
      <c r="P280" s="54">
        <f>K280+6</f>
        <v>166</v>
      </c>
      <c r="Q280" s="44">
        <f t="shared" si="146"/>
        <v>150</v>
      </c>
      <c r="R280" s="50">
        <f t="shared" si="146"/>
        <v>270</v>
      </c>
    </row>
    <row r="281" spans="1:18" x14ac:dyDescent="0.25">
      <c r="A281" s="41">
        <f t="shared" si="144"/>
        <v>1129</v>
      </c>
      <c r="B281" s="42">
        <f t="shared" si="144"/>
        <v>271</v>
      </c>
      <c r="C281" s="41" t="s">
        <v>2140</v>
      </c>
      <c r="D281" s="43">
        <f t="shared" si="137"/>
        <v>25</v>
      </c>
      <c r="E281" s="61">
        <f t="shared" si="141"/>
        <v>3.4090000000000007</v>
      </c>
      <c r="F281" s="61">
        <f t="shared" si="142"/>
        <v>42</v>
      </c>
      <c r="G281" s="64">
        <f t="shared" si="143"/>
        <v>0.58988764044943809</v>
      </c>
      <c r="H281" s="44">
        <f t="shared" si="140"/>
        <v>-29.432344969112751</v>
      </c>
      <c r="I281" s="42" t="str">
        <f t="shared" si="145"/>
        <v>Half</v>
      </c>
      <c r="J281" s="50">
        <f t="shared" si="145"/>
        <v>6</v>
      </c>
      <c r="K281" s="49">
        <f t="shared" si="145"/>
        <v>160</v>
      </c>
      <c r="L281" s="44">
        <f t="shared" si="145"/>
        <v>8</v>
      </c>
      <c r="M281" s="44">
        <f t="shared" si="145"/>
        <v>0</v>
      </c>
      <c r="N281" s="45">
        <f t="shared" si="145"/>
        <v>0.2</v>
      </c>
      <c r="O281" s="49">
        <v>60</v>
      </c>
      <c r="P281" s="54">
        <f>K281</f>
        <v>160</v>
      </c>
      <c r="Q281" s="44">
        <f t="shared" si="146"/>
        <v>150</v>
      </c>
      <c r="R281" s="50">
        <f t="shared" si="146"/>
        <v>270</v>
      </c>
    </row>
    <row r="282" spans="1:18" x14ac:dyDescent="0.25">
      <c r="A282" s="41">
        <f t="shared" si="144"/>
        <v>1130</v>
      </c>
      <c r="B282" s="42">
        <f t="shared" si="144"/>
        <v>272</v>
      </c>
      <c r="C282" s="41" t="s">
        <v>2141</v>
      </c>
      <c r="D282" s="43">
        <f t="shared" si="137"/>
        <v>25</v>
      </c>
      <c r="E282" s="61">
        <f t="shared" si="141"/>
        <v>3.4090000000000007</v>
      </c>
      <c r="F282" s="61">
        <f t="shared" si="142"/>
        <v>42</v>
      </c>
      <c r="G282" s="64">
        <f t="shared" si="143"/>
        <v>0.58988764044943809</v>
      </c>
      <c r="H282" s="44">
        <f t="shared" si="140"/>
        <v>-29.432344969112751</v>
      </c>
      <c r="I282" s="42" t="str">
        <f t="shared" si="145"/>
        <v>Half</v>
      </c>
      <c r="J282" s="50">
        <f t="shared" si="145"/>
        <v>6</v>
      </c>
      <c r="K282" s="49">
        <f t="shared" si="145"/>
        <v>160</v>
      </c>
      <c r="L282" s="44">
        <f t="shared" si="145"/>
        <v>8</v>
      </c>
      <c r="M282" s="44">
        <f t="shared" si="145"/>
        <v>0</v>
      </c>
      <c r="N282" s="45">
        <f t="shared" si="145"/>
        <v>0.2</v>
      </c>
      <c r="O282" s="49">
        <v>60</v>
      </c>
      <c r="P282" s="54">
        <f>K282+3</f>
        <v>163</v>
      </c>
      <c r="Q282" s="44">
        <f t="shared" si="146"/>
        <v>150</v>
      </c>
      <c r="R282" s="50">
        <f t="shared" si="146"/>
        <v>270</v>
      </c>
    </row>
    <row r="283" spans="1:18" x14ac:dyDescent="0.25">
      <c r="A283" s="41">
        <f t="shared" si="144"/>
        <v>1131</v>
      </c>
      <c r="B283" s="42">
        <f t="shared" si="144"/>
        <v>273</v>
      </c>
      <c r="C283" s="41" t="s">
        <v>2142</v>
      </c>
      <c r="D283" s="43">
        <f t="shared" si="137"/>
        <v>25</v>
      </c>
      <c r="E283" s="61">
        <f t="shared" si="141"/>
        <v>3.4090000000000007</v>
      </c>
      <c r="F283" s="61">
        <f t="shared" si="142"/>
        <v>42</v>
      </c>
      <c r="G283" s="64">
        <f t="shared" si="143"/>
        <v>0.58988764044943809</v>
      </c>
      <c r="H283" s="44">
        <f t="shared" si="140"/>
        <v>-29.432344969112751</v>
      </c>
      <c r="I283" s="42" t="str">
        <f t="shared" si="145"/>
        <v>Half</v>
      </c>
      <c r="J283" s="50">
        <f t="shared" si="145"/>
        <v>6</v>
      </c>
      <c r="K283" s="49">
        <f t="shared" si="145"/>
        <v>160</v>
      </c>
      <c r="L283" s="44">
        <f t="shared" si="145"/>
        <v>8</v>
      </c>
      <c r="M283" s="44">
        <f t="shared" si="145"/>
        <v>0</v>
      </c>
      <c r="N283" s="45">
        <f t="shared" si="145"/>
        <v>0.2</v>
      </c>
      <c r="O283" s="49">
        <v>60</v>
      </c>
      <c r="P283" s="54">
        <f>K283+6</f>
        <v>166</v>
      </c>
      <c r="Q283" s="44">
        <f t="shared" si="146"/>
        <v>150</v>
      </c>
      <c r="R283" s="50">
        <f t="shared" si="146"/>
        <v>270</v>
      </c>
    </row>
    <row r="284" spans="1:18" x14ac:dyDescent="0.25">
      <c r="A284" s="41">
        <f t="shared" ref="A284:B298" si="152">A283+1</f>
        <v>1132</v>
      </c>
      <c r="B284" s="42">
        <f t="shared" si="152"/>
        <v>274</v>
      </c>
      <c r="C284" s="41" t="s">
        <v>2143</v>
      </c>
      <c r="D284" s="43">
        <f t="shared" si="137"/>
        <v>25</v>
      </c>
      <c r="E284" s="61">
        <f t="shared" si="141"/>
        <v>3.4090000000000007</v>
      </c>
      <c r="F284" s="61">
        <f t="shared" si="142"/>
        <v>42</v>
      </c>
      <c r="G284" s="64">
        <f t="shared" si="143"/>
        <v>0.58988764044943809</v>
      </c>
      <c r="H284" s="44">
        <f t="shared" si="140"/>
        <v>-29.432344969112751</v>
      </c>
      <c r="I284" s="42" t="str">
        <f t="shared" ref="I284:N298" si="153">I283</f>
        <v>Half</v>
      </c>
      <c r="J284" s="50">
        <f t="shared" si="153"/>
        <v>6</v>
      </c>
      <c r="K284" s="49">
        <f t="shared" si="153"/>
        <v>160</v>
      </c>
      <c r="L284" s="44">
        <f t="shared" si="153"/>
        <v>8</v>
      </c>
      <c r="M284" s="44">
        <f t="shared" si="153"/>
        <v>0</v>
      </c>
      <c r="N284" s="45">
        <f t="shared" si="153"/>
        <v>0.2</v>
      </c>
      <c r="O284" s="49">
        <v>90</v>
      </c>
      <c r="P284" s="54">
        <f>K284</f>
        <v>160</v>
      </c>
      <c r="Q284" s="44">
        <f t="shared" si="146"/>
        <v>150</v>
      </c>
      <c r="R284" s="50">
        <f t="shared" si="146"/>
        <v>270</v>
      </c>
    </row>
    <row r="285" spans="1:18" x14ac:dyDescent="0.25">
      <c r="A285" s="41">
        <f t="shared" si="152"/>
        <v>1133</v>
      </c>
      <c r="B285" s="42">
        <f t="shared" si="152"/>
        <v>275</v>
      </c>
      <c r="C285" s="41" t="s">
        <v>2144</v>
      </c>
      <c r="D285" s="43">
        <f t="shared" si="137"/>
        <v>25</v>
      </c>
      <c r="E285" s="61">
        <f t="shared" si="141"/>
        <v>3.4090000000000007</v>
      </c>
      <c r="F285" s="61">
        <f t="shared" si="142"/>
        <v>42</v>
      </c>
      <c r="G285" s="64">
        <f t="shared" si="143"/>
        <v>0.58988764044943809</v>
      </c>
      <c r="H285" s="44">
        <f t="shared" si="140"/>
        <v>-29.432344969112751</v>
      </c>
      <c r="I285" s="42" t="str">
        <f t="shared" si="153"/>
        <v>Half</v>
      </c>
      <c r="J285" s="50">
        <f t="shared" si="153"/>
        <v>6</v>
      </c>
      <c r="K285" s="49">
        <f t="shared" si="153"/>
        <v>160</v>
      </c>
      <c r="L285" s="44">
        <f t="shared" si="153"/>
        <v>8</v>
      </c>
      <c r="M285" s="44">
        <f t="shared" si="153"/>
        <v>0</v>
      </c>
      <c r="N285" s="45">
        <f t="shared" si="153"/>
        <v>0.2</v>
      </c>
      <c r="O285" s="49">
        <v>90</v>
      </c>
      <c r="P285" s="54">
        <f>K285+3</f>
        <v>163</v>
      </c>
      <c r="Q285" s="44">
        <f t="shared" ref="Q285:R298" si="154">Q284</f>
        <v>150</v>
      </c>
      <c r="R285" s="50">
        <f t="shared" si="154"/>
        <v>270</v>
      </c>
    </row>
    <row r="286" spans="1:18" x14ac:dyDescent="0.25">
      <c r="A286" s="41">
        <f t="shared" si="152"/>
        <v>1134</v>
      </c>
      <c r="B286" s="42">
        <f t="shared" si="152"/>
        <v>276</v>
      </c>
      <c r="C286" s="127" t="s">
        <v>2145</v>
      </c>
      <c r="D286" s="43">
        <f t="shared" si="137"/>
        <v>25</v>
      </c>
      <c r="E286" s="61">
        <f t="shared" si="141"/>
        <v>3.4090000000000007</v>
      </c>
      <c r="F286" s="61">
        <f t="shared" si="142"/>
        <v>42</v>
      </c>
      <c r="G286" s="64">
        <f t="shared" si="143"/>
        <v>0.58988764044943809</v>
      </c>
      <c r="H286" s="44">
        <f t="shared" si="140"/>
        <v>-29.432344969112751</v>
      </c>
      <c r="I286" s="42" t="str">
        <f t="shared" si="153"/>
        <v>Half</v>
      </c>
      <c r="J286" s="50">
        <f t="shared" si="153"/>
        <v>6</v>
      </c>
      <c r="K286" s="49">
        <f t="shared" si="153"/>
        <v>160</v>
      </c>
      <c r="L286" s="44">
        <f t="shared" si="153"/>
        <v>8</v>
      </c>
      <c r="M286" s="44">
        <f t="shared" si="153"/>
        <v>0</v>
      </c>
      <c r="N286" s="45">
        <f t="shared" si="153"/>
        <v>0.2</v>
      </c>
      <c r="O286" s="49">
        <v>90</v>
      </c>
      <c r="P286" s="54">
        <f>K286+6</f>
        <v>166</v>
      </c>
      <c r="Q286" s="44">
        <f t="shared" si="154"/>
        <v>150</v>
      </c>
      <c r="R286" s="50">
        <f t="shared" si="154"/>
        <v>270</v>
      </c>
    </row>
    <row r="287" spans="1:18" x14ac:dyDescent="0.25">
      <c r="A287" s="41">
        <f t="shared" si="152"/>
        <v>1135</v>
      </c>
      <c r="B287" s="42">
        <f t="shared" si="152"/>
        <v>277</v>
      </c>
      <c r="C287" s="41" t="s">
        <v>2146</v>
      </c>
      <c r="D287" s="43">
        <f t="shared" si="137"/>
        <v>25</v>
      </c>
      <c r="E287" s="61">
        <f t="shared" si="141"/>
        <v>3.4090000000000007</v>
      </c>
      <c r="F287" s="61">
        <f t="shared" si="142"/>
        <v>42</v>
      </c>
      <c r="G287" s="64">
        <f t="shared" si="143"/>
        <v>0.58988764044943809</v>
      </c>
      <c r="H287" s="44">
        <f t="shared" si="140"/>
        <v>-29.432344969112751</v>
      </c>
      <c r="I287" s="42" t="str">
        <f t="shared" si="153"/>
        <v>Half</v>
      </c>
      <c r="J287" s="50">
        <f t="shared" si="153"/>
        <v>6</v>
      </c>
      <c r="K287" s="49">
        <f t="shared" si="153"/>
        <v>160</v>
      </c>
      <c r="L287" s="44">
        <f t="shared" si="153"/>
        <v>8</v>
      </c>
      <c r="M287" s="44">
        <f>yaw_max</f>
        <v>8</v>
      </c>
      <c r="N287" s="45">
        <f t="shared" si="153"/>
        <v>0.2</v>
      </c>
      <c r="O287" s="49">
        <v>0</v>
      </c>
      <c r="P287" s="54">
        <f>K287</f>
        <v>160</v>
      </c>
      <c r="Q287" s="44">
        <f t="shared" si="154"/>
        <v>150</v>
      </c>
      <c r="R287" s="50">
        <f t="shared" si="154"/>
        <v>270</v>
      </c>
    </row>
    <row r="288" spans="1:18" x14ac:dyDescent="0.25">
      <c r="A288" s="41">
        <f t="shared" si="152"/>
        <v>1136</v>
      </c>
      <c r="B288" s="42">
        <f t="shared" si="152"/>
        <v>278</v>
      </c>
      <c r="C288" s="41" t="s">
        <v>2147</v>
      </c>
      <c r="D288" s="43">
        <f t="shared" si="137"/>
        <v>25</v>
      </c>
      <c r="E288" s="61">
        <f t="shared" si="141"/>
        <v>3.4090000000000007</v>
      </c>
      <c r="F288" s="61">
        <f t="shared" si="142"/>
        <v>42</v>
      </c>
      <c r="G288" s="64">
        <f t="shared" si="143"/>
        <v>0.58988764044943809</v>
      </c>
      <c r="H288" s="44">
        <f t="shared" si="140"/>
        <v>-29.432344969112751</v>
      </c>
      <c r="I288" s="42" t="str">
        <f t="shared" si="153"/>
        <v>Half</v>
      </c>
      <c r="J288" s="50">
        <f t="shared" si="153"/>
        <v>6</v>
      </c>
      <c r="K288" s="49">
        <f t="shared" si="153"/>
        <v>160</v>
      </c>
      <c r="L288" s="44">
        <f t="shared" si="153"/>
        <v>8</v>
      </c>
      <c r="M288" s="44">
        <f t="shared" si="153"/>
        <v>8</v>
      </c>
      <c r="N288" s="45">
        <f t="shared" si="153"/>
        <v>0.2</v>
      </c>
      <c r="O288" s="49">
        <v>0</v>
      </c>
      <c r="P288" s="54">
        <f>K288+3</f>
        <v>163</v>
      </c>
      <c r="Q288" s="44">
        <f t="shared" si="154"/>
        <v>150</v>
      </c>
      <c r="R288" s="50">
        <f t="shared" si="154"/>
        <v>270</v>
      </c>
    </row>
    <row r="289" spans="1:18" x14ac:dyDescent="0.25">
      <c r="A289" s="41">
        <f t="shared" si="152"/>
        <v>1137</v>
      </c>
      <c r="B289" s="42">
        <f t="shared" si="152"/>
        <v>279</v>
      </c>
      <c r="C289" s="41" t="s">
        <v>2148</v>
      </c>
      <c r="D289" s="43">
        <f t="shared" si="137"/>
        <v>25</v>
      </c>
      <c r="E289" s="61">
        <f t="shared" si="141"/>
        <v>3.4090000000000007</v>
      </c>
      <c r="F289" s="61">
        <f t="shared" si="142"/>
        <v>42</v>
      </c>
      <c r="G289" s="64">
        <f t="shared" si="143"/>
        <v>0.58988764044943809</v>
      </c>
      <c r="H289" s="44">
        <f t="shared" si="140"/>
        <v>-29.432344969112751</v>
      </c>
      <c r="I289" s="42" t="str">
        <f t="shared" si="153"/>
        <v>Half</v>
      </c>
      <c r="J289" s="50">
        <f t="shared" si="153"/>
        <v>6</v>
      </c>
      <c r="K289" s="49">
        <f t="shared" si="153"/>
        <v>160</v>
      </c>
      <c r="L289" s="44">
        <f t="shared" si="153"/>
        <v>8</v>
      </c>
      <c r="M289" s="44">
        <f t="shared" si="153"/>
        <v>8</v>
      </c>
      <c r="N289" s="45">
        <f t="shared" si="153"/>
        <v>0.2</v>
      </c>
      <c r="O289" s="49">
        <v>0</v>
      </c>
      <c r="P289" s="54">
        <f>K289+6</f>
        <v>166</v>
      </c>
      <c r="Q289" s="44">
        <f t="shared" si="154"/>
        <v>150</v>
      </c>
      <c r="R289" s="50">
        <f t="shared" si="154"/>
        <v>270</v>
      </c>
    </row>
    <row r="290" spans="1:18" x14ac:dyDescent="0.25">
      <c r="A290" s="41">
        <f t="shared" si="152"/>
        <v>1138</v>
      </c>
      <c r="B290" s="42">
        <f t="shared" si="152"/>
        <v>280</v>
      </c>
      <c r="C290" s="41" t="s">
        <v>2149</v>
      </c>
      <c r="D290" s="43">
        <f t="shared" si="137"/>
        <v>25</v>
      </c>
      <c r="E290" s="61">
        <f t="shared" si="141"/>
        <v>3.4090000000000007</v>
      </c>
      <c r="F290" s="61">
        <f t="shared" si="142"/>
        <v>42</v>
      </c>
      <c r="G290" s="64">
        <f t="shared" si="143"/>
        <v>0.58988764044943809</v>
      </c>
      <c r="H290" s="44">
        <f t="shared" si="140"/>
        <v>-29.432344969112751</v>
      </c>
      <c r="I290" s="42" t="str">
        <f t="shared" si="153"/>
        <v>Half</v>
      </c>
      <c r="J290" s="50">
        <f t="shared" si="153"/>
        <v>6</v>
      </c>
      <c r="K290" s="49">
        <f t="shared" si="153"/>
        <v>160</v>
      </c>
      <c r="L290" s="44">
        <f t="shared" si="153"/>
        <v>8</v>
      </c>
      <c r="M290" s="44">
        <f t="shared" si="153"/>
        <v>8</v>
      </c>
      <c r="N290" s="45">
        <f t="shared" si="153"/>
        <v>0.2</v>
      </c>
      <c r="O290" s="49">
        <v>30</v>
      </c>
      <c r="P290" s="54">
        <f>K290</f>
        <v>160</v>
      </c>
      <c r="Q290" s="44">
        <f t="shared" si="154"/>
        <v>150</v>
      </c>
      <c r="R290" s="50">
        <f t="shared" si="154"/>
        <v>270</v>
      </c>
    </row>
    <row r="291" spans="1:18" x14ac:dyDescent="0.25">
      <c r="A291" s="41">
        <f t="shared" si="152"/>
        <v>1139</v>
      </c>
      <c r="B291" s="42">
        <f t="shared" si="152"/>
        <v>281</v>
      </c>
      <c r="C291" s="41" t="s">
        <v>2150</v>
      </c>
      <c r="D291" s="43">
        <f t="shared" ref="D291:D298" si="155">v_out</f>
        <v>25</v>
      </c>
      <c r="E291" s="61">
        <f t="shared" si="141"/>
        <v>3.4090000000000007</v>
      </c>
      <c r="F291" s="61">
        <f t="shared" si="142"/>
        <v>42</v>
      </c>
      <c r="G291" s="64">
        <f t="shared" si="143"/>
        <v>0.58988764044943809</v>
      </c>
      <c r="H291" s="44">
        <f t="shared" si="140"/>
        <v>-29.432344969112751</v>
      </c>
      <c r="I291" s="42" t="str">
        <f t="shared" si="153"/>
        <v>Half</v>
      </c>
      <c r="J291" s="50">
        <f t="shared" si="153"/>
        <v>6</v>
      </c>
      <c r="K291" s="49">
        <f t="shared" si="153"/>
        <v>160</v>
      </c>
      <c r="L291" s="44">
        <f t="shared" si="153"/>
        <v>8</v>
      </c>
      <c r="M291" s="44">
        <f t="shared" si="153"/>
        <v>8</v>
      </c>
      <c r="N291" s="45">
        <f t="shared" si="153"/>
        <v>0.2</v>
      </c>
      <c r="O291" s="49">
        <v>30</v>
      </c>
      <c r="P291" s="54">
        <f>K291+3</f>
        <v>163</v>
      </c>
      <c r="Q291" s="44">
        <f t="shared" si="154"/>
        <v>150</v>
      </c>
      <c r="R291" s="50">
        <f t="shared" si="154"/>
        <v>270</v>
      </c>
    </row>
    <row r="292" spans="1:18" x14ac:dyDescent="0.25">
      <c r="A292" s="41">
        <f t="shared" si="152"/>
        <v>1140</v>
      </c>
      <c r="B292" s="42">
        <f t="shared" si="152"/>
        <v>282</v>
      </c>
      <c r="C292" s="41" t="s">
        <v>2151</v>
      </c>
      <c r="D292" s="43">
        <f t="shared" si="155"/>
        <v>25</v>
      </c>
      <c r="E292" s="61">
        <f t="shared" si="141"/>
        <v>3.4090000000000007</v>
      </c>
      <c r="F292" s="61">
        <f t="shared" si="142"/>
        <v>42</v>
      </c>
      <c r="G292" s="64">
        <f t="shared" si="143"/>
        <v>0.58988764044943809</v>
      </c>
      <c r="H292" s="44">
        <f t="shared" si="140"/>
        <v>-29.432344969112751</v>
      </c>
      <c r="I292" s="42" t="str">
        <f t="shared" si="153"/>
        <v>Half</v>
      </c>
      <c r="J292" s="50">
        <f t="shared" si="153"/>
        <v>6</v>
      </c>
      <c r="K292" s="49">
        <f t="shared" si="153"/>
        <v>160</v>
      </c>
      <c r="L292" s="44">
        <f t="shared" si="153"/>
        <v>8</v>
      </c>
      <c r="M292" s="44">
        <f t="shared" si="153"/>
        <v>8</v>
      </c>
      <c r="N292" s="45">
        <f t="shared" si="153"/>
        <v>0.2</v>
      </c>
      <c r="O292" s="49">
        <v>30</v>
      </c>
      <c r="P292" s="54">
        <f>K292+6</f>
        <v>166</v>
      </c>
      <c r="Q292" s="44">
        <f t="shared" si="154"/>
        <v>150</v>
      </c>
      <c r="R292" s="50">
        <f t="shared" si="154"/>
        <v>270</v>
      </c>
    </row>
    <row r="293" spans="1:18" x14ac:dyDescent="0.25">
      <c r="A293" s="41">
        <f t="shared" si="152"/>
        <v>1141</v>
      </c>
      <c r="B293" s="42">
        <f t="shared" si="152"/>
        <v>283</v>
      </c>
      <c r="C293" s="41" t="s">
        <v>2152</v>
      </c>
      <c r="D293" s="43">
        <f t="shared" si="155"/>
        <v>25</v>
      </c>
      <c r="E293" s="61">
        <f t="shared" si="141"/>
        <v>3.4090000000000007</v>
      </c>
      <c r="F293" s="61">
        <f t="shared" si="142"/>
        <v>42</v>
      </c>
      <c r="G293" s="64">
        <f t="shared" si="143"/>
        <v>0.58988764044943809</v>
      </c>
      <c r="H293" s="44">
        <f t="shared" si="140"/>
        <v>-29.432344969112751</v>
      </c>
      <c r="I293" s="42" t="str">
        <f t="shared" si="153"/>
        <v>Half</v>
      </c>
      <c r="J293" s="50">
        <f t="shared" si="153"/>
        <v>6</v>
      </c>
      <c r="K293" s="49">
        <f t="shared" si="153"/>
        <v>160</v>
      </c>
      <c r="L293" s="44">
        <f t="shared" si="153"/>
        <v>8</v>
      </c>
      <c r="M293" s="44">
        <f t="shared" si="153"/>
        <v>8</v>
      </c>
      <c r="N293" s="45">
        <f t="shared" si="153"/>
        <v>0.2</v>
      </c>
      <c r="O293" s="49">
        <v>60</v>
      </c>
      <c r="P293" s="54">
        <f>K293</f>
        <v>160</v>
      </c>
      <c r="Q293" s="44">
        <f t="shared" si="154"/>
        <v>150</v>
      </c>
      <c r="R293" s="50">
        <f t="shared" si="154"/>
        <v>270</v>
      </c>
    </row>
    <row r="294" spans="1:18" x14ac:dyDescent="0.25">
      <c r="A294" s="41">
        <f t="shared" si="152"/>
        <v>1142</v>
      </c>
      <c r="B294" s="42">
        <f t="shared" si="152"/>
        <v>284</v>
      </c>
      <c r="C294" s="41" t="s">
        <v>2153</v>
      </c>
      <c r="D294" s="43">
        <f t="shared" si="155"/>
        <v>25</v>
      </c>
      <c r="E294" s="61">
        <f t="shared" si="141"/>
        <v>3.4090000000000007</v>
      </c>
      <c r="F294" s="61">
        <f t="shared" si="142"/>
        <v>42</v>
      </c>
      <c r="G294" s="64">
        <f t="shared" si="143"/>
        <v>0.58988764044943809</v>
      </c>
      <c r="H294" s="44">
        <f t="shared" si="140"/>
        <v>-29.432344969112751</v>
      </c>
      <c r="I294" s="42" t="str">
        <f t="shared" si="153"/>
        <v>Half</v>
      </c>
      <c r="J294" s="50">
        <f t="shared" si="153"/>
        <v>6</v>
      </c>
      <c r="K294" s="49">
        <f t="shared" si="153"/>
        <v>160</v>
      </c>
      <c r="L294" s="44">
        <f t="shared" si="153"/>
        <v>8</v>
      </c>
      <c r="M294" s="44">
        <f t="shared" si="153"/>
        <v>8</v>
      </c>
      <c r="N294" s="45">
        <f t="shared" si="153"/>
        <v>0.2</v>
      </c>
      <c r="O294" s="49">
        <v>60</v>
      </c>
      <c r="P294" s="54">
        <f>K294+3</f>
        <v>163</v>
      </c>
      <c r="Q294" s="44">
        <f t="shared" si="154"/>
        <v>150</v>
      </c>
      <c r="R294" s="50">
        <f t="shared" si="154"/>
        <v>270</v>
      </c>
    </row>
    <row r="295" spans="1:18" x14ac:dyDescent="0.25">
      <c r="A295" s="41">
        <f t="shared" si="152"/>
        <v>1143</v>
      </c>
      <c r="B295" s="42">
        <f t="shared" si="152"/>
        <v>285</v>
      </c>
      <c r="C295" s="41" t="s">
        <v>2154</v>
      </c>
      <c r="D295" s="43">
        <f t="shared" si="155"/>
        <v>25</v>
      </c>
      <c r="E295" s="61">
        <f t="shared" si="141"/>
        <v>3.4090000000000007</v>
      </c>
      <c r="F295" s="61">
        <f t="shared" si="142"/>
        <v>42</v>
      </c>
      <c r="G295" s="64">
        <f t="shared" si="143"/>
        <v>0.58988764044943809</v>
      </c>
      <c r="H295" s="44">
        <f t="shared" si="140"/>
        <v>-29.432344969112751</v>
      </c>
      <c r="I295" s="42" t="s">
        <v>12</v>
      </c>
      <c r="J295" s="50">
        <f t="shared" ref="J295" si="156">J294</f>
        <v>6</v>
      </c>
      <c r="K295" s="49">
        <f t="shared" si="153"/>
        <v>160</v>
      </c>
      <c r="L295" s="44">
        <f t="shared" si="153"/>
        <v>8</v>
      </c>
      <c r="M295" s="44">
        <f t="shared" si="153"/>
        <v>8</v>
      </c>
      <c r="N295" s="45">
        <f t="shared" si="153"/>
        <v>0.2</v>
      </c>
      <c r="O295" s="49">
        <v>60</v>
      </c>
      <c r="P295" s="54">
        <f>K295+6</f>
        <v>166</v>
      </c>
      <c r="Q295" s="44">
        <f t="shared" si="154"/>
        <v>150</v>
      </c>
      <c r="R295" s="50">
        <f t="shared" si="154"/>
        <v>270</v>
      </c>
    </row>
    <row r="296" spans="1:18" x14ac:dyDescent="0.25">
      <c r="A296" s="41">
        <f t="shared" si="152"/>
        <v>1144</v>
      </c>
      <c r="B296" s="42">
        <f t="shared" si="152"/>
        <v>286</v>
      </c>
      <c r="C296" s="41" t="s">
        <v>2155</v>
      </c>
      <c r="D296" s="43">
        <f t="shared" si="155"/>
        <v>25</v>
      </c>
      <c r="E296" s="61">
        <f t="shared" si="141"/>
        <v>3.4090000000000007</v>
      </c>
      <c r="F296" s="61">
        <f t="shared" si="142"/>
        <v>42</v>
      </c>
      <c r="G296" s="64">
        <f t="shared" si="143"/>
        <v>0.58988764044943809</v>
      </c>
      <c r="H296" s="44">
        <f t="shared" si="140"/>
        <v>-29.432344969112751</v>
      </c>
      <c r="I296" s="42" t="str">
        <f>I295</f>
        <v>Half</v>
      </c>
      <c r="J296" s="50">
        <f t="shared" ref="J296" si="157">J295</f>
        <v>6</v>
      </c>
      <c r="K296" s="49">
        <f t="shared" si="153"/>
        <v>160</v>
      </c>
      <c r="L296" s="44">
        <f t="shared" si="153"/>
        <v>8</v>
      </c>
      <c r="M296" s="44">
        <f t="shared" si="153"/>
        <v>8</v>
      </c>
      <c r="N296" s="45">
        <f t="shared" si="153"/>
        <v>0.2</v>
      </c>
      <c r="O296" s="49">
        <v>90</v>
      </c>
      <c r="P296" s="54">
        <f>K296</f>
        <v>160</v>
      </c>
      <c r="Q296" s="44">
        <f t="shared" si="154"/>
        <v>150</v>
      </c>
      <c r="R296" s="50">
        <f t="shared" si="154"/>
        <v>270</v>
      </c>
    </row>
    <row r="297" spans="1:18" x14ac:dyDescent="0.25">
      <c r="A297" s="41">
        <f t="shared" si="152"/>
        <v>1145</v>
      </c>
      <c r="B297" s="42">
        <f t="shared" si="152"/>
        <v>287</v>
      </c>
      <c r="C297" s="41" t="s">
        <v>2156</v>
      </c>
      <c r="D297" s="43">
        <f t="shared" si="155"/>
        <v>25</v>
      </c>
      <c r="E297" s="61">
        <f t="shared" si="141"/>
        <v>3.4090000000000007</v>
      </c>
      <c r="F297" s="61">
        <f t="shared" si="142"/>
        <v>42</v>
      </c>
      <c r="G297" s="64">
        <f t="shared" si="143"/>
        <v>0.58988764044943809</v>
      </c>
      <c r="H297" s="44">
        <f t="shared" si="140"/>
        <v>-29.432344969112751</v>
      </c>
      <c r="I297" s="42" t="str">
        <f t="shared" si="153"/>
        <v>Half</v>
      </c>
      <c r="J297" s="50">
        <f t="shared" si="153"/>
        <v>6</v>
      </c>
      <c r="K297" s="49">
        <f t="shared" si="153"/>
        <v>160</v>
      </c>
      <c r="L297" s="44">
        <f t="shared" si="153"/>
        <v>8</v>
      </c>
      <c r="M297" s="44">
        <f t="shared" si="153"/>
        <v>8</v>
      </c>
      <c r="N297" s="45">
        <f t="shared" si="153"/>
        <v>0.2</v>
      </c>
      <c r="O297" s="49">
        <v>90</v>
      </c>
      <c r="P297" s="54">
        <f>K297+3</f>
        <v>163</v>
      </c>
      <c r="Q297" s="44">
        <f t="shared" si="154"/>
        <v>150</v>
      </c>
      <c r="R297" s="50">
        <f t="shared" si="154"/>
        <v>270</v>
      </c>
    </row>
    <row r="298" spans="1:18" x14ac:dyDescent="0.25">
      <c r="A298" s="41">
        <f t="shared" si="152"/>
        <v>1146</v>
      </c>
      <c r="B298" s="42">
        <f t="shared" si="152"/>
        <v>288</v>
      </c>
      <c r="C298" s="41" t="s">
        <v>2157</v>
      </c>
      <c r="D298" s="43">
        <f t="shared" si="155"/>
        <v>25</v>
      </c>
      <c r="E298" s="61">
        <f t="shared" si="141"/>
        <v>3.4090000000000007</v>
      </c>
      <c r="F298" s="61">
        <f t="shared" si="142"/>
        <v>42</v>
      </c>
      <c r="G298" s="64">
        <f t="shared" si="143"/>
        <v>0.58988764044943809</v>
      </c>
      <c r="H298" s="44">
        <f t="shared" si="140"/>
        <v>-29.432344969112751</v>
      </c>
      <c r="I298" s="42" t="str">
        <f t="shared" si="153"/>
        <v>Half</v>
      </c>
      <c r="J298" s="50">
        <f t="shared" si="153"/>
        <v>6</v>
      </c>
      <c r="K298" s="49">
        <f t="shared" si="153"/>
        <v>160</v>
      </c>
      <c r="L298" s="44">
        <f t="shared" si="153"/>
        <v>8</v>
      </c>
      <c r="M298" s="44">
        <f t="shared" si="153"/>
        <v>8</v>
      </c>
      <c r="N298" s="45">
        <f t="shared" si="153"/>
        <v>0.2</v>
      </c>
      <c r="O298" s="49">
        <v>90</v>
      </c>
      <c r="P298" s="54">
        <f>K298+6</f>
        <v>166</v>
      </c>
      <c r="Q298" s="44">
        <f t="shared" si="154"/>
        <v>150</v>
      </c>
      <c r="R298" s="50">
        <f t="shared" si="154"/>
        <v>270</v>
      </c>
    </row>
  </sheetData>
  <phoneticPr fontId="1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O154"/>
  <sheetViews>
    <sheetView zoomScale="85" zoomScaleNormal="85" workbookViewId="0">
      <selection activeCell="P14" sqref="P14"/>
    </sheetView>
  </sheetViews>
  <sheetFormatPr defaultColWidth="9" defaultRowHeight="15" x14ac:dyDescent="0.15"/>
  <cols>
    <col min="1" max="1" width="7.375" style="23" customWidth="1"/>
    <col min="2" max="2" width="7.125" style="23" customWidth="1"/>
    <col min="3" max="3" width="9.375" style="23" customWidth="1"/>
    <col min="4" max="4" width="6.75" style="23" customWidth="1"/>
    <col min="5" max="5" width="6.875" style="23" customWidth="1"/>
    <col min="6" max="6" width="7.25" style="23" customWidth="1"/>
    <col min="7" max="7" width="7.375" style="23" customWidth="1"/>
    <col min="8" max="8" width="8" style="23" customWidth="1"/>
    <col min="9" max="9" width="7.75" style="23" customWidth="1"/>
    <col min="10" max="11" width="7.375" style="23" customWidth="1"/>
    <col min="12" max="12" width="6.75" style="23" customWidth="1"/>
    <col min="13" max="13" width="8.25" style="23" customWidth="1"/>
    <col min="14" max="14" width="7.125" style="23" customWidth="1"/>
    <col min="15" max="15" width="8.125" style="23" customWidth="1"/>
    <col min="16" max="16384" width="9" style="23"/>
  </cols>
  <sheetData>
    <row r="1" spans="1:15" x14ac:dyDescent="0.15">
      <c r="H1" s="22" t="s">
        <v>135</v>
      </c>
      <c r="I1" s="22" t="s">
        <v>1723</v>
      </c>
    </row>
    <row r="2" spans="1:15" x14ac:dyDescent="0.15">
      <c r="B2" s="22" t="s">
        <v>1720</v>
      </c>
      <c r="C2" s="22"/>
      <c r="D2" s="22"/>
      <c r="E2" s="22"/>
      <c r="H2" s="22"/>
      <c r="I2" s="22" t="s">
        <v>1724</v>
      </c>
    </row>
    <row r="3" spans="1:15" x14ac:dyDescent="0.15">
      <c r="B3" s="22" t="s">
        <v>88</v>
      </c>
      <c r="C3" s="22"/>
      <c r="D3" s="22"/>
      <c r="E3" s="93" t="s">
        <v>1721</v>
      </c>
      <c r="H3" s="22"/>
      <c r="I3" s="22" t="s">
        <v>148</v>
      </c>
    </row>
    <row r="4" spans="1:15" x14ac:dyDescent="0.15">
      <c r="B4" s="22" t="s">
        <v>89</v>
      </c>
      <c r="C4" s="22"/>
      <c r="D4" s="22"/>
      <c r="E4" s="22" t="s">
        <v>1722</v>
      </c>
      <c r="H4" s="22"/>
      <c r="I4" s="22" t="s">
        <v>149</v>
      </c>
    </row>
    <row r="5" spans="1:15" x14ac:dyDescent="0.15">
      <c r="B5" s="22" t="s">
        <v>91</v>
      </c>
      <c r="C5" s="22"/>
      <c r="D5" s="22"/>
      <c r="E5" s="22" t="s">
        <v>99</v>
      </c>
      <c r="H5" s="22"/>
      <c r="I5" s="22" t="s">
        <v>916</v>
      </c>
    </row>
    <row r="6" spans="1:15" x14ac:dyDescent="0.15">
      <c r="B6" s="22" t="s">
        <v>93</v>
      </c>
      <c r="C6" s="22"/>
      <c r="D6" s="22"/>
      <c r="E6" s="22" t="s">
        <v>100</v>
      </c>
      <c r="H6" s="22"/>
      <c r="I6" s="22" t="s">
        <v>917</v>
      </c>
    </row>
    <row r="7" spans="1:15" x14ac:dyDescent="0.15">
      <c r="H7" s="22"/>
      <c r="I7" s="22" t="s">
        <v>918</v>
      </c>
    </row>
    <row r="8" spans="1:15" ht="15.75" thickBot="1" x14ac:dyDescent="0.2">
      <c r="A8" s="139"/>
      <c r="B8" s="139"/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  <c r="N8" s="139"/>
      <c r="O8" s="139"/>
    </row>
    <row r="9" spans="1:15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25" t="s">
        <v>143</v>
      </c>
      <c r="F9" s="25" t="s">
        <v>146</v>
      </c>
      <c r="G9" s="27" t="s">
        <v>8</v>
      </c>
      <c r="H9" s="47" t="s">
        <v>21</v>
      </c>
      <c r="I9" s="25" t="s">
        <v>147</v>
      </c>
      <c r="J9" s="25" t="s">
        <v>1</v>
      </c>
      <c r="K9" s="25" t="s">
        <v>2</v>
      </c>
      <c r="L9" s="25" t="s">
        <v>10</v>
      </c>
      <c r="M9" s="25" t="s">
        <v>13</v>
      </c>
      <c r="N9" s="27" t="s">
        <v>138</v>
      </c>
      <c r="O9" s="27" t="s">
        <v>139</v>
      </c>
    </row>
    <row r="10" spans="1:15" ht="15.75" thickBot="1" x14ac:dyDescent="0.3">
      <c r="A10" s="29" t="s">
        <v>76</v>
      </c>
      <c r="B10" s="30" t="str">
        <f>B2</f>
        <v>DLCT5</v>
      </c>
      <c r="C10" s="29"/>
      <c r="D10" s="30" t="s">
        <v>4</v>
      </c>
      <c r="E10" s="30" t="s">
        <v>4</v>
      </c>
      <c r="F10" s="30" t="s">
        <v>1719</v>
      </c>
      <c r="G10" s="32"/>
      <c r="H10" s="32" t="s">
        <v>17</v>
      </c>
      <c r="I10" s="32" t="s">
        <v>7</v>
      </c>
      <c r="J10" s="30" t="s">
        <v>6</v>
      </c>
      <c r="K10" s="30" t="s">
        <v>6</v>
      </c>
      <c r="L10" s="30"/>
      <c r="M10" s="32" t="s">
        <v>7</v>
      </c>
      <c r="N10" s="32" t="s">
        <v>7</v>
      </c>
      <c r="O10" s="32" t="s">
        <v>7</v>
      </c>
    </row>
    <row r="11" spans="1:15" x14ac:dyDescent="0.25">
      <c r="A11" s="24">
        <f>'DLC13'!A100+1</f>
        <v>859</v>
      </c>
      <c r="B11" s="27">
        <v>1</v>
      </c>
      <c r="C11" s="24" t="s">
        <v>1725</v>
      </c>
      <c r="D11" s="34">
        <f t="shared" ref="D11:D42" si="0">v_out</f>
        <v>25</v>
      </c>
      <c r="E11" s="35">
        <f>ECD_v</f>
        <v>15</v>
      </c>
      <c r="F11" s="35">
        <f>720/D11</f>
        <v>28.8</v>
      </c>
      <c r="G11" s="42" t="s">
        <v>12</v>
      </c>
      <c r="H11" s="50">
        <f>ECD_t</f>
        <v>10</v>
      </c>
      <c r="I11" s="49">
        <f>trig_t</f>
        <v>160</v>
      </c>
      <c r="J11" s="35">
        <f>inflow</f>
        <v>8</v>
      </c>
      <c r="K11" s="35">
        <f>yaw_min</f>
        <v>-8</v>
      </c>
      <c r="L11" s="36">
        <f>alpha_n</f>
        <v>0.2</v>
      </c>
      <c r="M11" s="49">
        <v>0</v>
      </c>
      <c r="N11" s="35">
        <f>t_out</f>
        <v>150</v>
      </c>
      <c r="O11" s="50">
        <f>N11+T_s2</f>
        <v>210</v>
      </c>
    </row>
    <row r="12" spans="1:15" x14ac:dyDescent="0.25">
      <c r="A12" s="41">
        <f t="shared" ref="A12:B27" si="1">A11+1</f>
        <v>860</v>
      </c>
      <c r="B12" s="42">
        <f t="shared" si="1"/>
        <v>2</v>
      </c>
      <c r="C12" s="41" t="s">
        <v>1726</v>
      </c>
      <c r="D12" s="43">
        <f t="shared" si="0"/>
        <v>25</v>
      </c>
      <c r="E12" s="44">
        <f t="shared" ref="E12:L27" si="2">E11</f>
        <v>15</v>
      </c>
      <c r="F12" s="44">
        <f t="shared" si="2"/>
        <v>28.8</v>
      </c>
      <c r="G12" s="42" t="str">
        <f t="shared" si="2"/>
        <v>Half</v>
      </c>
      <c r="H12" s="50">
        <f t="shared" si="2"/>
        <v>10</v>
      </c>
      <c r="I12" s="49">
        <f t="shared" si="2"/>
        <v>160</v>
      </c>
      <c r="J12" s="44">
        <f t="shared" si="2"/>
        <v>8</v>
      </c>
      <c r="K12" s="44">
        <f t="shared" si="2"/>
        <v>-8</v>
      </c>
      <c r="L12" s="45">
        <f t="shared" si="2"/>
        <v>0.2</v>
      </c>
      <c r="M12" s="49">
        <v>30</v>
      </c>
      <c r="N12" s="44">
        <f>N11</f>
        <v>150</v>
      </c>
      <c r="O12" s="50">
        <f>O11</f>
        <v>210</v>
      </c>
    </row>
    <row r="13" spans="1:15" x14ac:dyDescent="0.25">
      <c r="A13" s="41">
        <f t="shared" si="1"/>
        <v>861</v>
      </c>
      <c r="B13" s="42">
        <f t="shared" si="1"/>
        <v>3</v>
      </c>
      <c r="C13" s="41" t="s">
        <v>1727</v>
      </c>
      <c r="D13" s="43">
        <f t="shared" si="0"/>
        <v>25</v>
      </c>
      <c r="E13" s="44">
        <f t="shared" si="2"/>
        <v>15</v>
      </c>
      <c r="F13" s="44">
        <f>F12</f>
        <v>28.8</v>
      </c>
      <c r="G13" s="42" t="str">
        <f t="shared" si="2"/>
        <v>Half</v>
      </c>
      <c r="H13" s="50">
        <f t="shared" si="2"/>
        <v>10</v>
      </c>
      <c r="I13" s="49">
        <f t="shared" si="2"/>
        <v>160</v>
      </c>
      <c r="J13" s="44">
        <f t="shared" si="2"/>
        <v>8</v>
      </c>
      <c r="K13" s="44">
        <f t="shared" si="2"/>
        <v>-8</v>
      </c>
      <c r="L13" s="45">
        <f t="shared" si="2"/>
        <v>0.2</v>
      </c>
      <c r="M13" s="49">
        <v>60</v>
      </c>
      <c r="N13" s="44">
        <f t="shared" ref="N13:O28" si="3">N12</f>
        <v>150</v>
      </c>
      <c r="O13" s="50">
        <f t="shared" si="3"/>
        <v>210</v>
      </c>
    </row>
    <row r="14" spans="1:15" x14ac:dyDescent="0.25">
      <c r="A14" s="41">
        <f t="shared" si="1"/>
        <v>862</v>
      </c>
      <c r="B14" s="42">
        <f t="shared" si="1"/>
        <v>4</v>
      </c>
      <c r="C14" s="41" t="s">
        <v>1728</v>
      </c>
      <c r="D14" s="43">
        <f t="shared" si="0"/>
        <v>25</v>
      </c>
      <c r="E14" s="44">
        <f t="shared" si="2"/>
        <v>15</v>
      </c>
      <c r="F14" s="44">
        <f>F13</f>
        <v>28.8</v>
      </c>
      <c r="G14" s="42" t="str">
        <f t="shared" si="2"/>
        <v>Half</v>
      </c>
      <c r="H14" s="50">
        <f t="shared" si="2"/>
        <v>10</v>
      </c>
      <c r="I14" s="49">
        <f t="shared" si="2"/>
        <v>160</v>
      </c>
      <c r="J14" s="44">
        <f t="shared" si="2"/>
        <v>8</v>
      </c>
      <c r="K14" s="44">
        <f t="shared" si="2"/>
        <v>-8</v>
      </c>
      <c r="L14" s="45">
        <f t="shared" si="2"/>
        <v>0.2</v>
      </c>
      <c r="M14" s="49">
        <v>90</v>
      </c>
      <c r="N14" s="44">
        <f t="shared" si="3"/>
        <v>150</v>
      </c>
      <c r="O14" s="50">
        <f t="shared" si="3"/>
        <v>210</v>
      </c>
    </row>
    <row r="15" spans="1:15" x14ac:dyDescent="0.25">
      <c r="A15" s="41">
        <f t="shared" si="1"/>
        <v>863</v>
      </c>
      <c r="B15" s="42">
        <f t="shared" si="1"/>
        <v>5</v>
      </c>
      <c r="C15" s="41" t="s">
        <v>1729</v>
      </c>
      <c r="D15" s="43">
        <f t="shared" si="0"/>
        <v>25</v>
      </c>
      <c r="E15" s="44">
        <f t="shared" si="2"/>
        <v>15</v>
      </c>
      <c r="F15" s="44">
        <f t="shared" si="2"/>
        <v>28.8</v>
      </c>
      <c r="G15" s="42" t="str">
        <f t="shared" si="2"/>
        <v>Half</v>
      </c>
      <c r="H15" s="50">
        <f t="shared" si="2"/>
        <v>10</v>
      </c>
      <c r="I15" s="49">
        <f t="shared" si="2"/>
        <v>160</v>
      </c>
      <c r="J15" s="44">
        <f t="shared" si="2"/>
        <v>8</v>
      </c>
      <c r="K15" s="44">
        <f>yaw_null</f>
        <v>0</v>
      </c>
      <c r="L15" s="45">
        <f t="shared" si="2"/>
        <v>0.2</v>
      </c>
      <c r="M15" s="49">
        <v>0</v>
      </c>
      <c r="N15" s="44">
        <f t="shared" si="3"/>
        <v>150</v>
      </c>
      <c r="O15" s="50">
        <f t="shared" si="3"/>
        <v>210</v>
      </c>
    </row>
    <row r="16" spans="1:15" x14ac:dyDescent="0.25">
      <c r="A16" s="41">
        <f t="shared" si="1"/>
        <v>864</v>
      </c>
      <c r="B16" s="42">
        <f t="shared" si="1"/>
        <v>6</v>
      </c>
      <c r="C16" s="41" t="s">
        <v>1730</v>
      </c>
      <c r="D16" s="43">
        <f t="shared" si="0"/>
        <v>25</v>
      </c>
      <c r="E16" s="44">
        <f t="shared" si="2"/>
        <v>15</v>
      </c>
      <c r="F16" s="44">
        <f t="shared" si="2"/>
        <v>28.8</v>
      </c>
      <c r="G16" s="42" t="str">
        <f t="shared" si="2"/>
        <v>Half</v>
      </c>
      <c r="H16" s="50">
        <f t="shared" si="2"/>
        <v>10</v>
      </c>
      <c r="I16" s="49">
        <f t="shared" si="2"/>
        <v>160</v>
      </c>
      <c r="J16" s="44">
        <f t="shared" si="2"/>
        <v>8</v>
      </c>
      <c r="K16" s="44">
        <f t="shared" si="2"/>
        <v>0</v>
      </c>
      <c r="L16" s="45">
        <f t="shared" si="2"/>
        <v>0.2</v>
      </c>
      <c r="M16" s="49">
        <v>30</v>
      </c>
      <c r="N16" s="44">
        <f t="shared" si="3"/>
        <v>150</v>
      </c>
      <c r="O16" s="50">
        <f t="shared" si="3"/>
        <v>210</v>
      </c>
    </row>
    <row r="17" spans="1:15" x14ac:dyDescent="0.25">
      <c r="A17" s="41">
        <f t="shared" si="1"/>
        <v>865</v>
      </c>
      <c r="B17" s="42">
        <f t="shared" si="1"/>
        <v>7</v>
      </c>
      <c r="C17" s="41" t="s">
        <v>1731</v>
      </c>
      <c r="D17" s="43">
        <f t="shared" si="0"/>
        <v>25</v>
      </c>
      <c r="E17" s="44">
        <f t="shared" si="2"/>
        <v>15</v>
      </c>
      <c r="F17" s="44">
        <f t="shared" si="2"/>
        <v>28.8</v>
      </c>
      <c r="G17" s="42" t="str">
        <f t="shared" si="2"/>
        <v>Half</v>
      </c>
      <c r="H17" s="50">
        <f t="shared" si="2"/>
        <v>10</v>
      </c>
      <c r="I17" s="49">
        <f t="shared" si="2"/>
        <v>160</v>
      </c>
      <c r="J17" s="44">
        <f t="shared" si="2"/>
        <v>8</v>
      </c>
      <c r="K17" s="44">
        <f t="shared" si="2"/>
        <v>0</v>
      </c>
      <c r="L17" s="45">
        <f t="shared" si="2"/>
        <v>0.2</v>
      </c>
      <c r="M17" s="49">
        <v>60</v>
      </c>
      <c r="N17" s="44">
        <f t="shared" si="3"/>
        <v>150</v>
      </c>
      <c r="O17" s="50">
        <f t="shared" si="3"/>
        <v>210</v>
      </c>
    </row>
    <row r="18" spans="1:15" x14ac:dyDescent="0.25">
      <c r="A18" s="41">
        <f t="shared" si="1"/>
        <v>866</v>
      </c>
      <c r="B18" s="42">
        <f t="shared" si="1"/>
        <v>8</v>
      </c>
      <c r="C18" s="41" t="s">
        <v>1732</v>
      </c>
      <c r="D18" s="43">
        <f t="shared" si="0"/>
        <v>25</v>
      </c>
      <c r="E18" s="44">
        <f t="shared" si="2"/>
        <v>15</v>
      </c>
      <c r="F18" s="44">
        <f>F17</f>
        <v>28.8</v>
      </c>
      <c r="G18" s="42" t="str">
        <f t="shared" si="2"/>
        <v>Half</v>
      </c>
      <c r="H18" s="50">
        <f t="shared" si="2"/>
        <v>10</v>
      </c>
      <c r="I18" s="49">
        <f t="shared" si="2"/>
        <v>160</v>
      </c>
      <c r="J18" s="44">
        <f t="shared" si="2"/>
        <v>8</v>
      </c>
      <c r="K18" s="44">
        <f t="shared" si="2"/>
        <v>0</v>
      </c>
      <c r="L18" s="45">
        <f t="shared" si="2"/>
        <v>0.2</v>
      </c>
      <c r="M18" s="49">
        <v>90</v>
      </c>
      <c r="N18" s="44">
        <f t="shared" si="3"/>
        <v>150</v>
      </c>
      <c r="O18" s="50">
        <f t="shared" si="3"/>
        <v>210</v>
      </c>
    </row>
    <row r="19" spans="1:15" x14ac:dyDescent="0.25">
      <c r="A19" s="41">
        <f t="shared" si="1"/>
        <v>867</v>
      </c>
      <c r="B19" s="42">
        <f t="shared" si="1"/>
        <v>9</v>
      </c>
      <c r="C19" s="41" t="s">
        <v>1733</v>
      </c>
      <c r="D19" s="43">
        <f t="shared" si="0"/>
        <v>25</v>
      </c>
      <c r="E19" s="44">
        <f t="shared" si="2"/>
        <v>15</v>
      </c>
      <c r="F19" s="44">
        <f t="shared" si="2"/>
        <v>28.8</v>
      </c>
      <c r="G19" s="42" t="str">
        <f t="shared" si="2"/>
        <v>Half</v>
      </c>
      <c r="H19" s="50">
        <f t="shared" si="2"/>
        <v>10</v>
      </c>
      <c r="I19" s="49">
        <f t="shared" si="2"/>
        <v>160</v>
      </c>
      <c r="J19" s="44">
        <f t="shared" si="2"/>
        <v>8</v>
      </c>
      <c r="K19" s="44">
        <f>yaw_max</f>
        <v>8</v>
      </c>
      <c r="L19" s="45">
        <f t="shared" si="2"/>
        <v>0.2</v>
      </c>
      <c r="M19" s="49">
        <v>0</v>
      </c>
      <c r="N19" s="44">
        <f t="shared" si="3"/>
        <v>150</v>
      </c>
      <c r="O19" s="50">
        <f t="shared" si="3"/>
        <v>210</v>
      </c>
    </row>
    <row r="20" spans="1:15" x14ac:dyDescent="0.25">
      <c r="A20" s="41">
        <f t="shared" si="1"/>
        <v>868</v>
      </c>
      <c r="B20" s="42">
        <f t="shared" si="1"/>
        <v>10</v>
      </c>
      <c r="C20" s="41" t="s">
        <v>1734</v>
      </c>
      <c r="D20" s="43">
        <f t="shared" si="0"/>
        <v>25</v>
      </c>
      <c r="E20" s="44">
        <f t="shared" si="2"/>
        <v>15</v>
      </c>
      <c r="F20" s="44">
        <f t="shared" si="2"/>
        <v>28.8</v>
      </c>
      <c r="G20" s="42" t="str">
        <f>G19</f>
        <v>Half</v>
      </c>
      <c r="H20" s="50">
        <f t="shared" si="2"/>
        <v>10</v>
      </c>
      <c r="I20" s="49">
        <f t="shared" si="2"/>
        <v>160</v>
      </c>
      <c r="J20" s="44">
        <f t="shared" si="2"/>
        <v>8</v>
      </c>
      <c r="K20" s="44">
        <f t="shared" si="2"/>
        <v>8</v>
      </c>
      <c r="L20" s="45">
        <f t="shared" si="2"/>
        <v>0.2</v>
      </c>
      <c r="M20" s="49">
        <v>30</v>
      </c>
      <c r="N20" s="44">
        <f t="shared" si="3"/>
        <v>150</v>
      </c>
      <c r="O20" s="50">
        <f t="shared" si="3"/>
        <v>210</v>
      </c>
    </row>
    <row r="21" spans="1:15" x14ac:dyDescent="0.25">
      <c r="A21" s="41">
        <f t="shared" si="1"/>
        <v>869</v>
      </c>
      <c r="B21" s="42">
        <f t="shared" si="1"/>
        <v>11</v>
      </c>
      <c r="C21" s="41" t="s">
        <v>1735</v>
      </c>
      <c r="D21" s="43">
        <f t="shared" si="0"/>
        <v>25</v>
      </c>
      <c r="E21" s="44">
        <f t="shared" si="2"/>
        <v>15</v>
      </c>
      <c r="F21" s="44">
        <f t="shared" si="2"/>
        <v>28.8</v>
      </c>
      <c r="G21" s="42" t="str">
        <f>G20</f>
        <v>Half</v>
      </c>
      <c r="H21" s="50">
        <f t="shared" si="2"/>
        <v>10</v>
      </c>
      <c r="I21" s="49">
        <f t="shared" si="2"/>
        <v>160</v>
      </c>
      <c r="J21" s="44">
        <f t="shared" si="2"/>
        <v>8</v>
      </c>
      <c r="K21" s="44">
        <f t="shared" si="2"/>
        <v>8</v>
      </c>
      <c r="L21" s="45">
        <f t="shared" si="2"/>
        <v>0.2</v>
      </c>
      <c r="M21" s="49">
        <v>60</v>
      </c>
      <c r="N21" s="44">
        <f t="shared" si="3"/>
        <v>150</v>
      </c>
      <c r="O21" s="50">
        <f t="shared" si="3"/>
        <v>210</v>
      </c>
    </row>
    <row r="22" spans="1:15" x14ac:dyDescent="0.25">
      <c r="A22" s="41">
        <f t="shared" si="1"/>
        <v>870</v>
      </c>
      <c r="B22" s="42">
        <f t="shared" si="1"/>
        <v>12</v>
      </c>
      <c r="C22" s="41" t="s">
        <v>1736</v>
      </c>
      <c r="D22" s="43">
        <f t="shared" si="0"/>
        <v>25</v>
      </c>
      <c r="E22" s="44">
        <f t="shared" si="2"/>
        <v>15</v>
      </c>
      <c r="F22" s="44">
        <f t="shared" si="2"/>
        <v>28.8</v>
      </c>
      <c r="G22" s="42" t="str">
        <f>G21</f>
        <v>Half</v>
      </c>
      <c r="H22" s="50">
        <f t="shared" si="2"/>
        <v>10</v>
      </c>
      <c r="I22" s="49">
        <f t="shared" si="2"/>
        <v>160</v>
      </c>
      <c r="J22" s="44">
        <f t="shared" si="2"/>
        <v>8</v>
      </c>
      <c r="K22" s="44">
        <f t="shared" si="2"/>
        <v>8</v>
      </c>
      <c r="L22" s="45">
        <f t="shared" si="2"/>
        <v>0.2</v>
      </c>
      <c r="M22" s="49">
        <v>90</v>
      </c>
      <c r="N22" s="44">
        <f t="shared" si="3"/>
        <v>150</v>
      </c>
      <c r="O22" s="50">
        <f t="shared" si="3"/>
        <v>210</v>
      </c>
    </row>
    <row r="23" spans="1:15" x14ac:dyDescent="0.25">
      <c r="A23" s="41">
        <f t="shared" si="1"/>
        <v>871</v>
      </c>
      <c r="B23" s="42">
        <f t="shared" si="1"/>
        <v>13</v>
      </c>
      <c r="C23" s="41" t="s">
        <v>1737</v>
      </c>
      <c r="D23" s="43">
        <f t="shared" si="0"/>
        <v>25</v>
      </c>
      <c r="E23" s="44">
        <f t="shared" si="2"/>
        <v>15</v>
      </c>
      <c r="F23" s="44">
        <f>-720/D23</f>
        <v>-28.8</v>
      </c>
      <c r="G23" s="42" t="str">
        <f t="shared" ref="G23:H26" si="4">G22</f>
        <v>Half</v>
      </c>
      <c r="H23" s="50">
        <f>H22</f>
        <v>10</v>
      </c>
      <c r="I23" s="49">
        <f t="shared" si="2"/>
        <v>160</v>
      </c>
      <c r="J23" s="44">
        <f t="shared" si="2"/>
        <v>8</v>
      </c>
      <c r="K23" s="44">
        <f>yaw_min</f>
        <v>-8</v>
      </c>
      <c r="L23" s="45">
        <f t="shared" si="2"/>
        <v>0.2</v>
      </c>
      <c r="M23" s="49">
        <v>0</v>
      </c>
      <c r="N23" s="44">
        <f t="shared" si="3"/>
        <v>150</v>
      </c>
      <c r="O23" s="50">
        <f t="shared" si="3"/>
        <v>210</v>
      </c>
    </row>
    <row r="24" spans="1:15" x14ac:dyDescent="0.25">
      <c r="A24" s="41">
        <f t="shared" si="1"/>
        <v>872</v>
      </c>
      <c r="B24" s="42">
        <f t="shared" si="1"/>
        <v>14</v>
      </c>
      <c r="C24" s="41" t="s">
        <v>1738</v>
      </c>
      <c r="D24" s="43">
        <f t="shared" si="0"/>
        <v>25</v>
      </c>
      <c r="E24" s="44">
        <f t="shared" si="2"/>
        <v>15</v>
      </c>
      <c r="F24" s="44">
        <f>F23</f>
        <v>-28.8</v>
      </c>
      <c r="G24" s="42" t="str">
        <f t="shared" si="4"/>
        <v>Half</v>
      </c>
      <c r="H24" s="50">
        <f t="shared" si="4"/>
        <v>10</v>
      </c>
      <c r="I24" s="49">
        <f t="shared" si="2"/>
        <v>160</v>
      </c>
      <c r="J24" s="44">
        <f t="shared" si="2"/>
        <v>8</v>
      </c>
      <c r="K24" s="44">
        <f t="shared" si="2"/>
        <v>-8</v>
      </c>
      <c r="L24" s="45">
        <f t="shared" si="2"/>
        <v>0.2</v>
      </c>
      <c r="M24" s="49">
        <v>30</v>
      </c>
      <c r="N24" s="44">
        <f t="shared" si="3"/>
        <v>150</v>
      </c>
      <c r="O24" s="50">
        <f t="shared" si="3"/>
        <v>210</v>
      </c>
    </row>
    <row r="25" spans="1:15" x14ac:dyDescent="0.25">
      <c r="A25" s="41">
        <f t="shared" si="1"/>
        <v>873</v>
      </c>
      <c r="B25" s="42">
        <f t="shared" si="1"/>
        <v>15</v>
      </c>
      <c r="C25" s="41" t="s">
        <v>1739</v>
      </c>
      <c r="D25" s="43">
        <f t="shared" si="0"/>
        <v>25</v>
      </c>
      <c r="E25" s="44">
        <f t="shared" si="2"/>
        <v>15</v>
      </c>
      <c r="F25" s="44">
        <f>F24</f>
        <v>-28.8</v>
      </c>
      <c r="G25" s="42" t="str">
        <f t="shared" si="4"/>
        <v>Half</v>
      </c>
      <c r="H25" s="50">
        <f t="shared" si="4"/>
        <v>10</v>
      </c>
      <c r="I25" s="49">
        <f t="shared" si="2"/>
        <v>160</v>
      </c>
      <c r="J25" s="44">
        <f t="shared" si="2"/>
        <v>8</v>
      </c>
      <c r="K25" s="44">
        <f t="shared" si="2"/>
        <v>-8</v>
      </c>
      <c r="L25" s="45">
        <f t="shared" si="2"/>
        <v>0.2</v>
      </c>
      <c r="M25" s="49">
        <v>60</v>
      </c>
      <c r="N25" s="44">
        <f t="shared" si="3"/>
        <v>150</v>
      </c>
      <c r="O25" s="50">
        <f t="shared" si="3"/>
        <v>210</v>
      </c>
    </row>
    <row r="26" spans="1:15" x14ac:dyDescent="0.25">
      <c r="A26" s="41">
        <f t="shared" si="1"/>
        <v>874</v>
      </c>
      <c r="B26" s="42">
        <f t="shared" si="1"/>
        <v>16</v>
      </c>
      <c r="C26" s="41" t="s">
        <v>1740</v>
      </c>
      <c r="D26" s="43">
        <f t="shared" si="0"/>
        <v>25</v>
      </c>
      <c r="E26" s="44">
        <f t="shared" si="2"/>
        <v>15</v>
      </c>
      <c r="F26" s="44">
        <f>F25</f>
        <v>-28.8</v>
      </c>
      <c r="G26" s="42" t="str">
        <f t="shared" si="4"/>
        <v>Half</v>
      </c>
      <c r="H26" s="50">
        <f t="shared" si="4"/>
        <v>10</v>
      </c>
      <c r="I26" s="49">
        <f t="shared" si="2"/>
        <v>160</v>
      </c>
      <c r="J26" s="44">
        <f t="shared" si="2"/>
        <v>8</v>
      </c>
      <c r="K26" s="44">
        <f t="shared" si="2"/>
        <v>-8</v>
      </c>
      <c r="L26" s="45">
        <f t="shared" si="2"/>
        <v>0.2</v>
      </c>
      <c r="M26" s="49">
        <v>90</v>
      </c>
      <c r="N26" s="44">
        <f t="shared" si="3"/>
        <v>150</v>
      </c>
      <c r="O26" s="50">
        <f t="shared" si="3"/>
        <v>210</v>
      </c>
    </row>
    <row r="27" spans="1:15" x14ac:dyDescent="0.25">
      <c r="A27" s="41">
        <f t="shared" si="1"/>
        <v>875</v>
      </c>
      <c r="B27" s="42">
        <f t="shared" si="1"/>
        <v>17</v>
      </c>
      <c r="C27" s="41" t="s">
        <v>1741</v>
      </c>
      <c r="D27" s="43">
        <f t="shared" si="0"/>
        <v>25</v>
      </c>
      <c r="E27" s="44">
        <f t="shared" si="2"/>
        <v>15</v>
      </c>
      <c r="F27" s="44">
        <f t="shared" si="2"/>
        <v>-28.8</v>
      </c>
      <c r="G27" s="42" t="s">
        <v>12</v>
      </c>
      <c r="H27" s="50">
        <v>10</v>
      </c>
      <c r="I27" s="49">
        <f t="shared" si="2"/>
        <v>160</v>
      </c>
      <c r="J27" s="44">
        <f t="shared" si="2"/>
        <v>8</v>
      </c>
      <c r="K27" s="44">
        <f>yaw_null</f>
        <v>0</v>
      </c>
      <c r="L27" s="45">
        <f t="shared" si="2"/>
        <v>0.2</v>
      </c>
      <c r="M27" s="49">
        <v>0</v>
      </c>
      <c r="N27" s="44">
        <f t="shared" si="3"/>
        <v>150</v>
      </c>
      <c r="O27" s="50">
        <f t="shared" si="3"/>
        <v>210</v>
      </c>
    </row>
    <row r="28" spans="1:15" x14ac:dyDescent="0.25">
      <c r="A28" s="41">
        <f t="shared" ref="A28:B43" si="5">A27+1</f>
        <v>876</v>
      </c>
      <c r="B28" s="42">
        <f t="shared" si="5"/>
        <v>18</v>
      </c>
      <c r="C28" s="41" t="s">
        <v>1742</v>
      </c>
      <c r="D28" s="43">
        <f t="shared" si="0"/>
        <v>25</v>
      </c>
      <c r="E28" s="44">
        <f t="shared" ref="E28:H43" si="6">E27</f>
        <v>15</v>
      </c>
      <c r="F28" s="44">
        <f t="shared" si="6"/>
        <v>-28.8</v>
      </c>
      <c r="G28" s="42" t="str">
        <f>G27</f>
        <v>Half</v>
      </c>
      <c r="H28" s="50">
        <f>H27</f>
        <v>10</v>
      </c>
      <c r="I28" s="49">
        <f t="shared" ref="I28:L43" si="7">I27</f>
        <v>160</v>
      </c>
      <c r="J28" s="44">
        <f t="shared" si="7"/>
        <v>8</v>
      </c>
      <c r="K28" s="44">
        <f t="shared" si="7"/>
        <v>0</v>
      </c>
      <c r="L28" s="45">
        <f t="shared" si="7"/>
        <v>0.2</v>
      </c>
      <c r="M28" s="49">
        <v>30</v>
      </c>
      <c r="N28" s="44">
        <f t="shared" si="3"/>
        <v>150</v>
      </c>
      <c r="O28" s="50">
        <f t="shared" si="3"/>
        <v>210</v>
      </c>
    </row>
    <row r="29" spans="1:15" x14ac:dyDescent="0.25">
      <c r="A29" s="41">
        <f t="shared" si="5"/>
        <v>877</v>
      </c>
      <c r="B29" s="42">
        <f t="shared" si="5"/>
        <v>19</v>
      </c>
      <c r="C29" s="41" t="s">
        <v>1743</v>
      </c>
      <c r="D29" s="43">
        <f t="shared" si="0"/>
        <v>25</v>
      </c>
      <c r="E29" s="44">
        <f t="shared" si="6"/>
        <v>15</v>
      </c>
      <c r="F29" s="44">
        <f t="shared" si="6"/>
        <v>-28.8</v>
      </c>
      <c r="G29" s="42" t="str">
        <f t="shared" si="6"/>
        <v>Half</v>
      </c>
      <c r="H29" s="50">
        <f t="shared" si="6"/>
        <v>10</v>
      </c>
      <c r="I29" s="49">
        <f t="shared" si="7"/>
        <v>160</v>
      </c>
      <c r="J29" s="44">
        <f t="shared" si="7"/>
        <v>8</v>
      </c>
      <c r="K29" s="44">
        <f t="shared" si="7"/>
        <v>0</v>
      </c>
      <c r="L29" s="45">
        <f t="shared" si="7"/>
        <v>0.2</v>
      </c>
      <c r="M29" s="49">
        <v>60</v>
      </c>
      <c r="N29" s="44">
        <f t="shared" ref="N29:O44" si="8">N28</f>
        <v>150</v>
      </c>
      <c r="O29" s="50">
        <f t="shared" si="8"/>
        <v>210</v>
      </c>
    </row>
    <row r="30" spans="1:15" x14ac:dyDescent="0.25">
      <c r="A30" s="41">
        <f t="shared" si="5"/>
        <v>878</v>
      </c>
      <c r="B30" s="42">
        <f t="shared" si="5"/>
        <v>20</v>
      </c>
      <c r="C30" s="41" t="s">
        <v>1744</v>
      </c>
      <c r="D30" s="43">
        <f t="shared" si="0"/>
        <v>25</v>
      </c>
      <c r="E30" s="44">
        <f t="shared" si="6"/>
        <v>15</v>
      </c>
      <c r="F30" s="44">
        <f t="shared" si="6"/>
        <v>-28.8</v>
      </c>
      <c r="G30" s="42" t="str">
        <f t="shared" si="6"/>
        <v>Half</v>
      </c>
      <c r="H30" s="50">
        <f t="shared" si="6"/>
        <v>10</v>
      </c>
      <c r="I30" s="49">
        <f t="shared" si="7"/>
        <v>160</v>
      </c>
      <c r="J30" s="44">
        <f t="shared" si="7"/>
        <v>8</v>
      </c>
      <c r="K30" s="44">
        <f t="shared" si="7"/>
        <v>0</v>
      </c>
      <c r="L30" s="45">
        <f t="shared" si="7"/>
        <v>0.2</v>
      </c>
      <c r="M30" s="49">
        <v>90</v>
      </c>
      <c r="N30" s="44">
        <f t="shared" si="8"/>
        <v>150</v>
      </c>
      <c r="O30" s="50">
        <f t="shared" si="8"/>
        <v>210</v>
      </c>
    </row>
    <row r="31" spans="1:15" x14ac:dyDescent="0.25">
      <c r="A31" s="41">
        <f t="shared" si="5"/>
        <v>879</v>
      </c>
      <c r="B31" s="42">
        <f t="shared" si="5"/>
        <v>21</v>
      </c>
      <c r="C31" s="41" t="s">
        <v>1745</v>
      </c>
      <c r="D31" s="43">
        <f t="shared" si="0"/>
        <v>25</v>
      </c>
      <c r="E31" s="44">
        <f t="shared" si="6"/>
        <v>15</v>
      </c>
      <c r="F31" s="44">
        <f>F30</f>
        <v>-28.8</v>
      </c>
      <c r="G31" s="42" t="str">
        <f t="shared" si="6"/>
        <v>Half</v>
      </c>
      <c r="H31" s="50">
        <f t="shared" si="6"/>
        <v>10</v>
      </c>
      <c r="I31" s="49">
        <f t="shared" si="7"/>
        <v>160</v>
      </c>
      <c r="J31" s="44">
        <f t="shared" si="7"/>
        <v>8</v>
      </c>
      <c r="K31" s="44">
        <f>yaw_max</f>
        <v>8</v>
      </c>
      <c r="L31" s="45">
        <f t="shared" si="7"/>
        <v>0.2</v>
      </c>
      <c r="M31" s="49">
        <v>0</v>
      </c>
      <c r="N31" s="44">
        <f t="shared" si="8"/>
        <v>150</v>
      </c>
      <c r="O31" s="50">
        <f t="shared" si="8"/>
        <v>210</v>
      </c>
    </row>
    <row r="32" spans="1:15" x14ac:dyDescent="0.25">
      <c r="A32" s="41">
        <f t="shared" si="5"/>
        <v>880</v>
      </c>
      <c r="B32" s="42">
        <f t="shared" si="5"/>
        <v>22</v>
      </c>
      <c r="C32" s="41" t="s">
        <v>1746</v>
      </c>
      <c r="D32" s="43">
        <f t="shared" si="0"/>
        <v>25</v>
      </c>
      <c r="E32" s="44">
        <f t="shared" si="6"/>
        <v>15</v>
      </c>
      <c r="F32" s="44">
        <f t="shared" si="6"/>
        <v>-28.8</v>
      </c>
      <c r="G32" s="42" t="str">
        <f t="shared" si="6"/>
        <v>Half</v>
      </c>
      <c r="H32" s="50">
        <f t="shared" si="6"/>
        <v>10</v>
      </c>
      <c r="I32" s="49">
        <f t="shared" si="7"/>
        <v>160</v>
      </c>
      <c r="J32" s="44">
        <f t="shared" si="7"/>
        <v>8</v>
      </c>
      <c r="K32" s="44">
        <f t="shared" si="7"/>
        <v>8</v>
      </c>
      <c r="L32" s="45">
        <f t="shared" si="7"/>
        <v>0.2</v>
      </c>
      <c r="M32" s="49">
        <v>30</v>
      </c>
      <c r="N32" s="44">
        <f t="shared" si="8"/>
        <v>150</v>
      </c>
      <c r="O32" s="50">
        <f t="shared" si="8"/>
        <v>210</v>
      </c>
    </row>
    <row r="33" spans="1:15" x14ac:dyDescent="0.25">
      <c r="A33" s="41">
        <f t="shared" si="5"/>
        <v>881</v>
      </c>
      <c r="B33" s="42">
        <f t="shared" si="5"/>
        <v>23</v>
      </c>
      <c r="C33" s="41" t="s">
        <v>1747</v>
      </c>
      <c r="D33" s="43">
        <f t="shared" si="0"/>
        <v>25</v>
      </c>
      <c r="E33" s="44">
        <f t="shared" si="6"/>
        <v>15</v>
      </c>
      <c r="F33" s="44">
        <f>F32</f>
        <v>-28.8</v>
      </c>
      <c r="G33" s="42" t="str">
        <f t="shared" si="6"/>
        <v>Half</v>
      </c>
      <c r="H33" s="50">
        <f t="shared" si="6"/>
        <v>10</v>
      </c>
      <c r="I33" s="49">
        <f t="shared" si="7"/>
        <v>160</v>
      </c>
      <c r="J33" s="44">
        <f t="shared" si="7"/>
        <v>8</v>
      </c>
      <c r="K33" s="44">
        <f t="shared" si="7"/>
        <v>8</v>
      </c>
      <c r="L33" s="45">
        <f t="shared" si="7"/>
        <v>0.2</v>
      </c>
      <c r="M33" s="49">
        <v>60</v>
      </c>
      <c r="N33" s="44">
        <f t="shared" si="8"/>
        <v>150</v>
      </c>
      <c r="O33" s="50">
        <f t="shared" si="8"/>
        <v>210</v>
      </c>
    </row>
    <row r="34" spans="1:15" ht="15.75" thickBot="1" x14ac:dyDescent="0.3">
      <c r="A34" s="41">
        <f t="shared" si="5"/>
        <v>882</v>
      </c>
      <c r="B34" s="42">
        <f t="shared" si="5"/>
        <v>24</v>
      </c>
      <c r="C34" s="41" t="s">
        <v>1748</v>
      </c>
      <c r="D34" s="43">
        <f t="shared" si="0"/>
        <v>25</v>
      </c>
      <c r="E34" s="44">
        <f t="shared" si="6"/>
        <v>15</v>
      </c>
      <c r="F34" s="44">
        <f>F33</f>
        <v>-28.8</v>
      </c>
      <c r="G34" s="42" t="str">
        <f t="shared" si="6"/>
        <v>Half</v>
      </c>
      <c r="H34" s="50">
        <f t="shared" si="6"/>
        <v>10</v>
      </c>
      <c r="I34" s="49">
        <f t="shared" si="7"/>
        <v>160</v>
      </c>
      <c r="J34" s="44">
        <f t="shared" si="7"/>
        <v>8</v>
      </c>
      <c r="K34" s="44">
        <f t="shared" si="7"/>
        <v>8</v>
      </c>
      <c r="L34" s="45">
        <f t="shared" si="7"/>
        <v>0.2</v>
      </c>
      <c r="M34" s="49">
        <v>90</v>
      </c>
      <c r="N34" s="44">
        <f t="shared" si="8"/>
        <v>150</v>
      </c>
      <c r="O34" s="50">
        <f t="shared" si="8"/>
        <v>210</v>
      </c>
    </row>
    <row r="35" spans="1:15" x14ac:dyDescent="0.25">
      <c r="A35" s="41">
        <f t="shared" si="5"/>
        <v>883</v>
      </c>
      <c r="B35" s="42">
        <f t="shared" si="5"/>
        <v>25</v>
      </c>
      <c r="C35" s="24" t="s">
        <v>1749</v>
      </c>
      <c r="D35" s="43">
        <f t="shared" si="0"/>
        <v>25</v>
      </c>
      <c r="E35" s="44">
        <f t="shared" si="6"/>
        <v>15</v>
      </c>
      <c r="F35" s="44">
        <f>720/D35/3*2</f>
        <v>19.2</v>
      </c>
      <c r="G35" s="42" t="str">
        <f t="shared" si="6"/>
        <v>Half</v>
      </c>
      <c r="H35" s="50">
        <f t="shared" si="6"/>
        <v>10</v>
      </c>
      <c r="I35" s="49">
        <f t="shared" si="7"/>
        <v>160</v>
      </c>
      <c r="J35" s="44">
        <f t="shared" si="7"/>
        <v>8</v>
      </c>
      <c r="K35" s="44">
        <f>yaw_min</f>
        <v>-8</v>
      </c>
      <c r="L35" s="45">
        <f t="shared" si="7"/>
        <v>0.2</v>
      </c>
      <c r="M35" s="49">
        <v>0</v>
      </c>
      <c r="N35" s="44">
        <f t="shared" si="8"/>
        <v>150</v>
      </c>
      <c r="O35" s="50">
        <f t="shared" si="8"/>
        <v>210</v>
      </c>
    </row>
    <row r="36" spans="1:15" x14ac:dyDescent="0.25">
      <c r="A36" s="41">
        <f t="shared" si="5"/>
        <v>884</v>
      </c>
      <c r="B36" s="42">
        <f t="shared" si="5"/>
        <v>26</v>
      </c>
      <c r="C36" s="41" t="s">
        <v>1750</v>
      </c>
      <c r="D36" s="43">
        <f t="shared" si="0"/>
        <v>25</v>
      </c>
      <c r="E36" s="44">
        <f t="shared" si="6"/>
        <v>15</v>
      </c>
      <c r="F36" s="44">
        <f>F35</f>
        <v>19.2</v>
      </c>
      <c r="G36" s="42" t="str">
        <f t="shared" si="6"/>
        <v>Half</v>
      </c>
      <c r="H36" s="50">
        <f t="shared" si="6"/>
        <v>10</v>
      </c>
      <c r="I36" s="49">
        <f t="shared" si="7"/>
        <v>160</v>
      </c>
      <c r="J36" s="44">
        <f t="shared" si="7"/>
        <v>8</v>
      </c>
      <c r="K36" s="44">
        <f t="shared" si="7"/>
        <v>-8</v>
      </c>
      <c r="L36" s="45">
        <f t="shared" si="7"/>
        <v>0.2</v>
      </c>
      <c r="M36" s="49">
        <v>30</v>
      </c>
      <c r="N36" s="44">
        <f t="shared" si="8"/>
        <v>150</v>
      </c>
      <c r="O36" s="50">
        <f t="shared" si="8"/>
        <v>210</v>
      </c>
    </row>
    <row r="37" spans="1:15" x14ac:dyDescent="0.25">
      <c r="A37" s="41">
        <f t="shared" si="5"/>
        <v>885</v>
      </c>
      <c r="B37" s="42">
        <f t="shared" si="5"/>
        <v>27</v>
      </c>
      <c r="C37" s="41" t="s">
        <v>1751</v>
      </c>
      <c r="D37" s="43">
        <f t="shared" si="0"/>
        <v>25</v>
      </c>
      <c r="E37" s="44">
        <f t="shared" si="6"/>
        <v>15</v>
      </c>
      <c r="F37" s="44">
        <f>F36</f>
        <v>19.2</v>
      </c>
      <c r="G37" s="42" t="str">
        <f t="shared" si="6"/>
        <v>Half</v>
      </c>
      <c r="H37" s="50">
        <f t="shared" si="6"/>
        <v>10</v>
      </c>
      <c r="I37" s="49">
        <f t="shared" si="7"/>
        <v>160</v>
      </c>
      <c r="J37" s="44">
        <f t="shared" si="7"/>
        <v>8</v>
      </c>
      <c r="K37" s="44">
        <f t="shared" si="7"/>
        <v>-8</v>
      </c>
      <c r="L37" s="45">
        <f t="shared" si="7"/>
        <v>0.2</v>
      </c>
      <c r="M37" s="49">
        <v>60</v>
      </c>
      <c r="N37" s="44">
        <f t="shared" si="8"/>
        <v>150</v>
      </c>
      <c r="O37" s="50">
        <f t="shared" si="8"/>
        <v>210</v>
      </c>
    </row>
    <row r="38" spans="1:15" x14ac:dyDescent="0.25">
      <c r="A38" s="41">
        <f t="shared" si="5"/>
        <v>886</v>
      </c>
      <c r="B38" s="42">
        <f t="shared" si="5"/>
        <v>28</v>
      </c>
      <c r="C38" s="41" t="s">
        <v>1752</v>
      </c>
      <c r="D38" s="43">
        <f t="shared" si="0"/>
        <v>25</v>
      </c>
      <c r="E38" s="44">
        <f t="shared" si="6"/>
        <v>15</v>
      </c>
      <c r="F38" s="44">
        <f>F37</f>
        <v>19.2</v>
      </c>
      <c r="G38" s="42" t="str">
        <f t="shared" si="6"/>
        <v>Half</v>
      </c>
      <c r="H38" s="50">
        <f t="shared" si="6"/>
        <v>10</v>
      </c>
      <c r="I38" s="49">
        <f t="shared" si="7"/>
        <v>160</v>
      </c>
      <c r="J38" s="44">
        <f t="shared" si="7"/>
        <v>8</v>
      </c>
      <c r="K38" s="44">
        <f t="shared" si="7"/>
        <v>-8</v>
      </c>
      <c r="L38" s="45">
        <f t="shared" si="7"/>
        <v>0.2</v>
      </c>
      <c r="M38" s="49">
        <v>90</v>
      </c>
      <c r="N38" s="44">
        <f t="shared" si="8"/>
        <v>150</v>
      </c>
      <c r="O38" s="50">
        <f t="shared" si="8"/>
        <v>210</v>
      </c>
    </row>
    <row r="39" spans="1:15" x14ac:dyDescent="0.25">
      <c r="A39" s="41">
        <f t="shared" si="5"/>
        <v>887</v>
      </c>
      <c r="B39" s="42">
        <f t="shared" si="5"/>
        <v>29</v>
      </c>
      <c r="C39" s="41" t="s">
        <v>1753</v>
      </c>
      <c r="D39" s="43">
        <f t="shared" si="0"/>
        <v>25</v>
      </c>
      <c r="E39" s="44">
        <f t="shared" si="6"/>
        <v>15</v>
      </c>
      <c r="F39" s="44">
        <f t="shared" si="6"/>
        <v>19.2</v>
      </c>
      <c r="G39" s="42" t="str">
        <f t="shared" si="6"/>
        <v>Half</v>
      </c>
      <c r="H39" s="50">
        <f>H38</f>
        <v>10</v>
      </c>
      <c r="I39" s="49">
        <f t="shared" si="7"/>
        <v>160</v>
      </c>
      <c r="J39" s="44">
        <f t="shared" si="7"/>
        <v>8</v>
      </c>
      <c r="K39" s="44">
        <f>yaw_null</f>
        <v>0</v>
      </c>
      <c r="L39" s="45">
        <f t="shared" si="7"/>
        <v>0.2</v>
      </c>
      <c r="M39" s="49">
        <v>0</v>
      </c>
      <c r="N39" s="44">
        <f t="shared" si="8"/>
        <v>150</v>
      </c>
      <c r="O39" s="50">
        <f t="shared" si="8"/>
        <v>210</v>
      </c>
    </row>
    <row r="40" spans="1:15" x14ac:dyDescent="0.25">
      <c r="A40" s="41">
        <f t="shared" si="5"/>
        <v>888</v>
      </c>
      <c r="B40" s="42">
        <f t="shared" si="5"/>
        <v>30</v>
      </c>
      <c r="C40" s="41" t="s">
        <v>1754</v>
      </c>
      <c r="D40" s="43">
        <f t="shared" si="0"/>
        <v>25</v>
      </c>
      <c r="E40" s="44">
        <f t="shared" si="6"/>
        <v>15</v>
      </c>
      <c r="F40" s="44">
        <f t="shared" si="6"/>
        <v>19.2</v>
      </c>
      <c r="G40" s="42" t="str">
        <f t="shared" si="6"/>
        <v>Half</v>
      </c>
      <c r="H40" s="50">
        <f>H39</f>
        <v>10</v>
      </c>
      <c r="I40" s="49">
        <f t="shared" si="7"/>
        <v>160</v>
      </c>
      <c r="J40" s="44">
        <f t="shared" si="7"/>
        <v>8</v>
      </c>
      <c r="K40" s="44">
        <f t="shared" si="7"/>
        <v>0</v>
      </c>
      <c r="L40" s="45">
        <f t="shared" si="7"/>
        <v>0.2</v>
      </c>
      <c r="M40" s="49">
        <v>30</v>
      </c>
      <c r="N40" s="44">
        <f t="shared" si="8"/>
        <v>150</v>
      </c>
      <c r="O40" s="50">
        <f t="shared" si="8"/>
        <v>210</v>
      </c>
    </row>
    <row r="41" spans="1:15" x14ac:dyDescent="0.25">
      <c r="A41" s="41">
        <f t="shared" si="5"/>
        <v>889</v>
      </c>
      <c r="B41" s="42">
        <f t="shared" si="5"/>
        <v>31</v>
      </c>
      <c r="C41" s="41" t="s">
        <v>1755</v>
      </c>
      <c r="D41" s="43">
        <f t="shared" si="0"/>
        <v>25</v>
      </c>
      <c r="E41" s="44">
        <f t="shared" si="6"/>
        <v>15</v>
      </c>
      <c r="F41" s="44">
        <f t="shared" si="6"/>
        <v>19.2</v>
      </c>
      <c r="G41" s="42" t="str">
        <f t="shared" si="6"/>
        <v>Half</v>
      </c>
      <c r="H41" s="50">
        <f>H40</f>
        <v>10</v>
      </c>
      <c r="I41" s="49">
        <f t="shared" si="7"/>
        <v>160</v>
      </c>
      <c r="J41" s="44">
        <f t="shared" si="7"/>
        <v>8</v>
      </c>
      <c r="K41" s="44">
        <f t="shared" si="7"/>
        <v>0</v>
      </c>
      <c r="L41" s="45">
        <f t="shared" si="7"/>
        <v>0.2</v>
      </c>
      <c r="M41" s="49">
        <v>60</v>
      </c>
      <c r="N41" s="44">
        <f t="shared" si="8"/>
        <v>150</v>
      </c>
      <c r="O41" s="50">
        <f t="shared" si="8"/>
        <v>210</v>
      </c>
    </row>
    <row r="42" spans="1:15" x14ac:dyDescent="0.25">
      <c r="A42" s="41">
        <f t="shared" si="5"/>
        <v>890</v>
      </c>
      <c r="B42" s="42">
        <f t="shared" si="5"/>
        <v>32</v>
      </c>
      <c r="C42" s="41" t="s">
        <v>1756</v>
      </c>
      <c r="D42" s="43">
        <f t="shared" si="0"/>
        <v>25</v>
      </c>
      <c r="E42" s="44">
        <f t="shared" si="6"/>
        <v>15</v>
      </c>
      <c r="F42" s="44">
        <f t="shared" si="6"/>
        <v>19.2</v>
      </c>
      <c r="G42" s="42" t="str">
        <f t="shared" si="6"/>
        <v>Half</v>
      </c>
      <c r="H42" s="50">
        <f>H41</f>
        <v>10</v>
      </c>
      <c r="I42" s="49">
        <f t="shared" si="7"/>
        <v>160</v>
      </c>
      <c r="J42" s="44">
        <f t="shared" si="7"/>
        <v>8</v>
      </c>
      <c r="K42" s="44">
        <f t="shared" si="7"/>
        <v>0</v>
      </c>
      <c r="L42" s="45">
        <f t="shared" si="7"/>
        <v>0.2</v>
      </c>
      <c r="M42" s="49">
        <v>90</v>
      </c>
      <c r="N42" s="44">
        <f t="shared" si="8"/>
        <v>150</v>
      </c>
      <c r="O42" s="50">
        <f t="shared" si="8"/>
        <v>210</v>
      </c>
    </row>
    <row r="43" spans="1:15" x14ac:dyDescent="0.25">
      <c r="A43" s="41">
        <f t="shared" si="5"/>
        <v>891</v>
      </c>
      <c r="B43" s="42">
        <f t="shared" si="5"/>
        <v>33</v>
      </c>
      <c r="C43" s="41" t="s">
        <v>1757</v>
      </c>
      <c r="D43" s="43">
        <f t="shared" ref="D43:D74" si="9">v_out</f>
        <v>25</v>
      </c>
      <c r="E43" s="44">
        <f t="shared" si="6"/>
        <v>15</v>
      </c>
      <c r="F43" s="44">
        <f t="shared" si="6"/>
        <v>19.2</v>
      </c>
      <c r="G43" s="42" t="s">
        <v>12</v>
      </c>
      <c r="H43" s="50">
        <v>10</v>
      </c>
      <c r="I43" s="49">
        <f t="shared" si="7"/>
        <v>160</v>
      </c>
      <c r="J43" s="44">
        <f t="shared" si="7"/>
        <v>8</v>
      </c>
      <c r="K43" s="44">
        <f>yaw_max</f>
        <v>8</v>
      </c>
      <c r="L43" s="45">
        <f t="shared" si="7"/>
        <v>0.2</v>
      </c>
      <c r="M43" s="49">
        <v>0</v>
      </c>
      <c r="N43" s="44">
        <f t="shared" si="8"/>
        <v>150</v>
      </c>
      <c r="O43" s="50">
        <f t="shared" si="8"/>
        <v>210</v>
      </c>
    </row>
    <row r="44" spans="1:15" x14ac:dyDescent="0.25">
      <c r="A44" s="41">
        <f t="shared" ref="A44:B59" si="10">A43+1</f>
        <v>892</v>
      </c>
      <c r="B44" s="42">
        <f t="shared" si="10"/>
        <v>34</v>
      </c>
      <c r="C44" s="41" t="s">
        <v>1758</v>
      </c>
      <c r="D44" s="43">
        <f t="shared" si="9"/>
        <v>25</v>
      </c>
      <c r="E44" s="44">
        <f t="shared" ref="E44:H59" si="11">E43</f>
        <v>15</v>
      </c>
      <c r="F44" s="44">
        <f t="shared" si="11"/>
        <v>19.2</v>
      </c>
      <c r="G44" s="42" t="str">
        <f>G43</f>
        <v>Half</v>
      </c>
      <c r="H44" s="50">
        <f>H43</f>
        <v>10</v>
      </c>
      <c r="I44" s="49">
        <f t="shared" ref="I44:L59" si="12">I43</f>
        <v>160</v>
      </c>
      <c r="J44" s="44">
        <f t="shared" si="12"/>
        <v>8</v>
      </c>
      <c r="K44" s="44">
        <f t="shared" si="12"/>
        <v>8</v>
      </c>
      <c r="L44" s="45">
        <f t="shared" si="12"/>
        <v>0.2</v>
      </c>
      <c r="M44" s="49">
        <v>30</v>
      </c>
      <c r="N44" s="44">
        <f t="shared" si="8"/>
        <v>150</v>
      </c>
      <c r="O44" s="50">
        <f t="shared" si="8"/>
        <v>210</v>
      </c>
    </row>
    <row r="45" spans="1:15" x14ac:dyDescent="0.25">
      <c r="A45" s="41">
        <f t="shared" si="10"/>
        <v>893</v>
      </c>
      <c r="B45" s="42">
        <f t="shared" si="10"/>
        <v>35</v>
      </c>
      <c r="C45" s="41" t="s">
        <v>1759</v>
      </c>
      <c r="D45" s="43">
        <f t="shared" si="9"/>
        <v>25</v>
      </c>
      <c r="E45" s="44">
        <f t="shared" si="11"/>
        <v>15</v>
      </c>
      <c r="F45" s="44">
        <f t="shared" si="11"/>
        <v>19.2</v>
      </c>
      <c r="G45" s="42" t="str">
        <f t="shared" si="11"/>
        <v>Half</v>
      </c>
      <c r="H45" s="50">
        <f t="shared" si="11"/>
        <v>10</v>
      </c>
      <c r="I45" s="49">
        <f t="shared" si="12"/>
        <v>160</v>
      </c>
      <c r="J45" s="44">
        <f t="shared" si="12"/>
        <v>8</v>
      </c>
      <c r="K45" s="44">
        <f t="shared" si="12"/>
        <v>8</v>
      </c>
      <c r="L45" s="45">
        <f t="shared" si="12"/>
        <v>0.2</v>
      </c>
      <c r="M45" s="49">
        <v>60</v>
      </c>
      <c r="N45" s="44">
        <f t="shared" ref="N45:O60" si="13">N44</f>
        <v>150</v>
      </c>
      <c r="O45" s="50">
        <f t="shared" si="13"/>
        <v>210</v>
      </c>
    </row>
    <row r="46" spans="1:15" ht="15.75" thickBot="1" x14ac:dyDescent="0.3">
      <c r="A46" s="41">
        <f t="shared" si="10"/>
        <v>894</v>
      </c>
      <c r="B46" s="42">
        <f t="shared" si="10"/>
        <v>36</v>
      </c>
      <c r="C46" s="41" t="s">
        <v>1760</v>
      </c>
      <c r="D46" s="43">
        <f t="shared" si="9"/>
        <v>25</v>
      </c>
      <c r="E46" s="44">
        <f t="shared" si="11"/>
        <v>15</v>
      </c>
      <c r="F46" s="44">
        <f t="shared" si="11"/>
        <v>19.2</v>
      </c>
      <c r="G46" s="42" t="str">
        <f t="shared" si="11"/>
        <v>Half</v>
      </c>
      <c r="H46" s="50">
        <f t="shared" si="11"/>
        <v>10</v>
      </c>
      <c r="I46" s="49">
        <f t="shared" si="12"/>
        <v>160</v>
      </c>
      <c r="J46" s="44">
        <f t="shared" si="12"/>
        <v>8</v>
      </c>
      <c r="K46" s="44">
        <f t="shared" si="12"/>
        <v>8</v>
      </c>
      <c r="L46" s="45">
        <f t="shared" si="12"/>
        <v>0.2</v>
      </c>
      <c r="M46" s="49">
        <v>90</v>
      </c>
      <c r="N46" s="44">
        <f t="shared" si="13"/>
        <v>150</v>
      </c>
      <c r="O46" s="50">
        <f t="shared" si="13"/>
        <v>210</v>
      </c>
    </row>
    <row r="47" spans="1:15" x14ac:dyDescent="0.25">
      <c r="A47" s="41">
        <f t="shared" si="10"/>
        <v>895</v>
      </c>
      <c r="B47" s="42">
        <f t="shared" si="10"/>
        <v>37</v>
      </c>
      <c r="C47" s="24" t="s">
        <v>1761</v>
      </c>
      <c r="D47" s="43">
        <f t="shared" si="9"/>
        <v>25</v>
      </c>
      <c r="E47" s="44">
        <f t="shared" si="11"/>
        <v>15</v>
      </c>
      <c r="F47" s="44">
        <f>-720/D47/3*2</f>
        <v>-19.2</v>
      </c>
      <c r="G47" s="42" t="str">
        <f t="shared" si="11"/>
        <v>Half</v>
      </c>
      <c r="H47" s="50">
        <f t="shared" si="11"/>
        <v>10</v>
      </c>
      <c r="I47" s="49">
        <f t="shared" si="12"/>
        <v>160</v>
      </c>
      <c r="J47" s="44">
        <f t="shared" si="12"/>
        <v>8</v>
      </c>
      <c r="K47" s="44">
        <f>yaw_min</f>
        <v>-8</v>
      </c>
      <c r="L47" s="45">
        <f t="shared" si="12"/>
        <v>0.2</v>
      </c>
      <c r="M47" s="49">
        <v>0</v>
      </c>
      <c r="N47" s="44">
        <f t="shared" si="13"/>
        <v>150</v>
      </c>
      <c r="O47" s="50">
        <f t="shared" si="13"/>
        <v>210</v>
      </c>
    </row>
    <row r="48" spans="1:15" x14ac:dyDescent="0.25">
      <c r="A48" s="41">
        <f>A47+1</f>
        <v>896</v>
      </c>
      <c r="B48" s="42">
        <f>B47+1</f>
        <v>38</v>
      </c>
      <c r="C48" s="41" t="s">
        <v>1762</v>
      </c>
      <c r="D48" s="43">
        <f t="shared" si="9"/>
        <v>25</v>
      </c>
      <c r="E48" s="44">
        <f t="shared" si="11"/>
        <v>15</v>
      </c>
      <c r="F48" s="44">
        <f>F47</f>
        <v>-19.2</v>
      </c>
      <c r="G48" s="42" t="str">
        <f t="shared" si="11"/>
        <v>Half</v>
      </c>
      <c r="H48" s="50">
        <f t="shared" si="11"/>
        <v>10</v>
      </c>
      <c r="I48" s="49">
        <f t="shared" si="12"/>
        <v>160</v>
      </c>
      <c r="J48" s="44">
        <f t="shared" si="12"/>
        <v>8</v>
      </c>
      <c r="K48" s="44">
        <f t="shared" si="12"/>
        <v>-8</v>
      </c>
      <c r="L48" s="45">
        <f t="shared" si="12"/>
        <v>0.2</v>
      </c>
      <c r="M48" s="49">
        <v>30</v>
      </c>
      <c r="N48" s="44">
        <f t="shared" si="13"/>
        <v>150</v>
      </c>
      <c r="O48" s="50">
        <f t="shared" si="13"/>
        <v>210</v>
      </c>
    </row>
    <row r="49" spans="1:15" x14ac:dyDescent="0.25">
      <c r="A49" s="41">
        <f t="shared" si="10"/>
        <v>897</v>
      </c>
      <c r="B49" s="42">
        <f t="shared" si="10"/>
        <v>39</v>
      </c>
      <c r="C49" s="41" t="s">
        <v>1763</v>
      </c>
      <c r="D49" s="43">
        <f t="shared" si="9"/>
        <v>25</v>
      </c>
      <c r="E49" s="44">
        <f t="shared" si="11"/>
        <v>15</v>
      </c>
      <c r="F49" s="44">
        <f>F48</f>
        <v>-19.2</v>
      </c>
      <c r="G49" s="42" t="str">
        <f t="shared" si="11"/>
        <v>Half</v>
      </c>
      <c r="H49" s="50">
        <f t="shared" si="11"/>
        <v>10</v>
      </c>
      <c r="I49" s="49">
        <f t="shared" si="12"/>
        <v>160</v>
      </c>
      <c r="J49" s="44">
        <f t="shared" si="12"/>
        <v>8</v>
      </c>
      <c r="K49" s="44">
        <f t="shared" si="12"/>
        <v>-8</v>
      </c>
      <c r="L49" s="45">
        <f t="shared" si="12"/>
        <v>0.2</v>
      </c>
      <c r="M49" s="49">
        <v>60</v>
      </c>
      <c r="N49" s="44">
        <f t="shared" si="13"/>
        <v>150</v>
      </c>
      <c r="O49" s="50">
        <f t="shared" si="13"/>
        <v>210</v>
      </c>
    </row>
    <row r="50" spans="1:15" x14ac:dyDescent="0.25">
      <c r="A50" s="41">
        <f t="shared" si="10"/>
        <v>898</v>
      </c>
      <c r="B50" s="42">
        <f t="shared" si="10"/>
        <v>40</v>
      </c>
      <c r="C50" s="41" t="s">
        <v>1764</v>
      </c>
      <c r="D50" s="43">
        <f t="shared" si="9"/>
        <v>25</v>
      </c>
      <c r="E50" s="44">
        <f t="shared" si="11"/>
        <v>15</v>
      </c>
      <c r="F50" s="44">
        <f>F49</f>
        <v>-19.2</v>
      </c>
      <c r="G50" s="42" t="str">
        <f t="shared" si="11"/>
        <v>Half</v>
      </c>
      <c r="H50" s="50">
        <f t="shared" si="11"/>
        <v>10</v>
      </c>
      <c r="I50" s="49">
        <f t="shared" si="12"/>
        <v>160</v>
      </c>
      <c r="J50" s="44">
        <f t="shared" si="12"/>
        <v>8</v>
      </c>
      <c r="K50" s="44">
        <f t="shared" si="12"/>
        <v>-8</v>
      </c>
      <c r="L50" s="45">
        <f t="shared" si="12"/>
        <v>0.2</v>
      </c>
      <c r="M50" s="49">
        <v>90</v>
      </c>
      <c r="N50" s="44">
        <f t="shared" si="13"/>
        <v>150</v>
      </c>
      <c r="O50" s="50">
        <f t="shared" si="13"/>
        <v>210</v>
      </c>
    </row>
    <row r="51" spans="1:15" x14ac:dyDescent="0.25">
      <c r="A51" s="41">
        <f t="shared" si="10"/>
        <v>899</v>
      </c>
      <c r="B51" s="42">
        <f t="shared" si="10"/>
        <v>41</v>
      </c>
      <c r="C51" s="41" t="s">
        <v>1765</v>
      </c>
      <c r="D51" s="43">
        <f t="shared" si="9"/>
        <v>25</v>
      </c>
      <c r="E51" s="44">
        <f t="shared" si="11"/>
        <v>15</v>
      </c>
      <c r="F51" s="44">
        <f t="shared" si="11"/>
        <v>-19.2</v>
      </c>
      <c r="G51" s="42" t="str">
        <f t="shared" si="11"/>
        <v>Half</v>
      </c>
      <c r="H51" s="50">
        <f t="shared" si="11"/>
        <v>10</v>
      </c>
      <c r="I51" s="49">
        <f t="shared" si="12"/>
        <v>160</v>
      </c>
      <c r="J51" s="44">
        <f t="shared" si="12"/>
        <v>8</v>
      </c>
      <c r="K51" s="44">
        <f>yaw_null</f>
        <v>0</v>
      </c>
      <c r="L51" s="45">
        <f t="shared" si="12"/>
        <v>0.2</v>
      </c>
      <c r="M51" s="49">
        <v>0</v>
      </c>
      <c r="N51" s="44">
        <f t="shared" si="13"/>
        <v>150</v>
      </c>
      <c r="O51" s="50">
        <f t="shared" si="13"/>
        <v>210</v>
      </c>
    </row>
    <row r="52" spans="1:15" x14ac:dyDescent="0.25">
      <c r="A52" s="41">
        <f t="shared" si="10"/>
        <v>900</v>
      </c>
      <c r="B52" s="42">
        <f t="shared" si="10"/>
        <v>42</v>
      </c>
      <c r="C52" s="41" t="s">
        <v>1766</v>
      </c>
      <c r="D52" s="43">
        <f t="shared" si="9"/>
        <v>25</v>
      </c>
      <c r="E52" s="44">
        <f t="shared" si="11"/>
        <v>15</v>
      </c>
      <c r="F52" s="44">
        <f t="shared" si="11"/>
        <v>-19.2</v>
      </c>
      <c r="G52" s="42" t="str">
        <f t="shared" si="11"/>
        <v>Half</v>
      </c>
      <c r="H52" s="50">
        <f t="shared" si="11"/>
        <v>10</v>
      </c>
      <c r="I52" s="49">
        <f t="shared" si="12"/>
        <v>160</v>
      </c>
      <c r="J52" s="44">
        <f t="shared" si="12"/>
        <v>8</v>
      </c>
      <c r="K52" s="44">
        <f t="shared" si="12"/>
        <v>0</v>
      </c>
      <c r="L52" s="45">
        <f t="shared" si="12"/>
        <v>0.2</v>
      </c>
      <c r="M52" s="49">
        <v>30</v>
      </c>
      <c r="N52" s="44">
        <f t="shared" si="13"/>
        <v>150</v>
      </c>
      <c r="O52" s="50">
        <f t="shared" si="13"/>
        <v>210</v>
      </c>
    </row>
    <row r="53" spans="1:15" x14ac:dyDescent="0.25">
      <c r="A53" s="41">
        <f t="shared" si="10"/>
        <v>901</v>
      </c>
      <c r="B53" s="42">
        <f t="shared" si="10"/>
        <v>43</v>
      </c>
      <c r="C53" s="41" t="s">
        <v>1767</v>
      </c>
      <c r="D53" s="43">
        <f t="shared" si="9"/>
        <v>25</v>
      </c>
      <c r="E53" s="44">
        <f t="shared" si="11"/>
        <v>15</v>
      </c>
      <c r="F53" s="44">
        <f t="shared" si="11"/>
        <v>-19.2</v>
      </c>
      <c r="G53" s="42" t="str">
        <f t="shared" si="11"/>
        <v>Half</v>
      </c>
      <c r="H53" s="50">
        <f t="shared" si="11"/>
        <v>10</v>
      </c>
      <c r="I53" s="49">
        <f t="shared" si="12"/>
        <v>160</v>
      </c>
      <c r="J53" s="44">
        <f t="shared" si="12"/>
        <v>8</v>
      </c>
      <c r="K53" s="44">
        <f t="shared" si="12"/>
        <v>0</v>
      </c>
      <c r="L53" s="45">
        <f t="shared" si="12"/>
        <v>0.2</v>
      </c>
      <c r="M53" s="49">
        <v>60</v>
      </c>
      <c r="N53" s="44">
        <f t="shared" si="13"/>
        <v>150</v>
      </c>
      <c r="O53" s="50">
        <f t="shared" si="13"/>
        <v>210</v>
      </c>
    </row>
    <row r="54" spans="1:15" x14ac:dyDescent="0.25">
      <c r="A54" s="41">
        <f t="shared" si="10"/>
        <v>902</v>
      </c>
      <c r="B54" s="42">
        <f t="shared" si="10"/>
        <v>44</v>
      </c>
      <c r="C54" s="41" t="s">
        <v>1768</v>
      </c>
      <c r="D54" s="43">
        <f t="shared" si="9"/>
        <v>25</v>
      </c>
      <c r="E54" s="44">
        <f t="shared" si="11"/>
        <v>15</v>
      </c>
      <c r="F54" s="44">
        <f t="shared" si="11"/>
        <v>-19.2</v>
      </c>
      <c r="G54" s="42" t="str">
        <f t="shared" si="11"/>
        <v>Half</v>
      </c>
      <c r="H54" s="50">
        <f t="shared" si="11"/>
        <v>10</v>
      </c>
      <c r="I54" s="49">
        <f t="shared" si="12"/>
        <v>160</v>
      </c>
      <c r="J54" s="44">
        <f t="shared" si="12"/>
        <v>8</v>
      </c>
      <c r="K54" s="44">
        <f t="shared" si="12"/>
        <v>0</v>
      </c>
      <c r="L54" s="45">
        <f t="shared" si="12"/>
        <v>0.2</v>
      </c>
      <c r="M54" s="49">
        <v>90</v>
      </c>
      <c r="N54" s="44">
        <f t="shared" si="13"/>
        <v>150</v>
      </c>
      <c r="O54" s="50">
        <f t="shared" si="13"/>
        <v>210</v>
      </c>
    </row>
    <row r="55" spans="1:15" x14ac:dyDescent="0.25">
      <c r="A55" s="41">
        <f t="shared" si="10"/>
        <v>903</v>
      </c>
      <c r="B55" s="42">
        <f t="shared" si="10"/>
        <v>45</v>
      </c>
      <c r="C55" s="41" t="s">
        <v>1769</v>
      </c>
      <c r="D55" s="43">
        <f t="shared" si="9"/>
        <v>25</v>
      </c>
      <c r="E55" s="44">
        <f t="shared" si="11"/>
        <v>15</v>
      </c>
      <c r="F55" s="44">
        <f t="shared" si="11"/>
        <v>-19.2</v>
      </c>
      <c r="G55" s="42" t="str">
        <f t="shared" si="11"/>
        <v>Half</v>
      </c>
      <c r="H55" s="50">
        <f>H54</f>
        <v>10</v>
      </c>
      <c r="I55" s="49">
        <f t="shared" si="12"/>
        <v>160</v>
      </c>
      <c r="J55" s="44">
        <f t="shared" si="12"/>
        <v>8</v>
      </c>
      <c r="K55" s="44">
        <f>yaw_max</f>
        <v>8</v>
      </c>
      <c r="L55" s="45">
        <f t="shared" si="12"/>
        <v>0.2</v>
      </c>
      <c r="M55" s="49">
        <v>0</v>
      </c>
      <c r="N55" s="44">
        <f t="shared" si="13"/>
        <v>150</v>
      </c>
      <c r="O55" s="50">
        <f t="shared" si="13"/>
        <v>210</v>
      </c>
    </row>
    <row r="56" spans="1:15" x14ac:dyDescent="0.25">
      <c r="A56" s="41">
        <f t="shared" si="10"/>
        <v>904</v>
      </c>
      <c r="B56" s="42">
        <f t="shared" si="10"/>
        <v>46</v>
      </c>
      <c r="C56" s="41" t="s">
        <v>1770</v>
      </c>
      <c r="D56" s="43">
        <f t="shared" si="9"/>
        <v>25</v>
      </c>
      <c r="E56" s="44">
        <f t="shared" si="11"/>
        <v>15</v>
      </c>
      <c r="F56" s="44">
        <f t="shared" si="11"/>
        <v>-19.2</v>
      </c>
      <c r="G56" s="42" t="str">
        <f t="shared" si="11"/>
        <v>Half</v>
      </c>
      <c r="H56" s="50">
        <f>H55</f>
        <v>10</v>
      </c>
      <c r="I56" s="49">
        <f t="shared" si="12"/>
        <v>160</v>
      </c>
      <c r="J56" s="44">
        <f t="shared" si="12"/>
        <v>8</v>
      </c>
      <c r="K56" s="44">
        <f t="shared" si="12"/>
        <v>8</v>
      </c>
      <c r="L56" s="45">
        <f t="shared" si="12"/>
        <v>0.2</v>
      </c>
      <c r="M56" s="49">
        <v>30</v>
      </c>
      <c r="N56" s="44">
        <f t="shared" si="13"/>
        <v>150</v>
      </c>
      <c r="O56" s="50">
        <f t="shared" si="13"/>
        <v>210</v>
      </c>
    </row>
    <row r="57" spans="1:15" x14ac:dyDescent="0.25">
      <c r="A57" s="41">
        <f t="shared" si="10"/>
        <v>905</v>
      </c>
      <c r="B57" s="42">
        <f t="shared" si="10"/>
        <v>47</v>
      </c>
      <c r="C57" s="41" t="s">
        <v>1771</v>
      </c>
      <c r="D57" s="43">
        <f t="shared" si="9"/>
        <v>25</v>
      </c>
      <c r="E57" s="44">
        <f t="shared" si="11"/>
        <v>15</v>
      </c>
      <c r="F57" s="44">
        <f t="shared" si="11"/>
        <v>-19.2</v>
      </c>
      <c r="G57" s="42" t="str">
        <f t="shared" si="11"/>
        <v>Half</v>
      </c>
      <c r="H57" s="50">
        <f>H56</f>
        <v>10</v>
      </c>
      <c r="I57" s="49">
        <f t="shared" si="12"/>
        <v>160</v>
      </c>
      <c r="J57" s="44">
        <f t="shared" si="12"/>
        <v>8</v>
      </c>
      <c r="K57" s="44">
        <f t="shared" si="12"/>
        <v>8</v>
      </c>
      <c r="L57" s="45">
        <f t="shared" si="12"/>
        <v>0.2</v>
      </c>
      <c r="M57" s="49">
        <v>60</v>
      </c>
      <c r="N57" s="44">
        <f t="shared" si="13"/>
        <v>150</v>
      </c>
      <c r="O57" s="50">
        <f t="shared" si="13"/>
        <v>210</v>
      </c>
    </row>
    <row r="58" spans="1:15" ht="15.75" thickBot="1" x14ac:dyDescent="0.3">
      <c r="A58" s="41">
        <f t="shared" si="10"/>
        <v>906</v>
      </c>
      <c r="B58" s="42">
        <f t="shared" si="10"/>
        <v>48</v>
      </c>
      <c r="C58" s="41" t="s">
        <v>1772</v>
      </c>
      <c r="D58" s="43">
        <f t="shared" si="9"/>
        <v>25</v>
      </c>
      <c r="E58" s="44">
        <f t="shared" si="11"/>
        <v>15</v>
      </c>
      <c r="F58" s="44">
        <f t="shared" si="11"/>
        <v>-19.2</v>
      </c>
      <c r="G58" s="42" t="str">
        <f t="shared" si="11"/>
        <v>Half</v>
      </c>
      <c r="H58" s="50">
        <f>H57</f>
        <v>10</v>
      </c>
      <c r="I58" s="49">
        <f t="shared" si="12"/>
        <v>160</v>
      </c>
      <c r="J58" s="44">
        <f t="shared" si="12"/>
        <v>8</v>
      </c>
      <c r="K58" s="44">
        <f t="shared" si="12"/>
        <v>8</v>
      </c>
      <c r="L58" s="45">
        <f t="shared" si="12"/>
        <v>0.2</v>
      </c>
      <c r="M58" s="49">
        <v>90</v>
      </c>
      <c r="N58" s="44">
        <f t="shared" si="13"/>
        <v>150</v>
      </c>
      <c r="O58" s="50">
        <f t="shared" si="13"/>
        <v>210</v>
      </c>
    </row>
    <row r="59" spans="1:15" x14ac:dyDescent="0.25">
      <c r="A59" s="41">
        <f t="shared" si="10"/>
        <v>907</v>
      </c>
      <c r="B59" s="42">
        <f t="shared" si="10"/>
        <v>49</v>
      </c>
      <c r="C59" s="24" t="s">
        <v>1773</v>
      </c>
      <c r="D59" s="43">
        <f t="shared" si="9"/>
        <v>25</v>
      </c>
      <c r="E59" s="44">
        <f t="shared" si="11"/>
        <v>15</v>
      </c>
      <c r="F59" s="44">
        <f>720/D59/3</f>
        <v>9.6</v>
      </c>
      <c r="G59" s="42" t="str">
        <f t="shared" si="11"/>
        <v>Half</v>
      </c>
      <c r="H59" s="50">
        <f>H58</f>
        <v>10</v>
      </c>
      <c r="I59" s="49">
        <f t="shared" si="12"/>
        <v>160</v>
      </c>
      <c r="J59" s="44">
        <f t="shared" si="12"/>
        <v>8</v>
      </c>
      <c r="K59" s="44">
        <f>yaw_min</f>
        <v>-8</v>
      </c>
      <c r="L59" s="45">
        <f t="shared" si="12"/>
        <v>0.2</v>
      </c>
      <c r="M59" s="49">
        <v>0</v>
      </c>
      <c r="N59" s="44">
        <f t="shared" si="13"/>
        <v>150</v>
      </c>
      <c r="O59" s="50">
        <f t="shared" si="13"/>
        <v>210</v>
      </c>
    </row>
    <row r="60" spans="1:15" x14ac:dyDescent="0.25">
      <c r="A60" s="41">
        <f t="shared" ref="A60:B75" si="14">A59+1</f>
        <v>908</v>
      </c>
      <c r="B60" s="42">
        <f t="shared" si="14"/>
        <v>50</v>
      </c>
      <c r="C60" s="41" t="s">
        <v>1774</v>
      </c>
      <c r="D60" s="43">
        <f t="shared" si="9"/>
        <v>25</v>
      </c>
      <c r="E60" s="44">
        <f t="shared" ref="E60:L75" si="15">E59</f>
        <v>15</v>
      </c>
      <c r="F60" s="44">
        <f t="shared" si="15"/>
        <v>9.6</v>
      </c>
      <c r="G60" s="42" t="str">
        <f t="shared" si="15"/>
        <v>Half</v>
      </c>
      <c r="H60" s="50">
        <f t="shared" si="15"/>
        <v>10</v>
      </c>
      <c r="I60" s="49">
        <f t="shared" si="15"/>
        <v>160</v>
      </c>
      <c r="J60" s="44">
        <f t="shared" si="15"/>
        <v>8</v>
      </c>
      <c r="K60" s="44">
        <f t="shared" si="15"/>
        <v>-8</v>
      </c>
      <c r="L60" s="45">
        <f t="shared" si="15"/>
        <v>0.2</v>
      </c>
      <c r="M60" s="49">
        <v>30</v>
      </c>
      <c r="N60" s="44">
        <f t="shared" si="13"/>
        <v>150</v>
      </c>
      <c r="O60" s="50">
        <f t="shared" si="13"/>
        <v>210</v>
      </c>
    </row>
    <row r="61" spans="1:15" x14ac:dyDescent="0.25">
      <c r="A61" s="41">
        <f t="shared" si="14"/>
        <v>909</v>
      </c>
      <c r="B61" s="42">
        <f t="shared" si="14"/>
        <v>51</v>
      </c>
      <c r="C61" s="41" t="s">
        <v>1775</v>
      </c>
      <c r="D61" s="43">
        <f t="shared" si="9"/>
        <v>25</v>
      </c>
      <c r="E61" s="44">
        <f t="shared" si="15"/>
        <v>15</v>
      </c>
      <c r="F61" s="44">
        <f t="shared" si="15"/>
        <v>9.6</v>
      </c>
      <c r="G61" s="42" t="str">
        <f t="shared" si="15"/>
        <v>Half</v>
      </c>
      <c r="H61" s="50">
        <f t="shared" si="15"/>
        <v>10</v>
      </c>
      <c r="I61" s="49">
        <f t="shared" si="15"/>
        <v>160</v>
      </c>
      <c r="J61" s="44">
        <f t="shared" si="15"/>
        <v>8</v>
      </c>
      <c r="K61" s="44">
        <f t="shared" si="15"/>
        <v>-8</v>
      </c>
      <c r="L61" s="45">
        <f t="shared" si="15"/>
        <v>0.2</v>
      </c>
      <c r="M61" s="49">
        <v>60</v>
      </c>
      <c r="N61" s="44">
        <f t="shared" ref="N61:O76" si="16">N60</f>
        <v>150</v>
      </c>
      <c r="O61" s="50">
        <f t="shared" si="16"/>
        <v>210</v>
      </c>
    </row>
    <row r="62" spans="1:15" x14ac:dyDescent="0.25">
      <c r="A62" s="41">
        <f t="shared" si="14"/>
        <v>910</v>
      </c>
      <c r="B62" s="42">
        <f t="shared" si="14"/>
        <v>52</v>
      </c>
      <c r="C62" s="41" t="s">
        <v>1776</v>
      </c>
      <c r="D62" s="43">
        <f t="shared" si="9"/>
        <v>25</v>
      </c>
      <c r="E62" s="44">
        <f t="shared" si="15"/>
        <v>15</v>
      </c>
      <c r="F62" s="44">
        <f t="shared" si="15"/>
        <v>9.6</v>
      </c>
      <c r="G62" s="42" t="str">
        <f t="shared" si="15"/>
        <v>Half</v>
      </c>
      <c r="H62" s="50">
        <f t="shared" si="15"/>
        <v>10</v>
      </c>
      <c r="I62" s="49">
        <f t="shared" si="15"/>
        <v>160</v>
      </c>
      <c r="J62" s="44">
        <f t="shared" si="15"/>
        <v>8</v>
      </c>
      <c r="K62" s="44">
        <f t="shared" si="15"/>
        <v>-8</v>
      </c>
      <c r="L62" s="45">
        <f t="shared" si="15"/>
        <v>0.2</v>
      </c>
      <c r="M62" s="49">
        <v>90</v>
      </c>
      <c r="N62" s="44">
        <f t="shared" si="16"/>
        <v>150</v>
      </c>
      <c r="O62" s="50">
        <f t="shared" si="16"/>
        <v>210</v>
      </c>
    </row>
    <row r="63" spans="1:15" x14ac:dyDescent="0.25">
      <c r="A63" s="41">
        <f t="shared" si="14"/>
        <v>911</v>
      </c>
      <c r="B63" s="42">
        <f t="shared" si="14"/>
        <v>53</v>
      </c>
      <c r="C63" s="41" t="s">
        <v>1777</v>
      </c>
      <c r="D63" s="43">
        <f t="shared" si="9"/>
        <v>25</v>
      </c>
      <c r="E63" s="44">
        <f t="shared" si="15"/>
        <v>15</v>
      </c>
      <c r="F63" s="44">
        <f t="shared" si="15"/>
        <v>9.6</v>
      </c>
      <c r="G63" s="42" t="str">
        <f t="shared" si="15"/>
        <v>Half</v>
      </c>
      <c r="H63" s="50">
        <f t="shared" si="15"/>
        <v>10</v>
      </c>
      <c r="I63" s="49">
        <f t="shared" si="15"/>
        <v>160</v>
      </c>
      <c r="J63" s="44">
        <f t="shared" si="15"/>
        <v>8</v>
      </c>
      <c r="K63" s="44">
        <f>yaw_null</f>
        <v>0</v>
      </c>
      <c r="L63" s="45">
        <f t="shared" si="15"/>
        <v>0.2</v>
      </c>
      <c r="M63" s="49">
        <v>0</v>
      </c>
      <c r="N63" s="44">
        <f t="shared" si="16"/>
        <v>150</v>
      </c>
      <c r="O63" s="50">
        <f t="shared" si="16"/>
        <v>210</v>
      </c>
    </row>
    <row r="64" spans="1:15" x14ac:dyDescent="0.25">
      <c r="A64" s="41">
        <f t="shared" si="14"/>
        <v>912</v>
      </c>
      <c r="B64" s="42">
        <f t="shared" si="14"/>
        <v>54</v>
      </c>
      <c r="C64" s="41" t="s">
        <v>1778</v>
      </c>
      <c r="D64" s="43">
        <f t="shared" si="9"/>
        <v>25</v>
      </c>
      <c r="E64" s="44">
        <f t="shared" si="15"/>
        <v>15</v>
      </c>
      <c r="F64" s="44">
        <f t="shared" si="15"/>
        <v>9.6</v>
      </c>
      <c r="G64" s="42" t="str">
        <f t="shared" si="15"/>
        <v>Half</v>
      </c>
      <c r="H64" s="50">
        <f t="shared" si="15"/>
        <v>10</v>
      </c>
      <c r="I64" s="49">
        <f t="shared" si="15"/>
        <v>160</v>
      </c>
      <c r="J64" s="44">
        <f t="shared" si="15"/>
        <v>8</v>
      </c>
      <c r="K64" s="44">
        <f t="shared" si="15"/>
        <v>0</v>
      </c>
      <c r="L64" s="45">
        <f t="shared" si="15"/>
        <v>0.2</v>
      </c>
      <c r="M64" s="49">
        <v>30</v>
      </c>
      <c r="N64" s="44">
        <f t="shared" si="16"/>
        <v>150</v>
      </c>
      <c r="O64" s="50">
        <f t="shared" si="16"/>
        <v>210</v>
      </c>
    </row>
    <row r="65" spans="1:15" x14ac:dyDescent="0.25">
      <c r="A65" s="41">
        <f t="shared" si="14"/>
        <v>913</v>
      </c>
      <c r="B65" s="42">
        <f t="shared" si="14"/>
        <v>55</v>
      </c>
      <c r="C65" s="41" t="s">
        <v>1779</v>
      </c>
      <c r="D65" s="43">
        <f t="shared" si="9"/>
        <v>25</v>
      </c>
      <c r="E65" s="44">
        <f t="shared" si="15"/>
        <v>15</v>
      </c>
      <c r="F65" s="44">
        <f t="shared" si="15"/>
        <v>9.6</v>
      </c>
      <c r="G65" s="42" t="str">
        <f t="shared" si="15"/>
        <v>Half</v>
      </c>
      <c r="H65" s="50">
        <f t="shared" si="15"/>
        <v>10</v>
      </c>
      <c r="I65" s="49">
        <f t="shared" si="15"/>
        <v>160</v>
      </c>
      <c r="J65" s="44">
        <f t="shared" si="15"/>
        <v>8</v>
      </c>
      <c r="K65" s="44">
        <f t="shared" si="15"/>
        <v>0</v>
      </c>
      <c r="L65" s="45">
        <f t="shared" si="15"/>
        <v>0.2</v>
      </c>
      <c r="M65" s="49">
        <v>60</v>
      </c>
      <c r="N65" s="44">
        <f t="shared" si="16"/>
        <v>150</v>
      </c>
      <c r="O65" s="50">
        <f t="shared" si="16"/>
        <v>210</v>
      </c>
    </row>
    <row r="66" spans="1:15" x14ac:dyDescent="0.25">
      <c r="A66" s="41">
        <f t="shared" si="14"/>
        <v>914</v>
      </c>
      <c r="B66" s="42">
        <f t="shared" si="14"/>
        <v>56</v>
      </c>
      <c r="C66" s="41" t="s">
        <v>1780</v>
      </c>
      <c r="D66" s="43">
        <f t="shared" si="9"/>
        <v>25</v>
      </c>
      <c r="E66" s="44">
        <f t="shared" si="15"/>
        <v>15</v>
      </c>
      <c r="F66" s="44">
        <f t="shared" si="15"/>
        <v>9.6</v>
      </c>
      <c r="G66" s="42" t="str">
        <f t="shared" si="15"/>
        <v>Half</v>
      </c>
      <c r="H66" s="50">
        <f t="shared" si="15"/>
        <v>10</v>
      </c>
      <c r="I66" s="49">
        <f t="shared" si="15"/>
        <v>160</v>
      </c>
      <c r="J66" s="44">
        <f t="shared" si="15"/>
        <v>8</v>
      </c>
      <c r="K66" s="44">
        <f t="shared" si="15"/>
        <v>0</v>
      </c>
      <c r="L66" s="45">
        <f t="shared" si="15"/>
        <v>0.2</v>
      </c>
      <c r="M66" s="49">
        <v>90</v>
      </c>
      <c r="N66" s="44">
        <f t="shared" si="16"/>
        <v>150</v>
      </c>
      <c r="O66" s="50">
        <f t="shared" si="16"/>
        <v>210</v>
      </c>
    </row>
    <row r="67" spans="1:15" x14ac:dyDescent="0.25">
      <c r="A67" s="41">
        <f t="shared" si="14"/>
        <v>915</v>
      </c>
      <c r="B67" s="42">
        <f t="shared" si="14"/>
        <v>57</v>
      </c>
      <c r="C67" s="41" t="s">
        <v>1781</v>
      </c>
      <c r="D67" s="43">
        <f t="shared" si="9"/>
        <v>25</v>
      </c>
      <c r="E67" s="44">
        <f t="shared" si="15"/>
        <v>15</v>
      </c>
      <c r="F67" s="44">
        <f t="shared" si="15"/>
        <v>9.6</v>
      </c>
      <c r="G67" s="42" t="s">
        <v>12</v>
      </c>
      <c r="H67" s="50">
        <v>10</v>
      </c>
      <c r="I67" s="49">
        <f t="shared" si="15"/>
        <v>160</v>
      </c>
      <c r="J67" s="44">
        <f t="shared" si="15"/>
        <v>8</v>
      </c>
      <c r="K67" s="44">
        <f>yaw_max</f>
        <v>8</v>
      </c>
      <c r="L67" s="45">
        <f t="shared" si="15"/>
        <v>0.2</v>
      </c>
      <c r="M67" s="49">
        <v>0</v>
      </c>
      <c r="N67" s="44">
        <f t="shared" si="16"/>
        <v>150</v>
      </c>
      <c r="O67" s="50">
        <f t="shared" si="16"/>
        <v>210</v>
      </c>
    </row>
    <row r="68" spans="1:15" x14ac:dyDescent="0.25">
      <c r="A68" s="41">
        <f t="shared" si="14"/>
        <v>916</v>
      </c>
      <c r="B68" s="42">
        <f t="shared" si="14"/>
        <v>58</v>
      </c>
      <c r="C68" s="41" t="s">
        <v>1782</v>
      </c>
      <c r="D68" s="43">
        <f t="shared" si="9"/>
        <v>25</v>
      </c>
      <c r="E68" s="44">
        <f t="shared" si="15"/>
        <v>15</v>
      </c>
      <c r="F68" s="44">
        <f t="shared" si="15"/>
        <v>9.6</v>
      </c>
      <c r="G68" s="42" t="str">
        <f t="shared" si="15"/>
        <v>Half</v>
      </c>
      <c r="H68" s="50">
        <f t="shared" si="15"/>
        <v>10</v>
      </c>
      <c r="I68" s="49">
        <f t="shared" si="15"/>
        <v>160</v>
      </c>
      <c r="J68" s="44">
        <f t="shared" si="15"/>
        <v>8</v>
      </c>
      <c r="K68" s="44">
        <f t="shared" si="15"/>
        <v>8</v>
      </c>
      <c r="L68" s="45">
        <f t="shared" si="15"/>
        <v>0.2</v>
      </c>
      <c r="M68" s="49">
        <v>30</v>
      </c>
      <c r="N68" s="44">
        <f t="shared" si="16"/>
        <v>150</v>
      </c>
      <c r="O68" s="50">
        <f t="shared" si="16"/>
        <v>210</v>
      </c>
    </row>
    <row r="69" spans="1:15" x14ac:dyDescent="0.25">
      <c r="A69" s="41">
        <f t="shared" si="14"/>
        <v>917</v>
      </c>
      <c r="B69" s="42">
        <f t="shared" si="14"/>
        <v>59</v>
      </c>
      <c r="C69" s="41" t="s">
        <v>1783</v>
      </c>
      <c r="D69" s="43">
        <f t="shared" si="9"/>
        <v>25</v>
      </c>
      <c r="E69" s="44">
        <f t="shared" si="15"/>
        <v>15</v>
      </c>
      <c r="F69" s="44">
        <f t="shared" si="15"/>
        <v>9.6</v>
      </c>
      <c r="G69" s="42" t="str">
        <f t="shared" si="15"/>
        <v>Half</v>
      </c>
      <c r="H69" s="50">
        <f t="shared" si="15"/>
        <v>10</v>
      </c>
      <c r="I69" s="49">
        <f t="shared" si="15"/>
        <v>160</v>
      </c>
      <c r="J69" s="44">
        <f t="shared" si="15"/>
        <v>8</v>
      </c>
      <c r="K69" s="44">
        <f t="shared" si="15"/>
        <v>8</v>
      </c>
      <c r="L69" s="45">
        <f t="shared" si="15"/>
        <v>0.2</v>
      </c>
      <c r="M69" s="49">
        <v>60</v>
      </c>
      <c r="N69" s="44">
        <f t="shared" si="16"/>
        <v>150</v>
      </c>
      <c r="O69" s="50">
        <f t="shared" si="16"/>
        <v>210</v>
      </c>
    </row>
    <row r="70" spans="1:15" ht="15.75" thickBot="1" x14ac:dyDescent="0.3">
      <c r="A70" s="41">
        <f t="shared" si="14"/>
        <v>918</v>
      </c>
      <c r="B70" s="42">
        <f t="shared" si="14"/>
        <v>60</v>
      </c>
      <c r="C70" s="41" t="s">
        <v>1784</v>
      </c>
      <c r="D70" s="43">
        <f t="shared" si="9"/>
        <v>25</v>
      </c>
      <c r="E70" s="44">
        <f t="shared" si="15"/>
        <v>15</v>
      </c>
      <c r="F70" s="44">
        <f t="shared" si="15"/>
        <v>9.6</v>
      </c>
      <c r="G70" s="42" t="str">
        <f t="shared" si="15"/>
        <v>Half</v>
      </c>
      <c r="H70" s="50">
        <f t="shared" si="15"/>
        <v>10</v>
      </c>
      <c r="I70" s="49">
        <f t="shared" si="15"/>
        <v>160</v>
      </c>
      <c r="J70" s="44">
        <f t="shared" si="15"/>
        <v>8</v>
      </c>
      <c r="K70" s="44">
        <f t="shared" si="15"/>
        <v>8</v>
      </c>
      <c r="L70" s="45">
        <f t="shared" si="15"/>
        <v>0.2</v>
      </c>
      <c r="M70" s="49">
        <v>90</v>
      </c>
      <c r="N70" s="44">
        <f t="shared" si="16"/>
        <v>150</v>
      </c>
      <c r="O70" s="50">
        <f t="shared" si="16"/>
        <v>210</v>
      </c>
    </row>
    <row r="71" spans="1:15" x14ac:dyDescent="0.25">
      <c r="A71" s="41">
        <f t="shared" si="14"/>
        <v>919</v>
      </c>
      <c r="B71" s="42">
        <f t="shared" si="14"/>
        <v>61</v>
      </c>
      <c r="C71" s="24" t="s">
        <v>1785</v>
      </c>
      <c r="D71" s="43">
        <f t="shared" si="9"/>
        <v>25</v>
      </c>
      <c r="E71" s="44">
        <f t="shared" si="15"/>
        <v>15</v>
      </c>
      <c r="F71" s="44">
        <f>-720/D71/3</f>
        <v>-9.6</v>
      </c>
      <c r="G71" s="42" t="str">
        <f t="shared" si="15"/>
        <v>Half</v>
      </c>
      <c r="H71" s="50">
        <f t="shared" si="15"/>
        <v>10</v>
      </c>
      <c r="I71" s="49">
        <f t="shared" si="15"/>
        <v>160</v>
      </c>
      <c r="J71" s="44">
        <f t="shared" si="15"/>
        <v>8</v>
      </c>
      <c r="K71" s="44">
        <f>yaw_min</f>
        <v>-8</v>
      </c>
      <c r="L71" s="45">
        <f t="shared" si="15"/>
        <v>0.2</v>
      </c>
      <c r="M71" s="49">
        <v>0</v>
      </c>
      <c r="N71" s="44">
        <f t="shared" si="16"/>
        <v>150</v>
      </c>
      <c r="O71" s="50">
        <f t="shared" si="16"/>
        <v>210</v>
      </c>
    </row>
    <row r="72" spans="1:15" x14ac:dyDescent="0.25">
      <c r="A72" s="41">
        <f t="shared" si="14"/>
        <v>920</v>
      </c>
      <c r="B72" s="42">
        <f t="shared" si="14"/>
        <v>62</v>
      </c>
      <c r="C72" s="41" t="s">
        <v>1786</v>
      </c>
      <c r="D72" s="43">
        <f t="shared" si="9"/>
        <v>25</v>
      </c>
      <c r="E72" s="44">
        <f t="shared" si="15"/>
        <v>15</v>
      </c>
      <c r="F72" s="44">
        <f>F71</f>
        <v>-9.6</v>
      </c>
      <c r="G72" s="42" t="str">
        <f t="shared" si="15"/>
        <v>Half</v>
      </c>
      <c r="H72" s="50">
        <f t="shared" si="15"/>
        <v>10</v>
      </c>
      <c r="I72" s="49">
        <f t="shared" si="15"/>
        <v>160</v>
      </c>
      <c r="J72" s="44">
        <f t="shared" si="15"/>
        <v>8</v>
      </c>
      <c r="K72" s="44">
        <f t="shared" si="15"/>
        <v>-8</v>
      </c>
      <c r="L72" s="45">
        <f t="shared" si="15"/>
        <v>0.2</v>
      </c>
      <c r="M72" s="49">
        <v>30</v>
      </c>
      <c r="N72" s="44">
        <f t="shared" si="16"/>
        <v>150</v>
      </c>
      <c r="O72" s="50">
        <f t="shared" si="16"/>
        <v>210</v>
      </c>
    </row>
    <row r="73" spans="1:15" x14ac:dyDescent="0.25">
      <c r="A73" s="41">
        <f t="shared" si="14"/>
        <v>921</v>
      </c>
      <c r="B73" s="42">
        <f t="shared" si="14"/>
        <v>63</v>
      </c>
      <c r="C73" s="41" t="s">
        <v>1787</v>
      </c>
      <c r="D73" s="43">
        <f t="shared" si="9"/>
        <v>25</v>
      </c>
      <c r="E73" s="44">
        <f t="shared" si="15"/>
        <v>15</v>
      </c>
      <c r="F73" s="44">
        <f>F72</f>
        <v>-9.6</v>
      </c>
      <c r="G73" s="42" t="str">
        <f t="shared" si="15"/>
        <v>Half</v>
      </c>
      <c r="H73" s="50">
        <f t="shared" si="15"/>
        <v>10</v>
      </c>
      <c r="I73" s="49">
        <f t="shared" si="15"/>
        <v>160</v>
      </c>
      <c r="J73" s="44">
        <f t="shared" si="15"/>
        <v>8</v>
      </c>
      <c r="K73" s="44">
        <f t="shared" si="15"/>
        <v>-8</v>
      </c>
      <c r="L73" s="45">
        <f t="shared" si="15"/>
        <v>0.2</v>
      </c>
      <c r="M73" s="49">
        <v>60</v>
      </c>
      <c r="N73" s="44">
        <f t="shared" si="16"/>
        <v>150</v>
      </c>
      <c r="O73" s="50">
        <f t="shared" si="16"/>
        <v>210</v>
      </c>
    </row>
    <row r="74" spans="1:15" x14ac:dyDescent="0.25">
      <c r="A74" s="41">
        <f t="shared" si="14"/>
        <v>922</v>
      </c>
      <c r="B74" s="42">
        <f t="shared" si="14"/>
        <v>64</v>
      </c>
      <c r="C74" s="41" t="s">
        <v>1788</v>
      </c>
      <c r="D74" s="43">
        <f t="shared" si="9"/>
        <v>25</v>
      </c>
      <c r="E74" s="44">
        <f t="shared" si="15"/>
        <v>15</v>
      </c>
      <c r="F74" s="44">
        <f>F73</f>
        <v>-9.6</v>
      </c>
      <c r="G74" s="42" t="str">
        <f t="shared" si="15"/>
        <v>Half</v>
      </c>
      <c r="H74" s="50">
        <f t="shared" si="15"/>
        <v>10</v>
      </c>
      <c r="I74" s="49">
        <f t="shared" si="15"/>
        <v>160</v>
      </c>
      <c r="J74" s="44">
        <f t="shared" si="15"/>
        <v>8</v>
      </c>
      <c r="K74" s="44">
        <f t="shared" si="15"/>
        <v>-8</v>
      </c>
      <c r="L74" s="45">
        <f t="shared" si="15"/>
        <v>0.2</v>
      </c>
      <c r="M74" s="49">
        <v>90</v>
      </c>
      <c r="N74" s="44">
        <f t="shared" si="16"/>
        <v>150</v>
      </c>
      <c r="O74" s="50">
        <f t="shared" si="16"/>
        <v>210</v>
      </c>
    </row>
    <row r="75" spans="1:15" x14ac:dyDescent="0.25">
      <c r="A75" s="41">
        <f t="shared" si="14"/>
        <v>923</v>
      </c>
      <c r="B75" s="42">
        <f t="shared" si="14"/>
        <v>65</v>
      </c>
      <c r="C75" s="41" t="s">
        <v>1789</v>
      </c>
      <c r="D75" s="43">
        <f t="shared" ref="D75:D82" si="17">v_out</f>
        <v>25</v>
      </c>
      <c r="E75" s="44">
        <f t="shared" si="15"/>
        <v>15</v>
      </c>
      <c r="F75" s="44">
        <f>F74</f>
        <v>-9.6</v>
      </c>
      <c r="G75" s="42" t="str">
        <f t="shared" si="15"/>
        <v>Half</v>
      </c>
      <c r="H75" s="50">
        <f t="shared" si="15"/>
        <v>10</v>
      </c>
      <c r="I75" s="49">
        <f t="shared" si="15"/>
        <v>160</v>
      </c>
      <c r="J75" s="44">
        <f t="shared" si="15"/>
        <v>8</v>
      </c>
      <c r="K75" s="44">
        <f>yaw_null</f>
        <v>0</v>
      </c>
      <c r="L75" s="45">
        <f t="shared" si="15"/>
        <v>0.2</v>
      </c>
      <c r="M75" s="49">
        <v>0</v>
      </c>
      <c r="N75" s="44">
        <f t="shared" si="16"/>
        <v>150</v>
      </c>
      <c r="O75" s="50">
        <f t="shared" si="16"/>
        <v>210</v>
      </c>
    </row>
    <row r="76" spans="1:15" x14ac:dyDescent="0.25">
      <c r="A76" s="41">
        <f t="shared" ref="A76:B91" si="18">A75+1</f>
        <v>924</v>
      </c>
      <c r="B76" s="42">
        <f t="shared" si="18"/>
        <v>66</v>
      </c>
      <c r="C76" s="41" t="s">
        <v>1790</v>
      </c>
      <c r="D76" s="43">
        <f t="shared" si="17"/>
        <v>25</v>
      </c>
      <c r="E76" s="44">
        <f t="shared" ref="E76:L91" si="19">E75</f>
        <v>15</v>
      </c>
      <c r="F76" s="44">
        <f t="shared" si="19"/>
        <v>-9.6</v>
      </c>
      <c r="G76" s="42" t="str">
        <f t="shared" si="19"/>
        <v>Half</v>
      </c>
      <c r="H76" s="50">
        <f t="shared" si="19"/>
        <v>10</v>
      </c>
      <c r="I76" s="49">
        <f t="shared" si="19"/>
        <v>160</v>
      </c>
      <c r="J76" s="44">
        <f t="shared" si="19"/>
        <v>8</v>
      </c>
      <c r="K76" s="44">
        <f t="shared" si="19"/>
        <v>0</v>
      </c>
      <c r="L76" s="45">
        <f t="shared" si="19"/>
        <v>0.2</v>
      </c>
      <c r="M76" s="49">
        <v>30</v>
      </c>
      <c r="N76" s="44">
        <f t="shared" si="16"/>
        <v>150</v>
      </c>
      <c r="O76" s="50">
        <f t="shared" si="16"/>
        <v>210</v>
      </c>
    </row>
    <row r="77" spans="1:15" x14ac:dyDescent="0.25">
      <c r="A77" s="41">
        <f t="shared" si="18"/>
        <v>925</v>
      </c>
      <c r="B77" s="42">
        <f t="shared" si="18"/>
        <v>67</v>
      </c>
      <c r="C77" s="41" t="s">
        <v>1791</v>
      </c>
      <c r="D77" s="43">
        <f t="shared" si="17"/>
        <v>25</v>
      </c>
      <c r="E77" s="44">
        <f t="shared" si="19"/>
        <v>15</v>
      </c>
      <c r="F77" s="44">
        <f t="shared" si="19"/>
        <v>-9.6</v>
      </c>
      <c r="G77" s="42" t="str">
        <f t="shared" si="19"/>
        <v>Half</v>
      </c>
      <c r="H77" s="50">
        <f t="shared" si="19"/>
        <v>10</v>
      </c>
      <c r="I77" s="49">
        <f t="shared" si="19"/>
        <v>160</v>
      </c>
      <c r="J77" s="44">
        <f t="shared" si="19"/>
        <v>8</v>
      </c>
      <c r="K77" s="44">
        <f t="shared" si="19"/>
        <v>0</v>
      </c>
      <c r="L77" s="45">
        <f t="shared" si="19"/>
        <v>0.2</v>
      </c>
      <c r="M77" s="49">
        <v>60</v>
      </c>
      <c r="N77" s="44">
        <f t="shared" ref="N77:O92" si="20">N76</f>
        <v>150</v>
      </c>
      <c r="O77" s="50">
        <f t="shared" si="20"/>
        <v>210</v>
      </c>
    </row>
    <row r="78" spans="1:15" x14ac:dyDescent="0.25">
      <c r="A78" s="41">
        <f t="shared" si="18"/>
        <v>926</v>
      </c>
      <c r="B78" s="42">
        <f t="shared" si="18"/>
        <v>68</v>
      </c>
      <c r="C78" s="41" t="s">
        <v>1792</v>
      </c>
      <c r="D78" s="43">
        <f t="shared" si="17"/>
        <v>25</v>
      </c>
      <c r="E78" s="44">
        <f t="shared" si="19"/>
        <v>15</v>
      </c>
      <c r="F78" s="44">
        <f t="shared" si="19"/>
        <v>-9.6</v>
      </c>
      <c r="G78" s="42" t="str">
        <f t="shared" si="19"/>
        <v>Half</v>
      </c>
      <c r="H78" s="50">
        <f t="shared" si="19"/>
        <v>10</v>
      </c>
      <c r="I78" s="49">
        <f t="shared" si="19"/>
        <v>160</v>
      </c>
      <c r="J78" s="44">
        <f t="shared" si="19"/>
        <v>8</v>
      </c>
      <c r="K78" s="44">
        <f t="shared" si="19"/>
        <v>0</v>
      </c>
      <c r="L78" s="45">
        <f t="shared" si="19"/>
        <v>0.2</v>
      </c>
      <c r="M78" s="49">
        <v>90</v>
      </c>
      <c r="N78" s="44">
        <f t="shared" si="20"/>
        <v>150</v>
      </c>
      <c r="O78" s="50">
        <f t="shared" si="20"/>
        <v>210</v>
      </c>
    </row>
    <row r="79" spans="1:15" x14ac:dyDescent="0.25">
      <c r="A79" s="41">
        <f t="shared" si="18"/>
        <v>927</v>
      </c>
      <c r="B79" s="42">
        <f t="shared" si="18"/>
        <v>69</v>
      </c>
      <c r="C79" s="41" t="s">
        <v>1793</v>
      </c>
      <c r="D79" s="43">
        <f t="shared" si="17"/>
        <v>25</v>
      </c>
      <c r="E79" s="44">
        <f t="shared" si="19"/>
        <v>15</v>
      </c>
      <c r="F79" s="44">
        <f t="shared" si="19"/>
        <v>-9.6</v>
      </c>
      <c r="G79" s="42" t="str">
        <f t="shared" si="19"/>
        <v>Half</v>
      </c>
      <c r="H79" s="50">
        <f>H78</f>
        <v>10</v>
      </c>
      <c r="I79" s="49">
        <f t="shared" si="19"/>
        <v>160</v>
      </c>
      <c r="J79" s="44">
        <f t="shared" si="19"/>
        <v>8</v>
      </c>
      <c r="K79" s="44">
        <f>yaw_max</f>
        <v>8</v>
      </c>
      <c r="L79" s="45">
        <f t="shared" si="19"/>
        <v>0.2</v>
      </c>
      <c r="M79" s="49">
        <v>0</v>
      </c>
      <c r="N79" s="44">
        <f t="shared" si="20"/>
        <v>150</v>
      </c>
      <c r="O79" s="50">
        <f t="shared" si="20"/>
        <v>210</v>
      </c>
    </row>
    <row r="80" spans="1:15" x14ac:dyDescent="0.25">
      <c r="A80" s="41">
        <f t="shared" si="18"/>
        <v>928</v>
      </c>
      <c r="B80" s="42">
        <f t="shared" si="18"/>
        <v>70</v>
      </c>
      <c r="C80" s="41" t="s">
        <v>1794</v>
      </c>
      <c r="D80" s="43">
        <f t="shared" si="17"/>
        <v>25</v>
      </c>
      <c r="E80" s="44">
        <f t="shared" si="19"/>
        <v>15</v>
      </c>
      <c r="F80" s="44">
        <f t="shared" si="19"/>
        <v>-9.6</v>
      </c>
      <c r="G80" s="42" t="str">
        <f t="shared" si="19"/>
        <v>Half</v>
      </c>
      <c r="H80" s="50">
        <f t="shared" si="19"/>
        <v>10</v>
      </c>
      <c r="I80" s="49">
        <f t="shared" si="19"/>
        <v>160</v>
      </c>
      <c r="J80" s="44">
        <f t="shared" si="19"/>
        <v>8</v>
      </c>
      <c r="K80" s="44">
        <f t="shared" si="19"/>
        <v>8</v>
      </c>
      <c r="L80" s="45">
        <f t="shared" si="19"/>
        <v>0.2</v>
      </c>
      <c r="M80" s="49">
        <v>30</v>
      </c>
      <c r="N80" s="44">
        <f t="shared" si="20"/>
        <v>150</v>
      </c>
      <c r="O80" s="50">
        <f t="shared" si="20"/>
        <v>210</v>
      </c>
    </row>
    <row r="81" spans="1:15" x14ac:dyDescent="0.25">
      <c r="A81" s="41">
        <f t="shared" si="18"/>
        <v>929</v>
      </c>
      <c r="B81" s="42">
        <f t="shared" si="18"/>
        <v>71</v>
      </c>
      <c r="C81" s="41" t="s">
        <v>1795</v>
      </c>
      <c r="D81" s="43">
        <f t="shared" si="17"/>
        <v>25</v>
      </c>
      <c r="E81" s="44">
        <f t="shared" si="19"/>
        <v>15</v>
      </c>
      <c r="F81" s="44">
        <f t="shared" si="19"/>
        <v>-9.6</v>
      </c>
      <c r="G81" s="42" t="str">
        <f t="shared" si="19"/>
        <v>Half</v>
      </c>
      <c r="H81" s="50">
        <f t="shared" si="19"/>
        <v>10</v>
      </c>
      <c r="I81" s="49">
        <f t="shared" si="19"/>
        <v>160</v>
      </c>
      <c r="J81" s="44">
        <f t="shared" si="19"/>
        <v>8</v>
      </c>
      <c r="K81" s="44">
        <f t="shared" si="19"/>
        <v>8</v>
      </c>
      <c r="L81" s="45">
        <f t="shared" si="19"/>
        <v>0.2</v>
      </c>
      <c r="M81" s="49">
        <v>60</v>
      </c>
      <c r="N81" s="44">
        <f t="shared" si="20"/>
        <v>150</v>
      </c>
      <c r="O81" s="50">
        <f t="shared" si="20"/>
        <v>210</v>
      </c>
    </row>
    <row r="82" spans="1:15" ht="15.75" thickBot="1" x14ac:dyDescent="0.3">
      <c r="A82" s="41">
        <f t="shared" si="18"/>
        <v>930</v>
      </c>
      <c r="B82" s="42">
        <f t="shared" si="18"/>
        <v>72</v>
      </c>
      <c r="C82" s="41" t="s">
        <v>1796</v>
      </c>
      <c r="D82" s="43">
        <f t="shared" si="17"/>
        <v>25</v>
      </c>
      <c r="E82" s="44">
        <f t="shared" si="19"/>
        <v>15</v>
      </c>
      <c r="F82" s="44">
        <f t="shared" si="19"/>
        <v>-9.6</v>
      </c>
      <c r="G82" s="42" t="str">
        <f>G81</f>
        <v>Half</v>
      </c>
      <c r="H82" s="50">
        <f>H81</f>
        <v>10</v>
      </c>
      <c r="I82" s="49">
        <f t="shared" si="19"/>
        <v>160</v>
      </c>
      <c r="J82" s="44">
        <f t="shared" si="19"/>
        <v>8</v>
      </c>
      <c r="K82" s="44">
        <f t="shared" si="19"/>
        <v>8</v>
      </c>
      <c r="L82" s="45">
        <f t="shared" si="19"/>
        <v>0.2</v>
      </c>
      <c r="M82" s="49">
        <v>90</v>
      </c>
      <c r="N82" s="44">
        <f t="shared" si="20"/>
        <v>150</v>
      </c>
      <c r="O82" s="50">
        <f t="shared" si="20"/>
        <v>210</v>
      </c>
    </row>
    <row r="83" spans="1:15" x14ac:dyDescent="0.25">
      <c r="A83" s="41">
        <f t="shared" si="18"/>
        <v>931</v>
      </c>
      <c r="B83" s="42">
        <f t="shared" si="18"/>
        <v>73</v>
      </c>
      <c r="C83" s="24" t="s">
        <v>1797</v>
      </c>
      <c r="D83" s="43">
        <f t="shared" ref="D83:D114" si="21">v_out+2</f>
        <v>27</v>
      </c>
      <c r="E83" s="44">
        <f t="shared" si="19"/>
        <v>15</v>
      </c>
      <c r="F83" s="35">
        <f>720/D83</f>
        <v>26.666666666666668</v>
      </c>
      <c r="G83" s="42" t="str">
        <f>G82</f>
        <v>Half</v>
      </c>
      <c r="H83" s="50">
        <f>H82</f>
        <v>10</v>
      </c>
      <c r="I83" s="49">
        <f>I82</f>
        <v>160</v>
      </c>
      <c r="J83" s="44">
        <f>J82</f>
        <v>8</v>
      </c>
      <c r="K83" s="44">
        <f>yaw_min</f>
        <v>-8</v>
      </c>
      <c r="L83" s="45">
        <f>L82</f>
        <v>0.2</v>
      </c>
      <c r="M83" s="49">
        <v>0</v>
      </c>
      <c r="N83" s="44">
        <f t="shared" si="20"/>
        <v>150</v>
      </c>
      <c r="O83" s="50">
        <f t="shared" si="20"/>
        <v>210</v>
      </c>
    </row>
    <row r="84" spans="1:15" x14ac:dyDescent="0.25">
      <c r="A84" s="41">
        <f t="shared" si="18"/>
        <v>932</v>
      </c>
      <c r="B84" s="42">
        <f t="shared" si="18"/>
        <v>74</v>
      </c>
      <c r="C84" s="41" t="s">
        <v>1798</v>
      </c>
      <c r="D84" s="43">
        <f t="shared" si="21"/>
        <v>27</v>
      </c>
      <c r="E84" s="44">
        <f t="shared" si="19"/>
        <v>15</v>
      </c>
      <c r="F84" s="44">
        <f t="shared" si="19"/>
        <v>26.666666666666668</v>
      </c>
      <c r="G84" s="42" t="str">
        <f t="shared" si="19"/>
        <v>Half</v>
      </c>
      <c r="H84" s="50">
        <f t="shared" si="19"/>
        <v>10</v>
      </c>
      <c r="I84" s="49">
        <f t="shared" si="19"/>
        <v>160</v>
      </c>
      <c r="J84" s="44">
        <f t="shared" si="19"/>
        <v>8</v>
      </c>
      <c r="K84" s="44">
        <f t="shared" si="19"/>
        <v>-8</v>
      </c>
      <c r="L84" s="45">
        <f t="shared" si="19"/>
        <v>0.2</v>
      </c>
      <c r="M84" s="49">
        <v>30</v>
      </c>
      <c r="N84" s="44">
        <f t="shared" si="20"/>
        <v>150</v>
      </c>
      <c r="O84" s="50">
        <f t="shared" si="20"/>
        <v>210</v>
      </c>
    </row>
    <row r="85" spans="1:15" x14ac:dyDescent="0.25">
      <c r="A85" s="41">
        <f t="shared" si="18"/>
        <v>933</v>
      </c>
      <c r="B85" s="42">
        <f t="shared" si="18"/>
        <v>75</v>
      </c>
      <c r="C85" s="41" t="s">
        <v>1799</v>
      </c>
      <c r="D85" s="43">
        <f t="shared" si="21"/>
        <v>27</v>
      </c>
      <c r="E85" s="44">
        <f t="shared" si="19"/>
        <v>15</v>
      </c>
      <c r="F85" s="44">
        <f>F84</f>
        <v>26.666666666666668</v>
      </c>
      <c r="G85" s="42" t="str">
        <f>G84</f>
        <v>Half</v>
      </c>
      <c r="H85" s="50">
        <f t="shared" si="19"/>
        <v>10</v>
      </c>
      <c r="I85" s="49">
        <f t="shared" si="19"/>
        <v>160</v>
      </c>
      <c r="J85" s="44">
        <f t="shared" si="19"/>
        <v>8</v>
      </c>
      <c r="K85" s="44">
        <f t="shared" si="19"/>
        <v>-8</v>
      </c>
      <c r="L85" s="45">
        <f t="shared" si="19"/>
        <v>0.2</v>
      </c>
      <c r="M85" s="49">
        <v>60</v>
      </c>
      <c r="N85" s="44">
        <f t="shared" si="20"/>
        <v>150</v>
      </c>
      <c r="O85" s="50">
        <f t="shared" si="20"/>
        <v>210</v>
      </c>
    </row>
    <row r="86" spans="1:15" x14ac:dyDescent="0.25">
      <c r="A86" s="41">
        <f t="shared" si="18"/>
        <v>934</v>
      </c>
      <c r="B86" s="42">
        <f t="shared" si="18"/>
        <v>76</v>
      </c>
      <c r="C86" s="41" t="s">
        <v>1800</v>
      </c>
      <c r="D86" s="43">
        <f t="shared" si="21"/>
        <v>27</v>
      </c>
      <c r="E86" s="44">
        <f t="shared" si="19"/>
        <v>15</v>
      </c>
      <c r="F86" s="44">
        <f>F85</f>
        <v>26.666666666666668</v>
      </c>
      <c r="G86" s="42" t="str">
        <f>G85</f>
        <v>Half</v>
      </c>
      <c r="H86" s="50">
        <f>H85</f>
        <v>10</v>
      </c>
      <c r="I86" s="49">
        <f t="shared" si="19"/>
        <v>160</v>
      </c>
      <c r="J86" s="44">
        <f t="shared" si="19"/>
        <v>8</v>
      </c>
      <c r="K86" s="44">
        <f t="shared" si="19"/>
        <v>-8</v>
      </c>
      <c r="L86" s="45">
        <f t="shared" si="19"/>
        <v>0.2</v>
      </c>
      <c r="M86" s="49">
        <v>90</v>
      </c>
      <c r="N86" s="44">
        <f t="shared" si="20"/>
        <v>150</v>
      </c>
      <c r="O86" s="50">
        <f t="shared" si="20"/>
        <v>210</v>
      </c>
    </row>
    <row r="87" spans="1:15" x14ac:dyDescent="0.25">
      <c r="A87" s="41">
        <f t="shared" si="18"/>
        <v>935</v>
      </c>
      <c r="B87" s="42">
        <f t="shared" si="18"/>
        <v>77</v>
      </c>
      <c r="C87" s="41" t="s">
        <v>1801</v>
      </c>
      <c r="D87" s="43">
        <f t="shared" si="21"/>
        <v>27</v>
      </c>
      <c r="E87" s="44">
        <f t="shared" si="19"/>
        <v>15</v>
      </c>
      <c r="F87" s="44">
        <f t="shared" si="19"/>
        <v>26.666666666666668</v>
      </c>
      <c r="G87" s="42" t="str">
        <f t="shared" si="19"/>
        <v>Half</v>
      </c>
      <c r="H87" s="50">
        <f t="shared" si="19"/>
        <v>10</v>
      </c>
      <c r="I87" s="49">
        <f t="shared" si="19"/>
        <v>160</v>
      </c>
      <c r="J87" s="44">
        <f t="shared" si="19"/>
        <v>8</v>
      </c>
      <c r="K87" s="44">
        <f>yaw_null</f>
        <v>0</v>
      </c>
      <c r="L87" s="45">
        <f t="shared" si="19"/>
        <v>0.2</v>
      </c>
      <c r="M87" s="49">
        <v>0</v>
      </c>
      <c r="N87" s="44">
        <f t="shared" si="20"/>
        <v>150</v>
      </c>
      <c r="O87" s="50">
        <f t="shared" si="20"/>
        <v>210</v>
      </c>
    </row>
    <row r="88" spans="1:15" x14ac:dyDescent="0.25">
      <c r="A88" s="41">
        <f t="shared" si="18"/>
        <v>936</v>
      </c>
      <c r="B88" s="42">
        <f t="shared" si="18"/>
        <v>78</v>
      </c>
      <c r="C88" s="41" t="s">
        <v>1802</v>
      </c>
      <c r="D88" s="43">
        <f t="shared" si="21"/>
        <v>27</v>
      </c>
      <c r="E88" s="44">
        <f t="shared" si="19"/>
        <v>15</v>
      </c>
      <c r="F88" s="44">
        <f t="shared" si="19"/>
        <v>26.666666666666668</v>
      </c>
      <c r="G88" s="42" t="str">
        <f t="shared" si="19"/>
        <v>Half</v>
      </c>
      <c r="H88" s="50">
        <f t="shared" si="19"/>
        <v>10</v>
      </c>
      <c r="I88" s="49">
        <f t="shared" si="19"/>
        <v>160</v>
      </c>
      <c r="J88" s="44">
        <f t="shared" si="19"/>
        <v>8</v>
      </c>
      <c r="K88" s="44">
        <f t="shared" si="19"/>
        <v>0</v>
      </c>
      <c r="L88" s="45">
        <f t="shared" si="19"/>
        <v>0.2</v>
      </c>
      <c r="M88" s="49">
        <v>30</v>
      </c>
      <c r="N88" s="44">
        <f t="shared" si="20"/>
        <v>150</v>
      </c>
      <c r="O88" s="50">
        <f t="shared" si="20"/>
        <v>210</v>
      </c>
    </row>
    <row r="89" spans="1:15" x14ac:dyDescent="0.25">
      <c r="A89" s="41">
        <f t="shared" si="18"/>
        <v>937</v>
      </c>
      <c r="B89" s="42">
        <f t="shared" si="18"/>
        <v>79</v>
      </c>
      <c r="C89" s="41" t="s">
        <v>1803</v>
      </c>
      <c r="D89" s="43">
        <f t="shared" si="21"/>
        <v>27</v>
      </c>
      <c r="E89" s="44">
        <f t="shared" si="19"/>
        <v>15</v>
      </c>
      <c r="F89" s="44">
        <f t="shared" si="19"/>
        <v>26.666666666666668</v>
      </c>
      <c r="G89" s="42" t="str">
        <f t="shared" si="19"/>
        <v>Half</v>
      </c>
      <c r="H89" s="50">
        <f t="shared" si="19"/>
        <v>10</v>
      </c>
      <c r="I89" s="49">
        <f t="shared" si="19"/>
        <v>160</v>
      </c>
      <c r="J89" s="44">
        <f t="shared" si="19"/>
        <v>8</v>
      </c>
      <c r="K89" s="44">
        <f t="shared" si="19"/>
        <v>0</v>
      </c>
      <c r="L89" s="45">
        <f t="shared" si="19"/>
        <v>0.2</v>
      </c>
      <c r="M89" s="49">
        <v>60</v>
      </c>
      <c r="N89" s="44">
        <f t="shared" si="20"/>
        <v>150</v>
      </c>
      <c r="O89" s="50">
        <f t="shared" si="20"/>
        <v>210</v>
      </c>
    </row>
    <row r="90" spans="1:15" x14ac:dyDescent="0.25">
      <c r="A90" s="41">
        <f t="shared" si="18"/>
        <v>938</v>
      </c>
      <c r="B90" s="42">
        <f t="shared" si="18"/>
        <v>80</v>
      </c>
      <c r="C90" s="41" t="s">
        <v>1804</v>
      </c>
      <c r="D90" s="43">
        <f t="shared" si="21"/>
        <v>27</v>
      </c>
      <c r="E90" s="44">
        <f t="shared" si="19"/>
        <v>15</v>
      </c>
      <c r="F90" s="44">
        <f>F89</f>
        <v>26.666666666666668</v>
      </c>
      <c r="G90" s="42" t="str">
        <f>G89</f>
        <v>Half</v>
      </c>
      <c r="H90" s="50">
        <f t="shared" si="19"/>
        <v>10</v>
      </c>
      <c r="I90" s="49">
        <f t="shared" si="19"/>
        <v>160</v>
      </c>
      <c r="J90" s="44">
        <f t="shared" si="19"/>
        <v>8</v>
      </c>
      <c r="K90" s="44">
        <f t="shared" si="19"/>
        <v>0</v>
      </c>
      <c r="L90" s="45">
        <f t="shared" si="19"/>
        <v>0.2</v>
      </c>
      <c r="M90" s="49">
        <v>90</v>
      </c>
      <c r="N90" s="44">
        <f t="shared" si="20"/>
        <v>150</v>
      </c>
      <c r="O90" s="50">
        <f t="shared" si="20"/>
        <v>210</v>
      </c>
    </row>
    <row r="91" spans="1:15" x14ac:dyDescent="0.25">
      <c r="A91" s="41">
        <f t="shared" si="18"/>
        <v>939</v>
      </c>
      <c r="B91" s="42">
        <f t="shared" si="18"/>
        <v>81</v>
      </c>
      <c r="C91" s="41" t="s">
        <v>1805</v>
      </c>
      <c r="D91" s="43">
        <f t="shared" si="21"/>
        <v>27</v>
      </c>
      <c r="E91" s="44">
        <f t="shared" si="19"/>
        <v>15</v>
      </c>
      <c r="F91" s="44">
        <f t="shared" si="19"/>
        <v>26.666666666666668</v>
      </c>
      <c r="G91" s="42" t="str">
        <f t="shared" si="19"/>
        <v>Half</v>
      </c>
      <c r="H91" s="50">
        <f t="shared" si="19"/>
        <v>10</v>
      </c>
      <c r="I91" s="49">
        <f t="shared" si="19"/>
        <v>160</v>
      </c>
      <c r="J91" s="44">
        <f t="shared" si="19"/>
        <v>8</v>
      </c>
      <c r="K91" s="44">
        <f>yaw_max</f>
        <v>8</v>
      </c>
      <c r="L91" s="45">
        <f t="shared" si="19"/>
        <v>0.2</v>
      </c>
      <c r="M91" s="49">
        <v>0</v>
      </c>
      <c r="N91" s="44">
        <f t="shared" si="20"/>
        <v>150</v>
      </c>
      <c r="O91" s="50">
        <f t="shared" si="20"/>
        <v>210</v>
      </c>
    </row>
    <row r="92" spans="1:15" x14ac:dyDescent="0.25">
      <c r="A92" s="41">
        <f t="shared" ref="A92:B107" si="22">A91+1</f>
        <v>940</v>
      </c>
      <c r="B92" s="42">
        <f t="shared" si="22"/>
        <v>82</v>
      </c>
      <c r="C92" s="41" t="s">
        <v>1806</v>
      </c>
      <c r="D92" s="43">
        <f t="shared" si="21"/>
        <v>27</v>
      </c>
      <c r="E92" s="44">
        <f t="shared" ref="E92:L107" si="23">E91</f>
        <v>15</v>
      </c>
      <c r="F92" s="44">
        <f t="shared" si="23"/>
        <v>26.666666666666668</v>
      </c>
      <c r="G92" s="42" t="str">
        <f t="shared" si="23"/>
        <v>Half</v>
      </c>
      <c r="H92" s="50">
        <f t="shared" si="23"/>
        <v>10</v>
      </c>
      <c r="I92" s="49">
        <f t="shared" si="23"/>
        <v>160</v>
      </c>
      <c r="J92" s="44">
        <f t="shared" si="23"/>
        <v>8</v>
      </c>
      <c r="K92" s="44">
        <f t="shared" si="23"/>
        <v>8</v>
      </c>
      <c r="L92" s="45">
        <f t="shared" si="23"/>
        <v>0.2</v>
      </c>
      <c r="M92" s="49">
        <v>30</v>
      </c>
      <c r="N92" s="44">
        <f t="shared" si="20"/>
        <v>150</v>
      </c>
      <c r="O92" s="50">
        <f t="shared" si="20"/>
        <v>210</v>
      </c>
    </row>
    <row r="93" spans="1:15" x14ac:dyDescent="0.25">
      <c r="A93" s="41">
        <f t="shared" si="22"/>
        <v>941</v>
      </c>
      <c r="B93" s="42">
        <f t="shared" si="22"/>
        <v>83</v>
      </c>
      <c r="C93" s="41" t="s">
        <v>1807</v>
      </c>
      <c r="D93" s="43">
        <f t="shared" si="21"/>
        <v>27</v>
      </c>
      <c r="E93" s="44">
        <f t="shared" si="23"/>
        <v>15</v>
      </c>
      <c r="F93" s="44">
        <f t="shared" si="23"/>
        <v>26.666666666666668</v>
      </c>
      <c r="G93" s="42" t="str">
        <f t="shared" si="23"/>
        <v>Half</v>
      </c>
      <c r="H93" s="50">
        <f t="shared" si="23"/>
        <v>10</v>
      </c>
      <c r="I93" s="49">
        <f t="shared" si="23"/>
        <v>160</v>
      </c>
      <c r="J93" s="44">
        <f t="shared" si="23"/>
        <v>8</v>
      </c>
      <c r="K93" s="44">
        <f t="shared" si="23"/>
        <v>8</v>
      </c>
      <c r="L93" s="45">
        <f t="shared" si="23"/>
        <v>0.2</v>
      </c>
      <c r="M93" s="49">
        <v>60</v>
      </c>
      <c r="N93" s="44">
        <f t="shared" ref="N93:O108" si="24">N92</f>
        <v>150</v>
      </c>
      <c r="O93" s="50">
        <f t="shared" si="24"/>
        <v>210</v>
      </c>
    </row>
    <row r="94" spans="1:15" x14ac:dyDescent="0.25">
      <c r="A94" s="41">
        <f t="shared" si="22"/>
        <v>942</v>
      </c>
      <c r="B94" s="42">
        <f t="shared" si="22"/>
        <v>84</v>
      </c>
      <c r="C94" s="41" t="s">
        <v>1808</v>
      </c>
      <c r="D94" s="43">
        <f t="shared" si="21"/>
        <v>27</v>
      </c>
      <c r="E94" s="44">
        <f t="shared" si="23"/>
        <v>15</v>
      </c>
      <c r="F94" s="44">
        <f t="shared" si="23"/>
        <v>26.666666666666668</v>
      </c>
      <c r="G94" s="42" t="str">
        <f t="shared" si="23"/>
        <v>Half</v>
      </c>
      <c r="H94" s="50">
        <f t="shared" si="23"/>
        <v>10</v>
      </c>
      <c r="I94" s="49">
        <f t="shared" si="23"/>
        <v>160</v>
      </c>
      <c r="J94" s="44">
        <f t="shared" si="23"/>
        <v>8</v>
      </c>
      <c r="K94" s="44">
        <f t="shared" si="23"/>
        <v>8</v>
      </c>
      <c r="L94" s="45">
        <f t="shared" si="23"/>
        <v>0.2</v>
      </c>
      <c r="M94" s="49">
        <v>90</v>
      </c>
      <c r="N94" s="44">
        <f t="shared" si="24"/>
        <v>150</v>
      </c>
      <c r="O94" s="50">
        <f t="shared" si="24"/>
        <v>210</v>
      </c>
    </row>
    <row r="95" spans="1:15" x14ac:dyDescent="0.25">
      <c r="A95" s="41">
        <f t="shared" si="22"/>
        <v>943</v>
      </c>
      <c r="B95" s="42">
        <f t="shared" si="22"/>
        <v>85</v>
      </c>
      <c r="C95" s="41" t="s">
        <v>1809</v>
      </c>
      <c r="D95" s="43">
        <f t="shared" si="21"/>
        <v>27</v>
      </c>
      <c r="E95" s="44">
        <f t="shared" si="23"/>
        <v>15</v>
      </c>
      <c r="F95" s="44">
        <f>-720/D95</f>
        <v>-26.666666666666668</v>
      </c>
      <c r="G95" s="42" t="str">
        <f t="shared" si="23"/>
        <v>Half</v>
      </c>
      <c r="H95" s="50">
        <f t="shared" si="23"/>
        <v>10</v>
      </c>
      <c r="I95" s="49">
        <f t="shared" si="23"/>
        <v>160</v>
      </c>
      <c r="J95" s="44">
        <f t="shared" si="23"/>
        <v>8</v>
      </c>
      <c r="K95" s="44">
        <f>yaw_min</f>
        <v>-8</v>
      </c>
      <c r="L95" s="45">
        <f t="shared" si="23"/>
        <v>0.2</v>
      </c>
      <c r="M95" s="49">
        <v>0</v>
      </c>
      <c r="N95" s="44">
        <f t="shared" si="24"/>
        <v>150</v>
      </c>
      <c r="O95" s="50">
        <f t="shared" si="24"/>
        <v>210</v>
      </c>
    </row>
    <row r="96" spans="1:15" x14ac:dyDescent="0.25">
      <c r="A96" s="41">
        <f t="shared" si="22"/>
        <v>944</v>
      </c>
      <c r="B96" s="42">
        <f t="shared" si="22"/>
        <v>86</v>
      </c>
      <c r="C96" s="41" t="s">
        <v>1810</v>
      </c>
      <c r="D96" s="43">
        <f t="shared" si="21"/>
        <v>27</v>
      </c>
      <c r="E96" s="44">
        <f t="shared" si="23"/>
        <v>15</v>
      </c>
      <c r="F96" s="44">
        <f t="shared" si="23"/>
        <v>-26.666666666666668</v>
      </c>
      <c r="G96" s="42" t="str">
        <f t="shared" si="23"/>
        <v>Half</v>
      </c>
      <c r="H96" s="50">
        <f t="shared" si="23"/>
        <v>10</v>
      </c>
      <c r="I96" s="49">
        <f t="shared" si="23"/>
        <v>160</v>
      </c>
      <c r="J96" s="44">
        <f t="shared" si="23"/>
        <v>8</v>
      </c>
      <c r="K96" s="44">
        <f t="shared" si="23"/>
        <v>-8</v>
      </c>
      <c r="L96" s="45">
        <f t="shared" si="23"/>
        <v>0.2</v>
      </c>
      <c r="M96" s="49">
        <v>30</v>
      </c>
      <c r="N96" s="44">
        <f t="shared" si="24"/>
        <v>150</v>
      </c>
      <c r="O96" s="50">
        <f t="shared" si="24"/>
        <v>210</v>
      </c>
    </row>
    <row r="97" spans="1:15" x14ac:dyDescent="0.25">
      <c r="A97" s="41">
        <f t="shared" si="22"/>
        <v>945</v>
      </c>
      <c r="B97" s="42">
        <f t="shared" si="22"/>
        <v>87</v>
      </c>
      <c r="C97" s="41" t="s">
        <v>1811</v>
      </c>
      <c r="D97" s="43">
        <f t="shared" si="21"/>
        <v>27</v>
      </c>
      <c r="E97" s="44">
        <f t="shared" si="23"/>
        <v>15</v>
      </c>
      <c r="F97" s="44">
        <f t="shared" si="23"/>
        <v>-26.666666666666668</v>
      </c>
      <c r="G97" s="42" t="str">
        <f t="shared" si="23"/>
        <v>Half</v>
      </c>
      <c r="H97" s="50">
        <f t="shared" si="23"/>
        <v>10</v>
      </c>
      <c r="I97" s="49">
        <f t="shared" si="23"/>
        <v>160</v>
      </c>
      <c r="J97" s="44">
        <f t="shared" si="23"/>
        <v>8</v>
      </c>
      <c r="K97" s="44">
        <f t="shared" si="23"/>
        <v>-8</v>
      </c>
      <c r="L97" s="45">
        <f t="shared" si="23"/>
        <v>0.2</v>
      </c>
      <c r="M97" s="49">
        <v>60</v>
      </c>
      <c r="N97" s="44">
        <f t="shared" si="24"/>
        <v>150</v>
      </c>
      <c r="O97" s="50">
        <f t="shared" si="24"/>
        <v>210</v>
      </c>
    </row>
    <row r="98" spans="1:15" x14ac:dyDescent="0.25">
      <c r="A98" s="41">
        <f t="shared" si="22"/>
        <v>946</v>
      </c>
      <c r="B98" s="42">
        <f t="shared" si="22"/>
        <v>88</v>
      </c>
      <c r="C98" s="41" t="s">
        <v>1812</v>
      </c>
      <c r="D98" s="43">
        <f t="shared" si="21"/>
        <v>27</v>
      </c>
      <c r="E98" s="44">
        <f t="shared" si="23"/>
        <v>15</v>
      </c>
      <c r="F98" s="44">
        <f t="shared" si="23"/>
        <v>-26.666666666666668</v>
      </c>
      <c r="G98" s="42" t="str">
        <f t="shared" si="23"/>
        <v>Half</v>
      </c>
      <c r="H98" s="50">
        <f t="shared" si="23"/>
        <v>10</v>
      </c>
      <c r="I98" s="49">
        <f t="shared" si="23"/>
        <v>160</v>
      </c>
      <c r="J98" s="44">
        <f t="shared" si="23"/>
        <v>8</v>
      </c>
      <c r="K98" s="44">
        <f t="shared" si="23"/>
        <v>-8</v>
      </c>
      <c r="L98" s="45">
        <f t="shared" si="23"/>
        <v>0.2</v>
      </c>
      <c r="M98" s="49">
        <v>90</v>
      </c>
      <c r="N98" s="44">
        <f t="shared" si="24"/>
        <v>150</v>
      </c>
      <c r="O98" s="50">
        <f t="shared" si="24"/>
        <v>210</v>
      </c>
    </row>
    <row r="99" spans="1:15" x14ac:dyDescent="0.25">
      <c r="A99" s="41">
        <f t="shared" si="22"/>
        <v>947</v>
      </c>
      <c r="B99" s="42">
        <f t="shared" si="22"/>
        <v>89</v>
      </c>
      <c r="C99" s="41" t="s">
        <v>1813</v>
      </c>
      <c r="D99" s="43">
        <f t="shared" si="21"/>
        <v>27</v>
      </c>
      <c r="E99" s="44">
        <f t="shared" si="23"/>
        <v>15</v>
      </c>
      <c r="F99" s="44">
        <f t="shared" si="23"/>
        <v>-26.666666666666668</v>
      </c>
      <c r="G99" s="42" t="s">
        <v>12</v>
      </c>
      <c r="H99" s="50">
        <v>10</v>
      </c>
      <c r="I99" s="49">
        <f t="shared" si="23"/>
        <v>160</v>
      </c>
      <c r="J99" s="44">
        <f t="shared" si="23"/>
        <v>8</v>
      </c>
      <c r="K99" s="44">
        <f>yaw_null</f>
        <v>0</v>
      </c>
      <c r="L99" s="45">
        <f t="shared" si="23"/>
        <v>0.2</v>
      </c>
      <c r="M99" s="49">
        <v>0</v>
      </c>
      <c r="N99" s="44">
        <f t="shared" si="24"/>
        <v>150</v>
      </c>
      <c r="O99" s="50">
        <f t="shared" si="24"/>
        <v>210</v>
      </c>
    </row>
    <row r="100" spans="1:15" x14ac:dyDescent="0.25">
      <c r="A100" s="41">
        <f t="shared" si="22"/>
        <v>948</v>
      </c>
      <c r="B100" s="42">
        <f t="shared" si="22"/>
        <v>90</v>
      </c>
      <c r="C100" s="41" t="s">
        <v>1814</v>
      </c>
      <c r="D100" s="43">
        <f t="shared" si="21"/>
        <v>27</v>
      </c>
      <c r="E100" s="44">
        <f t="shared" si="23"/>
        <v>15</v>
      </c>
      <c r="F100" s="44">
        <f t="shared" si="23"/>
        <v>-26.666666666666668</v>
      </c>
      <c r="G100" s="42" t="str">
        <f t="shared" si="23"/>
        <v>Half</v>
      </c>
      <c r="H100" s="50">
        <f t="shared" si="23"/>
        <v>10</v>
      </c>
      <c r="I100" s="49">
        <f t="shared" si="23"/>
        <v>160</v>
      </c>
      <c r="J100" s="44">
        <f t="shared" si="23"/>
        <v>8</v>
      </c>
      <c r="K100" s="44">
        <f t="shared" si="23"/>
        <v>0</v>
      </c>
      <c r="L100" s="45">
        <f t="shared" si="23"/>
        <v>0.2</v>
      </c>
      <c r="M100" s="49">
        <v>30</v>
      </c>
      <c r="N100" s="44">
        <f t="shared" si="24"/>
        <v>150</v>
      </c>
      <c r="O100" s="50">
        <f t="shared" si="24"/>
        <v>210</v>
      </c>
    </row>
    <row r="101" spans="1:15" x14ac:dyDescent="0.25">
      <c r="A101" s="41">
        <f t="shared" si="22"/>
        <v>949</v>
      </c>
      <c r="B101" s="42">
        <f t="shared" si="22"/>
        <v>91</v>
      </c>
      <c r="C101" s="41" t="s">
        <v>1815</v>
      </c>
      <c r="D101" s="43">
        <f t="shared" si="21"/>
        <v>27</v>
      </c>
      <c r="E101" s="44">
        <f t="shared" si="23"/>
        <v>15</v>
      </c>
      <c r="F101" s="44">
        <f t="shared" si="23"/>
        <v>-26.666666666666668</v>
      </c>
      <c r="G101" s="42" t="str">
        <f t="shared" si="23"/>
        <v>Half</v>
      </c>
      <c r="H101" s="50">
        <f t="shared" si="23"/>
        <v>10</v>
      </c>
      <c r="I101" s="49">
        <f t="shared" si="23"/>
        <v>160</v>
      </c>
      <c r="J101" s="44">
        <f t="shared" si="23"/>
        <v>8</v>
      </c>
      <c r="K101" s="44">
        <f t="shared" si="23"/>
        <v>0</v>
      </c>
      <c r="L101" s="45">
        <f>L100</f>
        <v>0.2</v>
      </c>
      <c r="M101" s="49">
        <v>60</v>
      </c>
      <c r="N101" s="44">
        <f t="shared" si="24"/>
        <v>150</v>
      </c>
      <c r="O101" s="50">
        <f t="shared" si="24"/>
        <v>210</v>
      </c>
    </row>
    <row r="102" spans="1:15" x14ac:dyDescent="0.25">
      <c r="A102" s="41">
        <f t="shared" si="22"/>
        <v>950</v>
      </c>
      <c r="B102" s="42">
        <f t="shared" si="22"/>
        <v>92</v>
      </c>
      <c r="C102" s="41" t="s">
        <v>1816</v>
      </c>
      <c r="D102" s="43">
        <f t="shared" si="21"/>
        <v>27</v>
      </c>
      <c r="E102" s="44">
        <f t="shared" si="23"/>
        <v>15</v>
      </c>
      <c r="F102" s="44">
        <f t="shared" si="23"/>
        <v>-26.666666666666668</v>
      </c>
      <c r="G102" s="42" t="str">
        <f t="shared" si="23"/>
        <v>Half</v>
      </c>
      <c r="H102" s="50">
        <f t="shared" si="23"/>
        <v>10</v>
      </c>
      <c r="I102" s="49">
        <f t="shared" si="23"/>
        <v>160</v>
      </c>
      <c r="J102" s="44">
        <f t="shared" si="23"/>
        <v>8</v>
      </c>
      <c r="K102" s="44">
        <f t="shared" si="23"/>
        <v>0</v>
      </c>
      <c r="L102" s="45">
        <f>L101</f>
        <v>0.2</v>
      </c>
      <c r="M102" s="49">
        <v>90</v>
      </c>
      <c r="N102" s="44">
        <f t="shared" si="24"/>
        <v>150</v>
      </c>
      <c r="O102" s="50">
        <f t="shared" si="24"/>
        <v>210</v>
      </c>
    </row>
    <row r="103" spans="1:15" x14ac:dyDescent="0.25">
      <c r="A103" s="41">
        <f t="shared" si="22"/>
        <v>951</v>
      </c>
      <c r="B103" s="42">
        <f t="shared" si="22"/>
        <v>93</v>
      </c>
      <c r="C103" s="41" t="s">
        <v>1817</v>
      </c>
      <c r="D103" s="43">
        <f t="shared" si="21"/>
        <v>27</v>
      </c>
      <c r="E103" s="44">
        <f t="shared" si="23"/>
        <v>15</v>
      </c>
      <c r="F103" s="44">
        <f t="shared" si="23"/>
        <v>-26.666666666666668</v>
      </c>
      <c r="G103" s="42" t="str">
        <f t="shared" si="23"/>
        <v>Half</v>
      </c>
      <c r="H103" s="50">
        <f t="shared" si="23"/>
        <v>10</v>
      </c>
      <c r="I103" s="49">
        <f t="shared" si="23"/>
        <v>160</v>
      </c>
      <c r="J103" s="44">
        <f t="shared" si="23"/>
        <v>8</v>
      </c>
      <c r="K103" s="44">
        <f>yaw_max</f>
        <v>8</v>
      </c>
      <c r="L103" s="45">
        <f t="shared" ref="L103:L149" si="25">L102</f>
        <v>0.2</v>
      </c>
      <c r="M103" s="49">
        <v>0</v>
      </c>
      <c r="N103" s="44">
        <f t="shared" si="24"/>
        <v>150</v>
      </c>
      <c r="O103" s="50">
        <f t="shared" si="24"/>
        <v>210</v>
      </c>
    </row>
    <row r="104" spans="1:15" x14ac:dyDescent="0.25">
      <c r="A104" s="41">
        <f t="shared" si="22"/>
        <v>952</v>
      </c>
      <c r="B104" s="42">
        <f t="shared" si="22"/>
        <v>94</v>
      </c>
      <c r="C104" s="41" t="s">
        <v>1818</v>
      </c>
      <c r="D104" s="43">
        <f t="shared" si="21"/>
        <v>27</v>
      </c>
      <c r="E104" s="44">
        <f t="shared" si="23"/>
        <v>15</v>
      </c>
      <c r="F104" s="44">
        <f t="shared" si="23"/>
        <v>-26.666666666666668</v>
      </c>
      <c r="G104" s="42" t="str">
        <f t="shared" si="23"/>
        <v>Half</v>
      </c>
      <c r="H104" s="50">
        <f t="shared" si="23"/>
        <v>10</v>
      </c>
      <c r="I104" s="49">
        <f t="shared" si="23"/>
        <v>160</v>
      </c>
      <c r="J104" s="44">
        <f t="shared" si="23"/>
        <v>8</v>
      </c>
      <c r="K104" s="44">
        <f t="shared" si="23"/>
        <v>8</v>
      </c>
      <c r="L104" s="45">
        <f t="shared" si="25"/>
        <v>0.2</v>
      </c>
      <c r="M104" s="49">
        <v>30</v>
      </c>
      <c r="N104" s="44">
        <f t="shared" si="24"/>
        <v>150</v>
      </c>
      <c r="O104" s="50">
        <f t="shared" si="24"/>
        <v>210</v>
      </c>
    </row>
    <row r="105" spans="1:15" x14ac:dyDescent="0.25">
      <c r="A105" s="41">
        <f t="shared" si="22"/>
        <v>953</v>
      </c>
      <c r="B105" s="42">
        <f t="shared" si="22"/>
        <v>95</v>
      </c>
      <c r="C105" s="41" t="s">
        <v>1819</v>
      </c>
      <c r="D105" s="43">
        <f t="shared" si="21"/>
        <v>27</v>
      </c>
      <c r="E105" s="44">
        <f t="shared" si="23"/>
        <v>15</v>
      </c>
      <c r="F105" s="44">
        <f t="shared" si="23"/>
        <v>-26.666666666666668</v>
      </c>
      <c r="G105" s="42" t="str">
        <f t="shared" si="23"/>
        <v>Half</v>
      </c>
      <c r="H105" s="50">
        <f t="shared" si="23"/>
        <v>10</v>
      </c>
      <c r="I105" s="49">
        <f t="shared" si="23"/>
        <v>160</v>
      </c>
      <c r="J105" s="44">
        <f t="shared" si="23"/>
        <v>8</v>
      </c>
      <c r="K105" s="44">
        <f t="shared" si="23"/>
        <v>8</v>
      </c>
      <c r="L105" s="45">
        <f t="shared" si="25"/>
        <v>0.2</v>
      </c>
      <c r="M105" s="49">
        <v>60</v>
      </c>
      <c r="N105" s="44">
        <f t="shared" si="24"/>
        <v>150</v>
      </c>
      <c r="O105" s="50">
        <f t="shared" si="24"/>
        <v>210</v>
      </c>
    </row>
    <row r="106" spans="1:15" ht="15.75" thickBot="1" x14ac:dyDescent="0.3">
      <c r="A106" s="41">
        <f t="shared" si="22"/>
        <v>954</v>
      </c>
      <c r="B106" s="42">
        <f t="shared" si="22"/>
        <v>96</v>
      </c>
      <c r="C106" s="41" t="s">
        <v>1820</v>
      </c>
      <c r="D106" s="43">
        <f t="shared" si="21"/>
        <v>27</v>
      </c>
      <c r="E106" s="44">
        <f t="shared" si="23"/>
        <v>15</v>
      </c>
      <c r="F106" s="44">
        <f t="shared" si="23"/>
        <v>-26.666666666666668</v>
      </c>
      <c r="G106" s="42" t="str">
        <f t="shared" si="23"/>
        <v>Half</v>
      </c>
      <c r="H106" s="50">
        <f t="shared" si="23"/>
        <v>10</v>
      </c>
      <c r="I106" s="49">
        <f t="shared" si="23"/>
        <v>160</v>
      </c>
      <c r="J106" s="44">
        <f t="shared" si="23"/>
        <v>8</v>
      </c>
      <c r="K106" s="44">
        <f t="shared" si="23"/>
        <v>8</v>
      </c>
      <c r="L106" s="45">
        <f t="shared" si="25"/>
        <v>0.2</v>
      </c>
      <c r="M106" s="49">
        <v>90</v>
      </c>
      <c r="N106" s="44">
        <f t="shared" si="24"/>
        <v>150</v>
      </c>
      <c r="O106" s="50">
        <f t="shared" si="24"/>
        <v>210</v>
      </c>
    </row>
    <row r="107" spans="1:15" x14ac:dyDescent="0.25">
      <c r="A107" s="41">
        <f t="shared" si="22"/>
        <v>955</v>
      </c>
      <c r="B107" s="42">
        <f t="shared" si="22"/>
        <v>97</v>
      </c>
      <c r="C107" s="24" t="s">
        <v>1821</v>
      </c>
      <c r="D107" s="43">
        <f t="shared" si="21"/>
        <v>27</v>
      </c>
      <c r="E107" s="44">
        <f t="shared" si="23"/>
        <v>15</v>
      </c>
      <c r="F107" s="44">
        <f>720/D107/3*2</f>
        <v>17.777777777777779</v>
      </c>
      <c r="G107" s="42" t="str">
        <f t="shared" si="23"/>
        <v>Half</v>
      </c>
      <c r="H107" s="50">
        <f t="shared" si="23"/>
        <v>10</v>
      </c>
      <c r="I107" s="49">
        <f t="shared" si="23"/>
        <v>160</v>
      </c>
      <c r="J107" s="44">
        <f t="shared" si="23"/>
        <v>8</v>
      </c>
      <c r="K107" s="44">
        <f>yaw_min</f>
        <v>-8</v>
      </c>
      <c r="L107" s="45">
        <f t="shared" si="25"/>
        <v>0.2</v>
      </c>
      <c r="M107" s="49">
        <v>0</v>
      </c>
      <c r="N107" s="44">
        <f t="shared" si="24"/>
        <v>150</v>
      </c>
      <c r="O107" s="50">
        <f t="shared" si="24"/>
        <v>210</v>
      </c>
    </row>
    <row r="108" spans="1:15" x14ac:dyDescent="0.25">
      <c r="A108" s="41">
        <f t="shared" ref="A108:B123" si="26">A107+1</f>
        <v>956</v>
      </c>
      <c r="B108" s="42">
        <f t="shared" si="26"/>
        <v>98</v>
      </c>
      <c r="C108" s="41" t="s">
        <v>1822</v>
      </c>
      <c r="D108" s="43">
        <f t="shared" si="21"/>
        <v>27</v>
      </c>
      <c r="E108" s="44">
        <f t="shared" ref="E108:K123" si="27">E107</f>
        <v>15</v>
      </c>
      <c r="F108" s="44">
        <f>F107</f>
        <v>17.777777777777779</v>
      </c>
      <c r="G108" s="42" t="str">
        <f t="shared" si="27"/>
        <v>Half</v>
      </c>
      <c r="H108" s="50">
        <f t="shared" si="27"/>
        <v>10</v>
      </c>
      <c r="I108" s="49">
        <f t="shared" si="27"/>
        <v>160</v>
      </c>
      <c r="J108" s="44">
        <f t="shared" si="27"/>
        <v>8</v>
      </c>
      <c r="K108" s="44">
        <f t="shared" si="27"/>
        <v>-8</v>
      </c>
      <c r="L108" s="45">
        <f t="shared" si="25"/>
        <v>0.2</v>
      </c>
      <c r="M108" s="49">
        <v>30</v>
      </c>
      <c r="N108" s="44">
        <f t="shared" si="24"/>
        <v>150</v>
      </c>
      <c r="O108" s="50">
        <f t="shared" si="24"/>
        <v>210</v>
      </c>
    </row>
    <row r="109" spans="1:15" x14ac:dyDescent="0.25">
      <c r="A109" s="41">
        <f t="shared" si="26"/>
        <v>957</v>
      </c>
      <c r="B109" s="42">
        <f t="shared" si="26"/>
        <v>99</v>
      </c>
      <c r="C109" s="41" t="s">
        <v>1823</v>
      </c>
      <c r="D109" s="43">
        <f t="shared" si="21"/>
        <v>27</v>
      </c>
      <c r="E109" s="44">
        <f t="shared" si="27"/>
        <v>15</v>
      </c>
      <c r="F109" s="44">
        <f>F108</f>
        <v>17.777777777777779</v>
      </c>
      <c r="G109" s="42" t="str">
        <f t="shared" si="27"/>
        <v>Half</v>
      </c>
      <c r="H109" s="50">
        <f t="shared" si="27"/>
        <v>10</v>
      </c>
      <c r="I109" s="49">
        <f t="shared" si="27"/>
        <v>160</v>
      </c>
      <c r="J109" s="44">
        <f t="shared" si="27"/>
        <v>8</v>
      </c>
      <c r="K109" s="44">
        <f t="shared" si="27"/>
        <v>-8</v>
      </c>
      <c r="L109" s="45">
        <f t="shared" si="25"/>
        <v>0.2</v>
      </c>
      <c r="M109" s="49">
        <v>60</v>
      </c>
      <c r="N109" s="44">
        <f t="shared" ref="N109:O124" si="28">N108</f>
        <v>150</v>
      </c>
      <c r="O109" s="50">
        <f t="shared" si="28"/>
        <v>210</v>
      </c>
    </row>
    <row r="110" spans="1:15" x14ac:dyDescent="0.25">
      <c r="A110" s="41">
        <f t="shared" si="26"/>
        <v>958</v>
      </c>
      <c r="B110" s="42">
        <f t="shared" si="26"/>
        <v>100</v>
      </c>
      <c r="C110" s="41" t="s">
        <v>1824</v>
      </c>
      <c r="D110" s="43">
        <f t="shared" si="21"/>
        <v>27</v>
      </c>
      <c r="E110" s="44">
        <f t="shared" si="27"/>
        <v>15</v>
      </c>
      <c r="F110" s="44">
        <f>F109</f>
        <v>17.777777777777779</v>
      </c>
      <c r="G110" s="42" t="str">
        <f t="shared" si="27"/>
        <v>Half</v>
      </c>
      <c r="H110" s="50">
        <f t="shared" si="27"/>
        <v>10</v>
      </c>
      <c r="I110" s="49">
        <f t="shared" si="27"/>
        <v>160</v>
      </c>
      <c r="J110" s="44">
        <f t="shared" si="27"/>
        <v>8</v>
      </c>
      <c r="K110" s="44">
        <f t="shared" si="27"/>
        <v>-8</v>
      </c>
      <c r="L110" s="45">
        <f t="shared" si="25"/>
        <v>0.2</v>
      </c>
      <c r="M110" s="49">
        <v>90</v>
      </c>
      <c r="N110" s="44">
        <f t="shared" si="28"/>
        <v>150</v>
      </c>
      <c r="O110" s="50">
        <f t="shared" si="28"/>
        <v>210</v>
      </c>
    </row>
    <row r="111" spans="1:15" x14ac:dyDescent="0.25">
      <c r="A111" s="41">
        <f t="shared" si="26"/>
        <v>959</v>
      </c>
      <c r="B111" s="42">
        <f t="shared" si="26"/>
        <v>101</v>
      </c>
      <c r="C111" s="41" t="s">
        <v>1825</v>
      </c>
      <c r="D111" s="43">
        <f t="shared" si="21"/>
        <v>27</v>
      </c>
      <c r="E111" s="44">
        <f t="shared" si="27"/>
        <v>15</v>
      </c>
      <c r="F111" s="44">
        <f>F110</f>
        <v>17.777777777777779</v>
      </c>
      <c r="G111" s="42" t="str">
        <f t="shared" si="27"/>
        <v>Half</v>
      </c>
      <c r="H111" s="50">
        <f t="shared" si="27"/>
        <v>10</v>
      </c>
      <c r="I111" s="49">
        <f t="shared" si="27"/>
        <v>160</v>
      </c>
      <c r="J111" s="44">
        <f t="shared" si="27"/>
        <v>8</v>
      </c>
      <c r="K111" s="44">
        <f>yaw_null</f>
        <v>0</v>
      </c>
      <c r="L111" s="45">
        <f t="shared" si="25"/>
        <v>0.2</v>
      </c>
      <c r="M111" s="49">
        <v>0</v>
      </c>
      <c r="N111" s="44">
        <f t="shared" si="28"/>
        <v>150</v>
      </c>
      <c r="O111" s="50">
        <f t="shared" si="28"/>
        <v>210</v>
      </c>
    </row>
    <row r="112" spans="1:15" x14ac:dyDescent="0.25">
      <c r="A112" s="41">
        <f t="shared" si="26"/>
        <v>960</v>
      </c>
      <c r="B112" s="42">
        <f t="shared" si="26"/>
        <v>102</v>
      </c>
      <c r="C112" s="41" t="s">
        <v>1826</v>
      </c>
      <c r="D112" s="43">
        <f t="shared" si="21"/>
        <v>27</v>
      </c>
      <c r="E112" s="44">
        <f t="shared" si="27"/>
        <v>15</v>
      </c>
      <c r="F112" s="44">
        <f t="shared" si="27"/>
        <v>17.777777777777779</v>
      </c>
      <c r="G112" s="42" t="str">
        <f t="shared" si="27"/>
        <v>Half</v>
      </c>
      <c r="H112" s="50">
        <f t="shared" si="27"/>
        <v>10</v>
      </c>
      <c r="I112" s="49">
        <f t="shared" si="27"/>
        <v>160</v>
      </c>
      <c r="J112" s="44">
        <f t="shared" si="27"/>
        <v>8</v>
      </c>
      <c r="K112" s="44">
        <f t="shared" si="27"/>
        <v>0</v>
      </c>
      <c r="L112" s="45">
        <f t="shared" si="25"/>
        <v>0.2</v>
      </c>
      <c r="M112" s="49">
        <v>30</v>
      </c>
      <c r="N112" s="44">
        <f t="shared" si="28"/>
        <v>150</v>
      </c>
      <c r="O112" s="50">
        <f t="shared" si="28"/>
        <v>210</v>
      </c>
    </row>
    <row r="113" spans="1:15" x14ac:dyDescent="0.25">
      <c r="A113" s="41">
        <f t="shared" si="26"/>
        <v>961</v>
      </c>
      <c r="B113" s="42">
        <f t="shared" si="26"/>
        <v>103</v>
      </c>
      <c r="C113" s="41" t="s">
        <v>1827</v>
      </c>
      <c r="D113" s="43">
        <f t="shared" si="21"/>
        <v>27</v>
      </c>
      <c r="E113" s="44">
        <f t="shared" si="27"/>
        <v>15</v>
      </c>
      <c r="F113" s="44">
        <f t="shared" si="27"/>
        <v>17.777777777777779</v>
      </c>
      <c r="G113" s="42" t="str">
        <f t="shared" si="27"/>
        <v>Half</v>
      </c>
      <c r="H113" s="50">
        <f t="shared" si="27"/>
        <v>10</v>
      </c>
      <c r="I113" s="49">
        <f t="shared" si="27"/>
        <v>160</v>
      </c>
      <c r="J113" s="44">
        <f t="shared" si="27"/>
        <v>8</v>
      </c>
      <c r="K113" s="44">
        <f t="shared" si="27"/>
        <v>0</v>
      </c>
      <c r="L113" s="45">
        <f t="shared" si="25"/>
        <v>0.2</v>
      </c>
      <c r="M113" s="49">
        <v>60</v>
      </c>
      <c r="N113" s="44">
        <f t="shared" si="28"/>
        <v>150</v>
      </c>
      <c r="O113" s="50">
        <f t="shared" si="28"/>
        <v>210</v>
      </c>
    </row>
    <row r="114" spans="1:15" x14ac:dyDescent="0.25">
      <c r="A114" s="41">
        <f t="shared" si="26"/>
        <v>962</v>
      </c>
      <c r="B114" s="42">
        <f t="shared" si="26"/>
        <v>104</v>
      </c>
      <c r="C114" s="41" t="s">
        <v>1828</v>
      </c>
      <c r="D114" s="43">
        <f t="shared" si="21"/>
        <v>27</v>
      </c>
      <c r="E114" s="44">
        <f t="shared" si="27"/>
        <v>15</v>
      </c>
      <c r="F114" s="44">
        <f t="shared" si="27"/>
        <v>17.777777777777779</v>
      </c>
      <c r="G114" s="42" t="str">
        <f t="shared" si="27"/>
        <v>Half</v>
      </c>
      <c r="H114" s="50">
        <f t="shared" si="27"/>
        <v>10</v>
      </c>
      <c r="I114" s="49">
        <f t="shared" si="27"/>
        <v>160</v>
      </c>
      <c r="J114" s="44">
        <f t="shared" si="27"/>
        <v>8</v>
      </c>
      <c r="K114" s="44">
        <f t="shared" si="27"/>
        <v>0</v>
      </c>
      <c r="L114" s="45">
        <f t="shared" si="25"/>
        <v>0.2</v>
      </c>
      <c r="M114" s="49">
        <v>90</v>
      </c>
      <c r="N114" s="44">
        <f t="shared" si="28"/>
        <v>150</v>
      </c>
      <c r="O114" s="50">
        <f t="shared" si="28"/>
        <v>210</v>
      </c>
    </row>
    <row r="115" spans="1:15" x14ac:dyDescent="0.25">
      <c r="A115" s="41">
        <f t="shared" si="26"/>
        <v>963</v>
      </c>
      <c r="B115" s="42">
        <f t="shared" si="26"/>
        <v>105</v>
      </c>
      <c r="C115" s="41" t="s">
        <v>1829</v>
      </c>
      <c r="D115" s="43">
        <f t="shared" ref="D115:D146" si="29">v_out+2</f>
        <v>27</v>
      </c>
      <c r="E115" s="44">
        <f t="shared" si="27"/>
        <v>15</v>
      </c>
      <c r="F115" s="44">
        <f t="shared" si="27"/>
        <v>17.777777777777779</v>
      </c>
      <c r="G115" s="42" t="s">
        <v>12</v>
      </c>
      <c r="H115" s="50">
        <v>10</v>
      </c>
      <c r="I115" s="49">
        <f t="shared" si="27"/>
        <v>160</v>
      </c>
      <c r="J115" s="44">
        <f t="shared" si="27"/>
        <v>8</v>
      </c>
      <c r="K115" s="44">
        <f>yaw_max</f>
        <v>8</v>
      </c>
      <c r="L115" s="45">
        <f t="shared" si="25"/>
        <v>0.2</v>
      </c>
      <c r="M115" s="49">
        <v>0</v>
      </c>
      <c r="N115" s="44">
        <f t="shared" si="28"/>
        <v>150</v>
      </c>
      <c r="O115" s="50">
        <f t="shared" si="28"/>
        <v>210</v>
      </c>
    </row>
    <row r="116" spans="1:15" x14ac:dyDescent="0.25">
      <c r="A116" s="41">
        <f t="shared" si="26"/>
        <v>964</v>
      </c>
      <c r="B116" s="42">
        <f t="shared" si="26"/>
        <v>106</v>
      </c>
      <c r="C116" s="41" t="s">
        <v>1830</v>
      </c>
      <c r="D116" s="43">
        <f t="shared" si="29"/>
        <v>27</v>
      </c>
      <c r="E116" s="44">
        <f t="shared" si="27"/>
        <v>15</v>
      </c>
      <c r="F116" s="44">
        <f t="shared" si="27"/>
        <v>17.777777777777779</v>
      </c>
      <c r="G116" s="42" t="str">
        <f t="shared" si="27"/>
        <v>Half</v>
      </c>
      <c r="H116" s="50">
        <f t="shared" si="27"/>
        <v>10</v>
      </c>
      <c r="I116" s="49">
        <f t="shared" si="27"/>
        <v>160</v>
      </c>
      <c r="J116" s="44">
        <f t="shared" si="27"/>
        <v>8</v>
      </c>
      <c r="K116" s="44">
        <f t="shared" si="27"/>
        <v>8</v>
      </c>
      <c r="L116" s="45">
        <f t="shared" si="25"/>
        <v>0.2</v>
      </c>
      <c r="M116" s="49">
        <v>30</v>
      </c>
      <c r="N116" s="44">
        <f t="shared" si="28"/>
        <v>150</v>
      </c>
      <c r="O116" s="50">
        <f t="shared" si="28"/>
        <v>210</v>
      </c>
    </row>
    <row r="117" spans="1:15" x14ac:dyDescent="0.25">
      <c r="A117" s="41">
        <f t="shared" si="26"/>
        <v>965</v>
      </c>
      <c r="B117" s="42">
        <f t="shared" si="26"/>
        <v>107</v>
      </c>
      <c r="C117" s="41" t="s">
        <v>1831</v>
      </c>
      <c r="D117" s="43">
        <f t="shared" si="29"/>
        <v>27</v>
      </c>
      <c r="E117" s="44">
        <f t="shared" si="27"/>
        <v>15</v>
      </c>
      <c r="F117" s="44">
        <f t="shared" si="27"/>
        <v>17.777777777777779</v>
      </c>
      <c r="G117" s="42" t="str">
        <f t="shared" si="27"/>
        <v>Half</v>
      </c>
      <c r="H117" s="50">
        <f t="shared" si="27"/>
        <v>10</v>
      </c>
      <c r="I117" s="49">
        <f t="shared" si="27"/>
        <v>160</v>
      </c>
      <c r="J117" s="44">
        <f t="shared" si="27"/>
        <v>8</v>
      </c>
      <c r="K117" s="44">
        <f t="shared" si="27"/>
        <v>8</v>
      </c>
      <c r="L117" s="45">
        <f t="shared" si="25"/>
        <v>0.2</v>
      </c>
      <c r="M117" s="49">
        <v>60</v>
      </c>
      <c r="N117" s="44">
        <f t="shared" si="28"/>
        <v>150</v>
      </c>
      <c r="O117" s="50">
        <f t="shared" si="28"/>
        <v>210</v>
      </c>
    </row>
    <row r="118" spans="1:15" ht="15.75" thickBot="1" x14ac:dyDescent="0.3">
      <c r="A118" s="41">
        <f t="shared" si="26"/>
        <v>966</v>
      </c>
      <c r="B118" s="42">
        <f t="shared" si="26"/>
        <v>108</v>
      </c>
      <c r="C118" s="41" t="s">
        <v>1832</v>
      </c>
      <c r="D118" s="43">
        <f t="shared" si="29"/>
        <v>27</v>
      </c>
      <c r="E118" s="44">
        <f t="shared" si="27"/>
        <v>15</v>
      </c>
      <c r="F118" s="44">
        <f t="shared" si="27"/>
        <v>17.777777777777779</v>
      </c>
      <c r="G118" s="42" t="str">
        <f t="shared" si="27"/>
        <v>Half</v>
      </c>
      <c r="H118" s="50">
        <f t="shared" si="27"/>
        <v>10</v>
      </c>
      <c r="I118" s="49">
        <f t="shared" si="27"/>
        <v>160</v>
      </c>
      <c r="J118" s="44">
        <f t="shared" si="27"/>
        <v>8</v>
      </c>
      <c r="K118" s="44">
        <f t="shared" si="27"/>
        <v>8</v>
      </c>
      <c r="L118" s="45">
        <f t="shared" si="25"/>
        <v>0.2</v>
      </c>
      <c r="M118" s="49">
        <v>90</v>
      </c>
      <c r="N118" s="44">
        <f t="shared" si="28"/>
        <v>150</v>
      </c>
      <c r="O118" s="50">
        <f t="shared" si="28"/>
        <v>210</v>
      </c>
    </row>
    <row r="119" spans="1:15" x14ac:dyDescent="0.25">
      <c r="A119" s="41">
        <f t="shared" si="26"/>
        <v>967</v>
      </c>
      <c r="B119" s="42">
        <f t="shared" si="26"/>
        <v>109</v>
      </c>
      <c r="C119" s="24" t="s">
        <v>1833</v>
      </c>
      <c r="D119" s="43">
        <f t="shared" si="29"/>
        <v>27</v>
      </c>
      <c r="E119" s="44">
        <f t="shared" si="27"/>
        <v>15</v>
      </c>
      <c r="F119" s="44">
        <f>-720/D119/3*2</f>
        <v>-17.777777777777779</v>
      </c>
      <c r="G119" s="42" t="str">
        <f t="shared" si="27"/>
        <v>Half</v>
      </c>
      <c r="H119" s="50">
        <f t="shared" si="27"/>
        <v>10</v>
      </c>
      <c r="I119" s="49">
        <f t="shared" si="27"/>
        <v>160</v>
      </c>
      <c r="J119" s="44">
        <f t="shared" si="27"/>
        <v>8</v>
      </c>
      <c r="K119" s="44">
        <f>yaw_min</f>
        <v>-8</v>
      </c>
      <c r="L119" s="45">
        <f t="shared" si="25"/>
        <v>0.2</v>
      </c>
      <c r="M119" s="49">
        <v>0</v>
      </c>
      <c r="N119" s="44">
        <f t="shared" si="28"/>
        <v>150</v>
      </c>
      <c r="O119" s="50">
        <f t="shared" si="28"/>
        <v>210</v>
      </c>
    </row>
    <row r="120" spans="1:15" x14ac:dyDescent="0.25">
      <c r="A120" s="41">
        <f t="shared" si="26"/>
        <v>968</v>
      </c>
      <c r="B120" s="42">
        <f t="shared" si="26"/>
        <v>110</v>
      </c>
      <c r="C120" s="41" t="s">
        <v>1834</v>
      </c>
      <c r="D120" s="43">
        <f t="shared" si="29"/>
        <v>27</v>
      </c>
      <c r="E120" s="44">
        <f t="shared" si="27"/>
        <v>15</v>
      </c>
      <c r="F120" s="44">
        <f>F119</f>
        <v>-17.777777777777779</v>
      </c>
      <c r="G120" s="42" t="str">
        <f t="shared" si="27"/>
        <v>Half</v>
      </c>
      <c r="H120" s="50">
        <f t="shared" si="27"/>
        <v>10</v>
      </c>
      <c r="I120" s="49">
        <f t="shared" si="27"/>
        <v>160</v>
      </c>
      <c r="J120" s="44">
        <f t="shared" si="27"/>
        <v>8</v>
      </c>
      <c r="K120" s="44">
        <f t="shared" si="27"/>
        <v>-8</v>
      </c>
      <c r="L120" s="45">
        <f t="shared" si="25"/>
        <v>0.2</v>
      </c>
      <c r="M120" s="49">
        <v>30</v>
      </c>
      <c r="N120" s="44">
        <f t="shared" si="28"/>
        <v>150</v>
      </c>
      <c r="O120" s="50">
        <f t="shared" si="28"/>
        <v>210</v>
      </c>
    </row>
    <row r="121" spans="1:15" x14ac:dyDescent="0.25">
      <c r="A121" s="41">
        <f t="shared" si="26"/>
        <v>969</v>
      </c>
      <c r="B121" s="42">
        <f t="shared" si="26"/>
        <v>111</v>
      </c>
      <c r="C121" s="41" t="s">
        <v>1835</v>
      </c>
      <c r="D121" s="43">
        <f t="shared" si="29"/>
        <v>27</v>
      </c>
      <c r="E121" s="44">
        <f t="shared" si="27"/>
        <v>15</v>
      </c>
      <c r="F121" s="44">
        <f>F120</f>
        <v>-17.777777777777779</v>
      </c>
      <c r="G121" s="42" t="str">
        <f t="shared" si="27"/>
        <v>Half</v>
      </c>
      <c r="H121" s="50">
        <f t="shared" si="27"/>
        <v>10</v>
      </c>
      <c r="I121" s="49">
        <f t="shared" si="27"/>
        <v>160</v>
      </c>
      <c r="J121" s="44">
        <f t="shared" si="27"/>
        <v>8</v>
      </c>
      <c r="K121" s="44">
        <f t="shared" si="27"/>
        <v>-8</v>
      </c>
      <c r="L121" s="45">
        <f t="shared" si="25"/>
        <v>0.2</v>
      </c>
      <c r="M121" s="49">
        <v>60</v>
      </c>
      <c r="N121" s="44">
        <f t="shared" si="28"/>
        <v>150</v>
      </c>
      <c r="O121" s="50">
        <f t="shared" si="28"/>
        <v>210</v>
      </c>
    </row>
    <row r="122" spans="1:15" x14ac:dyDescent="0.25">
      <c r="A122" s="41">
        <f t="shared" si="26"/>
        <v>970</v>
      </c>
      <c r="B122" s="42">
        <f t="shared" si="26"/>
        <v>112</v>
      </c>
      <c r="C122" s="41" t="s">
        <v>1836</v>
      </c>
      <c r="D122" s="43">
        <f t="shared" si="29"/>
        <v>27</v>
      </c>
      <c r="E122" s="44">
        <f t="shared" si="27"/>
        <v>15</v>
      </c>
      <c r="F122" s="44">
        <f>F121</f>
        <v>-17.777777777777779</v>
      </c>
      <c r="G122" s="42" t="str">
        <f t="shared" si="27"/>
        <v>Half</v>
      </c>
      <c r="H122" s="50">
        <f t="shared" si="27"/>
        <v>10</v>
      </c>
      <c r="I122" s="49">
        <f t="shared" si="27"/>
        <v>160</v>
      </c>
      <c r="J122" s="44">
        <f t="shared" si="27"/>
        <v>8</v>
      </c>
      <c r="K122" s="44">
        <f t="shared" si="27"/>
        <v>-8</v>
      </c>
      <c r="L122" s="45">
        <f t="shared" si="25"/>
        <v>0.2</v>
      </c>
      <c r="M122" s="49">
        <v>90</v>
      </c>
      <c r="N122" s="44">
        <f t="shared" si="28"/>
        <v>150</v>
      </c>
      <c r="O122" s="50">
        <f t="shared" si="28"/>
        <v>210</v>
      </c>
    </row>
    <row r="123" spans="1:15" x14ac:dyDescent="0.25">
      <c r="A123" s="41">
        <f t="shared" si="26"/>
        <v>971</v>
      </c>
      <c r="B123" s="42">
        <f t="shared" si="26"/>
        <v>113</v>
      </c>
      <c r="C123" s="41" t="s">
        <v>1837</v>
      </c>
      <c r="D123" s="43">
        <f t="shared" si="29"/>
        <v>27</v>
      </c>
      <c r="E123" s="44">
        <f t="shared" si="27"/>
        <v>15</v>
      </c>
      <c r="F123" s="44">
        <f t="shared" si="27"/>
        <v>-17.777777777777779</v>
      </c>
      <c r="G123" s="42" t="str">
        <f t="shared" si="27"/>
        <v>Half</v>
      </c>
      <c r="H123" s="50">
        <f t="shared" si="27"/>
        <v>10</v>
      </c>
      <c r="I123" s="49">
        <f t="shared" si="27"/>
        <v>160</v>
      </c>
      <c r="J123" s="44">
        <f t="shared" si="27"/>
        <v>8</v>
      </c>
      <c r="K123" s="44">
        <f>yaw_null</f>
        <v>0</v>
      </c>
      <c r="L123" s="45">
        <f t="shared" si="25"/>
        <v>0.2</v>
      </c>
      <c r="M123" s="49">
        <v>0</v>
      </c>
      <c r="N123" s="44">
        <f t="shared" si="28"/>
        <v>150</v>
      </c>
      <c r="O123" s="50">
        <f t="shared" si="28"/>
        <v>210</v>
      </c>
    </row>
    <row r="124" spans="1:15" x14ac:dyDescent="0.25">
      <c r="A124" s="41">
        <f t="shared" ref="A124:B139" si="30">A123+1</f>
        <v>972</v>
      </c>
      <c r="B124" s="42">
        <f t="shared" si="30"/>
        <v>114</v>
      </c>
      <c r="C124" s="41" t="s">
        <v>1838</v>
      </c>
      <c r="D124" s="43">
        <f t="shared" si="29"/>
        <v>27</v>
      </c>
      <c r="E124" s="44">
        <f t="shared" ref="E124:K139" si="31">E123</f>
        <v>15</v>
      </c>
      <c r="F124" s="44">
        <f t="shared" si="31"/>
        <v>-17.777777777777779</v>
      </c>
      <c r="G124" s="42" t="str">
        <f t="shared" si="31"/>
        <v>Half</v>
      </c>
      <c r="H124" s="50">
        <f t="shared" si="31"/>
        <v>10</v>
      </c>
      <c r="I124" s="49">
        <f t="shared" si="31"/>
        <v>160</v>
      </c>
      <c r="J124" s="44">
        <f t="shared" si="31"/>
        <v>8</v>
      </c>
      <c r="K124" s="44">
        <f t="shared" si="31"/>
        <v>0</v>
      </c>
      <c r="L124" s="45">
        <f t="shared" si="25"/>
        <v>0.2</v>
      </c>
      <c r="M124" s="49">
        <v>30</v>
      </c>
      <c r="N124" s="44">
        <f t="shared" si="28"/>
        <v>150</v>
      </c>
      <c r="O124" s="50">
        <f t="shared" si="28"/>
        <v>210</v>
      </c>
    </row>
    <row r="125" spans="1:15" x14ac:dyDescent="0.25">
      <c r="A125" s="41">
        <f t="shared" si="30"/>
        <v>973</v>
      </c>
      <c r="B125" s="42">
        <f t="shared" si="30"/>
        <v>115</v>
      </c>
      <c r="C125" s="41" t="s">
        <v>1839</v>
      </c>
      <c r="D125" s="43">
        <f t="shared" si="29"/>
        <v>27</v>
      </c>
      <c r="E125" s="44">
        <f t="shared" si="31"/>
        <v>15</v>
      </c>
      <c r="F125" s="44">
        <f t="shared" si="31"/>
        <v>-17.777777777777779</v>
      </c>
      <c r="G125" s="42" t="str">
        <f t="shared" si="31"/>
        <v>Half</v>
      </c>
      <c r="H125" s="50">
        <f t="shared" si="31"/>
        <v>10</v>
      </c>
      <c r="I125" s="49">
        <f t="shared" si="31"/>
        <v>160</v>
      </c>
      <c r="J125" s="44">
        <f t="shared" si="31"/>
        <v>8</v>
      </c>
      <c r="K125" s="44">
        <f t="shared" si="31"/>
        <v>0</v>
      </c>
      <c r="L125" s="45">
        <f t="shared" si="25"/>
        <v>0.2</v>
      </c>
      <c r="M125" s="49">
        <v>60</v>
      </c>
      <c r="N125" s="44">
        <f t="shared" ref="N125:O140" si="32">N124</f>
        <v>150</v>
      </c>
      <c r="O125" s="50">
        <f t="shared" si="32"/>
        <v>210</v>
      </c>
    </row>
    <row r="126" spans="1:15" x14ac:dyDescent="0.25">
      <c r="A126" s="41">
        <f t="shared" si="30"/>
        <v>974</v>
      </c>
      <c r="B126" s="42">
        <f t="shared" si="30"/>
        <v>116</v>
      </c>
      <c r="C126" s="41" t="s">
        <v>1840</v>
      </c>
      <c r="D126" s="43">
        <f t="shared" si="29"/>
        <v>27</v>
      </c>
      <c r="E126" s="44">
        <f t="shared" si="31"/>
        <v>15</v>
      </c>
      <c r="F126" s="44">
        <f t="shared" si="31"/>
        <v>-17.777777777777779</v>
      </c>
      <c r="G126" s="42" t="str">
        <f t="shared" si="31"/>
        <v>Half</v>
      </c>
      <c r="H126" s="50">
        <f t="shared" si="31"/>
        <v>10</v>
      </c>
      <c r="I126" s="49">
        <f t="shared" si="31"/>
        <v>160</v>
      </c>
      <c r="J126" s="44">
        <f t="shared" si="31"/>
        <v>8</v>
      </c>
      <c r="K126" s="44">
        <f t="shared" si="31"/>
        <v>0</v>
      </c>
      <c r="L126" s="45">
        <f t="shared" si="25"/>
        <v>0.2</v>
      </c>
      <c r="M126" s="49">
        <v>90</v>
      </c>
      <c r="N126" s="44">
        <f t="shared" si="32"/>
        <v>150</v>
      </c>
      <c r="O126" s="50">
        <f t="shared" si="32"/>
        <v>210</v>
      </c>
    </row>
    <row r="127" spans="1:15" x14ac:dyDescent="0.25">
      <c r="A127" s="41">
        <f t="shared" si="30"/>
        <v>975</v>
      </c>
      <c r="B127" s="42">
        <f t="shared" si="30"/>
        <v>117</v>
      </c>
      <c r="C127" s="41" t="s">
        <v>1841</v>
      </c>
      <c r="D127" s="43">
        <f t="shared" si="29"/>
        <v>27</v>
      </c>
      <c r="E127" s="44">
        <f t="shared" si="31"/>
        <v>15</v>
      </c>
      <c r="F127" s="44">
        <f t="shared" si="31"/>
        <v>-17.777777777777779</v>
      </c>
      <c r="G127" s="42" t="str">
        <f t="shared" si="31"/>
        <v>Half</v>
      </c>
      <c r="H127" s="50">
        <f>H126</f>
        <v>10</v>
      </c>
      <c r="I127" s="49">
        <f>I126</f>
        <v>160</v>
      </c>
      <c r="J127" s="44">
        <f>J126</f>
        <v>8</v>
      </c>
      <c r="K127" s="44">
        <f>yaw_max</f>
        <v>8</v>
      </c>
      <c r="L127" s="45">
        <f t="shared" si="25"/>
        <v>0.2</v>
      </c>
      <c r="M127" s="49">
        <v>0</v>
      </c>
      <c r="N127" s="44">
        <f t="shared" si="32"/>
        <v>150</v>
      </c>
      <c r="O127" s="50">
        <f t="shared" si="32"/>
        <v>210</v>
      </c>
    </row>
    <row r="128" spans="1:15" x14ac:dyDescent="0.25">
      <c r="A128" s="41">
        <f t="shared" si="30"/>
        <v>976</v>
      </c>
      <c r="B128" s="42">
        <f t="shared" si="30"/>
        <v>118</v>
      </c>
      <c r="C128" s="41" t="s">
        <v>1842</v>
      </c>
      <c r="D128" s="43">
        <f t="shared" si="29"/>
        <v>27</v>
      </c>
      <c r="E128" s="44">
        <f t="shared" si="31"/>
        <v>15</v>
      </c>
      <c r="F128" s="44">
        <f t="shared" si="31"/>
        <v>-17.777777777777779</v>
      </c>
      <c r="G128" s="42" t="str">
        <f t="shared" si="31"/>
        <v>Half</v>
      </c>
      <c r="H128" s="50">
        <f t="shared" si="31"/>
        <v>10</v>
      </c>
      <c r="I128" s="49">
        <f t="shared" si="31"/>
        <v>160</v>
      </c>
      <c r="J128" s="44">
        <f t="shared" si="31"/>
        <v>8</v>
      </c>
      <c r="K128" s="44">
        <f t="shared" si="31"/>
        <v>8</v>
      </c>
      <c r="L128" s="45">
        <f t="shared" si="25"/>
        <v>0.2</v>
      </c>
      <c r="M128" s="49">
        <v>30</v>
      </c>
      <c r="N128" s="44">
        <f t="shared" si="32"/>
        <v>150</v>
      </c>
      <c r="O128" s="50">
        <f t="shared" si="32"/>
        <v>210</v>
      </c>
    </row>
    <row r="129" spans="1:15" x14ac:dyDescent="0.25">
      <c r="A129" s="41">
        <f t="shared" si="30"/>
        <v>977</v>
      </c>
      <c r="B129" s="42">
        <f t="shared" si="30"/>
        <v>119</v>
      </c>
      <c r="C129" s="41" t="s">
        <v>1843</v>
      </c>
      <c r="D129" s="43">
        <f t="shared" si="29"/>
        <v>27</v>
      </c>
      <c r="E129" s="44">
        <f t="shared" si="31"/>
        <v>15</v>
      </c>
      <c r="F129" s="44">
        <f t="shared" si="31"/>
        <v>-17.777777777777779</v>
      </c>
      <c r="G129" s="42" t="str">
        <f t="shared" si="31"/>
        <v>Half</v>
      </c>
      <c r="H129" s="50">
        <f t="shared" si="31"/>
        <v>10</v>
      </c>
      <c r="I129" s="49">
        <f t="shared" si="31"/>
        <v>160</v>
      </c>
      <c r="J129" s="44">
        <f t="shared" si="31"/>
        <v>8</v>
      </c>
      <c r="K129" s="44">
        <f t="shared" si="31"/>
        <v>8</v>
      </c>
      <c r="L129" s="45">
        <f t="shared" si="25"/>
        <v>0.2</v>
      </c>
      <c r="M129" s="49">
        <v>60</v>
      </c>
      <c r="N129" s="44">
        <f t="shared" si="32"/>
        <v>150</v>
      </c>
      <c r="O129" s="50">
        <f t="shared" si="32"/>
        <v>210</v>
      </c>
    </row>
    <row r="130" spans="1:15" ht="15.75" thickBot="1" x14ac:dyDescent="0.3">
      <c r="A130" s="41">
        <f t="shared" si="30"/>
        <v>978</v>
      </c>
      <c r="B130" s="42">
        <f t="shared" si="30"/>
        <v>120</v>
      </c>
      <c r="C130" s="41" t="s">
        <v>1844</v>
      </c>
      <c r="D130" s="43">
        <f t="shared" si="29"/>
        <v>27</v>
      </c>
      <c r="E130" s="44">
        <f t="shared" si="31"/>
        <v>15</v>
      </c>
      <c r="F130" s="44">
        <f t="shared" si="31"/>
        <v>-17.777777777777779</v>
      </c>
      <c r="G130" s="42" t="str">
        <f t="shared" si="31"/>
        <v>Half</v>
      </c>
      <c r="H130" s="50">
        <f t="shared" si="31"/>
        <v>10</v>
      </c>
      <c r="I130" s="49">
        <f t="shared" si="31"/>
        <v>160</v>
      </c>
      <c r="J130" s="44">
        <f t="shared" si="31"/>
        <v>8</v>
      </c>
      <c r="K130" s="44">
        <f t="shared" si="31"/>
        <v>8</v>
      </c>
      <c r="L130" s="45">
        <f t="shared" si="25"/>
        <v>0.2</v>
      </c>
      <c r="M130" s="49">
        <v>90</v>
      </c>
      <c r="N130" s="44">
        <f t="shared" si="32"/>
        <v>150</v>
      </c>
      <c r="O130" s="50">
        <f t="shared" si="32"/>
        <v>210</v>
      </c>
    </row>
    <row r="131" spans="1:15" x14ac:dyDescent="0.25">
      <c r="A131" s="41">
        <f t="shared" si="30"/>
        <v>979</v>
      </c>
      <c r="B131" s="42">
        <f t="shared" si="30"/>
        <v>121</v>
      </c>
      <c r="C131" s="24" t="s">
        <v>1845</v>
      </c>
      <c r="D131" s="43">
        <f t="shared" si="29"/>
        <v>27</v>
      </c>
      <c r="E131" s="44">
        <f t="shared" si="31"/>
        <v>15</v>
      </c>
      <c r="F131" s="44">
        <f>720/D131/3</f>
        <v>8.8888888888888893</v>
      </c>
      <c r="G131" s="42" t="str">
        <f t="shared" si="31"/>
        <v>Half</v>
      </c>
      <c r="H131" s="50">
        <f t="shared" si="31"/>
        <v>10</v>
      </c>
      <c r="I131" s="49">
        <f t="shared" si="31"/>
        <v>160</v>
      </c>
      <c r="J131" s="44">
        <f t="shared" si="31"/>
        <v>8</v>
      </c>
      <c r="K131" s="44">
        <f>yaw_min</f>
        <v>-8</v>
      </c>
      <c r="L131" s="45">
        <f t="shared" si="25"/>
        <v>0.2</v>
      </c>
      <c r="M131" s="49">
        <v>0</v>
      </c>
      <c r="N131" s="44">
        <f t="shared" si="32"/>
        <v>150</v>
      </c>
      <c r="O131" s="50">
        <f t="shared" si="32"/>
        <v>210</v>
      </c>
    </row>
    <row r="132" spans="1:15" x14ac:dyDescent="0.25">
      <c r="A132" s="41">
        <f t="shared" si="30"/>
        <v>980</v>
      </c>
      <c r="B132" s="42">
        <f t="shared" si="30"/>
        <v>122</v>
      </c>
      <c r="C132" s="41" t="s">
        <v>1846</v>
      </c>
      <c r="D132" s="43">
        <f t="shared" si="29"/>
        <v>27</v>
      </c>
      <c r="E132" s="44">
        <f t="shared" si="31"/>
        <v>15</v>
      </c>
      <c r="F132" s="44">
        <f>F131</f>
        <v>8.8888888888888893</v>
      </c>
      <c r="G132" s="42" t="str">
        <f t="shared" si="31"/>
        <v>Half</v>
      </c>
      <c r="H132" s="50">
        <f t="shared" si="31"/>
        <v>10</v>
      </c>
      <c r="I132" s="49">
        <f t="shared" si="31"/>
        <v>160</v>
      </c>
      <c r="J132" s="44">
        <f t="shared" si="31"/>
        <v>8</v>
      </c>
      <c r="K132" s="44">
        <f t="shared" si="31"/>
        <v>-8</v>
      </c>
      <c r="L132" s="45">
        <f t="shared" si="25"/>
        <v>0.2</v>
      </c>
      <c r="M132" s="49">
        <v>30</v>
      </c>
      <c r="N132" s="44">
        <f t="shared" si="32"/>
        <v>150</v>
      </c>
      <c r="O132" s="50">
        <f t="shared" si="32"/>
        <v>210</v>
      </c>
    </row>
    <row r="133" spans="1:15" x14ac:dyDescent="0.25">
      <c r="A133" s="41">
        <f t="shared" si="30"/>
        <v>981</v>
      </c>
      <c r="B133" s="42">
        <f t="shared" si="30"/>
        <v>123</v>
      </c>
      <c r="C133" s="41" t="s">
        <v>1847</v>
      </c>
      <c r="D133" s="43">
        <f t="shared" si="29"/>
        <v>27</v>
      </c>
      <c r="E133" s="44">
        <f t="shared" si="31"/>
        <v>15</v>
      </c>
      <c r="F133" s="44">
        <f>F132</f>
        <v>8.8888888888888893</v>
      </c>
      <c r="G133" s="42" t="str">
        <f t="shared" si="31"/>
        <v>Half</v>
      </c>
      <c r="H133" s="50">
        <f t="shared" si="31"/>
        <v>10</v>
      </c>
      <c r="I133" s="49">
        <f t="shared" si="31"/>
        <v>160</v>
      </c>
      <c r="J133" s="44">
        <f t="shared" si="31"/>
        <v>8</v>
      </c>
      <c r="K133" s="44">
        <f t="shared" si="31"/>
        <v>-8</v>
      </c>
      <c r="L133" s="45">
        <f t="shared" si="25"/>
        <v>0.2</v>
      </c>
      <c r="M133" s="49">
        <v>60</v>
      </c>
      <c r="N133" s="44">
        <f t="shared" si="32"/>
        <v>150</v>
      </c>
      <c r="O133" s="50">
        <f t="shared" si="32"/>
        <v>210</v>
      </c>
    </row>
    <row r="134" spans="1:15" x14ac:dyDescent="0.25">
      <c r="A134" s="41">
        <f t="shared" si="30"/>
        <v>982</v>
      </c>
      <c r="B134" s="42">
        <f t="shared" si="30"/>
        <v>124</v>
      </c>
      <c r="C134" s="41" t="s">
        <v>1848</v>
      </c>
      <c r="D134" s="43">
        <f t="shared" si="29"/>
        <v>27</v>
      </c>
      <c r="E134" s="44">
        <f t="shared" si="31"/>
        <v>15</v>
      </c>
      <c r="F134" s="44">
        <f>F133</f>
        <v>8.8888888888888893</v>
      </c>
      <c r="G134" s="42" t="str">
        <f t="shared" si="31"/>
        <v>Half</v>
      </c>
      <c r="H134" s="50">
        <f t="shared" si="31"/>
        <v>10</v>
      </c>
      <c r="I134" s="49">
        <f t="shared" si="31"/>
        <v>160</v>
      </c>
      <c r="J134" s="44">
        <f t="shared" si="31"/>
        <v>8</v>
      </c>
      <c r="K134" s="44">
        <f t="shared" si="31"/>
        <v>-8</v>
      </c>
      <c r="L134" s="45">
        <f t="shared" si="25"/>
        <v>0.2</v>
      </c>
      <c r="M134" s="49">
        <v>90</v>
      </c>
      <c r="N134" s="44">
        <f t="shared" si="32"/>
        <v>150</v>
      </c>
      <c r="O134" s="50">
        <f t="shared" si="32"/>
        <v>210</v>
      </c>
    </row>
    <row r="135" spans="1:15" x14ac:dyDescent="0.25">
      <c r="A135" s="41">
        <f t="shared" si="30"/>
        <v>983</v>
      </c>
      <c r="B135" s="42">
        <f t="shared" si="30"/>
        <v>125</v>
      </c>
      <c r="C135" s="41" t="s">
        <v>1849</v>
      </c>
      <c r="D135" s="43">
        <f t="shared" si="29"/>
        <v>27</v>
      </c>
      <c r="E135" s="44">
        <f t="shared" si="31"/>
        <v>15</v>
      </c>
      <c r="F135" s="44">
        <f>F134</f>
        <v>8.8888888888888893</v>
      </c>
      <c r="G135" s="42" t="str">
        <f t="shared" si="31"/>
        <v>Half</v>
      </c>
      <c r="H135" s="50">
        <f t="shared" si="31"/>
        <v>10</v>
      </c>
      <c r="I135" s="49">
        <f t="shared" si="31"/>
        <v>160</v>
      </c>
      <c r="J135" s="44">
        <f t="shared" si="31"/>
        <v>8</v>
      </c>
      <c r="K135" s="44">
        <f>yaw_null</f>
        <v>0</v>
      </c>
      <c r="L135" s="45">
        <f t="shared" si="25"/>
        <v>0.2</v>
      </c>
      <c r="M135" s="49">
        <v>0</v>
      </c>
      <c r="N135" s="44">
        <f t="shared" si="32"/>
        <v>150</v>
      </c>
      <c r="O135" s="50">
        <f t="shared" si="32"/>
        <v>210</v>
      </c>
    </row>
    <row r="136" spans="1:15" x14ac:dyDescent="0.25">
      <c r="A136" s="41">
        <f t="shared" si="30"/>
        <v>984</v>
      </c>
      <c r="B136" s="42">
        <f t="shared" si="30"/>
        <v>126</v>
      </c>
      <c r="C136" s="41" t="s">
        <v>1850</v>
      </c>
      <c r="D136" s="43">
        <f t="shared" si="29"/>
        <v>27</v>
      </c>
      <c r="E136" s="44">
        <f t="shared" si="31"/>
        <v>15</v>
      </c>
      <c r="F136" s="44">
        <f t="shared" si="31"/>
        <v>8.8888888888888893</v>
      </c>
      <c r="G136" s="42" t="str">
        <f t="shared" si="31"/>
        <v>Half</v>
      </c>
      <c r="H136" s="50">
        <f t="shared" si="31"/>
        <v>10</v>
      </c>
      <c r="I136" s="49">
        <f t="shared" si="31"/>
        <v>160</v>
      </c>
      <c r="J136" s="44">
        <f t="shared" si="31"/>
        <v>8</v>
      </c>
      <c r="K136" s="44">
        <f t="shared" si="31"/>
        <v>0</v>
      </c>
      <c r="L136" s="45">
        <f t="shared" si="25"/>
        <v>0.2</v>
      </c>
      <c r="M136" s="49">
        <v>30</v>
      </c>
      <c r="N136" s="44">
        <f t="shared" si="32"/>
        <v>150</v>
      </c>
      <c r="O136" s="50">
        <f t="shared" si="32"/>
        <v>210</v>
      </c>
    </row>
    <row r="137" spans="1:15" x14ac:dyDescent="0.25">
      <c r="A137" s="41">
        <f t="shared" si="30"/>
        <v>985</v>
      </c>
      <c r="B137" s="42">
        <f t="shared" si="30"/>
        <v>127</v>
      </c>
      <c r="C137" s="41" t="s">
        <v>1851</v>
      </c>
      <c r="D137" s="43">
        <f t="shared" si="29"/>
        <v>27</v>
      </c>
      <c r="E137" s="44">
        <f t="shared" si="31"/>
        <v>15</v>
      </c>
      <c r="F137" s="44">
        <f t="shared" si="31"/>
        <v>8.8888888888888893</v>
      </c>
      <c r="G137" s="42" t="str">
        <f t="shared" si="31"/>
        <v>Half</v>
      </c>
      <c r="H137" s="50">
        <f t="shared" si="31"/>
        <v>10</v>
      </c>
      <c r="I137" s="49">
        <f t="shared" si="31"/>
        <v>160</v>
      </c>
      <c r="J137" s="44">
        <f t="shared" si="31"/>
        <v>8</v>
      </c>
      <c r="K137" s="44">
        <f t="shared" si="31"/>
        <v>0</v>
      </c>
      <c r="L137" s="45">
        <f t="shared" si="25"/>
        <v>0.2</v>
      </c>
      <c r="M137" s="49">
        <v>60</v>
      </c>
      <c r="N137" s="44">
        <f t="shared" si="32"/>
        <v>150</v>
      </c>
      <c r="O137" s="50">
        <f t="shared" si="32"/>
        <v>210</v>
      </c>
    </row>
    <row r="138" spans="1:15" x14ac:dyDescent="0.25">
      <c r="A138" s="41">
        <f t="shared" si="30"/>
        <v>986</v>
      </c>
      <c r="B138" s="42">
        <f t="shared" si="30"/>
        <v>128</v>
      </c>
      <c r="C138" s="41" t="s">
        <v>1852</v>
      </c>
      <c r="D138" s="43">
        <f t="shared" si="29"/>
        <v>27</v>
      </c>
      <c r="E138" s="44">
        <f t="shared" si="31"/>
        <v>15</v>
      </c>
      <c r="F138" s="44">
        <f t="shared" si="31"/>
        <v>8.8888888888888893</v>
      </c>
      <c r="G138" s="42" t="str">
        <f t="shared" si="31"/>
        <v>Half</v>
      </c>
      <c r="H138" s="50">
        <f t="shared" si="31"/>
        <v>10</v>
      </c>
      <c r="I138" s="49">
        <f t="shared" si="31"/>
        <v>160</v>
      </c>
      <c r="J138" s="44">
        <f t="shared" si="31"/>
        <v>8</v>
      </c>
      <c r="K138" s="44">
        <f t="shared" si="31"/>
        <v>0</v>
      </c>
      <c r="L138" s="45">
        <f t="shared" si="25"/>
        <v>0.2</v>
      </c>
      <c r="M138" s="49">
        <v>90</v>
      </c>
      <c r="N138" s="44">
        <f t="shared" si="32"/>
        <v>150</v>
      </c>
      <c r="O138" s="50">
        <f t="shared" si="32"/>
        <v>210</v>
      </c>
    </row>
    <row r="139" spans="1:15" x14ac:dyDescent="0.25">
      <c r="A139" s="41">
        <f t="shared" si="30"/>
        <v>987</v>
      </c>
      <c r="B139" s="42">
        <f t="shared" si="30"/>
        <v>129</v>
      </c>
      <c r="C139" s="41" t="s">
        <v>1853</v>
      </c>
      <c r="D139" s="43">
        <f t="shared" si="29"/>
        <v>27</v>
      </c>
      <c r="E139" s="44">
        <f t="shared" si="31"/>
        <v>15</v>
      </c>
      <c r="F139" s="44">
        <f>F138</f>
        <v>8.8888888888888893</v>
      </c>
      <c r="G139" s="42" t="s">
        <v>12</v>
      </c>
      <c r="H139" s="50">
        <v>10</v>
      </c>
      <c r="I139" s="49">
        <f>I138</f>
        <v>160</v>
      </c>
      <c r="J139" s="44">
        <f>J138</f>
        <v>8</v>
      </c>
      <c r="K139" s="44">
        <f>yaw_max</f>
        <v>8</v>
      </c>
      <c r="L139" s="45">
        <f t="shared" si="25"/>
        <v>0.2</v>
      </c>
      <c r="M139" s="49">
        <v>0</v>
      </c>
      <c r="N139" s="44">
        <f t="shared" si="32"/>
        <v>150</v>
      </c>
      <c r="O139" s="50">
        <f t="shared" si="32"/>
        <v>210</v>
      </c>
    </row>
    <row r="140" spans="1:15" x14ac:dyDescent="0.25">
      <c r="A140" s="41">
        <f t="shared" ref="A140:B154" si="33">A139+1</f>
        <v>988</v>
      </c>
      <c r="B140" s="42">
        <f t="shared" si="33"/>
        <v>130</v>
      </c>
      <c r="C140" s="41" t="s">
        <v>1854</v>
      </c>
      <c r="D140" s="43">
        <f t="shared" si="29"/>
        <v>27</v>
      </c>
      <c r="E140" s="44">
        <f t="shared" ref="E140:L154" si="34">E139</f>
        <v>15</v>
      </c>
      <c r="F140" s="44">
        <f t="shared" si="34"/>
        <v>8.8888888888888893</v>
      </c>
      <c r="G140" s="42" t="str">
        <f t="shared" si="34"/>
        <v>Half</v>
      </c>
      <c r="H140" s="50">
        <f t="shared" si="34"/>
        <v>10</v>
      </c>
      <c r="I140" s="49">
        <f t="shared" si="34"/>
        <v>160</v>
      </c>
      <c r="J140" s="44">
        <f t="shared" si="34"/>
        <v>8</v>
      </c>
      <c r="K140" s="44">
        <f t="shared" si="34"/>
        <v>8</v>
      </c>
      <c r="L140" s="45">
        <f t="shared" si="25"/>
        <v>0.2</v>
      </c>
      <c r="M140" s="49">
        <v>30</v>
      </c>
      <c r="N140" s="44">
        <f t="shared" si="32"/>
        <v>150</v>
      </c>
      <c r="O140" s="50">
        <f t="shared" si="32"/>
        <v>210</v>
      </c>
    </row>
    <row r="141" spans="1:15" x14ac:dyDescent="0.25">
      <c r="A141" s="41">
        <f t="shared" si="33"/>
        <v>989</v>
      </c>
      <c r="B141" s="42">
        <f t="shared" si="33"/>
        <v>131</v>
      </c>
      <c r="C141" s="41" t="s">
        <v>1855</v>
      </c>
      <c r="D141" s="43">
        <f t="shared" si="29"/>
        <v>27</v>
      </c>
      <c r="E141" s="44">
        <f t="shared" si="34"/>
        <v>15</v>
      </c>
      <c r="F141" s="44">
        <f t="shared" si="34"/>
        <v>8.8888888888888893</v>
      </c>
      <c r="G141" s="42" t="str">
        <f t="shared" si="34"/>
        <v>Half</v>
      </c>
      <c r="H141" s="50">
        <f t="shared" si="34"/>
        <v>10</v>
      </c>
      <c r="I141" s="49">
        <f t="shared" si="34"/>
        <v>160</v>
      </c>
      <c r="J141" s="44">
        <f t="shared" si="34"/>
        <v>8</v>
      </c>
      <c r="K141" s="44">
        <f t="shared" si="34"/>
        <v>8</v>
      </c>
      <c r="L141" s="45">
        <f t="shared" si="25"/>
        <v>0.2</v>
      </c>
      <c r="M141" s="49">
        <v>60</v>
      </c>
      <c r="N141" s="44">
        <f t="shared" ref="N141:O154" si="35">N140</f>
        <v>150</v>
      </c>
      <c r="O141" s="50">
        <f t="shared" si="35"/>
        <v>210</v>
      </c>
    </row>
    <row r="142" spans="1:15" ht="15.75" thickBot="1" x14ac:dyDescent="0.3">
      <c r="A142" s="41">
        <f t="shared" si="33"/>
        <v>990</v>
      </c>
      <c r="B142" s="42">
        <f t="shared" si="33"/>
        <v>132</v>
      </c>
      <c r="C142" s="41" t="s">
        <v>1856</v>
      </c>
      <c r="D142" s="43">
        <f t="shared" si="29"/>
        <v>27</v>
      </c>
      <c r="E142" s="44">
        <f t="shared" si="34"/>
        <v>15</v>
      </c>
      <c r="F142" s="44">
        <f t="shared" si="34"/>
        <v>8.8888888888888893</v>
      </c>
      <c r="G142" s="42" t="str">
        <f t="shared" si="34"/>
        <v>Half</v>
      </c>
      <c r="H142" s="50">
        <f t="shared" si="34"/>
        <v>10</v>
      </c>
      <c r="I142" s="49">
        <f t="shared" si="34"/>
        <v>160</v>
      </c>
      <c r="J142" s="44">
        <f t="shared" si="34"/>
        <v>8</v>
      </c>
      <c r="K142" s="44">
        <f t="shared" si="34"/>
        <v>8</v>
      </c>
      <c r="L142" s="45">
        <f t="shared" si="25"/>
        <v>0.2</v>
      </c>
      <c r="M142" s="49">
        <v>90</v>
      </c>
      <c r="N142" s="44">
        <f t="shared" si="35"/>
        <v>150</v>
      </c>
      <c r="O142" s="50">
        <f t="shared" si="35"/>
        <v>210</v>
      </c>
    </row>
    <row r="143" spans="1:15" x14ac:dyDescent="0.25">
      <c r="A143" s="41">
        <f t="shared" si="33"/>
        <v>991</v>
      </c>
      <c r="B143" s="42">
        <f t="shared" si="33"/>
        <v>133</v>
      </c>
      <c r="C143" s="24" t="s">
        <v>1857</v>
      </c>
      <c r="D143" s="43">
        <f t="shared" si="29"/>
        <v>27</v>
      </c>
      <c r="E143" s="44">
        <f t="shared" si="34"/>
        <v>15</v>
      </c>
      <c r="F143" s="44">
        <f>-720/D143/3</f>
        <v>-8.8888888888888893</v>
      </c>
      <c r="G143" s="42" t="str">
        <f t="shared" si="34"/>
        <v>Half</v>
      </c>
      <c r="H143" s="50">
        <f t="shared" si="34"/>
        <v>10</v>
      </c>
      <c r="I143" s="49">
        <f t="shared" si="34"/>
        <v>160</v>
      </c>
      <c r="J143" s="44">
        <f t="shared" si="34"/>
        <v>8</v>
      </c>
      <c r="K143" s="44">
        <f>yaw_min</f>
        <v>-8</v>
      </c>
      <c r="L143" s="45">
        <f t="shared" si="25"/>
        <v>0.2</v>
      </c>
      <c r="M143" s="49">
        <v>0</v>
      </c>
      <c r="N143" s="44">
        <f t="shared" si="35"/>
        <v>150</v>
      </c>
      <c r="O143" s="50">
        <f t="shared" si="35"/>
        <v>210</v>
      </c>
    </row>
    <row r="144" spans="1:15" x14ac:dyDescent="0.25">
      <c r="A144" s="41">
        <f t="shared" si="33"/>
        <v>992</v>
      </c>
      <c r="B144" s="42">
        <f t="shared" si="33"/>
        <v>134</v>
      </c>
      <c r="C144" s="41" t="s">
        <v>1858</v>
      </c>
      <c r="D144" s="43">
        <f t="shared" si="29"/>
        <v>27</v>
      </c>
      <c r="E144" s="44">
        <f t="shared" si="34"/>
        <v>15</v>
      </c>
      <c r="F144" s="44">
        <f>F143</f>
        <v>-8.8888888888888893</v>
      </c>
      <c r="G144" s="42" t="str">
        <f t="shared" si="34"/>
        <v>Half</v>
      </c>
      <c r="H144" s="50">
        <f t="shared" si="34"/>
        <v>10</v>
      </c>
      <c r="I144" s="49">
        <f t="shared" si="34"/>
        <v>160</v>
      </c>
      <c r="J144" s="44">
        <f t="shared" si="34"/>
        <v>8</v>
      </c>
      <c r="K144" s="44">
        <f t="shared" si="34"/>
        <v>-8</v>
      </c>
      <c r="L144" s="45">
        <f t="shared" si="25"/>
        <v>0.2</v>
      </c>
      <c r="M144" s="49">
        <v>30</v>
      </c>
      <c r="N144" s="44">
        <f t="shared" si="35"/>
        <v>150</v>
      </c>
      <c r="O144" s="50">
        <f t="shared" si="35"/>
        <v>210</v>
      </c>
    </row>
    <row r="145" spans="1:15" x14ac:dyDescent="0.25">
      <c r="A145" s="41">
        <f t="shared" si="33"/>
        <v>993</v>
      </c>
      <c r="B145" s="42">
        <f t="shared" si="33"/>
        <v>135</v>
      </c>
      <c r="C145" s="41" t="s">
        <v>1859</v>
      </c>
      <c r="D145" s="43">
        <f t="shared" si="29"/>
        <v>27</v>
      </c>
      <c r="E145" s="44">
        <f t="shared" si="34"/>
        <v>15</v>
      </c>
      <c r="F145" s="44">
        <f>F144</f>
        <v>-8.8888888888888893</v>
      </c>
      <c r="G145" s="42" t="str">
        <f t="shared" si="34"/>
        <v>Half</v>
      </c>
      <c r="H145" s="50">
        <f t="shared" si="34"/>
        <v>10</v>
      </c>
      <c r="I145" s="49">
        <f t="shared" si="34"/>
        <v>160</v>
      </c>
      <c r="J145" s="44">
        <f t="shared" si="34"/>
        <v>8</v>
      </c>
      <c r="K145" s="44">
        <f t="shared" si="34"/>
        <v>-8</v>
      </c>
      <c r="L145" s="45">
        <f t="shared" si="25"/>
        <v>0.2</v>
      </c>
      <c r="M145" s="49">
        <v>60</v>
      </c>
      <c r="N145" s="44">
        <f t="shared" si="35"/>
        <v>150</v>
      </c>
      <c r="O145" s="50">
        <f t="shared" si="35"/>
        <v>210</v>
      </c>
    </row>
    <row r="146" spans="1:15" x14ac:dyDescent="0.25">
      <c r="A146" s="41">
        <f t="shared" si="33"/>
        <v>994</v>
      </c>
      <c r="B146" s="42">
        <f t="shared" si="33"/>
        <v>136</v>
      </c>
      <c r="C146" s="41" t="s">
        <v>1860</v>
      </c>
      <c r="D146" s="43">
        <f t="shared" si="29"/>
        <v>27</v>
      </c>
      <c r="E146" s="44">
        <f t="shared" si="34"/>
        <v>15</v>
      </c>
      <c r="F146" s="44">
        <f>F145</f>
        <v>-8.8888888888888893</v>
      </c>
      <c r="G146" s="42" t="str">
        <f t="shared" si="34"/>
        <v>Half</v>
      </c>
      <c r="H146" s="50">
        <f t="shared" si="34"/>
        <v>10</v>
      </c>
      <c r="I146" s="49">
        <f t="shared" si="34"/>
        <v>160</v>
      </c>
      <c r="J146" s="44">
        <f t="shared" si="34"/>
        <v>8</v>
      </c>
      <c r="K146" s="44">
        <f t="shared" si="34"/>
        <v>-8</v>
      </c>
      <c r="L146" s="45">
        <f t="shared" si="25"/>
        <v>0.2</v>
      </c>
      <c r="M146" s="49">
        <v>90</v>
      </c>
      <c r="N146" s="44">
        <f t="shared" si="35"/>
        <v>150</v>
      </c>
      <c r="O146" s="50">
        <f t="shared" si="35"/>
        <v>210</v>
      </c>
    </row>
    <row r="147" spans="1:15" x14ac:dyDescent="0.25">
      <c r="A147" s="41">
        <f t="shared" si="33"/>
        <v>995</v>
      </c>
      <c r="B147" s="42">
        <f t="shared" si="33"/>
        <v>137</v>
      </c>
      <c r="C147" s="41" t="s">
        <v>1861</v>
      </c>
      <c r="D147" s="43">
        <f t="shared" ref="D147:D154" si="36">v_out+2</f>
        <v>27</v>
      </c>
      <c r="E147" s="44">
        <f t="shared" si="34"/>
        <v>15</v>
      </c>
      <c r="F147" s="44">
        <f t="shared" si="34"/>
        <v>-8.8888888888888893</v>
      </c>
      <c r="G147" s="42" t="str">
        <f t="shared" si="34"/>
        <v>Half</v>
      </c>
      <c r="H147" s="50">
        <f t="shared" si="34"/>
        <v>10</v>
      </c>
      <c r="I147" s="49">
        <f t="shared" si="34"/>
        <v>160</v>
      </c>
      <c r="J147" s="44">
        <f t="shared" si="34"/>
        <v>8</v>
      </c>
      <c r="K147" s="44">
        <f>yaw_null</f>
        <v>0</v>
      </c>
      <c r="L147" s="45">
        <f t="shared" si="25"/>
        <v>0.2</v>
      </c>
      <c r="M147" s="49">
        <v>0</v>
      </c>
      <c r="N147" s="44">
        <f t="shared" si="35"/>
        <v>150</v>
      </c>
      <c r="O147" s="50">
        <f t="shared" si="35"/>
        <v>210</v>
      </c>
    </row>
    <row r="148" spans="1:15" x14ac:dyDescent="0.25">
      <c r="A148" s="41">
        <f t="shared" si="33"/>
        <v>996</v>
      </c>
      <c r="B148" s="42">
        <f t="shared" si="33"/>
        <v>138</v>
      </c>
      <c r="C148" s="41" t="s">
        <v>1862</v>
      </c>
      <c r="D148" s="43">
        <f t="shared" si="36"/>
        <v>27</v>
      </c>
      <c r="E148" s="44">
        <f t="shared" si="34"/>
        <v>15</v>
      </c>
      <c r="F148" s="44">
        <f t="shared" si="34"/>
        <v>-8.8888888888888893</v>
      </c>
      <c r="G148" s="42" t="str">
        <f t="shared" si="34"/>
        <v>Half</v>
      </c>
      <c r="H148" s="50">
        <f t="shared" si="34"/>
        <v>10</v>
      </c>
      <c r="I148" s="49">
        <f t="shared" si="34"/>
        <v>160</v>
      </c>
      <c r="J148" s="44">
        <f t="shared" si="34"/>
        <v>8</v>
      </c>
      <c r="K148" s="44">
        <f t="shared" si="34"/>
        <v>0</v>
      </c>
      <c r="L148" s="45">
        <f t="shared" si="25"/>
        <v>0.2</v>
      </c>
      <c r="M148" s="49">
        <v>30</v>
      </c>
      <c r="N148" s="44">
        <f t="shared" si="35"/>
        <v>150</v>
      </c>
      <c r="O148" s="50">
        <f t="shared" si="35"/>
        <v>210</v>
      </c>
    </row>
    <row r="149" spans="1:15" x14ac:dyDescent="0.25">
      <c r="A149" s="41">
        <f t="shared" si="33"/>
        <v>997</v>
      </c>
      <c r="B149" s="42">
        <f t="shared" si="33"/>
        <v>139</v>
      </c>
      <c r="C149" s="41" t="s">
        <v>1863</v>
      </c>
      <c r="D149" s="43">
        <f t="shared" si="36"/>
        <v>27</v>
      </c>
      <c r="E149" s="44">
        <f t="shared" si="34"/>
        <v>15</v>
      </c>
      <c r="F149" s="44">
        <f t="shared" si="34"/>
        <v>-8.8888888888888893</v>
      </c>
      <c r="G149" s="42" t="str">
        <f t="shared" si="34"/>
        <v>Half</v>
      </c>
      <c r="H149" s="50">
        <f t="shared" si="34"/>
        <v>10</v>
      </c>
      <c r="I149" s="49">
        <f t="shared" si="34"/>
        <v>160</v>
      </c>
      <c r="J149" s="44">
        <f t="shared" si="34"/>
        <v>8</v>
      </c>
      <c r="K149" s="44">
        <f t="shared" si="34"/>
        <v>0</v>
      </c>
      <c r="L149" s="45">
        <f t="shared" si="25"/>
        <v>0.2</v>
      </c>
      <c r="M149" s="49">
        <v>60</v>
      </c>
      <c r="N149" s="44">
        <f t="shared" si="35"/>
        <v>150</v>
      </c>
      <c r="O149" s="50">
        <f t="shared" si="35"/>
        <v>210</v>
      </c>
    </row>
    <row r="150" spans="1:15" x14ac:dyDescent="0.25">
      <c r="A150" s="41">
        <f t="shared" si="33"/>
        <v>998</v>
      </c>
      <c r="B150" s="42">
        <f t="shared" si="33"/>
        <v>140</v>
      </c>
      <c r="C150" s="41" t="s">
        <v>1864</v>
      </c>
      <c r="D150" s="43">
        <f t="shared" si="36"/>
        <v>27</v>
      </c>
      <c r="E150" s="44">
        <f t="shared" si="34"/>
        <v>15</v>
      </c>
      <c r="F150" s="44">
        <f t="shared" si="34"/>
        <v>-8.8888888888888893</v>
      </c>
      <c r="G150" s="42" t="str">
        <f t="shared" si="34"/>
        <v>Half</v>
      </c>
      <c r="H150" s="50">
        <f t="shared" si="34"/>
        <v>10</v>
      </c>
      <c r="I150" s="49">
        <f t="shared" si="34"/>
        <v>160</v>
      </c>
      <c r="J150" s="44">
        <f t="shared" si="34"/>
        <v>8</v>
      </c>
      <c r="K150" s="44">
        <f t="shared" si="34"/>
        <v>0</v>
      </c>
      <c r="L150" s="45">
        <f t="shared" si="34"/>
        <v>0.2</v>
      </c>
      <c r="M150" s="49">
        <v>90</v>
      </c>
      <c r="N150" s="44">
        <f t="shared" si="35"/>
        <v>150</v>
      </c>
      <c r="O150" s="50">
        <f t="shared" si="35"/>
        <v>210</v>
      </c>
    </row>
    <row r="151" spans="1:15" x14ac:dyDescent="0.25">
      <c r="A151" s="41">
        <f t="shared" si="33"/>
        <v>999</v>
      </c>
      <c r="B151" s="42">
        <f t="shared" si="33"/>
        <v>141</v>
      </c>
      <c r="C151" s="41" t="s">
        <v>1865</v>
      </c>
      <c r="D151" s="43">
        <f t="shared" si="36"/>
        <v>27</v>
      </c>
      <c r="E151" s="44">
        <f t="shared" si="34"/>
        <v>15</v>
      </c>
      <c r="F151" s="44">
        <f t="shared" si="34"/>
        <v>-8.8888888888888893</v>
      </c>
      <c r="G151" s="42" t="str">
        <f t="shared" si="34"/>
        <v>Half</v>
      </c>
      <c r="H151" s="50">
        <f t="shared" si="34"/>
        <v>10</v>
      </c>
      <c r="I151" s="49">
        <f t="shared" si="34"/>
        <v>160</v>
      </c>
      <c r="J151" s="44">
        <f t="shared" si="34"/>
        <v>8</v>
      </c>
      <c r="K151" s="44">
        <f>yaw_max</f>
        <v>8</v>
      </c>
      <c r="L151" s="45">
        <f>L150</f>
        <v>0.2</v>
      </c>
      <c r="M151" s="49">
        <v>0</v>
      </c>
      <c r="N151" s="44">
        <f t="shared" si="35"/>
        <v>150</v>
      </c>
      <c r="O151" s="50">
        <f t="shared" si="35"/>
        <v>210</v>
      </c>
    </row>
    <row r="152" spans="1:15" x14ac:dyDescent="0.25">
      <c r="A152" s="41">
        <f t="shared" si="33"/>
        <v>1000</v>
      </c>
      <c r="B152" s="42">
        <f t="shared" si="33"/>
        <v>142</v>
      </c>
      <c r="C152" s="41" t="s">
        <v>1866</v>
      </c>
      <c r="D152" s="43">
        <f t="shared" si="36"/>
        <v>27</v>
      </c>
      <c r="E152" s="44">
        <f t="shared" si="34"/>
        <v>15</v>
      </c>
      <c r="F152" s="44">
        <f t="shared" si="34"/>
        <v>-8.8888888888888893</v>
      </c>
      <c r="G152" s="42" t="str">
        <f t="shared" si="34"/>
        <v>Half</v>
      </c>
      <c r="H152" s="50">
        <f t="shared" si="34"/>
        <v>10</v>
      </c>
      <c r="I152" s="49">
        <f t="shared" si="34"/>
        <v>160</v>
      </c>
      <c r="J152" s="44">
        <f t="shared" si="34"/>
        <v>8</v>
      </c>
      <c r="K152" s="44">
        <f t="shared" si="34"/>
        <v>8</v>
      </c>
      <c r="L152" s="45">
        <f t="shared" si="34"/>
        <v>0.2</v>
      </c>
      <c r="M152" s="49">
        <v>30</v>
      </c>
      <c r="N152" s="44">
        <f t="shared" si="35"/>
        <v>150</v>
      </c>
      <c r="O152" s="50">
        <f t="shared" si="35"/>
        <v>210</v>
      </c>
    </row>
    <row r="153" spans="1:15" x14ac:dyDescent="0.25">
      <c r="A153" s="41">
        <f t="shared" si="33"/>
        <v>1001</v>
      </c>
      <c r="B153" s="42">
        <f t="shared" si="33"/>
        <v>143</v>
      </c>
      <c r="C153" s="41" t="s">
        <v>1867</v>
      </c>
      <c r="D153" s="43">
        <f t="shared" si="36"/>
        <v>27</v>
      </c>
      <c r="E153" s="44">
        <f t="shared" si="34"/>
        <v>15</v>
      </c>
      <c r="F153" s="44">
        <f t="shared" si="34"/>
        <v>-8.8888888888888893</v>
      </c>
      <c r="G153" s="42" t="str">
        <f t="shared" si="34"/>
        <v>Half</v>
      </c>
      <c r="H153" s="50">
        <f t="shared" si="34"/>
        <v>10</v>
      </c>
      <c r="I153" s="49">
        <f t="shared" si="34"/>
        <v>160</v>
      </c>
      <c r="J153" s="44">
        <f t="shared" si="34"/>
        <v>8</v>
      </c>
      <c r="K153" s="44">
        <f t="shared" si="34"/>
        <v>8</v>
      </c>
      <c r="L153" s="45">
        <f t="shared" si="34"/>
        <v>0.2</v>
      </c>
      <c r="M153" s="49">
        <v>60</v>
      </c>
      <c r="N153" s="44">
        <f t="shared" si="35"/>
        <v>150</v>
      </c>
      <c r="O153" s="50">
        <f t="shared" si="35"/>
        <v>210</v>
      </c>
    </row>
    <row r="154" spans="1:15" x14ac:dyDescent="0.25">
      <c r="A154" s="41">
        <f t="shared" si="33"/>
        <v>1002</v>
      </c>
      <c r="B154" s="42">
        <f t="shared" si="33"/>
        <v>144</v>
      </c>
      <c r="C154" s="41" t="s">
        <v>1868</v>
      </c>
      <c r="D154" s="43">
        <f t="shared" si="36"/>
        <v>27</v>
      </c>
      <c r="E154" s="44">
        <f t="shared" si="34"/>
        <v>15</v>
      </c>
      <c r="F154" s="44">
        <f t="shared" si="34"/>
        <v>-8.8888888888888893</v>
      </c>
      <c r="G154" s="42" t="str">
        <f t="shared" si="34"/>
        <v>Half</v>
      </c>
      <c r="H154" s="50">
        <f t="shared" si="34"/>
        <v>10</v>
      </c>
      <c r="I154" s="49">
        <f t="shared" si="34"/>
        <v>160</v>
      </c>
      <c r="J154" s="44">
        <f t="shared" si="34"/>
        <v>8</v>
      </c>
      <c r="K154" s="44">
        <f t="shared" si="34"/>
        <v>8</v>
      </c>
      <c r="L154" s="45">
        <f t="shared" si="34"/>
        <v>0.2</v>
      </c>
      <c r="M154" s="49">
        <v>90</v>
      </c>
      <c r="N154" s="44">
        <f t="shared" si="35"/>
        <v>150</v>
      </c>
      <c r="O154" s="50">
        <f t="shared" si="35"/>
        <v>210</v>
      </c>
    </row>
  </sheetData>
  <phoneticPr fontId="1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82"/>
  <sheetViews>
    <sheetView zoomScale="85" zoomScaleNormal="85" workbookViewId="0">
      <selection activeCell="S26" sqref="S26"/>
    </sheetView>
  </sheetViews>
  <sheetFormatPr defaultColWidth="9" defaultRowHeight="15" x14ac:dyDescent="0.15"/>
  <cols>
    <col min="1" max="1" width="7.375" style="23" customWidth="1"/>
    <col min="2" max="2" width="7.125" style="23" customWidth="1"/>
    <col min="3" max="3" width="9.375" style="23" customWidth="1"/>
    <col min="4" max="4" width="6.75" style="23" customWidth="1"/>
    <col min="5" max="7" width="6.875" style="23" customWidth="1"/>
    <col min="8" max="8" width="7.25" style="23" customWidth="1"/>
    <col min="9" max="9" width="7.375" style="23" customWidth="1"/>
    <col min="10" max="10" width="8" style="23" customWidth="1"/>
    <col min="11" max="11" width="7.75" style="23" customWidth="1"/>
    <col min="12" max="13" width="7.375" style="23" customWidth="1"/>
    <col min="14" max="14" width="6.75" style="23" customWidth="1"/>
    <col min="15" max="15" width="8.25" style="23" customWidth="1"/>
    <col min="16" max="16" width="7.125" style="23" customWidth="1"/>
    <col min="17" max="17" width="8.125" style="23" customWidth="1"/>
    <col min="18" max="16384" width="9" style="23"/>
  </cols>
  <sheetData>
    <row r="1" spans="1:17" x14ac:dyDescent="0.15">
      <c r="H1" s="22" t="s">
        <v>135</v>
      </c>
      <c r="I1" s="22" t="s">
        <v>2158</v>
      </c>
    </row>
    <row r="2" spans="1:17" x14ac:dyDescent="0.15">
      <c r="B2" s="22" t="s">
        <v>1869</v>
      </c>
      <c r="C2" s="22"/>
      <c r="D2" s="22"/>
      <c r="E2" s="22"/>
      <c r="F2" s="22"/>
      <c r="G2" s="22"/>
      <c r="H2" s="22"/>
      <c r="I2" s="22" t="s">
        <v>2236</v>
      </c>
    </row>
    <row r="3" spans="1:17" x14ac:dyDescent="0.15">
      <c r="B3" s="22" t="s">
        <v>88</v>
      </c>
      <c r="C3" s="22"/>
      <c r="D3" s="22"/>
      <c r="E3" s="93" t="s">
        <v>2159</v>
      </c>
      <c r="F3" s="93"/>
      <c r="G3" s="93"/>
      <c r="H3" s="22"/>
      <c r="I3" s="22" t="s">
        <v>2237</v>
      </c>
    </row>
    <row r="4" spans="1:17" x14ac:dyDescent="0.15">
      <c r="B4" s="22" t="s">
        <v>89</v>
      </c>
      <c r="C4" s="22"/>
      <c r="D4" s="22"/>
      <c r="E4" s="22" t="s">
        <v>1722</v>
      </c>
      <c r="F4" s="22"/>
      <c r="G4" s="22"/>
      <c r="H4" s="22"/>
      <c r="I4" s="22" t="s">
        <v>2238</v>
      </c>
    </row>
    <row r="5" spans="1:17" x14ac:dyDescent="0.15">
      <c r="B5" s="22" t="s">
        <v>91</v>
      </c>
      <c r="C5" s="22"/>
      <c r="D5" s="22"/>
      <c r="E5" s="22" t="s">
        <v>99</v>
      </c>
      <c r="F5" s="22"/>
      <c r="G5" s="22"/>
      <c r="J5" s="22"/>
      <c r="K5" s="22"/>
    </row>
    <row r="6" spans="1:17" x14ac:dyDescent="0.15">
      <c r="B6" s="22" t="s">
        <v>93</v>
      </c>
      <c r="C6" s="22"/>
      <c r="D6" s="22"/>
      <c r="E6" s="22" t="s">
        <v>100</v>
      </c>
      <c r="F6" s="22"/>
      <c r="G6" s="22"/>
      <c r="J6" s="22"/>
      <c r="K6" s="22"/>
    </row>
    <row r="7" spans="1:17" x14ac:dyDescent="0.15">
      <c r="J7" s="22"/>
      <c r="K7" s="22"/>
    </row>
    <row r="8" spans="1:17" ht="15.75" thickBot="1" x14ac:dyDescent="0.2"/>
    <row r="9" spans="1:17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62" t="s">
        <v>152</v>
      </c>
      <c r="G9" s="62" t="s">
        <v>87</v>
      </c>
      <c r="H9" s="25" t="s">
        <v>146</v>
      </c>
      <c r="I9" s="27" t="s">
        <v>8</v>
      </c>
      <c r="J9" s="47" t="s">
        <v>21</v>
      </c>
      <c r="K9" s="25" t="s">
        <v>147</v>
      </c>
      <c r="L9" s="25" t="s">
        <v>1</v>
      </c>
      <c r="M9" s="25" t="s">
        <v>2</v>
      </c>
      <c r="N9" s="25" t="s">
        <v>10</v>
      </c>
      <c r="O9" s="25" t="s">
        <v>13</v>
      </c>
      <c r="P9" s="27" t="s">
        <v>138</v>
      </c>
      <c r="Q9" s="27" t="s">
        <v>139</v>
      </c>
    </row>
    <row r="10" spans="1:17" ht="15.75" thickBot="1" x14ac:dyDescent="0.3">
      <c r="A10" s="29" t="s">
        <v>76</v>
      </c>
      <c r="B10" s="30" t="str">
        <f>B2</f>
        <v>DLCT6</v>
      </c>
      <c r="C10" s="29"/>
      <c r="D10" s="30" t="s">
        <v>4</v>
      </c>
      <c r="E10" s="59" t="s">
        <v>4</v>
      </c>
      <c r="F10" s="59" t="s">
        <v>14</v>
      </c>
      <c r="G10" s="59"/>
      <c r="H10" s="30" t="s">
        <v>4</v>
      </c>
      <c r="I10" s="32"/>
      <c r="J10" s="32" t="s">
        <v>17</v>
      </c>
      <c r="K10" s="32" t="s">
        <v>7</v>
      </c>
      <c r="L10" s="30" t="s">
        <v>6</v>
      </c>
      <c r="M10" s="30" t="s">
        <v>6</v>
      </c>
      <c r="N10" s="30"/>
      <c r="O10" s="32" t="s">
        <v>7</v>
      </c>
      <c r="P10" s="32" t="s">
        <v>7</v>
      </c>
      <c r="Q10" s="32" t="s">
        <v>7</v>
      </c>
    </row>
    <row r="11" spans="1:17" x14ac:dyDescent="0.25">
      <c r="A11" s="24">
        <f>'DLC13'!A100+1</f>
        <v>859</v>
      </c>
      <c r="B11" s="27">
        <v>1</v>
      </c>
      <c r="C11" s="24" t="s">
        <v>2164</v>
      </c>
      <c r="D11" s="34">
        <f>v_out</f>
        <v>25</v>
      </c>
      <c r="E11" s="60">
        <f t="shared" ref="E11:E34" si="0">I_ref*(0.75*D11+5.6)</f>
        <v>3.4090000000000007</v>
      </c>
      <c r="F11" s="60">
        <f t="shared" ref="F11:F34" si="1">tur_scale</f>
        <v>42</v>
      </c>
      <c r="G11" s="63">
        <f t="shared" ref="G11:G34" si="2">1/(1+0.2*(diameter/F11))</f>
        <v>0.58988764044943809</v>
      </c>
      <c r="H11" s="35">
        <f>6.4*ATAN(E11/D11*G11)/PI()*180</f>
        <v>29.432344969112751</v>
      </c>
      <c r="I11" s="42" t="s">
        <v>12</v>
      </c>
      <c r="J11" s="50">
        <f>EDCT_t</f>
        <v>6</v>
      </c>
      <c r="K11" s="49">
        <f>trig_t</f>
        <v>160</v>
      </c>
      <c r="L11" s="35">
        <f t="shared" ref="L11:L34" si="3">inflow</f>
        <v>8</v>
      </c>
      <c r="M11" s="35">
        <f>yaw_min</f>
        <v>-8</v>
      </c>
      <c r="N11" s="36">
        <f>alpha_n</f>
        <v>0.2</v>
      </c>
      <c r="O11" s="49">
        <v>0</v>
      </c>
      <c r="P11" s="35">
        <f>t_out</f>
        <v>150</v>
      </c>
      <c r="Q11" s="50">
        <f>P11+T_s2</f>
        <v>210</v>
      </c>
    </row>
    <row r="12" spans="1:17" x14ac:dyDescent="0.25">
      <c r="A12" s="41">
        <f t="shared" ref="A12:B27" si="4">A11+1</f>
        <v>860</v>
      </c>
      <c r="B12" s="42">
        <f t="shared" si="4"/>
        <v>2</v>
      </c>
      <c r="C12" s="41" t="s">
        <v>2165</v>
      </c>
      <c r="D12" s="43">
        <f>D11</f>
        <v>25</v>
      </c>
      <c r="E12" s="61">
        <f t="shared" si="0"/>
        <v>3.4090000000000007</v>
      </c>
      <c r="F12" s="61">
        <f t="shared" si="1"/>
        <v>42</v>
      </c>
      <c r="G12" s="64">
        <f t="shared" si="2"/>
        <v>0.58988764044943809</v>
      </c>
      <c r="H12" s="44">
        <f>6.4*ATAN(E12/D12*G12)/PI()*180</f>
        <v>29.432344969112751</v>
      </c>
      <c r="I12" s="42" t="str">
        <f t="shared" ref="I12:N27" si="5">I11</f>
        <v>Half</v>
      </c>
      <c r="J12" s="50">
        <f t="shared" si="5"/>
        <v>6</v>
      </c>
      <c r="K12" s="49">
        <f t="shared" si="5"/>
        <v>160</v>
      </c>
      <c r="L12" s="44">
        <f t="shared" si="3"/>
        <v>8</v>
      </c>
      <c r="M12" s="44">
        <f>yaw_min</f>
        <v>-8</v>
      </c>
      <c r="N12" s="45">
        <f t="shared" si="5"/>
        <v>0.2</v>
      </c>
      <c r="O12" s="49">
        <v>30</v>
      </c>
      <c r="P12" s="44">
        <f>P11</f>
        <v>150</v>
      </c>
      <c r="Q12" s="50">
        <f>Q11</f>
        <v>210</v>
      </c>
    </row>
    <row r="13" spans="1:17" x14ac:dyDescent="0.25">
      <c r="A13" s="41">
        <f t="shared" si="4"/>
        <v>861</v>
      </c>
      <c r="B13" s="42">
        <f t="shared" si="4"/>
        <v>3</v>
      </c>
      <c r="C13" s="41" t="s">
        <v>2166</v>
      </c>
      <c r="D13" s="43">
        <f t="shared" ref="D13:D34" si="6">D12</f>
        <v>25</v>
      </c>
      <c r="E13" s="61">
        <f t="shared" si="0"/>
        <v>3.4090000000000007</v>
      </c>
      <c r="F13" s="61">
        <f t="shared" si="1"/>
        <v>42</v>
      </c>
      <c r="G13" s="64">
        <f t="shared" si="2"/>
        <v>0.58988764044943809</v>
      </c>
      <c r="H13" s="44">
        <f t="shared" ref="H13:H22" si="7">6.4*ATAN(E13/D13*G13)/PI()*180</f>
        <v>29.432344969112751</v>
      </c>
      <c r="I13" s="42" t="str">
        <f t="shared" si="5"/>
        <v>Half</v>
      </c>
      <c r="J13" s="50">
        <f t="shared" si="5"/>
        <v>6</v>
      </c>
      <c r="K13" s="49">
        <f t="shared" si="5"/>
        <v>160</v>
      </c>
      <c r="L13" s="44">
        <f t="shared" si="3"/>
        <v>8</v>
      </c>
      <c r="M13" s="44">
        <f>yaw_min</f>
        <v>-8</v>
      </c>
      <c r="N13" s="45">
        <f t="shared" si="5"/>
        <v>0.2</v>
      </c>
      <c r="O13" s="49">
        <v>60</v>
      </c>
      <c r="P13" s="44">
        <f t="shared" ref="P13:Q28" si="8">P12</f>
        <v>150</v>
      </c>
      <c r="Q13" s="50">
        <f t="shared" si="8"/>
        <v>210</v>
      </c>
    </row>
    <row r="14" spans="1:17" x14ac:dyDescent="0.25">
      <c r="A14" s="41">
        <f t="shared" si="4"/>
        <v>862</v>
      </c>
      <c r="B14" s="42">
        <f t="shared" si="4"/>
        <v>4</v>
      </c>
      <c r="C14" s="41" t="s">
        <v>2167</v>
      </c>
      <c r="D14" s="43">
        <f t="shared" si="6"/>
        <v>25</v>
      </c>
      <c r="E14" s="61">
        <f t="shared" si="0"/>
        <v>3.4090000000000007</v>
      </c>
      <c r="F14" s="61">
        <f t="shared" si="1"/>
        <v>42</v>
      </c>
      <c r="G14" s="64">
        <f t="shared" si="2"/>
        <v>0.58988764044943809</v>
      </c>
      <c r="H14" s="44">
        <f t="shared" si="7"/>
        <v>29.432344969112751</v>
      </c>
      <c r="I14" s="42" t="str">
        <f t="shared" si="5"/>
        <v>Half</v>
      </c>
      <c r="J14" s="50">
        <f t="shared" si="5"/>
        <v>6</v>
      </c>
      <c r="K14" s="49">
        <f t="shared" si="5"/>
        <v>160</v>
      </c>
      <c r="L14" s="44">
        <f t="shared" si="3"/>
        <v>8</v>
      </c>
      <c r="M14" s="44">
        <f>yaw_min</f>
        <v>-8</v>
      </c>
      <c r="N14" s="45">
        <f t="shared" si="5"/>
        <v>0.2</v>
      </c>
      <c r="O14" s="49">
        <v>90</v>
      </c>
      <c r="P14" s="44">
        <f t="shared" si="8"/>
        <v>150</v>
      </c>
      <c r="Q14" s="50">
        <f t="shared" si="8"/>
        <v>210</v>
      </c>
    </row>
    <row r="15" spans="1:17" x14ac:dyDescent="0.25">
      <c r="A15" s="41">
        <f t="shared" si="4"/>
        <v>863</v>
      </c>
      <c r="B15" s="42">
        <f t="shared" si="4"/>
        <v>5</v>
      </c>
      <c r="C15" s="41" t="s">
        <v>2168</v>
      </c>
      <c r="D15" s="43">
        <f t="shared" si="6"/>
        <v>25</v>
      </c>
      <c r="E15" s="61">
        <f t="shared" si="0"/>
        <v>3.4090000000000007</v>
      </c>
      <c r="F15" s="61">
        <f t="shared" si="1"/>
        <v>42</v>
      </c>
      <c r="G15" s="64">
        <f t="shared" si="2"/>
        <v>0.58988764044943809</v>
      </c>
      <c r="H15" s="44">
        <f t="shared" si="7"/>
        <v>29.432344969112751</v>
      </c>
      <c r="I15" s="42" t="str">
        <f t="shared" si="5"/>
        <v>Half</v>
      </c>
      <c r="J15" s="50">
        <f t="shared" si="5"/>
        <v>6</v>
      </c>
      <c r="K15" s="49">
        <f t="shared" si="5"/>
        <v>160</v>
      </c>
      <c r="L15" s="44">
        <f t="shared" si="3"/>
        <v>8</v>
      </c>
      <c r="M15" s="44">
        <f>yaw_null</f>
        <v>0</v>
      </c>
      <c r="N15" s="45">
        <f t="shared" si="5"/>
        <v>0.2</v>
      </c>
      <c r="O15" s="49">
        <v>0</v>
      </c>
      <c r="P15" s="44">
        <f t="shared" si="8"/>
        <v>150</v>
      </c>
      <c r="Q15" s="50">
        <f t="shared" si="8"/>
        <v>210</v>
      </c>
    </row>
    <row r="16" spans="1:17" x14ac:dyDescent="0.25">
      <c r="A16" s="41">
        <f t="shared" si="4"/>
        <v>864</v>
      </c>
      <c r="B16" s="42">
        <f t="shared" si="4"/>
        <v>6</v>
      </c>
      <c r="C16" s="41" t="s">
        <v>2169</v>
      </c>
      <c r="D16" s="43">
        <f t="shared" si="6"/>
        <v>25</v>
      </c>
      <c r="E16" s="61">
        <f t="shared" si="0"/>
        <v>3.4090000000000007</v>
      </c>
      <c r="F16" s="61">
        <f t="shared" si="1"/>
        <v>42</v>
      </c>
      <c r="G16" s="64">
        <f t="shared" si="2"/>
        <v>0.58988764044943809</v>
      </c>
      <c r="H16" s="44">
        <f t="shared" si="7"/>
        <v>29.432344969112751</v>
      </c>
      <c r="I16" s="42" t="str">
        <f t="shared" si="5"/>
        <v>Half</v>
      </c>
      <c r="J16" s="50">
        <f t="shared" ref="J16" si="9">J15</f>
        <v>6</v>
      </c>
      <c r="K16" s="49">
        <f t="shared" si="5"/>
        <v>160</v>
      </c>
      <c r="L16" s="44">
        <f t="shared" si="3"/>
        <v>8</v>
      </c>
      <c r="M16" s="44">
        <f>yaw_null</f>
        <v>0</v>
      </c>
      <c r="N16" s="45">
        <f t="shared" si="5"/>
        <v>0.2</v>
      </c>
      <c r="O16" s="49">
        <v>30</v>
      </c>
      <c r="P16" s="44">
        <f t="shared" si="8"/>
        <v>150</v>
      </c>
      <c r="Q16" s="50">
        <f t="shared" si="8"/>
        <v>210</v>
      </c>
    </row>
    <row r="17" spans="1:17" x14ac:dyDescent="0.25">
      <c r="A17" s="41">
        <f t="shared" si="4"/>
        <v>865</v>
      </c>
      <c r="B17" s="42">
        <f t="shared" si="4"/>
        <v>7</v>
      </c>
      <c r="C17" s="41" t="s">
        <v>2170</v>
      </c>
      <c r="D17" s="43">
        <f t="shared" si="6"/>
        <v>25</v>
      </c>
      <c r="E17" s="61">
        <f t="shared" si="0"/>
        <v>3.4090000000000007</v>
      </c>
      <c r="F17" s="61">
        <f t="shared" si="1"/>
        <v>42</v>
      </c>
      <c r="G17" s="64">
        <f t="shared" si="2"/>
        <v>0.58988764044943809</v>
      </c>
      <c r="H17" s="44">
        <f t="shared" si="7"/>
        <v>29.432344969112751</v>
      </c>
      <c r="I17" s="42" t="str">
        <f t="shared" si="5"/>
        <v>Half</v>
      </c>
      <c r="J17" s="50">
        <f t="shared" ref="J17" si="10">J16</f>
        <v>6</v>
      </c>
      <c r="K17" s="49">
        <f t="shared" si="5"/>
        <v>160</v>
      </c>
      <c r="L17" s="44">
        <f t="shared" si="3"/>
        <v>8</v>
      </c>
      <c r="M17" s="44">
        <f>yaw_null</f>
        <v>0</v>
      </c>
      <c r="N17" s="45">
        <f t="shared" si="5"/>
        <v>0.2</v>
      </c>
      <c r="O17" s="49">
        <v>60</v>
      </c>
      <c r="P17" s="44">
        <f t="shared" si="8"/>
        <v>150</v>
      </c>
      <c r="Q17" s="50">
        <f t="shared" si="8"/>
        <v>210</v>
      </c>
    </row>
    <row r="18" spans="1:17" x14ac:dyDescent="0.25">
      <c r="A18" s="41">
        <f t="shared" si="4"/>
        <v>866</v>
      </c>
      <c r="B18" s="42">
        <f t="shared" si="4"/>
        <v>8</v>
      </c>
      <c r="C18" s="41" t="s">
        <v>2171</v>
      </c>
      <c r="D18" s="43">
        <f t="shared" si="6"/>
        <v>25</v>
      </c>
      <c r="E18" s="61">
        <f t="shared" si="0"/>
        <v>3.4090000000000007</v>
      </c>
      <c r="F18" s="61">
        <f t="shared" si="1"/>
        <v>42</v>
      </c>
      <c r="G18" s="64">
        <f t="shared" si="2"/>
        <v>0.58988764044943809</v>
      </c>
      <c r="H18" s="44">
        <f t="shared" si="7"/>
        <v>29.432344969112751</v>
      </c>
      <c r="I18" s="42" t="str">
        <f t="shared" si="5"/>
        <v>Half</v>
      </c>
      <c r="J18" s="50">
        <f t="shared" ref="J18" si="11">J17</f>
        <v>6</v>
      </c>
      <c r="K18" s="49">
        <f t="shared" si="5"/>
        <v>160</v>
      </c>
      <c r="L18" s="44">
        <f t="shared" si="3"/>
        <v>8</v>
      </c>
      <c r="M18" s="44">
        <f>yaw_null</f>
        <v>0</v>
      </c>
      <c r="N18" s="45">
        <f t="shared" si="5"/>
        <v>0.2</v>
      </c>
      <c r="O18" s="49">
        <v>90</v>
      </c>
      <c r="P18" s="44">
        <f t="shared" si="8"/>
        <v>150</v>
      </c>
      <c r="Q18" s="50">
        <f t="shared" si="8"/>
        <v>210</v>
      </c>
    </row>
    <row r="19" spans="1:17" x14ac:dyDescent="0.25">
      <c r="A19" s="41">
        <f t="shared" si="4"/>
        <v>867</v>
      </c>
      <c r="B19" s="42">
        <f t="shared" si="4"/>
        <v>9</v>
      </c>
      <c r="C19" s="41" t="s">
        <v>2172</v>
      </c>
      <c r="D19" s="43">
        <f t="shared" si="6"/>
        <v>25</v>
      </c>
      <c r="E19" s="61">
        <f t="shared" si="0"/>
        <v>3.4090000000000007</v>
      </c>
      <c r="F19" s="61">
        <f t="shared" si="1"/>
        <v>42</v>
      </c>
      <c r="G19" s="64">
        <f t="shared" si="2"/>
        <v>0.58988764044943809</v>
      </c>
      <c r="H19" s="44">
        <f t="shared" si="7"/>
        <v>29.432344969112751</v>
      </c>
      <c r="I19" s="42" t="str">
        <f t="shared" si="5"/>
        <v>Half</v>
      </c>
      <c r="J19" s="50">
        <f t="shared" ref="J19" si="12">J18</f>
        <v>6</v>
      </c>
      <c r="K19" s="49">
        <f t="shared" si="5"/>
        <v>160</v>
      </c>
      <c r="L19" s="44">
        <f t="shared" si="3"/>
        <v>8</v>
      </c>
      <c r="M19" s="44">
        <f>yaw_max</f>
        <v>8</v>
      </c>
      <c r="N19" s="45">
        <f t="shared" si="5"/>
        <v>0.2</v>
      </c>
      <c r="O19" s="49">
        <v>0</v>
      </c>
      <c r="P19" s="44">
        <f t="shared" si="8"/>
        <v>150</v>
      </c>
      <c r="Q19" s="50">
        <f t="shared" si="8"/>
        <v>210</v>
      </c>
    </row>
    <row r="20" spans="1:17" x14ac:dyDescent="0.25">
      <c r="A20" s="41">
        <f t="shared" si="4"/>
        <v>868</v>
      </c>
      <c r="B20" s="42">
        <f t="shared" si="4"/>
        <v>10</v>
      </c>
      <c r="C20" s="41" t="s">
        <v>2173</v>
      </c>
      <c r="D20" s="43">
        <f t="shared" si="6"/>
        <v>25</v>
      </c>
      <c r="E20" s="61">
        <f t="shared" si="0"/>
        <v>3.4090000000000007</v>
      </c>
      <c r="F20" s="61">
        <f t="shared" si="1"/>
        <v>42</v>
      </c>
      <c r="G20" s="64">
        <f t="shared" si="2"/>
        <v>0.58988764044943809</v>
      </c>
      <c r="H20" s="44">
        <f t="shared" si="7"/>
        <v>29.432344969112751</v>
      </c>
      <c r="I20" s="42" t="str">
        <f>I19</f>
        <v>Half</v>
      </c>
      <c r="J20" s="50">
        <f t="shared" ref="J20" si="13">J19</f>
        <v>6</v>
      </c>
      <c r="K20" s="49">
        <f t="shared" si="5"/>
        <v>160</v>
      </c>
      <c r="L20" s="44">
        <f t="shared" si="3"/>
        <v>8</v>
      </c>
      <c r="M20" s="44">
        <f>yaw_max</f>
        <v>8</v>
      </c>
      <c r="N20" s="45">
        <f t="shared" si="5"/>
        <v>0.2</v>
      </c>
      <c r="O20" s="49">
        <v>30</v>
      </c>
      <c r="P20" s="44">
        <f t="shared" si="8"/>
        <v>150</v>
      </c>
      <c r="Q20" s="50">
        <f t="shared" si="8"/>
        <v>210</v>
      </c>
    </row>
    <row r="21" spans="1:17" x14ac:dyDescent="0.25">
      <c r="A21" s="41">
        <f t="shared" si="4"/>
        <v>869</v>
      </c>
      <c r="B21" s="42">
        <f t="shared" si="4"/>
        <v>11</v>
      </c>
      <c r="C21" s="41" t="s">
        <v>2174</v>
      </c>
      <c r="D21" s="43">
        <f t="shared" si="6"/>
        <v>25</v>
      </c>
      <c r="E21" s="61">
        <f t="shared" si="0"/>
        <v>3.4090000000000007</v>
      </c>
      <c r="F21" s="61">
        <f t="shared" si="1"/>
        <v>42</v>
      </c>
      <c r="G21" s="64">
        <f t="shared" si="2"/>
        <v>0.58988764044943809</v>
      </c>
      <c r="H21" s="44">
        <f t="shared" si="7"/>
        <v>29.432344969112751</v>
      </c>
      <c r="I21" s="42" t="str">
        <f>I20</f>
        <v>Half</v>
      </c>
      <c r="J21" s="50">
        <f t="shared" ref="J21" si="14">J20</f>
        <v>6</v>
      </c>
      <c r="K21" s="49">
        <f t="shared" si="5"/>
        <v>160</v>
      </c>
      <c r="L21" s="44">
        <f t="shared" si="3"/>
        <v>8</v>
      </c>
      <c r="M21" s="44">
        <f>yaw_max</f>
        <v>8</v>
      </c>
      <c r="N21" s="45">
        <f t="shared" si="5"/>
        <v>0.2</v>
      </c>
      <c r="O21" s="49">
        <v>60</v>
      </c>
      <c r="P21" s="44">
        <f t="shared" si="8"/>
        <v>150</v>
      </c>
      <c r="Q21" s="50">
        <f t="shared" si="8"/>
        <v>210</v>
      </c>
    </row>
    <row r="22" spans="1:17" x14ac:dyDescent="0.25">
      <c r="A22" s="41">
        <f t="shared" si="4"/>
        <v>870</v>
      </c>
      <c r="B22" s="42">
        <f t="shared" si="4"/>
        <v>12</v>
      </c>
      <c r="C22" s="41" t="s">
        <v>2175</v>
      </c>
      <c r="D22" s="43">
        <f t="shared" si="6"/>
        <v>25</v>
      </c>
      <c r="E22" s="61">
        <f t="shared" si="0"/>
        <v>3.4090000000000007</v>
      </c>
      <c r="F22" s="61">
        <f t="shared" si="1"/>
        <v>42</v>
      </c>
      <c r="G22" s="64">
        <f t="shared" si="2"/>
        <v>0.58988764044943809</v>
      </c>
      <c r="H22" s="44">
        <f t="shared" si="7"/>
        <v>29.432344969112751</v>
      </c>
      <c r="I22" s="42" t="str">
        <f>I21</f>
        <v>Half</v>
      </c>
      <c r="J22" s="50">
        <f t="shared" ref="J22" si="15">J21</f>
        <v>6</v>
      </c>
      <c r="K22" s="49">
        <f t="shared" si="5"/>
        <v>160</v>
      </c>
      <c r="L22" s="44">
        <f t="shared" si="3"/>
        <v>8</v>
      </c>
      <c r="M22" s="128">
        <f>yaw_max</f>
        <v>8</v>
      </c>
      <c r="N22" s="45">
        <f t="shared" si="5"/>
        <v>0.2</v>
      </c>
      <c r="O22" s="49">
        <v>90</v>
      </c>
      <c r="P22" s="44">
        <f t="shared" si="8"/>
        <v>150</v>
      </c>
      <c r="Q22" s="50">
        <f t="shared" si="8"/>
        <v>210</v>
      </c>
    </row>
    <row r="23" spans="1:17" x14ac:dyDescent="0.25">
      <c r="A23" s="41">
        <f t="shared" si="4"/>
        <v>871</v>
      </c>
      <c r="B23" s="42">
        <f t="shared" si="4"/>
        <v>13</v>
      </c>
      <c r="C23" s="41" t="s">
        <v>2176</v>
      </c>
      <c r="D23" s="43">
        <f t="shared" si="6"/>
        <v>25</v>
      </c>
      <c r="E23" s="61">
        <f t="shared" si="0"/>
        <v>3.4090000000000007</v>
      </c>
      <c r="F23" s="61">
        <f t="shared" si="1"/>
        <v>42</v>
      </c>
      <c r="G23" s="64">
        <f t="shared" si="2"/>
        <v>0.58988764044943809</v>
      </c>
      <c r="H23" s="44">
        <f>-6.4*ATAN(E23/D23*G23)/PI()*180</f>
        <v>-29.432344969112751</v>
      </c>
      <c r="I23" s="42" t="str">
        <f t="shared" si="5"/>
        <v>Half</v>
      </c>
      <c r="J23" s="50">
        <f t="shared" ref="J23" si="16">J22</f>
        <v>6</v>
      </c>
      <c r="K23" s="49">
        <f t="shared" si="5"/>
        <v>160</v>
      </c>
      <c r="L23" s="44">
        <f t="shared" si="3"/>
        <v>8</v>
      </c>
      <c r="M23" s="44">
        <f>yaw_min</f>
        <v>-8</v>
      </c>
      <c r="N23" s="45">
        <f t="shared" si="5"/>
        <v>0.2</v>
      </c>
      <c r="O23" s="49">
        <v>0</v>
      </c>
      <c r="P23" s="44">
        <f t="shared" si="8"/>
        <v>150</v>
      </c>
      <c r="Q23" s="50">
        <f t="shared" si="8"/>
        <v>210</v>
      </c>
    </row>
    <row r="24" spans="1:17" x14ac:dyDescent="0.25">
      <c r="A24" s="41">
        <f t="shared" si="4"/>
        <v>872</v>
      </c>
      <c r="B24" s="42">
        <f t="shared" si="4"/>
        <v>14</v>
      </c>
      <c r="C24" s="41" t="s">
        <v>2177</v>
      </c>
      <c r="D24" s="43">
        <f t="shared" si="6"/>
        <v>25</v>
      </c>
      <c r="E24" s="61">
        <f t="shared" si="0"/>
        <v>3.4090000000000007</v>
      </c>
      <c r="F24" s="61">
        <f t="shared" si="1"/>
        <v>42</v>
      </c>
      <c r="G24" s="64">
        <f t="shared" si="2"/>
        <v>0.58988764044943809</v>
      </c>
      <c r="H24" s="44">
        <f t="shared" ref="H24:H34" si="17">-6.4*ATAN(E24/D24*G24)/PI()*180</f>
        <v>-29.432344969112751</v>
      </c>
      <c r="I24" s="42" t="str">
        <f t="shared" si="5"/>
        <v>Half</v>
      </c>
      <c r="J24" s="50">
        <f t="shared" ref="J24" si="18">J23</f>
        <v>6</v>
      </c>
      <c r="K24" s="49">
        <f t="shared" si="5"/>
        <v>160</v>
      </c>
      <c r="L24" s="44">
        <f t="shared" si="3"/>
        <v>8</v>
      </c>
      <c r="M24" s="44">
        <f>yaw_min</f>
        <v>-8</v>
      </c>
      <c r="N24" s="45">
        <f t="shared" si="5"/>
        <v>0.2</v>
      </c>
      <c r="O24" s="49">
        <v>30</v>
      </c>
      <c r="P24" s="44">
        <f t="shared" si="8"/>
        <v>150</v>
      </c>
      <c r="Q24" s="50">
        <f t="shared" si="8"/>
        <v>210</v>
      </c>
    </row>
    <row r="25" spans="1:17" x14ac:dyDescent="0.25">
      <c r="A25" s="41">
        <f t="shared" si="4"/>
        <v>873</v>
      </c>
      <c r="B25" s="42">
        <f t="shared" si="4"/>
        <v>15</v>
      </c>
      <c r="C25" s="41" t="s">
        <v>2178</v>
      </c>
      <c r="D25" s="43">
        <f t="shared" si="6"/>
        <v>25</v>
      </c>
      <c r="E25" s="61">
        <f t="shared" si="0"/>
        <v>3.4090000000000007</v>
      </c>
      <c r="F25" s="61">
        <f t="shared" si="1"/>
        <v>42</v>
      </c>
      <c r="G25" s="64">
        <f t="shared" si="2"/>
        <v>0.58988764044943809</v>
      </c>
      <c r="H25" s="44">
        <f t="shared" si="17"/>
        <v>-29.432344969112751</v>
      </c>
      <c r="I25" s="42" t="str">
        <f t="shared" si="5"/>
        <v>Half</v>
      </c>
      <c r="J25" s="50">
        <f t="shared" ref="J25" si="19">J24</f>
        <v>6</v>
      </c>
      <c r="K25" s="49">
        <f t="shared" si="5"/>
        <v>160</v>
      </c>
      <c r="L25" s="44">
        <f t="shared" si="3"/>
        <v>8</v>
      </c>
      <c r="M25" s="44">
        <f>yaw_min</f>
        <v>-8</v>
      </c>
      <c r="N25" s="45">
        <f t="shared" si="5"/>
        <v>0.2</v>
      </c>
      <c r="O25" s="49">
        <v>60</v>
      </c>
      <c r="P25" s="44">
        <f t="shared" si="8"/>
        <v>150</v>
      </c>
      <c r="Q25" s="50">
        <f t="shared" si="8"/>
        <v>210</v>
      </c>
    </row>
    <row r="26" spans="1:17" x14ac:dyDescent="0.25">
      <c r="A26" s="41">
        <f t="shared" si="4"/>
        <v>874</v>
      </c>
      <c r="B26" s="42">
        <f t="shared" si="4"/>
        <v>16</v>
      </c>
      <c r="C26" s="41" t="s">
        <v>2179</v>
      </c>
      <c r="D26" s="43">
        <f t="shared" si="6"/>
        <v>25</v>
      </c>
      <c r="E26" s="61">
        <f t="shared" si="0"/>
        <v>3.4090000000000007</v>
      </c>
      <c r="F26" s="61">
        <f t="shared" si="1"/>
        <v>42</v>
      </c>
      <c r="G26" s="64">
        <f t="shared" si="2"/>
        <v>0.58988764044943809</v>
      </c>
      <c r="H26" s="44">
        <f t="shared" si="17"/>
        <v>-29.432344969112751</v>
      </c>
      <c r="I26" s="42" t="str">
        <f t="shared" si="5"/>
        <v>Half</v>
      </c>
      <c r="J26" s="50">
        <f t="shared" ref="J26" si="20">J25</f>
        <v>6</v>
      </c>
      <c r="K26" s="49">
        <f t="shared" si="5"/>
        <v>160</v>
      </c>
      <c r="L26" s="44">
        <f t="shared" si="3"/>
        <v>8</v>
      </c>
      <c r="M26" s="44">
        <f>yaw_min</f>
        <v>-8</v>
      </c>
      <c r="N26" s="45">
        <f t="shared" si="5"/>
        <v>0.2</v>
      </c>
      <c r="O26" s="49">
        <v>90</v>
      </c>
      <c r="P26" s="44">
        <f t="shared" si="8"/>
        <v>150</v>
      </c>
      <c r="Q26" s="50">
        <f t="shared" si="8"/>
        <v>210</v>
      </c>
    </row>
    <row r="27" spans="1:17" x14ac:dyDescent="0.25">
      <c r="A27" s="41">
        <f t="shared" si="4"/>
        <v>875</v>
      </c>
      <c r="B27" s="42">
        <f t="shared" si="4"/>
        <v>17</v>
      </c>
      <c r="C27" s="41" t="s">
        <v>2180</v>
      </c>
      <c r="D27" s="43">
        <f t="shared" si="6"/>
        <v>25</v>
      </c>
      <c r="E27" s="61">
        <f t="shared" si="0"/>
        <v>3.4090000000000007</v>
      </c>
      <c r="F27" s="61">
        <f t="shared" si="1"/>
        <v>42</v>
      </c>
      <c r="G27" s="64">
        <f t="shared" si="2"/>
        <v>0.58988764044943809</v>
      </c>
      <c r="H27" s="44">
        <f t="shared" si="17"/>
        <v>-29.432344969112751</v>
      </c>
      <c r="I27" s="42" t="s">
        <v>12</v>
      </c>
      <c r="J27" s="50">
        <f t="shared" ref="J27" si="21">J26</f>
        <v>6</v>
      </c>
      <c r="K27" s="49">
        <f t="shared" si="5"/>
        <v>160</v>
      </c>
      <c r="L27" s="44">
        <f t="shared" si="3"/>
        <v>8</v>
      </c>
      <c r="M27" s="44">
        <f>yaw_null</f>
        <v>0</v>
      </c>
      <c r="N27" s="45">
        <f t="shared" si="5"/>
        <v>0.2</v>
      </c>
      <c r="O27" s="49">
        <v>0</v>
      </c>
      <c r="P27" s="44">
        <f t="shared" si="8"/>
        <v>150</v>
      </c>
      <c r="Q27" s="50">
        <f t="shared" si="8"/>
        <v>210</v>
      </c>
    </row>
    <row r="28" spans="1:17" x14ac:dyDescent="0.25">
      <c r="A28" s="41">
        <f t="shared" ref="A28:B35" si="22">A27+1</f>
        <v>876</v>
      </c>
      <c r="B28" s="42">
        <f t="shared" si="22"/>
        <v>18</v>
      </c>
      <c r="C28" s="41" t="s">
        <v>2181</v>
      </c>
      <c r="D28" s="43">
        <f t="shared" si="6"/>
        <v>25</v>
      </c>
      <c r="E28" s="61">
        <f t="shared" si="0"/>
        <v>3.4090000000000007</v>
      </c>
      <c r="F28" s="61">
        <f t="shared" si="1"/>
        <v>42</v>
      </c>
      <c r="G28" s="64">
        <f t="shared" si="2"/>
        <v>0.58988764044943809</v>
      </c>
      <c r="H28" s="44">
        <f t="shared" si="17"/>
        <v>-29.432344969112751</v>
      </c>
      <c r="I28" s="42" t="str">
        <f>I27</f>
        <v>Half</v>
      </c>
      <c r="J28" s="50">
        <f t="shared" ref="J28" si="23">J27</f>
        <v>6</v>
      </c>
      <c r="K28" s="49">
        <f t="shared" ref="K28:N35" si="24">K27</f>
        <v>160</v>
      </c>
      <c r="L28" s="44">
        <f t="shared" si="3"/>
        <v>8</v>
      </c>
      <c r="M28" s="44">
        <f>yaw_null</f>
        <v>0</v>
      </c>
      <c r="N28" s="45">
        <f t="shared" si="24"/>
        <v>0.2</v>
      </c>
      <c r="O28" s="49">
        <v>30</v>
      </c>
      <c r="P28" s="44">
        <f t="shared" si="8"/>
        <v>150</v>
      </c>
      <c r="Q28" s="50">
        <f t="shared" si="8"/>
        <v>210</v>
      </c>
    </row>
    <row r="29" spans="1:17" x14ac:dyDescent="0.25">
      <c r="A29" s="41">
        <f t="shared" si="22"/>
        <v>877</v>
      </c>
      <c r="B29" s="42">
        <f t="shared" si="22"/>
        <v>19</v>
      </c>
      <c r="C29" s="41" t="s">
        <v>2182</v>
      </c>
      <c r="D29" s="43">
        <f t="shared" si="6"/>
        <v>25</v>
      </c>
      <c r="E29" s="61">
        <f t="shared" si="0"/>
        <v>3.4090000000000007</v>
      </c>
      <c r="F29" s="61">
        <f t="shared" si="1"/>
        <v>42</v>
      </c>
      <c r="G29" s="64">
        <f t="shared" si="2"/>
        <v>0.58988764044943809</v>
      </c>
      <c r="H29" s="44">
        <f t="shared" si="17"/>
        <v>-29.432344969112751</v>
      </c>
      <c r="I29" s="42" t="str">
        <f t="shared" ref="I29:J34" si="25">I28</f>
        <v>Half</v>
      </c>
      <c r="J29" s="50">
        <f t="shared" si="25"/>
        <v>6</v>
      </c>
      <c r="K29" s="49">
        <f t="shared" si="24"/>
        <v>160</v>
      </c>
      <c r="L29" s="44">
        <f t="shared" si="3"/>
        <v>8</v>
      </c>
      <c r="M29" s="44">
        <f>yaw_null</f>
        <v>0</v>
      </c>
      <c r="N29" s="45">
        <f t="shared" si="24"/>
        <v>0.2</v>
      </c>
      <c r="O29" s="49">
        <v>60</v>
      </c>
      <c r="P29" s="44">
        <f t="shared" ref="P29:Q35" si="26">P28</f>
        <v>150</v>
      </c>
      <c r="Q29" s="50">
        <f t="shared" si="26"/>
        <v>210</v>
      </c>
    </row>
    <row r="30" spans="1:17" x14ac:dyDescent="0.25">
      <c r="A30" s="41">
        <f t="shared" si="22"/>
        <v>878</v>
      </c>
      <c r="B30" s="42">
        <f t="shared" si="22"/>
        <v>20</v>
      </c>
      <c r="C30" s="41" t="s">
        <v>2183</v>
      </c>
      <c r="D30" s="43">
        <f t="shared" si="6"/>
        <v>25</v>
      </c>
      <c r="E30" s="61">
        <f t="shared" si="0"/>
        <v>3.4090000000000007</v>
      </c>
      <c r="F30" s="61">
        <f t="shared" si="1"/>
        <v>42</v>
      </c>
      <c r="G30" s="64">
        <f t="shared" si="2"/>
        <v>0.58988764044943809</v>
      </c>
      <c r="H30" s="44">
        <f t="shared" si="17"/>
        <v>-29.432344969112751</v>
      </c>
      <c r="I30" s="42" t="str">
        <f t="shared" si="25"/>
        <v>Half</v>
      </c>
      <c r="J30" s="50">
        <f t="shared" si="25"/>
        <v>6</v>
      </c>
      <c r="K30" s="49">
        <f t="shared" si="24"/>
        <v>160</v>
      </c>
      <c r="L30" s="44">
        <f t="shared" si="3"/>
        <v>8</v>
      </c>
      <c r="M30" s="44">
        <f>yaw_null</f>
        <v>0</v>
      </c>
      <c r="N30" s="45">
        <f t="shared" si="24"/>
        <v>0.2</v>
      </c>
      <c r="O30" s="49">
        <v>90</v>
      </c>
      <c r="P30" s="44">
        <f t="shared" si="26"/>
        <v>150</v>
      </c>
      <c r="Q30" s="50">
        <f t="shared" si="26"/>
        <v>210</v>
      </c>
    </row>
    <row r="31" spans="1:17" x14ac:dyDescent="0.25">
      <c r="A31" s="41">
        <f t="shared" si="22"/>
        <v>879</v>
      </c>
      <c r="B31" s="42">
        <f t="shared" si="22"/>
        <v>21</v>
      </c>
      <c r="C31" s="41" t="s">
        <v>2184</v>
      </c>
      <c r="D31" s="43">
        <f t="shared" si="6"/>
        <v>25</v>
      </c>
      <c r="E31" s="61">
        <f t="shared" si="0"/>
        <v>3.4090000000000007</v>
      </c>
      <c r="F31" s="61">
        <f t="shared" si="1"/>
        <v>42</v>
      </c>
      <c r="G31" s="64">
        <f t="shared" si="2"/>
        <v>0.58988764044943809</v>
      </c>
      <c r="H31" s="44">
        <f t="shared" si="17"/>
        <v>-29.432344969112751</v>
      </c>
      <c r="I31" s="42" t="str">
        <f t="shared" si="25"/>
        <v>Half</v>
      </c>
      <c r="J31" s="50">
        <f t="shared" si="25"/>
        <v>6</v>
      </c>
      <c r="K31" s="49">
        <f t="shared" si="24"/>
        <v>160</v>
      </c>
      <c r="L31" s="44">
        <f t="shared" si="3"/>
        <v>8</v>
      </c>
      <c r="M31" s="44">
        <f>yaw_max</f>
        <v>8</v>
      </c>
      <c r="N31" s="45">
        <f t="shared" si="24"/>
        <v>0.2</v>
      </c>
      <c r="O31" s="49">
        <v>0</v>
      </c>
      <c r="P31" s="44">
        <f t="shared" si="26"/>
        <v>150</v>
      </c>
      <c r="Q31" s="50">
        <f t="shared" si="26"/>
        <v>210</v>
      </c>
    </row>
    <row r="32" spans="1:17" x14ac:dyDescent="0.25">
      <c r="A32" s="41">
        <f t="shared" si="22"/>
        <v>880</v>
      </c>
      <c r="B32" s="42">
        <f t="shared" si="22"/>
        <v>22</v>
      </c>
      <c r="C32" s="41" t="s">
        <v>2185</v>
      </c>
      <c r="D32" s="43">
        <f t="shared" si="6"/>
        <v>25</v>
      </c>
      <c r="E32" s="61">
        <f t="shared" si="0"/>
        <v>3.4090000000000007</v>
      </c>
      <c r="F32" s="61">
        <f t="shared" si="1"/>
        <v>42</v>
      </c>
      <c r="G32" s="64">
        <f t="shared" si="2"/>
        <v>0.58988764044943809</v>
      </c>
      <c r="H32" s="44">
        <f t="shared" si="17"/>
        <v>-29.432344969112751</v>
      </c>
      <c r="I32" s="42" t="str">
        <f t="shared" si="25"/>
        <v>Half</v>
      </c>
      <c r="J32" s="50">
        <f t="shared" si="25"/>
        <v>6</v>
      </c>
      <c r="K32" s="49">
        <f t="shared" si="24"/>
        <v>160</v>
      </c>
      <c r="L32" s="44">
        <f t="shared" si="3"/>
        <v>8</v>
      </c>
      <c r="M32" s="44">
        <f>yaw_max</f>
        <v>8</v>
      </c>
      <c r="N32" s="45">
        <f t="shared" si="24"/>
        <v>0.2</v>
      </c>
      <c r="O32" s="49">
        <v>30</v>
      </c>
      <c r="P32" s="44">
        <f t="shared" si="26"/>
        <v>150</v>
      </c>
      <c r="Q32" s="50">
        <f t="shared" si="26"/>
        <v>210</v>
      </c>
    </row>
    <row r="33" spans="1:17" x14ac:dyDescent="0.25">
      <c r="A33" s="41">
        <f t="shared" si="22"/>
        <v>881</v>
      </c>
      <c r="B33" s="42">
        <f t="shared" si="22"/>
        <v>23</v>
      </c>
      <c r="C33" s="41" t="s">
        <v>2186</v>
      </c>
      <c r="D33" s="43">
        <f t="shared" si="6"/>
        <v>25</v>
      </c>
      <c r="E33" s="61">
        <f t="shared" si="0"/>
        <v>3.4090000000000007</v>
      </c>
      <c r="F33" s="61">
        <f t="shared" si="1"/>
        <v>42</v>
      </c>
      <c r="G33" s="64">
        <f t="shared" si="2"/>
        <v>0.58988764044943809</v>
      </c>
      <c r="H33" s="44">
        <f t="shared" si="17"/>
        <v>-29.432344969112751</v>
      </c>
      <c r="I33" s="42" t="str">
        <f t="shared" si="25"/>
        <v>Half</v>
      </c>
      <c r="J33" s="50">
        <f t="shared" si="25"/>
        <v>6</v>
      </c>
      <c r="K33" s="49">
        <f t="shared" si="24"/>
        <v>160</v>
      </c>
      <c r="L33" s="44">
        <f t="shared" si="3"/>
        <v>8</v>
      </c>
      <c r="M33" s="44">
        <f>yaw_max</f>
        <v>8</v>
      </c>
      <c r="N33" s="45">
        <f t="shared" si="24"/>
        <v>0.2</v>
      </c>
      <c r="O33" s="49">
        <v>60</v>
      </c>
      <c r="P33" s="44">
        <f t="shared" si="26"/>
        <v>150</v>
      </c>
      <c r="Q33" s="50">
        <f t="shared" si="26"/>
        <v>210</v>
      </c>
    </row>
    <row r="34" spans="1:17" x14ac:dyDescent="0.25">
      <c r="A34" s="41">
        <f t="shared" si="22"/>
        <v>882</v>
      </c>
      <c r="B34" s="42">
        <f t="shared" si="22"/>
        <v>24</v>
      </c>
      <c r="C34" s="127" t="s">
        <v>2187</v>
      </c>
      <c r="D34" s="43">
        <f t="shared" si="6"/>
        <v>25</v>
      </c>
      <c r="E34" s="61">
        <f t="shared" si="0"/>
        <v>3.4090000000000007</v>
      </c>
      <c r="F34" s="61">
        <f t="shared" si="1"/>
        <v>42</v>
      </c>
      <c r="G34" s="64">
        <f t="shared" si="2"/>
        <v>0.58988764044943809</v>
      </c>
      <c r="H34" s="44">
        <f t="shared" si="17"/>
        <v>-29.432344969112751</v>
      </c>
      <c r="I34" s="42" t="str">
        <f t="shared" si="25"/>
        <v>Half</v>
      </c>
      <c r="J34" s="50">
        <f t="shared" si="25"/>
        <v>6</v>
      </c>
      <c r="K34" s="49">
        <f t="shared" si="24"/>
        <v>160</v>
      </c>
      <c r="L34" s="44">
        <f t="shared" si="3"/>
        <v>8</v>
      </c>
      <c r="M34" s="128">
        <f>yaw_max</f>
        <v>8</v>
      </c>
      <c r="N34" s="45">
        <f t="shared" si="24"/>
        <v>0.2</v>
      </c>
      <c r="O34" s="49">
        <v>90</v>
      </c>
      <c r="P34" s="44">
        <f t="shared" si="26"/>
        <v>150</v>
      </c>
      <c r="Q34" s="50">
        <f t="shared" si="26"/>
        <v>210</v>
      </c>
    </row>
    <row r="35" spans="1:17" x14ac:dyDescent="0.25">
      <c r="A35" s="41">
        <f t="shared" si="22"/>
        <v>883</v>
      </c>
      <c r="B35" s="42">
        <f t="shared" si="22"/>
        <v>25</v>
      </c>
      <c r="C35" s="41" t="s">
        <v>2188</v>
      </c>
      <c r="D35" s="43">
        <f t="shared" ref="D35:D58" si="27">0.6*v_tref</f>
        <v>34.199999999999996</v>
      </c>
      <c r="E35" s="61">
        <f t="shared" ref="E35:E58" si="28">I_ref*(0.75*D35+5.6)</f>
        <v>4.375</v>
      </c>
      <c r="F35" s="61">
        <f t="shared" ref="F35:F58" si="29">tur_scale</f>
        <v>42</v>
      </c>
      <c r="G35" s="64">
        <f t="shared" ref="G35:G58" si="30">1/(1+0.2*(diameter/F35))</f>
        <v>0.58988764044943809</v>
      </c>
      <c r="H35" s="44">
        <f>6.4*ATAN(E35/D35*G35)/PI()*180</f>
        <v>27.618592548519779</v>
      </c>
      <c r="I35" s="42" t="s">
        <v>12</v>
      </c>
      <c r="J35" s="50">
        <f t="shared" ref="J35:K35" si="31">J34</f>
        <v>6</v>
      </c>
      <c r="K35" s="49">
        <f t="shared" si="31"/>
        <v>160</v>
      </c>
      <c r="L35" s="44">
        <f t="shared" ref="L35:L58" si="32">inflow</f>
        <v>8</v>
      </c>
      <c r="M35" s="44">
        <f>yaw_min</f>
        <v>-8</v>
      </c>
      <c r="N35" s="45">
        <f t="shared" si="24"/>
        <v>0.2</v>
      </c>
      <c r="O35" s="49">
        <v>0</v>
      </c>
      <c r="P35" s="44">
        <f t="shared" si="26"/>
        <v>150</v>
      </c>
      <c r="Q35" s="50">
        <f t="shared" si="26"/>
        <v>210</v>
      </c>
    </row>
    <row r="36" spans="1:17" x14ac:dyDescent="0.25">
      <c r="A36" s="41">
        <f t="shared" ref="A36:B43" si="33">A35+1</f>
        <v>884</v>
      </c>
      <c r="B36" s="42">
        <f t="shared" si="33"/>
        <v>26</v>
      </c>
      <c r="C36" s="41" t="s">
        <v>2189</v>
      </c>
      <c r="D36" s="43">
        <f t="shared" si="27"/>
        <v>34.199999999999996</v>
      </c>
      <c r="E36" s="61">
        <f t="shared" si="28"/>
        <v>4.375</v>
      </c>
      <c r="F36" s="61">
        <f t="shared" si="29"/>
        <v>42</v>
      </c>
      <c r="G36" s="64">
        <f t="shared" si="30"/>
        <v>0.58988764044943809</v>
      </c>
      <c r="H36" s="44">
        <f>6.4*ATAN(E36/D36*G36)/PI()*180</f>
        <v>27.618592548519779</v>
      </c>
      <c r="I36" s="42" t="str">
        <f t="shared" ref="I36:K36" si="34">I35</f>
        <v>Half</v>
      </c>
      <c r="J36" s="50">
        <f t="shared" si="34"/>
        <v>6</v>
      </c>
      <c r="K36" s="49">
        <f t="shared" si="34"/>
        <v>160</v>
      </c>
      <c r="L36" s="44">
        <f t="shared" si="32"/>
        <v>8</v>
      </c>
      <c r="M36" s="44">
        <f>yaw_min</f>
        <v>-8</v>
      </c>
      <c r="N36" s="45">
        <f t="shared" ref="N36" si="35">N35</f>
        <v>0.2</v>
      </c>
      <c r="O36" s="49">
        <v>30</v>
      </c>
      <c r="P36" s="44">
        <f t="shared" ref="P36:Q44" si="36">P35</f>
        <v>150</v>
      </c>
      <c r="Q36" s="50">
        <f t="shared" si="36"/>
        <v>210</v>
      </c>
    </row>
    <row r="37" spans="1:17" x14ac:dyDescent="0.25">
      <c r="A37" s="41">
        <f t="shared" si="33"/>
        <v>885</v>
      </c>
      <c r="B37" s="42">
        <f t="shared" si="33"/>
        <v>27</v>
      </c>
      <c r="C37" s="41" t="s">
        <v>2190</v>
      </c>
      <c r="D37" s="43">
        <f t="shared" si="27"/>
        <v>34.199999999999996</v>
      </c>
      <c r="E37" s="61">
        <f t="shared" si="28"/>
        <v>4.375</v>
      </c>
      <c r="F37" s="61">
        <f t="shared" si="29"/>
        <v>42</v>
      </c>
      <c r="G37" s="64">
        <f t="shared" si="30"/>
        <v>0.58988764044943809</v>
      </c>
      <c r="H37" s="44">
        <f t="shared" ref="H37:H46" si="37">6.4*ATAN(E37/D37*G37)/PI()*180</f>
        <v>27.618592548519779</v>
      </c>
      <c r="I37" s="42" t="str">
        <f t="shared" ref="I37:K37" si="38">I36</f>
        <v>Half</v>
      </c>
      <c r="J37" s="50">
        <f t="shared" si="38"/>
        <v>6</v>
      </c>
      <c r="K37" s="49">
        <f t="shared" si="38"/>
        <v>160</v>
      </c>
      <c r="L37" s="44">
        <f t="shared" si="32"/>
        <v>8</v>
      </c>
      <c r="M37" s="44">
        <f>yaw_min</f>
        <v>-8</v>
      </c>
      <c r="N37" s="45">
        <f t="shared" ref="N37" si="39">N36</f>
        <v>0.2</v>
      </c>
      <c r="O37" s="49">
        <v>60</v>
      </c>
      <c r="P37" s="44">
        <f t="shared" si="36"/>
        <v>150</v>
      </c>
      <c r="Q37" s="50">
        <f t="shared" si="36"/>
        <v>210</v>
      </c>
    </row>
    <row r="38" spans="1:17" x14ac:dyDescent="0.25">
      <c r="A38" s="41">
        <f t="shared" si="33"/>
        <v>886</v>
      </c>
      <c r="B38" s="42">
        <f t="shared" si="33"/>
        <v>28</v>
      </c>
      <c r="C38" s="41" t="s">
        <v>2191</v>
      </c>
      <c r="D38" s="43">
        <f t="shared" si="27"/>
        <v>34.199999999999996</v>
      </c>
      <c r="E38" s="61">
        <f t="shared" si="28"/>
        <v>4.375</v>
      </c>
      <c r="F38" s="61">
        <f t="shared" si="29"/>
        <v>42</v>
      </c>
      <c r="G38" s="64">
        <f t="shared" si="30"/>
        <v>0.58988764044943809</v>
      </c>
      <c r="H38" s="44">
        <f t="shared" si="37"/>
        <v>27.618592548519779</v>
      </c>
      <c r="I38" s="42" t="str">
        <f t="shared" ref="I38:K38" si="40">I37</f>
        <v>Half</v>
      </c>
      <c r="J38" s="50">
        <f t="shared" si="40"/>
        <v>6</v>
      </c>
      <c r="K38" s="49">
        <f t="shared" si="40"/>
        <v>160</v>
      </c>
      <c r="L38" s="44">
        <f t="shared" si="32"/>
        <v>8</v>
      </c>
      <c r="M38" s="44">
        <f>yaw_min</f>
        <v>-8</v>
      </c>
      <c r="N38" s="45">
        <f t="shared" ref="N38" si="41">N37</f>
        <v>0.2</v>
      </c>
      <c r="O38" s="49">
        <v>90</v>
      </c>
      <c r="P38" s="44">
        <f t="shared" si="36"/>
        <v>150</v>
      </c>
      <c r="Q38" s="50">
        <f t="shared" si="36"/>
        <v>210</v>
      </c>
    </row>
    <row r="39" spans="1:17" x14ac:dyDescent="0.25">
      <c r="A39" s="41">
        <f t="shared" si="33"/>
        <v>887</v>
      </c>
      <c r="B39" s="42">
        <f t="shared" si="33"/>
        <v>29</v>
      </c>
      <c r="C39" s="41" t="s">
        <v>2192</v>
      </c>
      <c r="D39" s="43">
        <f t="shared" si="27"/>
        <v>34.199999999999996</v>
      </c>
      <c r="E39" s="61">
        <f t="shared" si="28"/>
        <v>4.375</v>
      </c>
      <c r="F39" s="61">
        <f t="shared" si="29"/>
        <v>42</v>
      </c>
      <c r="G39" s="64">
        <f t="shared" si="30"/>
        <v>0.58988764044943809</v>
      </c>
      <c r="H39" s="44">
        <f t="shared" si="37"/>
        <v>27.618592548519779</v>
      </c>
      <c r="I39" s="42" t="str">
        <f t="shared" ref="I39:K39" si="42">I38</f>
        <v>Half</v>
      </c>
      <c r="J39" s="50">
        <f t="shared" si="42"/>
        <v>6</v>
      </c>
      <c r="K39" s="49">
        <f t="shared" si="42"/>
        <v>160</v>
      </c>
      <c r="L39" s="44">
        <f t="shared" si="32"/>
        <v>8</v>
      </c>
      <c r="M39" s="44">
        <f>yaw_null</f>
        <v>0</v>
      </c>
      <c r="N39" s="45">
        <f t="shared" ref="N39" si="43">N38</f>
        <v>0.2</v>
      </c>
      <c r="O39" s="49">
        <v>0</v>
      </c>
      <c r="P39" s="44">
        <f t="shared" si="36"/>
        <v>150</v>
      </c>
      <c r="Q39" s="50">
        <f t="shared" si="36"/>
        <v>210</v>
      </c>
    </row>
    <row r="40" spans="1:17" x14ac:dyDescent="0.25">
      <c r="A40" s="41">
        <f t="shared" si="33"/>
        <v>888</v>
      </c>
      <c r="B40" s="42">
        <f t="shared" si="33"/>
        <v>30</v>
      </c>
      <c r="C40" s="41" t="s">
        <v>2193</v>
      </c>
      <c r="D40" s="43">
        <f t="shared" si="27"/>
        <v>34.199999999999996</v>
      </c>
      <c r="E40" s="61">
        <f t="shared" si="28"/>
        <v>4.375</v>
      </c>
      <c r="F40" s="61">
        <f t="shared" si="29"/>
        <v>42</v>
      </c>
      <c r="G40" s="64">
        <f t="shared" si="30"/>
        <v>0.58988764044943809</v>
      </c>
      <c r="H40" s="44">
        <f t="shared" si="37"/>
        <v>27.618592548519779</v>
      </c>
      <c r="I40" s="42" t="str">
        <f t="shared" ref="I40:K40" si="44">I39</f>
        <v>Half</v>
      </c>
      <c r="J40" s="50">
        <f t="shared" si="44"/>
        <v>6</v>
      </c>
      <c r="K40" s="49">
        <f t="shared" si="44"/>
        <v>160</v>
      </c>
      <c r="L40" s="44">
        <f t="shared" si="32"/>
        <v>8</v>
      </c>
      <c r="M40" s="44">
        <f>yaw_null</f>
        <v>0</v>
      </c>
      <c r="N40" s="45">
        <f t="shared" ref="N40" si="45">N39</f>
        <v>0.2</v>
      </c>
      <c r="O40" s="49">
        <v>30</v>
      </c>
      <c r="P40" s="44">
        <f t="shared" si="36"/>
        <v>150</v>
      </c>
      <c r="Q40" s="50">
        <f t="shared" si="36"/>
        <v>210</v>
      </c>
    </row>
    <row r="41" spans="1:17" x14ac:dyDescent="0.25">
      <c r="A41" s="41">
        <f t="shared" si="33"/>
        <v>889</v>
      </c>
      <c r="B41" s="42">
        <f t="shared" si="33"/>
        <v>31</v>
      </c>
      <c r="C41" s="41" t="s">
        <v>2194</v>
      </c>
      <c r="D41" s="43">
        <f t="shared" si="27"/>
        <v>34.199999999999996</v>
      </c>
      <c r="E41" s="61">
        <f t="shared" si="28"/>
        <v>4.375</v>
      </c>
      <c r="F41" s="61">
        <f t="shared" si="29"/>
        <v>42</v>
      </c>
      <c r="G41" s="64">
        <f t="shared" si="30"/>
        <v>0.58988764044943809</v>
      </c>
      <c r="H41" s="44">
        <f t="shared" si="37"/>
        <v>27.618592548519779</v>
      </c>
      <c r="I41" s="42" t="str">
        <f t="shared" ref="I41:K41" si="46">I40</f>
        <v>Half</v>
      </c>
      <c r="J41" s="50">
        <f t="shared" si="46"/>
        <v>6</v>
      </c>
      <c r="K41" s="49">
        <f t="shared" si="46"/>
        <v>160</v>
      </c>
      <c r="L41" s="44">
        <f t="shared" si="32"/>
        <v>8</v>
      </c>
      <c r="M41" s="44">
        <f>yaw_null</f>
        <v>0</v>
      </c>
      <c r="N41" s="45">
        <f t="shared" ref="N41" si="47">N40</f>
        <v>0.2</v>
      </c>
      <c r="O41" s="49">
        <v>60</v>
      </c>
      <c r="P41" s="44">
        <f t="shared" si="36"/>
        <v>150</v>
      </c>
      <c r="Q41" s="50">
        <f t="shared" si="36"/>
        <v>210</v>
      </c>
    </row>
    <row r="42" spans="1:17" x14ac:dyDescent="0.25">
      <c r="A42" s="41">
        <f t="shared" si="33"/>
        <v>890</v>
      </c>
      <c r="B42" s="42">
        <f t="shared" si="33"/>
        <v>32</v>
      </c>
      <c r="C42" s="41" t="s">
        <v>2195</v>
      </c>
      <c r="D42" s="43">
        <f t="shared" si="27"/>
        <v>34.199999999999996</v>
      </c>
      <c r="E42" s="61">
        <f t="shared" si="28"/>
        <v>4.375</v>
      </c>
      <c r="F42" s="61">
        <f t="shared" si="29"/>
        <v>42</v>
      </c>
      <c r="G42" s="64">
        <f t="shared" si="30"/>
        <v>0.58988764044943809</v>
      </c>
      <c r="H42" s="44">
        <f t="shared" si="37"/>
        <v>27.618592548519779</v>
      </c>
      <c r="I42" s="42" t="str">
        <f t="shared" ref="I42:K42" si="48">I41</f>
        <v>Half</v>
      </c>
      <c r="J42" s="50">
        <f t="shared" si="48"/>
        <v>6</v>
      </c>
      <c r="K42" s="49">
        <f t="shared" si="48"/>
        <v>160</v>
      </c>
      <c r="L42" s="44">
        <f t="shared" si="32"/>
        <v>8</v>
      </c>
      <c r="M42" s="44">
        <f>yaw_null</f>
        <v>0</v>
      </c>
      <c r="N42" s="45">
        <f t="shared" ref="N42" si="49">N41</f>
        <v>0.2</v>
      </c>
      <c r="O42" s="49">
        <v>90</v>
      </c>
      <c r="P42" s="44">
        <f t="shared" si="36"/>
        <v>150</v>
      </c>
      <c r="Q42" s="50">
        <f t="shared" si="36"/>
        <v>210</v>
      </c>
    </row>
    <row r="43" spans="1:17" x14ac:dyDescent="0.25">
      <c r="A43" s="41">
        <f t="shared" si="33"/>
        <v>891</v>
      </c>
      <c r="B43" s="42">
        <f t="shared" si="33"/>
        <v>33</v>
      </c>
      <c r="C43" s="41" t="s">
        <v>2196</v>
      </c>
      <c r="D43" s="43">
        <f t="shared" si="27"/>
        <v>34.199999999999996</v>
      </c>
      <c r="E43" s="61">
        <f t="shared" si="28"/>
        <v>4.375</v>
      </c>
      <c r="F43" s="61">
        <f t="shared" si="29"/>
        <v>42</v>
      </c>
      <c r="G43" s="64">
        <f t="shared" si="30"/>
        <v>0.58988764044943809</v>
      </c>
      <c r="H43" s="44">
        <f t="shared" si="37"/>
        <v>27.618592548519779</v>
      </c>
      <c r="I43" s="42" t="str">
        <f t="shared" ref="I43:K43" si="50">I42</f>
        <v>Half</v>
      </c>
      <c r="J43" s="50">
        <f t="shared" si="50"/>
        <v>6</v>
      </c>
      <c r="K43" s="49">
        <f t="shared" si="50"/>
        <v>160</v>
      </c>
      <c r="L43" s="44">
        <f t="shared" si="32"/>
        <v>8</v>
      </c>
      <c r="M43" s="44">
        <f>yaw_max</f>
        <v>8</v>
      </c>
      <c r="N43" s="45">
        <f t="shared" ref="N43" si="51">N42</f>
        <v>0.2</v>
      </c>
      <c r="O43" s="49">
        <v>0</v>
      </c>
      <c r="P43" s="44">
        <f t="shared" si="36"/>
        <v>150</v>
      </c>
      <c r="Q43" s="50">
        <f t="shared" si="36"/>
        <v>210</v>
      </c>
    </row>
    <row r="44" spans="1:17" x14ac:dyDescent="0.25">
      <c r="A44" s="41">
        <f t="shared" ref="A44:B59" si="52">A43+1</f>
        <v>892</v>
      </c>
      <c r="B44" s="42">
        <f t="shared" si="52"/>
        <v>34</v>
      </c>
      <c r="C44" s="41" t="s">
        <v>2197</v>
      </c>
      <c r="D44" s="43">
        <f t="shared" si="27"/>
        <v>34.199999999999996</v>
      </c>
      <c r="E44" s="61">
        <f t="shared" si="28"/>
        <v>4.375</v>
      </c>
      <c r="F44" s="61">
        <f t="shared" si="29"/>
        <v>42</v>
      </c>
      <c r="G44" s="64">
        <f t="shared" si="30"/>
        <v>0.58988764044943809</v>
      </c>
      <c r="H44" s="44">
        <f t="shared" si="37"/>
        <v>27.618592548519779</v>
      </c>
      <c r="I44" s="42" t="str">
        <f>I43</f>
        <v>Half</v>
      </c>
      <c r="J44" s="50">
        <f t="shared" ref="J44" si="53">J43</f>
        <v>6</v>
      </c>
      <c r="K44" s="49">
        <f t="shared" ref="K44" si="54">K43</f>
        <v>160</v>
      </c>
      <c r="L44" s="44">
        <f t="shared" si="32"/>
        <v>8</v>
      </c>
      <c r="M44" s="44">
        <f>yaw_max</f>
        <v>8</v>
      </c>
      <c r="N44" s="45">
        <f t="shared" ref="N44" si="55">N43</f>
        <v>0.2</v>
      </c>
      <c r="O44" s="49">
        <v>30</v>
      </c>
      <c r="P44" s="44">
        <f t="shared" si="36"/>
        <v>150</v>
      </c>
      <c r="Q44" s="50">
        <f t="shared" si="36"/>
        <v>210</v>
      </c>
    </row>
    <row r="45" spans="1:17" x14ac:dyDescent="0.25">
      <c r="A45" s="41">
        <f t="shared" si="52"/>
        <v>893</v>
      </c>
      <c r="B45" s="42">
        <f t="shared" si="52"/>
        <v>35</v>
      </c>
      <c r="C45" s="41" t="s">
        <v>2198</v>
      </c>
      <c r="D45" s="43">
        <f t="shared" si="27"/>
        <v>34.199999999999996</v>
      </c>
      <c r="E45" s="61">
        <f t="shared" si="28"/>
        <v>4.375</v>
      </c>
      <c r="F45" s="61">
        <f t="shared" si="29"/>
        <v>42</v>
      </c>
      <c r="G45" s="64">
        <f t="shared" si="30"/>
        <v>0.58988764044943809</v>
      </c>
      <c r="H45" s="44">
        <f t="shared" si="37"/>
        <v>27.618592548519779</v>
      </c>
      <c r="I45" s="42" t="str">
        <f>I44</f>
        <v>Half</v>
      </c>
      <c r="J45" s="50">
        <f t="shared" ref="J45" si="56">J44</f>
        <v>6</v>
      </c>
      <c r="K45" s="49">
        <f t="shared" ref="K45" si="57">K44</f>
        <v>160</v>
      </c>
      <c r="L45" s="44">
        <f t="shared" si="32"/>
        <v>8</v>
      </c>
      <c r="M45" s="44">
        <f>yaw_max</f>
        <v>8</v>
      </c>
      <c r="N45" s="45">
        <f t="shared" ref="N45" si="58">N44</f>
        <v>0.2</v>
      </c>
      <c r="O45" s="49">
        <v>60</v>
      </c>
      <c r="P45" s="44">
        <f t="shared" ref="P45:Q59" si="59">P44</f>
        <v>150</v>
      </c>
      <c r="Q45" s="50">
        <f t="shared" si="59"/>
        <v>210</v>
      </c>
    </row>
    <row r="46" spans="1:17" x14ac:dyDescent="0.25">
      <c r="A46" s="41">
        <f t="shared" si="52"/>
        <v>894</v>
      </c>
      <c r="B46" s="42">
        <f t="shared" si="52"/>
        <v>36</v>
      </c>
      <c r="C46" s="41" t="s">
        <v>2199</v>
      </c>
      <c r="D46" s="43">
        <f t="shared" si="27"/>
        <v>34.199999999999996</v>
      </c>
      <c r="E46" s="61">
        <f t="shared" si="28"/>
        <v>4.375</v>
      </c>
      <c r="F46" s="61">
        <f t="shared" si="29"/>
        <v>42</v>
      </c>
      <c r="G46" s="64">
        <f t="shared" si="30"/>
        <v>0.58988764044943809</v>
      </c>
      <c r="H46" s="44">
        <f t="shared" si="37"/>
        <v>27.618592548519779</v>
      </c>
      <c r="I46" s="42" t="str">
        <f>I45</f>
        <v>Half</v>
      </c>
      <c r="J46" s="50">
        <f t="shared" ref="J46" si="60">J45</f>
        <v>6</v>
      </c>
      <c r="K46" s="49">
        <f t="shared" ref="K46" si="61">K45</f>
        <v>160</v>
      </c>
      <c r="L46" s="44">
        <f t="shared" si="32"/>
        <v>8</v>
      </c>
      <c r="M46" s="128">
        <f>yaw_max</f>
        <v>8</v>
      </c>
      <c r="N46" s="45">
        <f t="shared" ref="N46" si="62">N45</f>
        <v>0.2</v>
      </c>
      <c r="O46" s="49">
        <v>90</v>
      </c>
      <c r="P46" s="44">
        <f t="shared" si="59"/>
        <v>150</v>
      </c>
      <c r="Q46" s="50">
        <f t="shared" si="59"/>
        <v>210</v>
      </c>
    </row>
    <row r="47" spans="1:17" x14ac:dyDescent="0.25">
      <c r="A47" s="41">
        <f t="shared" si="52"/>
        <v>895</v>
      </c>
      <c r="B47" s="42">
        <f t="shared" si="52"/>
        <v>37</v>
      </c>
      <c r="C47" s="41" t="s">
        <v>2200</v>
      </c>
      <c r="D47" s="43">
        <f t="shared" si="27"/>
        <v>34.199999999999996</v>
      </c>
      <c r="E47" s="61">
        <f t="shared" si="28"/>
        <v>4.375</v>
      </c>
      <c r="F47" s="61">
        <f t="shared" si="29"/>
        <v>42</v>
      </c>
      <c r="G47" s="64">
        <f t="shared" si="30"/>
        <v>0.58988764044943809</v>
      </c>
      <c r="H47" s="44">
        <f>-6.4*ATAN(E47/D47*G47)/PI()*180</f>
        <v>-27.618592548519779</v>
      </c>
      <c r="I47" s="42" t="str">
        <f t="shared" ref="I47:J47" si="63">I46</f>
        <v>Half</v>
      </c>
      <c r="J47" s="50">
        <f t="shared" si="63"/>
        <v>6</v>
      </c>
      <c r="K47" s="49">
        <f t="shared" ref="K47" si="64">K46</f>
        <v>160</v>
      </c>
      <c r="L47" s="44">
        <f t="shared" si="32"/>
        <v>8</v>
      </c>
      <c r="M47" s="44">
        <f>yaw_min</f>
        <v>-8</v>
      </c>
      <c r="N47" s="45">
        <f t="shared" ref="N47" si="65">N46</f>
        <v>0.2</v>
      </c>
      <c r="O47" s="49">
        <v>0</v>
      </c>
      <c r="P47" s="44">
        <f t="shared" si="59"/>
        <v>150</v>
      </c>
      <c r="Q47" s="50">
        <f t="shared" si="59"/>
        <v>210</v>
      </c>
    </row>
    <row r="48" spans="1:17" x14ac:dyDescent="0.25">
      <c r="A48" s="41">
        <f t="shared" si="52"/>
        <v>896</v>
      </c>
      <c r="B48" s="42">
        <f t="shared" si="52"/>
        <v>38</v>
      </c>
      <c r="C48" s="41" t="s">
        <v>2201</v>
      </c>
      <c r="D48" s="43">
        <f t="shared" si="27"/>
        <v>34.199999999999996</v>
      </c>
      <c r="E48" s="61">
        <f t="shared" si="28"/>
        <v>4.375</v>
      </c>
      <c r="F48" s="61">
        <f t="shared" si="29"/>
        <v>42</v>
      </c>
      <c r="G48" s="64">
        <f t="shared" si="30"/>
        <v>0.58988764044943809</v>
      </c>
      <c r="H48" s="44">
        <f t="shared" ref="H48:H58" si="66">-6.4*ATAN(E48/D48*G48)/PI()*180</f>
        <v>-27.618592548519779</v>
      </c>
      <c r="I48" s="42" t="str">
        <f t="shared" ref="I48:K48" si="67">I47</f>
        <v>Half</v>
      </c>
      <c r="J48" s="50">
        <f t="shared" si="67"/>
        <v>6</v>
      </c>
      <c r="K48" s="49">
        <f t="shared" si="67"/>
        <v>160</v>
      </c>
      <c r="L48" s="44">
        <f t="shared" si="32"/>
        <v>8</v>
      </c>
      <c r="M48" s="44">
        <f>yaw_min</f>
        <v>-8</v>
      </c>
      <c r="N48" s="45">
        <f t="shared" ref="N48" si="68">N47</f>
        <v>0.2</v>
      </c>
      <c r="O48" s="49">
        <v>30</v>
      </c>
      <c r="P48" s="44">
        <f t="shared" si="59"/>
        <v>150</v>
      </c>
      <c r="Q48" s="50">
        <f t="shared" si="59"/>
        <v>210</v>
      </c>
    </row>
    <row r="49" spans="1:17" x14ac:dyDescent="0.25">
      <c r="A49" s="41">
        <f t="shared" si="52"/>
        <v>897</v>
      </c>
      <c r="B49" s="42">
        <f t="shared" si="52"/>
        <v>39</v>
      </c>
      <c r="C49" s="41" t="s">
        <v>2202</v>
      </c>
      <c r="D49" s="43">
        <f t="shared" si="27"/>
        <v>34.199999999999996</v>
      </c>
      <c r="E49" s="61">
        <f t="shared" si="28"/>
        <v>4.375</v>
      </c>
      <c r="F49" s="61">
        <f t="shared" si="29"/>
        <v>42</v>
      </c>
      <c r="G49" s="64">
        <f t="shared" si="30"/>
        <v>0.58988764044943809</v>
      </c>
      <c r="H49" s="44">
        <f t="shared" si="66"/>
        <v>-27.618592548519779</v>
      </c>
      <c r="I49" s="42" t="str">
        <f t="shared" ref="I49:K49" si="69">I48</f>
        <v>Half</v>
      </c>
      <c r="J49" s="50">
        <f t="shared" si="69"/>
        <v>6</v>
      </c>
      <c r="K49" s="49">
        <f t="shared" si="69"/>
        <v>160</v>
      </c>
      <c r="L49" s="44">
        <f t="shared" si="32"/>
        <v>8</v>
      </c>
      <c r="M49" s="44">
        <f>yaw_min</f>
        <v>-8</v>
      </c>
      <c r="N49" s="45">
        <f t="shared" ref="N49" si="70">N48</f>
        <v>0.2</v>
      </c>
      <c r="O49" s="49">
        <v>60</v>
      </c>
      <c r="P49" s="44">
        <f t="shared" si="59"/>
        <v>150</v>
      </c>
      <c r="Q49" s="50">
        <f t="shared" si="59"/>
        <v>210</v>
      </c>
    </row>
    <row r="50" spans="1:17" x14ac:dyDescent="0.25">
      <c r="A50" s="41">
        <f t="shared" si="52"/>
        <v>898</v>
      </c>
      <c r="B50" s="42">
        <f t="shared" si="52"/>
        <v>40</v>
      </c>
      <c r="C50" s="41" t="s">
        <v>2203</v>
      </c>
      <c r="D50" s="43">
        <f t="shared" si="27"/>
        <v>34.199999999999996</v>
      </c>
      <c r="E50" s="61">
        <f t="shared" si="28"/>
        <v>4.375</v>
      </c>
      <c r="F50" s="61">
        <f t="shared" si="29"/>
        <v>42</v>
      </c>
      <c r="G50" s="64">
        <f t="shared" si="30"/>
        <v>0.58988764044943809</v>
      </c>
      <c r="H50" s="44">
        <f t="shared" si="66"/>
        <v>-27.618592548519779</v>
      </c>
      <c r="I50" s="42" t="str">
        <f t="shared" ref="I50:K50" si="71">I49</f>
        <v>Half</v>
      </c>
      <c r="J50" s="50">
        <f t="shared" si="71"/>
        <v>6</v>
      </c>
      <c r="K50" s="49">
        <f t="shared" si="71"/>
        <v>160</v>
      </c>
      <c r="L50" s="44">
        <f t="shared" si="32"/>
        <v>8</v>
      </c>
      <c r="M50" s="44">
        <f>yaw_min</f>
        <v>-8</v>
      </c>
      <c r="N50" s="45">
        <f t="shared" ref="N50" si="72">N49</f>
        <v>0.2</v>
      </c>
      <c r="O50" s="49">
        <v>90</v>
      </c>
      <c r="P50" s="44">
        <f t="shared" si="59"/>
        <v>150</v>
      </c>
      <c r="Q50" s="50">
        <f t="shared" si="59"/>
        <v>210</v>
      </c>
    </row>
    <row r="51" spans="1:17" x14ac:dyDescent="0.25">
      <c r="A51" s="41">
        <f t="shared" si="52"/>
        <v>899</v>
      </c>
      <c r="B51" s="42">
        <f t="shared" si="52"/>
        <v>41</v>
      </c>
      <c r="C51" s="41" t="s">
        <v>2204</v>
      </c>
      <c r="D51" s="43">
        <f t="shared" si="27"/>
        <v>34.199999999999996</v>
      </c>
      <c r="E51" s="61">
        <f t="shared" si="28"/>
        <v>4.375</v>
      </c>
      <c r="F51" s="61">
        <f t="shared" si="29"/>
        <v>42</v>
      </c>
      <c r="G51" s="64">
        <f t="shared" si="30"/>
        <v>0.58988764044943809</v>
      </c>
      <c r="H51" s="44">
        <f t="shared" si="66"/>
        <v>-27.618592548519779</v>
      </c>
      <c r="I51" s="42" t="s">
        <v>12</v>
      </c>
      <c r="J51" s="50">
        <f t="shared" ref="J51" si="73">J50</f>
        <v>6</v>
      </c>
      <c r="K51" s="49">
        <f t="shared" ref="K51" si="74">K50</f>
        <v>160</v>
      </c>
      <c r="L51" s="44">
        <f t="shared" si="32"/>
        <v>8</v>
      </c>
      <c r="M51" s="44">
        <f>yaw_null</f>
        <v>0</v>
      </c>
      <c r="N51" s="45">
        <f t="shared" ref="N51" si="75">N50</f>
        <v>0.2</v>
      </c>
      <c r="O51" s="49">
        <v>0</v>
      </c>
      <c r="P51" s="44">
        <f t="shared" si="59"/>
        <v>150</v>
      </c>
      <c r="Q51" s="50">
        <f t="shared" si="59"/>
        <v>210</v>
      </c>
    </row>
    <row r="52" spans="1:17" x14ac:dyDescent="0.25">
      <c r="A52" s="41">
        <f t="shared" si="52"/>
        <v>900</v>
      </c>
      <c r="B52" s="42">
        <f t="shared" si="52"/>
        <v>42</v>
      </c>
      <c r="C52" s="41" t="s">
        <v>2205</v>
      </c>
      <c r="D52" s="43">
        <f t="shared" si="27"/>
        <v>34.199999999999996</v>
      </c>
      <c r="E52" s="61">
        <f t="shared" si="28"/>
        <v>4.375</v>
      </c>
      <c r="F52" s="61">
        <f t="shared" si="29"/>
        <v>42</v>
      </c>
      <c r="G52" s="64">
        <f t="shared" si="30"/>
        <v>0.58988764044943809</v>
      </c>
      <c r="H52" s="44">
        <f t="shared" si="66"/>
        <v>-27.618592548519779</v>
      </c>
      <c r="I52" s="42" t="str">
        <f>I51</f>
        <v>Half</v>
      </c>
      <c r="J52" s="50">
        <f t="shared" ref="J52" si="76">J51</f>
        <v>6</v>
      </c>
      <c r="K52" s="49">
        <f t="shared" ref="K52" si="77">K51</f>
        <v>160</v>
      </c>
      <c r="L52" s="44">
        <f t="shared" si="32"/>
        <v>8</v>
      </c>
      <c r="M52" s="44">
        <f>yaw_null</f>
        <v>0</v>
      </c>
      <c r="N52" s="45">
        <f t="shared" ref="N52" si="78">N51</f>
        <v>0.2</v>
      </c>
      <c r="O52" s="49">
        <v>30</v>
      </c>
      <c r="P52" s="44">
        <f t="shared" si="59"/>
        <v>150</v>
      </c>
      <c r="Q52" s="50">
        <f t="shared" si="59"/>
        <v>210</v>
      </c>
    </row>
    <row r="53" spans="1:17" x14ac:dyDescent="0.25">
      <c r="A53" s="41">
        <f t="shared" si="52"/>
        <v>901</v>
      </c>
      <c r="B53" s="42">
        <f t="shared" si="52"/>
        <v>43</v>
      </c>
      <c r="C53" s="41" t="s">
        <v>2206</v>
      </c>
      <c r="D53" s="43">
        <f t="shared" si="27"/>
        <v>34.199999999999996</v>
      </c>
      <c r="E53" s="61">
        <f t="shared" si="28"/>
        <v>4.375</v>
      </c>
      <c r="F53" s="61">
        <f t="shared" si="29"/>
        <v>42</v>
      </c>
      <c r="G53" s="64">
        <f t="shared" si="30"/>
        <v>0.58988764044943809</v>
      </c>
      <c r="H53" s="44">
        <f t="shared" si="66"/>
        <v>-27.618592548519779</v>
      </c>
      <c r="I53" s="42" t="str">
        <f t="shared" ref="I53:K53" si="79">I52</f>
        <v>Half</v>
      </c>
      <c r="J53" s="50">
        <f t="shared" si="79"/>
        <v>6</v>
      </c>
      <c r="K53" s="49">
        <f t="shared" si="79"/>
        <v>160</v>
      </c>
      <c r="L53" s="44">
        <f t="shared" si="32"/>
        <v>8</v>
      </c>
      <c r="M53" s="44">
        <f>yaw_null</f>
        <v>0</v>
      </c>
      <c r="N53" s="45">
        <f t="shared" ref="N53" si="80">N52</f>
        <v>0.2</v>
      </c>
      <c r="O53" s="49">
        <v>60</v>
      </c>
      <c r="P53" s="44">
        <f t="shared" si="59"/>
        <v>150</v>
      </c>
      <c r="Q53" s="50">
        <f t="shared" si="59"/>
        <v>210</v>
      </c>
    </row>
    <row r="54" spans="1:17" x14ac:dyDescent="0.25">
      <c r="A54" s="41">
        <f t="shared" si="52"/>
        <v>902</v>
      </c>
      <c r="B54" s="42">
        <f t="shared" si="52"/>
        <v>44</v>
      </c>
      <c r="C54" s="41" t="s">
        <v>2207</v>
      </c>
      <c r="D54" s="43">
        <f t="shared" si="27"/>
        <v>34.199999999999996</v>
      </c>
      <c r="E54" s="61">
        <f t="shared" si="28"/>
        <v>4.375</v>
      </c>
      <c r="F54" s="61">
        <f t="shared" si="29"/>
        <v>42</v>
      </c>
      <c r="G54" s="64">
        <f t="shared" si="30"/>
        <v>0.58988764044943809</v>
      </c>
      <c r="H54" s="44">
        <f t="shared" si="66"/>
        <v>-27.618592548519779</v>
      </c>
      <c r="I54" s="42" t="str">
        <f t="shared" ref="I54:K54" si="81">I53</f>
        <v>Half</v>
      </c>
      <c r="J54" s="50">
        <f t="shared" si="81"/>
        <v>6</v>
      </c>
      <c r="K54" s="49">
        <f t="shared" si="81"/>
        <v>160</v>
      </c>
      <c r="L54" s="44">
        <f t="shared" si="32"/>
        <v>8</v>
      </c>
      <c r="M54" s="44">
        <f>yaw_null</f>
        <v>0</v>
      </c>
      <c r="N54" s="45">
        <f t="shared" ref="N54" si="82">N53</f>
        <v>0.2</v>
      </c>
      <c r="O54" s="49">
        <v>90</v>
      </c>
      <c r="P54" s="44">
        <f t="shared" si="59"/>
        <v>150</v>
      </c>
      <c r="Q54" s="50">
        <f t="shared" si="59"/>
        <v>210</v>
      </c>
    </row>
    <row r="55" spans="1:17" x14ac:dyDescent="0.25">
      <c r="A55" s="41">
        <f t="shared" si="52"/>
        <v>903</v>
      </c>
      <c r="B55" s="42">
        <f t="shared" si="52"/>
        <v>45</v>
      </c>
      <c r="C55" s="41" t="s">
        <v>2208</v>
      </c>
      <c r="D55" s="43">
        <f t="shared" si="27"/>
        <v>34.199999999999996</v>
      </c>
      <c r="E55" s="61">
        <f t="shared" si="28"/>
        <v>4.375</v>
      </c>
      <c r="F55" s="61">
        <f t="shared" si="29"/>
        <v>42</v>
      </c>
      <c r="G55" s="64">
        <f t="shared" si="30"/>
        <v>0.58988764044943809</v>
      </c>
      <c r="H55" s="44">
        <f t="shared" si="66"/>
        <v>-27.618592548519779</v>
      </c>
      <c r="I55" s="42" t="str">
        <f t="shared" ref="I55:K55" si="83">I54</f>
        <v>Half</v>
      </c>
      <c r="J55" s="50">
        <f t="shared" si="83"/>
        <v>6</v>
      </c>
      <c r="K55" s="49">
        <f t="shared" si="83"/>
        <v>160</v>
      </c>
      <c r="L55" s="44">
        <f t="shared" si="32"/>
        <v>8</v>
      </c>
      <c r="M55" s="44">
        <f>yaw_max</f>
        <v>8</v>
      </c>
      <c r="N55" s="45">
        <f t="shared" ref="N55" si="84">N54</f>
        <v>0.2</v>
      </c>
      <c r="O55" s="49">
        <v>0</v>
      </c>
      <c r="P55" s="44">
        <f t="shared" si="59"/>
        <v>150</v>
      </c>
      <c r="Q55" s="50">
        <f t="shared" si="59"/>
        <v>210</v>
      </c>
    </row>
    <row r="56" spans="1:17" x14ac:dyDescent="0.25">
      <c r="A56" s="41">
        <f t="shared" si="52"/>
        <v>904</v>
      </c>
      <c r="B56" s="42">
        <f t="shared" si="52"/>
        <v>46</v>
      </c>
      <c r="C56" s="41" t="s">
        <v>2209</v>
      </c>
      <c r="D56" s="43">
        <f t="shared" si="27"/>
        <v>34.199999999999996</v>
      </c>
      <c r="E56" s="61">
        <f t="shared" si="28"/>
        <v>4.375</v>
      </c>
      <c r="F56" s="61">
        <f t="shared" si="29"/>
        <v>42</v>
      </c>
      <c r="G56" s="64">
        <f t="shared" si="30"/>
        <v>0.58988764044943809</v>
      </c>
      <c r="H56" s="44">
        <f t="shared" si="66"/>
        <v>-27.618592548519779</v>
      </c>
      <c r="I56" s="42" t="str">
        <f t="shared" ref="I56:K56" si="85">I55</f>
        <v>Half</v>
      </c>
      <c r="J56" s="50">
        <f t="shared" si="85"/>
        <v>6</v>
      </c>
      <c r="K56" s="49">
        <f t="shared" si="85"/>
        <v>160</v>
      </c>
      <c r="L56" s="44">
        <f t="shared" si="32"/>
        <v>8</v>
      </c>
      <c r="M56" s="44">
        <f>yaw_max</f>
        <v>8</v>
      </c>
      <c r="N56" s="45">
        <f t="shared" ref="N56" si="86">N55</f>
        <v>0.2</v>
      </c>
      <c r="O56" s="49">
        <v>30</v>
      </c>
      <c r="P56" s="44">
        <f t="shared" si="59"/>
        <v>150</v>
      </c>
      <c r="Q56" s="50">
        <f t="shared" si="59"/>
        <v>210</v>
      </c>
    </row>
    <row r="57" spans="1:17" x14ac:dyDescent="0.25">
      <c r="A57" s="41">
        <f t="shared" si="52"/>
        <v>905</v>
      </c>
      <c r="B57" s="42">
        <f t="shared" si="52"/>
        <v>47</v>
      </c>
      <c r="C57" s="41" t="s">
        <v>2210</v>
      </c>
      <c r="D57" s="43">
        <f t="shared" si="27"/>
        <v>34.199999999999996</v>
      </c>
      <c r="E57" s="61">
        <f t="shared" si="28"/>
        <v>4.375</v>
      </c>
      <c r="F57" s="61">
        <f t="shared" si="29"/>
        <v>42</v>
      </c>
      <c r="G57" s="64">
        <f t="shared" si="30"/>
        <v>0.58988764044943809</v>
      </c>
      <c r="H57" s="44">
        <f t="shared" si="66"/>
        <v>-27.618592548519779</v>
      </c>
      <c r="I57" s="42" t="str">
        <f t="shared" ref="I57:K57" si="87">I56</f>
        <v>Half</v>
      </c>
      <c r="J57" s="50">
        <f t="shared" si="87"/>
        <v>6</v>
      </c>
      <c r="K57" s="49">
        <f t="shared" si="87"/>
        <v>160</v>
      </c>
      <c r="L57" s="44">
        <f t="shared" si="32"/>
        <v>8</v>
      </c>
      <c r="M57" s="44">
        <f>yaw_max</f>
        <v>8</v>
      </c>
      <c r="N57" s="45">
        <f t="shared" ref="N57" si="88">N56</f>
        <v>0.2</v>
      </c>
      <c r="O57" s="49">
        <v>60</v>
      </c>
      <c r="P57" s="44">
        <f t="shared" si="59"/>
        <v>150</v>
      </c>
      <c r="Q57" s="50">
        <f t="shared" si="59"/>
        <v>210</v>
      </c>
    </row>
    <row r="58" spans="1:17" x14ac:dyDescent="0.25">
      <c r="A58" s="41">
        <f t="shared" si="52"/>
        <v>906</v>
      </c>
      <c r="B58" s="42">
        <f t="shared" si="52"/>
        <v>48</v>
      </c>
      <c r="C58" s="127" t="s">
        <v>2211</v>
      </c>
      <c r="D58" s="43">
        <f t="shared" si="27"/>
        <v>34.199999999999996</v>
      </c>
      <c r="E58" s="61">
        <f t="shared" si="28"/>
        <v>4.375</v>
      </c>
      <c r="F58" s="61">
        <f t="shared" si="29"/>
        <v>42</v>
      </c>
      <c r="G58" s="64">
        <f t="shared" si="30"/>
        <v>0.58988764044943809</v>
      </c>
      <c r="H58" s="44">
        <f t="shared" si="66"/>
        <v>-27.618592548519779</v>
      </c>
      <c r="I58" s="42" t="str">
        <f t="shared" ref="I58:K59" si="89">I57</f>
        <v>Half</v>
      </c>
      <c r="J58" s="50">
        <f t="shared" si="89"/>
        <v>6</v>
      </c>
      <c r="K58" s="49">
        <f t="shared" si="89"/>
        <v>160</v>
      </c>
      <c r="L58" s="44">
        <f t="shared" si="32"/>
        <v>8</v>
      </c>
      <c r="M58" s="128">
        <f>yaw_max</f>
        <v>8</v>
      </c>
      <c r="N58" s="45">
        <f t="shared" ref="N58:N59" si="90">N57</f>
        <v>0.2</v>
      </c>
      <c r="O58" s="49">
        <v>90</v>
      </c>
      <c r="P58" s="44">
        <f t="shared" si="59"/>
        <v>150</v>
      </c>
      <c r="Q58" s="50">
        <f t="shared" si="59"/>
        <v>210</v>
      </c>
    </row>
    <row r="59" spans="1:17" x14ac:dyDescent="0.25">
      <c r="A59" s="41">
        <f t="shared" si="52"/>
        <v>907</v>
      </c>
      <c r="B59" s="42">
        <f t="shared" si="52"/>
        <v>49</v>
      </c>
      <c r="C59" s="41" t="s">
        <v>2212</v>
      </c>
      <c r="D59" s="43">
        <f t="shared" ref="D59:D82" si="91">0.7*v_tref</f>
        <v>39.9</v>
      </c>
      <c r="E59" s="61">
        <f t="shared" ref="E59:E82" si="92">I_ref*(0.75*D59+5.6)</f>
        <v>4.9735000000000005</v>
      </c>
      <c r="F59" s="61">
        <f t="shared" ref="F59:F82" si="93">tur_scale</f>
        <v>42</v>
      </c>
      <c r="G59" s="64">
        <f t="shared" ref="G59:G82" si="94">1/(1+0.2*(diameter/F59))</f>
        <v>0.58988764044943809</v>
      </c>
      <c r="H59" s="44">
        <f>6.4*ATAN(E59/D59*G59)/PI()*180</f>
        <v>26.914126219991235</v>
      </c>
      <c r="I59" s="42" t="str">
        <f t="shared" si="89"/>
        <v>Half</v>
      </c>
      <c r="J59" s="50">
        <f t="shared" si="89"/>
        <v>6</v>
      </c>
      <c r="K59" s="49">
        <f t="shared" si="89"/>
        <v>160</v>
      </c>
      <c r="L59" s="44">
        <f t="shared" ref="L59:L82" si="95">inflow</f>
        <v>8</v>
      </c>
      <c r="M59" s="44">
        <f>yaw_min</f>
        <v>-8</v>
      </c>
      <c r="N59" s="45">
        <f t="shared" si="90"/>
        <v>0.2</v>
      </c>
      <c r="O59" s="49">
        <v>0</v>
      </c>
      <c r="P59" s="44">
        <f t="shared" si="59"/>
        <v>150</v>
      </c>
      <c r="Q59" s="50">
        <f t="shared" si="59"/>
        <v>210</v>
      </c>
    </row>
    <row r="60" spans="1:17" x14ac:dyDescent="0.25">
      <c r="A60" s="41">
        <f t="shared" ref="A60:B75" si="96">A59+1</f>
        <v>908</v>
      </c>
      <c r="B60" s="42">
        <f t="shared" si="96"/>
        <v>50</v>
      </c>
      <c r="C60" s="41" t="s">
        <v>2213</v>
      </c>
      <c r="D60" s="43">
        <f t="shared" si="91"/>
        <v>39.9</v>
      </c>
      <c r="E60" s="61">
        <f t="shared" si="92"/>
        <v>4.9735000000000005</v>
      </c>
      <c r="F60" s="61">
        <f t="shared" si="93"/>
        <v>42</v>
      </c>
      <c r="G60" s="64">
        <f t="shared" si="94"/>
        <v>0.58988764044943809</v>
      </c>
      <c r="H60" s="44">
        <f>6.4*ATAN(E60/D60*G60)/PI()*180</f>
        <v>26.914126219991235</v>
      </c>
      <c r="I60" s="42" t="str">
        <f t="shared" ref="I60:K62" si="97">I59</f>
        <v>Half</v>
      </c>
      <c r="J60" s="50">
        <f t="shared" si="97"/>
        <v>6</v>
      </c>
      <c r="K60" s="49">
        <f t="shared" si="97"/>
        <v>160</v>
      </c>
      <c r="L60" s="44">
        <f t="shared" si="95"/>
        <v>8</v>
      </c>
      <c r="M60" s="44">
        <f>yaw_min</f>
        <v>-8</v>
      </c>
      <c r="N60" s="45">
        <f t="shared" ref="N60:N82" si="98">N59</f>
        <v>0.2</v>
      </c>
      <c r="O60" s="49">
        <v>30</v>
      </c>
      <c r="P60" s="44">
        <f t="shared" ref="P60:Q60" si="99">P59</f>
        <v>150</v>
      </c>
      <c r="Q60" s="50">
        <f t="shared" si="99"/>
        <v>210</v>
      </c>
    </row>
    <row r="61" spans="1:17" x14ac:dyDescent="0.25">
      <c r="A61" s="41">
        <f t="shared" si="96"/>
        <v>909</v>
      </c>
      <c r="B61" s="42">
        <f t="shared" si="96"/>
        <v>51</v>
      </c>
      <c r="C61" s="41" t="s">
        <v>2214</v>
      </c>
      <c r="D61" s="43">
        <f t="shared" si="91"/>
        <v>39.9</v>
      </c>
      <c r="E61" s="61">
        <f t="shared" si="92"/>
        <v>4.9735000000000005</v>
      </c>
      <c r="F61" s="61">
        <f t="shared" si="93"/>
        <v>42</v>
      </c>
      <c r="G61" s="64">
        <f t="shared" si="94"/>
        <v>0.58988764044943809</v>
      </c>
      <c r="H61" s="44">
        <f t="shared" ref="H61:H70" si="100">6.4*ATAN(E61/D61*G61)/PI()*180</f>
        <v>26.914126219991235</v>
      </c>
      <c r="I61" s="42" t="str">
        <f t="shared" si="97"/>
        <v>Half</v>
      </c>
      <c r="J61" s="50">
        <f t="shared" si="97"/>
        <v>6</v>
      </c>
      <c r="K61" s="49">
        <f t="shared" si="97"/>
        <v>160</v>
      </c>
      <c r="L61" s="44">
        <f t="shared" si="95"/>
        <v>8</v>
      </c>
      <c r="M61" s="44">
        <f>yaw_min</f>
        <v>-8</v>
      </c>
      <c r="N61" s="45">
        <f t="shared" si="98"/>
        <v>0.2</v>
      </c>
      <c r="O61" s="49">
        <v>60</v>
      </c>
      <c r="P61" s="44">
        <f t="shared" ref="P61:Q76" si="101">P60</f>
        <v>150</v>
      </c>
      <c r="Q61" s="50">
        <f t="shared" si="101"/>
        <v>210</v>
      </c>
    </row>
    <row r="62" spans="1:17" x14ac:dyDescent="0.25">
      <c r="A62" s="41">
        <f t="shared" si="96"/>
        <v>910</v>
      </c>
      <c r="B62" s="42">
        <f t="shared" si="96"/>
        <v>52</v>
      </c>
      <c r="C62" s="41" t="s">
        <v>2215</v>
      </c>
      <c r="D62" s="43">
        <f t="shared" si="91"/>
        <v>39.9</v>
      </c>
      <c r="E62" s="61">
        <f t="shared" si="92"/>
        <v>4.9735000000000005</v>
      </c>
      <c r="F62" s="61">
        <f t="shared" si="93"/>
        <v>42</v>
      </c>
      <c r="G62" s="64">
        <f t="shared" si="94"/>
        <v>0.58988764044943809</v>
      </c>
      <c r="H62" s="44">
        <f t="shared" si="100"/>
        <v>26.914126219991235</v>
      </c>
      <c r="I62" s="42" t="str">
        <f t="shared" si="97"/>
        <v>Half</v>
      </c>
      <c r="J62" s="50">
        <f t="shared" si="97"/>
        <v>6</v>
      </c>
      <c r="K62" s="49">
        <f t="shared" si="97"/>
        <v>160</v>
      </c>
      <c r="L62" s="44">
        <f t="shared" si="95"/>
        <v>8</v>
      </c>
      <c r="M62" s="44">
        <f>yaw_min</f>
        <v>-8</v>
      </c>
      <c r="N62" s="45">
        <f t="shared" si="98"/>
        <v>0.2</v>
      </c>
      <c r="O62" s="49">
        <v>90</v>
      </c>
      <c r="P62" s="44">
        <f t="shared" si="101"/>
        <v>150</v>
      </c>
      <c r="Q62" s="50">
        <f t="shared" si="101"/>
        <v>210</v>
      </c>
    </row>
    <row r="63" spans="1:17" x14ac:dyDescent="0.25">
      <c r="A63" s="41">
        <f t="shared" si="96"/>
        <v>911</v>
      </c>
      <c r="B63" s="42">
        <f t="shared" si="96"/>
        <v>53</v>
      </c>
      <c r="C63" s="41" t="s">
        <v>2216</v>
      </c>
      <c r="D63" s="43">
        <f t="shared" si="91"/>
        <v>39.9</v>
      </c>
      <c r="E63" s="61">
        <f t="shared" si="92"/>
        <v>4.9735000000000005</v>
      </c>
      <c r="F63" s="61">
        <f t="shared" si="93"/>
        <v>42</v>
      </c>
      <c r="G63" s="64">
        <f t="shared" si="94"/>
        <v>0.58988764044943809</v>
      </c>
      <c r="H63" s="44">
        <f t="shared" si="100"/>
        <v>26.914126219991235</v>
      </c>
      <c r="I63" s="42" t="str">
        <f t="shared" ref="I63:K76" si="102">I62</f>
        <v>Half</v>
      </c>
      <c r="J63" s="50">
        <f t="shared" si="102"/>
        <v>6</v>
      </c>
      <c r="K63" s="49">
        <f t="shared" si="102"/>
        <v>160</v>
      </c>
      <c r="L63" s="44">
        <f t="shared" si="95"/>
        <v>8</v>
      </c>
      <c r="M63" s="44">
        <f>yaw_null</f>
        <v>0</v>
      </c>
      <c r="N63" s="45">
        <f t="shared" si="98"/>
        <v>0.2</v>
      </c>
      <c r="O63" s="49">
        <v>0</v>
      </c>
      <c r="P63" s="44">
        <f t="shared" si="101"/>
        <v>150</v>
      </c>
      <c r="Q63" s="50">
        <f t="shared" si="101"/>
        <v>210</v>
      </c>
    </row>
    <row r="64" spans="1:17" x14ac:dyDescent="0.25">
      <c r="A64" s="41">
        <f t="shared" si="96"/>
        <v>912</v>
      </c>
      <c r="B64" s="42">
        <f t="shared" si="96"/>
        <v>54</v>
      </c>
      <c r="C64" s="41" t="s">
        <v>2217</v>
      </c>
      <c r="D64" s="43">
        <f t="shared" si="91"/>
        <v>39.9</v>
      </c>
      <c r="E64" s="61">
        <f t="shared" si="92"/>
        <v>4.9735000000000005</v>
      </c>
      <c r="F64" s="61">
        <f t="shared" si="93"/>
        <v>42</v>
      </c>
      <c r="G64" s="64">
        <f t="shared" si="94"/>
        <v>0.58988764044943809</v>
      </c>
      <c r="H64" s="44">
        <f t="shared" si="100"/>
        <v>26.914126219991235</v>
      </c>
      <c r="I64" s="42" t="str">
        <f t="shared" si="102"/>
        <v>Half</v>
      </c>
      <c r="J64" s="50">
        <f t="shared" si="102"/>
        <v>6</v>
      </c>
      <c r="K64" s="49">
        <f t="shared" si="102"/>
        <v>160</v>
      </c>
      <c r="L64" s="44">
        <f t="shared" si="95"/>
        <v>8</v>
      </c>
      <c r="M64" s="44">
        <f>yaw_null</f>
        <v>0</v>
      </c>
      <c r="N64" s="45">
        <f t="shared" si="98"/>
        <v>0.2</v>
      </c>
      <c r="O64" s="49">
        <v>30</v>
      </c>
      <c r="P64" s="44">
        <f t="shared" si="101"/>
        <v>150</v>
      </c>
      <c r="Q64" s="50">
        <f t="shared" si="101"/>
        <v>210</v>
      </c>
    </row>
    <row r="65" spans="1:17" x14ac:dyDescent="0.25">
      <c r="A65" s="41">
        <f t="shared" si="96"/>
        <v>913</v>
      </c>
      <c r="B65" s="42">
        <f t="shared" si="96"/>
        <v>55</v>
      </c>
      <c r="C65" s="41" t="s">
        <v>2218</v>
      </c>
      <c r="D65" s="43">
        <f t="shared" si="91"/>
        <v>39.9</v>
      </c>
      <c r="E65" s="61">
        <f t="shared" si="92"/>
        <v>4.9735000000000005</v>
      </c>
      <c r="F65" s="61">
        <f t="shared" si="93"/>
        <v>42</v>
      </c>
      <c r="G65" s="64">
        <f t="shared" si="94"/>
        <v>0.58988764044943809</v>
      </c>
      <c r="H65" s="44">
        <f t="shared" si="100"/>
        <v>26.914126219991235</v>
      </c>
      <c r="I65" s="42" t="str">
        <f t="shared" si="102"/>
        <v>Half</v>
      </c>
      <c r="J65" s="50">
        <f t="shared" si="102"/>
        <v>6</v>
      </c>
      <c r="K65" s="49">
        <f t="shared" si="102"/>
        <v>160</v>
      </c>
      <c r="L65" s="44">
        <f t="shared" si="95"/>
        <v>8</v>
      </c>
      <c r="M65" s="44">
        <f>yaw_null</f>
        <v>0</v>
      </c>
      <c r="N65" s="45">
        <f t="shared" si="98"/>
        <v>0.2</v>
      </c>
      <c r="O65" s="49">
        <v>60</v>
      </c>
      <c r="P65" s="44">
        <f t="shared" si="101"/>
        <v>150</v>
      </c>
      <c r="Q65" s="50">
        <f t="shared" si="101"/>
        <v>210</v>
      </c>
    </row>
    <row r="66" spans="1:17" x14ac:dyDescent="0.25">
      <c r="A66" s="41">
        <f t="shared" si="96"/>
        <v>914</v>
      </c>
      <c r="B66" s="42">
        <f t="shared" si="96"/>
        <v>56</v>
      </c>
      <c r="C66" s="41" t="s">
        <v>2219</v>
      </c>
      <c r="D66" s="43">
        <f t="shared" si="91"/>
        <v>39.9</v>
      </c>
      <c r="E66" s="61">
        <f t="shared" si="92"/>
        <v>4.9735000000000005</v>
      </c>
      <c r="F66" s="61">
        <f t="shared" si="93"/>
        <v>42</v>
      </c>
      <c r="G66" s="64">
        <f t="shared" si="94"/>
        <v>0.58988764044943809</v>
      </c>
      <c r="H66" s="44">
        <f t="shared" si="100"/>
        <v>26.914126219991235</v>
      </c>
      <c r="I66" s="42" t="str">
        <f t="shared" si="102"/>
        <v>Half</v>
      </c>
      <c r="J66" s="50">
        <f t="shared" si="102"/>
        <v>6</v>
      </c>
      <c r="K66" s="49">
        <f t="shared" si="102"/>
        <v>160</v>
      </c>
      <c r="L66" s="44">
        <f t="shared" si="95"/>
        <v>8</v>
      </c>
      <c r="M66" s="44">
        <f>yaw_null</f>
        <v>0</v>
      </c>
      <c r="N66" s="45">
        <f t="shared" si="98"/>
        <v>0.2</v>
      </c>
      <c r="O66" s="49">
        <v>90</v>
      </c>
      <c r="P66" s="44">
        <f t="shared" si="101"/>
        <v>150</v>
      </c>
      <c r="Q66" s="50">
        <f t="shared" si="101"/>
        <v>210</v>
      </c>
    </row>
    <row r="67" spans="1:17" x14ac:dyDescent="0.25">
      <c r="A67" s="41">
        <f t="shared" si="96"/>
        <v>915</v>
      </c>
      <c r="B67" s="42">
        <f t="shared" si="96"/>
        <v>57</v>
      </c>
      <c r="C67" s="41" t="s">
        <v>2220</v>
      </c>
      <c r="D67" s="43">
        <f t="shared" si="91"/>
        <v>39.9</v>
      </c>
      <c r="E67" s="61">
        <f t="shared" si="92"/>
        <v>4.9735000000000005</v>
      </c>
      <c r="F67" s="61">
        <f t="shared" si="93"/>
        <v>42</v>
      </c>
      <c r="G67" s="64">
        <f t="shared" si="94"/>
        <v>0.58988764044943809</v>
      </c>
      <c r="H67" s="44">
        <f t="shared" si="100"/>
        <v>26.914126219991235</v>
      </c>
      <c r="I67" s="42" t="str">
        <f t="shared" si="102"/>
        <v>Half</v>
      </c>
      <c r="J67" s="50">
        <f t="shared" si="102"/>
        <v>6</v>
      </c>
      <c r="K67" s="49">
        <f t="shared" si="102"/>
        <v>160</v>
      </c>
      <c r="L67" s="44">
        <f t="shared" si="95"/>
        <v>8</v>
      </c>
      <c r="M67" s="44">
        <f>yaw_max</f>
        <v>8</v>
      </c>
      <c r="N67" s="45">
        <f t="shared" si="98"/>
        <v>0.2</v>
      </c>
      <c r="O67" s="49">
        <v>0</v>
      </c>
      <c r="P67" s="44">
        <f t="shared" si="101"/>
        <v>150</v>
      </c>
      <c r="Q67" s="50">
        <f t="shared" si="101"/>
        <v>210</v>
      </c>
    </row>
    <row r="68" spans="1:17" x14ac:dyDescent="0.25">
      <c r="A68" s="41">
        <f t="shared" si="96"/>
        <v>916</v>
      </c>
      <c r="B68" s="42">
        <f t="shared" si="96"/>
        <v>58</v>
      </c>
      <c r="C68" s="41" t="s">
        <v>2221</v>
      </c>
      <c r="D68" s="43">
        <f t="shared" si="91"/>
        <v>39.9</v>
      </c>
      <c r="E68" s="61">
        <f t="shared" si="92"/>
        <v>4.9735000000000005</v>
      </c>
      <c r="F68" s="61">
        <f t="shared" si="93"/>
        <v>42</v>
      </c>
      <c r="G68" s="64">
        <f t="shared" si="94"/>
        <v>0.58988764044943809</v>
      </c>
      <c r="H68" s="44">
        <f t="shared" si="100"/>
        <v>26.914126219991235</v>
      </c>
      <c r="I68" s="42" t="str">
        <f>I67</f>
        <v>Half</v>
      </c>
      <c r="J68" s="50">
        <f t="shared" ref="J68" si="103">J67</f>
        <v>6</v>
      </c>
      <c r="K68" s="49">
        <f t="shared" si="102"/>
        <v>160</v>
      </c>
      <c r="L68" s="44">
        <f t="shared" si="95"/>
        <v>8</v>
      </c>
      <c r="M68" s="44">
        <f>yaw_max</f>
        <v>8</v>
      </c>
      <c r="N68" s="45">
        <f t="shared" si="98"/>
        <v>0.2</v>
      </c>
      <c r="O68" s="49">
        <v>30</v>
      </c>
      <c r="P68" s="44">
        <f t="shared" si="101"/>
        <v>150</v>
      </c>
      <c r="Q68" s="50">
        <f t="shared" si="101"/>
        <v>210</v>
      </c>
    </row>
    <row r="69" spans="1:17" x14ac:dyDescent="0.25">
      <c r="A69" s="41">
        <f t="shared" si="96"/>
        <v>917</v>
      </c>
      <c r="B69" s="42">
        <f t="shared" si="96"/>
        <v>59</v>
      </c>
      <c r="C69" s="41" t="s">
        <v>2222</v>
      </c>
      <c r="D69" s="43">
        <f t="shared" si="91"/>
        <v>39.9</v>
      </c>
      <c r="E69" s="61">
        <f t="shared" si="92"/>
        <v>4.9735000000000005</v>
      </c>
      <c r="F69" s="61">
        <f t="shared" si="93"/>
        <v>42</v>
      </c>
      <c r="G69" s="64">
        <f t="shared" si="94"/>
        <v>0.58988764044943809</v>
      </c>
      <c r="H69" s="44">
        <f t="shared" si="100"/>
        <v>26.914126219991235</v>
      </c>
      <c r="I69" s="42" t="str">
        <f>I68</f>
        <v>Half</v>
      </c>
      <c r="J69" s="50">
        <f t="shared" ref="J69" si="104">J68</f>
        <v>6</v>
      </c>
      <c r="K69" s="49">
        <f t="shared" si="102"/>
        <v>160</v>
      </c>
      <c r="L69" s="44">
        <f t="shared" si="95"/>
        <v>8</v>
      </c>
      <c r="M69" s="44">
        <f>yaw_max</f>
        <v>8</v>
      </c>
      <c r="N69" s="45">
        <f t="shared" si="98"/>
        <v>0.2</v>
      </c>
      <c r="O69" s="49">
        <v>60</v>
      </c>
      <c r="P69" s="44">
        <f t="shared" si="101"/>
        <v>150</v>
      </c>
      <c r="Q69" s="50">
        <f t="shared" si="101"/>
        <v>210</v>
      </c>
    </row>
    <row r="70" spans="1:17" x14ac:dyDescent="0.25">
      <c r="A70" s="41">
        <f t="shared" si="96"/>
        <v>918</v>
      </c>
      <c r="B70" s="42">
        <f t="shared" si="96"/>
        <v>60</v>
      </c>
      <c r="C70" s="41" t="s">
        <v>2223</v>
      </c>
      <c r="D70" s="43">
        <f t="shared" si="91"/>
        <v>39.9</v>
      </c>
      <c r="E70" s="61">
        <f t="shared" si="92"/>
        <v>4.9735000000000005</v>
      </c>
      <c r="F70" s="61">
        <f t="shared" si="93"/>
        <v>42</v>
      </c>
      <c r="G70" s="64">
        <f t="shared" si="94"/>
        <v>0.58988764044943809</v>
      </c>
      <c r="H70" s="44">
        <f t="shared" si="100"/>
        <v>26.914126219991235</v>
      </c>
      <c r="I70" s="42" t="str">
        <f>I69</f>
        <v>Half</v>
      </c>
      <c r="J70" s="50">
        <f t="shared" ref="J70" si="105">J69</f>
        <v>6</v>
      </c>
      <c r="K70" s="49">
        <f t="shared" si="102"/>
        <v>160</v>
      </c>
      <c r="L70" s="44">
        <f t="shared" si="95"/>
        <v>8</v>
      </c>
      <c r="M70" s="128">
        <f>yaw_max</f>
        <v>8</v>
      </c>
      <c r="N70" s="45">
        <f t="shared" si="98"/>
        <v>0.2</v>
      </c>
      <c r="O70" s="49">
        <v>90</v>
      </c>
      <c r="P70" s="44">
        <f t="shared" si="101"/>
        <v>150</v>
      </c>
      <c r="Q70" s="50">
        <f t="shared" si="101"/>
        <v>210</v>
      </c>
    </row>
    <row r="71" spans="1:17" x14ac:dyDescent="0.25">
      <c r="A71" s="41">
        <f t="shared" si="96"/>
        <v>919</v>
      </c>
      <c r="B71" s="42">
        <f t="shared" si="96"/>
        <v>61</v>
      </c>
      <c r="C71" s="41" t="s">
        <v>2224</v>
      </c>
      <c r="D71" s="43">
        <f t="shared" si="91"/>
        <v>39.9</v>
      </c>
      <c r="E71" s="61">
        <f t="shared" si="92"/>
        <v>4.9735000000000005</v>
      </c>
      <c r="F71" s="61">
        <f t="shared" si="93"/>
        <v>42</v>
      </c>
      <c r="G71" s="64">
        <f t="shared" si="94"/>
        <v>0.58988764044943809</v>
      </c>
      <c r="H71" s="44">
        <f>-6.4*ATAN(E71/D71*G71)/PI()*180</f>
        <v>-26.914126219991235</v>
      </c>
      <c r="I71" s="42" t="str">
        <f t="shared" si="102"/>
        <v>Half</v>
      </c>
      <c r="J71" s="50">
        <f t="shared" si="102"/>
        <v>6</v>
      </c>
      <c r="K71" s="49">
        <f t="shared" si="102"/>
        <v>160</v>
      </c>
      <c r="L71" s="44">
        <f t="shared" si="95"/>
        <v>8</v>
      </c>
      <c r="M71" s="44">
        <f>yaw_min</f>
        <v>-8</v>
      </c>
      <c r="N71" s="45">
        <f t="shared" si="98"/>
        <v>0.2</v>
      </c>
      <c r="O71" s="49">
        <v>0</v>
      </c>
      <c r="P71" s="44">
        <f t="shared" si="101"/>
        <v>150</v>
      </c>
      <c r="Q71" s="50">
        <f t="shared" si="101"/>
        <v>210</v>
      </c>
    </row>
    <row r="72" spans="1:17" x14ac:dyDescent="0.25">
      <c r="A72" s="41">
        <f t="shared" si="96"/>
        <v>920</v>
      </c>
      <c r="B72" s="42">
        <f t="shared" si="96"/>
        <v>62</v>
      </c>
      <c r="C72" s="41" t="s">
        <v>2225</v>
      </c>
      <c r="D72" s="43">
        <f t="shared" si="91"/>
        <v>39.9</v>
      </c>
      <c r="E72" s="61">
        <f t="shared" si="92"/>
        <v>4.9735000000000005</v>
      </c>
      <c r="F72" s="61">
        <f t="shared" si="93"/>
        <v>42</v>
      </c>
      <c r="G72" s="64">
        <f t="shared" si="94"/>
        <v>0.58988764044943809</v>
      </c>
      <c r="H72" s="44">
        <f t="shared" ref="H72:H82" si="106">-6.4*ATAN(E72/D72*G72)/PI()*180</f>
        <v>-26.914126219991235</v>
      </c>
      <c r="I72" s="42" t="str">
        <f t="shared" si="102"/>
        <v>Half</v>
      </c>
      <c r="J72" s="50">
        <f t="shared" si="102"/>
        <v>6</v>
      </c>
      <c r="K72" s="49">
        <f t="shared" si="102"/>
        <v>160</v>
      </c>
      <c r="L72" s="44">
        <f t="shared" si="95"/>
        <v>8</v>
      </c>
      <c r="M72" s="44">
        <f>yaw_min</f>
        <v>-8</v>
      </c>
      <c r="N72" s="45">
        <f t="shared" si="98"/>
        <v>0.2</v>
      </c>
      <c r="O72" s="49">
        <v>30</v>
      </c>
      <c r="P72" s="44">
        <f t="shared" si="101"/>
        <v>150</v>
      </c>
      <c r="Q72" s="50">
        <f t="shared" si="101"/>
        <v>210</v>
      </c>
    </row>
    <row r="73" spans="1:17" x14ac:dyDescent="0.25">
      <c r="A73" s="41">
        <f t="shared" si="96"/>
        <v>921</v>
      </c>
      <c r="B73" s="42">
        <f t="shared" si="96"/>
        <v>63</v>
      </c>
      <c r="C73" s="41" t="s">
        <v>2226</v>
      </c>
      <c r="D73" s="43">
        <f t="shared" si="91"/>
        <v>39.9</v>
      </c>
      <c r="E73" s="61">
        <f t="shared" si="92"/>
        <v>4.9735000000000005</v>
      </c>
      <c r="F73" s="61">
        <f t="shared" si="93"/>
        <v>42</v>
      </c>
      <c r="G73" s="64">
        <f t="shared" si="94"/>
        <v>0.58988764044943809</v>
      </c>
      <c r="H73" s="44">
        <f t="shared" si="106"/>
        <v>-26.914126219991235</v>
      </c>
      <c r="I73" s="42" t="str">
        <f t="shared" si="102"/>
        <v>Half</v>
      </c>
      <c r="J73" s="50">
        <f t="shared" si="102"/>
        <v>6</v>
      </c>
      <c r="K73" s="49">
        <f t="shared" si="102"/>
        <v>160</v>
      </c>
      <c r="L73" s="44">
        <f t="shared" si="95"/>
        <v>8</v>
      </c>
      <c r="M73" s="44">
        <f>yaw_min</f>
        <v>-8</v>
      </c>
      <c r="N73" s="45">
        <f t="shared" si="98"/>
        <v>0.2</v>
      </c>
      <c r="O73" s="49">
        <v>60</v>
      </c>
      <c r="P73" s="44">
        <f t="shared" si="101"/>
        <v>150</v>
      </c>
      <c r="Q73" s="50">
        <f t="shared" si="101"/>
        <v>210</v>
      </c>
    </row>
    <row r="74" spans="1:17" x14ac:dyDescent="0.25">
      <c r="A74" s="41">
        <f t="shared" si="96"/>
        <v>922</v>
      </c>
      <c r="B74" s="42">
        <f t="shared" si="96"/>
        <v>64</v>
      </c>
      <c r="C74" s="41" t="s">
        <v>2227</v>
      </c>
      <c r="D74" s="43">
        <f t="shared" si="91"/>
        <v>39.9</v>
      </c>
      <c r="E74" s="61">
        <f t="shared" si="92"/>
        <v>4.9735000000000005</v>
      </c>
      <c r="F74" s="61">
        <f t="shared" si="93"/>
        <v>42</v>
      </c>
      <c r="G74" s="64">
        <f t="shared" si="94"/>
        <v>0.58988764044943809</v>
      </c>
      <c r="H74" s="44">
        <f t="shared" si="106"/>
        <v>-26.914126219991235</v>
      </c>
      <c r="I74" s="42" t="str">
        <f t="shared" si="102"/>
        <v>Half</v>
      </c>
      <c r="J74" s="50">
        <f t="shared" si="102"/>
        <v>6</v>
      </c>
      <c r="K74" s="49">
        <f t="shared" si="102"/>
        <v>160</v>
      </c>
      <c r="L74" s="44">
        <f t="shared" si="95"/>
        <v>8</v>
      </c>
      <c r="M74" s="44">
        <f>yaw_min</f>
        <v>-8</v>
      </c>
      <c r="N74" s="45">
        <f t="shared" si="98"/>
        <v>0.2</v>
      </c>
      <c r="O74" s="49">
        <v>90</v>
      </c>
      <c r="P74" s="44">
        <f t="shared" si="101"/>
        <v>150</v>
      </c>
      <c r="Q74" s="50">
        <f t="shared" si="101"/>
        <v>210</v>
      </c>
    </row>
    <row r="75" spans="1:17" x14ac:dyDescent="0.25">
      <c r="A75" s="41">
        <f t="shared" si="96"/>
        <v>923</v>
      </c>
      <c r="B75" s="42">
        <f t="shared" si="96"/>
        <v>65</v>
      </c>
      <c r="C75" s="41" t="s">
        <v>2228</v>
      </c>
      <c r="D75" s="43">
        <f t="shared" si="91"/>
        <v>39.9</v>
      </c>
      <c r="E75" s="61">
        <f t="shared" si="92"/>
        <v>4.9735000000000005</v>
      </c>
      <c r="F75" s="61">
        <f t="shared" si="93"/>
        <v>42</v>
      </c>
      <c r="G75" s="64">
        <f t="shared" si="94"/>
        <v>0.58988764044943809</v>
      </c>
      <c r="H75" s="44">
        <f t="shared" si="106"/>
        <v>-26.914126219991235</v>
      </c>
      <c r="I75" s="42" t="s">
        <v>12</v>
      </c>
      <c r="J75" s="50">
        <f t="shared" ref="J75" si="107">J74</f>
        <v>6</v>
      </c>
      <c r="K75" s="49">
        <f t="shared" si="102"/>
        <v>160</v>
      </c>
      <c r="L75" s="44">
        <f t="shared" si="95"/>
        <v>8</v>
      </c>
      <c r="M75" s="44">
        <f>yaw_null</f>
        <v>0</v>
      </c>
      <c r="N75" s="45">
        <f t="shared" si="98"/>
        <v>0.2</v>
      </c>
      <c r="O75" s="49">
        <v>0</v>
      </c>
      <c r="P75" s="44">
        <f t="shared" si="101"/>
        <v>150</v>
      </c>
      <c r="Q75" s="50">
        <f t="shared" si="101"/>
        <v>210</v>
      </c>
    </row>
    <row r="76" spans="1:17" x14ac:dyDescent="0.25">
      <c r="A76" s="41">
        <f t="shared" ref="A76:B82" si="108">A75+1</f>
        <v>924</v>
      </c>
      <c r="B76" s="42">
        <f t="shared" si="108"/>
        <v>66</v>
      </c>
      <c r="C76" s="41" t="s">
        <v>2229</v>
      </c>
      <c r="D76" s="43">
        <f t="shared" si="91"/>
        <v>39.9</v>
      </c>
      <c r="E76" s="61">
        <f t="shared" si="92"/>
        <v>4.9735000000000005</v>
      </c>
      <c r="F76" s="61">
        <f t="shared" si="93"/>
        <v>42</v>
      </c>
      <c r="G76" s="64">
        <f t="shared" si="94"/>
        <v>0.58988764044943809</v>
      </c>
      <c r="H76" s="44">
        <f t="shared" si="106"/>
        <v>-26.914126219991235</v>
      </c>
      <c r="I76" s="42" t="str">
        <f>I75</f>
        <v>Half</v>
      </c>
      <c r="J76" s="50">
        <f t="shared" ref="J76" si="109">J75</f>
        <v>6</v>
      </c>
      <c r="K76" s="49">
        <f t="shared" si="102"/>
        <v>160</v>
      </c>
      <c r="L76" s="44">
        <f t="shared" si="95"/>
        <v>8</v>
      </c>
      <c r="M76" s="44">
        <f>yaw_null</f>
        <v>0</v>
      </c>
      <c r="N76" s="45">
        <f t="shared" si="98"/>
        <v>0.2</v>
      </c>
      <c r="O76" s="49">
        <v>30</v>
      </c>
      <c r="P76" s="44">
        <f t="shared" si="101"/>
        <v>150</v>
      </c>
      <c r="Q76" s="50">
        <f t="shared" si="101"/>
        <v>210</v>
      </c>
    </row>
    <row r="77" spans="1:17" x14ac:dyDescent="0.25">
      <c r="A77" s="41">
        <f t="shared" si="108"/>
        <v>925</v>
      </c>
      <c r="B77" s="42">
        <f t="shared" si="108"/>
        <v>67</v>
      </c>
      <c r="C77" s="41" t="s">
        <v>2230</v>
      </c>
      <c r="D77" s="43">
        <f t="shared" si="91"/>
        <v>39.9</v>
      </c>
      <c r="E77" s="61">
        <f t="shared" si="92"/>
        <v>4.9735000000000005</v>
      </c>
      <c r="F77" s="61">
        <f t="shared" si="93"/>
        <v>42</v>
      </c>
      <c r="G77" s="64">
        <f t="shared" si="94"/>
        <v>0.58988764044943809</v>
      </c>
      <c r="H77" s="44">
        <f t="shared" si="106"/>
        <v>-26.914126219991235</v>
      </c>
      <c r="I77" s="42" t="str">
        <f t="shared" ref="I77:K82" si="110">I76</f>
        <v>Half</v>
      </c>
      <c r="J77" s="50">
        <f t="shared" si="110"/>
        <v>6</v>
      </c>
      <c r="K77" s="49">
        <f t="shared" si="110"/>
        <v>160</v>
      </c>
      <c r="L77" s="44">
        <f t="shared" si="95"/>
        <v>8</v>
      </c>
      <c r="M77" s="44">
        <f>yaw_null</f>
        <v>0</v>
      </c>
      <c r="N77" s="45">
        <f t="shared" si="98"/>
        <v>0.2</v>
      </c>
      <c r="O77" s="49">
        <v>60</v>
      </c>
      <c r="P77" s="44">
        <f t="shared" ref="P77:Q82" si="111">P76</f>
        <v>150</v>
      </c>
      <c r="Q77" s="50">
        <f t="shared" si="111"/>
        <v>210</v>
      </c>
    </row>
    <row r="78" spans="1:17" x14ac:dyDescent="0.25">
      <c r="A78" s="41">
        <f t="shared" si="108"/>
        <v>926</v>
      </c>
      <c r="B78" s="42">
        <f t="shared" si="108"/>
        <v>68</v>
      </c>
      <c r="C78" s="41" t="s">
        <v>2231</v>
      </c>
      <c r="D78" s="43">
        <f t="shared" si="91"/>
        <v>39.9</v>
      </c>
      <c r="E78" s="61">
        <f t="shared" si="92"/>
        <v>4.9735000000000005</v>
      </c>
      <c r="F78" s="61">
        <f t="shared" si="93"/>
        <v>42</v>
      </c>
      <c r="G78" s="64">
        <f t="shared" si="94"/>
        <v>0.58988764044943809</v>
      </c>
      <c r="H78" s="44">
        <f t="shared" si="106"/>
        <v>-26.914126219991235</v>
      </c>
      <c r="I78" s="42" t="str">
        <f t="shared" si="110"/>
        <v>Half</v>
      </c>
      <c r="J78" s="50">
        <f t="shared" si="110"/>
        <v>6</v>
      </c>
      <c r="K78" s="49">
        <f t="shared" si="110"/>
        <v>160</v>
      </c>
      <c r="L78" s="44">
        <f t="shared" si="95"/>
        <v>8</v>
      </c>
      <c r="M78" s="44">
        <f>yaw_null</f>
        <v>0</v>
      </c>
      <c r="N78" s="45">
        <f t="shared" si="98"/>
        <v>0.2</v>
      </c>
      <c r="O78" s="49">
        <v>90</v>
      </c>
      <c r="P78" s="44">
        <f t="shared" si="111"/>
        <v>150</v>
      </c>
      <c r="Q78" s="50">
        <f t="shared" si="111"/>
        <v>210</v>
      </c>
    </row>
    <row r="79" spans="1:17" x14ac:dyDescent="0.25">
      <c r="A79" s="41">
        <f t="shared" si="108"/>
        <v>927</v>
      </c>
      <c r="B79" s="42">
        <f t="shared" si="108"/>
        <v>69</v>
      </c>
      <c r="C79" s="41" t="s">
        <v>2232</v>
      </c>
      <c r="D79" s="43">
        <f t="shared" si="91"/>
        <v>39.9</v>
      </c>
      <c r="E79" s="61">
        <f t="shared" si="92"/>
        <v>4.9735000000000005</v>
      </c>
      <c r="F79" s="61">
        <f t="shared" si="93"/>
        <v>42</v>
      </c>
      <c r="G79" s="64">
        <f t="shared" si="94"/>
        <v>0.58988764044943809</v>
      </c>
      <c r="H79" s="44">
        <f t="shared" si="106"/>
        <v>-26.914126219991235</v>
      </c>
      <c r="I79" s="42" t="str">
        <f t="shared" si="110"/>
        <v>Half</v>
      </c>
      <c r="J79" s="50">
        <f t="shared" si="110"/>
        <v>6</v>
      </c>
      <c r="K79" s="49">
        <f t="shared" si="110"/>
        <v>160</v>
      </c>
      <c r="L79" s="44">
        <f t="shared" si="95"/>
        <v>8</v>
      </c>
      <c r="M79" s="44">
        <f>yaw_max</f>
        <v>8</v>
      </c>
      <c r="N79" s="45">
        <f t="shared" si="98"/>
        <v>0.2</v>
      </c>
      <c r="O79" s="49">
        <v>0</v>
      </c>
      <c r="P79" s="44">
        <f t="shared" si="111"/>
        <v>150</v>
      </c>
      <c r="Q79" s="50">
        <f t="shared" si="111"/>
        <v>210</v>
      </c>
    </row>
    <row r="80" spans="1:17" x14ac:dyDescent="0.25">
      <c r="A80" s="41">
        <f t="shared" si="108"/>
        <v>928</v>
      </c>
      <c r="B80" s="42">
        <f t="shared" si="108"/>
        <v>70</v>
      </c>
      <c r="C80" s="41" t="s">
        <v>2233</v>
      </c>
      <c r="D80" s="43">
        <f t="shared" si="91"/>
        <v>39.9</v>
      </c>
      <c r="E80" s="61">
        <f t="shared" si="92"/>
        <v>4.9735000000000005</v>
      </c>
      <c r="F80" s="61">
        <f t="shared" si="93"/>
        <v>42</v>
      </c>
      <c r="G80" s="64">
        <f t="shared" si="94"/>
        <v>0.58988764044943809</v>
      </c>
      <c r="H80" s="44">
        <f t="shared" si="106"/>
        <v>-26.914126219991235</v>
      </c>
      <c r="I80" s="42" t="str">
        <f t="shared" si="110"/>
        <v>Half</v>
      </c>
      <c r="J80" s="50">
        <f t="shared" si="110"/>
        <v>6</v>
      </c>
      <c r="K80" s="49">
        <f t="shared" si="110"/>
        <v>160</v>
      </c>
      <c r="L80" s="44">
        <f t="shared" si="95"/>
        <v>8</v>
      </c>
      <c r="M80" s="44">
        <f>yaw_max</f>
        <v>8</v>
      </c>
      <c r="N80" s="45">
        <f t="shared" si="98"/>
        <v>0.2</v>
      </c>
      <c r="O80" s="49">
        <v>30</v>
      </c>
      <c r="P80" s="44">
        <f t="shared" si="111"/>
        <v>150</v>
      </c>
      <c r="Q80" s="50">
        <f t="shared" si="111"/>
        <v>210</v>
      </c>
    </row>
    <row r="81" spans="1:17" x14ac:dyDescent="0.25">
      <c r="A81" s="41">
        <f t="shared" si="108"/>
        <v>929</v>
      </c>
      <c r="B81" s="42">
        <f t="shared" si="108"/>
        <v>71</v>
      </c>
      <c r="C81" s="41" t="s">
        <v>2234</v>
      </c>
      <c r="D81" s="43">
        <f t="shared" si="91"/>
        <v>39.9</v>
      </c>
      <c r="E81" s="61">
        <f t="shared" si="92"/>
        <v>4.9735000000000005</v>
      </c>
      <c r="F81" s="61">
        <f t="shared" si="93"/>
        <v>42</v>
      </c>
      <c r="G81" s="64">
        <f t="shared" si="94"/>
        <v>0.58988764044943809</v>
      </c>
      <c r="H81" s="44">
        <f t="shared" si="106"/>
        <v>-26.914126219991235</v>
      </c>
      <c r="I81" s="42" t="str">
        <f t="shared" si="110"/>
        <v>Half</v>
      </c>
      <c r="J81" s="50">
        <f t="shared" si="110"/>
        <v>6</v>
      </c>
      <c r="K81" s="49">
        <f t="shared" si="110"/>
        <v>160</v>
      </c>
      <c r="L81" s="44">
        <f t="shared" si="95"/>
        <v>8</v>
      </c>
      <c r="M81" s="44">
        <f>yaw_max</f>
        <v>8</v>
      </c>
      <c r="N81" s="45">
        <f t="shared" si="98"/>
        <v>0.2</v>
      </c>
      <c r="O81" s="49">
        <v>60</v>
      </c>
      <c r="P81" s="44">
        <f t="shared" si="111"/>
        <v>150</v>
      </c>
      <c r="Q81" s="50">
        <f t="shared" si="111"/>
        <v>210</v>
      </c>
    </row>
    <row r="82" spans="1:17" x14ac:dyDescent="0.25">
      <c r="A82" s="41">
        <f t="shared" si="108"/>
        <v>930</v>
      </c>
      <c r="B82" s="42">
        <f t="shared" si="108"/>
        <v>72</v>
      </c>
      <c r="C82" s="41" t="s">
        <v>2235</v>
      </c>
      <c r="D82" s="43">
        <f t="shared" si="91"/>
        <v>39.9</v>
      </c>
      <c r="E82" s="61">
        <f t="shared" si="92"/>
        <v>4.9735000000000005</v>
      </c>
      <c r="F82" s="61">
        <f t="shared" si="93"/>
        <v>42</v>
      </c>
      <c r="G82" s="64">
        <f t="shared" si="94"/>
        <v>0.58988764044943809</v>
      </c>
      <c r="H82" s="44">
        <f t="shared" si="106"/>
        <v>-26.914126219991235</v>
      </c>
      <c r="I82" s="42" t="str">
        <f t="shared" si="110"/>
        <v>Half</v>
      </c>
      <c r="J82" s="50">
        <f t="shared" si="110"/>
        <v>6</v>
      </c>
      <c r="K82" s="49">
        <f t="shared" si="110"/>
        <v>160</v>
      </c>
      <c r="L82" s="44">
        <f t="shared" si="95"/>
        <v>8</v>
      </c>
      <c r="M82" s="44">
        <f>yaw_max</f>
        <v>8</v>
      </c>
      <c r="N82" s="45">
        <f t="shared" si="98"/>
        <v>0.2</v>
      </c>
      <c r="O82" s="49">
        <v>90</v>
      </c>
      <c r="P82" s="44">
        <f t="shared" si="111"/>
        <v>150</v>
      </c>
      <c r="Q82" s="50">
        <f t="shared" si="111"/>
        <v>210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T58"/>
  <sheetViews>
    <sheetView zoomScale="85" zoomScaleNormal="85" workbookViewId="0">
      <selection activeCell="F14" sqref="F14"/>
    </sheetView>
  </sheetViews>
  <sheetFormatPr defaultColWidth="9" defaultRowHeight="15" x14ac:dyDescent="0.15"/>
  <cols>
    <col min="1" max="1" width="7.875" style="23" customWidth="1"/>
    <col min="2" max="2" width="7.625" style="23" customWidth="1"/>
    <col min="3" max="3" width="9.25" style="23" customWidth="1"/>
    <col min="4" max="4" width="6.375" style="23" customWidth="1"/>
    <col min="5" max="5" width="7.25" style="23" customWidth="1"/>
    <col min="6" max="6" width="6.625" style="23" customWidth="1"/>
    <col min="7" max="7" width="7" style="23" customWidth="1"/>
    <col min="8" max="8" width="7.25" style="23" customWidth="1"/>
    <col min="9" max="9" width="8.125" style="23" customWidth="1"/>
    <col min="10" max="10" width="8" style="23" customWidth="1"/>
    <col min="11" max="11" width="8.25" style="23" customWidth="1"/>
    <col min="12" max="12" width="6.75" style="23" customWidth="1"/>
    <col min="13" max="13" width="7.25" style="23" customWidth="1"/>
    <col min="14" max="14" width="9" style="23"/>
    <col min="15" max="15" width="7.625" style="23" customWidth="1"/>
    <col min="16" max="16" width="8" style="23" customWidth="1"/>
    <col min="17" max="17" width="7.125" style="23" customWidth="1"/>
    <col min="18" max="19" width="7.375" style="23" customWidth="1"/>
    <col min="20" max="20" width="8.125" style="23" customWidth="1"/>
    <col min="21" max="16384" width="9" style="23"/>
  </cols>
  <sheetData>
    <row r="1" spans="1:20" x14ac:dyDescent="0.15">
      <c r="H1" s="22" t="s">
        <v>135</v>
      </c>
      <c r="I1" s="22" t="s">
        <v>2241</v>
      </c>
    </row>
    <row r="2" spans="1:20" x14ac:dyDescent="0.15">
      <c r="B2" s="22" t="s">
        <v>2239</v>
      </c>
      <c r="C2" s="22"/>
      <c r="D2" s="22"/>
      <c r="E2" s="22"/>
      <c r="H2" s="22"/>
      <c r="I2" s="22" t="s">
        <v>145</v>
      </c>
    </row>
    <row r="3" spans="1:20" x14ac:dyDescent="0.15">
      <c r="B3" s="22" t="s">
        <v>88</v>
      </c>
      <c r="C3" s="22"/>
      <c r="D3" s="22"/>
      <c r="E3" s="22" t="s">
        <v>2240</v>
      </c>
      <c r="H3" s="22"/>
      <c r="I3" s="22" t="s">
        <v>159</v>
      </c>
    </row>
    <row r="4" spans="1:20" x14ac:dyDescent="0.15">
      <c r="B4" s="22" t="s">
        <v>89</v>
      </c>
      <c r="C4" s="22"/>
      <c r="D4" s="22"/>
      <c r="E4" s="22" t="s">
        <v>1722</v>
      </c>
      <c r="H4" s="22"/>
      <c r="I4" s="22" t="s">
        <v>153</v>
      </c>
    </row>
    <row r="5" spans="1:20" x14ac:dyDescent="0.15">
      <c r="B5" s="22" t="s">
        <v>91</v>
      </c>
      <c r="C5" s="22"/>
      <c r="D5" s="22"/>
      <c r="E5" s="22" t="s">
        <v>99</v>
      </c>
      <c r="H5" s="22"/>
      <c r="I5" s="22" t="s">
        <v>919</v>
      </c>
    </row>
    <row r="6" spans="1:20" x14ac:dyDescent="0.15">
      <c r="B6" s="22" t="s">
        <v>93</v>
      </c>
      <c r="C6" s="22"/>
      <c r="D6" s="22"/>
      <c r="E6" s="22" t="s">
        <v>100</v>
      </c>
      <c r="H6" s="22"/>
      <c r="I6" s="22" t="s">
        <v>920</v>
      </c>
    </row>
    <row r="7" spans="1:20" x14ac:dyDescent="0.15">
      <c r="A7" s="46"/>
      <c r="B7" s="46"/>
      <c r="C7" s="46"/>
      <c r="D7" s="46"/>
      <c r="E7" s="46"/>
      <c r="F7" s="46"/>
      <c r="G7" s="46"/>
      <c r="H7" s="22"/>
      <c r="I7" s="22" t="s">
        <v>921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</row>
    <row r="8" spans="1:20" ht="15.75" thickBot="1" x14ac:dyDescent="0.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</row>
    <row r="9" spans="1:20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62" t="s">
        <v>152</v>
      </c>
      <c r="G9" s="62" t="s">
        <v>11</v>
      </c>
      <c r="H9" s="65" t="s">
        <v>18</v>
      </c>
      <c r="I9" s="65" t="s">
        <v>19</v>
      </c>
      <c r="J9" s="27" t="s">
        <v>15</v>
      </c>
      <c r="K9" s="27" t="s">
        <v>158</v>
      </c>
      <c r="L9" s="27" t="s">
        <v>8</v>
      </c>
      <c r="M9" s="47" t="s">
        <v>21</v>
      </c>
      <c r="N9" s="25" t="s">
        <v>147</v>
      </c>
      <c r="O9" s="25" t="s">
        <v>144</v>
      </c>
      <c r="P9" s="25" t="s">
        <v>2</v>
      </c>
      <c r="Q9" s="25" t="s">
        <v>141</v>
      </c>
      <c r="R9" s="25" t="s">
        <v>13</v>
      </c>
      <c r="S9" s="27" t="s">
        <v>138</v>
      </c>
      <c r="T9" s="27" t="s">
        <v>139</v>
      </c>
    </row>
    <row r="10" spans="1:20" ht="15.75" thickBot="1" x14ac:dyDescent="0.3">
      <c r="A10" s="29" t="s">
        <v>76</v>
      </c>
      <c r="B10" s="30" t="str">
        <f>B2</f>
        <v>DLCT7</v>
      </c>
      <c r="C10" s="29"/>
      <c r="D10" s="30" t="s">
        <v>4</v>
      </c>
      <c r="E10" s="59" t="s">
        <v>4</v>
      </c>
      <c r="F10" s="59" t="s">
        <v>14</v>
      </c>
      <c r="G10" s="59"/>
      <c r="H10" s="59" t="s">
        <v>4</v>
      </c>
      <c r="I10" s="59" t="s">
        <v>4</v>
      </c>
      <c r="J10" s="30" t="s">
        <v>4</v>
      </c>
      <c r="K10" s="48"/>
      <c r="L10" s="32"/>
      <c r="M10" s="32" t="s">
        <v>17</v>
      </c>
      <c r="N10" s="32" t="s">
        <v>7</v>
      </c>
      <c r="O10" s="30" t="s">
        <v>6</v>
      </c>
      <c r="P10" s="30" t="s">
        <v>6</v>
      </c>
      <c r="Q10" s="30"/>
      <c r="R10" s="32" t="s">
        <v>7</v>
      </c>
      <c r="S10" s="32" t="s">
        <v>7</v>
      </c>
      <c r="T10" s="32" t="s">
        <v>7</v>
      </c>
    </row>
    <row r="11" spans="1:20" x14ac:dyDescent="0.25">
      <c r="A11" s="24" t="e">
        <f>'DLC14'!#REF!+1</f>
        <v>#REF!</v>
      </c>
      <c r="B11" s="27">
        <v>1</v>
      </c>
      <c r="C11" s="24" t="s">
        <v>3585</v>
      </c>
      <c r="D11" s="34">
        <f>v_tref</f>
        <v>57</v>
      </c>
      <c r="E11" s="60">
        <f t="shared" ref="E11:E58" si="0">I_ref*(0.75*D11+5.6)</f>
        <v>6.769000000000001</v>
      </c>
      <c r="F11" s="60">
        <f t="shared" ref="F11:F58" si="1">tur_scale</f>
        <v>42</v>
      </c>
      <c r="G11" s="63">
        <f>EWS_b</f>
        <v>6.4</v>
      </c>
      <c r="H11" s="63">
        <f t="shared" ref="H11:H58" si="2">D11*((h_hub+diameter/2)/h_hub)^alpha_n</f>
        <v>64.189482541215312</v>
      </c>
      <c r="I11" s="63">
        <f t="shared" ref="I11:I58" si="3">D11*((h_hub+diameter/2)/h_hub)^alpha_n+(((h_hub+diameter/2)-h_hub)/diameter)*(2.5+0.2*G11*E11*(diameter/F11)^0.25)*(1-COS(-PI()))</f>
        <v>78.520180724929475</v>
      </c>
      <c r="J11" s="51">
        <f>2*(I11-H11)</f>
        <v>28.661396367428324</v>
      </c>
      <c r="K11" s="55" t="s">
        <v>123</v>
      </c>
      <c r="L11" s="42" t="s">
        <v>9</v>
      </c>
      <c r="M11" s="50">
        <f>EWS_t</f>
        <v>12</v>
      </c>
      <c r="N11" s="49">
        <f>trig_t</f>
        <v>160</v>
      </c>
      <c r="O11" s="35">
        <f>inflow</f>
        <v>8</v>
      </c>
      <c r="P11" s="35">
        <f>yaw_min</f>
        <v>-8</v>
      </c>
      <c r="Q11" s="154">
        <f>alpha_e</f>
        <v>0.11</v>
      </c>
      <c r="R11" s="49">
        <v>0</v>
      </c>
      <c r="S11" s="35">
        <f>t_out</f>
        <v>150</v>
      </c>
      <c r="T11" s="50">
        <f>S11+T_s2</f>
        <v>210</v>
      </c>
    </row>
    <row r="12" spans="1:20" x14ac:dyDescent="0.25">
      <c r="A12" s="41" t="e">
        <f>A11+1</f>
        <v>#REF!</v>
      </c>
      <c r="B12" s="42">
        <f>B11+1</f>
        <v>2</v>
      </c>
      <c r="C12" s="41" t="s">
        <v>3586</v>
      </c>
      <c r="D12" s="43">
        <f>D11</f>
        <v>57</v>
      </c>
      <c r="E12" s="61">
        <f t="shared" si="0"/>
        <v>6.769000000000001</v>
      </c>
      <c r="F12" s="61">
        <f t="shared" si="1"/>
        <v>42</v>
      </c>
      <c r="G12" s="64">
        <f>G11</f>
        <v>6.4</v>
      </c>
      <c r="H12" s="63">
        <f t="shared" si="2"/>
        <v>64.189482541215312</v>
      </c>
      <c r="I12" s="63">
        <f t="shared" si="3"/>
        <v>78.520180724929475</v>
      </c>
      <c r="J12" s="51">
        <f>2*(I12-H12)</f>
        <v>28.661396367428324</v>
      </c>
      <c r="K12" s="53" t="str">
        <f t="shared" ref="K12:Q27" si="4">K11</f>
        <v>Vertical</v>
      </c>
      <c r="L12" s="42" t="str">
        <f t="shared" si="4"/>
        <v>Full</v>
      </c>
      <c r="M12" s="50">
        <f t="shared" si="4"/>
        <v>12</v>
      </c>
      <c r="N12" s="49">
        <f t="shared" si="4"/>
        <v>160</v>
      </c>
      <c r="O12" s="44">
        <f t="shared" si="4"/>
        <v>8</v>
      </c>
      <c r="P12" s="44">
        <f t="shared" si="4"/>
        <v>-8</v>
      </c>
      <c r="Q12" s="155">
        <f t="shared" si="4"/>
        <v>0.11</v>
      </c>
      <c r="R12" s="49">
        <v>30</v>
      </c>
      <c r="S12" s="44">
        <f>S11</f>
        <v>150</v>
      </c>
      <c r="T12" s="50">
        <f>T11</f>
        <v>210</v>
      </c>
    </row>
    <row r="13" spans="1:20" x14ac:dyDescent="0.25">
      <c r="A13" s="41" t="e">
        <f t="shared" ref="A13:B28" si="5">A12+1</f>
        <v>#REF!</v>
      </c>
      <c r="B13" s="42">
        <f t="shared" si="5"/>
        <v>3</v>
      </c>
      <c r="C13" s="41" t="s">
        <v>3587</v>
      </c>
      <c r="D13" s="43">
        <f t="shared" ref="D13:D58" si="6">D12</f>
        <v>57</v>
      </c>
      <c r="E13" s="61">
        <f t="shared" si="0"/>
        <v>6.769000000000001</v>
      </c>
      <c r="F13" s="61">
        <f t="shared" si="1"/>
        <v>42</v>
      </c>
      <c r="G13" s="64">
        <f>G12</f>
        <v>6.4</v>
      </c>
      <c r="H13" s="63">
        <f t="shared" si="2"/>
        <v>64.189482541215312</v>
      </c>
      <c r="I13" s="63">
        <f t="shared" si="3"/>
        <v>78.520180724929475</v>
      </c>
      <c r="J13" s="51">
        <f t="shared" ref="J13:J22" si="7">2*(I13-H13)</f>
        <v>28.661396367428324</v>
      </c>
      <c r="K13" s="53" t="str">
        <f t="shared" si="4"/>
        <v>Vertical</v>
      </c>
      <c r="L13" s="42" t="str">
        <f t="shared" si="4"/>
        <v>Full</v>
      </c>
      <c r="M13" s="50">
        <f t="shared" si="4"/>
        <v>12</v>
      </c>
      <c r="N13" s="49">
        <f t="shared" si="4"/>
        <v>160</v>
      </c>
      <c r="O13" s="44">
        <f t="shared" si="4"/>
        <v>8</v>
      </c>
      <c r="P13" s="44">
        <f>P12</f>
        <v>-8</v>
      </c>
      <c r="Q13" s="155">
        <f t="shared" si="4"/>
        <v>0.11</v>
      </c>
      <c r="R13" s="49">
        <v>60</v>
      </c>
      <c r="S13" s="44">
        <f t="shared" ref="S13:T28" si="8">S12</f>
        <v>150</v>
      </c>
      <c r="T13" s="50">
        <f t="shared" si="8"/>
        <v>210</v>
      </c>
    </row>
    <row r="14" spans="1:20" x14ac:dyDescent="0.25">
      <c r="A14" s="41" t="e">
        <f t="shared" si="5"/>
        <v>#REF!</v>
      </c>
      <c r="B14" s="42">
        <f t="shared" si="5"/>
        <v>4</v>
      </c>
      <c r="C14" s="41" t="s">
        <v>3588</v>
      </c>
      <c r="D14" s="43">
        <f t="shared" si="6"/>
        <v>57</v>
      </c>
      <c r="E14" s="61">
        <f t="shared" si="0"/>
        <v>6.769000000000001</v>
      </c>
      <c r="F14" s="61">
        <f t="shared" si="1"/>
        <v>42</v>
      </c>
      <c r="G14" s="64">
        <f t="shared" ref="G14:G58" si="9">G13</f>
        <v>6.4</v>
      </c>
      <c r="H14" s="63">
        <f t="shared" si="2"/>
        <v>64.189482541215312</v>
      </c>
      <c r="I14" s="63">
        <f t="shared" si="3"/>
        <v>78.520180724929475</v>
      </c>
      <c r="J14" s="51">
        <f t="shared" si="7"/>
        <v>28.661396367428324</v>
      </c>
      <c r="K14" s="53" t="str">
        <f t="shared" si="4"/>
        <v>Vertical</v>
      </c>
      <c r="L14" s="42" t="str">
        <f t="shared" si="4"/>
        <v>Full</v>
      </c>
      <c r="M14" s="50">
        <f t="shared" si="4"/>
        <v>12</v>
      </c>
      <c r="N14" s="49">
        <f t="shared" si="4"/>
        <v>160</v>
      </c>
      <c r="O14" s="44">
        <f t="shared" si="4"/>
        <v>8</v>
      </c>
      <c r="P14" s="44">
        <f>P13</f>
        <v>-8</v>
      </c>
      <c r="Q14" s="155">
        <f t="shared" si="4"/>
        <v>0.11</v>
      </c>
      <c r="R14" s="49">
        <v>90</v>
      </c>
      <c r="S14" s="44">
        <f t="shared" si="8"/>
        <v>150</v>
      </c>
      <c r="T14" s="50">
        <f t="shared" si="8"/>
        <v>210</v>
      </c>
    </row>
    <row r="15" spans="1:20" x14ac:dyDescent="0.25">
      <c r="A15" s="41" t="e">
        <f t="shared" si="5"/>
        <v>#REF!</v>
      </c>
      <c r="B15" s="42">
        <f t="shared" si="5"/>
        <v>5</v>
      </c>
      <c r="C15" s="41" t="s">
        <v>3589</v>
      </c>
      <c r="D15" s="43">
        <f t="shared" si="6"/>
        <v>57</v>
      </c>
      <c r="E15" s="61">
        <f t="shared" si="0"/>
        <v>6.769000000000001</v>
      </c>
      <c r="F15" s="61">
        <f t="shared" si="1"/>
        <v>42</v>
      </c>
      <c r="G15" s="64">
        <f t="shared" si="9"/>
        <v>6.4</v>
      </c>
      <c r="H15" s="63">
        <f t="shared" si="2"/>
        <v>64.189482541215312</v>
      </c>
      <c r="I15" s="63">
        <f t="shared" si="3"/>
        <v>78.520180724929475</v>
      </c>
      <c r="J15" s="51">
        <f t="shared" si="7"/>
        <v>28.661396367428324</v>
      </c>
      <c r="K15" s="53" t="str">
        <f t="shared" si="4"/>
        <v>Vertical</v>
      </c>
      <c r="L15" s="42" t="str">
        <f t="shared" si="4"/>
        <v>Full</v>
      </c>
      <c r="M15" s="50">
        <f t="shared" si="4"/>
        <v>12</v>
      </c>
      <c r="N15" s="49">
        <f t="shared" si="4"/>
        <v>160</v>
      </c>
      <c r="O15" s="44">
        <f t="shared" si="4"/>
        <v>8</v>
      </c>
      <c r="P15" s="44">
        <f>yaw_null</f>
        <v>0</v>
      </c>
      <c r="Q15" s="155">
        <f t="shared" si="4"/>
        <v>0.11</v>
      </c>
      <c r="R15" s="49">
        <v>0</v>
      </c>
      <c r="S15" s="44">
        <f t="shared" si="8"/>
        <v>150</v>
      </c>
      <c r="T15" s="50">
        <f t="shared" si="8"/>
        <v>210</v>
      </c>
    </row>
    <row r="16" spans="1:20" x14ac:dyDescent="0.25">
      <c r="A16" s="41" t="e">
        <f t="shared" si="5"/>
        <v>#REF!</v>
      </c>
      <c r="B16" s="42">
        <f t="shared" si="5"/>
        <v>6</v>
      </c>
      <c r="C16" s="41" t="s">
        <v>3590</v>
      </c>
      <c r="D16" s="43">
        <f t="shared" si="6"/>
        <v>57</v>
      </c>
      <c r="E16" s="61">
        <f t="shared" si="0"/>
        <v>6.769000000000001</v>
      </c>
      <c r="F16" s="61">
        <f t="shared" si="1"/>
        <v>42</v>
      </c>
      <c r="G16" s="64">
        <f t="shared" si="9"/>
        <v>6.4</v>
      </c>
      <c r="H16" s="63">
        <f t="shared" si="2"/>
        <v>64.189482541215312</v>
      </c>
      <c r="I16" s="63">
        <f t="shared" si="3"/>
        <v>78.520180724929475</v>
      </c>
      <c r="J16" s="51">
        <f t="shared" si="7"/>
        <v>28.661396367428324</v>
      </c>
      <c r="K16" s="53" t="str">
        <f t="shared" si="4"/>
        <v>Vertical</v>
      </c>
      <c r="L16" s="42" t="str">
        <f t="shared" si="4"/>
        <v>Full</v>
      </c>
      <c r="M16" s="50">
        <f t="shared" si="4"/>
        <v>12</v>
      </c>
      <c r="N16" s="49">
        <f t="shared" si="4"/>
        <v>160</v>
      </c>
      <c r="O16" s="44">
        <f t="shared" si="4"/>
        <v>8</v>
      </c>
      <c r="P16" s="44">
        <f>P15</f>
        <v>0</v>
      </c>
      <c r="Q16" s="155">
        <f t="shared" si="4"/>
        <v>0.11</v>
      </c>
      <c r="R16" s="49">
        <v>30</v>
      </c>
      <c r="S16" s="44">
        <f t="shared" si="8"/>
        <v>150</v>
      </c>
      <c r="T16" s="50">
        <f t="shared" si="8"/>
        <v>210</v>
      </c>
    </row>
    <row r="17" spans="1:20" x14ac:dyDescent="0.25">
      <c r="A17" s="41" t="e">
        <f t="shared" si="5"/>
        <v>#REF!</v>
      </c>
      <c r="B17" s="42">
        <f t="shared" si="5"/>
        <v>7</v>
      </c>
      <c r="C17" s="41" t="s">
        <v>3591</v>
      </c>
      <c r="D17" s="43">
        <f t="shared" si="6"/>
        <v>57</v>
      </c>
      <c r="E17" s="61">
        <f t="shared" si="0"/>
        <v>6.769000000000001</v>
      </c>
      <c r="F17" s="61">
        <f t="shared" si="1"/>
        <v>42</v>
      </c>
      <c r="G17" s="64">
        <f t="shared" si="9"/>
        <v>6.4</v>
      </c>
      <c r="H17" s="63">
        <f t="shared" si="2"/>
        <v>64.189482541215312</v>
      </c>
      <c r="I17" s="63">
        <f t="shared" si="3"/>
        <v>78.520180724929475</v>
      </c>
      <c r="J17" s="51">
        <f t="shared" si="7"/>
        <v>28.661396367428324</v>
      </c>
      <c r="K17" s="53" t="str">
        <f t="shared" si="4"/>
        <v>Vertical</v>
      </c>
      <c r="L17" s="42" t="str">
        <f t="shared" si="4"/>
        <v>Full</v>
      </c>
      <c r="M17" s="50">
        <f t="shared" si="4"/>
        <v>12</v>
      </c>
      <c r="N17" s="49">
        <f t="shared" si="4"/>
        <v>160</v>
      </c>
      <c r="O17" s="44">
        <f t="shared" si="4"/>
        <v>8</v>
      </c>
      <c r="P17" s="44">
        <f>P16</f>
        <v>0</v>
      </c>
      <c r="Q17" s="155">
        <f t="shared" si="4"/>
        <v>0.11</v>
      </c>
      <c r="R17" s="49">
        <v>60</v>
      </c>
      <c r="S17" s="44">
        <f t="shared" si="8"/>
        <v>150</v>
      </c>
      <c r="T17" s="50">
        <f t="shared" si="8"/>
        <v>210</v>
      </c>
    </row>
    <row r="18" spans="1:20" x14ac:dyDescent="0.25">
      <c r="A18" s="41" t="e">
        <f t="shared" si="5"/>
        <v>#REF!</v>
      </c>
      <c r="B18" s="42">
        <f t="shared" si="5"/>
        <v>8</v>
      </c>
      <c r="C18" s="41" t="s">
        <v>3592</v>
      </c>
      <c r="D18" s="43">
        <f t="shared" si="6"/>
        <v>57</v>
      </c>
      <c r="E18" s="61">
        <f t="shared" si="0"/>
        <v>6.769000000000001</v>
      </c>
      <c r="F18" s="61">
        <f t="shared" si="1"/>
        <v>42</v>
      </c>
      <c r="G18" s="64">
        <f t="shared" si="9"/>
        <v>6.4</v>
      </c>
      <c r="H18" s="63">
        <f t="shared" si="2"/>
        <v>64.189482541215312</v>
      </c>
      <c r="I18" s="63">
        <f t="shared" si="3"/>
        <v>78.520180724929475</v>
      </c>
      <c r="J18" s="51">
        <f t="shared" si="7"/>
        <v>28.661396367428324</v>
      </c>
      <c r="K18" s="53" t="str">
        <f t="shared" si="4"/>
        <v>Vertical</v>
      </c>
      <c r="L18" s="42" t="str">
        <f t="shared" si="4"/>
        <v>Full</v>
      </c>
      <c r="M18" s="50">
        <f t="shared" si="4"/>
        <v>12</v>
      </c>
      <c r="N18" s="49">
        <f t="shared" si="4"/>
        <v>160</v>
      </c>
      <c r="O18" s="44">
        <f t="shared" si="4"/>
        <v>8</v>
      </c>
      <c r="P18" s="44">
        <f>P17</f>
        <v>0</v>
      </c>
      <c r="Q18" s="155">
        <f t="shared" si="4"/>
        <v>0.11</v>
      </c>
      <c r="R18" s="49">
        <v>90</v>
      </c>
      <c r="S18" s="44">
        <f t="shared" si="8"/>
        <v>150</v>
      </c>
      <c r="T18" s="50">
        <f t="shared" si="8"/>
        <v>210</v>
      </c>
    </row>
    <row r="19" spans="1:20" x14ac:dyDescent="0.25">
      <c r="A19" s="41" t="e">
        <f>A18+1</f>
        <v>#REF!</v>
      </c>
      <c r="B19" s="42">
        <f t="shared" si="5"/>
        <v>9</v>
      </c>
      <c r="C19" s="41" t="s">
        <v>3593</v>
      </c>
      <c r="D19" s="43">
        <f t="shared" si="6"/>
        <v>57</v>
      </c>
      <c r="E19" s="61">
        <f t="shared" si="0"/>
        <v>6.769000000000001</v>
      </c>
      <c r="F19" s="61">
        <f t="shared" si="1"/>
        <v>42</v>
      </c>
      <c r="G19" s="64">
        <f t="shared" si="9"/>
        <v>6.4</v>
      </c>
      <c r="H19" s="63">
        <f t="shared" si="2"/>
        <v>64.189482541215312</v>
      </c>
      <c r="I19" s="63">
        <f t="shared" si="3"/>
        <v>78.520180724929475</v>
      </c>
      <c r="J19" s="51">
        <f t="shared" si="7"/>
        <v>28.661396367428324</v>
      </c>
      <c r="K19" s="53" t="str">
        <f t="shared" si="4"/>
        <v>Vertical</v>
      </c>
      <c r="L19" s="42" t="str">
        <f t="shared" si="4"/>
        <v>Full</v>
      </c>
      <c r="M19" s="50">
        <f t="shared" si="4"/>
        <v>12</v>
      </c>
      <c r="N19" s="49">
        <f t="shared" si="4"/>
        <v>160</v>
      </c>
      <c r="O19" s="44">
        <f t="shared" si="4"/>
        <v>8</v>
      </c>
      <c r="P19" s="44">
        <f>yaw_max</f>
        <v>8</v>
      </c>
      <c r="Q19" s="155">
        <f t="shared" si="4"/>
        <v>0.11</v>
      </c>
      <c r="R19" s="49">
        <v>0</v>
      </c>
      <c r="S19" s="44">
        <f t="shared" si="8"/>
        <v>150</v>
      </c>
      <c r="T19" s="50">
        <f t="shared" si="8"/>
        <v>210</v>
      </c>
    </row>
    <row r="20" spans="1:20" x14ac:dyDescent="0.25">
      <c r="A20" s="41" t="e">
        <f>A19+1</f>
        <v>#REF!</v>
      </c>
      <c r="B20" s="42">
        <f t="shared" si="5"/>
        <v>10</v>
      </c>
      <c r="C20" s="41" t="s">
        <v>3594</v>
      </c>
      <c r="D20" s="43">
        <f t="shared" si="6"/>
        <v>57</v>
      </c>
      <c r="E20" s="61">
        <f t="shared" si="0"/>
        <v>6.769000000000001</v>
      </c>
      <c r="F20" s="61">
        <f t="shared" si="1"/>
        <v>42</v>
      </c>
      <c r="G20" s="64">
        <f t="shared" si="9"/>
        <v>6.4</v>
      </c>
      <c r="H20" s="63">
        <f t="shared" si="2"/>
        <v>64.189482541215312</v>
      </c>
      <c r="I20" s="63">
        <f t="shared" si="3"/>
        <v>78.520180724929475</v>
      </c>
      <c r="J20" s="51">
        <f t="shared" si="7"/>
        <v>28.661396367428324</v>
      </c>
      <c r="K20" s="53" t="str">
        <f t="shared" si="4"/>
        <v>Vertical</v>
      </c>
      <c r="L20" s="42" t="str">
        <f t="shared" si="4"/>
        <v>Full</v>
      </c>
      <c r="M20" s="50">
        <f t="shared" si="4"/>
        <v>12</v>
      </c>
      <c r="N20" s="49">
        <f t="shared" si="4"/>
        <v>160</v>
      </c>
      <c r="O20" s="44">
        <f t="shared" si="4"/>
        <v>8</v>
      </c>
      <c r="P20" s="44">
        <f>P19</f>
        <v>8</v>
      </c>
      <c r="Q20" s="155">
        <f t="shared" si="4"/>
        <v>0.11</v>
      </c>
      <c r="R20" s="49">
        <v>30</v>
      </c>
      <c r="S20" s="44">
        <f t="shared" si="8"/>
        <v>150</v>
      </c>
      <c r="T20" s="50">
        <f t="shared" si="8"/>
        <v>210</v>
      </c>
    </row>
    <row r="21" spans="1:20" x14ac:dyDescent="0.25">
      <c r="A21" s="41" t="e">
        <f>A20+1</f>
        <v>#REF!</v>
      </c>
      <c r="B21" s="42">
        <f t="shared" si="5"/>
        <v>11</v>
      </c>
      <c r="C21" s="41" t="s">
        <v>3595</v>
      </c>
      <c r="D21" s="43">
        <f t="shared" si="6"/>
        <v>57</v>
      </c>
      <c r="E21" s="61">
        <f t="shared" si="0"/>
        <v>6.769000000000001</v>
      </c>
      <c r="F21" s="61">
        <f t="shared" si="1"/>
        <v>42</v>
      </c>
      <c r="G21" s="64">
        <f t="shared" si="9"/>
        <v>6.4</v>
      </c>
      <c r="H21" s="63">
        <f t="shared" si="2"/>
        <v>64.189482541215312</v>
      </c>
      <c r="I21" s="63">
        <f t="shared" si="3"/>
        <v>78.520180724929475</v>
      </c>
      <c r="J21" s="51">
        <f t="shared" si="7"/>
        <v>28.661396367428324</v>
      </c>
      <c r="K21" s="53" t="str">
        <f t="shared" si="4"/>
        <v>Vertical</v>
      </c>
      <c r="L21" s="42" t="str">
        <f t="shared" si="4"/>
        <v>Full</v>
      </c>
      <c r="M21" s="50">
        <f t="shared" si="4"/>
        <v>12</v>
      </c>
      <c r="N21" s="49">
        <f t="shared" si="4"/>
        <v>160</v>
      </c>
      <c r="O21" s="44">
        <f t="shared" si="4"/>
        <v>8</v>
      </c>
      <c r="P21" s="44">
        <f>P20</f>
        <v>8</v>
      </c>
      <c r="Q21" s="155">
        <f t="shared" si="4"/>
        <v>0.11</v>
      </c>
      <c r="R21" s="49">
        <v>60</v>
      </c>
      <c r="S21" s="44">
        <f t="shared" si="8"/>
        <v>150</v>
      </c>
      <c r="T21" s="50">
        <f t="shared" si="8"/>
        <v>210</v>
      </c>
    </row>
    <row r="22" spans="1:20" ht="15.75" thickBot="1" x14ac:dyDescent="0.3">
      <c r="A22" s="41" t="e">
        <f>A21+1</f>
        <v>#REF!</v>
      </c>
      <c r="B22" s="42">
        <f t="shared" si="5"/>
        <v>12</v>
      </c>
      <c r="C22" s="41" t="s">
        <v>3596</v>
      </c>
      <c r="D22" s="43">
        <f t="shared" si="6"/>
        <v>57</v>
      </c>
      <c r="E22" s="61">
        <f t="shared" si="0"/>
        <v>6.769000000000001</v>
      </c>
      <c r="F22" s="61">
        <f t="shared" si="1"/>
        <v>42</v>
      </c>
      <c r="G22" s="64">
        <f t="shared" si="9"/>
        <v>6.4</v>
      </c>
      <c r="H22" s="63">
        <f t="shared" si="2"/>
        <v>64.189482541215312</v>
      </c>
      <c r="I22" s="63">
        <f t="shared" si="3"/>
        <v>78.520180724929475</v>
      </c>
      <c r="J22" s="51">
        <f t="shared" si="7"/>
        <v>28.661396367428324</v>
      </c>
      <c r="K22" s="53" t="str">
        <f t="shared" si="4"/>
        <v>Vertical</v>
      </c>
      <c r="L22" s="42" t="str">
        <f t="shared" si="4"/>
        <v>Full</v>
      </c>
      <c r="M22" s="50">
        <f t="shared" si="4"/>
        <v>12</v>
      </c>
      <c r="N22" s="49">
        <f t="shared" si="4"/>
        <v>160</v>
      </c>
      <c r="O22" s="44">
        <f t="shared" si="4"/>
        <v>8</v>
      </c>
      <c r="P22" s="44">
        <f>P21</f>
        <v>8</v>
      </c>
      <c r="Q22" s="155">
        <f t="shared" si="4"/>
        <v>0.11</v>
      </c>
      <c r="R22" s="49">
        <v>90</v>
      </c>
      <c r="S22" s="44">
        <f t="shared" si="8"/>
        <v>150</v>
      </c>
      <c r="T22" s="50">
        <f t="shared" si="8"/>
        <v>210</v>
      </c>
    </row>
    <row r="23" spans="1:20" x14ac:dyDescent="0.25">
      <c r="A23" s="41" t="e">
        <f t="shared" ref="A23:B38" si="10">A22+1</f>
        <v>#REF!</v>
      </c>
      <c r="B23" s="42">
        <f t="shared" si="5"/>
        <v>13</v>
      </c>
      <c r="C23" s="41" t="s">
        <v>3597</v>
      </c>
      <c r="D23" s="43">
        <f t="shared" si="6"/>
        <v>57</v>
      </c>
      <c r="E23" s="61">
        <f t="shared" si="0"/>
        <v>6.769000000000001</v>
      </c>
      <c r="F23" s="61">
        <f t="shared" si="1"/>
        <v>42</v>
      </c>
      <c r="G23" s="64">
        <f t="shared" si="9"/>
        <v>6.4</v>
      </c>
      <c r="H23" s="63">
        <f t="shared" si="2"/>
        <v>64.189482541215312</v>
      </c>
      <c r="I23" s="63">
        <f t="shared" si="3"/>
        <v>78.520180724929475</v>
      </c>
      <c r="J23" s="51">
        <f>-2*(I23-H23)</f>
        <v>-28.661396367428324</v>
      </c>
      <c r="K23" s="53" t="str">
        <f t="shared" si="4"/>
        <v>Vertical</v>
      </c>
      <c r="L23" s="42" t="str">
        <f t="shared" si="4"/>
        <v>Full</v>
      </c>
      <c r="M23" s="50">
        <f t="shared" si="4"/>
        <v>12</v>
      </c>
      <c r="N23" s="49">
        <f t="shared" si="4"/>
        <v>160</v>
      </c>
      <c r="O23" s="44">
        <f t="shared" si="4"/>
        <v>8</v>
      </c>
      <c r="P23" s="35">
        <f>yaw_min</f>
        <v>-8</v>
      </c>
      <c r="Q23" s="155">
        <f t="shared" si="4"/>
        <v>0.11</v>
      </c>
      <c r="R23" s="49">
        <v>0</v>
      </c>
      <c r="S23" s="44">
        <f t="shared" si="8"/>
        <v>150</v>
      </c>
      <c r="T23" s="50">
        <f t="shared" si="8"/>
        <v>210</v>
      </c>
    </row>
    <row r="24" spans="1:20" x14ac:dyDescent="0.25">
      <c r="A24" s="41" t="e">
        <f t="shared" si="10"/>
        <v>#REF!</v>
      </c>
      <c r="B24" s="42">
        <f t="shared" si="5"/>
        <v>14</v>
      </c>
      <c r="C24" s="41" t="s">
        <v>3598</v>
      </c>
      <c r="D24" s="43">
        <f t="shared" si="6"/>
        <v>57</v>
      </c>
      <c r="E24" s="61">
        <f t="shared" si="0"/>
        <v>6.769000000000001</v>
      </c>
      <c r="F24" s="61">
        <f t="shared" si="1"/>
        <v>42</v>
      </c>
      <c r="G24" s="64">
        <f t="shared" si="9"/>
        <v>6.4</v>
      </c>
      <c r="H24" s="63">
        <f t="shared" si="2"/>
        <v>64.189482541215312</v>
      </c>
      <c r="I24" s="63">
        <f t="shared" si="3"/>
        <v>78.520180724929475</v>
      </c>
      <c r="J24" s="53">
        <f>J23</f>
        <v>-28.661396367428324</v>
      </c>
      <c r="K24" s="53" t="str">
        <f t="shared" si="4"/>
        <v>Vertical</v>
      </c>
      <c r="L24" s="42" t="str">
        <f t="shared" si="4"/>
        <v>Full</v>
      </c>
      <c r="M24" s="50">
        <f t="shared" si="4"/>
        <v>12</v>
      </c>
      <c r="N24" s="49">
        <f t="shared" si="4"/>
        <v>160</v>
      </c>
      <c r="O24" s="44">
        <f t="shared" si="4"/>
        <v>8</v>
      </c>
      <c r="P24" s="44">
        <f>P23</f>
        <v>-8</v>
      </c>
      <c r="Q24" s="155">
        <f t="shared" si="4"/>
        <v>0.11</v>
      </c>
      <c r="R24" s="49">
        <v>30</v>
      </c>
      <c r="S24" s="44">
        <f t="shared" si="8"/>
        <v>150</v>
      </c>
      <c r="T24" s="50">
        <f t="shared" si="8"/>
        <v>210</v>
      </c>
    </row>
    <row r="25" spans="1:20" x14ac:dyDescent="0.25">
      <c r="A25" s="41" t="e">
        <f t="shared" si="10"/>
        <v>#REF!</v>
      </c>
      <c r="B25" s="42">
        <f t="shared" si="5"/>
        <v>15</v>
      </c>
      <c r="C25" s="41" t="s">
        <v>3599</v>
      </c>
      <c r="D25" s="43">
        <f t="shared" si="6"/>
        <v>57</v>
      </c>
      <c r="E25" s="61">
        <f t="shared" si="0"/>
        <v>6.769000000000001</v>
      </c>
      <c r="F25" s="61">
        <f t="shared" si="1"/>
        <v>42</v>
      </c>
      <c r="G25" s="64">
        <f t="shared" si="9"/>
        <v>6.4</v>
      </c>
      <c r="H25" s="63">
        <f t="shared" si="2"/>
        <v>64.189482541215312</v>
      </c>
      <c r="I25" s="63">
        <f t="shared" si="3"/>
        <v>78.520180724929475</v>
      </c>
      <c r="J25" s="53">
        <f t="shared" ref="J25:M40" si="11">J24</f>
        <v>-28.661396367428324</v>
      </c>
      <c r="K25" s="53" t="str">
        <f t="shared" si="4"/>
        <v>Vertical</v>
      </c>
      <c r="L25" s="42" t="str">
        <f t="shared" si="4"/>
        <v>Full</v>
      </c>
      <c r="M25" s="50">
        <f>M24</f>
        <v>12</v>
      </c>
      <c r="N25" s="49">
        <f t="shared" si="4"/>
        <v>160</v>
      </c>
      <c r="O25" s="44">
        <f t="shared" si="4"/>
        <v>8</v>
      </c>
      <c r="P25" s="44">
        <f>P24</f>
        <v>-8</v>
      </c>
      <c r="Q25" s="155">
        <f t="shared" si="4"/>
        <v>0.11</v>
      </c>
      <c r="R25" s="49">
        <v>60</v>
      </c>
      <c r="S25" s="44">
        <f t="shared" si="8"/>
        <v>150</v>
      </c>
      <c r="T25" s="50">
        <f t="shared" si="8"/>
        <v>210</v>
      </c>
    </row>
    <row r="26" spans="1:20" x14ac:dyDescent="0.25">
      <c r="A26" s="41" t="e">
        <f t="shared" si="10"/>
        <v>#REF!</v>
      </c>
      <c r="B26" s="42">
        <f t="shared" si="5"/>
        <v>16</v>
      </c>
      <c r="C26" s="41" t="s">
        <v>3600</v>
      </c>
      <c r="D26" s="43">
        <f t="shared" si="6"/>
        <v>57</v>
      </c>
      <c r="E26" s="61">
        <f t="shared" si="0"/>
        <v>6.769000000000001</v>
      </c>
      <c r="F26" s="61">
        <f t="shared" si="1"/>
        <v>42</v>
      </c>
      <c r="G26" s="64">
        <f t="shared" si="9"/>
        <v>6.4</v>
      </c>
      <c r="H26" s="63">
        <f t="shared" si="2"/>
        <v>64.189482541215312</v>
      </c>
      <c r="I26" s="63">
        <f t="shared" si="3"/>
        <v>78.520180724929475</v>
      </c>
      <c r="J26" s="53">
        <f t="shared" si="11"/>
        <v>-28.661396367428324</v>
      </c>
      <c r="K26" s="53" t="str">
        <f t="shared" si="4"/>
        <v>Vertical</v>
      </c>
      <c r="L26" s="42" t="str">
        <f t="shared" si="4"/>
        <v>Full</v>
      </c>
      <c r="M26" s="50">
        <f>M25</f>
        <v>12</v>
      </c>
      <c r="N26" s="49">
        <f t="shared" si="4"/>
        <v>160</v>
      </c>
      <c r="O26" s="44">
        <f t="shared" si="4"/>
        <v>8</v>
      </c>
      <c r="P26" s="44">
        <f>P25</f>
        <v>-8</v>
      </c>
      <c r="Q26" s="155">
        <f t="shared" si="4"/>
        <v>0.11</v>
      </c>
      <c r="R26" s="49">
        <v>90</v>
      </c>
      <c r="S26" s="44">
        <f t="shared" si="8"/>
        <v>150</v>
      </c>
      <c r="T26" s="50">
        <f t="shared" si="8"/>
        <v>210</v>
      </c>
    </row>
    <row r="27" spans="1:20" x14ac:dyDescent="0.25">
      <c r="A27" s="41" t="e">
        <f t="shared" si="10"/>
        <v>#REF!</v>
      </c>
      <c r="B27" s="42">
        <f t="shared" si="5"/>
        <v>17</v>
      </c>
      <c r="C27" s="41" t="s">
        <v>3601</v>
      </c>
      <c r="D27" s="43">
        <f t="shared" si="6"/>
        <v>57</v>
      </c>
      <c r="E27" s="61">
        <f t="shared" si="0"/>
        <v>6.769000000000001</v>
      </c>
      <c r="F27" s="61">
        <f t="shared" si="1"/>
        <v>42</v>
      </c>
      <c r="G27" s="64">
        <f t="shared" si="9"/>
        <v>6.4</v>
      </c>
      <c r="H27" s="63">
        <f t="shared" si="2"/>
        <v>64.189482541215312</v>
      </c>
      <c r="I27" s="63">
        <f t="shared" si="3"/>
        <v>78.520180724929475</v>
      </c>
      <c r="J27" s="53">
        <f t="shared" si="11"/>
        <v>-28.661396367428324</v>
      </c>
      <c r="K27" s="53" t="str">
        <f t="shared" si="4"/>
        <v>Vertical</v>
      </c>
      <c r="L27" s="42" t="str">
        <f t="shared" si="4"/>
        <v>Full</v>
      </c>
      <c r="M27" s="50">
        <f>M26</f>
        <v>12</v>
      </c>
      <c r="N27" s="49">
        <f t="shared" si="4"/>
        <v>160</v>
      </c>
      <c r="O27" s="44">
        <f t="shared" si="4"/>
        <v>8</v>
      </c>
      <c r="P27" s="44">
        <f>yaw_null</f>
        <v>0</v>
      </c>
      <c r="Q27" s="155">
        <f t="shared" si="4"/>
        <v>0.11</v>
      </c>
      <c r="R27" s="49">
        <v>0</v>
      </c>
      <c r="S27" s="44">
        <f t="shared" si="8"/>
        <v>150</v>
      </c>
      <c r="T27" s="50">
        <f t="shared" si="8"/>
        <v>210</v>
      </c>
    </row>
    <row r="28" spans="1:20" x14ac:dyDescent="0.25">
      <c r="A28" s="41" t="e">
        <f t="shared" si="10"/>
        <v>#REF!</v>
      </c>
      <c r="B28" s="42">
        <f t="shared" si="5"/>
        <v>18</v>
      </c>
      <c r="C28" s="41" t="s">
        <v>3602</v>
      </c>
      <c r="D28" s="43">
        <f t="shared" si="6"/>
        <v>57</v>
      </c>
      <c r="E28" s="61">
        <f t="shared" si="0"/>
        <v>6.769000000000001</v>
      </c>
      <c r="F28" s="61">
        <f t="shared" si="1"/>
        <v>42</v>
      </c>
      <c r="G28" s="64">
        <f t="shared" si="9"/>
        <v>6.4</v>
      </c>
      <c r="H28" s="63">
        <f t="shared" si="2"/>
        <v>64.189482541215312</v>
      </c>
      <c r="I28" s="63">
        <f t="shared" si="3"/>
        <v>78.520180724929475</v>
      </c>
      <c r="J28" s="53">
        <f t="shared" si="11"/>
        <v>-28.661396367428324</v>
      </c>
      <c r="K28" s="53" t="str">
        <f t="shared" si="11"/>
        <v>Vertical</v>
      </c>
      <c r="L28" s="42" t="str">
        <f t="shared" si="11"/>
        <v>Full</v>
      </c>
      <c r="M28" s="50">
        <f>M27</f>
        <v>12</v>
      </c>
      <c r="N28" s="49">
        <f t="shared" ref="N28:O43" si="12">N27</f>
        <v>160</v>
      </c>
      <c r="O28" s="44">
        <f t="shared" si="12"/>
        <v>8</v>
      </c>
      <c r="P28" s="44">
        <f>P27</f>
        <v>0</v>
      </c>
      <c r="Q28" s="155">
        <f t="shared" ref="Q28:Q58" si="13">Q27</f>
        <v>0.11</v>
      </c>
      <c r="R28" s="49">
        <v>30</v>
      </c>
      <c r="S28" s="44">
        <f t="shared" si="8"/>
        <v>150</v>
      </c>
      <c r="T28" s="50">
        <f t="shared" si="8"/>
        <v>210</v>
      </c>
    </row>
    <row r="29" spans="1:20" x14ac:dyDescent="0.25">
      <c r="A29" s="41" t="e">
        <f t="shared" si="10"/>
        <v>#REF!</v>
      </c>
      <c r="B29" s="42">
        <f t="shared" si="10"/>
        <v>19</v>
      </c>
      <c r="C29" s="41" t="s">
        <v>3603</v>
      </c>
      <c r="D29" s="43">
        <f t="shared" si="6"/>
        <v>57</v>
      </c>
      <c r="E29" s="61">
        <f t="shared" si="0"/>
        <v>6.769000000000001</v>
      </c>
      <c r="F29" s="61">
        <f t="shared" si="1"/>
        <v>42</v>
      </c>
      <c r="G29" s="64">
        <f t="shared" si="9"/>
        <v>6.4</v>
      </c>
      <c r="H29" s="63">
        <f t="shared" si="2"/>
        <v>64.189482541215312</v>
      </c>
      <c r="I29" s="63">
        <f t="shared" si="3"/>
        <v>78.520180724929475</v>
      </c>
      <c r="J29" s="53">
        <f t="shared" si="11"/>
        <v>-28.661396367428324</v>
      </c>
      <c r="K29" s="53" t="str">
        <f t="shared" si="11"/>
        <v>Vertical</v>
      </c>
      <c r="L29" s="42" t="str">
        <f t="shared" si="11"/>
        <v>Full</v>
      </c>
      <c r="M29" s="50">
        <f t="shared" si="11"/>
        <v>12</v>
      </c>
      <c r="N29" s="49">
        <f t="shared" si="12"/>
        <v>160</v>
      </c>
      <c r="O29" s="44">
        <f t="shared" si="12"/>
        <v>8</v>
      </c>
      <c r="P29" s="44">
        <f>P28</f>
        <v>0</v>
      </c>
      <c r="Q29" s="155">
        <f t="shared" si="13"/>
        <v>0.11</v>
      </c>
      <c r="R29" s="49">
        <v>60</v>
      </c>
      <c r="S29" s="44">
        <f t="shared" ref="S29:T44" si="14">S28</f>
        <v>150</v>
      </c>
      <c r="T29" s="50">
        <f t="shared" si="14"/>
        <v>210</v>
      </c>
    </row>
    <row r="30" spans="1:20" x14ac:dyDescent="0.25">
      <c r="A30" s="41" t="e">
        <f t="shared" si="10"/>
        <v>#REF!</v>
      </c>
      <c r="B30" s="42">
        <f t="shared" si="10"/>
        <v>20</v>
      </c>
      <c r="C30" s="41" t="s">
        <v>3604</v>
      </c>
      <c r="D30" s="43">
        <f t="shared" si="6"/>
        <v>57</v>
      </c>
      <c r="E30" s="61">
        <f t="shared" si="0"/>
        <v>6.769000000000001</v>
      </c>
      <c r="F30" s="61">
        <f t="shared" si="1"/>
        <v>42</v>
      </c>
      <c r="G30" s="64">
        <f t="shared" si="9"/>
        <v>6.4</v>
      </c>
      <c r="H30" s="63">
        <f t="shared" si="2"/>
        <v>64.189482541215312</v>
      </c>
      <c r="I30" s="63">
        <f t="shared" si="3"/>
        <v>78.520180724929475</v>
      </c>
      <c r="J30" s="53">
        <f t="shared" si="11"/>
        <v>-28.661396367428324</v>
      </c>
      <c r="K30" s="53" t="str">
        <f t="shared" si="11"/>
        <v>Vertical</v>
      </c>
      <c r="L30" s="42" t="str">
        <f t="shared" si="11"/>
        <v>Full</v>
      </c>
      <c r="M30" s="50">
        <f t="shared" si="11"/>
        <v>12</v>
      </c>
      <c r="N30" s="49">
        <f t="shared" si="12"/>
        <v>160</v>
      </c>
      <c r="O30" s="44">
        <f t="shared" si="12"/>
        <v>8</v>
      </c>
      <c r="P30" s="44">
        <f>P29</f>
        <v>0</v>
      </c>
      <c r="Q30" s="155">
        <f t="shared" si="13"/>
        <v>0.11</v>
      </c>
      <c r="R30" s="49">
        <v>90</v>
      </c>
      <c r="S30" s="44">
        <f t="shared" si="14"/>
        <v>150</v>
      </c>
      <c r="T30" s="50">
        <f t="shared" si="14"/>
        <v>210</v>
      </c>
    </row>
    <row r="31" spans="1:20" x14ac:dyDescent="0.25">
      <c r="A31" s="41" t="e">
        <f t="shared" si="10"/>
        <v>#REF!</v>
      </c>
      <c r="B31" s="42">
        <f t="shared" si="10"/>
        <v>21</v>
      </c>
      <c r="C31" s="41" t="s">
        <v>3605</v>
      </c>
      <c r="D31" s="43">
        <f t="shared" si="6"/>
        <v>57</v>
      </c>
      <c r="E31" s="61">
        <f t="shared" si="0"/>
        <v>6.769000000000001</v>
      </c>
      <c r="F31" s="61">
        <f t="shared" si="1"/>
        <v>42</v>
      </c>
      <c r="G31" s="64">
        <f t="shared" si="9"/>
        <v>6.4</v>
      </c>
      <c r="H31" s="63">
        <f t="shared" si="2"/>
        <v>64.189482541215312</v>
      </c>
      <c r="I31" s="63">
        <f t="shared" si="3"/>
        <v>78.520180724929475</v>
      </c>
      <c r="J31" s="53">
        <f t="shared" si="11"/>
        <v>-28.661396367428324</v>
      </c>
      <c r="K31" s="53" t="str">
        <f t="shared" si="11"/>
        <v>Vertical</v>
      </c>
      <c r="L31" s="42" t="str">
        <f t="shared" si="11"/>
        <v>Full</v>
      </c>
      <c r="M31" s="50">
        <f t="shared" si="11"/>
        <v>12</v>
      </c>
      <c r="N31" s="49">
        <f t="shared" si="12"/>
        <v>160</v>
      </c>
      <c r="O31" s="44">
        <f t="shared" si="12"/>
        <v>8</v>
      </c>
      <c r="P31" s="44">
        <f>yaw_max</f>
        <v>8</v>
      </c>
      <c r="Q31" s="155">
        <f t="shared" si="13"/>
        <v>0.11</v>
      </c>
      <c r="R31" s="49">
        <v>0</v>
      </c>
      <c r="S31" s="44">
        <f t="shared" si="14"/>
        <v>150</v>
      </c>
      <c r="T31" s="50">
        <f t="shared" si="14"/>
        <v>210</v>
      </c>
    </row>
    <row r="32" spans="1:20" x14ac:dyDescent="0.25">
      <c r="A32" s="41" t="e">
        <f t="shared" si="10"/>
        <v>#REF!</v>
      </c>
      <c r="B32" s="42">
        <f t="shared" si="10"/>
        <v>22</v>
      </c>
      <c r="C32" s="41" t="s">
        <v>3606</v>
      </c>
      <c r="D32" s="43">
        <f t="shared" si="6"/>
        <v>57</v>
      </c>
      <c r="E32" s="61">
        <f t="shared" si="0"/>
        <v>6.769000000000001</v>
      </c>
      <c r="F32" s="61">
        <f t="shared" si="1"/>
        <v>42</v>
      </c>
      <c r="G32" s="64">
        <f t="shared" si="9"/>
        <v>6.4</v>
      </c>
      <c r="H32" s="63">
        <f t="shared" si="2"/>
        <v>64.189482541215312</v>
      </c>
      <c r="I32" s="63">
        <f t="shared" si="3"/>
        <v>78.520180724929475</v>
      </c>
      <c r="J32" s="53">
        <f t="shared" si="11"/>
        <v>-28.661396367428324</v>
      </c>
      <c r="K32" s="53" t="str">
        <f t="shared" si="11"/>
        <v>Vertical</v>
      </c>
      <c r="L32" s="42" t="str">
        <f t="shared" si="11"/>
        <v>Full</v>
      </c>
      <c r="M32" s="50">
        <f t="shared" si="11"/>
        <v>12</v>
      </c>
      <c r="N32" s="49">
        <f t="shared" si="12"/>
        <v>160</v>
      </c>
      <c r="O32" s="44">
        <f t="shared" si="12"/>
        <v>8</v>
      </c>
      <c r="P32" s="44">
        <f>P31</f>
        <v>8</v>
      </c>
      <c r="Q32" s="155">
        <f t="shared" si="13"/>
        <v>0.11</v>
      </c>
      <c r="R32" s="49">
        <v>30</v>
      </c>
      <c r="S32" s="44">
        <f t="shared" si="14"/>
        <v>150</v>
      </c>
      <c r="T32" s="50">
        <f t="shared" si="14"/>
        <v>210</v>
      </c>
    </row>
    <row r="33" spans="1:20" x14ac:dyDescent="0.25">
      <c r="A33" s="41" t="e">
        <f t="shared" si="10"/>
        <v>#REF!</v>
      </c>
      <c r="B33" s="42">
        <f t="shared" si="10"/>
        <v>23</v>
      </c>
      <c r="C33" s="41" t="s">
        <v>3607</v>
      </c>
      <c r="D33" s="43">
        <f t="shared" si="6"/>
        <v>57</v>
      </c>
      <c r="E33" s="61">
        <f t="shared" si="0"/>
        <v>6.769000000000001</v>
      </c>
      <c r="F33" s="61">
        <f t="shared" si="1"/>
        <v>42</v>
      </c>
      <c r="G33" s="64">
        <f t="shared" si="9"/>
        <v>6.4</v>
      </c>
      <c r="H33" s="63">
        <f t="shared" si="2"/>
        <v>64.189482541215312</v>
      </c>
      <c r="I33" s="63">
        <f t="shared" si="3"/>
        <v>78.520180724929475</v>
      </c>
      <c r="J33" s="53">
        <f t="shared" si="11"/>
        <v>-28.661396367428324</v>
      </c>
      <c r="K33" s="53" t="str">
        <f t="shared" si="11"/>
        <v>Vertical</v>
      </c>
      <c r="L33" s="42" t="str">
        <f t="shared" si="11"/>
        <v>Full</v>
      </c>
      <c r="M33" s="50">
        <f t="shared" si="11"/>
        <v>12</v>
      </c>
      <c r="N33" s="49">
        <f t="shared" si="12"/>
        <v>160</v>
      </c>
      <c r="O33" s="44">
        <f t="shared" si="12"/>
        <v>8</v>
      </c>
      <c r="P33" s="44">
        <f>P32</f>
        <v>8</v>
      </c>
      <c r="Q33" s="155">
        <f t="shared" si="13"/>
        <v>0.11</v>
      </c>
      <c r="R33" s="49">
        <v>60</v>
      </c>
      <c r="S33" s="44">
        <f t="shared" si="14"/>
        <v>150</v>
      </c>
      <c r="T33" s="50">
        <f t="shared" si="14"/>
        <v>210</v>
      </c>
    </row>
    <row r="34" spans="1:20" ht="15.75" thickBot="1" x14ac:dyDescent="0.3">
      <c r="A34" s="41" t="e">
        <f t="shared" si="10"/>
        <v>#REF!</v>
      </c>
      <c r="B34" s="42">
        <f t="shared" si="10"/>
        <v>24</v>
      </c>
      <c r="C34" s="41" t="s">
        <v>3608</v>
      </c>
      <c r="D34" s="43">
        <f t="shared" si="6"/>
        <v>57</v>
      </c>
      <c r="E34" s="61">
        <f t="shared" si="0"/>
        <v>6.769000000000001</v>
      </c>
      <c r="F34" s="61">
        <f t="shared" si="1"/>
        <v>42</v>
      </c>
      <c r="G34" s="64">
        <f t="shared" si="9"/>
        <v>6.4</v>
      </c>
      <c r="H34" s="63">
        <f t="shared" si="2"/>
        <v>64.189482541215312</v>
      </c>
      <c r="I34" s="63">
        <f t="shared" si="3"/>
        <v>78.520180724929475</v>
      </c>
      <c r="J34" s="53">
        <f t="shared" si="11"/>
        <v>-28.661396367428324</v>
      </c>
      <c r="K34" s="53" t="str">
        <f t="shared" si="11"/>
        <v>Vertical</v>
      </c>
      <c r="L34" s="42" t="str">
        <f t="shared" si="11"/>
        <v>Full</v>
      </c>
      <c r="M34" s="50">
        <f t="shared" si="11"/>
        <v>12</v>
      </c>
      <c r="N34" s="49">
        <f t="shared" si="12"/>
        <v>160</v>
      </c>
      <c r="O34" s="44">
        <f t="shared" si="12"/>
        <v>8</v>
      </c>
      <c r="P34" s="44">
        <f>P33</f>
        <v>8</v>
      </c>
      <c r="Q34" s="155">
        <f t="shared" si="13"/>
        <v>0.11</v>
      </c>
      <c r="R34" s="49">
        <v>90</v>
      </c>
      <c r="S34" s="44">
        <f t="shared" si="14"/>
        <v>150</v>
      </c>
      <c r="T34" s="50">
        <f t="shared" si="14"/>
        <v>210</v>
      </c>
    </row>
    <row r="35" spans="1:20" x14ac:dyDescent="0.25">
      <c r="A35" s="41" t="e">
        <f t="shared" si="10"/>
        <v>#REF!</v>
      </c>
      <c r="B35" s="42">
        <f t="shared" si="10"/>
        <v>25</v>
      </c>
      <c r="C35" s="41" t="s">
        <v>3609</v>
      </c>
      <c r="D35" s="43">
        <f t="shared" si="6"/>
        <v>57</v>
      </c>
      <c r="E35" s="61">
        <f t="shared" si="0"/>
        <v>6.769000000000001</v>
      </c>
      <c r="F35" s="61">
        <f t="shared" si="1"/>
        <v>42</v>
      </c>
      <c r="G35" s="64">
        <f t="shared" si="9"/>
        <v>6.4</v>
      </c>
      <c r="H35" s="63">
        <f t="shared" si="2"/>
        <v>64.189482541215312</v>
      </c>
      <c r="I35" s="63">
        <f t="shared" si="3"/>
        <v>78.520180724929475</v>
      </c>
      <c r="J35" s="53">
        <f>2*(I35-H35)</f>
        <v>28.661396367428324</v>
      </c>
      <c r="K35" s="55" t="s">
        <v>124</v>
      </c>
      <c r="L35" s="42" t="str">
        <f t="shared" si="11"/>
        <v>Full</v>
      </c>
      <c r="M35" s="50">
        <f t="shared" si="11"/>
        <v>12</v>
      </c>
      <c r="N35" s="49">
        <f t="shared" si="12"/>
        <v>160</v>
      </c>
      <c r="O35" s="44">
        <f t="shared" si="12"/>
        <v>8</v>
      </c>
      <c r="P35" s="35">
        <f>yaw_min</f>
        <v>-8</v>
      </c>
      <c r="Q35" s="155">
        <f t="shared" si="13"/>
        <v>0.11</v>
      </c>
      <c r="R35" s="49">
        <v>0</v>
      </c>
      <c r="S35" s="44">
        <f t="shared" si="14"/>
        <v>150</v>
      </c>
      <c r="T35" s="50">
        <f t="shared" si="14"/>
        <v>210</v>
      </c>
    </row>
    <row r="36" spans="1:20" x14ac:dyDescent="0.25">
      <c r="A36" s="41" t="e">
        <f t="shared" si="10"/>
        <v>#REF!</v>
      </c>
      <c r="B36" s="42">
        <f t="shared" si="10"/>
        <v>26</v>
      </c>
      <c r="C36" s="41" t="s">
        <v>3610</v>
      </c>
      <c r="D36" s="43">
        <f t="shared" si="6"/>
        <v>57</v>
      </c>
      <c r="E36" s="61">
        <f t="shared" si="0"/>
        <v>6.769000000000001</v>
      </c>
      <c r="F36" s="61">
        <f t="shared" si="1"/>
        <v>42</v>
      </c>
      <c r="G36" s="64">
        <f t="shared" si="9"/>
        <v>6.4</v>
      </c>
      <c r="H36" s="63">
        <f t="shared" si="2"/>
        <v>64.189482541215312</v>
      </c>
      <c r="I36" s="63">
        <f t="shared" si="3"/>
        <v>78.520180724929475</v>
      </c>
      <c r="J36" s="53">
        <f t="shared" ref="J36:J46" si="15">2*(I36-H36)</f>
        <v>28.661396367428324</v>
      </c>
      <c r="K36" s="53" t="str">
        <f t="shared" si="11"/>
        <v>Horizontal</v>
      </c>
      <c r="L36" s="42" t="str">
        <f t="shared" si="11"/>
        <v>Full</v>
      </c>
      <c r="M36" s="50">
        <f t="shared" si="11"/>
        <v>12</v>
      </c>
      <c r="N36" s="49">
        <f t="shared" si="12"/>
        <v>160</v>
      </c>
      <c r="O36" s="44">
        <f t="shared" si="12"/>
        <v>8</v>
      </c>
      <c r="P36" s="44">
        <f>P35</f>
        <v>-8</v>
      </c>
      <c r="Q36" s="155">
        <f t="shared" si="13"/>
        <v>0.11</v>
      </c>
      <c r="R36" s="49">
        <v>30</v>
      </c>
      <c r="S36" s="44">
        <f t="shared" si="14"/>
        <v>150</v>
      </c>
      <c r="T36" s="50">
        <f t="shared" si="14"/>
        <v>210</v>
      </c>
    </row>
    <row r="37" spans="1:20" x14ac:dyDescent="0.25">
      <c r="A37" s="41" t="e">
        <f t="shared" si="10"/>
        <v>#REF!</v>
      </c>
      <c r="B37" s="42">
        <f t="shared" si="10"/>
        <v>27</v>
      </c>
      <c r="C37" s="41" t="s">
        <v>3611</v>
      </c>
      <c r="D37" s="43">
        <f t="shared" si="6"/>
        <v>57</v>
      </c>
      <c r="E37" s="61">
        <f t="shared" si="0"/>
        <v>6.769000000000001</v>
      </c>
      <c r="F37" s="61">
        <f t="shared" si="1"/>
        <v>42</v>
      </c>
      <c r="G37" s="64">
        <f t="shared" si="9"/>
        <v>6.4</v>
      </c>
      <c r="H37" s="63">
        <f t="shared" si="2"/>
        <v>64.189482541215312</v>
      </c>
      <c r="I37" s="63">
        <f t="shared" si="3"/>
        <v>78.520180724929475</v>
      </c>
      <c r="J37" s="53">
        <f t="shared" si="15"/>
        <v>28.661396367428324</v>
      </c>
      <c r="K37" s="53" t="str">
        <f t="shared" si="11"/>
        <v>Horizontal</v>
      </c>
      <c r="L37" s="42" t="str">
        <f t="shared" si="11"/>
        <v>Full</v>
      </c>
      <c r="M37" s="50">
        <f t="shared" si="11"/>
        <v>12</v>
      </c>
      <c r="N37" s="49">
        <f t="shared" si="12"/>
        <v>160</v>
      </c>
      <c r="O37" s="44">
        <f t="shared" si="12"/>
        <v>8</v>
      </c>
      <c r="P37" s="44">
        <f>P36</f>
        <v>-8</v>
      </c>
      <c r="Q37" s="155">
        <f t="shared" si="13"/>
        <v>0.11</v>
      </c>
      <c r="R37" s="49">
        <v>60</v>
      </c>
      <c r="S37" s="44">
        <f t="shared" si="14"/>
        <v>150</v>
      </c>
      <c r="T37" s="50">
        <f t="shared" si="14"/>
        <v>210</v>
      </c>
    </row>
    <row r="38" spans="1:20" x14ac:dyDescent="0.25">
      <c r="A38" s="41" t="e">
        <f t="shared" si="10"/>
        <v>#REF!</v>
      </c>
      <c r="B38" s="42">
        <f t="shared" si="10"/>
        <v>28</v>
      </c>
      <c r="C38" s="41" t="s">
        <v>3612</v>
      </c>
      <c r="D38" s="43">
        <f t="shared" si="6"/>
        <v>57</v>
      </c>
      <c r="E38" s="61">
        <f t="shared" si="0"/>
        <v>6.769000000000001</v>
      </c>
      <c r="F38" s="61">
        <f t="shared" si="1"/>
        <v>42</v>
      </c>
      <c r="G38" s="64">
        <f t="shared" si="9"/>
        <v>6.4</v>
      </c>
      <c r="H38" s="63">
        <f t="shared" si="2"/>
        <v>64.189482541215312</v>
      </c>
      <c r="I38" s="63">
        <f t="shared" si="3"/>
        <v>78.520180724929475</v>
      </c>
      <c r="J38" s="53">
        <f t="shared" si="15"/>
        <v>28.661396367428324</v>
      </c>
      <c r="K38" s="53" t="str">
        <f t="shared" si="11"/>
        <v>Horizontal</v>
      </c>
      <c r="L38" s="42" t="str">
        <f t="shared" si="11"/>
        <v>Full</v>
      </c>
      <c r="M38" s="50">
        <f t="shared" si="11"/>
        <v>12</v>
      </c>
      <c r="N38" s="49">
        <f t="shared" si="12"/>
        <v>160</v>
      </c>
      <c r="O38" s="44">
        <f t="shared" si="12"/>
        <v>8</v>
      </c>
      <c r="P38" s="44">
        <f>P37</f>
        <v>-8</v>
      </c>
      <c r="Q38" s="155">
        <f t="shared" si="13"/>
        <v>0.11</v>
      </c>
      <c r="R38" s="49">
        <v>90</v>
      </c>
      <c r="S38" s="44">
        <f t="shared" si="14"/>
        <v>150</v>
      </c>
      <c r="T38" s="50">
        <f t="shared" si="14"/>
        <v>210</v>
      </c>
    </row>
    <row r="39" spans="1:20" x14ac:dyDescent="0.25">
      <c r="A39" s="41" t="e">
        <f t="shared" ref="A39:B54" si="16">A38+1</f>
        <v>#REF!</v>
      </c>
      <c r="B39" s="42">
        <f t="shared" si="16"/>
        <v>29</v>
      </c>
      <c r="C39" s="41" t="s">
        <v>3613</v>
      </c>
      <c r="D39" s="43">
        <f t="shared" si="6"/>
        <v>57</v>
      </c>
      <c r="E39" s="61">
        <f t="shared" si="0"/>
        <v>6.769000000000001</v>
      </c>
      <c r="F39" s="61">
        <f t="shared" si="1"/>
        <v>42</v>
      </c>
      <c r="G39" s="64">
        <f t="shared" si="9"/>
        <v>6.4</v>
      </c>
      <c r="H39" s="63">
        <f t="shared" si="2"/>
        <v>64.189482541215312</v>
      </c>
      <c r="I39" s="63">
        <f t="shared" si="3"/>
        <v>78.520180724929475</v>
      </c>
      <c r="J39" s="53">
        <f t="shared" si="15"/>
        <v>28.661396367428324</v>
      </c>
      <c r="K39" s="53" t="str">
        <f t="shared" si="11"/>
        <v>Horizontal</v>
      </c>
      <c r="L39" s="42" t="str">
        <f t="shared" si="11"/>
        <v>Full</v>
      </c>
      <c r="M39" s="50">
        <f t="shared" si="11"/>
        <v>12</v>
      </c>
      <c r="N39" s="49">
        <f t="shared" si="12"/>
        <v>160</v>
      </c>
      <c r="O39" s="44">
        <f t="shared" si="12"/>
        <v>8</v>
      </c>
      <c r="P39" s="44">
        <f>yaw_null</f>
        <v>0</v>
      </c>
      <c r="Q39" s="155">
        <f t="shared" si="13"/>
        <v>0.11</v>
      </c>
      <c r="R39" s="49">
        <v>0</v>
      </c>
      <c r="S39" s="44">
        <f t="shared" si="14"/>
        <v>150</v>
      </c>
      <c r="T39" s="50">
        <f t="shared" si="14"/>
        <v>210</v>
      </c>
    </row>
    <row r="40" spans="1:20" x14ac:dyDescent="0.25">
      <c r="A40" s="41" t="e">
        <f t="shared" si="16"/>
        <v>#REF!</v>
      </c>
      <c r="B40" s="42">
        <f t="shared" si="16"/>
        <v>30</v>
      </c>
      <c r="C40" s="41" t="s">
        <v>3614</v>
      </c>
      <c r="D40" s="43">
        <f t="shared" si="6"/>
        <v>57</v>
      </c>
      <c r="E40" s="61">
        <f t="shared" si="0"/>
        <v>6.769000000000001</v>
      </c>
      <c r="F40" s="61">
        <f t="shared" si="1"/>
        <v>42</v>
      </c>
      <c r="G40" s="64">
        <f t="shared" si="9"/>
        <v>6.4</v>
      </c>
      <c r="H40" s="63">
        <f t="shared" si="2"/>
        <v>64.189482541215312</v>
      </c>
      <c r="I40" s="63">
        <f t="shared" si="3"/>
        <v>78.520180724929475</v>
      </c>
      <c r="J40" s="53">
        <f t="shared" si="15"/>
        <v>28.661396367428324</v>
      </c>
      <c r="K40" s="53" t="str">
        <f t="shared" si="11"/>
        <v>Horizontal</v>
      </c>
      <c r="L40" s="42" t="str">
        <f t="shared" si="11"/>
        <v>Full</v>
      </c>
      <c r="M40" s="50">
        <f t="shared" si="11"/>
        <v>12</v>
      </c>
      <c r="N40" s="49">
        <f t="shared" si="12"/>
        <v>160</v>
      </c>
      <c r="O40" s="44">
        <f t="shared" si="12"/>
        <v>8</v>
      </c>
      <c r="P40" s="44">
        <f>P39</f>
        <v>0</v>
      </c>
      <c r="Q40" s="155">
        <f t="shared" si="13"/>
        <v>0.11</v>
      </c>
      <c r="R40" s="49">
        <v>30</v>
      </c>
      <c r="S40" s="44">
        <f t="shared" si="14"/>
        <v>150</v>
      </c>
      <c r="T40" s="50">
        <f t="shared" si="14"/>
        <v>210</v>
      </c>
    </row>
    <row r="41" spans="1:20" x14ac:dyDescent="0.25">
      <c r="A41" s="41" t="e">
        <f t="shared" si="16"/>
        <v>#REF!</v>
      </c>
      <c r="B41" s="42">
        <f t="shared" si="16"/>
        <v>31</v>
      </c>
      <c r="C41" s="41" t="s">
        <v>3615</v>
      </c>
      <c r="D41" s="43">
        <f t="shared" si="6"/>
        <v>57</v>
      </c>
      <c r="E41" s="61">
        <f t="shared" si="0"/>
        <v>6.769000000000001</v>
      </c>
      <c r="F41" s="61">
        <f t="shared" si="1"/>
        <v>42</v>
      </c>
      <c r="G41" s="64">
        <f t="shared" si="9"/>
        <v>6.4</v>
      </c>
      <c r="H41" s="63">
        <f t="shared" si="2"/>
        <v>64.189482541215312</v>
      </c>
      <c r="I41" s="63">
        <f t="shared" si="3"/>
        <v>78.520180724929475</v>
      </c>
      <c r="J41" s="53">
        <f t="shared" si="15"/>
        <v>28.661396367428324</v>
      </c>
      <c r="K41" s="53" t="str">
        <f t="shared" ref="K41:O56" si="17">K40</f>
        <v>Horizontal</v>
      </c>
      <c r="L41" s="42" t="str">
        <f t="shared" si="17"/>
        <v>Full</v>
      </c>
      <c r="M41" s="50">
        <f t="shared" si="17"/>
        <v>12</v>
      </c>
      <c r="N41" s="49">
        <f t="shared" si="12"/>
        <v>160</v>
      </c>
      <c r="O41" s="44">
        <f t="shared" si="12"/>
        <v>8</v>
      </c>
      <c r="P41" s="44">
        <f>P40</f>
        <v>0</v>
      </c>
      <c r="Q41" s="155">
        <f t="shared" si="13"/>
        <v>0.11</v>
      </c>
      <c r="R41" s="49">
        <v>60</v>
      </c>
      <c r="S41" s="44">
        <f t="shared" si="14"/>
        <v>150</v>
      </c>
      <c r="T41" s="50">
        <f t="shared" si="14"/>
        <v>210</v>
      </c>
    </row>
    <row r="42" spans="1:20" x14ac:dyDescent="0.25">
      <c r="A42" s="41" t="e">
        <f t="shared" si="16"/>
        <v>#REF!</v>
      </c>
      <c r="B42" s="42">
        <f t="shared" si="16"/>
        <v>32</v>
      </c>
      <c r="C42" s="41" t="s">
        <v>3616</v>
      </c>
      <c r="D42" s="43">
        <f t="shared" si="6"/>
        <v>57</v>
      </c>
      <c r="E42" s="61">
        <f t="shared" si="0"/>
        <v>6.769000000000001</v>
      </c>
      <c r="F42" s="61">
        <f t="shared" si="1"/>
        <v>42</v>
      </c>
      <c r="G42" s="64">
        <f t="shared" si="9"/>
        <v>6.4</v>
      </c>
      <c r="H42" s="63">
        <f t="shared" si="2"/>
        <v>64.189482541215312</v>
      </c>
      <c r="I42" s="63">
        <f t="shared" si="3"/>
        <v>78.520180724929475</v>
      </c>
      <c r="J42" s="53">
        <f t="shared" si="15"/>
        <v>28.661396367428324</v>
      </c>
      <c r="K42" s="53" t="str">
        <f t="shared" si="17"/>
        <v>Horizontal</v>
      </c>
      <c r="L42" s="42" t="str">
        <f t="shared" si="17"/>
        <v>Full</v>
      </c>
      <c r="M42" s="50">
        <f t="shared" si="17"/>
        <v>12</v>
      </c>
      <c r="N42" s="49">
        <f t="shared" si="12"/>
        <v>160</v>
      </c>
      <c r="O42" s="44">
        <f t="shared" si="12"/>
        <v>8</v>
      </c>
      <c r="P42" s="44">
        <f>P41</f>
        <v>0</v>
      </c>
      <c r="Q42" s="155">
        <f t="shared" si="13"/>
        <v>0.11</v>
      </c>
      <c r="R42" s="49">
        <v>90</v>
      </c>
      <c r="S42" s="44">
        <f t="shared" si="14"/>
        <v>150</v>
      </c>
      <c r="T42" s="50">
        <f t="shared" si="14"/>
        <v>210</v>
      </c>
    </row>
    <row r="43" spans="1:20" x14ac:dyDescent="0.25">
      <c r="A43" s="41" t="e">
        <f t="shared" si="16"/>
        <v>#REF!</v>
      </c>
      <c r="B43" s="42">
        <f t="shared" si="16"/>
        <v>33</v>
      </c>
      <c r="C43" s="41" t="s">
        <v>3617</v>
      </c>
      <c r="D43" s="43">
        <f t="shared" si="6"/>
        <v>57</v>
      </c>
      <c r="E43" s="61">
        <f t="shared" si="0"/>
        <v>6.769000000000001</v>
      </c>
      <c r="F43" s="61">
        <f t="shared" si="1"/>
        <v>42</v>
      </c>
      <c r="G43" s="64">
        <f t="shared" si="9"/>
        <v>6.4</v>
      </c>
      <c r="H43" s="63">
        <f t="shared" si="2"/>
        <v>64.189482541215312</v>
      </c>
      <c r="I43" s="63">
        <f t="shared" si="3"/>
        <v>78.520180724929475</v>
      </c>
      <c r="J43" s="53">
        <f t="shared" si="15"/>
        <v>28.661396367428324</v>
      </c>
      <c r="K43" s="53" t="str">
        <f t="shared" si="17"/>
        <v>Horizontal</v>
      </c>
      <c r="L43" s="42" t="str">
        <f t="shared" si="17"/>
        <v>Full</v>
      </c>
      <c r="M43" s="50">
        <f t="shared" si="17"/>
        <v>12</v>
      </c>
      <c r="N43" s="49">
        <f t="shared" si="12"/>
        <v>160</v>
      </c>
      <c r="O43" s="44">
        <f t="shared" si="12"/>
        <v>8</v>
      </c>
      <c r="P43" s="44">
        <f>yaw_max</f>
        <v>8</v>
      </c>
      <c r="Q43" s="155">
        <f t="shared" si="13"/>
        <v>0.11</v>
      </c>
      <c r="R43" s="49">
        <v>0</v>
      </c>
      <c r="S43" s="44">
        <f t="shared" si="14"/>
        <v>150</v>
      </c>
      <c r="T43" s="50">
        <f t="shared" si="14"/>
        <v>210</v>
      </c>
    </row>
    <row r="44" spans="1:20" x14ac:dyDescent="0.25">
      <c r="A44" s="41" t="e">
        <f t="shared" si="16"/>
        <v>#REF!</v>
      </c>
      <c r="B44" s="42">
        <f t="shared" si="16"/>
        <v>34</v>
      </c>
      <c r="C44" s="41" t="s">
        <v>3618</v>
      </c>
      <c r="D44" s="43">
        <f t="shared" si="6"/>
        <v>57</v>
      </c>
      <c r="E44" s="61">
        <f t="shared" si="0"/>
        <v>6.769000000000001</v>
      </c>
      <c r="F44" s="61">
        <f t="shared" si="1"/>
        <v>42</v>
      </c>
      <c r="G44" s="64">
        <f t="shared" si="9"/>
        <v>6.4</v>
      </c>
      <c r="H44" s="63">
        <f t="shared" si="2"/>
        <v>64.189482541215312</v>
      </c>
      <c r="I44" s="63">
        <f t="shared" si="3"/>
        <v>78.520180724929475</v>
      </c>
      <c r="J44" s="53">
        <f t="shared" si="15"/>
        <v>28.661396367428324</v>
      </c>
      <c r="K44" s="53" t="str">
        <f t="shared" si="17"/>
        <v>Horizontal</v>
      </c>
      <c r="L44" s="42" t="str">
        <f t="shared" si="17"/>
        <v>Full</v>
      </c>
      <c r="M44" s="50">
        <f t="shared" si="17"/>
        <v>12</v>
      </c>
      <c r="N44" s="49">
        <f t="shared" si="17"/>
        <v>160</v>
      </c>
      <c r="O44" s="44">
        <f t="shared" si="17"/>
        <v>8</v>
      </c>
      <c r="P44" s="44">
        <f>P43</f>
        <v>8</v>
      </c>
      <c r="Q44" s="155">
        <f t="shared" si="13"/>
        <v>0.11</v>
      </c>
      <c r="R44" s="49">
        <v>30</v>
      </c>
      <c r="S44" s="44">
        <f t="shared" si="14"/>
        <v>150</v>
      </c>
      <c r="T44" s="50">
        <f t="shared" si="14"/>
        <v>210</v>
      </c>
    </row>
    <row r="45" spans="1:20" x14ac:dyDescent="0.25">
      <c r="A45" s="41" t="e">
        <f t="shared" si="16"/>
        <v>#REF!</v>
      </c>
      <c r="B45" s="42">
        <f t="shared" si="16"/>
        <v>35</v>
      </c>
      <c r="C45" s="41" t="s">
        <v>3619</v>
      </c>
      <c r="D45" s="43">
        <f t="shared" si="6"/>
        <v>57</v>
      </c>
      <c r="E45" s="61">
        <f t="shared" si="0"/>
        <v>6.769000000000001</v>
      </c>
      <c r="F45" s="61">
        <f t="shared" si="1"/>
        <v>42</v>
      </c>
      <c r="G45" s="64">
        <f t="shared" si="9"/>
        <v>6.4</v>
      </c>
      <c r="H45" s="63">
        <f t="shared" si="2"/>
        <v>64.189482541215312</v>
      </c>
      <c r="I45" s="63">
        <f t="shared" si="3"/>
        <v>78.520180724929475</v>
      </c>
      <c r="J45" s="53">
        <f t="shared" si="15"/>
        <v>28.661396367428324</v>
      </c>
      <c r="K45" s="53" t="str">
        <f t="shared" si="17"/>
        <v>Horizontal</v>
      </c>
      <c r="L45" s="42" t="str">
        <f t="shared" si="17"/>
        <v>Full</v>
      </c>
      <c r="M45" s="50">
        <f t="shared" si="17"/>
        <v>12</v>
      </c>
      <c r="N45" s="49">
        <f t="shared" si="17"/>
        <v>160</v>
      </c>
      <c r="O45" s="44">
        <f t="shared" si="17"/>
        <v>8</v>
      </c>
      <c r="P45" s="44">
        <f>P44</f>
        <v>8</v>
      </c>
      <c r="Q45" s="155">
        <f t="shared" si="13"/>
        <v>0.11</v>
      </c>
      <c r="R45" s="49">
        <v>60</v>
      </c>
      <c r="S45" s="44">
        <f t="shared" ref="S45:T58" si="18">S44</f>
        <v>150</v>
      </c>
      <c r="T45" s="50">
        <f t="shared" si="18"/>
        <v>210</v>
      </c>
    </row>
    <row r="46" spans="1:20" ht="15.75" thickBot="1" x14ac:dyDescent="0.3">
      <c r="A46" s="41" t="e">
        <f t="shared" si="16"/>
        <v>#REF!</v>
      </c>
      <c r="B46" s="42">
        <f t="shared" si="16"/>
        <v>36</v>
      </c>
      <c r="C46" s="41" t="s">
        <v>3620</v>
      </c>
      <c r="D46" s="43">
        <f t="shared" si="6"/>
        <v>57</v>
      </c>
      <c r="E46" s="61">
        <f t="shared" si="0"/>
        <v>6.769000000000001</v>
      </c>
      <c r="F46" s="61">
        <f t="shared" si="1"/>
        <v>42</v>
      </c>
      <c r="G46" s="64">
        <f t="shared" si="9"/>
        <v>6.4</v>
      </c>
      <c r="H46" s="63">
        <f t="shared" si="2"/>
        <v>64.189482541215312</v>
      </c>
      <c r="I46" s="63">
        <f t="shared" si="3"/>
        <v>78.520180724929475</v>
      </c>
      <c r="J46" s="53">
        <f t="shared" si="15"/>
        <v>28.661396367428324</v>
      </c>
      <c r="K46" s="53" t="str">
        <f t="shared" si="17"/>
        <v>Horizontal</v>
      </c>
      <c r="L46" s="42" t="str">
        <f t="shared" si="17"/>
        <v>Full</v>
      </c>
      <c r="M46" s="50">
        <f t="shared" si="17"/>
        <v>12</v>
      </c>
      <c r="N46" s="49">
        <f t="shared" si="17"/>
        <v>160</v>
      </c>
      <c r="O46" s="44">
        <f t="shared" si="17"/>
        <v>8</v>
      </c>
      <c r="P46" s="44">
        <f>P45</f>
        <v>8</v>
      </c>
      <c r="Q46" s="155">
        <f t="shared" si="13"/>
        <v>0.11</v>
      </c>
      <c r="R46" s="49">
        <v>90</v>
      </c>
      <c r="S46" s="44">
        <f t="shared" si="18"/>
        <v>150</v>
      </c>
      <c r="T46" s="50">
        <f t="shared" si="18"/>
        <v>210</v>
      </c>
    </row>
    <row r="47" spans="1:20" x14ac:dyDescent="0.25">
      <c r="A47" s="41" t="e">
        <f t="shared" si="16"/>
        <v>#REF!</v>
      </c>
      <c r="B47" s="42">
        <f t="shared" si="16"/>
        <v>37</v>
      </c>
      <c r="C47" s="41" t="s">
        <v>3621</v>
      </c>
      <c r="D47" s="43">
        <f t="shared" si="6"/>
        <v>57</v>
      </c>
      <c r="E47" s="61">
        <f t="shared" si="0"/>
        <v>6.769000000000001</v>
      </c>
      <c r="F47" s="61">
        <f t="shared" si="1"/>
        <v>42</v>
      </c>
      <c r="G47" s="64">
        <f t="shared" si="9"/>
        <v>6.4</v>
      </c>
      <c r="H47" s="63">
        <f t="shared" si="2"/>
        <v>64.189482541215312</v>
      </c>
      <c r="I47" s="63">
        <f t="shared" si="3"/>
        <v>78.520180724929475</v>
      </c>
      <c r="J47" s="53">
        <f>2*(H47-I47)</f>
        <v>-28.661396367428324</v>
      </c>
      <c r="K47" s="55" t="s">
        <v>20</v>
      </c>
      <c r="L47" s="42" t="str">
        <f t="shared" si="17"/>
        <v>Full</v>
      </c>
      <c r="M47" s="50">
        <f t="shared" si="17"/>
        <v>12</v>
      </c>
      <c r="N47" s="49">
        <f t="shared" si="17"/>
        <v>160</v>
      </c>
      <c r="O47" s="44">
        <f t="shared" si="17"/>
        <v>8</v>
      </c>
      <c r="P47" s="35">
        <f>yaw_min</f>
        <v>-8</v>
      </c>
      <c r="Q47" s="155">
        <f t="shared" si="13"/>
        <v>0.11</v>
      </c>
      <c r="R47" s="49">
        <v>0</v>
      </c>
      <c r="S47" s="44">
        <f t="shared" si="18"/>
        <v>150</v>
      </c>
      <c r="T47" s="50">
        <f t="shared" si="18"/>
        <v>210</v>
      </c>
    </row>
    <row r="48" spans="1:20" x14ac:dyDescent="0.25">
      <c r="A48" s="41" t="e">
        <f t="shared" si="16"/>
        <v>#REF!</v>
      </c>
      <c r="B48" s="42">
        <f t="shared" si="16"/>
        <v>38</v>
      </c>
      <c r="C48" s="41" t="s">
        <v>3622</v>
      </c>
      <c r="D48" s="43">
        <f t="shared" si="6"/>
        <v>57</v>
      </c>
      <c r="E48" s="61">
        <f t="shared" si="0"/>
        <v>6.769000000000001</v>
      </c>
      <c r="F48" s="61">
        <f t="shared" si="1"/>
        <v>42</v>
      </c>
      <c r="G48" s="64">
        <f t="shared" si="9"/>
        <v>6.4</v>
      </c>
      <c r="H48" s="63">
        <f t="shared" si="2"/>
        <v>64.189482541215312</v>
      </c>
      <c r="I48" s="63">
        <f t="shared" si="3"/>
        <v>78.520180724929475</v>
      </c>
      <c r="J48" s="53">
        <f t="shared" ref="J48:O58" si="19">J47</f>
        <v>-28.661396367428324</v>
      </c>
      <c r="K48" s="53" t="str">
        <f t="shared" si="19"/>
        <v>Horizontal</v>
      </c>
      <c r="L48" s="42" t="str">
        <f t="shared" si="17"/>
        <v>Full</v>
      </c>
      <c r="M48" s="50">
        <f t="shared" si="17"/>
        <v>12</v>
      </c>
      <c r="N48" s="49">
        <f t="shared" si="17"/>
        <v>160</v>
      </c>
      <c r="O48" s="44">
        <f t="shared" si="17"/>
        <v>8</v>
      </c>
      <c r="P48" s="44">
        <f>P47</f>
        <v>-8</v>
      </c>
      <c r="Q48" s="155">
        <f t="shared" si="13"/>
        <v>0.11</v>
      </c>
      <c r="R48" s="49">
        <v>30</v>
      </c>
      <c r="S48" s="44">
        <f t="shared" si="18"/>
        <v>150</v>
      </c>
      <c r="T48" s="50">
        <f t="shared" si="18"/>
        <v>210</v>
      </c>
    </row>
    <row r="49" spans="1:20" x14ac:dyDescent="0.25">
      <c r="A49" s="41" t="e">
        <f t="shared" si="16"/>
        <v>#REF!</v>
      </c>
      <c r="B49" s="42">
        <f t="shared" si="16"/>
        <v>39</v>
      </c>
      <c r="C49" s="41" t="s">
        <v>3623</v>
      </c>
      <c r="D49" s="43">
        <f t="shared" si="6"/>
        <v>57</v>
      </c>
      <c r="E49" s="61">
        <f t="shared" si="0"/>
        <v>6.769000000000001</v>
      </c>
      <c r="F49" s="61">
        <f t="shared" si="1"/>
        <v>42</v>
      </c>
      <c r="G49" s="64">
        <f t="shared" si="9"/>
        <v>6.4</v>
      </c>
      <c r="H49" s="63">
        <f t="shared" si="2"/>
        <v>64.189482541215312</v>
      </c>
      <c r="I49" s="63">
        <f t="shared" si="3"/>
        <v>78.520180724929475</v>
      </c>
      <c r="J49" s="53">
        <f t="shared" si="19"/>
        <v>-28.661396367428324</v>
      </c>
      <c r="K49" s="53" t="str">
        <f t="shared" si="19"/>
        <v>Horizontal</v>
      </c>
      <c r="L49" s="42" t="str">
        <f t="shared" si="17"/>
        <v>Full</v>
      </c>
      <c r="M49" s="50">
        <f t="shared" si="17"/>
        <v>12</v>
      </c>
      <c r="N49" s="49">
        <f t="shared" si="17"/>
        <v>160</v>
      </c>
      <c r="O49" s="44">
        <f t="shared" si="17"/>
        <v>8</v>
      </c>
      <c r="P49" s="44">
        <f>P48</f>
        <v>-8</v>
      </c>
      <c r="Q49" s="155">
        <f t="shared" si="13"/>
        <v>0.11</v>
      </c>
      <c r="R49" s="49">
        <v>60</v>
      </c>
      <c r="S49" s="44">
        <f t="shared" si="18"/>
        <v>150</v>
      </c>
      <c r="T49" s="50">
        <f t="shared" si="18"/>
        <v>210</v>
      </c>
    </row>
    <row r="50" spans="1:20" x14ac:dyDescent="0.25">
      <c r="A50" s="41" t="e">
        <f t="shared" si="16"/>
        <v>#REF!</v>
      </c>
      <c r="B50" s="42">
        <f t="shared" si="16"/>
        <v>40</v>
      </c>
      <c r="C50" s="41" t="s">
        <v>3624</v>
      </c>
      <c r="D50" s="43">
        <f t="shared" si="6"/>
        <v>57</v>
      </c>
      <c r="E50" s="61">
        <f t="shared" si="0"/>
        <v>6.769000000000001</v>
      </c>
      <c r="F50" s="61">
        <f t="shared" si="1"/>
        <v>42</v>
      </c>
      <c r="G50" s="64">
        <f t="shared" si="9"/>
        <v>6.4</v>
      </c>
      <c r="H50" s="63">
        <f t="shared" si="2"/>
        <v>64.189482541215312</v>
      </c>
      <c r="I50" s="63">
        <f t="shared" si="3"/>
        <v>78.520180724929475</v>
      </c>
      <c r="J50" s="53">
        <f t="shared" si="19"/>
        <v>-28.661396367428324</v>
      </c>
      <c r="K50" s="53" t="str">
        <f t="shared" si="19"/>
        <v>Horizontal</v>
      </c>
      <c r="L50" s="42" t="str">
        <f t="shared" si="17"/>
        <v>Full</v>
      </c>
      <c r="M50" s="50">
        <f t="shared" si="17"/>
        <v>12</v>
      </c>
      <c r="N50" s="49">
        <f t="shared" si="17"/>
        <v>160</v>
      </c>
      <c r="O50" s="44">
        <f t="shared" si="17"/>
        <v>8</v>
      </c>
      <c r="P50" s="44">
        <f>P49</f>
        <v>-8</v>
      </c>
      <c r="Q50" s="155">
        <f t="shared" si="13"/>
        <v>0.11</v>
      </c>
      <c r="R50" s="49">
        <v>90</v>
      </c>
      <c r="S50" s="44">
        <f t="shared" si="18"/>
        <v>150</v>
      </c>
      <c r="T50" s="50">
        <f t="shared" si="18"/>
        <v>210</v>
      </c>
    </row>
    <row r="51" spans="1:20" x14ac:dyDescent="0.25">
      <c r="A51" s="41" t="e">
        <f t="shared" si="16"/>
        <v>#REF!</v>
      </c>
      <c r="B51" s="42">
        <f t="shared" si="16"/>
        <v>41</v>
      </c>
      <c r="C51" s="41" t="s">
        <v>3625</v>
      </c>
      <c r="D51" s="43">
        <f t="shared" si="6"/>
        <v>57</v>
      </c>
      <c r="E51" s="61">
        <f t="shared" si="0"/>
        <v>6.769000000000001</v>
      </c>
      <c r="F51" s="61">
        <f t="shared" si="1"/>
        <v>42</v>
      </c>
      <c r="G51" s="64">
        <f t="shared" si="9"/>
        <v>6.4</v>
      </c>
      <c r="H51" s="63">
        <f t="shared" si="2"/>
        <v>64.189482541215312</v>
      </c>
      <c r="I51" s="63">
        <f t="shared" si="3"/>
        <v>78.520180724929475</v>
      </c>
      <c r="J51" s="53">
        <f t="shared" si="19"/>
        <v>-28.661396367428324</v>
      </c>
      <c r="K51" s="53" t="str">
        <f t="shared" si="19"/>
        <v>Horizontal</v>
      </c>
      <c r="L51" s="42" t="str">
        <f t="shared" si="17"/>
        <v>Full</v>
      </c>
      <c r="M51" s="50">
        <f t="shared" si="17"/>
        <v>12</v>
      </c>
      <c r="N51" s="49">
        <f t="shared" si="17"/>
        <v>160</v>
      </c>
      <c r="O51" s="44">
        <f t="shared" si="17"/>
        <v>8</v>
      </c>
      <c r="P51" s="44">
        <f>yaw_null</f>
        <v>0</v>
      </c>
      <c r="Q51" s="155">
        <f t="shared" si="13"/>
        <v>0.11</v>
      </c>
      <c r="R51" s="49">
        <v>0</v>
      </c>
      <c r="S51" s="44">
        <f t="shared" si="18"/>
        <v>150</v>
      </c>
      <c r="T51" s="50">
        <f t="shared" si="18"/>
        <v>210</v>
      </c>
    </row>
    <row r="52" spans="1:20" x14ac:dyDescent="0.25">
      <c r="A52" s="41" t="e">
        <f t="shared" si="16"/>
        <v>#REF!</v>
      </c>
      <c r="B52" s="42">
        <f t="shared" si="16"/>
        <v>42</v>
      </c>
      <c r="C52" s="41" t="s">
        <v>3626</v>
      </c>
      <c r="D52" s="43">
        <f t="shared" si="6"/>
        <v>57</v>
      </c>
      <c r="E52" s="61">
        <f t="shared" si="0"/>
        <v>6.769000000000001</v>
      </c>
      <c r="F52" s="61">
        <f t="shared" si="1"/>
        <v>42</v>
      </c>
      <c r="G52" s="64">
        <f t="shared" si="9"/>
        <v>6.4</v>
      </c>
      <c r="H52" s="63">
        <f t="shared" si="2"/>
        <v>64.189482541215312</v>
      </c>
      <c r="I52" s="63">
        <f t="shared" si="3"/>
        <v>78.520180724929475</v>
      </c>
      <c r="J52" s="53">
        <f t="shared" si="19"/>
        <v>-28.661396367428324</v>
      </c>
      <c r="K52" s="53" t="str">
        <f t="shared" si="19"/>
        <v>Horizontal</v>
      </c>
      <c r="L52" s="42" t="str">
        <f t="shared" si="17"/>
        <v>Full</v>
      </c>
      <c r="M52" s="50">
        <f t="shared" si="17"/>
        <v>12</v>
      </c>
      <c r="N52" s="49">
        <f t="shared" si="17"/>
        <v>160</v>
      </c>
      <c r="O52" s="44">
        <f t="shared" si="17"/>
        <v>8</v>
      </c>
      <c r="P52" s="44">
        <f>P51</f>
        <v>0</v>
      </c>
      <c r="Q52" s="155">
        <f t="shared" si="13"/>
        <v>0.11</v>
      </c>
      <c r="R52" s="49">
        <v>30</v>
      </c>
      <c r="S52" s="44">
        <f t="shared" si="18"/>
        <v>150</v>
      </c>
      <c r="T52" s="50">
        <f t="shared" si="18"/>
        <v>210</v>
      </c>
    </row>
    <row r="53" spans="1:20" x14ac:dyDescent="0.25">
      <c r="A53" s="41" t="e">
        <f t="shared" si="16"/>
        <v>#REF!</v>
      </c>
      <c r="B53" s="42">
        <f t="shared" si="16"/>
        <v>43</v>
      </c>
      <c r="C53" s="41" t="s">
        <v>3627</v>
      </c>
      <c r="D53" s="43">
        <f t="shared" si="6"/>
        <v>57</v>
      </c>
      <c r="E53" s="61">
        <f t="shared" si="0"/>
        <v>6.769000000000001</v>
      </c>
      <c r="F53" s="61">
        <f t="shared" si="1"/>
        <v>42</v>
      </c>
      <c r="G53" s="64">
        <f t="shared" si="9"/>
        <v>6.4</v>
      </c>
      <c r="H53" s="63">
        <f t="shared" si="2"/>
        <v>64.189482541215312</v>
      </c>
      <c r="I53" s="63">
        <f t="shared" si="3"/>
        <v>78.520180724929475</v>
      </c>
      <c r="J53" s="53">
        <f t="shared" si="19"/>
        <v>-28.661396367428324</v>
      </c>
      <c r="K53" s="53" t="str">
        <f t="shared" si="19"/>
        <v>Horizontal</v>
      </c>
      <c r="L53" s="42" t="str">
        <f t="shared" si="17"/>
        <v>Full</v>
      </c>
      <c r="M53" s="50">
        <f t="shared" si="17"/>
        <v>12</v>
      </c>
      <c r="N53" s="49">
        <f t="shared" si="17"/>
        <v>160</v>
      </c>
      <c r="O53" s="44">
        <f t="shared" si="17"/>
        <v>8</v>
      </c>
      <c r="P53" s="44">
        <f>P52</f>
        <v>0</v>
      </c>
      <c r="Q53" s="155">
        <f t="shared" si="13"/>
        <v>0.11</v>
      </c>
      <c r="R53" s="49">
        <v>60</v>
      </c>
      <c r="S53" s="44">
        <f t="shared" si="18"/>
        <v>150</v>
      </c>
      <c r="T53" s="50">
        <f t="shared" si="18"/>
        <v>210</v>
      </c>
    </row>
    <row r="54" spans="1:20" x14ac:dyDescent="0.25">
      <c r="A54" s="41" t="e">
        <f t="shared" si="16"/>
        <v>#REF!</v>
      </c>
      <c r="B54" s="42">
        <f t="shared" si="16"/>
        <v>44</v>
      </c>
      <c r="C54" s="41" t="s">
        <v>3628</v>
      </c>
      <c r="D54" s="43">
        <f t="shared" si="6"/>
        <v>57</v>
      </c>
      <c r="E54" s="61">
        <f t="shared" si="0"/>
        <v>6.769000000000001</v>
      </c>
      <c r="F54" s="61">
        <f t="shared" si="1"/>
        <v>42</v>
      </c>
      <c r="G54" s="64">
        <f t="shared" si="9"/>
        <v>6.4</v>
      </c>
      <c r="H54" s="63">
        <f t="shared" si="2"/>
        <v>64.189482541215312</v>
      </c>
      <c r="I54" s="63">
        <f t="shared" si="3"/>
        <v>78.520180724929475</v>
      </c>
      <c r="J54" s="53">
        <f t="shared" si="19"/>
        <v>-28.661396367428324</v>
      </c>
      <c r="K54" s="53" t="str">
        <f t="shared" si="19"/>
        <v>Horizontal</v>
      </c>
      <c r="L54" s="42" t="str">
        <f t="shared" si="17"/>
        <v>Full</v>
      </c>
      <c r="M54" s="50">
        <f t="shared" si="17"/>
        <v>12</v>
      </c>
      <c r="N54" s="49">
        <f t="shared" si="17"/>
        <v>160</v>
      </c>
      <c r="O54" s="44">
        <f t="shared" si="17"/>
        <v>8</v>
      </c>
      <c r="P54" s="44">
        <f>P53</f>
        <v>0</v>
      </c>
      <c r="Q54" s="155">
        <f t="shared" si="13"/>
        <v>0.11</v>
      </c>
      <c r="R54" s="49">
        <v>90</v>
      </c>
      <c r="S54" s="44">
        <f t="shared" si="18"/>
        <v>150</v>
      </c>
      <c r="T54" s="50">
        <f t="shared" si="18"/>
        <v>210</v>
      </c>
    </row>
    <row r="55" spans="1:20" x14ac:dyDescent="0.25">
      <c r="A55" s="41" t="e">
        <f t="shared" ref="A55:B58" si="20">A54+1</f>
        <v>#REF!</v>
      </c>
      <c r="B55" s="42">
        <f t="shared" si="20"/>
        <v>45</v>
      </c>
      <c r="C55" s="41" t="s">
        <v>3629</v>
      </c>
      <c r="D55" s="43">
        <f t="shared" si="6"/>
        <v>57</v>
      </c>
      <c r="E55" s="61">
        <f t="shared" si="0"/>
        <v>6.769000000000001</v>
      </c>
      <c r="F55" s="61">
        <f t="shared" si="1"/>
        <v>42</v>
      </c>
      <c r="G55" s="64">
        <f t="shared" si="9"/>
        <v>6.4</v>
      </c>
      <c r="H55" s="63">
        <f t="shared" si="2"/>
        <v>64.189482541215312</v>
      </c>
      <c r="I55" s="63">
        <f t="shared" si="3"/>
        <v>78.520180724929475</v>
      </c>
      <c r="J55" s="53">
        <f t="shared" si="19"/>
        <v>-28.661396367428324</v>
      </c>
      <c r="K55" s="53" t="str">
        <f t="shared" si="19"/>
        <v>Horizontal</v>
      </c>
      <c r="L55" s="42" t="str">
        <f t="shared" si="17"/>
        <v>Full</v>
      </c>
      <c r="M55" s="50">
        <f t="shared" si="17"/>
        <v>12</v>
      </c>
      <c r="N55" s="49">
        <f t="shared" si="17"/>
        <v>160</v>
      </c>
      <c r="O55" s="44">
        <f t="shared" si="17"/>
        <v>8</v>
      </c>
      <c r="P55" s="44">
        <f>yaw_max</f>
        <v>8</v>
      </c>
      <c r="Q55" s="155">
        <f t="shared" si="13"/>
        <v>0.11</v>
      </c>
      <c r="R55" s="49">
        <v>0</v>
      </c>
      <c r="S55" s="44">
        <f t="shared" si="18"/>
        <v>150</v>
      </c>
      <c r="T55" s="50">
        <f t="shared" si="18"/>
        <v>210</v>
      </c>
    </row>
    <row r="56" spans="1:20" x14ac:dyDescent="0.25">
      <c r="A56" s="41" t="e">
        <f t="shared" si="20"/>
        <v>#REF!</v>
      </c>
      <c r="B56" s="42">
        <f t="shared" si="20"/>
        <v>46</v>
      </c>
      <c r="C56" s="41" t="s">
        <v>3630</v>
      </c>
      <c r="D56" s="43">
        <f t="shared" si="6"/>
        <v>57</v>
      </c>
      <c r="E56" s="61">
        <f t="shared" si="0"/>
        <v>6.769000000000001</v>
      </c>
      <c r="F56" s="61">
        <f t="shared" si="1"/>
        <v>42</v>
      </c>
      <c r="G56" s="64">
        <f t="shared" si="9"/>
        <v>6.4</v>
      </c>
      <c r="H56" s="63">
        <f t="shared" si="2"/>
        <v>64.189482541215312</v>
      </c>
      <c r="I56" s="63">
        <f t="shared" si="3"/>
        <v>78.520180724929475</v>
      </c>
      <c r="J56" s="53">
        <f t="shared" si="19"/>
        <v>-28.661396367428324</v>
      </c>
      <c r="K56" s="53" t="str">
        <f t="shared" si="19"/>
        <v>Horizontal</v>
      </c>
      <c r="L56" s="42" t="str">
        <f t="shared" si="17"/>
        <v>Full</v>
      </c>
      <c r="M56" s="50">
        <f t="shared" si="17"/>
        <v>12</v>
      </c>
      <c r="N56" s="49">
        <f t="shared" si="17"/>
        <v>160</v>
      </c>
      <c r="O56" s="44">
        <f t="shared" si="17"/>
        <v>8</v>
      </c>
      <c r="P56" s="44">
        <f>P55</f>
        <v>8</v>
      </c>
      <c r="Q56" s="155">
        <f t="shared" si="13"/>
        <v>0.11</v>
      </c>
      <c r="R56" s="49">
        <v>30</v>
      </c>
      <c r="S56" s="44">
        <f t="shared" si="18"/>
        <v>150</v>
      </c>
      <c r="T56" s="50">
        <f t="shared" si="18"/>
        <v>210</v>
      </c>
    </row>
    <row r="57" spans="1:20" x14ac:dyDescent="0.25">
      <c r="A57" s="41" t="e">
        <f t="shared" si="20"/>
        <v>#REF!</v>
      </c>
      <c r="B57" s="42">
        <f t="shared" si="20"/>
        <v>47</v>
      </c>
      <c r="C57" s="41" t="s">
        <v>3631</v>
      </c>
      <c r="D57" s="43">
        <f t="shared" si="6"/>
        <v>57</v>
      </c>
      <c r="E57" s="61">
        <f t="shared" si="0"/>
        <v>6.769000000000001</v>
      </c>
      <c r="F57" s="61">
        <f t="shared" si="1"/>
        <v>42</v>
      </c>
      <c r="G57" s="64">
        <f t="shared" si="9"/>
        <v>6.4</v>
      </c>
      <c r="H57" s="63">
        <f t="shared" si="2"/>
        <v>64.189482541215312</v>
      </c>
      <c r="I57" s="63">
        <f t="shared" si="3"/>
        <v>78.520180724929475</v>
      </c>
      <c r="J57" s="53">
        <f t="shared" si="19"/>
        <v>-28.661396367428324</v>
      </c>
      <c r="K57" s="53" t="str">
        <f t="shared" si="19"/>
        <v>Horizontal</v>
      </c>
      <c r="L57" s="42" t="str">
        <f t="shared" si="19"/>
        <v>Full</v>
      </c>
      <c r="M57" s="50">
        <f t="shared" si="19"/>
        <v>12</v>
      </c>
      <c r="N57" s="49">
        <f t="shared" si="19"/>
        <v>160</v>
      </c>
      <c r="O57" s="44">
        <f t="shared" si="19"/>
        <v>8</v>
      </c>
      <c r="P57" s="44">
        <f>P56</f>
        <v>8</v>
      </c>
      <c r="Q57" s="155">
        <f t="shared" si="13"/>
        <v>0.11</v>
      </c>
      <c r="R57" s="49">
        <v>60</v>
      </c>
      <c r="S57" s="44">
        <f t="shared" si="18"/>
        <v>150</v>
      </c>
      <c r="T57" s="50">
        <f t="shared" si="18"/>
        <v>210</v>
      </c>
    </row>
    <row r="58" spans="1:20" x14ac:dyDescent="0.25">
      <c r="A58" s="41" t="e">
        <f t="shared" si="20"/>
        <v>#REF!</v>
      </c>
      <c r="B58" s="42">
        <f t="shared" si="20"/>
        <v>48</v>
      </c>
      <c r="C58" s="41" t="s">
        <v>3632</v>
      </c>
      <c r="D58" s="43">
        <f t="shared" si="6"/>
        <v>57</v>
      </c>
      <c r="E58" s="61">
        <f t="shared" si="0"/>
        <v>6.769000000000001</v>
      </c>
      <c r="F58" s="61">
        <f t="shared" si="1"/>
        <v>42</v>
      </c>
      <c r="G58" s="64">
        <f t="shared" si="9"/>
        <v>6.4</v>
      </c>
      <c r="H58" s="63">
        <f t="shared" si="2"/>
        <v>64.189482541215312</v>
      </c>
      <c r="I58" s="63">
        <f t="shared" si="3"/>
        <v>78.520180724929475</v>
      </c>
      <c r="J58" s="53">
        <f t="shared" si="19"/>
        <v>-28.661396367428324</v>
      </c>
      <c r="K58" s="53" t="str">
        <f t="shared" si="19"/>
        <v>Horizontal</v>
      </c>
      <c r="L58" s="42" t="str">
        <f t="shared" si="19"/>
        <v>Full</v>
      </c>
      <c r="M58" s="50">
        <f t="shared" si="19"/>
        <v>12</v>
      </c>
      <c r="N58" s="49">
        <f t="shared" si="19"/>
        <v>160</v>
      </c>
      <c r="O58" s="44">
        <f t="shared" si="19"/>
        <v>8</v>
      </c>
      <c r="P58" s="44">
        <f>P57</f>
        <v>8</v>
      </c>
      <c r="Q58" s="155">
        <f t="shared" si="13"/>
        <v>0.11</v>
      </c>
      <c r="R58" s="49">
        <v>90</v>
      </c>
      <c r="S58" s="44">
        <f t="shared" si="18"/>
        <v>150</v>
      </c>
      <c r="T58" s="50">
        <f t="shared" si="18"/>
        <v>210</v>
      </c>
    </row>
  </sheetData>
  <phoneticPr fontId="1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Q46"/>
  <sheetViews>
    <sheetView zoomScale="85" zoomScaleNormal="85" workbookViewId="0">
      <selection activeCell="R6" sqref="R6"/>
    </sheetView>
  </sheetViews>
  <sheetFormatPr defaultColWidth="9" defaultRowHeight="15" x14ac:dyDescent="0.15"/>
  <cols>
    <col min="1" max="1" width="7.625" style="23" customWidth="1"/>
    <col min="2" max="2" width="7.375" style="23" customWidth="1"/>
    <col min="3" max="3" width="9" style="23" customWidth="1"/>
    <col min="4" max="4" width="6.625" style="23" customWidth="1"/>
    <col min="5" max="5" width="7.625" style="23" customWidth="1"/>
    <col min="6" max="6" width="7.375" style="23" customWidth="1"/>
    <col min="7" max="7" width="6.625" style="23" customWidth="1"/>
    <col min="8" max="8" width="7.25" style="23" customWidth="1"/>
    <col min="9" max="9" width="7.375" style="23" customWidth="1"/>
    <col min="10" max="10" width="7.75" style="23" customWidth="1"/>
    <col min="11" max="11" width="8.25" style="23" customWidth="1"/>
    <col min="12" max="12" width="9" style="23"/>
    <col min="13" max="13" width="7.375" style="23" customWidth="1"/>
    <col min="14" max="14" width="6.75" style="23" customWidth="1"/>
    <col min="15" max="15" width="7.125" style="23" customWidth="1"/>
    <col min="16" max="16" width="9" style="23"/>
    <col min="17" max="17" width="7.375" style="23" customWidth="1"/>
    <col min="18" max="18" width="7.625" style="23" customWidth="1"/>
    <col min="19" max="16384" width="9" style="23"/>
  </cols>
  <sheetData>
    <row r="1" spans="1:17" x14ac:dyDescent="0.15">
      <c r="H1" s="22" t="s">
        <v>135</v>
      </c>
      <c r="I1" s="22" t="s">
        <v>3557</v>
      </c>
    </row>
    <row r="2" spans="1:17" x14ac:dyDescent="0.15">
      <c r="B2" s="22" t="s">
        <v>2242</v>
      </c>
      <c r="C2" s="22"/>
      <c r="D2" s="22"/>
      <c r="E2" s="22"/>
      <c r="H2" s="22"/>
      <c r="I2" s="22" t="s">
        <v>1035</v>
      </c>
    </row>
    <row r="3" spans="1:17" x14ac:dyDescent="0.15">
      <c r="B3" s="22" t="s">
        <v>88</v>
      </c>
      <c r="C3" s="22"/>
      <c r="D3" s="22"/>
      <c r="E3" s="93" t="s">
        <v>2243</v>
      </c>
      <c r="H3" s="22"/>
      <c r="I3" s="22" t="s">
        <v>915</v>
      </c>
    </row>
    <row r="4" spans="1:17" x14ac:dyDescent="0.15">
      <c r="B4" s="22" t="s">
        <v>89</v>
      </c>
      <c r="C4" s="22"/>
      <c r="D4" s="22"/>
      <c r="E4" s="22" t="s">
        <v>1722</v>
      </c>
      <c r="H4" s="22"/>
      <c r="I4" s="22" t="s">
        <v>153</v>
      </c>
    </row>
    <row r="5" spans="1:17" x14ac:dyDescent="0.15">
      <c r="B5" s="22" t="s">
        <v>91</v>
      </c>
      <c r="C5" s="22"/>
      <c r="D5" s="22"/>
      <c r="E5" s="22" t="s">
        <v>99</v>
      </c>
      <c r="H5" s="22"/>
      <c r="I5" s="22" t="s">
        <v>2280</v>
      </c>
    </row>
    <row r="6" spans="1:17" x14ac:dyDescent="0.15">
      <c r="B6" s="22" t="s">
        <v>93</v>
      </c>
      <c r="C6" s="22"/>
      <c r="D6" s="22"/>
      <c r="E6" s="22" t="s">
        <v>100</v>
      </c>
      <c r="H6" s="22"/>
      <c r="I6" s="22"/>
    </row>
    <row r="7" spans="1:17" x14ac:dyDescent="0.15">
      <c r="H7" s="22"/>
      <c r="I7" s="22"/>
    </row>
    <row r="8" spans="1:17" ht="15.75" thickBot="1" x14ac:dyDescent="0.2">
      <c r="I8" s="22"/>
    </row>
    <row r="9" spans="1:17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62" t="s">
        <v>152</v>
      </c>
      <c r="G9" s="62" t="s">
        <v>87</v>
      </c>
      <c r="H9" s="27" t="s">
        <v>15</v>
      </c>
      <c r="I9" s="27" t="s">
        <v>8</v>
      </c>
      <c r="J9" s="47" t="s">
        <v>21</v>
      </c>
      <c r="K9" s="25" t="s">
        <v>147</v>
      </c>
      <c r="L9" s="25" t="s">
        <v>144</v>
      </c>
      <c r="M9" s="25" t="s">
        <v>2</v>
      </c>
      <c r="N9" s="25" t="s">
        <v>141</v>
      </c>
      <c r="O9" s="25" t="s">
        <v>13</v>
      </c>
      <c r="P9" s="27" t="s">
        <v>138</v>
      </c>
      <c r="Q9" s="27" t="s">
        <v>139</v>
      </c>
    </row>
    <row r="10" spans="1:17" ht="15.75" thickBot="1" x14ac:dyDescent="0.3">
      <c r="A10" s="29" t="s">
        <v>76</v>
      </c>
      <c r="B10" s="30" t="str">
        <f>B2</f>
        <v>DLCT8</v>
      </c>
      <c r="C10" s="29"/>
      <c r="D10" s="30" t="s">
        <v>4</v>
      </c>
      <c r="E10" s="59" t="s">
        <v>4</v>
      </c>
      <c r="F10" s="59" t="s">
        <v>14</v>
      </c>
      <c r="G10" s="59"/>
      <c r="H10" s="30" t="s">
        <v>4</v>
      </c>
      <c r="I10" s="32"/>
      <c r="J10" s="32" t="s">
        <v>17</v>
      </c>
      <c r="K10" s="32" t="s">
        <v>7</v>
      </c>
      <c r="L10" s="30" t="s">
        <v>6</v>
      </c>
      <c r="M10" s="30" t="s">
        <v>6</v>
      </c>
      <c r="N10" s="30"/>
      <c r="O10" s="32" t="s">
        <v>7</v>
      </c>
      <c r="P10" s="32" t="s">
        <v>7</v>
      </c>
      <c r="Q10" s="32" t="s">
        <v>7</v>
      </c>
    </row>
    <row r="11" spans="1:17" x14ac:dyDescent="0.25">
      <c r="A11" s="24" t="e">
        <f>DLC22a!#REF!+1</f>
        <v>#REF!</v>
      </c>
      <c r="B11" s="27">
        <v>1</v>
      </c>
      <c r="C11" s="24" t="s">
        <v>2244</v>
      </c>
      <c r="D11" s="34">
        <f>v_out</f>
        <v>25</v>
      </c>
      <c r="E11" s="60">
        <f t="shared" ref="E11:E46" si="0">I_ref*(0.75*D11+5.6)</f>
        <v>3.4090000000000007</v>
      </c>
      <c r="F11" s="60">
        <f t="shared" ref="F11:F46" si="1">tur_scale</f>
        <v>42</v>
      </c>
      <c r="G11" s="63">
        <f t="shared" ref="G11:G46" si="2">1/(1+0.2*(diameter/F11))</f>
        <v>0.58988764044943809</v>
      </c>
      <c r="H11" s="51">
        <f>6.4*E11*G11</f>
        <v>12.869932584269664</v>
      </c>
      <c r="I11" s="42" t="s">
        <v>16</v>
      </c>
      <c r="J11" s="50">
        <f>EOG_t1</f>
        <v>10.5</v>
      </c>
      <c r="K11" s="49">
        <f>trig_t</f>
        <v>160</v>
      </c>
      <c r="L11" s="35">
        <f t="shared" ref="L11:L46" si="3">inflow</f>
        <v>8</v>
      </c>
      <c r="M11" s="35">
        <f>yaw_min</f>
        <v>-8</v>
      </c>
      <c r="N11" s="36">
        <f>alpha_n</f>
        <v>0.2</v>
      </c>
      <c r="O11" s="49">
        <v>0</v>
      </c>
      <c r="P11" s="35">
        <f>t_out</f>
        <v>150</v>
      </c>
      <c r="Q11" s="50">
        <f>P11+T_s2</f>
        <v>210</v>
      </c>
    </row>
    <row r="12" spans="1:17" x14ac:dyDescent="0.25">
      <c r="A12" s="41" t="e">
        <f>A11+1</f>
        <v>#REF!</v>
      </c>
      <c r="B12" s="42">
        <f>B11+1</f>
        <v>2</v>
      </c>
      <c r="C12" s="41" t="s">
        <v>2245</v>
      </c>
      <c r="D12" s="43">
        <f>D11</f>
        <v>25</v>
      </c>
      <c r="E12" s="61">
        <f t="shared" si="0"/>
        <v>3.4090000000000007</v>
      </c>
      <c r="F12" s="61">
        <f t="shared" si="1"/>
        <v>42</v>
      </c>
      <c r="G12" s="64">
        <f t="shared" si="2"/>
        <v>0.58988764044943809</v>
      </c>
      <c r="H12" s="51">
        <f>6.4*E12*G12</f>
        <v>12.869932584269664</v>
      </c>
      <c r="I12" s="42" t="str">
        <f t="shared" ref="I12:N27" si="4">I11</f>
        <v>IEC</v>
      </c>
      <c r="J12" s="50">
        <f t="shared" si="4"/>
        <v>10.5</v>
      </c>
      <c r="K12" s="49">
        <f t="shared" si="4"/>
        <v>160</v>
      </c>
      <c r="L12" s="44">
        <f t="shared" si="3"/>
        <v>8</v>
      </c>
      <c r="M12" s="44">
        <f>yaw_min</f>
        <v>-8</v>
      </c>
      <c r="N12" s="45">
        <f t="shared" si="4"/>
        <v>0.2</v>
      </c>
      <c r="O12" s="49">
        <v>30</v>
      </c>
      <c r="P12" s="44">
        <f>P11</f>
        <v>150</v>
      </c>
      <c r="Q12" s="50">
        <f>Q11</f>
        <v>210</v>
      </c>
    </row>
    <row r="13" spans="1:17" x14ac:dyDescent="0.25">
      <c r="A13" s="41" t="e">
        <f t="shared" ref="A13:B28" si="5">A12+1</f>
        <v>#REF!</v>
      </c>
      <c r="B13" s="42">
        <f t="shared" si="5"/>
        <v>3</v>
      </c>
      <c r="C13" s="41" t="s">
        <v>2246</v>
      </c>
      <c r="D13" s="43">
        <f t="shared" ref="D13:D22" si="6">D12</f>
        <v>25</v>
      </c>
      <c r="E13" s="61">
        <f t="shared" si="0"/>
        <v>3.4090000000000007</v>
      </c>
      <c r="F13" s="61">
        <f t="shared" si="1"/>
        <v>42</v>
      </c>
      <c r="G13" s="64">
        <f t="shared" si="2"/>
        <v>0.58988764044943809</v>
      </c>
      <c r="H13" s="51">
        <f t="shared" ref="H13:H46" si="7">6.4*E13*G13</f>
        <v>12.869932584269664</v>
      </c>
      <c r="I13" s="42" t="str">
        <f t="shared" si="4"/>
        <v>IEC</v>
      </c>
      <c r="J13" s="50">
        <f t="shared" si="4"/>
        <v>10.5</v>
      </c>
      <c r="K13" s="49">
        <f t="shared" si="4"/>
        <v>160</v>
      </c>
      <c r="L13" s="44">
        <f t="shared" si="3"/>
        <v>8</v>
      </c>
      <c r="M13" s="44">
        <f>yaw_min</f>
        <v>-8</v>
      </c>
      <c r="N13" s="45">
        <f t="shared" si="4"/>
        <v>0.2</v>
      </c>
      <c r="O13" s="49">
        <v>60</v>
      </c>
      <c r="P13" s="44">
        <f t="shared" ref="P13:Q28" si="8">P12</f>
        <v>150</v>
      </c>
      <c r="Q13" s="50">
        <f t="shared" si="8"/>
        <v>210</v>
      </c>
    </row>
    <row r="14" spans="1:17" x14ac:dyDescent="0.25">
      <c r="A14" s="41" t="e">
        <f t="shared" si="5"/>
        <v>#REF!</v>
      </c>
      <c r="B14" s="42">
        <f t="shared" si="5"/>
        <v>4</v>
      </c>
      <c r="C14" s="127" t="s">
        <v>2247</v>
      </c>
      <c r="D14" s="43">
        <f t="shared" si="6"/>
        <v>25</v>
      </c>
      <c r="E14" s="61">
        <f t="shared" si="0"/>
        <v>3.4090000000000007</v>
      </c>
      <c r="F14" s="61">
        <f t="shared" si="1"/>
        <v>42</v>
      </c>
      <c r="G14" s="64">
        <f t="shared" si="2"/>
        <v>0.58988764044943809</v>
      </c>
      <c r="H14" s="51">
        <f t="shared" si="7"/>
        <v>12.869932584269664</v>
      </c>
      <c r="I14" s="42" t="str">
        <f t="shared" si="4"/>
        <v>IEC</v>
      </c>
      <c r="J14" s="50">
        <f t="shared" si="4"/>
        <v>10.5</v>
      </c>
      <c r="K14" s="49">
        <f t="shared" si="4"/>
        <v>160</v>
      </c>
      <c r="L14" s="44">
        <f t="shared" si="3"/>
        <v>8</v>
      </c>
      <c r="M14" s="44">
        <f>yaw_min</f>
        <v>-8</v>
      </c>
      <c r="N14" s="45">
        <f t="shared" si="4"/>
        <v>0.2</v>
      </c>
      <c r="O14" s="49">
        <v>90</v>
      </c>
      <c r="P14" s="44">
        <f t="shared" si="8"/>
        <v>150</v>
      </c>
      <c r="Q14" s="50">
        <f t="shared" si="8"/>
        <v>210</v>
      </c>
    </row>
    <row r="15" spans="1:17" x14ac:dyDescent="0.25">
      <c r="A15" s="41" t="e">
        <f t="shared" si="5"/>
        <v>#REF!</v>
      </c>
      <c r="B15" s="42">
        <f t="shared" si="5"/>
        <v>5</v>
      </c>
      <c r="C15" s="41" t="s">
        <v>2248</v>
      </c>
      <c r="D15" s="43">
        <f t="shared" si="6"/>
        <v>25</v>
      </c>
      <c r="E15" s="61">
        <f t="shared" si="0"/>
        <v>3.4090000000000007</v>
      </c>
      <c r="F15" s="61">
        <f t="shared" si="1"/>
        <v>42</v>
      </c>
      <c r="G15" s="64">
        <f t="shared" si="2"/>
        <v>0.58988764044943809</v>
      </c>
      <c r="H15" s="51">
        <f t="shared" si="7"/>
        <v>12.869932584269664</v>
      </c>
      <c r="I15" s="42" t="str">
        <f t="shared" si="4"/>
        <v>IEC</v>
      </c>
      <c r="J15" s="50">
        <f t="shared" si="4"/>
        <v>10.5</v>
      </c>
      <c r="K15" s="49">
        <f t="shared" si="4"/>
        <v>160</v>
      </c>
      <c r="L15" s="44">
        <f t="shared" si="3"/>
        <v>8</v>
      </c>
      <c r="M15" s="44">
        <f>yaw_null</f>
        <v>0</v>
      </c>
      <c r="N15" s="45">
        <f t="shared" si="4"/>
        <v>0.2</v>
      </c>
      <c r="O15" s="49">
        <v>0</v>
      </c>
      <c r="P15" s="44">
        <f t="shared" si="8"/>
        <v>150</v>
      </c>
      <c r="Q15" s="50">
        <f t="shared" si="8"/>
        <v>210</v>
      </c>
    </row>
    <row r="16" spans="1:17" x14ac:dyDescent="0.25">
      <c r="A16" s="41" t="e">
        <f t="shared" si="5"/>
        <v>#REF!</v>
      </c>
      <c r="B16" s="42">
        <f t="shared" si="5"/>
        <v>6</v>
      </c>
      <c r="C16" s="41" t="s">
        <v>2249</v>
      </c>
      <c r="D16" s="43">
        <f t="shared" si="6"/>
        <v>25</v>
      </c>
      <c r="E16" s="61">
        <f t="shared" si="0"/>
        <v>3.4090000000000007</v>
      </c>
      <c r="F16" s="61">
        <f t="shared" si="1"/>
        <v>42</v>
      </c>
      <c r="G16" s="64">
        <f t="shared" si="2"/>
        <v>0.58988764044943809</v>
      </c>
      <c r="H16" s="51">
        <f t="shared" si="7"/>
        <v>12.869932584269664</v>
      </c>
      <c r="I16" s="42" t="str">
        <f t="shared" si="4"/>
        <v>IEC</v>
      </c>
      <c r="J16" s="50">
        <f t="shared" si="4"/>
        <v>10.5</v>
      </c>
      <c r="K16" s="49">
        <f t="shared" si="4"/>
        <v>160</v>
      </c>
      <c r="L16" s="44">
        <f t="shared" si="3"/>
        <v>8</v>
      </c>
      <c r="M16" s="44">
        <f>yaw_null</f>
        <v>0</v>
      </c>
      <c r="N16" s="45">
        <f t="shared" si="4"/>
        <v>0.2</v>
      </c>
      <c r="O16" s="49">
        <v>30</v>
      </c>
      <c r="P16" s="44">
        <f t="shared" si="8"/>
        <v>150</v>
      </c>
      <c r="Q16" s="50">
        <f t="shared" si="8"/>
        <v>210</v>
      </c>
    </row>
    <row r="17" spans="1:17" x14ac:dyDescent="0.25">
      <c r="A17" s="41" t="e">
        <f t="shared" si="5"/>
        <v>#REF!</v>
      </c>
      <c r="B17" s="42">
        <f t="shared" si="5"/>
        <v>7</v>
      </c>
      <c r="C17" s="41" t="s">
        <v>2250</v>
      </c>
      <c r="D17" s="43">
        <f t="shared" si="6"/>
        <v>25</v>
      </c>
      <c r="E17" s="61">
        <f t="shared" si="0"/>
        <v>3.4090000000000007</v>
      </c>
      <c r="F17" s="61">
        <f t="shared" si="1"/>
        <v>42</v>
      </c>
      <c r="G17" s="64">
        <f t="shared" si="2"/>
        <v>0.58988764044943809</v>
      </c>
      <c r="H17" s="51">
        <f t="shared" si="7"/>
        <v>12.869932584269664</v>
      </c>
      <c r="I17" s="42" t="str">
        <f t="shared" si="4"/>
        <v>IEC</v>
      </c>
      <c r="J17" s="50">
        <f t="shared" si="4"/>
        <v>10.5</v>
      </c>
      <c r="K17" s="49">
        <f t="shared" si="4"/>
        <v>160</v>
      </c>
      <c r="L17" s="44">
        <f t="shared" si="3"/>
        <v>8</v>
      </c>
      <c r="M17" s="44">
        <f>yaw_null</f>
        <v>0</v>
      </c>
      <c r="N17" s="45">
        <f t="shared" si="4"/>
        <v>0.2</v>
      </c>
      <c r="O17" s="49">
        <v>60</v>
      </c>
      <c r="P17" s="44">
        <f t="shared" si="8"/>
        <v>150</v>
      </c>
      <c r="Q17" s="50">
        <f t="shared" si="8"/>
        <v>210</v>
      </c>
    </row>
    <row r="18" spans="1:17" x14ac:dyDescent="0.25">
      <c r="A18" s="41" t="e">
        <f t="shared" si="5"/>
        <v>#REF!</v>
      </c>
      <c r="B18" s="42">
        <f t="shared" si="5"/>
        <v>8</v>
      </c>
      <c r="C18" s="41" t="s">
        <v>2251</v>
      </c>
      <c r="D18" s="43">
        <f t="shared" si="6"/>
        <v>25</v>
      </c>
      <c r="E18" s="61">
        <f t="shared" si="0"/>
        <v>3.4090000000000007</v>
      </c>
      <c r="F18" s="61">
        <f t="shared" si="1"/>
        <v>42</v>
      </c>
      <c r="G18" s="64">
        <f t="shared" si="2"/>
        <v>0.58988764044943809</v>
      </c>
      <c r="H18" s="51">
        <f t="shared" si="7"/>
        <v>12.869932584269664</v>
      </c>
      <c r="I18" s="42" t="str">
        <f t="shared" si="4"/>
        <v>IEC</v>
      </c>
      <c r="J18" s="50">
        <f t="shared" si="4"/>
        <v>10.5</v>
      </c>
      <c r="K18" s="49">
        <f t="shared" si="4"/>
        <v>160</v>
      </c>
      <c r="L18" s="44">
        <f t="shared" si="3"/>
        <v>8</v>
      </c>
      <c r="M18" s="44">
        <f>yaw_null</f>
        <v>0</v>
      </c>
      <c r="N18" s="45">
        <f t="shared" si="4"/>
        <v>0.2</v>
      </c>
      <c r="O18" s="49">
        <v>90</v>
      </c>
      <c r="P18" s="44">
        <f t="shared" si="8"/>
        <v>150</v>
      </c>
      <c r="Q18" s="50">
        <f t="shared" si="8"/>
        <v>210</v>
      </c>
    </row>
    <row r="19" spans="1:17" x14ac:dyDescent="0.25">
      <c r="A19" s="41" t="e">
        <f t="shared" si="5"/>
        <v>#REF!</v>
      </c>
      <c r="B19" s="42">
        <f t="shared" si="5"/>
        <v>9</v>
      </c>
      <c r="C19" s="41" t="s">
        <v>2252</v>
      </c>
      <c r="D19" s="43">
        <f t="shared" si="6"/>
        <v>25</v>
      </c>
      <c r="E19" s="61">
        <f t="shared" si="0"/>
        <v>3.4090000000000007</v>
      </c>
      <c r="F19" s="61">
        <f t="shared" si="1"/>
        <v>42</v>
      </c>
      <c r="G19" s="64">
        <f t="shared" si="2"/>
        <v>0.58988764044943809</v>
      </c>
      <c r="H19" s="51">
        <f t="shared" si="7"/>
        <v>12.869932584269664</v>
      </c>
      <c r="I19" s="42" t="str">
        <f t="shared" si="4"/>
        <v>IEC</v>
      </c>
      <c r="J19" s="50">
        <f t="shared" si="4"/>
        <v>10.5</v>
      </c>
      <c r="K19" s="49">
        <f t="shared" si="4"/>
        <v>160</v>
      </c>
      <c r="L19" s="44">
        <f t="shared" si="3"/>
        <v>8</v>
      </c>
      <c r="M19" s="44">
        <f>yaw_max</f>
        <v>8</v>
      </c>
      <c r="N19" s="45">
        <f t="shared" si="4"/>
        <v>0.2</v>
      </c>
      <c r="O19" s="49">
        <v>0</v>
      </c>
      <c r="P19" s="44">
        <f t="shared" si="8"/>
        <v>150</v>
      </c>
      <c r="Q19" s="50">
        <f t="shared" si="8"/>
        <v>210</v>
      </c>
    </row>
    <row r="20" spans="1:17" x14ac:dyDescent="0.25">
      <c r="A20" s="41" t="e">
        <f t="shared" si="5"/>
        <v>#REF!</v>
      </c>
      <c r="B20" s="42">
        <f t="shared" si="5"/>
        <v>10</v>
      </c>
      <c r="C20" s="41" t="s">
        <v>2253</v>
      </c>
      <c r="D20" s="43">
        <f t="shared" si="6"/>
        <v>25</v>
      </c>
      <c r="E20" s="61">
        <f t="shared" si="0"/>
        <v>3.4090000000000007</v>
      </c>
      <c r="F20" s="61">
        <f t="shared" si="1"/>
        <v>42</v>
      </c>
      <c r="G20" s="64">
        <f t="shared" si="2"/>
        <v>0.58988764044943809</v>
      </c>
      <c r="H20" s="51">
        <f t="shared" si="7"/>
        <v>12.869932584269664</v>
      </c>
      <c r="I20" s="42" t="str">
        <f t="shared" si="4"/>
        <v>IEC</v>
      </c>
      <c r="J20" s="50">
        <f t="shared" si="4"/>
        <v>10.5</v>
      </c>
      <c r="K20" s="49">
        <f t="shared" si="4"/>
        <v>160</v>
      </c>
      <c r="L20" s="44">
        <f t="shared" si="3"/>
        <v>8</v>
      </c>
      <c r="M20" s="44">
        <f>yaw_max</f>
        <v>8</v>
      </c>
      <c r="N20" s="45">
        <f t="shared" si="4"/>
        <v>0.2</v>
      </c>
      <c r="O20" s="49">
        <v>30</v>
      </c>
      <c r="P20" s="44">
        <f t="shared" si="8"/>
        <v>150</v>
      </c>
      <c r="Q20" s="50">
        <f t="shared" si="8"/>
        <v>210</v>
      </c>
    </row>
    <row r="21" spans="1:17" x14ac:dyDescent="0.25">
      <c r="A21" s="41" t="e">
        <f t="shared" si="5"/>
        <v>#REF!</v>
      </c>
      <c r="B21" s="42">
        <f t="shared" si="5"/>
        <v>11</v>
      </c>
      <c r="C21" s="41" t="s">
        <v>2254</v>
      </c>
      <c r="D21" s="43">
        <f t="shared" si="6"/>
        <v>25</v>
      </c>
      <c r="E21" s="61">
        <f t="shared" si="0"/>
        <v>3.4090000000000007</v>
      </c>
      <c r="F21" s="61">
        <f t="shared" si="1"/>
        <v>42</v>
      </c>
      <c r="G21" s="64">
        <f t="shared" si="2"/>
        <v>0.58988764044943809</v>
      </c>
      <c r="H21" s="51">
        <f t="shared" si="7"/>
        <v>12.869932584269664</v>
      </c>
      <c r="I21" s="42" t="str">
        <f t="shared" si="4"/>
        <v>IEC</v>
      </c>
      <c r="J21" s="50">
        <f t="shared" si="4"/>
        <v>10.5</v>
      </c>
      <c r="K21" s="49">
        <f t="shared" si="4"/>
        <v>160</v>
      </c>
      <c r="L21" s="44">
        <f t="shared" si="3"/>
        <v>8</v>
      </c>
      <c r="M21" s="44">
        <f>yaw_max</f>
        <v>8</v>
      </c>
      <c r="N21" s="45">
        <f t="shared" si="4"/>
        <v>0.2</v>
      </c>
      <c r="O21" s="49">
        <v>60</v>
      </c>
      <c r="P21" s="44">
        <f t="shared" si="8"/>
        <v>150</v>
      </c>
      <c r="Q21" s="50">
        <f t="shared" si="8"/>
        <v>210</v>
      </c>
    </row>
    <row r="22" spans="1:17" x14ac:dyDescent="0.25">
      <c r="A22" s="41" t="e">
        <f t="shared" si="5"/>
        <v>#REF!</v>
      </c>
      <c r="B22" s="42">
        <f t="shared" si="5"/>
        <v>12</v>
      </c>
      <c r="C22" s="127" t="s">
        <v>2255</v>
      </c>
      <c r="D22" s="43">
        <f t="shared" si="6"/>
        <v>25</v>
      </c>
      <c r="E22" s="61">
        <f t="shared" si="0"/>
        <v>3.4090000000000007</v>
      </c>
      <c r="F22" s="61">
        <f t="shared" si="1"/>
        <v>42</v>
      </c>
      <c r="G22" s="64">
        <f t="shared" si="2"/>
        <v>0.58988764044943809</v>
      </c>
      <c r="H22" s="51">
        <f t="shared" si="7"/>
        <v>12.869932584269664</v>
      </c>
      <c r="I22" s="42" t="str">
        <f t="shared" si="4"/>
        <v>IEC</v>
      </c>
      <c r="J22" s="50">
        <f t="shared" si="4"/>
        <v>10.5</v>
      </c>
      <c r="K22" s="49">
        <f t="shared" si="4"/>
        <v>160</v>
      </c>
      <c r="L22" s="44">
        <f t="shared" si="3"/>
        <v>8</v>
      </c>
      <c r="M22" s="128">
        <f>yaw_max</f>
        <v>8</v>
      </c>
      <c r="N22" s="45">
        <f t="shared" si="4"/>
        <v>0.2</v>
      </c>
      <c r="O22" s="49">
        <v>90</v>
      </c>
      <c r="P22" s="44">
        <f t="shared" si="8"/>
        <v>150</v>
      </c>
      <c r="Q22" s="50">
        <f t="shared" si="8"/>
        <v>210</v>
      </c>
    </row>
    <row r="23" spans="1:17" x14ac:dyDescent="0.25">
      <c r="A23" s="41" t="e">
        <f t="shared" si="5"/>
        <v>#REF!</v>
      </c>
      <c r="B23" s="42">
        <f t="shared" si="5"/>
        <v>13</v>
      </c>
      <c r="C23" s="41" t="s">
        <v>2256</v>
      </c>
      <c r="D23" s="43">
        <f t="shared" ref="D23:D34" si="9">0.6*v_tref</f>
        <v>34.199999999999996</v>
      </c>
      <c r="E23" s="61">
        <f t="shared" si="0"/>
        <v>4.375</v>
      </c>
      <c r="F23" s="61">
        <f t="shared" si="1"/>
        <v>42</v>
      </c>
      <c r="G23" s="64">
        <f t="shared" si="2"/>
        <v>0.58988764044943809</v>
      </c>
      <c r="H23" s="51">
        <f t="shared" si="7"/>
        <v>16.516853932584265</v>
      </c>
      <c r="I23" s="42" t="str">
        <f t="shared" si="4"/>
        <v>IEC</v>
      </c>
      <c r="J23" s="50">
        <f t="shared" si="4"/>
        <v>10.5</v>
      </c>
      <c r="K23" s="49">
        <f t="shared" si="4"/>
        <v>160</v>
      </c>
      <c r="L23" s="44">
        <f t="shared" si="3"/>
        <v>8</v>
      </c>
      <c r="M23" s="44">
        <f>yaw_min</f>
        <v>-8</v>
      </c>
      <c r="N23" s="45">
        <f t="shared" si="4"/>
        <v>0.2</v>
      </c>
      <c r="O23" s="49">
        <v>0</v>
      </c>
      <c r="P23" s="44">
        <f t="shared" si="8"/>
        <v>150</v>
      </c>
      <c r="Q23" s="50">
        <f t="shared" si="8"/>
        <v>210</v>
      </c>
    </row>
    <row r="24" spans="1:17" x14ac:dyDescent="0.25">
      <c r="A24" s="41" t="e">
        <f t="shared" si="5"/>
        <v>#REF!</v>
      </c>
      <c r="B24" s="42">
        <f t="shared" si="5"/>
        <v>14</v>
      </c>
      <c r="C24" s="41" t="s">
        <v>2257</v>
      </c>
      <c r="D24" s="43">
        <f t="shared" si="9"/>
        <v>34.199999999999996</v>
      </c>
      <c r="E24" s="61">
        <f t="shared" si="0"/>
        <v>4.375</v>
      </c>
      <c r="F24" s="61">
        <f t="shared" si="1"/>
        <v>42</v>
      </c>
      <c r="G24" s="64">
        <f t="shared" si="2"/>
        <v>0.58988764044943809</v>
      </c>
      <c r="H24" s="51">
        <f t="shared" si="7"/>
        <v>16.516853932584265</v>
      </c>
      <c r="I24" s="42" t="str">
        <f t="shared" si="4"/>
        <v>IEC</v>
      </c>
      <c r="J24" s="50">
        <f t="shared" si="4"/>
        <v>10.5</v>
      </c>
      <c r="K24" s="49">
        <f t="shared" si="4"/>
        <v>160</v>
      </c>
      <c r="L24" s="44">
        <f t="shared" si="3"/>
        <v>8</v>
      </c>
      <c r="M24" s="44">
        <f>yaw_min</f>
        <v>-8</v>
      </c>
      <c r="N24" s="45">
        <f t="shared" ref="N24" si="10">N23</f>
        <v>0.2</v>
      </c>
      <c r="O24" s="49">
        <v>30</v>
      </c>
      <c r="P24" s="44">
        <f t="shared" si="8"/>
        <v>150</v>
      </c>
      <c r="Q24" s="50">
        <f t="shared" si="8"/>
        <v>210</v>
      </c>
    </row>
    <row r="25" spans="1:17" x14ac:dyDescent="0.25">
      <c r="A25" s="41" t="e">
        <f t="shared" si="5"/>
        <v>#REF!</v>
      </c>
      <c r="B25" s="42">
        <f>B24+1</f>
        <v>15</v>
      </c>
      <c r="C25" s="41" t="s">
        <v>2258</v>
      </c>
      <c r="D25" s="43">
        <f t="shared" si="9"/>
        <v>34.199999999999996</v>
      </c>
      <c r="E25" s="61">
        <f t="shared" si="0"/>
        <v>4.375</v>
      </c>
      <c r="F25" s="61">
        <f t="shared" si="1"/>
        <v>42</v>
      </c>
      <c r="G25" s="64">
        <f t="shared" si="2"/>
        <v>0.58988764044943809</v>
      </c>
      <c r="H25" s="51">
        <f t="shared" si="7"/>
        <v>16.516853932584265</v>
      </c>
      <c r="I25" s="42" t="str">
        <f>I24</f>
        <v>IEC</v>
      </c>
      <c r="J25" s="50">
        <f t="shared" si="4"/>
        <v>10.5</v>
      </c>
      <c r="K25" s="49">
        <f t="shared" si="4"/>
        <v>160</v>
      </c>
      <c r="L25" s="44">
        <f t="shared" si="3"/>
        <v>8</v>
      </c>
      <c r="M25" s="44">
        <f>yaw_min</f>
        <v>-8</v>
      </c>
      <c r="N25" s="45">
        <f t="shared" ref="N25" si="11">N24</f>
        <v>0.2</v>
      </c>
      <c r="O25" s="49">
        <v>60</v>
      </c>
      <c r="P25" s="44">
        <f t="shared" si="8"/>
        <v>150</v>
      </c>
      <c r="Q25" s="50">
        <f>Q24</f>
        <v>210</v>
      </c>
    </row>
    <row r="26" spans="1:17" x14ac:dyDescent="0.25">
      <c r="A26" s="41" t="e">
        <f t="shared" si="5"/>
        <v>#REF!</v>
      </c>
      <c r="B26" s="42">
        <f>B25+1</f>
        <v>16</v>
      </c>
      <c r="C26" s="127" t="s">
        <v>2259</v>
      </c>
      <c r="D26" s="43">
        <f t="shared" si="9"/>
        <v>34.199999999999996</v>
      </c>
      <c r="E26" s="61">
        <f t="shared" si="0"/>
        <v>4.375</v>
      </c>
      <c r="F26" s="61">
        <f t="shared" si="1"/>
        <v>42</v>
      </c>
      <c r="G26" s="64">
        <f t="shared" si="2"/>
        <v>0.58988764044943809</v>
      </c>
      <c r="H26" s="51">
        <f t="shared" si="7"/>
        <v>16.516853932584265</v>
      </c>
      <c r="I26" s="42" t="str">
        <f>I25</f>
        <v>IEC</v>
      </c>
      <c r="J26" s="50">
        <f t="shared" si="4"/>
        <v>10.5</v>
      </c>
      <c r="K26" s="49">
        <f t="shared" si="4"/>
        <v>160</v>
      </c>
      <c r="L26" s="44">
        <f t="shared" si="3"/>
        <v>8</v>
      </c>
      <c r="M26" s="44">
        <f>yaw_min</f>
        <v>-8</v>
      </c>
      <c r="N26" s="45">
        <f t="shared" ref="N26" si="12">N25</f>
        <v>0.2</v>
      </c>
      <c r="O26" s="49">
        <v>90</v>
      </c>
      <c r="P26" s="44">
        <f t="shared" si="8"/>
        <v>150</v>
      </c>
      <c r="Q26" s="50">
        <f>Q25</f>
        <v>210</v>
      </c>
    </row>
    <row r="27" spans="1:17" x14ac:dyDescent="0.25">
      <c r="A27" s="41" t="e">
        <f t="shared" si="5"/>
        <v>#REF!</v>
      </c>
      <c r="B27" s="42">
        <f>B26+1</f>
        <v>17</v>
      </c>
      <c r="C27" s="41" t="s">
        <v>2260</v>
      </c>
      <c r="D27" s="43">
        <f t="shared" si="9"/>
        <v>34.199999999999996</v>
      </c>
      <c r="E27" s="61">
        <f t="shared" si="0"/>
        <v>4.375</v>
      </c>
      <c r="F27" s="61">
        <f t="shared" si="1"/>
        <v>42</v>
      </c>
      <c r="G27" s="64">
        <f t="shared" si="2"/>
        <v>0.58988764044943809</v>
      </c>
      <c r="H27" s="51">
        <f t="shared" si="7"/>
        <v>16.516853932584265</v>
      </c>
      <c r="I27" s="42" t="str">
        <f>I26</f>
        <v>IEC</v>
      </c>
      <c r="J27" s="50">
        <f t="shared" si="4"/>
        <v>10.5</v>
      </c>
      <c r="K27" s="49">
        <f t="shared" si="4"/>
        <v>160</v>
      </c>
      <c r="L27" s="44">
        <f t="shared" si="3"/>
        <v>8</v>
      </c>
      <c r="M27" s="44">
        <f>yaw_null</f>
        <v>0</v>
      </c>
      <c r="N27" s="45">
        <f t="shared" ref="N27" si="13">N26</f>
        <v>0.2</v>
      </c>
      <c r="O27" s="49">
        <v>0</v>
      </c>
      <c r="P27" s="44">
        <f t="shared" si="8"/>
        <v>150</v>
      </c>
      <c r="Q27" s="50">
        <f>Q26</f>
        <v>210</v>
      </c>
    </row>
    <row r="28" spans="1:17" x14ac:dyDescent="0.25">
      <c r="A28" s="41" t="e">
        <f t="shared" si="5"/>
        <v>#REF!</v>
      </c>
      <c r="B28" s="42">
        <f>B27+1</f>
        <v>18</v>
      </c>
      <c r="C28" s="41" t="s">
        <v>2261</v>
      </c>
      <c r="D28" s="43">
        <f t="shared" si="9"/>
        <v>34.199999999999996</v>
      </c>
      <c r="E28" s="61">
        <f t="shared" si="0"/>
        <v>4.375</v>
      </c>
      <c r="F28" s="61">
        <f t="shared" si="1"/>
        <v>42</v>
      </c>
      <c r="G28" s="64">
        <f t="shared" si="2"/>
        <v>0.58988764044943809</v>
      </c>
      <c r="H28" s="51">
        <f t="shared" si="7"/>
        <v>16.516853932584265</v>
      </c>
      <c r="I28" s="42" t="str">
        <f>I27</f>
        <v>IEC</v>
      </c>
      <c r="J28" s="50">
        <f t="shared" ref="J28:K43" si="14">J27</f>
        <v>10.5</v>
      </c>
      <c r="K28" s="49">
        <f t="shared" si="14"/>
        <v>160</v>
      </c>
      <c r="L28" s="44">
        <f t="shared" si="3"/>
        <v>8</v>
      </c>
      <c r="M28" s="44">
        <f>yaw_null</f>
        <v>0</v>
      </c>
      <c r="N28" s="45">
        <f t="shared" ref="N28" si="15">N27</f>
        <v>0.2</v>
      </c>
      <c r="O28" s="49">
        <v>30</v>
      </c>
      <c r="P28" s="44">
        <f t="shared" si="8"/>
        <v>150</v>
      </c>
      <c r="Q28" s="50">
        <f>Q27</f>
        <v>210</v>
      </c>
    </row>
    <row r="29" spans="1:17" x14ac:dyDescent="0.25">
      <c r="A29" s="41" t="e">
        <f t="shared" ref="A29:B44" si="16">A28+1</f>
        <v>#REF!</v>
      </c>
      <c r="B29" s="42">
        <f t="shared" si="16"/>
        <v>19</v>
      </c>
      <c r="C29" s="41" t="s">
        <v>2262</v>
      </c>
      <c r="D29" s="43">
        <f t="shared" si="9"/>
        <v>34.199999999999996</v>
      </c>
      <c r="E29" s="61">
        <f t="shared" si="0"/>
        <v>4.375</v>
      </c>
      <c r="F29" s="61">
        <f t="shared" si="1"/>
        <v>42</v>
      </c>
      <c r="G29" s="64">
        <f t="shared" si="2"/>
        <v>0.58988764044943809</v>
      </c>
      <c r="H29" s="51">
        <f t="shared" si="7"/>
        <v>16.516853932584265</v>
      </c>
      <c r="I29" s="42" t="str">
        <f t="shared" ref="I29:I43" si="17">I28</f>
        <v>IEC</v>
      </c>
      <c r="J29" s="50">
        <f t="shared" si="14"/>
        <v>10.5</v>
      </c>
      <c r="K29" s="49">
        <f t="shared" si="14"/>
        <v>160</v>
      </c>
      <c r="L29" s="44">
        <f t="shared" si="3"/>
        <v>8</v>
      </c>
      <c r="M29" s="44">
        <f>yaw_null</f>
        <v>0</v>
      </c>
      <c r="N29" s="45">
        <f t="shared" ref="N29" si="18">N28</f>
        <v>0.2</v>
      </c>
      <c r="O29" s="49">
        <v>60</v>
      </c>
      <c r="P29" s="44">
        <f t="shared" ref="P29:Q44" si="19">P28</f>
        <v>150</v>
      </c>
      <c r="Q29" s="50">
        <f t="shared" si="19"/>
        <v>210</v>
      </c>
    </row>
    <row r="30" spans="1:17" x14ac:dyDescent="0.25">
      <c r="A30" s="41" t="e">
        <f t="shared" si="16"/>
        <v>#REF!</v>
      </c>
      <c r="B30" s="42">
        <f t="shared" si="16"/>
        <v>20</v>
      </c>
      <c r="C30" s="41" t="s">
        <v>2263</v>
      </c>
      <c r="D30" s="43">
        <f t="shared" si="9"/>
        <v>34.199999999999996</v>
      </c>
      <c r="E30" s="61">
        <f t="shared" si="0"/>
        <v>4.375</v>
      </c>
      <c r="F30" s="61">
        <f t="shared" si="1"/>
        <v>42</v>
      </c>
      <c r="G30" s="64">
        <f t="shared" si="2"/>
        <v>0.58988764044943809</v>
      </c>
      <c r="H30" s="51">
        <f t="shared" si="7"/>
        <v>16.516853932584265</v>
      </c>
      <c r="I30" s="42" t="str">
        <f t="shared" si="17"/>
        <v>IEC</v>
      </c>
      <c r="J30" s="50">
        <f t="shared" si="14"/>
        <v>10.5</v>
      </c>
      <c r="K30" s="49">
        <f t="shared" si="14"/>
        <v>160</v>
      </c>
      <c r="L30" s="44">
        <f t="shared" si="3"/>
        <v>8</v>
      </c>
      <c r="M30" s="44">
        <f>yaw_null</f>
        <v>0</v>
      </c>
      <c r="N30" s="45">
        <f t="shared" ref="N30" si="20">N29</f>
        <v>0.2</v>
      </c>
      <c r="O30" s="49">
        <v>90</v>
      </c>
      <c r="P30" s="44">
        <f t="shared" si="19"/>
        <v>150</v>
      </c>
      <c r="Q30" s="50">
        <f t="shared" si="19"/>
        <v>210</v>
      </c>
    </row>
    <row r="31" spans="1:17" x14ac:dyDescent="0.25">
      <c r="A31" s="41" t="e">
        <f t="shared" si="16"/>
        <v>#REF!</v>
      </c>
      <c r="B31" s="42">
        <f t="shared" si="16"/>
        <v>21</v>
      </c>
      <c r="C31" s="41" t="s">
        <v>2264</v>
      </c>
      <c r="D31" s="43">
        <f t="shared" si="9"/>
        <v>34.199999999999996</v>
      </c>
      <c r="E31" s="61">
        <f t="shared" si="0"/>
        <v>4.375</v>
      </c>
      <c r="F31" s="61">
        <f t="shared" si="1"/>
        <v>42</v>
      </c>
      <c r="G31" s="64">
        <f t="shared" si="2"/>
        <v>0.58988764044943809</v>
      </c>
      <c r="H31" s="51">
        <f t="shared" si="7"/>
        <v>16.516853932584265</v>
      </c>
      <c r="I31" s="42" t="str">
        <f t="shared" si="17"/>
        <v>IEC</v>
      </c>
      <c r="J31" s="50">
        <f t="shared" si="14"/>
        <v>10.5</v>
      </c>
      <c r="K31" s="49">
        <f t="shared" si="14"/>
        <v>160</v>
      </c>
      <c r="L31" s="44">
        <f t="shared" si="3"/>
        <v>8</v>
      </c>
      <c r="M31" s="44">
        <f>yaw_max</f>
        <v>8</v>
      </c>
      <c r="N31" s="45">
        <f t="shared" ref="N31" si="21">N30</f>
        <v>0.2</v>
      </c>
      <c r="O31" s="49">
        <v>0</v>
      </c>
      <c r="P31" s="44">
        <f t="shared" si="19"/>
        <v>150</v>
      </c>
      <c r="Q31" s="50">
        <f t="shared" si="19"/>
        <v>210</v>
      </c>
    </row>
    <row r="32" spans="1:17" x14ac:dyDescent="0.25">
      <c r="A32" s="41" t="e">
        <f t="shared" si="16"/>
        <v>#REF!</v>
      </c>
      <c r="B32" s="42">
        <f t="shared" si="16"/>
        <v>22</v>
      </c>
      <c r="C32" s="41" t="s">
        <v>2265</v>
      </c>
      <c r="D32" s="43">
        <f t="shared" si="9"/>
        <v>34.199999999999996</v>
      </c>
      <c r="E32" s="61">
        <f t="shared" si="0"/>
        <v>4.375</v>
      </c>
      <c r="F32" s="61">
        <f t="shared" si="1"/>
        <v>42</v>
      </c>
      <c r="G32" s="64">
        <f t="shared" si="2"/>
        <v>0.58988764044943809</v>
      </c>
      <c r="H32" s="51">
        <f t="shared" si="7"/>
        <v>16.516853932584265</v>
      </c>
      <c r="I32" s="42" t="str">
        <f t="shared" si="17"/>
        <v>IEC</v>
      </c>
      <c r="J32" s="50">
        <f t="shared" si="14"/>
        <v>10.5</v>
      </c>
      <c r="K32" s="49">
        <f t="shared" si="14"/>
        <v>160</v>
      </c>
      <c r="L32" s="44">
        <f t="shared" si="3"/>
        <v>8</v>
      </c>
      <c r="M32" s="44">
        <f>yaw_max</f>
        <v>8</v>
      </c>
      <c r="N32" s="45">
        <f t="shared" ref="N32" si="22">N31</f>
        <v>0.2</v>
      </c>
      <c r="O32" s="49">
        <v>30</v>
      </c>
      <c r="P32" s="44">
        <f t="shared" si="19"/>
        <v>150</v>
      </c>
      <c r="Q32" s="50">
        <f t="shared" si="19"/>
        <v>210</v>
      </c>
    </row>
    <row r="33" spans="1:17" x14ac:dyDescent="0.25">
      <c r="A33" s="41" t="e">
        <f t="shared" si="16"/>
        <v>#REF!</v>
      </c>
      <c r="B33" s="42">
        <f t="shared" si="16"/>
        <v>23</v>
      </c>
      <c r="C33" s="41" t="s">
        <v>2266</v>
      </c>
      <c r="D33" s="43">
        <f t="shared" si="9"/>
        <v>34.199999999999996</v>
      </c>
      <c r="E33" s="61">
        <f t="shared" si="0"/>
        <v>4.375</v>
      </c>
      <c r="F33" s="61">
        <f t="shared" si="1"/>
        <v>42</v>
      </c>
      <c r="G33" s="64">
        <f t="shared" si="2"/>
        <v>0.58988764044943809</v>
      </c>
      <c r="H33" s="51">
        <f t="shared" si="7"/>
        <v>16.516853932584265</v>
      </c>
      <c r="I33" s="42" t="str">
        <f t="shared" si="17"/>
        <v>IEC</v>
      </c>
      <c r="J33" s="50">
        <f t="shared" si="14"/>
        <v>10.5</v>
      </c>
      <c r="K33" s="49">
        <f t="shared" si="14"/>
        <v>160</v>
      </c>
      <c r="L33" s="44">
        <f t="shared" si="3"/>
        <v>8</v>
      </c>
      <c r="M33" s="44">
        <f>yaw_max</f>
        <v>8</v>
      </c>
      <c r="N33" s="45">
        <f t="shared" ref="N33" si="23">N32</f>
        <v>0.2</v>
      </c>
      <c r="O33" s="49">
        <v>60</v>
      </c>
      <c r="P33" s="44">
        <f t="shared" si="19"/>
        <v>150</v>
      </c>
      <c r="Q33" s="50">
        <f t="shared" si="19"/>
        <v>210</v>
      </c>
    </row>
    <row r="34" spans="1:17" x14ac:dyDescent="0.25">
      <c r="A34" s="41" t="e">
        <f t="shared" si="16"/>
        <v>#REF!</v>
      </c>
      <c r="B34" s="42">
        <f t="shared" si="16"/>
        <v>24</v>
      </c>
      <c r="C34" s="41" t="s">
        <v>2267</v>
      </c>
      <c r="D34" s="43">
        <f t="shared" si="9"/>
        <v>34.199999999999996</v>
      </c>
      <c r="E34" s="61">
        <f t="shared" si="0"/>
        <v>4.375</v>
      </c>
      <c r="F34" s="61">
        <f t="shared" si="1"/>
        <v>42</v>
      </c>
      <c r="G34" s="64">
        <f t="shared" si="2"/>
        <v>0.58988764044943809</v>
      </c>
      <c r="H34" s="51">
        <f t="shared" si="7"/>
        <v>16.516853932584265</v>
      </c>
      <c r="I34" s="42" t="str">
        <f t="shared" si="17"/>
        <v>IEC</v>
      </c>
      <c r="J34" s="50">
        <f t="shared" si="14"/>
        <v>10.5</v>
      </c>
      <c r="K34" s="49">
        <f t="shared" si="14"/>
        <v>160</v>
      </c>
      <c r="L34" s="44">
        <f t="shared" si="3"/>
        <v>8</v>
      </c>
      <c r="M34" s="44">
        <f>yaw_max</f>
        <v>8</v>
      </c>
      <c r="N34" s="45">
        <f t="shared" ref="N34" si="24">N33</f>
        <v>0.2</v>
      </c>
      <c r="O34" s="49">
        <v>90</v>
      </c>
      <c r="P34" s="44">
        <f t="shared" si="19"/>
        <v>150</v>
      </c>
      <c r="Q34" s="50">
        <f t="shared" si="19"/>
        <v>210</v>
      </c>
    </row>
    <row r="35" spans="1:17" x14ac:dyDescent="0.25">
      <c r="A35" s="41" t="e">
        <f t="shared" si="16"/>
        <v>#REF!</v>
      </c>
      <c r="B35" s="42">
        <f t="shared" si="16"/>
        <v>25</v>
      </c>
      <c r="C35" s="41" t="s">
        <v>2268</v>
      </c>
      <c r="D35" s="43">
        <f t="shared" ref="D35:D46" si="25">0.7*v_tref</f>
        <v>39.9</v>
      </c>
      <c r="E35" s="61">
        <f t="shared" si="0"/>
        <v>4.9735000000000005</v>
      </c>
      <c r="F35" s="61">
        <f t="shared" si="1"/>
        <v>42</v>
      </c>
      <c r="G35" s="64">
        <f t="shared" si="2"/>
        <v>0.58988764044943809</v>
      </c>
      <c r="H35" s="51">
        <f t="shared" si="7"/>
        <v>18.776359550561796</v>
      </c>
      <c r="I35" s="42" t="str">
        <f t="shared" si="17"/>
        <v>IEC</v>
      </c>
      <c r="J35" s="50">
        <f t="shared" si="14"/>
        <v>10.5</v>
      </c>
      <c r="K35" s="49">
        <f t="shared" si="14"/>
        <v>160</v>
      </c>
      <c r="L35" s="44">
        <f t="shared" si="3"/>
        <v>8</v>
      </c>
      <c r="M35" s="44">
        <f>yaw_min</f>
        <v>-8</v>
      </c>
      <c r="N35" s="45">
        <f t="shared" ref="N35" si="26">N34</f>
        <v>0.2</v>
      </c>
      <c r="O35" s="49">
        <v>0</v>
      </c>
      <c r="P35" s="44">
        <f t="shared" si="19"/>
        <v>150</v>
      </c>
      <c r="Q35" s="50">
        <f t="shared" si="19"/>
        <v>210</v>
      </c>
    </row>
    <row r="36" spans="1:17" x14ac:dyDescent="0.25">
      <c r="A36" s="41" t="e">
        <f t="shared" si="16"/>
        <v>#REF!</v>
      </c>
      <c r="B36" s="42">
        <f t="shared" si="16"/>
        <v>26</v>
      </c>
      <c r="C36" s="41" t="s">
        <v>2269</v>
      </c>
      <c r="D36" s="43">
        <f t="shared" si="25"/>
        <v>39.9</v>
      </c>
      <c r="E36" s="61">
        <f t="shared" si="0"/>
        <v>4.9735000000000005</v>
      </c>
      <c r="F36" s="61">
        <f t="shared" si="1"/>
        <v>42</v>
      </c>
      <c r="G36" s="64">
        <f t="shared" si="2"/>
        <v>0.58988764044943809</v>
      </c>
      <c r="H36" s="51">
        <f t="shared" si="7"/>
        <v>18.776359550561796</v>
      </c>
      <c r="I36" s="42" t="str">
        <f t="shared" si="17"/>
        <v>IEC</v>
      </c>
      <c r="J36" s="50">
        <f t="shared" si="14"/>
        <v>10.5</v>
      </c>
      <c r="K36" s="49">
        <f t="shared" si="14"/>
        <v>160</v>
      </c>
      <c r="L36" s="44">
        <f t="shared" si="3"/>
        <v>8</v>
      </c>
      <c r="M36" s="44">
        <f>yaw_min</f>
        <v>-8</v>
      </c>
      <c r="N36" s="45">
        <f t="shared" ref="N36" si="27">N35</f>
        <v>0.2</v>
      </c>
      <c r="O36" s="49">
        <v>30</v>
      </c>
      <c r="P36" s="44">
        <f t="shared" si="19"/>
        <v>150</v>
      </c>
      <c r="Q36" s="50">
        <f t="shared" si="19"/>
        <v>210</v>
      </c>
    </row>
    <row r="37" spans="1:17" x14ac:dyDescent="0.25">
      <c r="A37" s="41" t="e">
        <f t="shared" si="16"/>
        <v>#REF!</v>
      </c>
      <c r="B37" s="42">
        <f t="shared" si="16"/>
        <v>27</v>
      </c>
      <c r="C37" s="41" t="s">
        <v>2270</v>
      </c>
      <c r="D37" s="43">
        <f t="shared" si="25"/>
        <v>39.9</v>
      </c>
      <c r="E37" s="61">
        <f t="shared" si="0"/>
        <v>4.9735000000000005</v>
      </c>
      <c r="F37" s="61">
        <f t="shared" si="1"/>
        <v>42</v>
      </c>
      <c r="G37" s="64">
        <f t="shared" si="2"/>
        <v>0.58988764044943809</v>
      </c>
      <c r="H37" s="51">
        <f t="shared" si="7"/>
        <v>18.776359550561796</v>
      </c>
      <c r="I37" s="42" t="str">
        <f t="shared" si="17"/>
        <v>IEC</v>
      </c>
      <c r="J37" s="50">
        <f t="shared" si="14"/>
        <v>10.5</v>
      </c>
      <c r="K37" s="49">
        <f t="shared" si="14"/>
        <v>160</v>
      </c>
      <c r="L37" s="44">
        <f t="shared" si="3"/>
        <v>8</v>
      </c>
      <c r="M37" s="44">
        <f>yaw_min</f>
        <v>-8</v>
      </c>
      <c r="N37" s="45">
        <f t="shared" ref="N37" si="28">N36</f>
        <v>0.2</v>
      </c>
      <c r="O37" s="49">
        <v>60</v>
      </c>
      <c r="P37" s="44">
        <f t="shared" si="19"/>
        <v>150</v>
      </c>
      <c r="Q37" s="50">
        <f t="shared" si="19"/>
        <v>210</v>
      </c>
    </row>
    <row r="38" spans="1:17" x14ac:dyDescent="0.25">
      <c r="A38" s="41" t="e">
        <f t="shared" si="16"/>
        <v>#REF!</v>
      </c>
      <c r="B38" s="42">
        <f t="shared" si="16"/>
        <v>28</v>
      </c>
      <c r="C38" s="127" t="s">
        <v>2271</v>
      </c>
      <c r="D38" s="43">
        <f t="shared" si="25"/>
        <v>39.9</v>
      </c>
      <c r="E38" s="61">
        <f t="shared" si="0"/>
        <v>4.9735000000000005</v>
      </c>
      <c r="F38" s="61">
        <f t="shared" si="1"/>
        <v>42</v>
      </c>
      <c r="G38" s="64">
        <f t="shared" si="2"/>
        <v>0.58988764044943809</v>
      </c>
      <c r="H38" s="51">
        <f t="shared" si="7"/>
        <v>18.776359550561796</v>
      </c>
      <c r="I38" s="42" t="str">
        <f t="shared" si="17"/>
        <v>IEC</v>
      </c>
      <c r="J38" s="50">
        <f t="shared" si="14"/>
        <v>10.5</v>
      </c>
      <c r="K38" s="49">
        <f t="shared" si="14"/>
        <v>160</v>
      </c>
      <c r="L38" s="44">
        <f t="shared" si="3"/>
        <v>8</v>
      </c>
      <c r="M38" s="44">
        <f>yaw_min</f>
        <v>-8</v>
      </c>
      <c r="N38" s="45">
        <f t="shared" ref="N38" si="29">N37</f>
        <v>0.2</v>
      </c>
      <c r="O38" s="49">
        <v>90</v>
      </c>
      <c r="P38" s="44">
        <f t="shared" si="19"/>
        <v>150</v>
      </c>
      <c r="Q38" s="50">
        <f t="shared" si="19"/>
        <v>210</v>
      </c>
    </row>
    <row r="39" spans="1:17" x14ac:dyDescent="0.25">
      <c r="A39" s="41" t="e">
        <f t="shared" si="16"/>
        <v>#REF!</v>
      </c>
      <c r="B39" s="42">
        <f t="shared" si="16"/>
        <v>29</v>
      </c>
      <c r="C39" s="41" t="s">
        <v>2272</v>
      </c>
      <c r="D39" s="43">
        <f t="shared" si="25"/>
        <v>39.9</v>
      </c>
      <c r="E39" s="61">
        <f t="shared" si="0"/>
        <v>4.9735000000000005</v>
      </c>
      <c r="F39" s="61">
        <f t="shared" si="1"/>
        <v>42</v>
      </c>
      <c r="G39" s="64">
        <f t="shared" si="2"/>
        <v>0.58988764044943809</v>
      </c>
      <c r="H39" s="51">
        <f t="shared" si="7"/>
        <v>18.776359550561796</v>
      </c>
      <c r="I39" s="42" t="str">
        <f t="shared" si="17"/>
        <v>IEC</v>
      </c>
      <c r="J39" s="50">
        <f t="shared" si="14"/>
        <v>10.5</v>
      </c>
      <c r="K39" s="49">
        <f t="shared" si="14"/>
        <v>160</v>
      </c>
      <c r="L39" s="44">
        <f t="shared" si="3"/>
        <v>8</v>
      </c>
      <c r="M39" s="44">
        <f>yaw_null</f>
        <v>0</v>
      </c>
      <c r="N39" s="45">
        <f t="shared" ref="N39" si="30">N38</f>
        <v>0.2</v>
      </c>
      <c r="O39" s="49">
        <v>0</v>
      </c>
      <c r="P39" s="44">
        <f t="shared" si="19"/>
        <v>150</v>
      </c>
      <c r="Q39" s="50">
        <f t="shared" si="19"/>
        <v>210</v>
      </c>
    </row>
    <row r="40" spans="1:17" x14ac:dyDescent="0.25">
      <c r="A40" s="41" t="e">
        <f t="shared" si="16"/>
        <v>#REF!</v>
      </c>
      <c r="B40" s="42">
        <f t="shared" si="16"/>
        <v>30</v>
      </c>
      <c r="C40" s="41" t="s">
        <v>2273</v>
      </c>
      <c r="D40" s="43">
        <f t="shared" si="25"/>
        <v>39.9</v>
      </c>
      <c r="E40" s="61">
        <f t="shared" si="0"/>
        <v>4.9735000000000005</v>
      </c>
      <c r="F40" s="61">
        <f t="shared" si="1"/>
        <v>42</v>
      </c>
      <c r="G40" s="64">
        <f t="shared" si="2"/>
        <v>0.58988764044943809</v>
      </c>
      <c r="H40" s="51">
        <f t="shared" si="7"/>
        <v>18.776359550561796</v>
      </c>
      <c r="I40" s="42" t="str">
        <f t="shared" si="17"/>
        <v>IEC</v>
      </c>
      <c r="J40" s="50">
        <f t="shared" si="14"/>
        <v>10.5</v>
      </c>
      <c r="K40" s="49">
        <f t="shared" si="14"/>
        <v>160</v>
      </c>
      <c r="L40" s="44">
        <f t="shared" si="3"/>
        <v>8</v>
      </c>
      <c r="M40" s="44">
        <f>yaw_null</f>
        <v>0</v>
      </c>
      <c r="N40" s="45">
        <f t="shared" ref="N40" si="31">N39</f>
        <v>0.2</v>
      </c>
      <c r="O40" s="49">
        <v>30</v>
      </c>
      <c r="P40" s="44">
        <f t="shared" si="19"/>
        <v>150</v>
      </c>
      <c r="Q40" s="50">
        <f t="shared" si="19"/>
        <v>210</v>
      </c>
    </row>
    <row r="41" spans="1:17" x14ac:dyDescent="0.25">
      <c r="A41" s="41" t="e">
        <f t="shared" si="16"/>
        <v>#REF!</v>
      </c>
      <c r="B41" s="42">
        <f t="shared" si="16"/>
        <v>31</v>
      </c>
      <c r="C41" s="41" t="s">
        <v>2274</v>
      </c>
      <c r="D41" s="43">
        <f t="shared" si="25"/>
        <v>39.9</v>
      </c>
      <c r="E41" s="61">
        <f t="shared" si="0"/>
        <v>4.9735000000000005</v>
      </c>
      <c r="F41" s="61">
        <f t="shared" si="1"/>
        <v>42</v>
      </c>
      <c r="G41" s="64">
        <f t="shared" si="2"/>
        <v>0.58988764044943809</v>
      </c>
      <c r="H41" s="51">
        <f t="shared" si="7"/>
        <v>18.776359550561796</v>
      </c>
      <c r="I41" s="42" t="str">
        <f t="shared" si="17"/>
        <v>IEC</v>
      </c>
      <c r="J41" s="50">
        <f t="shared" si="14"/>
        <v>10.5</v>
      </c>
      <c r="K41" s="49">
        <f t="shared" si="14"/>
        <v>160</v>
      </c>
      <c r="L41" s="44">
        <f t="shared" si="3"/>
        <v>8</v>
      </c>
      <c r="M41" s="44">
        <f>yaw_null</f>
        <v>0</v>
      </c>
      <c r="N41" s="45">
        <f t="shared" ref="N41" si="32">N40</f>
        <v>0.2</v>
      </c>
      <c r="O41" s="49">
        <v>60</v>
      </c>
      <c r="P41" s="44">
        <f t="shared" si="19"/>
        <v>150</v>
      </c>
      <c r="Q41" s="50">
        <f t="shared" si="19"/>
        <v>210</v>
      </c>
    </row>
    <row r="42" spans="1:17" x14ac:dyDescent="0.25">
      <c r="A42" s="41" t="e">
        <f t="shared" si="16"/>
        <v>#REF!</v>
      </c>
      <c r="B42" s="42">
        <f t="shared" si="16"/>
        <v>32</v>
      </c>
      <c r="C42" s="41" t="s">
        <v>2275</v>
      </c>
      <c r="D42" s="43">
        <f t="shared" si="25"/>
        <v>39.9</v>
      </c>
      <c r="E42" s="61">
        <f t="shared" si="0"/>
        <v>4.9735000000000005</v>
      </c>
      <c r="F42" s="61">
        <f t="shared" si="1"/>
        <v>42</v>
      </c>
      <c r="G42" s="64">
        <f t="shared" si="2"/>
        <v>0.58988764044943809</v>
      </c>
      <c r="H42" s="51">
        <f t="shared" si="7"/>
        <v>18.776359550561796</v>
      </c>
      <c r="I42" s="42" t="str">
        <f t="shared" si="17"/>
        <v>IEC</v>
      </c>
      <c r="J42" s="50">
        <f t="shared" si="14"/>
        <v>10.5</v>
      </c>
      <c r="K42" s="49">
        <f t="shared" si="14"/>
        <v>160</v>
      </c>
      <c r="L42" s="44">
        <f t="shared" si="3"/>
        <v>8</v>
      </c>
      <c r="M42" s="44">
        <f>yaw_null</f>
        <v>0</v>
      </c>
      <c r="N42" s="45">
        <f t="shared" ref="N42" si="33">N41</f>
        <v>0.2</v>
      </c>
      <c r="O42" s="49">
        <v>90</v>
      </c>
      <c r="P42" s="44">
        <f t="shared" si="19"/>
        <v>150</v>
      </c>
      <c r="Q42" s="50">
        <f t="shared" si="19"/>
        <v>210</v>
      </c>
    </row>
    <row r="43" spans="1:17" x14ac:dyDescent="0.25">
      <c r="A43" s="41" t="e">
        <f t="shared" si="16"/>
        <v>#REF!</v>
      </c>
      <c r="B43" s="42">
        <f t="shared" si="16"/>
        <v>33</v>
      </c>
      <c r="C43" s="41" t="s">
        <v>2276</v>
      </c>
      <c r="D43" s="43">
        <f t="shared" si="25"/>
        <v>39.9</v>
      </c>
      <c r="E43" s="61">
        <f t="shared" si="0"/>
        <v>4.9735000000000005</v>
      </c>
      <c r="F43" s="61">
        <f t="shared" si="1"/>
        <v>42</v>
      </c>
      <c r="G43" s="64">
        <f t="shared" si="2"/>
        <v>0.58988764044943809</v>
      </c>
      <c r="H43" s="51">
        <f t="shared" si="7"/>
        <v>18.776359550561796</v>
      </c>
      <c r="I43" s="42" t="str">
        <f t="shared" si="17"/>
        <v>IEC</v>
      </c>
      <c r="J43" s="50">
        <f t="shared" si="14"/>
        <v>10.5</v>
      </c>
      <c r="K43" s="49">
        <f t="shared" si="14"/>
        <v>160</v>
      </c>
      <c r="L43" s="44">
        <f t="shared" si="3"/>
        <v>8</v>
      </c>
      <c r="M43" s="44">
        <f>yaw_max</f>
        <v>8</v>
      </c>
      <c r="N43" s="45">
        <f t="shared" ref="N43" si="34">N42</f>
        <v>0.2</v>
      </c>
      <c r="O43" s="49">
        <v>0</v>
      </c>
      <c r="P43" s="44">
        <f t="shared" si="19"/>
        <v>150</v>
      </c>
      <c r="Q43" s="50">
        <f t="shared" si="19"/>
        <v>210</v>
      </c>
    </row>
    <row r="44" spans="1:17" x14ac:dyDescent="0.25">
      <c r="A44" s="41" t="e">
        <f t="shared" si="16"/>
        <v>#REF!</v>
      </c>
      <c r="B44" s="42">
        <f>B43+1</f>
        <v>34</v>
      </c>
      <c r="C44" s="41" t="s">
        <v>2277</v>
      </c>
      <c r="D44" s="43">
        <f t="shared" si="25"/>
        <v>39.9</v>
      </c>
      <c r="E44" s="61">
        <f t="shared" si="0"/>
        <v>4.9735000000000005</v>
      </c>
      <c r="F44" s="61">
        <f t="shared" si="1"/>
        <v>42</v>
      </c>
      <c r="G44" s="64">
        <f t="shared" si="2"/>
        <v>0.58988764044943809</v>
      </c>
      <c r="H44" s="51">
        <f t="shared" si="7"/>
        <v>18.776359550561796</v>
      </c>
      <c r="I44" s="42" t="str">
        <f>I43</f>
        <v>IEC</v>
      </c>
      <c r="J44" s="50">
        <f t="shared" ref="J44:K46" si="35">J43</f>
        <v>10.5</v>
      </c>
      <c r="K44" s="49">
        <f>K43</f>
        <v>160</v>
      </c>
      <c r="L44" s="44">
        <f t="shared" si="3"/>
        <v>8</v>
      </c>
      <c r="M44" s="44">
        <f>yaw_max</f>
        <v>8</v>
      </c>
      <c r="N44" s="45">
        <f t="shared" ref="N44" si="36">N43</f>
        <v>0.2</v>
      </c>
      <c r="O44" s="49">
        <v>30</v>
      </c>
      <c r="P44" s="44">
        <f t="shared" si="19"/>
        <v>150</v>
      </c>
      <c r="Q44" s="50">
        <f>Q43</f>
        <v>210</v>
      </c>
    </row>
    <row r="45" spans="1:17" x14ac:dyDescent="0.25">
      <c r="A45" s="41" t="e">
        <f t="shared" ref="A45:B46" si="37">A44+1</f>
        <v>#REF!</v>
      </c>
      <c r="B45" s="42">
        <f t="shared" si="37"/>
        <v>35</v>
      </c>
      <c r="C45" s="41" t="s">
        <v>2278</v>
      </c>
      <c r="D45" s="43">
        <f t="shared" si="25"/>
        <v>39.9</v>
      </c>
      <c r="E45" s="61">
        <f t="shared" si="0"/>
        <v>4.9735000000000005</v>
      </c>
      <c r="F45" s="61">
        <f t="shared" si="1"/>
        <v>42</v>
      </c>
      <c r="G45" s="64">
        <f t="shared" si="2"/>
        <v>0.58988764044943809</v>
      </c>
      <c r="H45" s="51">
        <f t="shared" si="7"/>
        <v>18.776359550561796</v>
      </c>
      <c r="I45" s="42" t="str">
        <f t="shared" ref="I45:I46" si="38">I44</f>
        <v>IEC</v>
      </c>
      <c r="J45" s="50">
        <f t="shared" si="35"/>
        <v>10.5</v>
      </c>
      <c r="K45" s="49">
        <f t="shared" si="35"/>
        <v>160</v>
      </c>
      <c r="L45" s="44">
        <f t="shared" si="3"/>
        <v>8</v>
      </c>
      <c r="M45" s="44">
        <f>yaw_max</f>
        <v>8</v>
      </c>
      <c r="N45" s="45">
        <f t="shared" ref="N45" si="39">N44</f>
        <v>0.2</v>
      </c>
      <c r="O45" s="49">
        <v>60</v>
      </c>
      <c r="P45" s="44">
        <f t="shared" ref="P45:Q46" si="40">P44</f>
        <v>150</v>
      </c>
      <c r="Q45" s="50">
        <f t="shared" si="40"/>
        <v>210</v>
      </c>
    </row>
    <row r="46" spans="1:17" x14ac:dyDescent="0.25">
      <c r="A46" s="41" t="e">
        <f t="shared" si="37"/>
        <v>#REF!</v>
      </c>
      <c r="B46" s="42">
        <f t="shared" si="37"/>
        <v>36</v>
      </c>
      <c r="C46" s="41" t="s">
        <v>2279</v>
      </c>
      <c r="D46" s="43">
        <f t="shared" si="25"/>
        <v>39.9</v>
      </c>
      <c r="E46" s="61">
        <f t="shared" si="0"/>
        <v>4.9735000000000005</v>
      </c>
      <c r="F46" s="61">
        <f t="shared" si="1"/>
        <v>42</v>
      </c>
      <c r="G46" s="64">
        <f t="shared" si="2"/>
        <v>0.58988764044943809</v>
      </c>
      <c r="H46" s="51">
        <f t="shared" si="7"/>
        <v>18.776359550561796</v>
      </c>
      <c r="I46" s="42" t="str">
        <f t="shared" si="38"/>
        <v>IEC</v>
      </c>
      <c r="J46" s="50">
        <f t="shared" si="35"/>
        <v>10.5</v>
      </c>
      <c r="K46" s="49">
        <f t="shared" si="35"/>
        <v>160</v>
      </c>
      <c r="L46" s="44">
        <f t="shared" si="3"/>
        <v>8</v>
      </c>
      <c r="M46" s="44">
        <f>yaw_max</f>
        <v>8</v>
      </c>
      <c r="N46" s="45">
        <f t="shared" ref="N46" si="41">N45</f>
        <v>0.2</v>
      </c>
      <c r="O46" s="49">
        <v>90</v>
      </c>
      <c r="P46" s="44">
        <f t="shared" si="40"/>
        <v>150</v>
      </c>
      <c r="Q46" s="50">
        <f t="shared" si="40"/>
        <v>210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N40"/>
  <sheetViews>
    <sheetView zoomScale="85" zoomScaleNormal="85" workbookViewId="0">
      <selection activeCell="Q14" sqref="Q14"/>
    </sheetView>
  </sheetViews>
  <sheetFormatPr defaultColWidth="9" defaultRowHeight="15" x14ac:dyDescent="0.15"/>
  <cols>
    <col min="1" max="1" width="8" style="23" customWidth="1"/>
    <col min="2" max="2" width="6.375" style="23" customWidth="1"/>
    <col min="3" max="3" width="8.75" style="23" customWidth="1"/>
    <col min="4" max="4" width="6.375" style="23" customWidth="1"/>
    <col min="5" max="5" width="6.625" style="23" customWidth="1"/>
    <col min="6" max="6" width="7" style="23" customWidth="1"/>
    <col min="7" max="7" width="6.25" style="23" customWidth="1"/>
    <col min="8" max="8" width="7.375" style="23" customWidth="1"/>
    <col min="9" max="9" width="6.625" style="23" customWidth="1"/>
    <col min="10" max="10" width="6.75" style="23" customWidth="1"/>
    <col min="11" max="11" width="9.625" style="23" customWidth="1"/>
    <col min="12" max="12" width="7.25" style="23" customWidth="1"/>
    <col min="13" max="13" width="6.25" style="23" customWidth="1"/>
    <col min="14" max="14" width="6.75" style="23" customWidth="1"/>
    <col min="15" max="16384" width="9" style="23"/>
  </cols>
  <sheetData>
    <row r="1" spans="1:14" x14ac:dyDescent="0.15">
      <c r="H1" s="22" t="s">
        <v>135</v>
      </c>
      <c r="I1" s="22" t="s">
        <v>2285</v>
      </c>
    </row>
    <row r="2" spans="1:14" x14ac:dyDescent="0.15">
      <c r="B2" s="22" t="s">
        <v>2283</v>
      </c>
      <c r="C2" s="22"/>
      <c r="D2" s="22"/>
      <c r="E2" s="22"/>
      <c r="H2" s="22"/>
      <c r="I2" s="22" t="s">
        <v>2288</v>
      </c>
    </row>
    <row r="3" spans="1:14" x14ac:dyDescent="0.15">
      <c r="B3" s="22" t="s">
        <v>88</v>
      </c>
      <c r="C3" s="22"/>
      <c r="D3" s="22"/>
      <c r="E3" s="22" t="s">
        <v>2284</v>
      </c>
      <c r="H3" s="22"/>
      <c r="I3" s="22" t="s">
        <v>915</v>
      </c>
    </row>
    <row r="4" spans="1:14" x14ac:dyDescent="0.15">
      <c r="B4" s="22" t="s">
        <v>89</v>
      </c>
      <c r="C4" s="22"/>
      <c r="D4" s="22"/>
      <c r="E4" s="22" t="s">
        <v>113</v>
      </c>
      <c r="H4" s="22"/>
      <c r="I4" s="22" t="s">
        <v>165</v>
      </c>
    </row>
    <row r="5" spans="1:14" x14ac:dyDescent="0.15">
      <c r="B5" s="22" t="s">
        <v>91</v>
      </c>
      <c r="C5" s="22"/>
      <c r="D5" s="22"/>
      <c r="E5" s="22" t="s">
        <v>99</v>
      </c>
    </row>
    <row r="6" spans="1:14" x14ac:dyDescent="0.15">
      <c r="B6" s="22" t="s">
        <v>93</v>
      </c>
      <c r="C6" s="22"/>
      <c r="D6" s="22"/>
      <c r="E6" s="22" t="s">
        <v>100</v>
      </c>
    </row>
    <row r="7" spans="1:14" x14ac:dyDescent="0.1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</row>
    <row r="8" spans="1:14" ht="15.75" thickBot="1" x14ac:dyDescent="0.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</row>
    <row r="9" spans="1:14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2</v>
      </c>
      <c r="K9" s="26" t="s">
        <v>3</v>
      </c>
      <c r="L9" s="25" t="s">
        <v>141</v>
      </c>
      <c r="M9" s="27" t="s">
        <v>138</v>
      </c>
      <c r="N9" s="27" t="s">
        <v>139</v>
      </c>
    </row>
    <row r="10" spans="1:14" ht="15.75" thickBot="1" x14ac:dyDescent="0.3">
      <c r="A10" s="29" t="s">
        <v>76</v>
      </c>
      <c r="B10" s="30" t="str">
        <f>B2</f>
        <v>DLCT9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32" t="s">
        <v>7</v>
      </c>
      <c r="N10" s="32" t="s">
        <v>7</v>
      </c>
    </row>
    <row r="11" spans="1:14" x14ac:dyDescent="0.25">
      <c r="A11" s="24">
        <f>'DLC62'!A82+1</f>
        <v>3800</v>
      </c>
      <c r="B11" s="27">
        <v>1</v>
      </c>
      <c r="C11" s="24" t="s">
        <v>2290</v>
      </c>
      <c r="D11" s="34">
        <f>v_T1</f>
        <v>45.6</v>
      </c>
      <c r="E11" s="60">
        <f>IF(TTM=0,I_ref*(0.75*D11+5.6),I_ref*(0.42*D11+14.3))</f>
        <v>5.572000000000001</v>
      </c>
      <c r="F11" s="35">
        <f>E11/D11*100</f>
        <v>12.219298245614036</v>
      </c>
      <c r="G11" s="35">
        <f t="shared" ref="G11:G40" si="0">m_ty_t*F11</f>
        <v>10.50859649122807</v>
      </c>
      <c r="H11" s="35">
        <f t="shared" ref="H11:H40" si="1">m_tz_t*F11</f>
        <v>6.2318421052631585</v>
      </c>
      <c r="I11" s="35">
        <f>inflow</f>
        <v>8</v>
      </c>
      <c r="J11" s="36">
        <f t="shared" ref="J11:J16" si="2">dlc63_y1</f>
        <v>-20</v>
      </c>
      <c r="K11" s="37" t="str">
        <f>D11&amp;-1</f>
        <v>45.6-1</v>
      </c>
      <c r="L11" s="35">
        <f>alpha_e</f>
        <v>0.11</v>
      </c>
      <c r="M11" s="44">
        <f>t_out</f>
        <v>150</v>
      </c>
      <c r="N11" s="44">
        <f>M11+T_s1</f>
        <v>750</v>
      </c>
    </row>
    <row r="12" spans="1:14" x14ac:dyDescent="0.25">
      <c r="A12" s="41">
        <f t="shared" ref="A12:B27" si="3">A11+1</f>
        <v>3801</v>
      </c>
      <c r="B12" s="42">
        <f t="shared" si="3"/>
        <v>2</v>
      </c>
      <c r="C12" s="41" t="s">
        <v>2291</v>
      </c>
      <c r="D12" s="43">
        <f>D11</f>
        <v>45.6</v>
      </c>
      <c r="E12" s="61">
        <f>E11</f>
        <v>5.572000000000001</v>
      </c>
      <c r="F12" s="44">
        <f>F11</f>
        <v>12.219298245614036</v>
      </c>
      <c r="G12" s="44">
        <f t="shared" si="0"/>
        <v>10.50859649122807</v>
      </c>
      <c r="H12" s="44">
        <f t="shared" si="1"/>
        <v>6.2318421052631585</v>
      </c>
      <c r="I12" s="44">
        <f>I11</f>
        <v>8</v>
      </c>
      <c r="J12" s="45">
        <f t="shared" si="2"/>
        <v>-20</v>
      </c>
      <c r="K12" s="37" t="str">
        <f>D12&amp;-2</f>
        <v>45.6-2</v>
      </c>
      <c r="L12" s="44">
        <f>L11</f>
        <v>0.11</v>
      </c>
      <c r="M12" s="44">
        <f>M11</f>
        <v>150</v>
      </c>
      <c r="N12" s="44">
        <f>N11</f>
        <v>750</v>
      </c>
    </row>
    <row r="13" spans="1:14" x14ac:dyDescent="0.25">
      <c r="A13" s="41">
        <f t="shared" si="3"/>
        <v>3802</v>
      </c>
      <c r="B13" s="42">
        <f t="shared" si="3"/>
        <v>3</v>
      </c>
      <c r="C13" s="41" t="s">
        <v>2292</v>
      </c>
      <c r="D13" s="43">
        <f t="shared" ref="D13:I28" si="4">D12</f>
        <v>45.6</v>
      </c>
      <c r="E13" s="61">
        <f t="shared" si="4"/>
        <v>5.572000000000001</v>
      </c>
      <c r="F13" s="44">
        <f t="shared" si="4"/>
        <v>12.219298245614036</v>
      </c>
      <c r="G13" s="44">
        <f t="shared" si="0"/>
        <v>10.50859649122807</v>
      </c>
      <c r="H13" s="44">
        <f t="shared" si="1"/>
        <v>6.2318421052631585</v>
      </c>
      <c r="I13" s="44">
        <f t="shared" si="4"/>
        <v>8</v>
      </c>
      <c r="J13" s="45">
        <f t="shared" si="2"/>
        <v>-20</v>
      </c>
      <c r="K13" s="37" t="str">
        <f>D13&amp;-3</f>
        <v>45.6-3</v>
      </c>
      <c r="L13" s="44">
        <f t="shared" ref="L13:N28" si="5">L12</f>
        <v>0.11</v>
      </c>
      <c r="M13" s="44">
        <f t="shared" si="5"/>
        <v>150</v>
      </c>
      <c r="N13" s="44">
        <f t="shared" si="5"/>
        <v>750</v>
      </c>
    </row>
    <row r="14" spans="1:14" x14ac:dyDescent="0.25">
      <c r="A14" s="41">
        <f t="shared" si="3"/>
        <v>3803</v>
      </c>
      <c r="B14" s="42">
        <f t="shared" si="3"/>
        <v>4</v>
      </c>
      <c r="C14" s="41" t="s">
        <v>2293</v>
      </c>
      <c r="D14" s="43">
        <f t="shared" si="4"/>
        <v>45.6</v>
      </c>
      <c r="E14" s="61">
        <f t="shared" si="4"/>
        <v>5.572000000000001</v>
      </c>
      <c r="F14" s="44">
        <f t="shared" si="4"/>
        <v>12.219298245614036</v>
      </c>
      <c r="G14" s="44">
        <f t="shared" si="0"/>
        <v>10.50859649122807</v>
      </c>
      <c r="H14" s="44">
        <f t="shared" si="1"/>
        <v>6.2318421052631585</v>
      </c>
      <c r="I14" s="44">
        <f t="shared" si="4"/>
        <v>8</v>
      </c>
      <c r="J14" s="45">
        <f t="shared" si="2"/>
        <v>-20</v>
      </c>
      <c r="K14" s="37" t="str">
        <f>D14&amp;-4</f>
        <v>45.6-4</v>
      </c>
      <c r="L14" s="44">
        <f t="shared" si="5"/>
        <v>0.11</v>
      </c>
      <c r="M14" s="44">
        <f t="shared" si="5"/>
        <v>150</v>
      </c>
      <c r="N14" s="44">
        <f t="shared" si="5"/>
        <v>750</v>
      </c>
    </row>
    <row r="15" spans="1:14" x14ac:dyDescent="0.25">
      <c r="A15" s="41">
        <f t="shared" si="3"/>
        <v>3804</v>
      </c>
      <c r="B15" s="42">
        <f t="shared" si="3"/>
        <v>5</v>
      </c>
      <c r="C15" s="41" t="s">
        <v>2294</v>
      </c>
      <c r="D15" s="43">
        <f t="shared" si="4"/>
        <v>45.6</v>
      </c>
      <c r="E15" s="61">
        <f t="shared" si="4"/>
        <v>5.572000000000001</v>
      </c>
      <c r="F15" s="44">
        <f t="shared" si="4"/>
        <v>12.219298245614036</v>
      </c>
      <c r="G15" s="44">
        <f t="shared" si="0"/>
        <v>10.50859649122807</v>
      </c>
      <c r="H15" s="44">
        <f t="shared" si="1"/>
        <v>6.2318421052631585</v>
      </c>
      <c r="I15" s="44">
        <f t="shared" si="4"/>
        <v>8</v>
      </c>
      <c r="J15" s="45">
        <f t="shared" si="2"/>
        <v>-20</v>
      </c>
      <c r="K15" s="37" t="str">
        <f>D15&amp;-5</f>
        <v>45.6-5</v>
      </c>
      <c r="L15" s="44">
        <f t="shared" si="5"/>
        <v>0.11</v>
      </c>
      <c r="M15" s="44">
        <f t="shared" si="5"/>
        <v>150</v>
      </c>
      <c r="N15" s="44">
        <f t="shared" si="5"/>
        <v>750</v>
      </c>
    </row>
    <row r="16" spans="1:14" x14ac:dyDescent="0.25">
      <c r="A16" s="41">
        <f t="shared" si="3"/>
        <v>3805</v>
      </c>
      <c r="B16" s="42">
        <f t="shared" si="3"/>
        <v>6</v>
      </c>
      <c r="C16" s="41" t="s">
        <v>2295</v>
      </c>
      <c r="D16" s="43">
        <f t="shared" si="4"/>
        <v>45.6</v>
      </c>
      <c r="E16" s="61">
        <f t="shared" si="4"/>
        <v>5.572000000000001</v>
      </c>
      <c r="F16" s="44">
        <f t="shared" si="4"/>
        <v>12.219298245614036</v>
      </c>
      <c r="G16" s="44">
        <f t="shared" si="0"/>
        <v>10.50859649122807</v>
      </c>
      <c r="H16" s="44">
        <f t="shared" si="1"/>
        <v>6.2318421052631585</v>
      </c>
      <c r="I16" s="44">
        <f t="shared" si="4"/>
        <v>8</v>
      </c>
      <c r="J16" s="45">
        <f t="shared" si="2"/>
        <v>-20</v>
      </c>
      <c r="K16" s="37" t="str">
        <f>D16&amp;-6</f>
        <v>45.6-6</v>
      </c>
      <c r="L16" s="44">
        <f t="shared" si="5"/>
        <v>0.11</v>
      </c>
      <c r="M16" s="44">
        <f t="shared" si="5"/>
        <v>150</v>
      </c>
      <c r="N16" s="44">
        <f t="shared" si="5"/>
        <v>750</v>
      </c>
    </row>
    <row r="17" spans="1:14" x14ac:dyDescent="0.25">
      <c r="A17" s="41">
        <f t="shared" si="3"/>
        <v>3806</v>
      </c>
      <c r="B17" s="42">
        <f t="shared" si="3"/>
        <v>7</v>
      </c>
      <c r="C17" s="41" t="s">
        <v>2296</v>
      </c>
      <c r="D17" s="43">
        <f t="shared" si="4"/>
        <v>45.6</v>
      </c>
      <c r="E17" s="61">
        <f t="shared" si="4"/>
        <v>5.572000000000001</v>
      </c>
      <c r="F17" s="44">
        <f t="shared" si="4"/>
        <v>12.219298245614036</v>
      </c>
      <c r="G17" s="44">
        <f t="shared" si="0"/>
        <v>10.50859649122807</v>
      </c>
      <c r="H17" s="44">
        <f t="shared" si="1"/>
        <v>6.2318421052631585</v>
      </c>
      <c r="I17" s="44">
        <f t="shared" si="4"/>
        <v>8</v>
      </c>
      <c r="J17" s="45">
        <f t="shared" ref="J17:J22" si="6">dlc63_y2</f>
        <v>-10</v>
      </c>
      <c r="K17" s="37" t="str">
        <f>D17&amp;-1</f>
        <v>45.6-1</v>
      </c>
      <c r="L17" s="44">
        <f t="shared" si="5"/>
        <v>0.11</v>
      </c>
      <c r="M17" s="44">
        <f t="shared" si="5"/>
        <v>150</v>
      </c>
      <c r="N17" s="44">
        <f t="shared" si="5"/>
        <v>750</v>
      </c>
    </row>
    <row r="18" spans="1:14" x14ac:dyDescent="0.25">
      <c r="A18" s="41">
        <f t="shared" si="3"/>
        <v>3807</v>
      </c>
      <c r="B18" s="42">
        <f t="shared" si="3"/>
        <v>8</v>
      </c>
      <c r="C18" s="41" t="s">
        <v>2297</v>
      </c>
      <c r="D18" s="43">
        <f t="shared" si="4"/>
        <v>45.6</v>
      </c>
      <c r="E18" s="61">
        <f t="shared" si="4"/>
        <v>5.572000000000001</v>
      </c>
      <c r="F18" s="44">
        <f t="shared" si="4"/>
        <v>12.219298245614036</v>
      </c>
      <c r="G18" s="44">
        <f t="shared" si="0"/>
        <v>10.50859649122807</v>
      </c>
      <c r="H18" s="44">
        <f t="shared" si="1"/>
        <v>6.2318421052631585</v>
      </c>
      <c r="I18" s="44">
        <f t="shared" si="4"/>
        <v>8</v>
      </c>
      <c r="J18" s="45">
        <f t="shared" si="6"/>
        <v>-10</v>
      </c>
      <c r="K18" s="37" t="str">
        <f>D18&amp;-2</f>
        <v>45.6-2</v>
      </c>
      <c r="L18" s="44">
        <f t="shared" si="5"/>
        <v>0.11</v>
      </c>
      <c r="M18" s="44">
        <f t="shared" si="5"/>
        <v>150</v>
      </c>
      <c r="N18" s="44">
        <f t="shared" si="5"/>
        <v>750</v>
      </c>
    </row>
    <row r="19" spans="1:14" x14ac:dyDescent="0.25">
      <c r="A19" s="41">
        <f t="shared" si="3"/>
        <v>3808</v>
      </c>
      <c r="B19" s="42">
        <f t="shared" si="3"/>
        <v>9</v>
      </c>
      <c r="C19" s="41" t="s">
        <v>2298</v>
      </c>
      <c r="D19" s="43">
        <f t="shared" si="4"/>
        <v>45.6</v>
      </c>
      <c r="E19" s="61">
        <f t="shared" si="4"/>
        <v>5.572000000000001</v>
      </c>
      <c r="F19" s="44">
        <f t="shared" si="4"/>
        <v>12.219298245614036</v>
      </c>
      <c r="G19" s="44">
        <f t="shared" si="0"/>
        <v>10.50859649122807</v>
      </c>
      <c r="H19" s="44">
        <f t="shared" si="1"/>
        <v>6.2318421052631585</v>
      </c>
      <c r="I19" s="44">
        <f t="shared" si="4"/>
        <v>8</v>
      </c>
      <c r="J19" s="45">
        <f t="shared" si="6"/>
        <v>-10</v>
      </c>
      <c r="K19" s="37" t="str">
        <f>D19&amp;-3</f>
        <v>45.6-3</v>
      </c>
      <c r="L19" s="44">
        <f t="shared" si="5"/>
        <v>0.11</v>
      </c>
      <c r="M19" s="44">
        <f t="shared" si="5"/>
        <v>150</v>
      </c>
      <c r="N19" s="44">
        <f t="shared" si="5"/>
        <v>750</v>
      </c>
    </row>
    <row r="20" spans="1:14" x14ac:dyDescent="0.25">
      <c r="A20" s="41">
        <f t="shared" si="3"/>
        <v>3809</v>
      </c>
      <c r="B20" s="42">
        <f t="shared" si="3"/>
        <v>10</v>
      </c>
      <c r="C20" s="41" t="s">
        <v>2299</v>
      </c>
      <c r="D20" s="43">
        <f t="shared" si="4"/>
        <v>45.6</v>
      </c>
      <c r="E20" s="61">
        <f t="shared" si="4"/>
        <v>5.572000000000001</v>
      </c>
      <c r="F20" s="44">
        <f t="shared" si="4"/>
        <v>12.219298245614036</v>
      </c>
      <c r="G20" s="44">
        <f t="shared" si="0"/>
        <v>10.50859649122807</v>
      </c>
      <c r="H20" s="44">
        <f t="shared" si="1"/>
        <v>6.2318421052631585</v>
      </c>
      <c r="I20" s="44">
        <f t="shared" si="4"/>
        <v>8</v>
      </c>
      <c r="J20" s="45">
        <f t="shared" si="6"/>
        <v>-10</v>
      </c>
      <c r="K20" s="37" t="str">
        <f>D20&amp;-4</f>
        <v>45.6-4</v>
      </c>
      <c r="L20" s="44">
        <f t="shared" si="5"/>
        <v>0.11</v>
      </c>
      <c r="M20" s="44">
        <f t="shared" si="5"/>
        <v>150</v>
      </c>
      <c r="N20" s="44">
        <f t="shared" si="5"/>
        <v>750</v>
      </c>
    </row>
    <row r="21" spans="1:14" x14ac:dyDescent="0.25">
      <c r="A21" s="41">
        <f t="shared" si="3"/>
        <v>3810</v>
      </c>
      <c r="B21" s="42">
        <f t="shared" si="3"/>
        <v>11</v>
      </c>
      <c r="C21" s="41" t="s">
        <v>2300</v>
      </c>
      <c r="D21" s="43">
        <f t="shared" si="4"/>
        <v>45.6</v>
      </c>
      <c r="E21" s="61">
        <f t="shared" si="4"/>
        <v>5.572000000000001</v>
      </c>
      <c r="F21" s="44">
        <f t="shared" si="4"/>
        <v>12.219298245614036</v>
      </c>
      <c r="G21" s="44">
        <f t="shared" si="0"/>
        <v>10.50859649122807</v>
      </c>
      <c r="H21" s="44">
        <f t="shared" si="1"/>
        <v>6.2318421052631585</v>
      </c>
      <c r="I21" s="44">
        <f t="shared" si="4"/>
        <v>8</v>
      </c>
      <c r="J21" s="45">
        <f t="shared" si="6"/>
        <v>-10</v>
      </c>
      <c r="K21" s="37" t="str">
        <f>D21&amp;-5</f>
        <v>45.6-5</v>
      </c>
      <c r="L21" s="44">
        <f t="shared" si="5"/>
        <v>0.11</v>
      </c>
      <c r="M21" s="44">
        <f t="shared" si="5"/>
        <v>150</v>
      </c>
      <c r="N21" s="44">
        <f t="shared" si="5"/>
        <v>750</v>
      </c>
    </row>
    <row r="22" spans="1:14" x14ac:dyDescent="0.25">
      <c r="A22" s="41">
        <f t="shared" si="3"/>
        <v>3811</v>
      </c>
      <c r="B22" s="42">
        <f t="shared" si="3"/>
        <v>12</v>
      </c>
      <c r="C22" s="41" t="s">
        <v>2301</v>
      </c>
      <c r="D22" s="43">
        <f t="shared" si="4"/>
        <v>45.6</v>
      </c>
      <c r="E22" s="61">
        <f t="shared" si="4"/>
        <v>5.572000000000001</v>
      </c>
      <c r="F22" s="44">
        <f t="shared" si="4"/>
        <v>12.219298245614036</v>
      </c>
      <c r="G22" s="44">
        <f t="shared" si="0"/>
        <v>10.50859649122807</v>
      </c>
      <c r="H22" s="44">
        <f t="shared" si="1"/>
        <v>6.2318421052631585</v>
      </c>
      <c r="I22" s="44">
        <f t="shared" si="4"/>
        <v>8</v>
      </c>
      <c r="J22" s="45">
        <f t="shared" si="6"/>
        <v>-10</v>
      </c>
      <c r="K22" s="37" t="str">
        <f>D22&amp;-6</f>
        <v>45.6-6</v>
      </c>
      <c r="L22" s="44">
        <f t="shared" si="5"/>
        <v>0.11</v>
      </c>
      <c r="M22" s="44">
        <f t="shared" si="5"/>
        <v>150</v>
      </c>
      <c r="N22" s="44">
        <f t="shared" si="5"/>
        <v>750</v>
      </c>
    </row>
    <row r="23" spans="1:14" x14ac:dyDescent="0.25">
      <c r="A23" s="41">
        <f t="shared" si="3"/>
        <v>3812</v>
      </c>
      <c r="B23" s="42">
        <f t="shared" si="3"/>
        <v>13</v>
      </c>
      <c r="C23" s="41" t="s">
        <v>2302</v>
      </c>
      <c r="D23" s="43">
        <f t="shared" si="4"/>
        <v>45.6</v>
      </c>
      <c r="E23" s="61">
        <f t="shared" si="4"/>
        <v>5.572000000000001</v>
      </c>
      <c r="F23" s="44">
        <f t="shared" si="4"/>
        <v>12.219298245614036</v>
      </c>
      <c r="G23" s="44">
        <f t="shared" si="0"/>
        <v>10.50859649122807</v>
      </c>
      <c r="H23" s="44">
        <f t="shared" si="1"/>
        <v>6.2318421052631585</v>
      </c>
      <c r="I23" s="44">
        <f t="shared" si="4"/>
        <v>8</v>
      </c>
      <c r="J23" s="45">
        <f t="shared" ref="J23:J28" si="7">dlc63_y3</f>
        <v>0</v>
      </c>
      <c r="K23" s="37" t="str">
        <f>D23&amp;-1</f>
        <v>45.6-1</v>
      </c>
      <c r="L23" s="44">
        <f t="shared" si="5"/>
        <v>0.11</v>
      </c>
      <c r="M23" s="44">
        <f t="shared" si="5"/>
        <v>150</v>
      </c>
      <c r="N23" s="44">
        <f t="shared" si="5"/>
        <v>750</v>
      </c>
    </row>
    <row r="24" spans="1:14" x14ac:dyDescent="0.25">
      <c r="A24" s="41">
        <f t="shared" si="3"/>
        <v>3813</v>
      </c>
      <c r="B24" s="42">
        <f t="shared" si="3"/>
        <v>14</v>
      </c>
      <c r="C24" s="41" t="s">
        <v>2303</v>
      </c>
      <c r="D24" s="43">
        <f t="shared" si="4"/>
        <v>45.6</v>
      </c>
      <c r="E24" s="61">
        <f t="shared" si="4"/>
        <v>5.572000000000001</v>
      </c>
      <c r="F24" s="44">
        <f t="shared" si="4"/>
        <v>12.219298245614036</v>
      </c>
      <c r="G24" s="44">
        <f t="shared" si="0"/>
        <v>10.50859649122807</v>
      </c>
      <c r="H24" s="44">
        <f t="shared" si="1"/>
        <v>6.2318421052631585</v>
      </c>
      <c r="I24" s="44">
        <f t="shared" si="4"/>
        <v>8</v>
      </c>
      <c r="J24" s="45">
        <f t="shared" si="7"/>
        <v>0</v>
      </c>
      <c r="K24" s="37" t="str">
        <f>D24&amp;-2</f>
        <v>45.6-2</v>
      </c>
      <c r="L24" s="44">
        <f t="shared" si="5"/>
        <v>0.11</v>
      </c>
      <c r="M24" s="44">
        <f t="shared" si="5"/>
        <v>150</v>
      </c>
      <c r="N24" s="44">
        <f t="shared" si="5"/>
        <v>750</v>
      </c>
    </row>
    <row r="25" spans="1:14" x14ac:dyDescent="0.25">
      <c r="A25" s="41">
        <f t="shared" si="3"/>
        <v>3814</v>
      </c>
      <c r="B25" s="42">
        <f t="shared" si="3"/>
        <v>15</v>
      </c>
      <c r="C25" s="41" t="s">
        <v>2304</v>
      </c>
      <c r="D25" s="43">
        <f t="shared" si="4"/>
        <v>45.6</v>
      </c>
      <c r="E25" s="61">
        <f t="shared" si="4"/>
        <v>5.572000000000001</v>
      </c>
      <c r="F25" s="44">
        <f t="shared" si="4"/>
        <v>12.219298245614036</v>
      </c>
      <c r="G25" s="44">
        <f t="shared" si="0"/>
        <v>10.50859649122807</v>
      </c>
      <c r="H25" s="44">
        <f t="shared" si="1"/>
        <v>6.2318421052631585</v>
      </c>
      <c r="I25" s="44">
        <f t="shared" si="4"/>
        <v>8</v>
      </c>
      <c r="J25" s="45">
        <f t="shared" si="7"/>
        <v>0</v>
      </c>
      <c r="K25" s="37" t="str">
        <f>D25&amp;-3</f>
        <v>45.6-3</v>
      </c>
      <c r="L25" s="44">
        <f t="shared" si="5"/>
        <v>0.11</v>
      </c>
      <c r="M25" s="44">
        <f t="shared" si="5"/>
        <v>150</v>
      </c>
      <c r="N25" s="44">
        <f t="shared" si="5"/>
        <v>750</v>
      </c>
    </row>
    <row r="26" spans="1:14" x14ac:dyDescent="0.25">
      <c r="A26" s="41">
        <f t="shared" si="3"/>
        <v>3815</v>
      </c>
      <c r="B26" s="42">
        <f t="shared" si="3"/>
        <v>16</v>
      </c>
      <c r="C26" s="41" t="s">
        <v>2305</v>
      </c>
      <c r="D26" s="43">
        <f t="shared" si="4"/>
        <v>45.6</v>
      </c>
      <c r="E26" s="61">
        <f t="shared" si="4"/>
        <v>5.572000000000001</v>
      </c>
      <c r="F26" s="44">
        <f t="shared" si="4"/>
        <v>12.219298245614036</v>
      </c>
      <c r="G26" s="44">
        <f t="shared" si="0"/>
        <v>10.50859649122807</v>
      </c>
      <c r="H26" s="44">
        <f t="shared" si="1"/>
        <v>6.2318421052631585</v>
      </c>
      <c r="I26" s="44">
        <f t="shared" si="4"/>
        <v>8</v>
      </c>
      <c r="J26" s="45">
        <f t="shared" si="7"/>
        <v>0</v>
      </c>
      <c r="K26" s="37" t="str">
        <f>D26&amp;-4</f>
        <v>45.6-4</v>
      </c>
      <c r="L26" s="44">
        <f t="shared" si="5"/>
        <v>0.11</v>
      </c>
      <c r="M26" s="44">
        <f t="shared" si="5"/>
        <v>150</v>
      </c>
      <c r="N26" s="44">
        <f t="shared" si="5"/>
        <v>750</v>
      </c>
    </row>
    <row r="27" spans="1:14" x14ac:dyDescent="0.25">
      <c r="A27" s="41">
        <f t="shared" si="3"/>
        <v>3816</v>
      </c>
      <c r="B27" s="42">
        <f t="shared" si="3"/>
        <v>17</v>
      </c>
      <c r="C27" s="41" t="s">
        <v>2306</v>
      </c>
      <c r="D27" s="43">
        <f t="shared" si="4"/>
        <v>45.6</v>
      </c>
      <c r="E27" s="61">
        <f t="shared" si="4"/>
        <v>5.572000000000001</v>
      </c>
      <c r="F27" s="44">
        <f t="shared" si="4"/>
        <v>12.219298245614036</v>
      </c>
      <c r="G27" s="44">
        <f t="shared" si="0"/>
        <v>10.50859649122807</v>
      </c>
      <c r="H27" s="44">
        <f t="shared" si="1"/>
        <v>6.2318421052631585</v>
      </c>
      <c r="I27" s="44">
        <f t="shared" si="4"/>
        <v>8</v>
      </c>
      <c r="J27" s="45">
        <f t="shared" si="7"/>
        <v>0</v>
      </c>
      <c r="K27" s="37" t="str">
        <f>D27&amp;-5</f>
        <v>45.6-5</v>
      </c>
      <c r="L27" s="44">
        <f t="shared" si="5"/>
        <v>0.11</v>
      </c>
      <c r="M27" s="44">
        <f t="shared" si="5"/>
        <v>150</v>
      </c>
      <c r="N27" s="44">
        <f t="shared" si="5"/>
        <v>750</v>
      </c>
    </row>
    <row r="28" spans="1:14" x14ac:dyDescent="0.25">
      <c r="A28" s="41">
        <f t="shared" ref="A28:B40" si="8">A27+1</f>
        <v>3817</v>
      </c>
      <c r="B28" s="42">
        <f t="shared" si="8"/>
        <v>18</v>
      </c>
      <c r="C28" s="41" t="s">
        <v>2307</v>
      </c>
      <c r="D28" s="43">
        <f t="shared" si="4"/>
        <v>45.6</v>
      </c>
      <c r="E28" s="61">
        <f t="shared" si="4"/>
        <v>5.572000000000001</v>
      </c>
      <c r="F28" s="44">
        <f t="shared" si="4"/>
        <v>12.219298245614036</v>
      </c>
      <c r="G28" s="44">
        <f t="shared" si="0"/>
        <v>10.50859649122807</v>
      </c>
      <c r="H28" s="44">
        <f t="shared" si="1"/>
        <v>6.2318421052631585</v>
      </c>
      <c r="I28" s="44">
        <f t="shared" si="4"/>
        <v>8</v>
      </c>
      <c r="J28" s="45">
        <f t="shared" si="7"/>
        <v>0</v>
      </c>
      <c r="K28" s="37" t="str">
        <f>D28&amp;-6</f>
        <v>45.6-6</v>
      </c>
      <c r="L28" s="44">
        <f t="shared" si="5"/>
        <v>0.11</v>
      </c>
      <c r="M28" s="44">
        <f t="shared" si="5"/>
        <v>150</v>
      </c>
      <c r="N28" s="44">
        <f t="shared" si="5"/>
        <v>750</v>
      </c>
    </row>
    <row r="29" spans="1:14" x14ac:dyDescent="0.25">
      <c r="A29" s="41">
        <f t="shared" si="8"/>
        <v>3818</v>
      </c>
      <c r="B29" s="42">
        <f t="shared" si="8"/>
        <v>19</v>
      </c>
      <c r="C29" s="41" t="s">
        <v>2308</v>
      </c>
      <c r="D29" s="43">
        <f t="shared" ref="D29:F40" si="9">D28</f>
        <v>45.6</v>
      </c>
      <c r="E29" s="61">
        <f t="shared" si="9"/>
        <v>5.572000000000001</v>
      </c>
      <c r="F29" s="44">
        <f t="shared" si="9"/>
        <v>12.219298245614036</v>
      </c>
      <c r="G29" s="44">
        <f t="shared" si="0"/>
        <v>10.50859649122807</v>
      </c>
      <c r="H29" s="44">
        <f t="shared" si="1"/>
        <v>6.2318421052631585</v>
      </c>
      <c r="I29" s="44">
        <f t="shared" ref="I29:I40" si="10">I28</f>
        <v>8</v>
      </c>
      <c r="J29" s="45">
        <f t="shared" ref="J29:J34" si="11">dlc63_y4</f>
        <v>10</v>
      </c>
      <c r="K29" s="37" t="str">
        <f>D29&amp;-1</f>
        <v>45.6-1</v>
      </c>
      <c r="L29" s="44">
        <f t="shared" ref="L29:N40" si="12">L28</f>
        <v>0.11</v>
      </c>
      <c r="M29" s="44">
        <f t="shared" si="12"/>
        <v>150</v>
      </c>
      <c r="N29" s="44">
        <f t="shared" si="12"/>
        <v>750</v>
      </c>
    </row>
    <row r="30" spans="1:14" x14ac:dyDescent="0.25">
      <c r="A30" s="41">
        <f t="shared" si="8"/>
        <v>3819</v>
      </c>
      <c r="B30" s="42">
        <f t="shared" si="8"/>
        <v>20</v>
      </c>
      <c r="C30" s="41" t="s">
        <v>2309</v>
      </c>
      <c r="D30" s="43">
        <f t="shared" si="9"/>
        <v>45.6</v>
      </c>
      <c r="E30" s="61">
        <f t="shared" si="9"/>
        <v>5.572000000000001</v>
      </c>
      <c r="F30" s="44">
        <f t="shared" si="9"/>
        <v>12.219298245614036</v>
      </c>
      <c r="G30" s="44">
        <f t="shared" si="0"/>
        <v>10.50859649122807</v>
      </c>
      <c r="H30" s="44">
        <f t="shared" si="1"/>
        <v>6.2318421052631585</v>
      </c>
      <c r="I30" s="44">
        <f t="shared" si="10"/>
        <v>8</v>
      </c>
      <c r="J30" s="45">
        <f t="shared" si="11"/>
        <v>10</v>
      </c>
      <c r="K30" s="37" t="str">
        <f>D30&amp;-2</f>
        <v>45.6-2</v>
      </c>
      <c r="L30" s="44">
        <f t="shared" si="12"/>
        <v>0.11</v>
      </c>
      <c r="M30" s="44">
        <f t="shared" si="12"/>
        <v>150</v>
      </c>
      <c r="N30" s="44">
        <f t="shared" si="12"/>
        <v>750</v>
      </c>
    </row>
    <row r="31" spans="1:14" x14ac:dyDescent="0.25">
      <c r="A31" s="41">
        <f t="shared" si="8"/>
        <v>3820</v>
      </c>
      <c r="B31" s="42">
        <f t="shared" si="8"/>
        <v>21</v>
      </c>
      <c r="C31" s="41" t="s">
        <v>2310</v>
      </c>
      <c r="D31" s="43">
        <f t="shared" si="9"/>
        <v>45.6</v>
      </c>
      <c r="E31" s="61">
        <f t="shared" si="9"/>
        <v>5.572000000000001</v>
      </c>
      <c r="F31" s="44">
        <f t="shared" si="9"/>
        <v>12.219298245614036</v>
      </c>
      <c r="G31" s="44">
        <f t="shared" si="0"/>
        <v>10.50859649122807</v>
      </c>
      <c r="H31" s="44">
        <f t="shared" si="1"/>
        <v>6.2318421052631585</v>
      </c>
      <c r="I31" s="44">
        <f t="shared" si="10"/>
        <v>8</v>
      </c>
      <c r="J31" s="45">
        <f t="shared" si="11"/>
        <v>10</v>
      </c>
      <c r="K31" s="37" t="str">
        <f>D31&amp;-3</f>
        <v>45.6-3</v>
      </c>
      <c r="L31" s="44">
        <f t="shared" si="12"/>
        <v>0.11</v>
      </c>
      <c r="M31" s="44">
        <f t="shared" si="12"/>
        <v>150</v>
      </c>
      <c r="N31" s="44">
        <f t="shared" si="12"/>
        <v>750</v>
      </c>
    </row>
    <row r="32" spans="1:14" x14ac:dyDescent="0.25">
      <c r="A32" s="41">
        <f t="shared" si="8"/>
        <v>3821</v>
      </c>
      <c r="B32" s="42">
        <f t="shared" si="8"/>
        <v>22</v>
      </c>
      <c r="C32" s="41" t="s">
        <v>2311</v>
      </c>
      <c r="D32" s="43">
        <f t="shared" si="9"/>
        <v>45.6</v>
      </c>
      <c r="E32" s="61">
        <f t="shared" si="9"/>
        <v>5.572000000000001</v>
      </c>
      <c r="F32" s="44">
        <f t="shared" si="9"/>
        <v>12.219298245614036</v>
      </c>
      <c r="G32" s="44">
        <f t="shared" si="0"/>
        <v>10.50859649122807</v>
      </c>
      <c r="H32" s="44">
        <f t="shared" si="1"/>
        <v>6.2318421052631585</v>
      </c>
      <c r="I32" s="44">
        <f t="shared" si="10"/>
        <v>8</v>
      </c>
      <c r="J32" s="45">
        <f t="shared" si="11"/>
        <v>10</v>
      </c>
      <c r="K32" s="37" t="str">
        <f>D32&amp;-4</f>
        <v>45.6-4</v>
      </c>
      <c r="L32" s="44">
        <f t="shared" si="12"/>
        <v>0.11</v>
      </c>
      <c r="M32" s="44">
        <f t="shared" si="12"/>
        <v>150</v>
      </c>
      <c r="N32" s="44">
        <f t="shared" si="12"/>
        <v>750</v>
      </c>
    </row>
    <row r="33" spans="1:14" x14ac:dyDescent="0.25">
      <c r="A33" s="41">
        <f t="shared" si="8"/>
        <v>3822</v>
      </c>
      <c r="B33" s="42">
        <f t="shared" si="8"/>
        <v>23</v>
      </c>
      <c r="C33" s="41" t="s">
        <v>2312</v>
      </c>
      <c r="D33" s="43">
        <f t="shared" si="9"/>
        <v>45.6</v>
      </c>
      <c r="E33" s="61">
        <f t="shared" si="9"/>
        <v>5.572000000000001</v>
      </c>
      <c r="F33" s="44">
        <f t="shared" si="9"/>
        <v>12.219298245614036</v>
      </c>
      <c r="G33" s="44">
        <f t="shared" si="0"/>
        <v>10.50859649122807</v>
      </c>
      <c r="H33" s="44">
        <f t="shared" si="1"/>
        <v>6.2318421052631585</v>
      </c>
      <c r="I33" s="44">
        <f t="shared" si="10"/>
        <v>8</v>
      </c>
      <c r="J33" s="45">
        <f t="shared" si="11"/>
        <v>10</v>
      </c>
      <c r="K33" s="37" t="str">
        <f>D33&amp;-5</f>
        <v>45.6-5</v>
      </c>
      <c r="L33" s="44">
        <f t="shared" si="12"/>
        <v>0.11</v>
      </c>
      <c r="M33" s="44">
        <f t="shared" si="12"/>
        <v>150</v>
      </c>
      <c r="N33" s="44">
        <f t="shared" si="12"/>
        <v>750</v>
      </c>
    </row>
    <row r="34" spans="1:14" x14ac:dyDescent="0.25">
      <c r="A34" s="41">
        <f t="shared" si="8"/>
        <v>3823</v>
      </c>
      <c r="B34" s="42">
        <f t="shared" si="8"/>
        <v>24</v>
      </c>
      <c r="C34" s="41" t="s">
        <v>2313</v>
      </c>
      <c r="D34" s="43">
        <f t="shared" si="9"/>
        <v>45.6</v>
      </c>
      <c r="E34" s="61">
        <f t="shared" si="9"/>
        <v>5.572000000000001</v>
      </c>
      <c r="F34" s="44">
        <f t="shared" si="9"/>
        <v>12.219298245614036</v>
      </c>
      <c r="G34" s="44">
        <f t="shared" si="0"/>
        <v>10.50859649122807</v>
      </c>
      <c r="H34" s="44">
        <f t="shared" si="1"/>
        <v>6.2318421052631585</v>
      </c>
      <c r="I34" s="44">
        <f t="shared" si="10"/>
        <v>8</v>
      </c>
      <c r="J34" s="45">
        <f t="shared" si="11"/>
        <v>10</v>
      </c>
      <c r="K34" s="37" t="str">
        <f>D34&amp;-6</f>
        <v>45.6-6</v>
      </c>
      <c r="L34" s="44">
        <f t="shared" si="12"/>
        <v>0.11</v>
      </c>
      <c r="M34" s="44">
        <f t="shared" si="12"/>
        <v>150</v>
      </c>
      <c r="N34" s="44">
        <f t="shared" si="12"/>
        <v>750</v>
      </c>
    </row>
    <row r="35" spans="1:14" x14ac:dyDescent="0.25">
      <c r="A35" s="41">
        <f t="shared" si="8"/>
        <v>3824</v>
      </c>
      <c r="B35" s="42">
        <f t="shared" si="8"/>
        <v>25</v>
      </c>
      <c r="C35" s="41" t="s">
        <v>2314</v>
      </c>
      <c r="D35" s="43">
        <f t="shared" si="9"/>
        <v>45.6</v>
      </c>
      <c r="E35" s="61">
        <f t="shared" si="9"/>
        <v>5.572000000000001</v>
      </c>
      <c r="F35" s="44">
        <f t="shared" si="9"/>
        <v>12.219298245614036</v>
      </c>
      <c r="G35" s="44">
        <f t="shared" si="0"/>
        <v>10.50859649122807</v>
      </c>
      <c r="H35" s="44">
        <f t="shared" si="1"/>
        <v>6.2318421052631585</v>
      </c>
      <c r="I35" s="44">
        <f t="shared" si="10"/>
        <v>8</v>
      </c>
      <c r="J35" s="45">
        <f t="shared" ref="J35:J40" si="13">dlc63_y5</f>
        <v>20</v>
      </c>
      <c r="K35" s="37" t="str">
        <f>D35&amp;-1</f>
        <v>45.6-1</v>
      </c>
      <c r="L35" s="44">
        <f t="shared" si="12"/>
        <v>0.11</v>
      </c>
      <c r="M35" s="44">
        <f t="shared" si="12"/>
        <v>150</v>
      </c>
      <c r="N35" s="44">
        <f t="shared" si="12"/>
        <v>750</v>
      </c>
    </row>
    <row r="36" spans="1:14" x14ac:dyDescent="0.25">
      <c r="A36" s="41">
        <f t="shared" si="8"/>
        <v>3825</v>
      </c>
      <c r="B36" s="42">
        <f t="shared" si="8"/>
        <v>26</v>
      </c>
      <c r="C36" s="41" t="s">
        <v>2315</v>
      </c>
      <c r="D36" s="43">
        <f t="shared" si="9"/>
        <v>45.6</v>
      </c>
      <c r="E36" s="61">
        <f t="shared" si="9"/>
        <v>5.572000000000001</v>
      </c>
      <c r="F36" s="44">
        <f t="shared" si="9"/>
        <v>12.219298245614036</v>
      </c>
      <c r="G36" s="44">
        <f t="shared" si="0"/>
        <v>10.50859649122807</v>
      </c>
      <c r="H36" s="44">
        <f t="shared" si="1"/>
        <v>6.2318421052631585</v>
      </c>
      <c r="I36" s="44">
        <f t="shared" si="10"/>
        <v>8</v>
      </c>
      <c r="J36" s="45">
        <f t="shared" si="13"/>
        <v>20</v>
      </c>
      <c r="K36" s="37" t="str">
        <f>D36&amp;-2</f>
        <v>45.6-2</v>
      </c>
      <c r="L36" s="44">
        <f t="shared" si="12"/>
        <v>0.11</v>
      </c>
      <c r="M36" s="44">
        <f t="shared" si="12"/>
        <v>150</v>
      </c>
      <c r="N36" s="44">
        <f t="shared" si="12"/>
        <v>750</v>
      </c>
    </row>
    <row r="37" spans="1:14" x14ac:dyDescent="0.25">
      <c r="A37" s="41">
        <f t="shared" si="8"/>
        <v>3826</v>
      </c>
      <c r="B37" s="42">
        <f t="shared" si="8"/>
        <v>27</v>
      </c>
      <c r="C37" s="41" t="s">
        <v>2316</v>
      </c>
      <c r="D37" s="43">
        <f t="shared" si="9"/>
        <v>45.6</v>
      </c>
      <c r="E37" s="61">
        <f t="shared" si="9"/>
        <v>5.572000000000001</v>
      </c>
      <c r="F37" s="44">
        <f t="shared" si="9"/>
        <v>12.219298245614036</v>
      </c>
      <c r="G37" s="44">
        <f t="shared" si="0"/>
        <v>10.50859649122807</v>
      </c>
      <c r="H37" s="44">
        <f t="shared" si="1"/>
        <v>6.2318421052631585</v>
      </c>
      <c r="I37" s="44">
        <f t="shared" si="10"/>
        <v>8</v>
      </c>
      <c r="J37" s="45">
        <f t="shared" si="13"/>
        <v>20</v>
      </c>
      <c r="K37" s="37" t="str">
        <f>D37&amp;-3</f>
        <v>45.6-3</v>
      </c>
      <c r="L37" s="44">
        <f t="shared" si="12"/>
        <v>0.11</v>
      </c>
      <c r="M37" s="44">
        <f t="shared" si="12"/>
        <v>150</v>
      </c>
      <c r="N37" s="44">
        <f t="shared" si="12"/>
        <v>750</v>
      </c>
    </row>
    <row r="38" spans="1:14" x14ac:dyDescent="0.25">
      <c r="A38" s="41">
        <f t="shared" si="8"/>
        <v>3827</v>
      </c>
      <c r="B38" s="42">
        <f t="shared" si="8"/>
        <v>28</v>
      </c>
      <c r="C38" s="41" t="s">
        <v>2317</v>
      </c>
      <c r="D38" s="43">
        <f t="shared" si="9"/>
        <v>45.6</v>
      </c>
      <c r="E38" s="61">
        <f t="shared" si="9"/>
        <v>5.572000000000001</v>
      </c>
      <c r="F38" s="44">
        <f t="shared" si="9"/>
        <v>12.219298245614036</v>
      </c>
      <c r="G38" s="44">
        <f t="shared" si="0"/>
        <v>10.50859649122807</v>
      </c>
      <c r="H38" s="44">
        <f t="shared" si="1"/>
        <v>6.2318421052631585</v>
      </c>
      <c r="I38" s="44">
        <f t="shared" si="10"/>
        <v>8</v>
      </c>
      <c r="J38" s="45">
        <f t="shared" si="13"/>
        <v>20</v>
      </c>
      <c r="K38" s="37" t="str">
        <f>D38&amp;-4</f>
        <v>45.6-4</v>
      </c>
      <c r="L38" s="44">
        <f t="shared" si="12"/>
        <v>0.11</v>
      </c>
      <c r="M38" s="44">
        <f t="shared" si="12"/>
        <v>150</v>
      </c>
      <c r="N38" s="44">
        <f t="shared" si="12"/>
        <v>750</v>
      </c>
    </row>
    <row r="39" spans="1:14" x14ac:dyDescent="0.25">
      <c r="A39" s="41">
        <f t="shared" si="8"/>
        <v>3828</v>
      </c>
      <c r="B39" s="42">
        <f t="shared" si="8"/>
        <v>29</v>
      </c>
      <c r="C39" s="41" t="s">
        <v>2318</v>
      </c>
      <c r="D39" s="43">
        <f t="shared" si="9"/>
        <v>45.6</v>
      </c>
      <c r="E39" s="61">
        <f t="shared" si="9"/>
        <v>5.572000000000001</v>
      </c>
      <c r="F39" s="44">
        <f t="shared" si="9"/>
        <v>12.219298245614036</v>
      </c>
      <c r="G39" s="44">
        <f t="shared" si="0"/>
        <v>10.50859649122807</v>
      </c>
      <c r="H39" s="44">
        <f t="shared" si="1"/>
        <v>6.2318421052631585</v>
      </c>
      <c r="I39" s="44">
        <f t="shared" si="10"/>
        <v>8</v>
      </c>
      <c r="J39" s="45">
        <f t="shared" si="13"/>
        <v>20</v>
      </c>
      <c r="K39" s="37" t="str">
        <f>D39&amp;-5</f>
        <v>45.6-5</v>
      </c>
      <c r="L39" s="44">
        <f t="shared" si="12"/>
        <v>0.11</v>
      </c>
      <c r="M39" s="44">
        <f t="shared" si="12"/>
        <v>150</v>
      </c>
      <c r="N39" s="44">
        <f t="shared" si="12"/>
        <v>750</v>
      </c>
    </row>
    <row r="40" spans="1:14" x14ac:dyDescent="0.25">
      <c r="A40" s="41">
        <f t="shared" si="8"/>
        <v>3829</v>
      </c>
      <c r="B40" s="42">
        <f t="shared" si="8"/>
        <v>30</v>
      </c>
      <c r="C40" s="41" t="s">
        <v>2319</v>
      </c>
      <c r="D40" s="43">
        <f t="shared" si="9"/>
        <v>45.6</v>
      </c>
      <c r="E40" s="61">
        <f t="shared" si="9"/>
        <v>5.572000000000001</v>
      </c>
      <c r="F40" s="44">
        <f t="shared" si="9"/>
        <v>12.219298245614036</v>
      </c>
      <c r="G40" s="44">
        <f t="shared" si="0"/>
        <v>10.50859649122807</v>
      </c>
      <c r="H40" s="44">
        <f t="shared" si="1"/>
        <v>6.2318421052631585</v>
      </c>
      <c r="I40" s="44">
        <f t="shared" si="10"/>
        <v>8</v>
      </c>
      <c r="J40" s="45">
        <f t="shared" si="13"/>
        <v>20</v>
      </c>
      <c r="K40" s="37" t="str">
        <f>D40&amp;-6</f>
        <v>45.6-6</v>
      </c>
      <c r="L40" s="44">
        <f t="shared" si="12"/>
        <v>0.11</v>
      </c>
      <c r="M40" s="44">
        <f t="shared" si="12"/>
        <v>150</v>
      </c>
      <c r="N40" s="44">
        <f t="shared" si="12"/>
        <v>750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N82"/>
  <sheetViews>
    <sheetView zoomScale="85" zoomScaleNormal="85" workbookViewId="0">
      <selection activeCell="Q15" sqref="Q15"/>
    </sheetView>
  </sheetViews>
  <sheetFormatPr defaultColWidth="9" defaultRowHeight="15" x14ac:dyDescent="0.15"/>
  <cols>
    <col min="1" max="1" width="8" style="23" customWidth="1"/>
    <col min="2" max="2" width="6.375" style="23" customWidth="1"/>
    <col min="3" max="3" width="9.625" style="23" customWidth="1"/>
    <col min="4" max="4" width="6.375" style="23" customWidth="1"/>
    <col min="5" max="5" width="6.625" style="23" customWidth="1"/>
    <col min="6" max="6" width="7" style="23" customWidth="1"/>
    <col min="7" max="7" width="6.25" style="23" customWidth="1"/>
    <col min="8" max="8" width="7.375" style="23" customWidth="1"/>
    <col min="9" max="9" width="6.625" style="23" customWidth="1"/>
    <col min="10" max="10" width="6.75" style="23" customWidth="1"/>
    <col min="11" max="11" width="9.625" style="23" customWidth="1"/>
    <col min="12" max="12" width="7.25" style="23" customWidth="1"/>
    <col min="13" max="13" width="6.25" style="23" customWidth="1"/>
    <col min="14" max="14" width="5.75" style="23" customWidth="1"/>
    <col min="15" max="16384" width="9" style="23"/>
  </cols>
  <sheetData>
    <row r="1" spans="1:14" x14ac:dyDescent="0.15">
      <c r="H1" s="22" t="s">
        <v>135</v>
      </c>
      <c r="I1" s="22" t="s">
        <v>2393</v>
      </c>
    </row>
    <row r="2" spans="1:14" x14ac:dyDescent="0.15">
      <c r="B2" s="22" t="s">
        <v>2289</v>
      </c>
      <c r="C2" s="22"/>
      <c r="D2" s="22"/>
      <c r="E2" s="22"/>
      <c r="H2" s="22"/>
      <c r="I2" s="22" t="s">
        <v>2394</v>
      </c>
    </row>
    <row r="3" spans="1:14" x14ac:dyDescent="0.15">
      <c r="B3" s="22" t="s">
        <v>88</v>
      </c>
      <c r="C3" s="22"/>
      <c r="D3" s="22"/>
      <c r="E3" s="22" t="s">
        <v>2392</v>
      </c>
      <c r="H3" s="22"/>
      <c r="I3" s="22" t="s">
        <v>915</v>
      </c>
    </row>
    <row r="4" spans="1:14" x14ac:dyDescent="0.15">
      <c r="B4" s="22" t="s">
        <v>89</v>
      </c>
      <c r="C4" s="22"/>
      <c r="D4" s="22"/>
      <c r="E4" s="22" t="s">
        <v>113</v>
      </c>
      <c r="H4" s="22"/>
      <c r="I4" s="22" t="s">
        <v>165</v>
      </c>
    </row>
    <row r="5" spans="1:14" x14ac:dyDescent="0.15">
      <c r="B5" s="22" t="s">
        <v>91</v>
      </c>
      <c r="C5" s="22"/>
      <c r="D5" s="22"/>
      <c r="E5" s="22" t="s">
        <v>99</v>
      </c>
    </row>
    <row r="6" spans="1:14" x14ac:dyDescent="0.15">
      <c r="B6" s="22" t="s">
        <v>93</v>
      </c>
      <c r="C6" s="22"/>
      <c r="D6" s="22"/>
      <c r="E6" s="22" t="s">
        <v>106</v>
      </c>
    </row>
    <row r="7" spans="1:14" x14ac:dyDescent="0.1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</row>
    <row r="8" spans="1:14" ht="15.75" thickBot="1" x14ac:dyDescent="0.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</row>
    <row r="9" spans="1:14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2</v>
      </c>
      <c r="K9" s="26" t="s">
        <v>3</v>
      </c>
      <c r="L9" s="25" t="s">
        <v>141</v>
      </c>
      <c r="M9" s="27" t="s">
        <v>138</v>
      </c>
      <c r="N9" s="27" t="s">
        <v>139</v>
      </c>
    </row>
    <row r="10" spans="1:14" ht="15.75" thickBot="1" x14ac:dyDescent="0.3">
      <c r="A10" s="29" t="s">
        <v>76</v>
      </c>
      <c r="B10" s="30" t="str">
        <f>B2</f>
        <v>DLCT10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32" t="s">
        <v>7</v>
      </c>
      <c r="N10" s="32" t="s">
        <v>7</v>
      </c>
    </row>
    <row r="11" spans="1:14" x14ac:dyDescent="0.25">
      <c r="A11" s="24">
        <f>'DLC61'!A28+1</f>
        <v>3728</v>
      </c>
      <c r="B11" s="27">
        <v>1</v>
      </c>
      <c r="C11" s="92" t="s">
        <v>2320</v>
      </c>
      <c r="D11" s="34">
        <f>v_tref</f>
        <v>57</v>
      </c>
      <c r="E11" s="60">
        <f>F11*D11/100</f>
        <v>6.27</v>
      </c>
      <c r="F11" s="35">
        <f>0.11*100</f>
        <v>11</v>
      </c>
      <c r="G11" s="35">
        <f t="shared" ref="G11:G42" si="0">m_ty_t*F11</f>
        <v>9.4599999999999991</v>
      </c>
      <c r="H11" s="35">
        <f t="shared" ref="H11:H42" si="1">m_tz_t*F11</f>
        <v>5.61</v>
      </c>
      <c r="I11" s="35">
        <f>inflow</f>
        <v>8</v>
      </c>
      <c r="J11" s="36">
        <v>0</v>
      </c>
      <c r="K11" s="37" t="str">
        <f>D11&amp;-1</f>
        <v>57-1</v>
      </c>
      <c r="L11" s="35">
        <f>alpha_e</f>
        <v>0.11</v>
      </c>
      <c r="M11" s="44">
        <f>t_out</f>
        <v>150</v>
      </c>
      <c r="N11" s="44">
        <f>M11+T_s1</f>
        <v>750</v>
      </c>
    </row>
    <row r="12" spans="1:14" x14ac:dyDescent="0.25">
      <c r="A12" s="41">
        <f t="shared" ref="A12:B27" si="2">A11+1</f>
        <v>3729</v>
      </c>
      <c r="B12" s="42">
        <f t="shared" si="2"/>
        <v>2</v>
      </c>
      <c r="C12" s="41" t="s">
        <v>2321</v>
      </c>
      <c r="D12" s="43">
        <f>D11</f>
        <v>57</v>
      </c>
      <c r="E12" s="61">
        <f>E11</f>
        <v>6.27</v>
      </c>
      <c r="F12" s="44">
        <f>F11</f>
        <v>11</v>
      </c>
      <c r="G12" s="44">
        <f t="shared" si="0"/>
        <v>9.4599999999999991</v>
      </c>
      <c r="H12" s="44">
        <f t="shared" si="1"/>
        <v>5.61</v>
      </c>
      <c r="I12" s="44">
        <f>I11</f>
        <v>8</v>
      </c>
      <c r="J12" s="45">
        <v>0</v>
      </c>
      <c r="K12" s="37" t="str">
        <f>D12&amp;-2</f>
        <v>57-2</v>
      </c>
      <c r="L12" s="44">
        <f>L11</f>
        <v>0.11</v>
      </c>
      <c r="M12" s="44">
        <f>M11</f>
        <v>150</v>
      </c>
      <c r="N12" s="44">
        <f>N11</f>
        <v>750</v>
      </c>
    </row>
    <row r="13" spans="1:14" x14ac:dyDescent="0.25">
      <c r="A13" s="41">
        <f t="shared" si="2"/>
        <v>3730</v>
      </c>
      <c r="B13" s="42">
        <f t="shared" si="2"/>
        <v>3</v>
      </c>
      <c r="C13" s="41" t="s">
        <v>2322</v>
      </c>
      <c r="D13" s="43">
        <f t="shared" ref="D13:I28" si="3">D12</f>
        <v>57</v>
      </c>
      <c r="E13" s="61">
        <f t="shared" si="3"/>
        <v>6.27</v>
      </c>
      <c r="F13" s="44">
        <f t="shared" si="3"/>
        <v>11</v>
      </c>
      <c r="G13" s="44">
        <f t="shared" si="0"/>
        <v>9.4599999999999991</v>
      </c>
      <c r="H13" s="44">
        <f t="shared" si="1"/>
        <v>5.61</v>
      </c>
      <c r="I13" s="44">
        <f t="shared" si="3"/>
        <v>8</v>
      </c>
      <c r="J13" s="45">
        <v>0</v>
      </c>
      <c r="K13" s="37" t="str">
        <f>D13&amp;-3</f>
        <v>57-3</v>
      </c>
      <c r="L13" s="44">
        <f t="shared" ref="L13:N28" si="4">L12</f>
        <v>0.11</v>
      </c>
      <c r="M13" s="44">
        <f t="shared" si="4"/>
        <v>150</v>
      </c>
      <c r="N13" s="44">
        <f t="shared" si="4"/>
        <v>750</v>
      </c>
    </row>
    <row r="14" spans="1:14" x14ac:dyDescent="0.25">
      <c r="A14" s="41">
        <f t="shared" si="2"/>
        <v>3731</v>
      </c>
      <c r="B14" s="42">
        <f t="shared" si="2"/>
        <v>4</v>
      </c>
      <c r="C14" s="41" t="s">
        <v>2323</v>
      </c>
      <c r="D14" s="43">
        <f t="shared" si="3"/>
        <v>57</v>
      </c>
      <c r="E14" s="61">
        <f t="shared" si="3"/>
        <v>6.27</v>
      </c>
      <c r="F14" s="44">
        <f t="shared" si="3"/>
        <v>11</v>
      </c>
      <c r="G14" s="44">
        <f t="shared" si="0"/>
        <v>9.4599999999999991</v>
      </c>
      <c r="H14" s="44">
        <f t="shared" si="1"/>
        <v>5.61</v>
      </c>
      <c r="I14" s="44">
        <f t="shared" si="3"/>
        <v>8</v>
      </c>
      <c r="J14" s="45">
        <v>0</v>
      </c>
      <c r="K14" s="37" t="str">
        <f>D14&amp;-4</f>
        <v>57-4</v>
      </c>
      <c r="L14" s="44">
        <f t="shared" si="4"/>
        <v>0.11</v>
      </c>
      <c r="M14" s="44">
        <f t="shared" si="4"/>
        <v>150</v>
      </c>
      <c r="N14" s="44">
        <f t="shared" si="4"/>
        <v>750</v>
      </c>
    </row>
    <row r="15" spans="1:14" x14ac:dyDescent="0.25">
      <c r="A15" s="41">
        <f t="shared" si="2"/>
        <v>3732</v>
      </c>
      <c r="B15" s="42">
        <f t="shared" si="2"/>
        <v>5</v>
      </c>
      <c r="C15" s="41" t="s">
        <v>2324</v>
      </c>
      <c r="D15" s="43">
        <f t="shared" si="3"/>
        <v>57</v>
      </c>
      <c r="E15" s="61">
        <f t="shared" si="3"/>
        <v>6.27</v>
      </c>
      <c r="F15" s="44">
        <f t="shared" si="3"/>
        <v>11</v>
      </c>
      <c r="G15" s="44">
        <f t="shared" si="0"/>
        <v>9.4599999999999991</v>
      </c>
      <c r="H15" s="44">
        <f t="shared" si="1"/>
        <v>5.61</v>
      </c>
      <c r="I15" s="44">
        <f t="shared" si="3"/>
        <v>8</v>
      </c>
      <c r="J15" s="45">
        <v>0</v>
      </c>
      <c r="K15" s="37" t="str">
        <f>D15&amp;-5</f>
        <v>57-5</v>
      </c>
      <c r="L15" s="44">
        <f t="shared" si="4"/>
        <v>0.11</v>
      </c>
      <c r="M15" s="44">
        <f t="shared" si="4"/>
        <v>150</v>
      </c>
      <c r="N15" s="44">
        <f t="shared" si="4"/>
        <v>750</v>
      </c>
    </row>
    <row r="16" spans="1:14" x14ac:dyDescent="0.25">
      <c r="A16" s="41">
        <f t="shared" si="2"/>
        <v>3733</v>
      </c>
      <c r="B16" s="42">
        <f t="shared" si="2"/>
        <v>6</v>
      </c>
      <c r="C16" s="41" t="s">
        <v>2325</v>
      </c>
      <c r="D16" s="43">
        <f t="shared" si="3"/>
        <v>57</v>
      </c>
      <c r="E16" s="61">
        <f t="shared" si="3"/>
        <v>6.27</v>
      </c>
      <c r="F16" s="44">
        <f t="shared" si="3"/>
        <v>11</v>
      </c>
      <c r="G16" s="44">
        <f t="shared" si="0"/>
        <v>9.4599999999999991</v>
      </c>
      <c r="H16" s="44">
        <f t="shared" si="1"/>
        <v>5.61</v>
      </c>
      <c r="I16" s="44">
        <f t="shared" si="3"/>
        <v>8</v>
      </c>
      <c r="J16" s="45">
        <v>0</v>
      </c>
      <c r="K16" s="37" t="str">
        <f>D16&amp;-6</f>
        <v>57-6</v>
      </c>
      <c r="L16" s="44">
        <f t="shared" si="4"/>
        <v>0.11</v>
      </c>
      <c r="M16" s="44">
        <f t="shared" si="4"/>
        <v>150</v>
      </c>
      <c r="N16" s="44">
        <f t="shared" si="4"/>
        <v>750</v>
      </c>
    </row>
    <row r="17" spans="1:14" x14ac:dyDescent="0.25">
      <c r="A17" s="41">
        <f t="shared" si="2"/>
        <v>3734</v>
      </c>
      <c r="B17" s="42">
        <f t="shared" si="2"/>
        <v>7</v>
      </c>
      <c r="C17" s="41" t="s">
        <v>2326</v>
      </c>
      <c r="D17" s="43">
        <f t="shared" si="3"/>
        <v>57</v>
      </c>
      <c r="E17" s="61">
        <f t="shared" si="3"/>
        <v>6.27</v>
      </c>
      <c r="F17" s="44">
        <f t="shared" si="3"/>
        <v>11</v>
      </c>
      <c r="G17" s="44">
        <f t="shared" si="0"/>
        <v>9.4599999999999991</v>
      </c>
      <c r="H17" s="44">
        <f t="shared" si="1"/>
        <v>5.61</v>
      </c>
      <c r="I17" s="44">
        <f t="shared" si="3"/>
        <v>8</v>
      </c>
      <c r="J17" s="45">
        <v>30</v>
      </c>
      <c r="K17" s="37" t="str">
        <f>D17&amp;-1</f>
        <v>57-1</v>
      </c>
      <c r="L17" s="44">
        <f t="shared" si="4"/>
        <v>0.11</v>
      </c>
      <c r="M17" s="44">
        <f t="shared" si="4"/>
        <v>150</v>
      </c>
      <c r="N17" s="44">
        <f t="shared" si="4"/>
        <v>750</v>
      </c>
    </row>
    <row r="18" spans="1:14" x14ac:dyDescent="0.25">
      <c r="A18" s="41">
        <f t="shared" si="2"/>
        <v>3735</v>
      </c>
      <c r="B18" s="42">
        <f t="shared" si="2"/>
        <v>8</v>
      </c>
      <c r="C18" s="41" t="s">
        <v>2327</v>
      </c>
      <c r="D18" s="43">
        <f t="shared" si="3"/>
        <v>57</v>
      </c>
      <c r="E18" s="61">
        <f t="shared" si="3"/>
        <v>6.27</v>
      </c>
      <c r="F18" s="44">
        <f t="shared" si="3"/>
        <v>11</v>
      </c>
      <c r="G18" s="44">
        <f t="shared" si="0"/>
        <v>9.4599999999999991</v>
      </c>
      <c r="H18" s="44">
        <f t="shared" si="1"/>
        <v>5.61</v>
      </c>
      <c r="I18" s="44">
        <f t="shared" si="3"/>
        <v>8</v>
      </c>
      <c r="J18" s="45">
        <v>30</v>
      </c>
      <c r="K18" s="37" t="str">
        <f>D18&amp;-2</f>
        <v>57-2</v>
      </c>
      <c r="L18" s="44">
        <f t="shared" si="4"/>
        <v>0.11</v>
      </c>
      <c r="M18" s="44">
        <f t="shared" si="4"/>
        <v>150</v>
      </c>
      <c r="N18" s="44">
        <f t="shared" si="4"/>
        <v>750</v>
      </c>
    </row>
    <row r="19" spans="1:14" x14ac:dyDescent="0.25">
      <c r="A19" s="41">
        <f t="shared" si="2"/>
        <v>3736</v>
      </c>
      <c r="B19" s="42">
        <f t="shared" si="2"/>
        <v>9</v>
      </c>
      <c r="C19" s="41" t="s">
        <v>2328</v>
      </c>
      <c r="D19" s="43">
        <f t="shared" si="3"/>
        <v>57</v>
      </c>
      <c r="E19" s="61">
        <f t="shared" si="3"/>
        <v>6.27</v>
      </c>
      <c r="F19" s="44">
        <f t="shared" si="3"/>
        <v>11</v>
      </c>
      <c r="G19" s="44">
        <f t="shared" si="0"/>
        <v>9.4599999999999991</v>
      </c>
      <c r="H19" s="44">
        <f t="shared" si="1"/>
        <v>5.61</v>
      </c>
      <c r="I19" s="44">
        <f t="shared" si="3"/>
        <v>8</v>
      </c>
      <c r="J19" s="45">
        <v>30</v>
      </c>
      <c r="K19" s="37" t="str">
        <f>D19&amp;-3</f>
        <v>57-3</v>
      </c>
      <c r="L19" s="44">
        <f t="shared" si="4"/>
        <v>0.11</v>
      </c>
      <c r="M19" s="44">
        <f t="shared" si="4"/>
        <v>150</v>
      </c>
      <c r="N19" s="44">
        <f t="shared" si="4"/>
        <v>750</v>
      </c>
    </row>
    <row r="20" spans="1:14" x14ac:dyDescent="0.25">
      <c r="A20" s="41">
        <f t="shared" si="2"/>
        <v>3737</v>
      </c>
      <c r="B20" s="42">
        <f t="shared" si="2"/>
        <v>10</v>
      </c>
      <c r="C20" s="41" t="s">
        <v>2329</v>
      </c>
      <c r="D20" s="43">
        <f t="shared" si="3"/>
        <v>57</v>
      </c>
      <c r="E20" s="61">
        <f t="shared" si="3"/>
        <v>6.27</v>
      </c>
      <c r="F20" s="44">
        <f t="shared" si="3"/>
        <v>11</v>
      </c>
      <c r="G20" s="44">
        <f t="shared" si="0"/>
        <v>9.4599999999999991</v>
      </c>
      <c r="H20" s="44">
        <f t="shared" si="1"/>
        <v>5.61</v>
      </c>
      <c r="I20" s="44">
        <f t="shared" si="3"/>
        <v>8</v>
      </c>
      <c r="J20" s="45">
        <v>30</v>
      </c>
      <c r="K20" s="37" t="str">
        <f>D20&amp;-4</f>
        <v>57-4</v>
      </c>
      <c r="L20" s="44">
        <f t="shared" si="4"/>
        <v>0.11</v>
      </c>
      <c r="M20" s="44">
        <f t="shared" si="4"/>
        <v>150</v>
      </c>
      <c r="N20" s="44">
        <f t="shared" si="4"/>
        <v>750</v>
      </c>
    </row>
    <row r="21" spans="1:14" x14ac:dyDescent="0.25">
      <c r="A21" s="41">
        <f t="shared" si="2"/>
        <v>3738</v>
      </c>
      <c r="B21" s="42">
        <f t="shared" si="2"/>
        <v>11</v>
      </c>
      <c r="C21" s="41" t="s">
        <v>2330</v>
      </c>
      <c r="D21" s="43">
        <f t="shared" si="3"/>
        <v>57</v>
      </c>
      <c r="E21" s="61">
        <f t="shared" si="3"/>
        <v>6.27</v>
      </c>
      <c r="F21" s="44">
        <f t="shared" si="3"/>
        <v>11</v>
      </c>
      <c r="G21" s="44">
        <f t="shared" si="0"/>
        <v>9.4599999999999991</v>
      </c>
      <c r="H21" s="44">
        <f t="shared" si="1"/>
        <v>5.61</v>
      </c>
      <c r="I21" s="44">
        <f t="shared" si="3"/>
        <v>8</v>
      </c>
      <c r="J21" s="45">
        <v>30</v>
      </c>
      <c r="K21" s="37" t="str">
        <f>D21&amp;-5</f>
        <v>57-5</v>
      </c>
      <c r="L21" s="44">
        <f t="shared" si="4"/>
        <v>0.11</v>
      </c>
      <c r="M21" s="44">
        <f t="shared" si="4"/>
        <v>150</v>
      </c>
      <c r="N21" s="44">
        <f t="shared" si="4"/>
        <v>750</v>
      </c>
    </row>
    <row r="22" spans="1:14" x14ac:dyDescent="0.25">
      <c r="A22" s="41">
        <f t="shared" si="2"/>
        <v>3739</v>
      </c>
      <c r="B22" s="42">
        <f t="shared" si="2"/>
        <v>12</v>
      </c>
      <c r="C22" s="41" t="s">
        <v>2331</v>
      </c>
      <c r="D22" s="43">
        <f t="shared" si="3"/>
        <v>57</v>
      </c>
      <c r="E22" s="61">
        <f t="shared" si="3"/>
        <v>6.27</v>
      </c>
      <c r="F22" s="44">
        <f t="shared" si="3"/>
        <v>11</v>
      </c>
      <c r="G22" s="44">
        <f t="shared" si="0"/>
        <v>9.4599999999999991</v>
      </c>
      <c r="H22" s="44">
        <f t="shared" si="1"/>
        <v>5.61</v>
      </c>
      <c r="I22" s="44">
        <f t="shared" si="3"/>
        <v>8</v>
      </c>
      <c r="J22" s="45">
        <v>30</v>
      </c>
      <c r="K22" s="37" t="str">
        <f>D22&amp;-6</f>
        <v>57-6</v>
      </c>
      <c r="L22" s="44">
        <f t="shared" si="4"/>
        <v>0.11</v>
      </c>
      <c r="M22" s="44">
        <f t="shared" si="4"/>
        <v>150</v>
      </c>
      <c r="N22" s="44">
        <f t="shared" si="4"/>
        <v>750</v>
      </c>
    </row>
    <row r="23" spans="1:14" x14ac:dyDescent="0.25">
      <c r="A23" s="41">
        <f t="shared" si="2"/>
        <v>3740</v>
      </c>
      <c r="B23" s="42">
        <f t="shared" si="2"/>
        <v>13</v>
      </c>
      <c r="C23" s="41" t="s">
        <v>2332</v>
      </c>
      <c r="D23" s="43">
        <f t="shared" si="3"/>
        <v>57</v>
      </c>
      <c r="E23" s="61">
        <f t="shared" si="3"/>
        <v>6.27</v>
      </c>
      <c r="F23" s="44">
        <f t="shared" si="3"/>
        <v>11</v>
      </c>
      <c r="G23" s="44">
        <f t="shared" si="0"/>
        <v>9.4599999999999991</v>
      </c>
      <c r="H23" s="44">
        <f t="shared" si="1"/>
        <v>5.61</v>
      </c>
      <c r="I23" s="44">
        <f t="shared" si="3"/>
        <v>8</v>
      </c>
      <c r="J23" s="45">
        <v>60</v>
      </c>
      <c r="K23" s="37" t="str">
        <f>D23&amp;-1</f>
        <v>57-1</v>
      </c>
      <c r="L23" s="44">
        <f t="shared" si="4"/>
        <v>0.11</v>
      </c>
      <c r="M23" s="44">
        <f t="shared" si="4"/>
        <v>150</v>
      </c>
      <c r="N23" s="44">
        <f t="shared" si="4"/>
        <v>750</v>
      </c>
    </row>
    <row r="24" spans="1:14" x14ac:dyDescent="0.25">
      <c r="A24" s="41">
        <f t="shared" si="2"/>
        <v>3741</v>
      </c>
      <c r="B24" s="42">
        <f t="shared" si="2"/>
        <v>14</v>
      </c>
      <c r="C24" s="41" t="s">
        <v>2333</v>
      </c>
      <c r="D24" s="43">
        <f t="shared" si="3"/>
        <v>57</v>
      </c>
      <c r="E24" s="61">
        <f t="shared" si="3"/>
        <v>6.27</v>
      </c>
      <c r="F24" s="44">
        <f t="shared" si="3"/>
        <v>11</v>
      </c>
      <c r="G24" s="44">
        <f t="shared" si="0"/>
        <v>9.4599999999999991</v>
      </c>
      <c r="H24" s="44">
        <f t="shared" si="1"/>
        <v>5.61</v>
      </c>
      <c r="I24" s="44">
        <f t="shared" si="3"/>
        <v>8</v>
      </c>
      <c r="J24" s="45">
        <v>60</v>
      </c>
      <c r="K24" s="37" t="str">
        <f>D24&amp;-2</f>
        <v>57-2</v>
      </c>
      <c r="L24" s="44">
        <f t="shared" si="4"/>
        <v>0.11</v>
      </c>
      <c r="M24" s="44">
        <f t="shared" si="4"/>
        <v>150</v>
      </c>
      <c r="N24" s="44">
        <f t="shared" si="4"/>
        <v>750</v>
      </c>
    </row>
    <row r="25" spans="1:14" x14ac:dyDescent="0.25">
      <c r="A25" s="41">
        <f t="shared" si="2"/>
        <v>3742</v>
      </c>
      <c r="B25" s="42">
        <f t="shared" si="2"/>
        <v>15</v>
      </c>
      <c r="C25" s="41" t="s">
        <v>2334</v>
      </c>
      <c r="D25" s="43">
        <f t="shared" si="3"/>
        <v>57</v>
      </c>
      <c r="E25" s="61">
        <f t="shared" si="3"/>
        <v>6.27</v>
      </c>
      <c r="F25" s="44">
        <f t="shared" si="3"/>
        <v>11</v>
      </c>
      <c r="G25" s="44">
        <f t="shared" si="0"/>
        <v>9.4599999999999991</v>
      </c>
      <c r="H25" s="44">
        <f t="shared" si="1"/>
        <v>5.61</v>
      </c>
      <c r="I25" s="44">
        <f t="shared" si="3"/>
        <v>8</v>
      </c>
      <c r="J25" s="45">
        <v>60</v>
      </c>
      <c r="K25" s="37" t="str">
        <f>D25&amp;-3</f>
        <v>57-3</v>
      </c>
      <c r="L25" s="44">
        <f t="shared" si="4"/>
        <v>0.11</v>
      </c>
      <c r="M25" s="44">
        <f t="shared" si="4"/>
        <v>150</v>
      </c>
      <c r="N25" s="44">
        <f t="shared" si="4"/>
        <v>750</v>
      </c>
    </row>
    <row r="26" spans="1:14" x14ac:dyDescent="0.25">
      <c r="A26" s="41">
        <f t="shared" si="2"/>
        <v>3743</v>
      </c>
      <c r="B26" s="42">
        <f t="shared" si="2"/>
        <v>16</v>
      </c>
      <c r="C26" s="41" t="s">
        <v>2335</v>
      </c>
      <c r="D26" s="43">
        <f t="shared" si="3"/>
        <v>57</v>
      </c>
      <c r="E26" s="61">
        <f t="shared" si="3"/>
        <v>6.27</v>
      </c>
      <c r="F26" s="44">
        <f t="shared" si="3"/>
        <v>11</v>
      </c>
      <c r="G26" s="44">
        <f t="shared" si="0"/>
        <v>9.4599999999999991</v>
      </c>
      <c r="H26" s="44">
        <f t="shared" si="1"/>
        <v>5.61</v>
      </c>
      <c r="I26" s="44">
        <f t="shared" si="3"/>
        <v>8</v>
      </c>
      <c r="J26" s="45">
        <v>60</v>
      </c>
      <c r="K26" s="37" t="str">
        <f>D26&amp;-4</f>
        <v>57-4</v>
      </c>
      <c r="L26" s="44">
        <f t="shared" si="4"/>
        <v>0.11</v>
      </c>
      <c r="M26" s="44">
        <f t="shared" si="4"/>
        <v>150</v>
      </c>
      <c r="N26" s="44">
        <f t="shared" si="4"/>
        <v>750</v>
      </c>
    </row>
    <row r="27" spans="1:14" x14ac:dyDescent="0.25">
      <c r="A27" s="41">
        <f t="shared" si="2"/>
        <v>3744</v>
      </c>
      <c r="B27" s="42">
        <f t="shared" si="2"/>
        <v>17</v>
      </c>
      <c r="C27" s="41" t="s">
        <v>2336</v>
      </c>
      <c r="D27" s="43">
        <f t="shared" si="3"/>
        <v>57</v>
      </c>
      <c r="E27" s="61">
        <f t="shared" si="3"/>
        <v>6.27</v>
      </c>
      <c r="F27" s="44">
        <f t="shared" si="3"/>
        <v>11</v>
      </c>
      <c r="G27" s="44">
        <f t="shared" si="0"/>
        <v>9.4599999999999991</v>
      </c>
      <c r="H27" s="44">
        <f t="shared" si="1"/>
        <v>5.61</v>
      </c>
      <c r="I27" s="44">
        <f t="shared" si="3"/>
        <v>8</v>
      </c>
      <c r="J27" s="45">
        <v>60</v>
      </c>
      <c r="K27" s="37" t="str">
        <f>D27&amp;-5</f>
        <v>57-5</v>
      </c>
      <c r="L27" s="44">
        <f t="shared" si="4"/>
        <v>0.11</v>
      </c>
      <c r="M27" s="44">
        <f t="shared" si="4"/>
        <v>150</v>
      </c>
      <c r="N27" s="44">
        <f t="shared" si="4"/>
        <v>750</v>
      </c>
    </row>
    <row r="28" spans="1:14" x14ac:dyDescent="0.25">
      <c r="A28" s="41">
        <f t="shared" ref="A28:B43" si="5">A27+1</f>
        <v>3745</v>
      </c>
      <c r="B28" s="42">
        <f t="shared" si="5"/>
        <v>18</v>
      </c>
      <c r="C28" s="41" t="s">
        <v>2337</v>
      </c>
      <c r="D28" s="43">
        <f t="shared" si="3"/>
        <v>57</v>
      </c>
      <c r="E28" s="61">
        <f t="shared" si="3"/>
        <v>6.27</v>
      </c>
      <c r="F28" s="44">
        <f t="shared" si="3"/>
        <v>11</v>
      </c>
      <c r="G28" s="44">
        <f t="shared" si="0"/>
        <v>9.4599999999999991</v>
      </c>
      <c r="H28" s="44">
        <f t="shared" si="1"/>
        <v>5.61</v>
      </c>
      <c r="I28" s="44">
        <f t="shared" si="3"/>
        <v>8</v>
      </c>
      <c r="J28" s="45">
        <v>60</v>
      </c>
      <c r="K28" s="37" t="str">
        <f>D28&amp;-6</f>
        <v>57-6</v>
      </c>
      <c r="L28" s="44">
        <f t="shared" si="4"/>
        <v>0.11</v>
      </c>
      <c r="M28" s="44">
        <f t="shared" si="4"/>
        <v>150</v>
      </c>
      <c r="N28" s="44">
        <f t="shared" si="4"/>
        <v>750</v>
      </c>
    </row>
    <row r="29" spans="1:14" x14ac:dyDescent="0.25">
      <c r="A29" s="41">
        <f t="shared" si="5"/>
        <v>3746</v>
      </c>
      <c r="B29" s="42">
        <f t="shared" si="5"/>
        <v>19</v>
      </c>
      <c r="C29" s="41" t="s">
        <v>2338</v>
      </c>
      <c r="D29" s="43">
        <f t="shared" ref="D29:F44" si="6">D28</f>
        <v>57</v>
      </c>
      <c r="E29" s="61">
        <f t="shared" si="6"/>
        <v>6.27</v>
      </c>
      <c r="F29" s="44">
        <f t="shared" si="6"/>
        <v>11</v>
      </c>
      <c r="G29" s="44">
        <f t="shared" si="0"/>
        <v>9.4599999999999991</v>
      </c>
      <c r="H29" s="44">
        <f t="shared" si="1"/>
        <v>5.61</v>
      </c>
      <c r="I29" s="44">
        <f t="shared" ref="I29:I82" si="7">I28</f>
        <v>8</v>
      </c>
      <c r="J29" s="45">
        <v>90</v>
      </c>
      <c r="K29" s="37" t="str">
        <f>D29&amp;-1</f>
        <v>57-1</v>
      </c>
      <c r="L29" s="44">
        <f t="shared" ref="L29:N44" si="8">L28</f>
        <v>0.11</v>
      </c>
      <c r="M29" s="44">
        <f t="shared" si="8"/>
        <v>150</v>
      </c>
      <c r="N29" s="44">
        <f t="shared" si="8"/>
        <v>750</v>
      </c>
    </row>
    <row r="30" spans="1:14" x14ac:dyDescent="0.25">
      <c r="A30" s="41">
        <f t="shared" si="5"/>
        <v>3747</v>
      </c>
      <c r="B30" s="42">
        <f t="shared" si="5"/>
        <v>20</v>
      </c>
      <c r="C30" s="41" t="s">
        <v>2339</v>
      </c>
      <c r="D30" s="43">
        <f t="shared" si="6"/>
        <v>57</v>
      </c>
      <c r="E30" s="61">
        <f t="shared" si="6"/>
        <v>6.27</v>
      </c>
      <c r="F30" s="44">
        <f t="shared" si="6"/>
        <v>11</v>
      </c>
      <c r="G30" s="44">
        <f t="shared" si="0"/>
        <v>9.4599999999999991</v>
      </c>
      <c r="H30" s="44">
        <f t="shared" si="1"/>
        <v>5.61</v>
      </c>
      <c r="I30" s="44">
        <f t="shared" si="7"/>
        <v>8</v>
      </c>
      <c r="J30" s="45">
        <v>90</v>
      </c>
      <c r="K30" s="37" t="str">
        <f>D30&amp;-2</f>
        <v>57-2</v>
      </c>
      <c r="L30" s="44">
        <f t="shared" si="8"/>
        <v>0.11</v>
      </c>
      <c r="M30" s="44">
        <f t="shared" si="8"/>
        <v>150</v>
      </c>
      <c r="N30" s="44">
        <f t="shared" si="8"/>
        <v>750</v>
      </c>
    </row>
    <row r="31" spans="1:14" x14ac:dyDescent="0.25">
      <c r="A31" s="41">
        <f t="shared" si="5"/>
        <v>3748</v>
      </c>
      <c r="B31" s="42">
        <f t="shared" si="5"/>
        <v>21</v>
      </c>
      <c r="C31" s="41" t="s">
        <v>2340</v>
      </c>
      <c r="D31" s="43">
        <f t="shared" si="6"/>
        <v>57</v>
      </c>
      <c r="E31" s="61">
        <f t="shared" si="6"/>
        <v>6.27</v>
      </c>
      <c r="F31" s="44">
        <f t="shared" si="6"/>
        <v>11</v>
      </c>
      <c r="G31" s="44">
        <f t="shared" si="0"/>
        <v>9.4599999999999991</v>
      </c>
      <c r="H31" s="44">
        <f t="shared" si="1"/>
        <v>5.61</v>
      </c>
      <c r="I31" s="44">
        <f t="shared" si="7"/>
        <v>8</v>
      </c>
      <c r="J31" s="45">
        <v>90</v>
      </c>
      <c r="K31" s="37" t="str">
        <f>D31&amp;-3</f>
        <v>57-3</v>
      </c>
      <c r="L31" s="44">
        <f t="shared" si="8"/>
        <v>0.11</v>
      </c>
      <c r="M31" s="44">
        <f t="shared" si="8"/>
        <v>150</v>
      </c>
      <c r="N31" s="44">
        <f t="shared" si="8"/>
        <v>750</v>
      </c>
    </row>
    <row r="32" spans="1:14" x14ac:dyDescent="0.25">
      <c r="A32" s="41">
        <f t="shared" si="5"/>
        <v>3749</v>
      </c>
      <c r="B32" s="42">
        <f t="shared" si="5"/>
        <v>22</v>
      </c>
      <c r="C32" s="41" t="s">
        <v>2341</v>
      </c>
      <c r="D32" s="43">
        <f t="shared" si="6"/>
        <v>57</v>
      </c>
      <c r="E32" s="61">
        <f t="shared" si="6"/>
        <v>6.27</v>
      </c>
      <c r="F32" s="44">
        <f t="shared" si="6"/>
        <v>11</v>
      </c>
      <c r="G32" s="44">
        <f t="shared" si="0"/>
        <v>9.4599999999999991</v>
      </c>
      <c r="H32" s="44">
        <f t="shared" si="1"/>
        <v>5.61</v>
      </c>
      <c r="I32" s="44">
        <f t="shared" si="7"/>
        <v>8</v>
      </c>
      <c r="J32" s="45">
        <v>90</v>
      </c>
      <c r="K32" s="37" t="str">
        <f>D32&amp;-4</f>
        <v>57-4</v>
      </c>
      <c r="L32" s="44">
        <f t="shared" si="8"/>
        <v>0.11</v>
      </c>
      <c r="M32" s="44">
        <f t="shared" si="8"/>
        <v>150</v>
      </c>
      <c r="N32" s="44">
        <f t="shared" si="8"/>
        <v>750</v>
      </c>
    </row>
    <row r="33" spans="1:14" x14ac:dyDescent="0.25">
      <c r="A33" s="41">
        <f t="shared" si="5"/>
        <v>3750</v>
      </c>
      <c r="B33" s="42">
        <f t="shared" si="5"/>
        <v>23</v>
      </c>
      <c r="C33" s="41" t="s">
        <v>2342</v>
      </c>
      <c r="D33" s="43">
        <f t="shared" si="6"/>
        <v>57</v>
      </c>
      <c r="E33" s="61">
        <f t="shared" si="6"/>
        <v>6.27</v>
      </c>
      <c r="F33" s="44">
        <f t="shared" si="6"/>
        <v>11</v>
      </c>
      <c r="G33" s="44">
        <f t="shared" si="0"/>
        <v>9.4599999999999991</v>
      </c>
      <c r="H33" s="44">
        <f t="shared" si="1"/>
        <v>5.61</v>
      </c>
      <c r="I33" s="44">
        <f t="shared" si="7"/>
        <v>8</v>
      </c>
      <c r="J33" s="45">
        <v>90</v>
      </c>
      <c r="K33" s="37" t="str">
        <f>D33&amp;-5</f>
        <v>57-5</v>
      </c>
      <c r="L33" s="44">
        <f t="shared" si="8"/>
        <v>0.11</v>
      </c>
      <c r="M33" s="44">
        <f t="shared" si="8"/>
        <v>150</v>
      </c>
      <c r="N33" s="44">
        <f t="shared" si="8"/>
        <v>750</v>
      </c>
    </row>
    <row r="34" spans="1:14" x14ac:dyDescent="0.25">
      <c r="A34" s="41">
        <f t="shared" si="5"/>
        <v>3751</v>
      </c>
      <c r="B34" s="42">
        <f t="shared" si="5"/>
        <v>24</v>
      </c>
      <c r="C34" s="41" t="s">
        <v>2343</v>
      </c>
      <c r="D34" s="43">
        <f t="shared" si="6"/>
        <v>57</v>
      </c>
      <c r="E34" s="61">
        <f t="shared" si="6"/>
        <v>6.27</v>
      </c>
      <c r="F34" s="44">
        <f t="shared" si="6"/>
        <v>11</v>
      </c>
      <c r="G34" s="44">
        <f t="shared" si="0"/>
        <v>9.4599999999999991</v>
      </c>
      <c r="H34" s="44">
        <f t="shared" si="1"/>
        <v>5.61</v>
      </c>
      <c r="I34" s="44">
        <f t="shared" si="7"/>
        <v>8</v>
      </c>
      <c r="J34" s="45">
        <v>90</v>
      </c>
      <c r="K34" s="37" t="str">
        <f>D34&amp;-6</f>
        <v>57-6</v>
      </c>
      <c r="L34" s="44">
        <f t="shared" si="8"/>
        <v>0.11</v>
      </c>
      <c r="M34" s="44">
        <f t="shared" si="8"/>
        <v>150</v>
      </c>
      <c r="N34" s="44">
        <f t="shared" si="8"/>
        <v>750</v>
      </c>
    </row>
    <row r="35" spans="1:14" x14ac:dyDescent="0.25">
      <c r="A35" s="41">
        <f t="shared" si="5"/>
        <v>3752</v>
      </c>
      <c r="B35" s="42">
        <f t="shared" si="5"/>
        <v>25</v>
      </c>
      <c r="C35" s="41" t="s">
        <v>2344</v>
      </c>
      <c r="D35" s="43">
        <f t="shared" si="6"/>
        <v>57</v>
      </c>
      <c r="E35" s="61">
        <f t="shared" si="6"/>
        <v>6.27</v>
      </c>
      <c r="F35" s="44">
        <f t="shared" si="6"/>
        <v>11</v>
      </c>
      <c r="G35" s="44">
        <f t="shared" si="0"/>
        <v>9.4599999999999991</v>
      </c>
      <c r="H35" s="44">
        <f t="shared" si="1"/>
        <v>5.61</v>
      </c>
      <c r="I35" s="44">
        <f t="shared" si="7"/>
        <v>8</v>
      </c>
      <c r="J35" s="45">
        <v>120</v>
      </c>
      <c r="K35" s="37" t="str">
        <f>D35&amp;-1</f>
        <v>57-1</v>
      </c>
      <c r="L35" s="44">
        <f t="shared" si="8"/>
        <v>0.11</v>
      </c>
      <c r="M35" s="44">
        <f t="shared" si="8"/>
        <v>150</v>
      </c>
      <c r="N35" s="44">
        <f t="shared" si="8"/>
        <v>750</v>
      </c>
    </row>
    <row r="36" spans="1:14" x14ac:dyDescent="0.25">
      <c r="A36" s="41">
        <f t="shared" si="5"/>
        <v>3753</v>
      </c>
      <c r="B36" s="42">
        <f t="shared" si="5"/>
        <v>26</v>
      </c>
      <c r="C36" s="41" t="s">
        <v>2345</v>
      </c>
      <c r="D36" s="43">
        <f t="shared" si="6"/>
        <v>57</v>
      </c>
      <c r="E36" s="61">
        <f t="shared" si="6"/>
        <v>6.27</v>
      </c>
      <c r="F36" s="44">
        <f t="shared" si="6"/>
        <v>11</v>
      </c>
      <c r="G36" s="44">
        <f t="shared" si="0"/>
        <v>9.4599999999999991</v>
      </c>
      <c r="H36" s="44">
        <f t="shared" si="1"/>
        <v>5.61</v>
      </c>
      <c r="I36" s="44">
        <f t="shared" si="7"/>
        <v>8</v>
      </c>
      <c r="J36" s="45">
        <v>120</v>
      </c>
      <c r="K36" s="37" t="str">
        <f>D36&amp;-2</f>
        <v>57-2</v>
      </c>
      <c r="L36" s="44">
        <f t="shared" si="8"/>
        <v>0.11</v>
      </c>
      <c r="M36" s="44">
        <f t="shared" si="8"/>
        <v>150</v>
      </c>
      <c r="N36" s="44">
        <f t="shared" si="8"/>
        <v>750</v>
      </c>
    </row>
    <row r="37" spans="1:14" x14ac:dyDescent="0.25">
      <c r="A37" s="41">
        <f t="shared" si="5"/>
        <v>3754</v>
      </c>
      <c r="B37" s="42">
        <f t="shared" si="5"/>
        <v>27</v>
      </c>
      <c r="C37" s="41" t="s">
        <v>2346</v>
      </c>
      <c r="D37" s="43">
        <f t="shared" si="6"/>
        <v>57</v>
      </c>
      <c r="E37" s="61">
        <f t="shared" si="6"/>
        <v>6.27</v>
      </c>
      <c r="F37" s="44">
        <f t="shared" si="6"/>
        <v>11</v>
      </c>
      <c r="G37" s="44">
        <f t="shared" si="0"/>
        <v>9.4599999999999991</v>
      </c>
      <c r="H37" s="44">
        <f t="shared" si="1"/>
        <v>5.61</v>
      </c>
      <c r="I37" s="44">
        <f t="shared" si="7"/>
        <v>8</v>
      </c>
      <c r="J37" s="45">
        <v>120</v>
      </c>
      <c r="K37" s="37" t="str">
        <f>D37&amp;-3</f>
        <v>57-3</v>
      </c>
      <c r="L37" s="44">
        <f t="shared" si="8"/>
        <v>0.11</v>
      </c>
      <c r="M37" s="44">
        <f t="shared" si="8"/>
        <v>150</v>
      </c>
      <c r="N37" s="44">
        <f t="shared" si="8"/>
        <v>750</v>
      </c>
    </row>
    <row r="38" spans="1:14" x14ac:dyDescent="0.25">
      <c r="A38" s="41">
        <f t="shared" si="5"/>
        <v>3755</v>
      </c>
      <c r="B38" s="42">
        <f t="shared" si="5"/>
        <v>28</v>
      </c>
      <c r="C38" s="41" t="s">
        <v>2347</v>
      </c>
      <c r="D38" s="43">
        <f t="shared" si="6"/>
        <v>57</v>
      </c>
      <c r="E38" s="61">
        <f t="shared" si="6"/>
        <v>6.27</v>
      </c>
      <c r="F38" s="44">
        <f t="shared" si="6"/>
        <v>11</v>
      </c>
      <c r="G38" s="44">
        <f t="shared" si="0"/>
        <v>9.4599999999999991</v>
      </c>
      <c r="H38" s="44">
        <f t="shared" si="1"/>
        <v>5.61</v>
      </c>
      <c r="I38" s="44">
        <f t="shared" si="7"/>
        <v>8</v>
      </c>
      <c r="J38" s="45">
        <v>120</v>
      </c>
      <c r="K38" s="37" t="str">
        <f>D38&amp;-4</f>
        <v>57-4</v>
      </c>
      <c r="L38" s="44">
        <f t="shared" si="8"/>
        <v>0.11</v>
      </c>
      <c r="M38" s="44">
        <f t="shared" si="8"/>
        <v>150</v>
      </c>
      <c r="N38" s="44">
        <f t="shared" si="8"/>
        <v>750</v>
      </c>
    </row>
    <row r="39" spans="1:14" x14ac:dyDescent="0.25">
      <c r="A39" s="41">
        <f t="shared" si="5"/>
        <v>3756</v>
      </c>
      <c r="B39" s="42">
        <f t="shared" si="5"/>
        <v>29</v>
      </c>
      <c r="C39" s="41" t="s">
        <v>2348</v>
      </c>
      <c r="D39" s="43">
        <f t="shared" si="6"/>
        <v>57</v>
      </c>
      <c r="E39" s="61">
        <f t="shared" si="6"/>
        <v>6.27</v>
      </c>
      <c r="F39" s="44">
        <f t="shared" si="6"/>
        <v>11</v>
      </c>
      <c r="G39" s="44">
        <f t="shared" si="0"/>
        <v>9.4599999999999991</v>
      </c>
      <c r="H39" s="44">
        <f t="shared" si="1"/>
        <v>5.61</v>
      </c>
      <c r="I39" s="44">
        <f t="shared" si="7"/>
        <v>8</v>
      </c>
      <c r="J39" s="45">
        <v>120</v>
      </c>
      <c r="K39" s="37" t="str">
        <f>D39&amp;-5</f>
        <v>57-5</v>
      </c>
      <c r="L39" s="44">
        <f t="shared" si="8"/>
        <v>0.11</v>
      </c>
      <c r="M39" s="44">
        <f t="shared" si="8"/>
        <v>150</v>
      </c>
      <c r="N39" s="44">
        <f t="shared" si="8"/>
        <v>750</v>
      </c>
    </row>
    <row r="40" spans="1:14" x14ac:dyDescent="0.25">
      <c r="A40" s="41">
        <f t="shared" si="5"/>
        <v>3757</v>
      </c>
      <c r="B40" s="42">
        <f t="shared" si="5"/>
        <v>30</v>
      </c>
      <c r="C40" s="41" t="s">
        <v>2349</v>
      </c>
      <c r="D40" s="43">
        <f t="shared" si="6"/>
        <v>57</v>
      </c>
      <c r="E40" s="61">
        <f t="shared" si="6"/>
        <v>6.27</v>
      </c>
      <c r="F40" s="44">
        <f t="shared" si="6"/>
        <v>11</v>
      </c>
      <c r="G40" s="44">
        <f t="shared" si="0"/>
        <v>9.4599999999999991</v>
      </c>
      <c r="H40" s="44">
        <f t="shared" si="1"/>
        <v>5.61</v>
      </c>
      <c r="I40" s="44">
        <f t="shared" si="7"/>
        <v>8</v>
      </c>
      <c r="J40" s="45">
        <v>120</v>
      </c>
      <c r="K40" s="37" t="str">
        <f>D40&amp;-6</f>
        <v>57-6</v>
      </c>
      <c r="L40" s="44">
        <f t="shared" si="8"/>
        <v>0.11</v>
      </c>
      <c r="M40" s="44">
        <f t="shared" si="8"/>
        <v>150</v>
      </c>
      <c r="N40" s="44">
        <f t="shared" si="8"/>
        <v>750</v>
      </c>
    </row>
    <row r="41" spans="1:14" x14ac:dyDescent="0.25">
      <c r="A41" s="41">
        <f t="shared" si="5"/>
        <v>3758</v>
      </c>
      <c r="B41" s="42">
        <f t="shared" si="5"/>
        <v>31</v>
      </c>
      <c r="C41" s="41" t="s">
        <v>2350</v>
      </c>
      <c r="D41" s="43">
        <f t="shared" si="6"/>
        <v>57</v>
      </c>
      <c r="E41" s="61">
        <f t="shared" si="6"/>
        <v>6.27</v>
      </c>
      <c r="F41" s="44">
        <f t="shared" si="6"/>
        <v>11</v>
      </c>
      <c r="G41" s="44">
        <f t="shared" si="0"/>
        <v>9.4599999999999991</v>
      </c>
      <c r="H41" s="44">
        <f t="shared" si="1"/>
        <v>5.61</v>
      </c>
      <c r="I41" s="44">
        <f t="shared" si="7"/>
        <v>8</v>
      </c>
      <c r="J41" s="45">
        <v>150</v>
      </c>
      <c r="K41" s="37" t="str">
        <f>D41&amp;-1</f>
        <v>57-1</v>
      </c>
      <c r="L41" s="44">
        <f t="shared" si="8"/>
        <v>0.11</v>
      </c>
      <c r="M41" s="44">
        <f t="shared" si="8"/>
        <v>150</v>
      </c>
      <c r="N41" s="44">
        <f t="shared" si="8"/>
        <v>750</v>
      </c>
    </row>
    <row r="42" spans="1:14" x14ac:dyDescent="0.25">
      <c r="A42" s="41">
        <f t="shared" si="5"/>
        <v>3759</v>
      </c>
      <c r="B42" s="42">
        <f t="shared" si="5"/>
        <v>32</v>
      </c>
      <c r="C42" s="41" t="s">
        <v>2351</v>
      </c>
      <c r="D42" s="43">
        <f t="shared" si="6"/>
        <v>57</v>
      </c>
      <c r="E42" s="61">
        <f t="shared" si="6"/>
        <v>6.27</v>
      </c>
      <c r="F42" s="44">
        <f t="shared" si="6"/>
        <v>11</v>
      </c>
      <c r="G42" s="44">
        <f t="shared" si="0"/>
        <v>9.4599999999999991</v>
      </c>
      <c r="H42" s="44">
        <f t="shared" si="1"/>
        <v>5.61</v>
      </c>
      <c r="I42" s="44">
        <f t="shared" si="7"/>
        <v>8</v>
      </c>
      <c r="J42" s="45">
        <v>150</v>
      </c>
      <c r="K42" s="37" t="str">
        <f>D42&amp;-2</f>
        <v>57-2</v>
      </c>
      <c r="L42" s="44">
        <f t="shared" si="8"/>
        <v>0.11</v>
      </c>
      <c r="M42" s="44">
        <f t="shared" si="8"/>
        <v>150</v>
      </c>
      <c r="N42" s="44">
        <f t="shared" si="8"/>
        <v>750</v>
      </c>
    </row>
    <row r="43" spans="1:14" x14ac:dyDescent="0.25">
      <c r="A43" s="41">
        <f t="shared" si="5"/>
        <v>3760</v>
      </c>
      <c r="B43" s="42">
        <f t="shared" si="5"/>
        <v>33</v>
      </c>
      <c r="C43" s="41" t="s">
        <v>2352</v>
      </c>
      <c r="D43" s="43">
        <f t="shared" si="6"/>
        <v>57</v>
      </c>
      <c r="E43" s="61">
        <f t="shared" si="6"/>
        <v>6.27</v>
      </c>
      <c r="F43" s="44">
        <f t="shared" si="6"/>
        <v>11</v>
      </c>
      <c r="G43" s="44">
        <f t="shared" ref="G43:G74" si="9">m_ty_t*F43</f>
        <v>9.4599999999999991</v>
      </c>
      <c r="H43" s="44">
        <f t="shared" ref="H43:H74" si="10">m_tz_t*F43</f>
        <v>5.61</v>
      </c>
      <c r="I43" s="44">
        <f t="shared" si="7"/>
        <v>8</v>
      </c>
      <c r="J43" s="45">
        <v>150</v>
      </c>
      <c r="K43" s="37" t="str">
        <f>D43&amp;-3</f>
        <v>57-3</v>
      </c>
      <c r="L43" s="44">
        <f t="shared" si="8"/>
        <v>0.11</v>
      </c>
      <c r="M43" s="44">
        <f t="shared" si="8"/>
        <v>150</v>
      </c>
      <c r="N43" s="44">
        <f t="shared" si="8"/>
        <v>750</v>
      </c>
    </row>
    <row r="44" spans="1:14" x14ac:dyDescent="0.25">
      <c r="A44" s="41">
        <f t="shared" ref="A44:B59" si="11">A43+1</f>
        <v>3761</v>
      </c>
      <c r="B44" s="42">
        <f t="shared" si="11"/>
        <v>34</v>
      </c>
      <c r="C44" s="41" t="s">
        <v>2353</v>
      </c>
      <c r="D44" s="43">
        <f t="shared" si="6"/>
        <v>57</v>
      </c>
      <c r="E44" s="61">
        <f t="shared" si="6"/>
        <v>6.27</v>
      </c>
      <c r="F44" s="44">
        <f t="shared" si="6"/>
        <v>11</v>
      </c>
      <c r="G44" s="44">
        <f t="shared" si="9"/>
        <v>9.4599999999999991</v>
      </c>
      <c r="H44" s="44">
        <f t="shared" si="10"/>
        <v>5.61</v>
      </c>
      <c r="I44" s="44">
        <f t="shared" si="7"/>
        <v>8</v>
      </c>
      <c r="J44" s="45">
        <v>150</v>
      </c>
      <c r="K44" s="37" t="str">
        <f>D44&amp;-4</f>
        <v>57-4</v>
      </c>
      <c r="L44" s="44">
        <f t="shared" si="8"/>
        <v>0.11</v>
      </c>
      <c r="M44" s="44">
        <f t="shared" si="8"/>
        <v>150</v>
      </c>
      <c r="N44" s="44">
        <f t="shared" si="8"/>
        <v>750</v>
      </c>
    </row>
    <row r="45" spans="1:14" x14ac:dyDescent="0.25">
      <c r="A45" s="41">
        <f t="shared" si="11"/>
        <v>3762</v>
      </c>
      <c r="B45" s="42">
        <f t="shared" si="11"/>
        <v>35</v>
      </c>
      <c r="C45" s="41" t="s">
        <v>2354</v>
      </c>
      <c r="D45" s="43">
        <f t="shared" ref="D45:F60" si="12">D44</f>
        <v>57</v>
      </c>
      <c r="E45" s="61">
        <f t="shared" si="12"/>
        <v>6.27</v>
      </c>
      <c r="F45" s="44">
        <f t="shared" si="12"/>
        <v>11</v>
      </c>
      <c r="G45" s="44">
        <f t="shared" si="9"/>
        <v>9.4599999999999991</v>
      </c>
      <c r="H45" s="44">
        <f t="shared" si="10"/>
        <v>5.61</v>
      </c>
      <c r="I45" s="44">
        <f t="shared" si="7"/>
        <v>8</v>
      </c>
      <c r="J45" s="45">
        <v>150</v>
      </c>
      <c r="K45" s="37" t="str">
        <f>D45&amp;-5</f>
        <v>57-5</v>
      </c>
      <c r="L45" s="44">
        <f t="shared" ref="L45:N60" si="13">L44</f>
        <v>0.11</v>
      </c>
      <c r="M45" s="44">
        <f t="shared" si="13"/>
        <v>150</v>
      </c>
      <c r="N45" s="44">
        <f t="shared" si="13"/>
        <v>750</v>
      </c>
    </row>
    <row r="46" spans="1:14" x14ac:dyDescent="0.25">
      <c r="A46" s="41">
        <f t="shared" si="11"/>
        <v>3763</v>
      </c>
      <c r="B46" s="42">
        <f t="shared" si="11"/>
        <v>36</v>
      </c>
      <c r="C46" s="41" t="s">
        <v>2355</v>
      </c>
      <c r="D46" s="43">
        <f t="shared" si="12"/>
        <v>57</v>
      </c>
      <c r="E46" s="61">
        <f t="shared" si="12"/>
        <v>6.27</v>
      </c>
      <c r="F46" s="44">
        <f t="shared" si="12"/>
        <v>11</v>
      </c>
      <c r="G46" s="44">
        <f t="shared" si="9"/>
        <v>9.4599999999999991</v>
      </c>
      <c r="H46" s="44">
        <f t="shared" si="10"/>
        <v>5.61</v>
      </c>
      <c r="I46" s="44">
        <f t="shared" si="7"/>
        <v>8</v>
      </c>
      <c r="J46" s="45">
        <v>150</v>
      </c>
      <c r="K46" s="37" t="str">
        <f>D46&amp;-6</f>
        <v>57-6</v>
      </c>
      <c r="L46" s="44">
        <f t="shared" si="13"/>
        <v>0.11</v>
      </c>
      <c r="M46" s="44">
        <f t="shared" si="13"/>
        <v>150</v>
      </c>
      <c r="N46" s="44">
        <f t="shared" si="13"/>
        <v>750</v>
      </c>
    </row>
    <row r="47" spans="1:14" x14ac:dyDescent="0.25">
      <c r="A47" s="41">
        <f t="shared" si="11"/>
        <v>3764</v>
      </c>
      <c r="B47" s="42">
        <f t="shared" si="11"/>
        <v>37</v>
      </c>
      <c r="C47" s="41" t="s">
        <v>2356</v>
      </c>
      <c r="D47" s="43">
        <f t="shared" si="12"/>
        <v>57</v>
      </c>
      <c r="E47" s="61">
        <f t="shared" si="12"/>
        <v>6.27</v>
      </c>
      <c r="F47" s="44">
        <f t="shared" si="12"/>
        <v>11</v>
      </c>
      <c r="G47" s="44">
        <f t="shared" si="9"/>
        <v>9.4599999999999991</v>
      </c>
      <c r="H47" s="44">
        <f t="shared" si="10"/>
        <v>5.61</v>
      </c>
      <c r="I47" s="44">
        <f t="shared" si="7"/>
        <v>8</v>
      </c>
      <c r="J47" s="45">
        <v>180</v>
      </c>
      <c r="K47" s="37" t="str">
        <f>D47&amp;-1</f>
        <v>57-1</v>
      </c>
      <c r="L47" s="44">
        <f t="shared" si="13"/>
        <v>0.11</v>
      </c>
      <c r="M47" s="44">
        <f t="shared" si="13"/>
        <v>150</v>
      </c>
      <c r="N47" s="44">
        <f t="shared" si="13"/>
        <v>750</v>
      </c>
    </row>
    <row r="48" spans="1:14" x14ac:dyDescent="0.25">
      <c r="A48" s="41">
        <f t="shared" si="11"/>
        <v>3765</v>
      </c>
      <c r="B48" s="42">
        <f t="shared" si="11"/>
        <v>38</v>
      </c>
      <c r="C48" s="41" t="s">
        <v>2357</v>
      </c>
      <c r="D48" s="43">
        <f t="shared" si="12"/>
        <v>57</v>
      </c>
      <c r="E48" s="61">
        <f t="shared" si="12"/>
        <v>6.27</v>
      </c>
      <c r="F48" s="44">
        <f t="shared" si="12"/>
        <v>11</v>
      </c>
      <c r="G48" s="44">
        <f t="shared" si="9"/>
        <v>9.4599999999999991</v>
      </c>
      <c r="H48" s="44">
        <f t="shared" si="10"/>
        <v>5.61</v>
      </c>
      <c r="I48" s="44">
        <f t="shared" si="7"/>
        <v>8</v>
      </c>
      <c r="J48" s="45">
        <v>180</v>
      </c>
      <c r="K48" s="37" t="str">
        <f>D48&amp;-2</f>
        <v>57-2</v>
      </c>
      <c r="L48" s="44">
        <f t="shared" si="13"/>
        <v>0.11</v>
      </c>
      <c r="M48" s="44">
        <f t="shared" si="13"/>
        <v>150</v>
      </c>
      <c r="N48" s="44">
        <f t="shared" si="13"/>
        <v>750</v>
      </c>
    </row>
    <row r="49" spans="1:14" x14ac:dyDescent="0.25">
      <c r="A49" s="41">
        <f t="shared" si="11"/>
        <v>3766</v>
      </c>
      <c r="B49" s="42">
        <f t="shared" si="11"/>
        <v>39</v>
      </c>
      <c r="C49" s="41" t="s">
        <v>2358</v>
      </c>
      <c r="D49" s="43">
        <f t="shared" si="12"/>
        <v>57</v>
      </c>
      <c r="E49" s="61">
        <f t="shared" si="12"/>
        <v>6.27</v>
      </c>
      <c r="F49" s="44">
        <f t="shared" si="12"/>
        <v>11</v>
      </c>
      <c r="G49" s="44">
        <f t="shared" si="9"/>
        <v>9.4599999999999991</v>
      </c>
      <c r="H49" s="44">
        <f t="shared" si="10"/>
        <v>5.61</v>
      </c>
      <c r="I49" s="44">
        <f t="shared" si="7"/>
        <v>8</v>
      </c>
      <c r="J49" s="45">
        <v>180</v>
      </c>
      <c r="K49" s="37" t="str">
        <f>D49&amp;-3</f>
        <v>57-3</v>
      </c>
      <c r="L49" s="44">
        <f t="shared" si="13"/>
        <v>0.11</v>
      </c>
      <c r="M49" s="44">
        <f t="shared" si="13"/>
        <v>150</v>
      </c>
      <c r="N49" s="44">
        <f t="shared" si="13"/>
        <v>750</v>
      </c>
    </row>
    <row r="50" spans="1:14" x14ac:dyDescent="0.25">
      <c r="A50" s="41">
        <f t="shared" si="11"/>
        <v>3767</v>
      </c>
      <c r="B50" s="42">
        <f t="shared" si="11"/>
        <v>40</v>
      </c>
      <c r="C50" s="41" t="s">
        <v>2359</v>
      </c>
      <c r="D50" s="43">
        <f t="shared" si="12"/>
        <v>57</v>
      </c>
      <c r="E50" s="61">
        <f t="shared" si="12"/>
        <v>6.27</v>
      </c>
      <c r="F50" s="44">
        <f t="shared" si="12"/>
        <v>11</v>
      </c>
      <c r="G50" s="44">
        <f t="shared" si="9"/>
        <v>9.4599999999999991</v>
      </c>
      <c r="H50" s="44">
        <f t="shared" si="10"/>
        <v>5.61</v>
      </c>
      <c r="I50" s="44">
        <f t="shared" si="7"/>
        <v>8</v>
      </c>
      <c r="J50" s="45">
        <v>180</v>
      </c>
      <c r="K50" s="37" t="str">
        <f>D50&amp;-4</f>
        <v>57-4</v>
      </c>
      <c r="L50" s="44">
        <f t="shared" si="13"/>
        <v>0.11</v>
      </c>
      <c r="M50" s="44">
        <f t="shared" si="13"/>
        <v>150</v>
      </c>
      <c r="N50" s="44">
        <f t="shared" si="13"/>
        <v>750</v>
      </c>
    </row>
    <row r="51" spans="1:14" x14ac:dyDescent="0.25">
      <c r="A51" s="41">
        <f t="shared" si="11"/>
        <v>3768</v>
      </c>
      <c r="B51" s="42">
        <f t="shared" si="11"/>
        <v>41</v>
      </c>
      <c r="C51" s="41" t="s">
        <v>2360</v>
      </c>
      <c r="D51" s="43">
        <f t="shared" si="12"/>
        <v>57</v>
      </c>
      <c r="E51" s="61">
        <f t="shared" si="12"/>
        <v>6.27</v>
      </c>
      <c r="F51" s="44">
        <f t="shared" si="12"/>
        <v>11</v>
      </c>
      <c r="G51" s="44">
        <f t="shared" si="9"/>
        <v>9.4599999999999991</v>
      </c>
      <c r="H51" s="44">
        <f t="shared" si="10"/>
        <v>5.61</v>
      </c>
      <c r="I51" s="44">
        <f t="shared" si="7"/>
        <v>8</v>
      </c>
      <c r="J51" s="45">
        <v>180</v>
      </c>
      <c r="K51" s="37" t="str">
        <f>D51&amp;-5</f>
        <v>57-5</v>
      </c>
      <c r="L51" s="44">
        <f t="shared" si="13"/>
        <v>0.11</v>
      </c>
      <c r="M51" s="44">
        <f t="shared" si="13"/>
        <v>150</v>
      </c>
      <c r="N51" s="44">
        <f t="shared" si="13"/>
        <v>750</v>
      </c>
    </row>
    <row r="52" spans="1:14" x14ac:dyDescent="0.25">
      <c r="A52" s="41">
        <f t="shared" si="11"/>
        <v>3769</v>
      </c>
      <c r="B52" s="42">
        <f t="shared" si="11"/>
        <v>42</v>
      </c>
      <c r="C52" s="41" t="s">
        <v>2361</v>
      </c>
      <c r="D52" s="43">
        <f t="shared" si="12"/>
        <v>57</v>
      </c>
      <c r="E52" s="61">
        <f t="shared" si="12"/>
        <v>6.27</v>
      </c>
      <c r="F52" s="44">
        <f t="shared" si="12"/>
        <v>11</v>
      </c>
      <c r="G52" s="44">
        <f t="shared" si="9"/>
        <v>9.4599999999999991</v>
      </c>
      <c r="H52" s="44">
        <f t="shared" si="10"/>
        <v>5.61</v>
      </c>
      <c r="I52" s="44">
        <f t="shared" si="7"/>
        <v>8</v>
      </c>
      <c r="J52" s="45">
        <v>180</v>
      </c>
      <c r="K52" s="37" t="str">
        <f>D52&amp;-6</f>
        <v>57-6</v>
      </c>
      <c r="L52" s="44">
        <f t="shared" si="13"/>
        <v>0.11</v>
      </c>
      <c r="M52" s="44">
        <f t="shared" si="13"/>
        <v>150</v>
      </c>
      <c r="N52" s="44">
        <f t="shared" si="13"/>
        <v>750</v>
      </c>
    </row>
    <row r="53" spans="1:14" x14ac:dyDescent="0.25">
      <c r="A53" s="41">
        <f t="shared" si="11"/>
        <v>3770</v>
      </c>
      <c r="B53" s="42">
        <f t="shared" si="11"/>
        <v>43</v>
      </c>
      <c r="C53" s="41" t="s">
        <v>2362</v>
      </c>
      <c r="D53" s="43">
        <f t="shared" si="12"/>
        <v>57</v>
      </c>
      <c r="E53" s="61">
        <f t="shared" si="12"/>
        <v>6.27</v>
      </c>
      <c r="F53" s="44">
        <f t="shared" si="12"/>
        <v>11</v>
      </c>
      <c r="G53" s="44">
        <f t="shared" si="9"/>
        <v>9.4599999999999991</v>
      </c>
      <c r="H53" s="44">
        <f t="shared" si="10"/>
        <v>5.61</v>
      </c>
      <c r="I53" s="44">
        <f t="shared" si="7"/>
        <v>8</v>
      </c>
      <c r="J53" s="45">
        <v>210</v>
      </c>
      <c r="K53" s="37" t="str">
        <f>D53&amp;-1</f>
        <v>57-1</v>
      </c>
      <c r="L53" s="44">
        <f t="shared" si="13"/>
        <v>0.11</v>
      </c>
      <c r="M53" s="44">
        <f t="shared" si="13"/>
        <v>150</v>
      </c>
      <c r="N53" s="44">
        <f t="shared" si="13"/>
        <v>750</v>
      </c>
    </row>
    <row r="54" spans="1:14" x14ac:dyDescent="0.25">
      <c r="A54" s="41">
        <f t="shared" si="11"/>
        <v>3771</v>
      </c>
      <c r="B54" s="42">
        <f t="shared" si="11"/>
        <v>44</v>
      </c>
      <c r="C54" s="41" t="s">
        <v>2363</v>
      </c>
      <c r="D54" s="43">
        <f t="shared" si="12"/>
        <v>57</v>
      </c>
      <c r="E54" s="61">
        <f t="shared" si="12"/>
        <v>6.27</v>
      </c>
      <c r="F54" s="44">
        <f t="shared" si="12"/>
        <v>11</v>
      </c>
      <c r="G54" s="44">
        <f t="shared" si="9"/>
        <v>9.4599999999999991</v>
      </c>
      <c r="H54" s="44">
        <f t="shared" si="10"/>
        <v>5.61</v>
      </c>
      <c r="I54" s="44">
        <f t="shared" si="7"/>
        <v>8</v>
      </c>
      <c r="J54" s="45">
        <v>210</v>
      </c>
      <c r="K54" s="37" t="str">
        <f>D54&amp;-2</f>
        <v>57-2</v>
      </c>
      <c r="L54" s="44">
        <f t="shared" si="13"/>
        <v>0.11</v>
      </c>
      <c r="M54" s="44">
        <f t="shared" si="13"/>
        <v>150</v>
      </c>
      <c r="N54" s="44">
        <f t="shared" si="13"/>
        <v>750</v>
      </c>
    </row>
    <row r="55" spans="1:14" x14ac:dyDescent="0.25">
      <c r="A55" s="41">
        <f t="shared" si="11"/>
        <v>3772</v>
      </c>
      <c r="B55" s="42">
        <f t="shared" si="11"/>
        <v>45</v>
      </c>
      <c r="C55" s="41" t="s">
        <v>2364</v>
      </c>
      <c r="D55" s="43">
        <f t="shared" si="12"/>
        <v>57</v>
      </c>
      <c r="E55" s="61">
        <f t="shared" si="12"/>
        <v>6.27</v>
      </c>
      <c r="F55" s="44">
        <f t="shared" si="12"/>
        <v>11</v>
      </c>
      <c r="G55" s="44">
        <f t="shared" si="9"/>
        <v>9.4599999999999991</v>
      </c>
      <c r="H55" s="44">
        <f t="shared" si="10"/>
        <v>5.61</v>
      </c>
      <c r="I55" s="44">
        <f t="shared" si="7"/>
        <v>8</v>
      </c>
      <c r="J55" s="45">
        <v>210</v>
      </c>
      <c r="K55" s="37" t="str">
        <f>D55&amp;-3</f>
        <v>57-3</v>
      </c>
      <c r="L55" s="44">
        <f t="shared" si="13"/>
        <v>0.11</v>
      </c>
      <c r="M55" s="44">
        <f t="shared" si="13"/>
        <v>150</v>
      </c>
      <c r="N55" s="44">
        <f t="shared" si="13"/>
        <v>750</v>
      </c>
    </row>
    <row r="56" spans="1:14" x14ac:dyDescent="0.25">
      <c r="A56" s="41">
        <f t="shared" si="11"/>
        <v>3773</v>
      </c>
      <c r="B56" s="42">
        <f t="shared" si="11"/>
        <v>46</v>
      </c>
      <c r="C56" s="41" t="s">
        <v>2365</v>
      </c>
      <c r="D56" s="43">
        <f t="shared" si="12"/>
        <v>57</v>
      </c>
      <c r="E56" s="61">
        <f t="shared" si="12"/>
        <v>6.27</v>
      </c>
      <c r="F56" s="44">
        <f t="shared" si="12"/>
        <v>11</v>
      </c>
      <c r="G56" s="44">
        <f t="shared" si="9"/>
        <v>9.4599999999999991</v>
      </c>
      <c r="H56" s="44">
        <f t="shared" si="10"/>
        <v>5.61</v>
      </c>
      <c r="I56" s="44">
        <f t="shared" si="7"/>
        <v>8</v>
      </c>
      <c r="J56" s="45">
        <v>210</v>
      </c>
      <c r="K56" s="37" t="str">
        <f>D56&amp;-4</f>
        <v>57-4</v>
      </c>
      <c r="L56" s="44">
        <f t="shared" si="13"/>
        <v>0.11</v>
      </c>
      <c r="M56" s="44">
        <f t="shared" si="13"/>
        <v>150</v>
      </c>
      <c r="N56" s="44">
        <f t="shared" si="13"/>
        <v>750</v>
      </c>
    </row>
    <row r="57" spans="1:14" x14ac:dyDescent="0.25">
      <c r="A57" s="41">
        <f t="shared" si="11"/>
        <v>3774</v>
      </c>
      <c r="B57" s="42">
        <f t="shared" si="11"/>
        <v>47</v>
      </c>
      <c r="C57" s="41" t="s">
        <v>2366</v>
      </c>
      <c r="D57" s="43">
        <f t="shared" si="12"/>
        <v>57</v>
      </c>
      <c r="E57" s="61">
        <f t="shared" si="12"/>
        <v>6.27</v>
      </c>
      <c r="F57" s="44">
        <f t="shared" si="12"/>
        <v>11</v>
      </c>
      <c r="G57" s="44">
        <f t="shared" si="9"/>
        <v>9.4599999999999991</v>
      </c>
      <c r="H57" s="44">
        <f t="shared" si="10"/>
        <v>5.61</v>
      </c>
      <c r="I57" s="44">
        <f t="shared" si="7"/>
        <v>8</v>
      </c>
      <c r="J57" s="45">
        <v>210</v>
      </c>
      <c r="K57" s="37" t="str">
        <f>D57&amp;-5</f>
        <v>57-5</v>
      </c>
      <c r="L57" s="44">
        <f t="shared" si="13"/>
        <v>0.11</v>
      </c>
      <c r="M57" s="44">
        <f t="shared" si="13"/>
        <v>150</v>
      </c>
      <c r="N57" s="44">
        <f t="shared" si="13"/>
        <v>750</v>
      </c>
    </row>
    <row r="58" spans="1:14" x14ac:dyDescent="0.25">
      <c r="A58" s="41">
        <f t="shared" si="11"/>
        <v>3775</v>
      </c>
      <c r="B58" s="42">
        <f t="shared" si="11"/>
        <v>48</v>
      </c>
      <c r="C58" s="41" t="s">
        <v>2367</v>
      </c>
      <c r="D58" s="43">
        <f t="shared" si="12"/>
        <v>57</v>
      </c>
      <c r="E58" s="61">
        <f t="shared" si="12"/>
        <v>6.27</v>
      </c>
      <c r="F58" s="44">
        <f t="shared" si="12"/>
        <v>11</v>
      </c>
      <c r="G58" s="44">
        <f t="shared" si="9"/>
        <v>9.4599999999999991</v>
      </c>
      <c r="H58" s="44">
        <f t="shared" si="10"/>
        <v>5.61</v>
      </c>
      <c r="I58" s="44">
        <f t="shared" si="7"/>
        <v>8</v>
      </c>
      <c r="J58" s="45">
        <v>210</v>
      </c>
      <c r="K58" s="37" t="str">
        <f>D58&amp;-6</f>
        <v>57-6</v>
      </c>
      <c r="L58" s="44">
        <f t="shared" si="13"/>
        <v>0.11</v>
      </c>
      <c r="M58" s="44">
        <f t="shared" si="13"/>
        <v>150</v>
      </c>
      <c r="N58" s="44">
        <f t="shared" si="13"/>
        <v>750</v>
      </c>
    </row>
    <row r="59" spans="1:14" x14ac:dyDescent="0.25">
      <c r="A59" s="41">
        <f t="shared" si="11"/>
        <v>3776</v>
      </c>
      <c r="B59" s="42">
        <f t="shared" si="11"/>
        <v>49</v>
      </c>
      <c r="C59" s="41" t="s">
        <v>2368</v>
      </c>
      <c r="D59" s="43">
        <f t="shared" si="12"/>
        <v>57</v>
      </c>
      <c r="E59" s="61">
        <f t="shared" si="12"/>
        <v>6.27</v>
      </c>
      <c r="F59" s="44">
        <f t="shared" si="12"/>
        <v>11</v>
      </c>
      <c r="G59" s="44">
        <f t="shared" si="9"/>
        <v>9.4599999999999991</v>
      </c>
      <c r="H59" s="44">
        <f t="shared" si="10"/>
        <v>5.61</v>
      </c>
      <c r="I59" s="44">
        <f t="shared" si="7"/>
        <v>8</v>
      </c>
      <c r="J59" s="45">
        <v>240</v>
      </c>
      <c r="K59" s="37" t="str">
        <f>D59&amp;-1</f>
        <v>57-1</v>
      </c>
      <c r="L59" s="44">
        <f t="shared" si="13"/>
        <v>0.11</v>
      </c>
      <c r="M59" s="44">
        <f t="shared" si="13"/>
        <v>150</v>
      </c>
      <c r="N59" s="44">
        <f t="shared" si="13"/>
        <v>750</v>
      </c>
    </row>
    <row r="60" spans="1:14" x14ac:dyDescent="0.25">
      <c r="A60" s="41">
        <f t="shared" ref="A60:B75" si="14">A59+1</f>
        <v>3777</v>
      </c>
      <c r="B60" s="42">
        <f t="shared" si="14"/>
        <v>50</v>
      </c>
      <c r="C60" s="41" t="s">
        <v>2369</v>
      </c>
      <c r="D60" s="43">
        <f t="shared" si="12"/>
        <v>57</v>
      </c>
      <c r="E60" s="61">
        <f t="shared" si="12"/>
        <v>6.27</v>
      </c>
      <c r="F60" s="44">
        <f t="shared" si="12"/>
        <v>11</v>
      </c>
      <c r="G60" s="44">
        <f t="shared" si="9"/>
        <v>9.4599999999999991</v>
      </c>
      <c r="H60" s="44">
        <f t="shared" si="10"/>
        <v>5.61</v>
      </c>
      <c r="I60" s="44">
        <f t="shared" si="7"/>
        <v>8</v>
      </c>
      <c r="J60" s="45">
        <v>240</v>
      </c>
      <c r="K60" s="37" t="str">
        <f>D60&amp;-2</f>
        <v>57-2</v>
      </c>
      <c r="L60" s="44">
        <f t="shared" si="13"/>
        <v>0.11</v>
      </c>
      <c r="M60" s="44">
        <f t="shared" si="13"/>
        <v>150</v>
      </c>
      <c r="N60" s="44">
        <f t="shared" si="13"/>
        <v>750</v>
      </c>
    </row>
    <row r="61" spans="1:14" x14ac:dyDescent="0.25">
      <c r="A61" s="41">
        <f t="shared" si="14"/>
        <v>3778</v>
      </c>
      <c r="B61" s="42">
        <f t="shared" si="14"/>
        <v>51</v>
      </c>
      <c r="C61" s="41" t="s">
        <v>2370</v>
      </c>
      <c r="D61" s="43">
        <f t="shared" ref="D61:F76" si="15">D60</f>
        <v>57</v>
      </c>
      <c r="E61" s="61">
        <f t="shared" si="15"/>
        <v>6.27</v>
      </c>
      <c r="F61" s="44">
        <f t="shared" si="15"/>
        <v>11</v>
      </c>
      <c r="G61" s="44">
        <f t="shared" si="9"/>
        <v>9.4599999999999991</v>
      </c>
      <c r="H61" s="44">
        <f t="shared" si="10"/>
        <v>5.61</v>
      </c>
      <c r="I61" s="44">
        <f t="shared" si="7"/>
        <v>8</v>
      </c>
      <c r="J61" s="45">
        <v>240</v>
      </c>
      <c r="K61" s="37" t="str">
        <f>D61&amp;-3</f>
        <v>57-3</v>
      </c>
      <c r="L61" s="44">
        <f t="shared" ref="L61:N76" si="16">L60</f>
        <v>0.11</v>
      </c>
      <c r="M61" s="44">
        <f t="shared" si="16"/>
        <v>150</v>
      </c>
      <c r="N61" s="44">
        <f t="shared" si="16"/>
        <v>750</v>
      </c>
    </row>
    <row r="62" spans="1:14" x14ac:dyDescent="0.25">
      <c r="A62" s="41">
        <f t="shared" si="14"/>
        <v>3779</v>
      </c>
      <c r="B62" s="42">
        <f t="shared" si="14"/>
        <v>52</v>
      </c>
      <c r="C62" s="41" t="s">
        <v>2371</v>
      </c>
      <c r="D62" s="43">
        <f t="shared" si="15"/>
        <v>57</v>
      </c>
      <c r="E62" s="61">
        <f t="shared" si="15"/>
        <v>6.27</v>
      </c>
      <c r="F62" s="44">
        <f t="shared" si="15"/>
        <v>11</v>
      </c>
      <c r="G62" s="44">
        <f t="shared" si="9"/>
        <v>9.4599999999999991</v>
      </c>
      <c r="H62" s="44">
        <f t="shared" si="10"/>
        <v>5.61</v>
      </c>
      <c r="I62" s="44">
        <f t="shared" si="7"/>
        <v>8</v>
      </c>
      <c r="J62" s="45">
        <v>240</v>
      </c>
      <c r="K62" s="37" t="str">
        <f>D62&amp;-4</f>
        <v>57-4</v>
      </c>
      <c r="L62" s="44">
        <f t="shared" si="16"/>
        <v>0.11</v>
      </c>
      <c r="M62" s="44">
        <f t="shared" si="16"/>
        <v>150</v>
      </c>
      <c r="N62" s="44">
        <f t="shared" si="16"/>
        <v>750</v>
      </c>
    </row>
    <row r="63" spans="1:14" x14ac:dyDescent="0.25">
      <c r="A63" s="41">
        <f t="shared" si="14"/>
        <v>3780</v>
      </c>
      <c r="B63" s="42">
        <f t="shared" si="14"/>
        <v>53</v>
      </c>
      <c r="C63" s="41" t="s">
        <v>2372</v>
      </c>
      <c r="D63" s="43">
        <f t="shared" si="15"/>
        <v>57</v>
      </c>
      <c r="E63" s="61">
        <f t="shared" si="15"/>
        <v>6.27</v>
      </c>
      <c r="F63" s="44">
        <f t="shared" si="15"/>
        <v>11</v>
      </c>
      <c r="G63" s="44">
        <f t="shared" si="9"/>
        <v>9.4599999999999991</v>
      </c>
      <c r="H63" s="44">
        <f t="shared" si="10"/>
        <v>5.61</v>
      </c>
      <c r="I63" s="44">
        <f t="shared" si="7"/>
        <v>8</v>
      </c>
      <c r="J63" s="45">
        <v>240</v>
      </c>
      <c r="K63" s="37" t="str">
        <f>D63&amp;-5</f>
        <v>57-5</v>
      </c>
      <c r="L63" s="44">
        <f t="shared" si="16"/>
        <v>0.11</v>
      </c>
      <c r="M63" s="44">
        <f t="shared" si="16"/>
        <v>150</v>
      </c>
      <c r="N63" s="44">
        <f t="shared" si="16"/>
        <v>750</v>
      </c>
    </row>
    <row r="64" spans="1:14" x14ac:dyDescent="0.25">
      <c r="A64" s="41">
        <f t="shared" si="14"/>
        <v>3781</v>
      </c>
      <c r="B64" s="42">
        <f t="shared" si="14"/>
        <v>54</v>
      </c>
      <c r="C64" s="41" t="s">
        <v>2373</v>
      </c>
      <c r="D64" s="43">
        <f t="shared" si="15"/>
        <v>57</v>
      </c>
      <c r="E64" s="61">
        <f t="shared" si="15"/>
        <v>6.27</v>
      </c>
      <c r="F64" s="44">
        <f t="shared" si="15"/>
        <v>11</v>
      </c>
      <c r="G64" s="44">
        <f t="shared" si="9"/>
        <v>9.4599999999999991</v>
      </c>
      <c r="H64" s="44">
        <f t="shared" si="10"/>
        <v>5.61</v>
      </c>
      <c r="I64" s="44">
        <f t="shared" si="7"/>
        <v>8</v>
      </c>
      <c r="J64" s="45">
        <v>240</v>
      </c>
      <c r="K64" s="37" t="str">
        <f>D64&amp;-6</f>
        <v>57-6</v>
      </c>
      <c r="L64" s="44">
        <f t="shared" si="16"/>
        <v>0.11</v>
      </c>
      <c r="M64" s="44">
        <f t="shared" si="16"/>
        <v>150</v>
      </c>
      <c r="N64" s="44">
        <f t="shared" si="16"/>
        <v>750</v>
      </c>
    </row>
    <row r="65" spans="1:14" x14ac:dyDescent="0.25">
      <c r="A65" s="41">
        <f t="shared" si="14"/>
        <v>3782</v>
      </c>
      <c r="B65" s="42">
        <f t="shared" si="14"/>
        <v>55</v>
      </c>
      <c r="C65" s="41" t="s">
        <v>2374</v>
      </c>
      <c r="D65" s="43">
        <f t="shared" si="15"/>
        <v>57</v>
      </c>
      <c r="E65" s="61">
        <f t="shared" si="15"/>
        <v>6.27</v>
      </c>
      <c r="F65" s="44">
        <f t="shared" si="15"/>
        <v>11</v>
      </c>
      <c r="G65" s="44">
        <f t="shared" si="9"/>
        <v>9.4599999999999991</v>
      </c>
      <c r="H65" s="44">
        <f t="shared" si="10"/>
        <v>5.61</v>
      </c>
      <c r="I65" s="44">
        <f t="shared" si="7"/>
        <v>8</v>
      </c>
      <c r="J65" s="45">
        <v>270</v>
      </c>
      <c r="K65" s="37" t="str">
        <f>D65&amp;-1</f>
        <v>57-1</v>
      </c>
      <c r="L65" s="44">
        <f t="shared" si="16"/>
        <v>0.11</v>
      </c>
      <c r="M65" s="44">
        <f t="shared" si="16"/>
        <v>150</v>
      </c>
      <c r="N65" s="44">
        <f t="shared" si="16"/>
        <v>750</v>
      </c>
    </row>
    <row r="66" spans="1:14" x14ac:dyDescent="0.25">
      <c r="A66" s="41">
        <f t="shared" si="14"/>
        <v>3783</v>
      </c>
      <c r="B66" s="42">
        <f t="shared" si="14"/>
        <v>56</v>
      </c>
      <c r="C66" s="41" t="s">
        <v>2375</v>
      </c>
      <c r="D66" s="43">
        <f t="shared" si="15"/>
        <v>57</v>
      </c>
      <c r="E66" s="61">
        <f t="shared" si="15"/>
        <v>6.27</v>
      </c>
      <c r="F66" s="44">
        <f t="shared" si="15"/>
        <v>11</v>
      </c>
      <c r="G66" s="44">
        <f t="shared" si="9"/>
        <v>9.4599999999999991</v>
      </c>
      <c r="H66" s="44">
        <f t="shared" si="10"/>
        <v>5.61</v>
      </c>
      <c r="I66" s="44">
        <f t="shared" si="7"/>
        <v>8</v>
      </c>
      <c r="J66" s="45">
        <v>270</v>
      </c>
      <c r="K66" s="37" t="str">
        <f>D66&amp;-2</f>
        <v>57-2</v>
      </c>
      <c r="L66" s="44">
        <f t="shared" si="16"/>
        <v>0.11</v>
      </c>
      <c r="M66" s="44">
        <f t="shared" si="16"/>
        <v>150</v>
      </c>
      <c r="N66" s="44">
        <f t="shared" si="16"/>
        <v>750</v>
      </c>
    </row>
    <row r="67" spans="1:14" x14ac:dyDescent="0.25">
      <c r="A67" s="41">
        <f t="shared" si="14"/>
        <v>3784</v>
      </c>
      <c r="B67" s="42">
        <f t="shared" si="14"/>
        <v>57</v>
      </c>
      <c r="C67" s="41" t="s">
        <v>2376</v>
      </c>
      <c r="D67" s="43">
        <f t="shared" si="15"/>
        <v>57</v>
      </c>
      <c r="E67" s="61">
        <f t="shared" si="15"/>
        <v>6.27</v>
      </c>
      <c r="F67" s="44">
        <f t="shared" si="15"/>
        <v>11</v>
      </c>
      <c r="G67" s="44">
        <f t="shared" si="9"/>
        <v>9.4599999999999991</v>
      </c>
      <c r="H67" s="44">
        <f t="shared" si="10"/>
        <v>5.61</v>
      </c>
      <c r="I67" s="44">
        <f t="shared" si="7"/>
        <v>8</v>
      </c>
      <c r="J67" s="45">
        <v>270</v>
      </c>
      <c r="K67" s="37" t="str">
        <f>D67&amp;-3</f>
        <v>57-3</v>
      </c>
      <c r="L67" s="44">
        <f t="shared" si="16"/>
        <v>0.11</v>
      </c>
      <c r="M67" s="44">
        <f t="shared" si="16"/>
        <v>150</v>
      </c>
      <c r="N67" s="44">
        <f t="shared" si="16"/>
        <v>750</v>
      </c>
    </row>
    <row r="68" spans="1:14" x14ac:dyDescent="0.25">
      <c r="A68" s="41">
        <f t="shared" si="14"/>
        <v>3785</v>
      </c>
      <c r="B68" s="42">
        <f t="shared" si="14"/>
        <v>58</v>
      </c>
      <c r="C68" s="41" t="s">
        <v>2377</v>
      </c>
      <c r="D68" s="43">
        <f t="shared" si="15"/>
        <v>57</v>
      </c>
      <c r="E68" s="61">
        <f t="shared" si="15"/>
        <v>6.27</v>
      </c>
      <c r="F68" s="44">
        <f t="shared" si="15"/>
        <v>11</v>
      </c>
      <c r="G68" s="44">
        <f t="shared" si="9"/>
        <v>9.4599999999999991</v>
      </c>
      <c r="H68" s="44">
        <f t="shared" si="10"/>
        <v>5.61</v>
      </c>
      <c r="I68" s="44">
        <f t="shared" si="7"/>
        <v>8</v>
      </c>
      <c r="J68" s="45">
        <v>270</v>
      </c>
      <c r="K68" s="37" t="str">
        <f>D68&amp;-4</f>
        <v>57-4</v>
      </c>
      <c r="L68" s="44">
        <f t="shared" si="16"/>
        <v>0.11</v>
      </c>
      <c r="M68" s="44">
        <f t="shared" si="16"/>
        <v>150</v>
      </c>
      <c r="N68" s="44">
        <f t="shared" si="16"/>
        <v>750</v>
      </c>
    </row>
    <row r="69" spans="1:14" x14ac:dyDescent="0.25">
      <c r="A69" s="41">
        <f t="shared" si="14"/>
        <v>3786</v>
      </c>
      <c r="B69" s="42">
        <f t="shared" si="14"/>
        <v>59</v>
      </c>
      <c r="C69" s="41" t="s">
        <v>2378</v>
      </c>
      <c r="D69" s="43">
        <f t="shared" si="15"/>
        <v>57</v>
      </c>
      <c r="E69" s="61">
        <f t="shared" si="15"/>
        <v>6.27</v>
      </c>
      <c r="F69" s="44">
        <f t="shared" si="15"/>
        <v>11</v>
      </c>
      <c r="G69" s="44">
        <f t="shared" si="9"/>
        <v>9.4599999999999991</v>
      </c>
      <c r="H69" s="44">
        <f t="shared" si="10"/>
        <v>5.61</v>
      </c>
      <c r="I69" s="44">
        <f t="shared" si="7"/>
        <v>8</v>
      </c>
      <c r="J69" s="45">
        <v>270</v>
      </c>
      <c r="K69" s="37" t="str">
        <f>D69&amp;-5</f>
        <v>57-5</v>
      </c>
      <c r="L69" s="44">
        <f t="shared" si="16"/>
        <v>0.11</v>
      </c>
      <c r="M69" s="44">
        <f t="shared" si="16"/>
        <v>150</v>
      </c>
      <c r="N69" s="44">
        <f t="shared" si="16"/>
        <v>750</v>
      </c>
    </row>
    <row r="70" spans="1:14" x14ac:dyDescent="0.25">
      <c r="A70" s="41">
        <f t="shared" si="14"/>
        <v>3787</v>
      </c>
      <c r="B70" s="42">
        <f t="shared" si="14"/>
        <v>60</v>
      </c>
      <c r="C70" s="41" t="s">
        <v>2379</v>
      </c>
      <c r="D70" s="43">
        <f t="shared" si="15"/>
        <v>57</v>
      </c>
      <c r="E70" s="61">
        <f t="shared" si="15"/>
        <v>6.27</v>
      </c>
      <c r="F70" s="44">
        <f t="shared" si="15"/>
        <v>11</v>
      </c>
      <c r="G70" s="44">
        <f t="shared" si="9"/>
        <v>9.4599999999999991</v>
      </c>
      <c r="H70" s="44">
        <f t="shared" si="10"/>
        <v>5.61</v>
      </c>
      <c r="I70" s="44">
        <f t="shared" si="7"/>
        <v>8</v>
      </c>
      <c r="J70" s="45">
        <v>270</v>
      </c>
      <c r="K70" s="37" t="str">
        <f>D70&amp;-6</f>
        <v>57-6</v>
      </c>
      <c r="L70" s="44">
        <f t="shared" si="16"/>
        <v>0.11</v>
      </c>
      <c r="M70" s="44">
        <f t="shared" si="16"/>
        <v>150</v>
      </c>
      <c r="N70" s="44">
        <f t="shared" si="16"/>
        <v>750</v>
      </c>
    </row>
    <row r="71" spans="1:14" x14ac:dyDescent="0.25">
      <c r="A71" s="41">
        <f t="shared" si="14"/>
        <v>3788</v>
      </c>
      <c r="B71" s="42">
        <f t="shared" si="14"/>
        <v>61</v>
      </c>
      <c r="C71" s="41" t="s">
        <v>2380</v>
      </c>
      <c r="D71" s="43">
        <f t="shared" si="15"/>
        <v>57</v>
      </c>
      <c r="E71" s="61">
        <f t="shared" si="15"/>
        <v>6.27</v>
      </c>
      <c r="F71" s="44">
        <f t="shared" si="15"/>
        <v>11</v>
      </c>
      <c r="G71" s="44">
        <f t="shared" si="9"/>
        <v>9.4599999999999991</v>
      </c>
      <c r="H71" s="44">
        <f t="shared" si="10"/>
        <v>5.61</v>
      </c>
      <c r="I71" s="44">
        <f t="shared" si="7"/>
        <v>8</v>
      </c>
      <c r="J71" s="45">
        <v>300</v>
      </c>
      <c r="K71" s="37" t="str">
        <f>D71&amp;-1</f>
        <v>57-1</v>
      </c>
      <c r="L71" s="44">
        <f t="shared" si="16"/>
        <v>0.11</v>
      </c>
      <c r="M71" s="44">
        <f t="shared" si="16"/>
        <v>150</v>
      </c>
      <c r="N71" s="44">
        <f t="shared" si="16"/>
        <v>750</v>
      </c>
    </row>
    <row r="72" spans="1:14" x14ac:dyDescent="0.25">
      <c r="A72" s="41">
        <f t="shared" si="14"/>
        <v>3789</v>
      </c>
      <c r="B72" s="42">
        <f t="shared" si="14"/>
        <v>62</v>
      </c>
      <c r="C72" s="41" t="s">
        <v>2381</v>
      </c>
      <c r="D72" s="43">
        <f t="shared" si="15"/>
        <v>57</v>
      </c>
      <c r="E72" s="61">
        <f t="shared" si="15"/>
        <v>6.27</v>
      </c>
      <c r="F72" s="44">
        <f t="shared" si="15"/>
        <v>11</v>
      </c>
      <c r="G72" s="44">
        <f t="shared" si="9"/>
        <v>9.4599999999999991</v>
      </c>
      <c r="H72" s="44">
        <f t="shared" si="10"/>
        <v>5.61</v>
      </c>
      <c r="I72" s="44">
        <f t="shared" si="7"/>
        <v>8</v>
      </c>
      <c r="J72" s="45">
        <v>300</v>
      </c>
      <c r="K72" s="37" t="str">
        <f>D72&amp;-2</f>
        <v>57-2</v>
      </c>
      <c r="L72" s="44">
        <f t="shared" si="16"/>
        <v>0.11</v>
      </c>
      <c r="M72" s="44">
        <f t="shared" si="16"/>
        <v>150</v>
      </c>
      <c r="N72" s="44">
        <f t="shared" si="16"/>
        <v>750</v>
      </c>
    </row>
    <row r="73" spans="1:14" x14ac:dyDescent="0.25">
      <c r="A73" s="41">
        <f t="shared" si="14"/>
        <v>3790</v>
      </c>
      <c r="B73" s="42">
        <f t="shared" si="14"/>
        <v>63</v>
      </c>
      <c r="C73" s="41" t="s">
        <v>2382</v>
      </c>
      <c r="D73" s="43">
        <f t="shared" si="15"/>
        <v>57</v>
      </c>
      <c r="E73" s="61">
        <f t="shared" si="15"/>
        <v>6.27</v>
      </c>
      <c r="F73" s="44">
        <f t="shared" si="15"/>
        <v>11</v>
      </c>
      <c r="G73" s="44">
        <f t="shared" si="9"/>
        <v>9.4599999999999991</v>
      </c>
      <c r="H73" s="44">
        <f t="shared" si="10"/>
        <v>5.61</v>
      </c>
      <c r="I73" s="44">
        <f t="shared" si="7"/>
        <v>8</v>
      </c>
      <c r="J73" s="45">
        <v>300</v>
      </c>
      <c r="K73" s="37" t="str">
        <f>D73&amp;-3</f>
        <v>57-3</v>
      </c>
      <c r="L73" s="44">
        <f t="shared" si="16"/>
        <v>0.11</v>
      </c>
      <c r="M73" s="44">
        <f t="shared" si="16"/>
        <v>150</v>
      </c>
      <c r="N73" s="44">
        <f t="shared" si="16"/>
        <v>750</v>
      </c>
    </row>
    <row r="74" spans="1:14" x14ac:dyDescent="0.25">
      <c r="A74" s="41">
        <f t="shared" si="14"/>
        <v>3791</v>
      </c>
      <c r="B74" s="42">
        <f t="shared" si="14"/>
        <v>64</v>
      </c>
      <c r="C74" s="41" t="s">
        <v>2383</v>
      </c>
      <c r="D74" s="43">
        <f t="shared" si="15"/>
        <v>57</v>
      </c>
      <c r="E74" s="61">
        <f t="shared" si="15"/>
        <v>6.27</v>
      </c>
      <c r="F74" s="44">
        <f t="shared" si="15"/>
        <v>11</v>
      </c>
      <c r="G74" s="44">
        <f t="shared" si="9"/>
        <v>9.4599999999999991</v>
      </c>
      <c r="H74" s="44">
        <f t="shared" si="10"/>
        <v>5.61</v>
      </c>
      <c r="I74" s="44">
        <f t="shared" si="7"/>
        <v>8</v>
      </c>
      <c r="J74" s="45">
        <v>300</v>
      </c>
      <c r="K74" s="37" t="str">
        <f>D74&amp;-4</f>
        <v>57-4</v>
      </c>
      <c r="L74" s="44">
        <f t="shared" si="16"/>
        <v>0.11</v>
      </c>
      <c r="M74" s="44">
        <f t="shared" si="16"/>
        <v>150</v>
      </c>
      <c r="N74" s="44">
        <f t="shared" si="16"/>
        <v>750</v>
      </c>
    </row>
    <row r="75" spans="1:14" x14ac:dyDescent="0.25">
      <c r="A75" s="41">
        <f t="shared" si="14"/>
        <v>3792</v>
      </c>
      <c r="B75" s="42">
        <f t="shared" si="14"/>
        <v>65</v>
      </c>
      <c r="C75" s="41" t="s">
        <v>2384</v>
      </c>
      <c r="D75" s="43">
        <f t="shared" si="15"/>
        <v>57</v>
      </c>
      <c r="E75" s="61">
        <f t="shared" si="15"/>
        <v>6.27</v>
      </c>
      <c r="F75" s="44">
        <f t="shared" si="15"/>
        <v>11</v>
      </c>
      <c r="G75" s="44">
        <f t="shared" ref="G75:G82" si="17">m_ty_t*F75</f>
        <v>9.4599999999999991</v>
      </c>
      <c r="H75" s="44">
        <f t="shared" ref="H75:H82" si="18">m_tz_t*F75</f>
        <v>5.61</v>
      </c>
      <c r="I75" s="44">
        <f t="shared" si="7"/>
        <v>8</v>
      </c>
      <c r="J75" s="45">
        <v>300</v>
      </c>
      <c r="K75" s="37" t="str">
        <f>D75&amp;-5</f>
        <v>57-5</v>
      </c>
      <c r="L75" s="44">
        <f t="shared" si="16"/>
        <v>0.11</v>
      </c>
      <c r="M75" s="44">
        <f t="shared" si="16"/>
        <v>150</v>
      </c>
      <c r="N75" s="44">
        <f t="shared" si="16"/>
        <v>750</v>
      </c>
    </row>
    <row r="76" spans="1:14" x14ac:dyDescent="0.25">
      <c r="A76" s="41">
        <f t="shared" ref="A76:B82" si="19">A75+1</f>
        <v>3793</v>
      </c>
      <c r="B76" s="42">
        <f t="shared" si="19"/>
        <v>66</v>
      </c>
      <c r="C76" s="41" t="s">
        <v>2385</v>
      </c>
      <c r="D76" s="43">
        <f t="shared" si="15"/>
        <v>57</v>
      </c>
      <c r="E76" s="61">
        <f t="shared" si="15"/>
        <v>6.27</v>
      </c>
      <c r="F76" s="44">
        <f t="shared" si="15"/>
        <v>11</v>
      </c>
      <c r="G76" s="44">
        <f t="shared" si="17"/>
        <v>9.4599999999999991</v>
      </c>
      <c r="H76" s="44">
        <f t="shared" si="18"/>
        <v>5.61</v>
      </c>
      <c r="I76" s="44">
        <f t="shared" si="7"/>
        <v>8</v>
      </c>
      <c r="J76" s="45">
        <v>300</v>
      </c>
      <c r="K76" s="37" t="str">
        <f>D76&amp;-6</f>
        <v>57-6</v>
      </c>
      <c r="L76" s="44">
        <f t="shared" si="16"/>
        <v>0.11</v>
      </c>
      <c r="M76" s="44">
        <f t="shared" si="16"/>
        <v>150</v>
      </c>
      <c r="N76" s="44">
        <f t="shared" si="16"/>
        <v>750</v>
      </c>
    </row>
    <row r="77" spans="1:14" x14ac:dyDescent="0.25">
      <c r="A77" s="41">
        <f t="shared" si="19"/>
        <v>3794</v>
      </c>
      <c r="B77" s="42">
        <f t="shared" si="19"/>
        <v>67</v>
      </c>
      <c r="C77" s="41" t="s">
        <v>2386</v>
      </c>
      <c r="D77" s="43">
        <f t="shared" ref="D77:F82" si="20">D76</f>
        <v>57</v>
      </c>
      <c r="E77" s="61">
        <f t="shared" si="20"/>
        <v>6.27</v>
      </c>
      <c r="F77" s="44">
        <f t="shared" si="20"/>
        <v>11</v>
      </c>
      <c r="G77" s="44">
        <f t="shared" si="17"/>
        <v>9.4599999999999991</v>
      </c>
      <c r="H77" s="44">
        <f t="shared" si="18"/>
        <v>5.61</v>
      </c>
      <c r="I77" s="44">
        <f t="shared" si="7"/>
        <v>8</v>
      </c>
      <c r="J77" s="45">
        <v>330</v>
      </c>
      <c r="K77" s="37" t="str">
        <f>D77&amp;-1</f>
        <v>57-1</v>
      </c>
      <c r="L77" s="44">
        <f t="shared" ref="L77:N82" si="21">L76</f>
        <v>0.11</v>
      </c>
      <c r="M77" s="44">
        <f t="shared" si="21"/>
        <v>150</v>
      </c>
      <c r="N77" s="44">
        <f t="shared" si="21"/>
        <v>750</v>
      </c>
    </row>
    <row r="78" spans="1:14" x14ac:dyDescent="0.25">
      <c r="A78" s="41">
        <f t="shared" si="19"/>
        <v>3795</v>
      </c>
      <c r="B78" s="42">
        <f t="shared" si="19"/>
        <v>68</v>
      </c>
      <c r="C78" s="41" t="s">
        <v>2387</v>
      </c>
      <c r="D78" s="43">
        <f t="shared" si="20"/>
        <v>57</v>
      </c>
      <c r="E78" s="61">
        <f t="shared" si="20"/>
        <v>6.27</v>
      </c>
      <c r="F78" s="44">
        <f t="shared" si="20"/>
        <v>11</v>
      </c>
      <c r="G78" s="44">
        <f t="shared" si="17"/>
        <v>9.4599999999999991</v>
      </c>
      <c r="H78" s="44">
        <f t="shared" si="18"/>
        <v>5.61</v>
      </c>
      <c r="I78" s="44">
        <f t="shared" si="7"/>
        <v>8</v>
      </c>
      <c r="J78" s="45">
        <v>330</v>
      </c>
      <c r="K78" s="37" t="str">
        <f>D78&amp;-2</f>
        <v>57-2</v>
      </c>
      <c r="L78" s="44">
        <f t="shared" si="21"/>
        <v>0.11</v>
      </c>
      <c r="M78" s="44">
        <f t="shared" si="21"/>
        <v>150</v>
      </c>
      <c r="N78" s="44">
        <f t="shared" si="21"/>
        <v>750</v>
      </c>
    </row>
    <row r="79" spans="1:14" x14ac:dyDescent="0.25">
      <c r="A79" s="41">
        <f t="shared" si="19"/>
        <v>3796</v>
      </c>
      <c r="B79" s="42">
        <f t="shared" si="19"/>
        <v>69</v>
      </c>
      <c r="C79" s="41" t="s">
        <v>2388</v>
      </c>
      <c r="D79" s="43">
        <f t="shared" si="20"/>
        <v>57</v>
      </c>
      <c r="E79" s="61">
        <f t="shared" si="20"/>
        <v>6.27</v>
      </c>
      <c r="F79" s="44">
        <f t="shared" si="20"/>
        <v>11</v>
      </c>
      <c r="G79" s="44">
        <f t="shared" si="17"/>
        <v>9.4599999999999991</v>
      </c>
      <c r="H79" s="44">
        <f t="shared" si="18"/>
        <v>5.61</v>
      </c>
      <c r="I79" s="44">
        <f t="shared" si="7"/>
        <v>8</v>
      </c>
      <c r="J79" s="45">
        <v>330</v>
      </c>
      <c r="K79" s="37" t="str">
        <f>D79&amp;-3</f>
        <v>57-3</v>
      </c>
      <c r="L79" s="44">
        <f t="shared" si="21"/>
        <v>0.11</v>
      </c>
      <c r="M79" s="44">
        <f t="shared" si="21"/>
        <v>150</v>
      </c>
      <c r="N79" s="44">
        <f t="shared" si="21"/>
        <v>750</v>
      </c>
    </row>
    <row r="80" spans="1:14" x14ac:dyDescent="0.25">
      <c r="A80" s="41">
        <f t="shared" si="19"/>
        <v>3797</v>
      </c>
      <c r="B80" s="42">
        <f t="shared" si="19"/>
        <v>70</v>
      </c>
      <c r="C80" s="41" t="s">
        <v>2389</v>
      </c>
      <c r="D80" s="43">
        <f t="shared" si="20"/>
        <v>57</v>
      </c>
      <c r="E80" s="61">
        <f t="shared" si="20"/>
        <v>6.27</v>
      </c>
      <c r="F80" s="44">
        <f t="shared" si="20"/>
        <v>11</v>
      </c>
      <c r="G80" s="44">
        <f t="shared" si="17"/>
        <v>9.4599999999999991</v>
      </c>
      <c r="H80" s="44">
        <f t="shared" si="18"/>
        <v>5.61</v>
      </c>
      <c r="I80" s="44">
        <f t="shared" si="7"/>
        <v>8</v>
      </c>
      <c r="J80" s="45">
        <v>330</v>
      </c>
      <c r="K80" s="37" t="str">
        <f>D80&amp;-4</f>
        <v>57-4</v>
      </c>
      <c r="L80" s="44">
        <f t="shared" si="21"/>
        <v>0.11</v>
      </c>
      <c r="M80" s="44">
        <f t="shared" si="21"/>
        <v>150</v>
      </c>
      <c r="N80" s="44">
        <f t="shared" si="21"/>
        <v>750</v>
      </c>
    </row>
    <row r="81" spans="1:14" x14ac:dyDescent="0.25">
      <c r="A81" s="41">
        <f t="shared" si="19"/>
        <v>3798</v>
      </c>
      <c r="B81" s="42">
        <f t="shared" si="19"/>
        <v>71</v>
      </c>
      <c r="C81" s="41" t="s">
        <v>2390</v>
      </c>
      <c r="D81" s="43">
        <f t="shared" si="20"/>
        <v>57</v>
      </c>
      <c r="E81" s="61">
        <f t="shared" si="20"/>
        <v>6.27</v>
      </c>
      <c r="F81" s="44">
        <f t="shared" si="20"/>
        <v>11</v>
      </c>
      <c r="G81" s="44">
        <f t="shared" si="17"/>
        <v>9.4599999999999991</v>
      </c>
      <c r="H81" s="44">
        <f t="shared" si="18"/>
        <v>5.61</v>
      </c>
      <c r="I81" s="44">
        <f t="shared" si="7"/>
        <v>8</v>
      </c>
      <c r="J81" s="45">
        <v>330</v>
      </c>
      <c r="K81" s="37" t="str">
        <f>D81&amp;-5</f>
        <v>57-5</v>
      </c>
      <c r="L81" s="44">
        <f t="shared" si="21"/>
        <v>0.11</v>
      </c>
      <c r="M81" s="44">
        <f t="shared" si="21"/>
        <v>150</v>
      </c>
      <c r="N81" s="44">
        <f t="shared" si="21"/>
        <v>750</v>
      </c>
    </row>
    <row r="82" spans="1:14" x14ac:dyDescent="0.25">
      <c r="A82" s="41">
        <f t="shared" si="19"/>
        <v>3799</v>
      </c>
      <c r="B82" s="42">
        <f t="shared" si="19"/>
        <v>72</v>
      </c>
      <c r="C82" s="41" t="s">
        <v>2391</v>
      </c>
      <c r="D82" s="43">
        <f t="shared" si="20"/>
        <v>57</v>
      </c>
      <c r="E82" s="61">
        <f t="shared" si="20"/>
        <v>6.27</v>
      </c>
      <c r="F82" s="44">
        <f t="shared" si="20"/>
        <v>11</v>
      </c>
      <c r="G82" s="44">
        <f t="shared" si="17"/>
        <v>9.4599999999999991</v>
      </c>
      <c r="H82" s="44">
        <f t="shared" si="18"/>
        <v>5.61</v>
      </c>
      <c r="I82" s="44">
        <f t="shared" si="7"/>
        <v>8</v>
      </c>
      <c r="J82" s="45">
        <v>330</v>
      </c>
      <c r="K82" s="37" t="str">
        <f>D82&amp;-6</f>
        <v>57-6</v>
      </c>
      <c r="L82" s="44">
        <f t="shared" si="21"/>
        <v>0.11</v>
      </c>
      <c r="M82" s="44">
        <f t="shared" si="21"/>
        <v>150</v>
      </c>
      <c r="N82" s="44">
        <f t="shared" si="21"/>
        <v>750</v>
      </c>
    </row>
  </sheetData>
  <phoneticPr fontId="1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Q28"/>
  <sheetViews>
    <sheetView zoomScale="85" zoomScaleNormal="85" workbookViewId="0">
      <selection activeCell="S9" sqref="S9"/>
    </sheetView>
  </sheetViews>
  <sheetFormatPr defaultColWidth="9" defaultRowHeight="15" x14ac:dyDescent="0.15"/>
  <cols>
    <col min="1" max="1" width="8" style="23" customWidth="1"/>
    <col min="2" max="2" width="6.375" style="23" customWidth="1"/>
    <col min="3" max="3" width="8.75" style="23" customWidth="1"/>
    <col min="4" max="4" width="6.375" style="23" customWidth="1"/>
    <col min="5" max="5" width="6.625" style="23" customWidth="1"/>
    <col min="6" max="6" width="7" style="23" customWidth="1"/>
    <col min="7" max="7" width="6.25" style="23" customWidth="1"/>
    <col min="8" max="8" width="7.375" style="23" customWidth="1"/>
    <col min="9" max="9" width="6.625" style="23" customWidth="1"/>
    <col min="10" max="10" width="6.75" style="23" customWidth="1"/>
    <col min="11" max="11" width="9.625" style="23" customWidth="1"/>
    <col min="12" max="12" width="7.25" style="23" customWidth="1"/>
    <col min="13" max="13" width="6.25" style="23" customWidth="1"/>
    <col min="14" max="14" width="6.75" style="23" customWidth="1"/>
    <col min="15" max="16384" width="9" style="23"/>
  </cols>
  <sheetData>
    <row r="1" spans="1:17" x14ac:dyDescent="0.15">
      <c r="H1" s="22" t="s">
        <v>135</v>
      </c>
      <c r="I1" s="22" t="s">
        <v>2396</v>
      </c>
    </row>
    <row r="2" spans="1:17" x14ac:dyDescent="0.15">
      <c r="B2" s="22" t="s">
        <v>2395</v>
      </c>
      <c r="C2" s="22"/>
      <c r="D2" s="22"/>
      <c r="E2" s="22"/>
      <c r="H2" s="22"/>
      <c r="I2" s="22" t="s">
        <v>2288</v>
      </c>
    </row>
    <row r="3" spans="1:17" x14ac:dyDescent="0.15">
      <c r="B3" s="22" t="s">
        <v>88</v>
      </c>
      <c r="C3" s="22"/>
      <c r="D3" s="22"/>
      <c r="E3" s="22" t="s">
        <v>3236</v>
      </c>
      <c r="H3" s="22"/>
      <c r="I3" s="22" t="s">
        <v>915</v>
      </c>
    </row>
    <row r="4" spans="1:17" x14ac:dyDescent="0.15">
      <c r="B4" s="22" t="s">
        <v>89</v>
      </c>
      <c r="C4" s="22"/>
      <c r="D4" s="22"/>
      <c r="E4" s="22" t="s">
        <v>113</v>
      </c>
      <c r="H4" s="22"/>
      <c r="I4" s="22" t="s">
        <v>165</v>
      </c>
    </row>
    <row r="5" spans="1:17" x14ac:dyDescent="0.15">
      <c r="B5" s="22" t="s">
        <v>91</v>
      </c>
      <c r="C5" s="22"/>
      <c r="D5" s="22"/>
      <c r="E5" s="22" t="s">
        <v>890</v>
      </c>
    </row>
    <row r="6" spans="1:17" x14ac:dyDescent="0.15">
      <c r="B6" s="22" t="s">
        <v>93</v>
      </c>
      <c r="C6" s="22"/>
      <c r="D6" s="22"/>
      <c r="E6" s="22" t="s">
        <v>891</v>
      </c>
    </row>
    <row r="7" spans="1:17" x14ac:dyDescent="0.1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</row>
    <row r="8" spans="1:17" ht="15.75" thickBot="1" x14ac:dyDescent="0.2">
      <c r="A8" s="46"/>
      <c r="B8" s="46"/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  <c r="N8" s="139"/>
      <c r="O8" s="139"/>
      <c r="P8" s="139"/>
      <c r="Q8" s="139"/>
    </row>
    <row r="9" spans="1:17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2</v>
      </c>
      <c r="K9" s="26" t="s">
        <v>3</v>
      </c>
      <c r="L9" s="25" t="s">
        <v>141</v>
      </c>
      <c r="M9" s="27" t="s">
        <v>138</v>
      </c>
      <c r="N9" s="27" t="s">
        <v>139</v>
      </c>
      <c r="P9" s="28" t="s">
        <v>82</v>
      </c>
      <c r="Q9" s="28" t="s">
        <v>250</v>
      </c>
    </row>
    <row r="10" spans="1:17" ht="15.75" thickBot="1" x14ac:dyDescent="0.3">
      <c r="A10" s="29" t="s">
        <v>76</v>
      </c>
      <c r="B10" s="30" t="str">
        <f>B2</f>
        <v>DLCT11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32" t="s">
        <v>7</v>
      </c>
      <c r="N10" s="32" t="s">
        <v>7</v>
      </c>
      <c r="P10" s="28" t="s">
        <v>84</v>
      </c>
      <c r="Q10" s="28" t="s">
        <v>251</v>
      </c>
    </row>
    <row r="11" spans="1:17" x14ac:dyDescent="0.25">
      <c r="A11" s="24">
        <f>'DLC62'!A82+1</f>
        <v>3800</v>
      </c>
      <c r="B11" s="27">
        <v>1</v>
      </c>
      <c r="C11" s="24" t="s">
        <v>3567</v>
      </c>
      <c r="D11" s="34">
        <f>0.7*v_tref</f>
        <v>39.9</v>
      </c>
      <c r="E11" s="60">
        <f>IF(TTM=0,I_ref*(0.75*D11+5.6),I_ref*(0.42*D11+14.3))</f>
        <v>4.9735000000000005</v>
      </c>
      <c r="F11" s="35">
        <f>E11/D11*100</f>
        <v>12.464912280701757</v>
      </c>
      <c r="G11" s="162">
        <f t="shared" ref="G11:G28" si="0">m_ty_t*F11</f>
        <v>10.719824561403511</v>
      </c>
      <c r="H11" s="162">
        <f t="shared" ref="H11:H28" si="1">m_tz_t*F11</f>
        <v>6.3571052631578961</v>
      </c>
      <c r="I11" s="35">
        <f>inflow</f>
        <v>8</v>
      </c>
      <c r="J11" s="36">
        <f t="shared" ref="J11:J16" si="2">yaw_min</f>
        <v>-8</v>
      </c>
      <c r="K11" s="37" t="str">
        <f>D11&amp;-1</f>
        <v>39.9-1</v>
      </c>
      <c r="L11" s="35">
        <f>alpha_n</f>
        <v>0.2</v>
      </c>
      <c r="M11" s="44">
        <f>t_out</f>
        <v>150</v>
      </c>
      <c r="N11" s="44">
        <f>M11+T_s1</f>
        <v>750</v>
      </c>
      <c r="P11" s="40">
        <f t="shared" ref="P11:P28" si="3">H_typhoon/18</f>
        <v>0</v>
      </c>
      <c r="Q11" s="40" t="s">
        <v>125</v>
      </c>
    </row>
    <row r="12" spans="1:17" x14ac:dyDescent="0.25">
      <c r="A12" s="41">
        <f t="shared" ref="A12:B27" si="4">A11+1</f>
        <v>3801</v>
      </c>
      <c r="B12" s="42">
        <f t="shared" si="4"/>
        <v>2</v>
      </c>
      <c r="C12" s="41" t="s">
        <v>3568</v>
      </c>
      <c r="D12" s="43">
        <f>D11</f>
        <v>39.9</v>
      </c>
      <c r="E12" s="61">
        <f>E11</f>
        <v>4.9735000000000005</v>
      </c>
      <c r="F12" s="44">
        <f>F11</f>
        <v>12.464912280701757</v>
      </c>
      <c r="G12" s="44">
        <f t="shared" si="0"/>
        <v>10.719824561403511</v>
      </c>
      <c r="H12" s="44">
        <f t="shared" si="1"/>
        <v>6.3571052631578961</v>
      </c>
      <c r="I12" s="44">
        <f>I11</f>
        <v>8</v>
      </c>
      <c r="J12" s="45">
        <f t="shared" si="2"/>
        <v>-8</v>
      </c>
      <c r="K12" s="37" t="str">
        <f>D12&amp;-2</f>
        <v>39.9-2</v>
      </c>
      <c r="L12" s="44">
        <f>L11</f>
        <v>0.2</v>
      </c>
      <c r="M12" s="44">
        <f>M11</f>
        <v>150</v>
      </c>
      <c r="N12" s="44">
        <f>N11</f>
        <v>750</v>
      </c>
      <c r="P12" s="40">
        <f t="shared" si="3"/>
        <v>0</v>
      </c>
      <c r="Q12" s="40" t="str">
        <f>Q11</f>
        <v>H</v>
      </c>
    </row>
    <row r="13" spans="1:17" x14ac:dyDescent="0.25">
      <c r="A13" s="41">
        <f t="shared" si="4"/>
        <v>3802</v>
      </c>
      <c r="B13" s="42">
        <f t="shared" si="4"/>
        <v>3</v>
      </c>
      <c r="C13" s="41" t="s">
        <v>3569</v>
      </c>
      <c r="D13" s="43">
        <f t="shared" ref="D13:I28" si="5">D12</f>
        <v>39.9</v>
      </c>
      <c r="E13" s="61">
        <f t="shared" si="5"/>
        <v>4.9735000000000005</v>
      </c>
      <c r="F13" s="44">
        <f t="shared" si="5"/>
        <v>12.464912280701757</v>
      </c>
      <c r="G13" s="44">
        <f t="shared" si="0"/>
        <v>10.719824561403511</v>
      </c>
      <c r="H13" s="44">
        <f t="shared" si="1"/>
        <v>6.3571052631578961</v>
      </c>
      <c r="I13" s="44">
        <f t="shared" si="5"/>
        <v>8</v>
      </c>
      <c r="J13" s="45">
        <f t="shared" si="2"/>
        <v>-8</v>
      </c>
      <c r="K13" s="37" t="str">
        <f>D13&amp;-3</f>
        <v>39.9-3</v>
      </c>
      <c r="L13" s="44">
        <f t="shared" ref="L13:N28" si="6">L12</f>
        <v>0.2</v>
      </c>
      <c r="M13" s="44">
        <f t="shared" si="6"/>
        <v>150</v>
      </c>
      <c r="N13" s="44">
        <f t="shared" si="6"/>
        <v>750</v>
      </c>
      <c r="P13" s="40">
        <f t="shared" si="3"/>
        <v>0</v>
      </c>
      <c r="Q13" s="40" t="str">
        <f t="shared" ref="Q13:Q28" si="7">Q12</f>
        <v>H</v>
      </c>
    </row>
    <row r="14" spans="1:17" x14ac:dyDescent="0.25">
      <c r="A14" s="41">
        <f t="shared" si="4"/>
        <v>3803</v>
      </c>
      <c r="B14" s="42">
        <f t="shared" si="4"/>
        <v>4</v>
      </c>
      <c r="C14" s="41" t="s">
        <v>3570</v>
      </c>
      <c r="D14" s="43">
        <f t="shared" si="5"/>
        <v>39.9</v>
      </c>
      <c r="E14" s="61">
        <f t="shared" si="5"/>
        <v>4.9735000000000005</v>
      </c>
      <c r="F14" s="44">
        <f t="shared" si="5"/>
        <v>12.464912280701757</v>
      </c>
      <c r="G14" s="44">
        <f t="shared" si="0"/>
        <v>10.719824561403511</v>
      </c>
      <c r="H14" s="44">
        <f t="shared" si="1"/>
        <v>6.3571052631578961</v>
      </c>
      <c r="I14" s="44">
        <f t="shared" si="5"/>
        <v>8</v>
      </c>
      <c r="J14" s="45">
        <f t="shared" si="2"/>
        <v>-8</v>
      </c>
      <c r="K14" s="37" t="str">
        <f>D14&amp;-4</f>
        <v>39.9-4</v>
      </c>
      <c r="L14" s="44">
        <f t="shared" si="6"/>
        <v>0.2</v>
      </c>
      <c r="M14" s="44">
        <f t="shared" si="6"/>
        <v>150</v>
      </c>
      <c r="N14" s="44">
        <f t="shared" si="6"/>
        <v>750</v>
      </c>
      <c r="P14" s="40">
        <f t="shared" si="3"/>
        <v>0</v>
      </c>
      <c r="Q14" s="40" t="str">
        <f t="shared" si="7"/>
        <v>H</v>
      </c>
    </row>
    <row r="15" spans="1:17" x14ac:dyDescent="0.25">
      <c r="A15" s="41">
        <f t="shared" si="4"/>
        <v>3804</v>
      </c>
      <c r="B15" s="42">
        <f t="shared" si="4"/>
        <v>5</v>
      </c>
      <c r="C15" s="41" t="s">
        <v>3571</v>
      </c>
      <c r="D15" s="43">
        <f t="shared" si="5"/>
        <v>39.9</v>
      </c>
      <c r="E15" s="61">
        <f t="shared" si="5"/>
        <v>4.9735000000000005</v>
      </c>
      <c r="F15" s="44">
        <f t="shared" si="5"/>
        <v>12.464912280701757</v>
      </c>
      <c r="G15" s="44">
        <f t="shared" si="0"/>
        <v>10.719824561403511</v>
      </c>
      <c r="H15" s="44">
        <f t="shared" si="1"/>
        <v>6.3571052631578961</v>
      </c>
      <c r="I15" s="44">
        <f t="shared" si="5"/>
        <v>8</v>
      </c>
      <c r="J15" s="45">
        <f t="shared" si="2"/>
        <v>-8</v>
      </c>
      <c r="K15" s="37" t="str">
        <f>D15&amp;-5</f>
        <v>39.9-5</v>
      </c>
      <c r="L15" s="44">
        <f t="shared" si="6"/>
        <v>0.2</v>
      </c>
      <c r="M15" s="44">
        <f t="shared" si="6"/>
        <v>150</v>
      </c>
      <c r="N15" s="44">
        <f t="shared" si="6"/>
        <v>750</v>
      </c>
      <c r="P15" s="40">
        <f t="shared" si="3"/>
        <v>0</v>
      </c>
      <c r="Q15" s="40" t="str">
        <f t="shared" si="7"/>
        <v>H</v>
      </c>
    </row>
    <row r="16" spans="1:17" x14ac:dyDescent="0.25">
      <c r="A16" s="41">
        <f t="shared" si="4"/>
        <v>3805</v>
      </c>
      <c r="B16" s="42">
        <f t="shared" si="4"/>
        <v>6</v>
      </c>
      <c r="C16" s="41" t="s">
        <v>3572</v>
      </c>
      <c r="D16" s="43">
        <f t="shared" si="5"/>
        <v>39.9</v>
      </c>
      <c r="E16" s="61">
        <f t="shared" si="5"/>
        <v>4.9735000000000005</v>
      </c>
      <c r="F16" s="44">
        <f t="shared" si="5"/>
        <v>12.464912280701757</v>
      </c>
      <c r="G16" s="44">
        <f t="shared" si="0"/>
        <v>10.719824561403511</v>
      </c>
      <c r="H16" s="44">
        <f t="shared" si="1"/>
        <v>6.3571052631578961</v>
      </c>
      <c r="I16" s="44">
        <f t="shared" si="5"/>
        <v>8</v>
      </c>
      <c r="J16" s="45">
        <f t="shared" si="2"/>
        <v>-8</v>
      </c>
      <c r="K16" s="37" t="str">
        <f>D16&amp;-6</f>
        <v>39.9-6</v>
      </c>
      <c r="L16" s="44">
        <f t="shared" si="6"/>
        <v>0.2</v>
      </c>
      <c r="M16" s="44">
        <f t="shared" si="6"/>
        <v>150</v>
      </c>
      <c r="N16" s="44">
        <f t="shared" si="6"/>
        <v>750</v>
      </c>
      <c r="P16" s="40">
        <f t="shared" si="3"/>
        <v>0</v>
      </c>
      <c r="Q16" s="40" t="str">
        <f t="shared" si="7"/>
        <v>H</v>
      </c>
    </row>
    <row r="17" spans="1:17" x14ac:dyDescent="0.25">
      <c r="A17" s="41">
        <f t="shared" si="4"/>
        <v>3806</v>
      </c>
      <c r="B17" s="42">
        <f t="shared" si="4"/>
        <v>7</v>
      </c>
      <c r="C17" s="41" t="s">
        <v>3573</v>
      </c>
      <c r="D17" s="43">
        <f t="shared" si="5"/>
        <v>39.9</v>
      </c>
      <c r="E17" s="61">
        <f t="shared" si="5"/>
        <v>4.9735000000000005</v>
      </c>
      <c r="F17" s="44">
        <f t="shared" si="5"/>
        <v>12.464912280701757</v>
      </c>
      <c r="G17" s="44">
        <f t="shared" si="0"/>
        <v>10.719824561403511</v>
      </c>
      <c r="H17" s="44">
        <f t="shared" si="1"/>
        <v>6.3571052631578961</v>
      </c>
      <c r="I17" s="44">
        <f t="shared" si="5"/>
        <v>8</v>
      </c>
      <c r="J17" s="45">
        <f t="shared" ref="J17:J22" si="8">yaw_null</f>
        <v>0</v>
      </c>
      <c r="K17" s="37" t="str">
        <f>D17&amp;-1</f>
        <v>39.9-1</v>
      </c>
      <c r="L17" s="44">
        <f t="shared" si="6"/>
        <v>0.2</v>
      </c>
      <c r="M17" s="44">
        <f t="shared" si="6"/>
        <v>150</v>
      </c>
      <c r="N17" s="44">
        <f t="shared" si="6"/>
        <v>750</v>
      </c>
      <c r="P17" s="40">
        <f t="shared" si="3"/>
        <v>0</v>
      </c>
      <c r="Q17" s="40" t="str">
        <f t="shared" si="7"/>
        <v>H</v>
      </c>
    </row>
    <row r="18" spans="1:17" x14ac:dyDescent="0.25">
      <c r="A18" s="41">
        <f t="shared" si="4"/>
        <v>3807</v>
      </c>
      <c r="B18" s="42">
        <f t="shared" si="4"/>
        <v>8</v>
      </c>
      <c r="C18" s="41" t="s">
        <v>3574</v>
      </c>
      <c r="D18" s="43">
        <f t="shared" si="5"/>
        <v>39.9</v>
      </c>
      <c r="E18" s="61">
        <f t="shared" si="5"/>
        <v>4.9735000000000005</v>
      </c>
      <c r="F18" s="44">
        <f t="shared" si="5"/>
        <v>12.464912280701757</v>
      </c>
      <c r="G18" s="44">
        <f t="shared" si="0"/>
        <v>10.719824561403511</v>
      </c>
      <c r="H18" s="44">
        <f t="shared" si="1"/>
        <v>6.3571052631578961</v>
      </c>
      <c r="I18" s="44">
        <f t="shared" si="5"/>
        <v>8</v>
      </c>
      <c r="J18" s="45">
        <f t="shared" si="8"/>
        <v>0</v>
      </c>
      <c r="K18" s="37" t="str">
        <f>D18&amp;-2</f>
        <v>39.9-2</v>
      </c>
      <c r="L18" s="44">
        <f t="shared" si="6"/>
        <v>0.2</v>
      </c>
      <c r="M18" s="44">
        <f t="shared" si="6"/>
        <v>150</v>
      </c>
      <c r="N18" s="44">
        <f t="shared" si="6"/>
        <v>750</v>
      </c>
      <c r="P18" s="40">
        <f t="shared" si="3"/>
        <v>0</v>
      </c>
      <c r="Q18" s="40" t="str">
        <f t="shared" si="7"/>
        <v>H</v>
      </c>
    </row>
    <row r="19" spans="1:17" x14ac:dyDescent="0.25">
      <c r="A19" s="41">
        <f t="shared" si="4"/>
        <v>3808</v>
      </c>
      <c r="B19" s="42">
        <f t="shared" si="4"/>
        <v>9</v>
      </c>
      <c r="C19" s="41" t="s">
        <v>3575</v>
      </c>
      <c r="D19" s="43">
        <f t="shared" si="5"/>
        <v>39.9</v>
      </c>
      <c r="E19" s="61">
        <f t="shared" si="5"/>
        <v>4.9735000000000005</v>
      </c>
      <c r="F19" s="44">
        <f t="shared" si="5"/>
        <v>12.464912280701757</v>
      </c>
      <c r="G19" s="44">
        <f t="shared" si="0"/>
        <v>10.719824561403511</v>
      </c>
      <c r="H19" s="44">
        <f t="shared" si="1"/>
        <v>6.3571052631578961</v>
      </c>
      <c r="I19" s="44">
        <f t="shared" si="5"/>
        <v>8</v>
      </c>
      <c r="J19" s="45">
        <f t="shared" si="8"/>
        <v>0</v>
      </c>
      <c r="K19" s="37" t="str">
        <f>D19&amp;-3</f>
        <v>39.9-3</v>
      </c>
      <c r="L19" s="44">
        <f t="shared" si="6"/>
        <v>0.2</v>
      </c>
      <c r="M19" s="44">
        <f t="shared" si="6"/>
        <v>150</v>
      </c>
      <c r="N19" s="44">
        <f t="shared" si="6"/>
        <v>750</v>
      </c>
      <c r="P19" s="40">
        <f t="shared" si="3"/>
        <v>0</v>
      </c>
      <c r="Q19" s="40" t="str">
        <f t="shared" si="7"/>
        <v>H</v>
      </c>
    </row>
    <row r="20" spans="1:17" x14ac:dyDescent="0.25">
      <c r="A20" s="41">
        <f t="shared" si="4"/>
        <v>3809</v>
      </c>
      <c r="B20" s="42">
        <f t="shared" si="4"/>
        <v>10</v>
      </c>
      <c r="C20" s="41" t="s">
        <v>3576</v>
      </c>
      <c r="D20" s="43">
        <f t="shared" si="5"/>
        <v>39.9</v>
      </c>
      <c r="E20" s="61">
        <f t="shared" si="5"/>
        <v>4.9735000000000005</v>
      </c>
      <c r="F20" s="44">
        <f t="shared" si="5"/>
        <v>12.464912280701757</v>
      </c>
      <c r="G20" s="44">
        <f t="shared" si="0"/>
        <v>10.719824561403511</v>
      </c>
      <c r="H20" s="44">
        <f t="shared" si="1"/>
        <v>6.3571052631578961</v>
      </c>
      <c r="I20" s="44">
        <f t="shared" si="5"/>
        <v>8</v>
      </c>
      <c r="J20" s="45">
        <f t="shared" si="8"/>
        <v>0</v>
      </c>
      <c r="K20" s="37" t="str">
        <f>D20&amp;-4</f>
        <v>39.9-4</v>
      </c>
      <c r="L20" s="44">
        <f t="shared" si="6"/>
        <v>0.2</v>
      </c>
      <c r="M20" s="44">
        <f t="shared" si="6"/>
        <v>150</v>
      </c>
      <c r="N20" s="44">
        <f t="shared" si="6"/>
        <v>750</v>
      </c>
      <c r="P20" s="40">
        <f t="shared" si="3"/>
        <v>0</v>
      </c>
      <c r="Q20" s="40" t="str">
        <f t="shared" si="7"/>
        <v>H</v>
      </c>
    </row>
    <row r="21" spans="1:17" x14ac:dyDescent="0.25">
      <c r="A21" s="41">
        <f t="shared" si="4"/>
        <v>3810</v>
      </c>
      <c r="B21" s="42">
        <f t="shared" si="4"/>
        <v>11</v>
      </c>
      <c r="C21" s="41" t="s">
        <v>3577</v>
      </c>
      <c r="D21" s="43">
        <f t="shared" si="5"/>
        <v>39.9</v>
      </c>
      <c r="E21" s="61">
        <f t="shared" si="5"/>
        <v>4.9735000000000005</v>
      </c>
      <c r="F21" s="44">
        <f t="shared" si="5"/>
        <v>12.464912280701757</v>
      </c>
      <c r="G21" s="44">
        <f t="shared" si="0"/>
        <v>10.719824561403511</v>
      </c>
      <c r="H21" s="44">
        <f t="shared" si="1"/>
        <v>6.3571052631578961</v>
      </c>
      <c r="I21" s="44">
        <f t="shared" si="5"/>
        <v>8</v>
      </c>
      <c r="J21" s="45">
        <f t="shared" si="8"/>
        <v>0</v>
      </c>
      <c r="K21" s="37" t="str">
        <f>D21&amp;-5</f>
        <v>39.9-5</v>
      </c>
      <c r="L21" s="44">
        <f t="shared" si="6"/>
        <v>0.2</v>
      </c>
      <c r="M21" s="44">
        <f t="shared" si="6"/>
        <v>150</v>
      </c>
      <c r="N21" s="44">
        <f t="shared" si="6"/>
        <v>750</v>
      </c>
      <c r="P21" s="40">
        <f t="shared" si="3"/>
        <v>0</v>
      </c>
      <c r="Q21" s="40" t="str">
        <f t="shared" si="7"/>
        <v>H</v>
      </c>
    </row>
    <row r="22" spans="1:17" x14ac:dyDescent="0.25">
      <c r="A22" s="41">
        <f t="shared" si="4"/>
        <v>3811</v>
      </c>
      <c r="B22" s="42">
        <f t="shared" si="4"/>
        <v>12</v>
      </c>
      <c r="C22" s="41" t="s">
        <v>3578</v>
      </c>
      <c r="D22" s="43">
        <f t="shared" si="5"/>
        <v>39.9</v>
      </c>
      <c r="E22" s="61">
        <f t="shared" si="5"/>
        <v>4.9735000000000005</v>
      </c>
      <c r="F22" s="44">
        <f t="shared" si="5"/>
        <v>12.464912280701757</v>
      </c>
      <c r="G22" s="44">
        <f t="shared" si="0"/>
        <v>10.719824561403511</v>
      </c>
      <c r="H22" s="44">
        <f t="shared" si="1"/>
        <v>6.3571052631578961</v>
      </c>
      <c r="I22" s="44">
        <f t="shared" si="5"/>
        <v>8</v>
      </c>
      <c r="J22" s="45">
        <f t="shared" si="8"/>
        <v>0</v>
      </c>
      <c r="K22" s="37" t="str">
        <f>D22&amp;-6</f>
        <v>39.9-6</v>
      </c>
      <c r="L22" s="44">
        <f t="shared" si="6"/>
        <v>0.2</v>
      </c>
      <c r="M22" s="44">
        <f t="shared" si="6"/>
        <v>150</v>
      </c>
      <c r="N22" s="44">
        <f t="shared" si="6"/>
        <v>750</v>
      </c>
      <c r="P22" s="40">
        <f t="shared" si="3"/>
        <v>0</v>
      </c>
      <c r="Q22" s="40" t="str">
        <f t="shared" si="7"/>
        <v>H</v>
      </c>
    </row>
    <row r="23" spans="1:17" x14ac:dyDescent="0.25">
      <c r="A23" s="41">
        <f t="shared" si="4"/>
        <v>3812</v>
      </c>
      <c r="B23" s="42">
        <f t="shared" si="4"/>
        <v>13</v>
      </c>
      <c r="C23" s="41" t="s">
        <v>3579</v>
      </c>
      <c r="D23" s="43">
        <f t="shared" si="5"/>
        <v>39.9</v>
      </c>
      <c r="E23" s="61">
        <f t="shared" si="5"/>
        <v>4.9735000000000005</v>
      </c>
      <c r="F23" s="44">
        <f t="shared" si="5"/>
        <v>12.464912280701757</v>
      </c>
      <c r="G23" s="44">
        <f t="shared" si="0"/>
        <v>10.719824561403511</v>
      </c>
      <c r="H23" s="44">
        <f t="shared" si="1"/>
        <v>6.3571052631578961</v>
      </c>
      <c r="I23" s="44">
        <f t="shared" si="5"/>
        <v>8</v>
      </c>
      <c r="J23" s="45">
        <f t="shared" ref="J23:J28" si="9">yaw_max</f>
        <v>8</v>
      </c>
      <c r="K23" s="37" t="str">
        <f>D23&amp;-1</f>
        <v>39.9-1</v>
      </c>
      <c r="L23" s="44">
        <f t="shared" si="6"/>
        <v>0.2</v>
      </c>
      <c r="M23" s="44">
        <f t="shared" si="6"/>
        <v>150</v>
      </c>
      <c r="N23" s="44">
        <f t="shared" si="6"/>
        <v>750</v>
      </c>
      <c r="P23" s="40">
        <f t="shared" si="3"/>
        <v>0</v>
      </c>
      <c r="Q23" s="40" t="str">
        <f t="shared" si="7"/>
        <v>H</v>
      </c>
    </row>
    <row r="24" spans="1:17" x14ac:dyDescent="0.25">
      <c r="A24" s="41">
        <f t="shared" si="4"/>
        <v>3813</v>
      </c>
      <c r="B24" s="42">
        <f t="shared" si="4"/>
        <v>14</v>
      </c>
      <c r="C24" s="41" t="s">
        <v>3580</v>
      </c>
      <c r="D24" s="43">
        <f t="shared" si="5"/>
        <v>39.9</v>
      </c>
      <c r="E24" s="61">
        <f t="shared" si="5"/>
        <v>4.9735000000000005</v>
      </c>
      <c r="F24" s="44">
        <f t="shared" si="5"/>
        <v>12.464912280701757</v>
      </c>
      <c r="G24" s="44">
        <f t="shared" si="0"/>
        <v>10.719824561403511</v>
      </c>
      <c r="H24" s="44">
        <f t="shared" si="1"/>
        <v>6.3571052631578961</v>
      </c>
      <c r="I24" s="44">
        <f t="shared" si="5"/>
        <v>8</v>
      </c>
      <c r="J24" s="45">
        <f t="shared" si="9"/>
        <v>8</v>
      </c>
      <c r="K24" s="37" t="str">
        <f>D24&amp;-2</f>
        <v>39.9-2</v>
      </c>
      <c r="L24" s="44">
        <f t="shared" si="6"/>
        <v>0.2</v>
      </c>
      <c r="M24" s="44">
        <f t="shared" si="6"/>
        <v>150</v>
      </c>
      <c r="N24" s="44">
        <f t="shared" si="6"/>
        <v>750</v>
      </c>
      <c r="P24" s="40">
        <f t="shared" si="3"/>
        <v>0</v>
      </c>
      <c r="Q24" s="40" t="str">
        <f t="shared" si="7"/>
        <v>H</v>
      </c>
    </row>
    <row r="25" spans="1:17" x14ac:dyDescent="0.25">
      <c r="A25" s="41">
        <f t="shared" si="4"/>
        <v>3814</v>
      </c>
      <c r="B25" s="42">
        <f t="shared" si="4"/>
        <v>15</v>
      </c>
      <c r="C25" s="41" t="s">
        <v>3581</v>
      </c>
      <c r="D25" s="43">
        <f t="shared" si="5"/>
        <v>39.9</v>
      </c>
      <c r="E25" s="61">
        <f t="shared" si="5"/>
        <v>4.9735000000000005</v>
      </c>
      <c r="F25" s="44">
        <f t="shared" si="5"/>
        <v>12.464912280701757</v>
      </c>
      <c r="G25" s="44">
        <f t="shared" si="0"/>
        <v>10.719824561403511</v>
      </c>
      <c r="H25" s="44">
        <f t="shared" si="1"/>
        <v>6.3571052631578961</v>
      </c>
      <c r="I25" s="44">
        <f t="shared" si="5"/>
        <v>8</v>
      </c>
      <c r="J25" s="45">
        <f t="shared" si="9"/>
        <v>8</v>
      </c>
      <c r="K25" s="37" t="str">
        <f>D25&amp;-3</f>
        <v>39.9-3</v>
      </c>
      <c r="L25" s="44">
        <f t="shared" si="6"/>
        <v>0.2</v>
      </c>
      <c r="M25" s="44">
        <f t="shared" si="6"/>
        <v>150</v>
      </c>
      <c r="N25" s="44">
        <f t="shared" si="6"/>
        <v>750</v>
      </c>
      <c r="P25" s="40">
        <f t="shared" si="3"/>
        <v>0</v>
      </c>
      <c r="Q25" s="40" t="str">
        <f t="shared" si="7"/>
        <v>H</v>
      </c>
    </row>
    <row r="26" spans="1:17" x14ac:dyDescent="0.25">
      <c r="A26" s="41">
        <f t="shared" si="4"/>
        <v>3815</v>
      </c>
      <c r="B26" s="42">
        <f t="shared" si="4"/>
        <v>16</v>
      </c>
      <c r="C26" s="41" t="s">
        <v>3582</v>
      </c>
      <c r="D26" s="43">
        <f t="shared" si="5"/>
        <v>39.9</v>
      </c>
      <c r="E26" s="61">
        <f t="shared" si="5"/>
        <v>4.9735000000000005</v>
      </c>
      <c r="F26" s="44">
        <f t="shared" si="5"/>
        <v>12.464912280701757</v>
      </c>
      <c r="G26" s="44">
        <f t="shared" si="0"/>
        <v>10.719824561403511</v>
      </c>
      <c r="H26" s="44">
        <f t="shared" si="1"/>
        <v>6.3571052631578961</v>
      </c>
      <c r="I26" s="44">
        <f t="shared" si="5"/>
        <v>8</v>
      </c>
      <c r="J26" s="45">
        <f t="shared" si="9"/>
        <v>8</v>
      </c>
      <c r="K26" s="37" t="str">
        <f>D26&amp;-4</f>
        <v>39.9-4</v>
      </c>
      <c r="L26" s="44">
        <f t="shared" si="6"/>
        <v>0.2</v>
      </c>
      <c r="M26" s="44">
        <f t="shared" si="6"/>
        <v>150</v>
      </c>
      <c r="N26" s="44">
        <f t="shared" si="6"/>
        <v>750</v>
      </c>
      <c r="P26" s="40">
        <f t="shared" si="3"/>
        <v>0</v>
      </c>
      <c r="Q26" s="40" t="str">
        <f t="shared" si="7"/>
        <v>H</v>
      </c>
    </row>
    <row r="27" spans="1:17" x14ac:dyDescent="0.25">
      <c r="A27" s="41">
        <f t="shared" si="4"/>
        <v>3816</v>
      </c>
      <c r="B27" s="42">
        <f t="shared" si="4"/>
        <v>17</v>
      </c>
      <c r="C27" s="41" t="s">
        <v>3583</v>
      </c>
      <c r="D27" s="43">
        <f t="shared" si="5"/>
        <v>39.9</v>
      </c>
      <c r="E27" s="61">
        <f t="shared" si="5"/>
        <v>4.9735000000000005</v>
      </c>
      <c r="F27" s="44">
        <f t="shared" si="5"/>
        <v>12.464912280701757</v>
      </c>
      <c r="G27" s="44">
        <f t="shared" si="0"/>
        <v>10.719824561403511</v>
      </c>
      <c r="H27" s="44">
        <f t="shared" si="1"/>
        <v>6.3571052631578961</v>
      </c>
      <c r="I27" s="44">
        <f t="shared" si="5"/>
        <v>8</v>
      </c>
      <c r="J27" s="45">
        <f t="shared" si="9"/>
        <v>8</v>
      </c>
      <c r="K27" s="37" t="str">
        <f>D27&amp;-5</f>
        <v>39.9-5</v>
      </c>
      <c r="L27" s="44">
        <f t="shared" si="6"/>
        <v>0.2</v>
      </c>
      <c r="M27" s="44">
        <f t="shared" si="6"/>
        <v>150</v>
      </c>
      <c r="N27" s="44">
        <f t="shared" si="6"/>
        <v>750</v>
      </c>
      <c r="P27" s="40">
        <f t="shared" si="3"/>
        <v>0</v>
      </c>
      <c r="Q27" s="40" t="str">
        <f t="shared" si="7"/>
        <v>H</v>
      </c>
    </row>
    <row r="28" spans="1:17" x14ac:dyDescent="0.25">
      <c r="A28" s="41">
        <f t="shared" ref="A28:B28" si="10">A27+1</f>
        <v>3817</v>
      </c>
      <c r="B28" s="42">
        <f t="shared" si="10"/>
        <v>18</v>
      </c>
      <c r="C28" s="41" t="s">
        <v>3584</v>
      </c>
      <c r="D28" s="43">
        <f t="shared" si="5"/>
        <v>39.9</v>
      </c>
      <c r="E28" s="61">
        <f t="shared" si="5"/>
        <v>4.9735000000000005</v>
      </c>
      <c r="F28" s="44">
        <f t="shared" si="5"/>
        <v>12.464912280701757</v>
      </c>
      <c r="G28" s="44">
        <f t="shared" si="0"/>
        <v>10.719824561403511</v>
      </c>
      <c r="H28" s="44">
        <f t="shared" si="1"/>
        <v>6.3571052631578961</v>
      </c>
      <c r="I28" s="44">
        <f t="shared" si="5"/>
        <v>8</v>
      </c>
      <c r="J28" s="45">
        <f t="shared" si="9"/>
        <v>8</v>
      </c>
      <c r="K28" s="37" t="str">
        <f>D28&amp;-6</f>
        <v>39.9-6</v>
      </c>
      <c r="L28" s="44">
        <f t="shared" si="6"/>
        <v>0.2</v>
      </c>
      <c r="M28" s="44">
        <f t="shared" si="6"/>
        <v>150</v>
      </c>
      <c r="N28" s="44">
        <f t="shared" si="6"/>
        <v>750</v>
      </c>
      <c r="P28" s="40">
        <f t="shared" si="3"/>
        <v>0</v>
      </c>
      <c r="Q28" s="40" t="str">
        <f t="shared" si="7"/>
        <v>H</v>
      </c>
    </row>
  </sheetData>
  <phoneticPr fontId="1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O118"/>
  <sheetViews>
    <sheetView zoomScale="85" zoomScaleNormal="85" workbookViewId="0">
      <selection activeCell="R17" sqref="R17"/>
    </sheetView>
  </sheetViews>
  <sheetFormatPr defaultColWidth="9" defaultRowHeight="15" x14ac:dyDescent="0.15"/>
  <cols>
    <col min="1" max="1" width="8" style="23" customWidth="1"/>
    <col min="2" max="2" width="7.75" style="23" customWidth="1"/>
    <col min="3" max="3" width="9.375" style="23" customWidth="1"/>
    <col min="4" max="4" width="7.625" style="23" customWidth="1"/>
    <col min="5" max="6" width="8.125" style="23" customWidth="1"/>
    <col min="7" max="7" width="8.375" style="23" customWidth="1"/>
    <col min="8" max="8" width="7.375" style="23" customWidth="1"/>
    <col min="9" max="9" width="7.25" style="23" customWidth="1"/>
    <col min="10" max="10" width="7" style="23" customWidth="1"/>
    <col min="11" max="11" width="9" style="23"/>
    <col min="12" max="12" width="7.375" style="23" customWidth="1"/>
    <col min="13" max="13" width="8.75" style="23" customWidth="1"/>
    <col min="14" max="14" width="6.25" style="23" customWidth="1"/>
    <col min="15" max="15" width="7.125" style="23" customWidth="1"/>
    <col min="16" max="16384" width="9" style="23"/>
  </cols>
  <sheetData>
    <row r="1" spans="1:15" x14ac:dyDescent="0.15">
      <c r="H1" s="22" t="s">
        <v>135</v>
      </c>
      <c r="I1" s="22" t="s">
        <v>2399</v>
      </c>
    </row>
    <row r="2" spans="1:15" x14ac:dyDescent="0.15">
      <c r="B2" s="22" t="s">
        <v>2398</v>
      </c>
      <c r="C2" s="22"/>
      <c r="D2" s="22"/>
      <c r="E2" s="22"/>
      <c r="H2" s="22"/>
      <c r="I2" s="22" t="s">
        <v>926</v>
      </c>
    </row>
    <row r="3" spans="1:15" x14ac:dyDescent="0.15">
      <c r="B3" s="22" t="s">
        <v>88</v>
      </c>
      <c r="C3" s="22"/>
      <c r="D3" s="22"/>
      <c r="E3" s="22" t="s">
        <v>2397</v>
      </c>
      <c r="H3" s="22"/>
      <c r="I3" s="22" t="s">
        <v>911</v>
      </c>
    </row>
    <row r="4" spans="1:15" x14ac:dyDescent="0.15">
      <c r="B4" s="22" t="s">
        <v>89</v>
      </c>
      <c r="C4" s="22"/>
      <c r="D4" s="22"/>
      <c r="E4" s="22" t="s">
        <v>118</v>
      </c>
      <c r="H4" s="22"/>
      <c r="I4" s="22" t="s">
        <v>165</v>
      </c>
    </row>
    <row r="5" spans="1:15" x14ac:dyDescent="0.15">
      <c r="B5" s="22" t="s">
        <v>91</v>
      </c>
      <c r="C5" s="22"/>
      <c r="D5" s="22"/>
      <c r="E5" s="22" t="s">
        <v>99</v>
      </c>
    </row>
    <row r="6" spans="1:15" x14ac:dyDescent="0.15">
      <c r="B6" s="22" t="s">
        <v>93</v>
      </c>
      <c r="C6" s="22"/>
      <c r="D6" s="22"/>
      <c r="E6" s="22" t="s">
        <v>106</v>
      </c>
      <c r="I6" s="22"/>
    </row>
    <row r="7" spans="1:15" x14ac:dyDescent="0.15">
      <c r="A7" s="46"/>
      <c r="B7" s="46"/>
      <c r="C7" s="46"/>
      <c r="D7" s="46"/>
      <c r="E7" s="46"/>
      <c r="F7" s="46"/>
      <c r="G7" s="46"/>
      <c r="H7" s="46"/>
      <c r="I7" s="22"/>
      <c r="J7" s="46"/>
      <c r="K7" s="46"/>
      <c r="L7" s="46"/>
      <c r="M7" s="46"/>
      <c r="N7" s="46"/>
      <c r="O7" s="46"/>
    </row>
    <row r="8" spans="1:15" ht="15.75" thickBot="1" x14ac:dyDescent="0.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</row>
    <row r="9" spans="1:15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25" t="s">
        <v>119</v>
      </c>
      <c r="G9" s="25" t="s">
        <v>120</v>
      </c>
      <c r="H9" s="25" t="s">
        <v>121</v>
      </c>
      <c r="I9" s="25" t="s">
        <v>144</v>
      </c>
      <c r="J9" s="25" t="s">
        <v>2</v>
      </c>
      <c r="K9" s="26" t="s">
        <v>3</v>
      </c>
      <c r="L9" s="25" t="s">
        <v>141</v>
      </c>
      <c r="M9" s="47" t="s">
        <v>22</v>
      </c>
      <c r="N9" s="27" t="s">
        <v>138</v>
      </c>
      <c r="O9" s="27" t="s">
        <v>139</v>
      </c>
    </row>
    <row r="10" spans="1:15" ht="15.75" thickBot="1" x14ac:dyDescent="0.3">
      <c r="A10" s="29" t="s">
        <v>76</v>
      </c>
      <c r="B10" s="30" t="str">
        <f>B2</f>
        <v>DLCT12</v>
      </c>
      <c r="C10" s="29"/>
      <c r="D10" s="30" t="s">
        <v>4</v>
      </c>
      <c r="E10" s="59" t="s">
        <v>4</v>
      </c>
      <c r="F10" s="30" t="s">
        <v>5</v>
      </c>
      <c r="G10" s="30" t="s">
        <v>5</v>
      </c>
      <c r="H10" s="30" t="s">
        <v>5</v>
      </c>
      <c r="I10" s="30" t="s">
        <v>6</v>
      </c>
      <c r="J10" s="30" t="s">
        <v>6</v>
      </c>
      <c r="K10" s="31"/>
      <c r="L10" s="30"/>
      <c r="M10" s="48"/>
      <c r="N10" s="32" t="s">
        <v>7</v>
      </c>
      <c r="O10" s="32" t="s">
        <v>7</v>
      </c>
    </row>
    <row r="11" spans="1:15" x14ac:dyDescent="0.25">
      <c r="A11" s="24">
        <f>'DLC64'!A22+1</f>
        <v>3980</v>
      </c>
      <c r="B11" s="27">
        <v>1</v>
      </c>
      <c r="C11" s="24" t="s">
        <v>2400</v>
      </c>
      <c r="D11" s="34">
        <f>v_T1</f>
        <v>45.6</v>
      </c>
      <c r="E11" s="60">
        <f>F11*D11/100</f>
        <v>5.016</v>
      </c>
      <c r="F11" s="35">
        <f>0.11*100</f>
        <v>11</v>
      </c>
      <c r="G11" s="44">
        <f t="shared" ref="G11:G42" si="0">m_ty_t*F11</f>
        <v>9.4599999999999991</v>
      </c>
      <c r="H11" s="44">
        <f t="shared" ref="H11:H42" si="1">m_tz_t*F11</f>
        <v>5.61</v>
      </c>
      <c r="I11" s="35">
        <f>inflow</f>
        <v>8</v>
      </c>
      <c r="J11" s="36">
        <f t="shared" ref="J11:J46" si="2">yaw_min</f>
        <v>-8</v>
      </c>
      <c r="K11" s="37" t="str">
        <f>D11&amp;-1</f>
        <v>45.6-1</v>
      </c>
      <c r="L11" s="35">
        <f>alpha_e</f>
        <v>0.11</v>
      </c>
      <c r="M11" s="57">
        <v>0</v>
      </c>
      <c r="N11" s="53">
        <f>t_out</f>
        <v>150</v>
      </c>
      <c r="O11" s="35">
        <f>N11+T_s1</f>
        <v>750</v>
      </c>
    </row>
    <row r="12" spans="1:15" x14ac:dyDescent="0.25">
      <c r="A12" s="41">
        <f>A11+1</f>
        <v>3981</v>
      </c>
      <c r="B12" s="42">
        <f>B11+1</f>
        <v>2</v>
      </c>
      <c r="C12" s="41" t="s">
        <v>2401</v>
      </c>
      <c r="D12" s="43">
        <f>D11</f>
        <v>45.6</v>
      </c>
      <c r="E12" s="61">
        <f>E11</f>
        <v>5.016</v>
      </c>
      <c r="F12" s="44">
        <f>F11</f>
        <v>11</v>
      </c>
      <c r="G12" s="44">
        <f t="shared" si="0"/>
        <v>9.4599999999999991</v>
      </c>
      <c r="H12" s="44">
        <f t="shared" si="1"/>
        <v>5.61</v>
      </c>
      <c r="I12" s="44">
        <f>I11</f>
        <v>8</v>
      </c>
      <c r="J12" s="45">
        <f t="shared" si="2"/>
        <v>-8</v>
      </c>
      <c r="K12" s="37" t="str">
        <f>D12&amp;-2</f>
        <v>45.6-2</v>
      </c>
      <c r="L12" s="44">
        <f>L11</f>
        <v>0.11</v>
      </c>
      <c r="M12" s="53">
        <f>M11</f>
        <v>0</v>
      </c>
      <c r="N12" s="53">
        <f>N11</f>
        <v>150</v>
      </c>
      <c r="O12" s="44">
        <f>O11</f>
        <v>750</v>
      </c>
    </row>
    <row r="13" spans="1:15" x14ac:dyDescent="0.25">
      <c r="A13" s="41">
        <f t="shared" ref="A13:B17" si="3">A12+1</f>
        <v>3982</v>
      </c>
      <c r="B13" s="42">
        <f t="shared" si="3"/>
        <v>3</v>
      </c>
      <c r="C13" s="41" t="s">
        <v>2402</v>
      </c>
      <c r="D13" s="43">
        <f t="shared" ref="D13:I17" si="4">D12</f>
        <v>45.6</v>
      </c>
      <c r="E13" s="61">
        <f t="shared" si="4"/>
        <v>5.016</v>
      </c>
      <c r="F13" s="44">
        <f t="shared" si="4"/>
        <v>11</v>
      </c>
      <c r="G13" s="44">
        <f t="shared" si="0"/>
        <v>9.4599999999999991</v>
      </c>
      <c r="H13" s="44">
        <f t="shared" si="1"/>
        <v>5.61</v>
      </c>
      <c r="I13" s="44">
        <f t="shared" si="4"/>
        <v>8</v>
      </c>
      <c r="J13" s="45">
        <f t="shared" si="2"/>
        <v>-8</v>
      </c>
      <c r="K13" s="37" t="str">
        <f>D13&amp;-3</f>
        <v>45.6-3</v>
      </c>
      <c r="L13" s="44">
        <f t="shared" ref="L13:O17" si="5">L12</f>
        <v>0.11</v>
      </c>
      <c r="M13" s="53">
        <f t="shared" si="5"/>
        <v>0</v>
      </c>
      <c r="N13" s="53">
        <f t="shared" si="5"/>
        <v>150</v>
      </c>
      <c r="O13" s="44">
        <f t="shared" si="5"/>
        <v>750</v>
      </c>
    </row>
    <row r="14" spans="1:15" x14ac:dyDescent="0.25">
      <c r="A14" s="41">
        <f t="shared" si="3"/>
        <v>3983</v>
      </c>
      <c r="B14" s="42">
        <f t="shared" si="3"/>
        <v>4</v>
      </c>
      <c r="C14" s="41" t="s">
        <v>2403</v>
      </c>
      <c r="D14" s="43">
        <f t="shared" si="4"/>
        <v>45.6</v>
      </c>
      <c r="E14" s="61">
        <f t="shared" si="4"/>
        <v>5.016</v>
      </c>
      <c r="F14" s="44">
        <f t="shared" si="4"/>
        <v>11</v>
      </c>
      <c r="G14" s="44">
        <f t="shared" si="0"/>
        <v>9.4599999999999991</v>
      </c>
      <c r="H14" s="44">
        <f t="shared" si="1"/>
        <v>5.61</v>
      </c>
      <c r="I14" s="44">
        <f t="shared" si="4"/>
        <v>8</v>
      </c>
      <c r="J14" s="45">
        <f t="shared" si="2"/>
        <v>-8</v>
      </c>
      <c r="K14" s="37" t="str">
        <f>D14&amp;-4</f>
        <v>45.6-4</v>
      </c>
      <c r="L14" s="44">
        <f t="shared" si="5"/>
        <v>0.11</v>
      </c>
      <c r="M14" s="53">
        <f t="shared" si="5"/>
        <v>0</v>
      </c>
      <c r="N14" s="53">
        <f t="shared" si="5"/>
        <v>150</v>
      </c>
      <c r="O14" s="44">
        <f t="shared" si="5"/>
        <v>750</v>
      </c>
    </row>
    <row r="15" spans="1:15" x14ac:dyDescent="0.25">
      <c r="A15" s="41">
        <f t="shared" si="3"/>
        <v>3984</v>
      </c>
      <c r="B15" s="42">
        <f t="shared" si="3"/>
        <v>5</v>
      </c>
      <c r="C15" s="41" t="s">
        <v>2404</v>
      </c>
      <c r="D15" s="43">
        <f t="shared" si="4"/>
        <v>45.6</v>
      </c>
      <c r="E15" s="61">
        <f t="shared" si="4"/>
        <v>5.016</v>
      </c>
      <c r="F15" s="44">
        <f t="shared" si="4"/>
        <v>11</v>
      </c>
      <c r="G15" s="44">
        <f t="shared" si="0"/>
        <v>9.4599999999999991</v>
      </c>
      <c r="H15" s="44">
        <f t="shared" si="1"/>
        <v>5.61</v>
      </c>
      <c r="I15" s="44">
        <f t="shared" si="4"/>
        <v>8</v>
      </c>
      <c r="J15" s="45">
        <f t="shared" si="2"/>
        <v>-8</v>
      </c>
      <c r="K15" s="37" t="str">
        <f>D15&amp;-5</f>
        <v>45.6-5</v>
      </c>
      <c r="L15" s="44">
        <f t="shared" si="5"/>
        <v>0.11</v>
      </c>
      <c r="M15" s="53">
        <f t="shared" si="5"/>
        <v>0</v>
      </c>
      <c r="N15" s="53">
        <f t="shared" si="5"/>
        <v>150</v>
      </c>
      <c r="O15" s="44">
        <f t="shared" si="5"/>
        <v>750</v>
      </c>
    </row>
    <row r="16" spans="1:15" x14ac:dyDescent="0.25">
      <c r="A16" s="41">
        <f t="shared" si="3"/>
        <v>3985</v>
      </c>
      <c r="B16" s="42">
        <f t="shared" si="3"/>
        <v>6</v>
      </c>
      <c r="C16" s="41" t="s">
        <v>2405</v>
      </c>
      <c r="D16" s="43">
        <f t="shared" si="4"/>
        <v>45.6</v>
      </c>
      <c r="E16" s="61">
        <f t="shared" si="4"/>
        <v>5.016</v>
      </c>
      <c r="F16" s="44">
        <f t="shared" si="4"/>
        <v>11</v>
      </c>
      <c r="G16" s="44">
        <f t="shared" si="0"/>
        <v>9.4599999999999991</v>
      </c>
      <c r="H16" s="44">
        <f t="shared" si="1"/>
        <v>5.61</v>
      </c>
      <c r="I16" s="44">
        <f t="shared" si="4"/>
        <v>8</v>
      </c>
      <c r="J16" s="45">
        <f t="shared" si="2"/>
        <v>-8</v>
      </c>
      <c r="K16" s="37" t="str">
        <f>D16&amp;-6</f>
        <v>45.6-6</v>
      </c>
      <c r="L16" s="44">
        <f t="shared" si="5"/>
        <v>0.11</v>
      </c>
      <c r="M16" s="53">
        <f t="shared" si="5"/>
        <v>0</v>
      </c>
      <c r="N16" s="53">
        <f t="shared" si="5"/>
        <v>150</v>
      </c>
      <c r="O16" s="44">
        <f t="shared" si="5"/>
        <v>750</v>
      </c>
    </row>
    <row r="17" spans="1:15" x14ac:dyDescent="0.25">
      <c r="A17" s="41">
        <f t="shared" si="3"/>
        <v>3986</v>
      </c>
      <c r="B17" s="42">
        <f t="shared" si="3"/>
        <v>7</v>
      </c>
      <c r="C17" s="41" t="s">
        <v>2406</v>
      </c>
      <c r="D17" s="43">
        <f t="shared" si="4"/>
        <v>45.6</v>
      </c>
      <c r="E17" s="61">
        <f t="shared" si="4"/>
        <v>5.016</v>
      </c>
      <c r="F17" s="44">
        <f t="shared" si="4"/>
        <v>11</v>
      </c>
      <c r="G17" s="44">
        <f t="shared" si="0"/>
        <v>9.4599999999999991</v>
      </c>
      <c r="H17" s="44">
        <f t="shared" si="1"/>
        <v>5.61</v>
      </c>
      <c r="I17" s="44">
        <f t="shared" si="4"/>
        <v>8</v>
      </c>
      <c r="J17" s="45">
        <f t="shared" si="2"/>
        <v>-8</v>
      </c>
      <c r="K17" s="37" t="str">
        <f>D17&amp;-1</f>
        <v>45.6-1</v>
      </c>
      <c r="L17" s="44">
        <f t="shared" si="5"/>
        <v>0.11</v>
      </c>
      <c r="M17" s="53">
        <v>15</v>
      </c>
      <c r="N17" s="53">
        <f t="shared" si="5"/>
        <v>150</v>
      </c>
      <c r="O17" s="44">
        <f t="shared" si="5"/>
        <v>750</v>
      </c>
    </row>
    <row r="18" spans="1:15" x14ac:dyDescent="0.25">
      <c r="A18" s="41">
        <f>A17+1</f>
        <v>3987</v>
      </c>
      <c r="B18" s="42">
        <f>B17+1</f>
        <v>8</v>
      </c>
      <c r="C18" s="41" t="s">
        <v>2407</v>
      </c>
      <c r="D18" s="43">
        <f>D17</f>
        <v>45.6</v>
      </c>
      <c r="E18" s="61">
        <f>E17</f>
        <v>5.016</v>
      </c>
      <c r="F18" s="44">
        <f>F17</f>
        <v>11</v>
      </c>
      <c r="G18" s="44">
        <f t="shared" si="0"/>
        <v>9.4599999999999991</v>
      </c>
      <c r="H18" s="44">
        <f t="shared" si="1"/>
        <v>5.61</v>
      </c>
      <c r="I18" s="44">
        <f>I17</f>
        <v>8</v>
      </c>
      <c r="J18" s="45">
        <f t="shared" si="2"/>
        <v>-8</v>
      </c>
      <c r="K18" s="37" t="str">
        <f>D18&amp;-2</f>
        <v>45.6-2</v>
      </c>
      <c r="L18" s="44">
        <f>L17</f>
        <v>0.11</v>
      </c>
      <c r="M18" s="53">
        <f>M17</f>
        <v>15</v>
      </c>
      <c r="N18" s="53">
        <f>N17</f>
        <v>150</v>
      </c>
      <c r="O18" s="44">
        <f>O17</f>
        <v>750</v>
      </c>
    </row>
    <row r="19" spans="1:15" x14ac:dyDescent="0.25">
      <c r="A19" s="41">
        <f t="shared" ref="A19:B23" si="6">A18+1</f>
        <v>3988</v>
      </c>
      <c r="B19" s="42">
        <f t="shared" si="6"/>
        <v>9</v>
      </c>
      <c r="C19" s="41" t="s">
        <v>2408</v>
      </c>
      <c r="D19" s="43">
        <f t="shared" ref="D19:F23" si="7">D18</f>
        <v>45.6</v>
      </c>
      <c r="E19" s="61">
        <f t="shared" si="7"/>
        <v>5.016</v>
      </c>
      <c r="F19" s="44">
        <f t="shared" si="7"/>
        <v>11</v>
      </c>
      <c r="G19" s="44">
        <f t="shared" si="0"/>
        <v>9.4599999999999991</v>
      </c>
      <c r="H19" s="44">
        <f t="shared" si="1"/>
        <v>5.61</v>
      </c>
      <c r="I19" s="44">
        <f t="shared" ref="I19:I23" si="8">I18</f>
        <v>8</v>
      </c>
      <c r="J19" s="45">
        <f t="shared" si="2"/>
        <v>-8</v>
      </c>
      <c r="K19" s="37" t="str">
        <f>D19&amp;-3</f>
        <v>45.6-3</v>
      </c>
      <c r="L19" s="44">
        <f t="shared" ref="L19:O23" si="9">L18</f>
        <v>0.11</v>
      </c>
      <c r="M19" s="53">
        <f t="shared" si="9"/>
        <v>15</v>
      </c>
      <c r="N19" s="53">
        <f t="shared" si="9"/>
        <v>150</v>
      </c>
      <c r="O19" s="44">
        <f t="shared" si="9"/>
        <v>750</v>
      </c>
    </row>
    <row r="20" spans="1:15" x14ac:dyDescent="0.25">
      <c r="A20" s="41">
        <f t="shared" si="6"/>
        <v>3989</v>
      </c>
      <c r="B20" s="42">
        <f t="shared" si="6"/>
        <v>10</v>
      </c>
      <c r="C20" s="41" t="s">
        <v>2409</v>
      </c>
      <c r="D20" s="43">
        <f t="shared" si="7"/>
        <v>45.6</v>
      </c>
      <c r="E20" s="61">
        <f t="shared" si="7"/>
        <v>5.016</v>
      </c>
      <c r="F20" s="44">
        <f t="shared" si="7"/>
        <v>11</v>
      </c>
      <c r="G20" s="44">
        <f t="shared" si="0"/>
        <v>9.4599999999999991</v>
      </c>
      <c r="H20" s="44">
        <f t="shared" si="1"/>
        <v>5.61</v>
      </c>
      <c r="I20" s="44">
        <f t="shared" si="8"/>
        <v>8</v>
      </c>
      <c r="J20" s="45">
        <f t="shared" si="2"/>
        <v>-8</v>
      </c>
      <c r="K20" s="37" t="str">
        <f>D20&amp;-4</f>
        <v>45.6-4</v>
      </c>
      <c r="L20" s="44">
        <f t="shared" si="9"/>
        <v>0.11</v>
      </c>
      <c r="M20" s="53">
        <f t="shared" si="9"/>
        <v>15</v>
      </c>
      <c r="N20" s="53">
        <f t="shared" si="9"/>
        <v>150</v>
      </c>
      <c r="O20" s="44">
        <f t="shared" si="9"/>
        <v>750</v>
      </c>
    </row>
    <row r="21" spans="1:15" x14ac:dyDescent="0.25">
      <c r="A21" s="41">
        <f t="shared" si="6"/>
        <v>3990</v>
      </c>
      <c r="B21" s="42">
        <f t="shared" si="6"/>
        <v>11</v>
      </c>
      <c r="C21" s="41" t="s">
        <v>2410</v>
      </c>
      <c r="D21" s="43">
        <f t="shared" si="7"/>
        <v>45.6</v>
      </c>
      <c r="E21" s="61">
        <f t="shared" si="7"/>
        <v>5.016</v>
      </c>
      <c r="F21" s="44">
        <f t="shared" si="7"/>
        <v>11</v>
      </c>
      <c r="G21" s="44">
        <f t="shared" si="0"/>
        <v>9.4599999999999991</v>
      </c>
      <c r="H21" s="44">
        <f t="shared" si="1"/>
        <v>5.61</v>
      </c>
      <c r="I21" s="44">
        <f t="shared" si="8"/>
        <v>8</v>
      </c>
      <c r="J21" s="45">
        <f t="shared" si="2"/>
        <v>-8</v>
      </c>
      <c r="K21" s="37" t="str">
        <f>D21&amp;-5</f>
        <v>45.6-5</v>
      </c>
      <c r="L21" s="44">
        <f t="shared" si="9"/>
        <v>0.11</v>
      </c>
      <c r="M21" s="53">
        <f t="shared" si="9"/>
        <v>15</v>
      </c>
      <c r="N21" s="53">
        <f t="shared" si="9"/>
        <v>150</v>
      </c>
      <c r="O21" s="44">
        <f t="shared" si="9"/>
        <v>750</v>
      </c>
    </row>
    <row r="22" spans="1:15" x14ac:dyDescent="0.25">
      <c r="A22" s="41">
        <f t="shared" si="6"/>
        <v>3991</v>
      </c>
      <c r="B22" s="42">
        <f t="shared" si="6"/>
        <v>12</v>
      </c>
      <c r="C22" s="41" t="s">
        <v>2411</v>
      </c>
      <c r="D22" s="43">
        <f t="shared" si="7"/>
        <v>45.6</v>
      </c>
      <c r="E22" s="61">
        <f t="shared" si="7"/>
        <v>5.016</v>
      </c>
      <c r="F22" s="44">
        <f t="shared" si="7"/>
        <v>11</v>
      </c>
      <c r="G22" s="44">
        <f t="shared" si="0"/>
        <v>9.4599999999999991</v>
      </c>
      <c r="H22" s="44">
        <f t="shared" si="1"/>
        <v>5.61</v>
      </c>
      <c r="I22" s="44">
        <f t="shared" si="8"/>
        <v>8</v>
      </c>
      <c r="J22" s="45">
        <f t="shared" si="2"/>
        <v>-8</v>
      </c>
      <c r="K22" s="37" t="str">
        <f>D22&amp;-6</f>
        <v>45.6-6</v>
      </c>
      <c r="L22" s="44">
        <f t="shared" si="9"/>
        <v>0.11</v>
      </c>
      <c r="M22" s="53">
        <f t="shared" si="9"/>
        <v>15</v>
      </c>
      <c r="N22" s="53">
        <f t="shared" si="9"/>
        <v>150</v>
      </c>
      <c r="O22" s="44">
        <f t="shared" si="9"/>
        <v>750</v>
      </c>
    </row>
    <row r="23" spans="1:15" x14ac:dyDescent="0.25">
      <c r="A23" s="41">
        <f t="shared" si="6"/>
        <v>3992</v>
      </c>
      <c r="B23" s="42">
        <f t="shared" si="6"/>
        <v>13</v>
      </c>
      <c r="C23" s="41" t="s">
        <v>2412</v>
      </c>
      <c r="D23" s="43">
        <f t="shared" si="7"/>
        <v>45.6</v>
      </c>
      <c r="E23" s="61">
        <f t="shared" si="7"/>
        <v>5.016</v>
      </c>
      <c r="F23" s="44">
        <f t="shared" si="7"/>
        <v>11</v>
      </c>
      <c r="G23" s="44">
        <f t="shared" si="0"/>
        <v>9.4599999999999991</v>
      </c>
      <c r="H23" s="44">
        <f t="shared" si="1"/>
        <v>5.61</v>
      </c>
      <c r="I23" s="44">
        <f t="shared" si="8"/>
        <v>8</v>
      </c>
      <c r="J23" s="45">
        <f t="shared" si="2"/>
        <v>-8</v>
      </c>
      <c r="K23" s="37" t="str">
        <f>D23&amp;-1</f>
        <v>45.6-1</v>
      </c>
      <c r="L23" s="44">
        <f t="shared" si="9"/>
        <v>0.11</v>
      </c>
      <c r="M23" s="53">
        <v>30</v>
      </c>
      <c r="N23" s="53">
        <f t="shared" si="9"/>
        <v>150</v>
      </c>
      <c r="O23" s="44">
        <f t="shared" si="9"/>
        <v>750</v>
      </c>
    </row>
    <row r="24" spans="1:15" x14ac:dyDescent="0.25">
      <c r="A24" s="41">
        <f>A23+1</f>
        <v>3993</v>
      </c>
      <c r="B24" s="42">
        <f>B23+1</f>
        <v>14</v>
      </c>
      <c r="C24" s="41" t="s">
        <v>2413</v>
      </c>
      <c r="D24" s="43">
        <f>D23</f>
        <v>45.6</v>
      </c>
      <c r="E24" s="61">
        <f>E23</f>
        <v>5.016</v>
      </c>
      <c r="F24" s="44">
        <f>F23</f>
        <v>11</v>
      </c>
      <c r="G24" s="44">
        <f t="shared" si="0"/>
        <v>9.4599999999999991</v>
      </c>
      <c r="H24" s="44">
        <f t="shared" si="1"/>
        <v>5.61</v>
      </c>
      <c r="I24" s="44">
        <f>I23</f>
        <v>8</v>
      </c>
      <c r="J24" s="45">
        <f t="shared" si="2"/>
        <v>-8</v>
      </c>
      <c r="K24" s="37" t="str">
        <f>D24&amp;-2</f>
        <v>45.6-2</v>
      </c>
      <c r="L24" s="44">
        <f>L23</f>
        <v>0.11</v>
      </c>
      <c r="M24" s="53">
        <f>M23</f>
        <v>30</v>
      </c>
      <c r="N24" s="53">
        <f>N23</f>
        <v>150</v>
      </c>
      <c r="O24" s="44">
        <f>O23</f>
        <v>750</v>
      </c>
    </row>
    <row r="25" spans="1:15" x14ac:dyDescent="0.25">
      <c r="A25" s="41">
        <f t="shared" ref="A25:B29" si="10">A24+1</f>
        <v>3994</v>
      </c>
      <c r="B25" s="42">
        <f t="shared" si="10"/>
        <v>15</v>
      </c>
      <c r="C25" s="41" t="s">
        <v>2414</v>
      </c>
      <c r="D25" s="43">
        <f t="shared" ref="D25:F29" si="11">D24</f>
        <v>45.6</v>
      </c>
      <c r="E25" s="61">
        <f t="shared" si="11"/>
        <v>5.016</v>
      </c>
      <c r="F25" s="44">
        <f t="shared" si="11"/>
        <v>11</v>
      </c>
      <c r="G25" s="44">
        <f t="shared" si="0"/>
        <v>9.4599999999999991</v>
      </c>
      <c r="H25" s="44">
        <f t="shared" si="1"/>
        <v>5.61</v>
      </c>
      <c r="I25" s="44">
        <f t="shared" ref="I25:I29" si="12">I24</f>
        <v>8</v>
      </c>
      <c r="J25" s="45">
        <f t="shared" si="2"/>
        <v>-8</v>
      </c>
      <c r="K25" s="37" t="str">
        <f>D25&amp;-3</f>
        <v>45.6-3</v>
      </c>
      <c r="L25" s="44">
        <f t="shared" ref="L25:O29" si="13">L24</f>
        <v>0.11</v>
      </c>
      <c r="M25" s="53">
        <f t="shared" si="13"/>
        <v>30</v>
      </c>
      <c r="N25" s="53">
        <f t="shared" si="13"/>
        <v>150</v>
      </c>
      <c r="O25" s="44">
        <f t="shared" si="13"/>
        <v>750</v>
      </c>
    </row>
    <row r="26" spans="1:15" x14ac:dyDescent="0.25">
      <c r="A26" s="41">
        <f t="shared" si="10"/>
        <v>3995</v>
      </c>
      <c r="B26" s="42">
        <f t="shared" si="10"/>
        <v>16</v>
      </c>
      <c r="C26" s="41" t="s">
        <v>2415</v>
      </c>
      <c r="D26" s="43">
        <f t="shared" si="11"/>
        <v>45.6</v>
      </c>
      <c r="E26" s="61">
        <f t="shared" si="11"/>
        <v>5.016</v>
      </c>
      <c r="F26" s="44">
        <f t="shared" si="11"/>
        <v>11</v>
      </c>
      <c r="G26" s="44">
        <f t="shared" si="0"/>
        <v>9.4599999999999991</v>
      </c>
      <c r="H26" s="44">
        <f t="shared" si="1"/>
        <v>5.61</v>
      </c>
      <c r="I26" s="44">
        <f t="shared" si="12"/>
        <v>8</v>
      </c>
      <c r="J26" s="45">
        <f t="shared" si="2"/>
        <v>-8</v>
      </c>
      <c r="K26" s="37" t="str">
        <f>D26&amp;-4</f>
        <v>45.6-4</v>
      </c>
      <c r="L26" s="44">
        <f t="shared" si="13"/>
        <v>0.11</v>
      </c>
      <c r="M26" s="53">
        <f t="shared" si="13"/>
        <v>30</v>
      </c>
      <c r="N26" s="53">
        <f t="shared" si="13"/>
        <v>150</v>
      </c>
      <c r="O26" s="44">
        <f t="shared" si="13"/>
        <v>750</v>
      </c>
    </row>
    <row r="27" spans="1:15" x14ac:dyDescent="0.25">
      <c r="A27" s="41">
        <f t="shared" si="10"/>
        <v>3996</v>
      </c>
      <c r="B27" s="42">
        <f t="shared" si="10"/>
        <v>17</v>
      </c>
      <c r="C27" s="41" t="s">
        <v>2416</v>
      </c>
      <c r="D27" s="43">
        <f t="shared" si="11"/>
        <v>45.6</v>
      </c>
      <c r="E27" s="61">
        <f t="shared" si="11"/>
        <v>5.016</v>
      </c>
      <c r="F27" s="44">
        <f t="shared" si="11"/>
        <v>11</v>
      </c>
      <c r="G27" s="44">
        <f t="shared" si="0"/>
        <v>9.4599999999999991</v>
      </c>
      <c r="H27" s="44">
        <f t="shared" si="1"/>
        <v>5.61</v>
      </c>
      <c r="I27" s="44">
        <f t="shared" si="12"/>
        <v>8</v>
      </c>
      <c r="J27" s="45">
        <f t="shared" si="2"/>
        <v>-8</v>
      </c>
      <c r="K27" s="37" t="str">
        <f>D27&amp;-5</f>
        <v>45.6-5</v>
      </c>
      <c r="L27" s="44">
        <f t="shared" si="13"/>
        <v>0.11</v>
      </c>
      <c r="M27" s="53">
        <f t="shared" si="13"/>
        <v>30</v>
      </c>
      <c r="N27" s="53">
        <f t="shared" si="13"/>
        <v>150</v>
      </c>
      <c r="O27" s="44">
        <f t="shared" si="13"/>
        <v>750</v>
      </c>
    </row>
    <row r="28" spans="1:15" x14ac:dyDescent="0.25">
      <c r="A28" s="41">
        <f t="shared" si="10"/>
        <v>3997</v>
      </c>
      <c r="B28" s="42">
        <f t="shared" si="10"/>
        <v>18</v>
      </c>
      <c r="C28" s="41" t="s">
        <v>2417</v>
      </c>
      <c r="D28" s="43">
        <f t="shared" si="11"/>
        <v>45.6</v>
      </c>
      <c r="E28" s="61">
        <f t="shared" si="11"/>
        <v>5.016</v>
      </c>
      <c r="F28" s="44">
        <f t="shared" si="11"/>
        <v>11</v>
      </c>
      <c r="G28" s="44">
        <f t="shared" si="0"/>
        <v>9.4599999999999991</v>
      </c>
      <c r="H28" s="44">
        <f t="shared" si="1"/>
        <v>5.61</v>
      </c>
      <c r="I28" s="44">
        <f t="shared" si="12"/>
        <v>8</v>
      </c>
      <c r="J28" s="45">
        <f t="shared" si="2"/>
        <v>-8</v>
      </c>
      <c r="K28" s="37" t="str">
        <f>D28&amp;-6</f>
        <v>45.6-6</v>
      </c>
      <c r="L28" s="44">
        <f t="shared" si="13"/>
        <v>0.11</v>
      </c>
      <c r="M28" s="53">
        <f t="shared" si="13"/>
        <v>30</v>
      </c>
      <c r="N28" s="53">
        <f t="shared" si="13"/>
        <v>150</v>
      </c>
      <c r="O28" s="44">
        <f t="shared" si="13"/>
        <v>750</v>
      </c>
    </row>
    <row r="29" spans="1:15" x14ac:dyDescent="0.25">
      <c r="A29" s="41">
        <f t="shared" si="10"/>
        <v>3998</v>
      </c>
      <c r="B29" s="42">
        <f t="shared" si="10"/>
        <v>19</v>
      </c>
      <c r="C29" s="41" t="s">
        <v>2418</v>
      </c>
      <c r="D29" s="43">
        <f t="shared" si="11"/>
        <v>45.6</v>
      </c>
      <c r="E29" s="61">
        <f t="shared" si="11"/>
        <v>5.016</v>
      </c>
      <c r="F29" s="44">
        <f t="shared" si="11"/>
        <v>11</v>
      </c>
      <c r="G29" s="44">
        <f t="shared" si="0"/>
        <v>9.4599999999999991</v>
      </c>
      <c r="H29" s="44">
        <f t="shared" si="1"/>
        <v>5.61</v>
      </c>
      <c r="I29" s="44">
        <f t="shared" si="12"/>
        <v>8</v>
      </c>
      <c r="J29" s="45">
        <f t="shared" si="2"/>
        <v>-8</v>
      </c>
      <c r="K29" s="37" t="str">
        <f>D29&amp;-1</f>
        <v>45.6-1</v>
      </c>
      <c r="L29" s="44">
        <f t="shared" si="13"/>
        <v>0.11</v>
      </c>
      <c r="M29" s="53">
        <v>45</v>
      </c>
      <c r="N29" s="53">
        <f t="shared" si="13"/>
        <v>150</v>
      </c>
      <c r="O29" s="44">
        <f t="shared" si="13"/>
        <v>750</v>
      </c>
    </row>
    <row r="30" spans="1:15" x14ac:dyDescent="0.25">
      <c r="A30" s="41">
        <f>A29+1</f>
        <v>3999</v>
      </c>
      <c r="B30" s="42">
        <f>B29+1</f>
        <v>20</v>
      </c>
      <c r="C30" s="41" t="s">
        <v>2419</v>
      </c>
      <c r="D30" s="43">
        <f>D29</f>
        <v>45.6</v>
      </c>
      <c r="E30" s="61">
        <f>E29</f>
        <v>5.016</v>
      </c>
      <c r="F30" s="44">
        <f>F29</f>
        <v>11</v>
      </c>
      <c r="G30" s="44">
        <f t="shared" si="0"/>
        <v>9.4599999999999991</v>
      </c>
      <c r="H30" s="44">
        <f t="shared" si="1"/>
        <v>5.61</v>
      </c>
      <c r="I30" s="44">
        <f>I29</f>
        <v>8</v>
      </c>
      <c r="J30" s="45">
        <f t="shared" si="2"/>
        <v>-8</v>
      </c>
      <c r="K30" s="37" t="str">
        <f>D30&amp;-2</f>
        <v>45.6-2</v>
      </c>
      <c r="L30" s="44">
        <f>L29</f>
        <v>0.11</v>
      </c>
      <c r="M30" s="53">
        <f>M29</f>
        <v>45</v>
      </c>
      <c r="N30" s="53">
        <f>N29</f>
        <v>150</v>
      </c>
      <c r="O30" s="44">
        <f>O29</f>
        <v>750</v>
      </c>
    </row>
    <row r="31" spans="1:15" x14ac:dyDescent="0.25">
      <c r="A31" s="41">
        <f t="shared" ref="A31:B35" si="14">A30+1</f>
        <v>4000</v>
      </c>
      <c r="B31" s="42">
        <f t="shared" si="14"/>
        <v>21</v>
      </c>
      <c r="C31" s="41" t="s">
        <v>2420</v>
      </c>
      <c r="D31" s="43">
        <f t="shared" ref="D31:F35" si="15">D30</f>
        <v>45.6</v>
      </c>
      <c r="E31" s="61">
        <f t="shared" si="15"/>
        <v>5.016</v>
      </c>
      <c r="F31" s="44">
        <f t="shared" si="15"/>
        <v>11</v>
      </c>
      <c r="G31" s="44">
        <f t="shared" si="0"/>
        <v>9.4599999999999991</v>
      </c>
      <c r="H31" s="44">
        <f t="shared" si="1"/>
        <v>5.61</v>
      </c>
      <c r="I31" s="44">
        <f t="shared" ref="I31:I35" si="16">I30</f>
        <v>8</v>
      </c>
      <c r="J31" s="45">
        <f t="shared" si="2"/>
        <v>-8</v>
      </c>
      <c r="K31" s="37" t="str">
        <f>D31&amp;-3</f>
        <v>45.6-3</v>
      </c>
      <c r="L31" s="44">
        <f t="shared" ref="L31:O35" si="17">L30</f>
        <v>0.11</v>
      </c>
      <c r="M31" s="53">
        <f t="shared" si="17"/>
        <v>45</v>
      </c>
      <c r="N31" s="53">
        <f t="shared" si="17"/>
        <v>150</v>
      </c>
      <c r="O31" s="44">
        <f t="shared" si="17"/>
        <v>750</v>
      </c>
    </row>
    <row r="32" spans="1:15" x14ac:dyDescent="0.25">
      <c r="A32" s="41">
        <f t="shared" si="14"/>
        <v>4001</v>
      </c>
      <c r="B32" s="42">
        <f t="shared" si="14"/>
        <v>22</v>
      </c>
      <c r="C32" s="41" t="s">
        <v>2421</v>
      </c>
      <c r="D32" s="43">
        <f t="shared" si="15"/>
        <v>45.6</v>
      </c>
      <c r="E32" s="61">
        <f t="shared" si="15"/>
        <v>5.016</v>
      </c>
      <c r="F32" s="44">
        <f t="shared" si="15"/>
        <v>11</v>
      </c>
      <c r="G32" s="44">
        <f t="shared" si="0"/>
        <v>9.4599999999999991</v>
      </c>
      <c r="H32" s="44">
        <f t="shared" si="1"/>
        <v>5.61</v>
      </c>
      <c r="I32" s="44">
        <f t="shared" si="16"/>
        <v>8</v>
      </c>
      <c r="J32" s="45">
        <f t="shared" si="2"/>
        <v>-8</v>
      </c>
      <c r="K32" s="37" t="str">
        <f>D32&amp;-4</f>
        <v>45.6-4</v>
      </c>
      <c r="L32" s="44">
        <f t="shared" si="17"/>
        <v>0.11</v>
      </c>
      <c r="M32" s="53">
        <f t="shared" si="17"/>
        <v>45</v>
      </c>
      <c r="N32" s="53">
        <f t="shared" si="17"/>
        <v>150</v>
      </c>
      <c r="O32" s="44">
        <f t="shared" si="17"/>
        <v>750</v>
      </c>
    </row>
    <row r="33" spans="1:15" x14ac:dyDescent="0.25">
      <c r="A33" s="41">
        <f t="shared" si="14"/>
        <v>4002</v>
      </c>
      <c r="B33" s="42">
        <f t="shared" si="14"/>
        <v>23</v>
      </c>
      <c r="C33" s="41" t="s">
        <v>2422</v>
      </c>
      <c r="D33" s="43">
        <f t="shared" si="15"/>
        <v>45.6</v>
      </c>
      <c r="E33" s="61">
        <f t="shared" si="15"/>
        <v>5.016</v>
      </c>
      <c r="F33" s="44">
        <f t="shared" si="15"/>
        <v>11</v>
      </c>
      <c r="G33" s="44">
        <f t="shared" si="0"/>
        <v>9.4599999999999991</v>
      </c>
      <c r="H33" s="44">
        <f t="shared" si="1"/>
        <v>5.61</v>
      </c>
      <c r="I33" s="44">
        <f t="shared" si="16"/>
        <v>8</v>
      </c>
      <c r="J33" s="45">
        <f t="shared" si="2"/>
        <v>-8</v>
      </c>
      <c r="K33" s="37" t="str">
        <f>D33&amp;-5</f>
        <v>45.6-5</v>
      </c>
      <c r="L33" s="44">
        <f t="shared" si="17"/>
        <v>0.11</v>
      </c>
      <c r="M33" s="53">
        <f t="shared" si="17"/>
        <v>45</v>
      </c>
      <c r="N33" s="53">
        <f t="shared" si="17"/>
        <v>150</v>
      </c>
      <c r="O33" s="44">
        <f t="shared" si="17"/>
        <v>750</v>
      </c>
    </row>
    <row r="34" spans="1:15" x14ac:dyDescent="0.25">
      <c r="A34" s="41">
        <f t="shared" si="14"/>
        <v>4003</v>
      </c>
      <c r="B34" s="42">
        <f t="shared" si="14"/>
        <v>24</v>
      </c>
      <c r="C34" s="41" t="s">
        <v>2423</v>
      </c>
      <c r="D34" s="43">
        <f t="shared" si="15"/>
        <v>45.6</v>
      </c>
      <c r="E34" s="61">
        <f t="shared" si="15"/>
        <v>5.016</v>
      </c>
      <c r="F34" s="44">
        <f t="shared" si="15"/>
        <v>11</v>
      </c>
      <c r="G34" s="44">
        <f t="shared" si="0"/>
        <v>9.4599999999999991</v>
      </c>
      <c r="H34" s="44">
        <f t="shared" si="1"/>
        <v>5.61</v>
      </c>
      <c r="I34" s="44">
        <f t="shared" si="16"/>
        <v>8</v>
      </c>
      <c r="J34" s="45">
        <f t="shared" si="2"/>
        <v>-8</v>
      </c>
      <c r="K34" s="37" t="str">
        <f>D34&amp;-6</f>
        <v>45.6-6</v>
      </c>
      <c r="L34" s="44">
        <f t="shared" si="17"/>
        <v>0.11</v>
      </c>
      <c r="M34" s="53">
        <f t="shared" si="17"/>
        <v>45</v>
      </c>
      <c r="N34" s="53">
        <f t="shared" si="17"/>
        <v>150</v>
      </c>
      <c r="O34" s="44">
        <f t="shared" si="17"/>
        <v>750</v>
      </c>
    </row>
    <row r="35" spans="1:15" x14ac:dyDescent="0.25">
      <c r="A35" s="41">
        <f t="shared" si="14"/>
        <v>4004</v>
      </c>
      <c r="B35" s="42">
        <f t="shared" si="14"/>
        <v>25</v>
      </c>
      <c r="C35" s="41" t="s">
        <v>2424</v>
      </c>
      <c r="D35" s="43">
        <f t="shared" si="15"/>
        <v>45.6</v>
      </c>
      <c r="E35" s="61">
        <f t="shared" si="15"/>
        <v>5.016</v>
      </c>
      <c r="F35" s="44">
        <f t="shared" si="15"/>
        <v>11</v>
      </c>
      <c r="G35" s="44">
        <f t="shared" si="0"/>
        <v>9.4599999999999991</v>
      </c>
      <c r="H35" s="44">
        <f t="shared" si="1"/>
        <v>5.61</v>
      </c>
      <c r="I35" s="44">
        <f t="shared" si="16"/>
        <v>8</v>
      </c>
      <c r="J35" s="45">
        <f t="shared" si="2"/>
        <v>-8</v>
      </c>
      <c r="K35" s="37" t="str">
        <f>D35&amp;-1</f>
        <v>45.6-1</v>
      </c>
      <c r="L35" s="44">
        <f t="shared" si="17"/>
        <v>0.11</v>
      </c>
      <c r="M35" s="53">
        <v>60</v>
      </c>
      <c r="N35" s="53">
        <f t="shared" si="17"/>
        <v>150</v>
      </c>
      <c r="O35" s="44">
        <f t="shared" si="17"/>
        <v>750</v>
      </c>
    </row>
    <row r="36" spans="1:15" x14ac:dyDescent="0.25">
      <c r="A36" s="41">
        <f>A35+1</f>
        <v>4005</v>
      </c>
      <c r="B36" s="42">
        <f>B35+1</f>
        <v>26</v>
      </c>
      <c r="C36" s="41" t="s">
        <v>2425</v>
      </c>
      <c r="D36" s="43">
        <f>D35</f>
        <v>45.6</v>
      </c>
      <c r="E36" s="61">
        <f>E35</f>
        <v>5.016</v>
      </c>
      <c r="F36" s="44">
        <f>F35</f>
        <v>11</v>
      </c>
      <c r="G36" s="44">
        <f t="shared" si="0"/>
        <v>9.4599999999999991</v>
      </c>
      <c r="H36" s="44">
        <f t="shared" si="1"/>
        <v>5.61</v>
      </c>
      <c r="I36" s="44">
        <f>I35</f>
        <v>8</v>
      </c>
      <c r="J36" s="45">
        <f t="shared" si="2"/>
        <v>-8</v>
      </c>
      <c r="K36" s="37" t="str">
        <f>D36&amp;-2</f>
        <v>45.6-2</v>
      </c>
      <c r="L36" s="44">
        <f>L35</f>
        <v>0.11</v>
      </c>
      <c r="M36" s="53">
        <f>M35</f>
        <v>60</v>
      </c>
      <c r="N36" s="53">
        <f>N35</f>
        <v>150</v>
      </c>
      <c r="O36" s="44">
        <f>O35</f>
        <v>750</v>
      </c>
    </row>
    <row r="37" spans="1:15" x14ac:dyDescent="0.25">
      <c r="A37" s="41">
        <f t="shared" ref="A37:B41" si="18">A36+1</f>
        <v>4006</v>
      </c>
      <c r="B37" s="42">
        <f t="shared" si="18"/>
        <v>27</v>
      </c>
      <c r="C37" s="41" t="s">
        <v>2426</v>
      </c>
      <c r="D37" s="43">
        <f t="shared" ref="D37:F41" si="19">D36</f>
        <v>45.6</v>
      </c>
      <c r="E37" s="61">
        <f t="shared" si="19"/>
        <v>5.016</v>
      </c>
      <c r="F37" s="44">
        <f t="shared" si="19"/>
        <v>11</v>
      </c>
      <c r="G37" s="44">
        <f t="shared" si="0"/>
        <v>9.4599999999999991</v>
      </c>
      <c r="H37" s="44">
        <f t="shared" si="1"/>
        <v>5.61</v>
      </c>
      <c r="I37" s="44">
        <f t="shared" ref="I37:I41" si="20">I36</f>
        <v>8</v>
      </c>
      <c r="J37" s="45">
        <f t="shared" si="2"/>
        <v>-8</v>
      </c>
      <c r="K37" s="37" t="str">
        <f>D37&amp;-3</f>
        <v>45.6-3</v>
      </c>
      <c r="L37" s="44">
        <f t="shared" ref="L37:O41" si="21">L36</f>
        <v>0.11</v>
      </c>
      <c r="M37" s="53">
        <f t="shared" si="21"/>
        <v>60</v>
      </c>
      <c r="N37" s="53">
        <f t="shared" si="21"/>
        <v>150</v>
      </c>
      <c r="O37" s="44">
        <f t="shared" si="21"/>
        <v>750</v>
      </c>
    </row>
    <row r="38" spans="1:15" x14ac:dyDescent="0.25">
      <c r="A38" s="41">
        <f t="shared" si="18"/>
        <v>4007</v>
      </c>
      <c r="B38" s="42">
        <f t="shared" si="18"/>
        <v>28</v>
      </c>
      <c r="C38" s="41" t="s">
        <v>2427</v>
      </c>
      <c r="D38" s="43">
        <f t="shared" si="19"/>
        <v>45.6</v>
      </c>
      <c r="E38" s="61">
        <f t="shared" si="19"/>
        <v>5.016</v>
      </c>
      <c r="F38" s="44">
        <f t="shared" si="19"/>
        <v>11</v>
      </c>
      <c r="G38" s="44">
        <f t="shared" si="0"/>
        <v>9.4599999999999991</v>
      </c>
      <c r="H38" s="44">
        <f t="shared" si="1"/>
        <v>5.61</v>
      </c>
      <c r="I38" s="44">
        <f t="shared" si="20"/>
        <v>8</v>
      </c>
      <c r="J38" s="45">
        <f t="shared" si="2"/>
        <v>-8</v>
      </c>
      <c r="K38" s="37" t="str">
        <f>D38&amp;-4</f>
        <v>45.6-4</v>
      </c>
      <c r="L38" s="44">
        <f t="shared" si="21"/>
        <v>0.11</v>
      </c>
      <c r="M38" s="53">
        <f t="shared" si="21"/>
        <v>60</v>
      </c>
      <c r="N38" s="53">
        <f t="shared" si="21"/>
        <v>150</v>
      </c>
      <c r="O38" s="44">
        <f t="shared" si="21"/>
        <v>750</v>
      </c>
    </row>
    <row r="39" spans="1:15" x14ac:dyDescent="0.25">
      <c r="A39" s="41">
        <f t="shared" si="18"/>
        <v>4008</v>
      </c>
      <c r="B39" s="42">
        <f t="shared" si="18"/>
        <v>29</v>
      </c>
      <c r="C39" s="41" t="s">
        <v>2428</v>
      </c>
      <c r="D39" s="43">
        <f t="shared" si="19"/>
        <v>45.6</v>
      </c>
      <c r="E39" s="61">
        <f t="shared" si="19"/>
        <v>5.016</v>
      </c>
      <c r="F39" s="44">
        <f t="shared" si="19"/>
        <v>11</v>
      </c>
      <c r="G39" s="44">
        <f t="shared" si="0"/>
        <v>9.4599999999999991</v>
      </c>
      <c r="H39" s="44">
        <f t="shared" si="1"/>
        <v>5.61</v>
      </c>
      <c r="I39" s="44">
        <f t="shared" si="20"/>
        <v>8</v>
      </c>
      <c r="J39" s="45">
        <f t="shared" si="2"/>
        <v>-8</v>
      </c>
      <c r="K39" s="37" t="str">
        <f>D39&amp;-5</f>
        <v>45.6-5</v>
      </c>
      <c r="L39" s="44">
        <f t="shared" si="21"/>
        <v>0.11</v>
      </c>
      <c r="M39" s="53">
        <f t="shared" si="21"/>
        <v>60</v>
      </c>
      <c r="N39" s="53">
        <f t="shared" si="21"/>
        <v>150</v>
      </c>
      <c r="O39" s="44">
        <f t="shared" si="21"/>
        <v>750</v>
      </c>
    </row>
    <row r="40" spans="1:15" x14ac:dyDescent="0.25">
      <c r="A40" s="41">
        <f t="shared" si="18"/>
        <v>4009</v>
      </c>
      <c r="B40" s="42">
        <f t="shared" si="18"/>
        <v>30</v>
      </c>
      <c r="C40" s="41" t="s">
        <v>2429</v>
      </c>
      <c r="D40" s="43">
        <f t="shared" si="19"/>
        <v>45.6</v>
      </c>
      <c r="E40" s="61">
        <f t="shared" si="19"/>
        <v>5.016</v>
      </c>
      <c r="F40" s="44">
        <f t="shared" si="19"/>
        <v>11</v>
      </c>
      <c r="G40" s="44">
        <f t="shared" si="0"/>
        <v>9.4599999999999991</v>
      </c>
      <c r="H40" s="44">
        <f t="shared" si="1"/>
        <v>5.61</v>
      </c>
      <c r="I40" s="44">
        <f t="shared" si="20"/>
        <v>8</v>
      </c>
      <c r="J40" s="45">
        <f t="shared" si="2"/>
        <v>-8</v>
      </c>
      <c r="K40" s="37" t="str">
        <f>D40&amp;-6</f>
        <v>45.6-6</v>
      </c>
      <c r="L40" s="44">
        <f t="shared" si="21"/>
        <v>0.11</v>
      </c>
      <c r="M40" s="53">
        <f t="shared" si="21"/>
        <v>60</v>
      </c>
      <c r="N40" s="53">
        <f t="shared" si="21"/>
        <v>150</v>
      </c>
      <c r="O40" s="44">
        <f t="shared" si="21"/>
        <v>750</v>
      </c>
    </row>
    <row r="41" spans="1:15" x14ac:dyDescent="0.25">
      <c r="A41" s="41">
        <f t="shared" si="18"/>
        <v>4010</v>
      </c>
      <c r="B41" s="42">
        <f t="shared" si="18"/>
        <v>31</v>
      </c>
      <c r="C41" s="41" t="s">
        <v>2430</v>
      </c>
      <c r="D41" s="43">
        <f t="shared" si="19"/>
        <v>45.6</v>
      </c>
      <c r="E41" s="61">
        <f t="shared" si="19"/>
        <v>5.016</v>
      </c>
      <c r="F41" s="44">
        <f t="shared" si="19"/>
        <v>11</v>
      </c>
      <c r="G41" s="44">
        <f t="shared" si="0"/>
        <v>9.4599999999999991</v>
      </c>
      <c r="H41" s="44">
        <f t="shared" si="1"/>
        <v>5.61</v>
      </c>
      <c r="I41" s="44">
        <f t="shared" si="20"/>
        <v>8</v>
      </c>
      <c r="J41" s="45">
        <f t="shared" si="2"/>
        <v>-8</v>
      </c>
      <c r="K41" s="37" t="str">
        <f>D41&amp;-1</f>
        <v>45.6-1</v>
      </c>
      <c r="L41" s="44">
        <f t="shared" si="21"/>
        <v>0.11</v>
      </c>
      <c r="M41" s="53">
        <v>75</v>
      </c>
      <c r="N41" s="53">
        <f t="shared" si="21"/>
        <v>150</v>
      </c>
      <c r="O41" s="44">
        <f t="shared" si="21"/>
        <v>750</v>
      </c>
    </row>
    <row r="42" spans="1:15" x14ac:dyDescent="0.25">
      <c r="A42" s="41">
        <f>A41+1</f>
        <v>4011</v>
      </c>
      <c r="B42" s="42">
        <f>B41+1</f>
        <v>32</v>
      </c>
      <c r="C42" s="41" t="s">
        <v>2431</v>
      </c>
      <c r="D42" s="43">
        <f>D41</f>
        <v>45.6</v>
      </c>
      <c r="E42" s="61">
        <f>E41</f>
        <v>5.016</v>
      </c>
      <c r="F42" s="44">
        <f>F41</f>
        <v>11</v>
      </c>
      <c r="G42" s="44">
        <f t="shared" si="0"/>
        <v>9.4599999999999991</v>
      </c>
      <c r="H42" s="44">
        <f t="shared" si="1"/>
        <v>5.61</v>
      </c>
      <c r="I42" s="44">
        <f>I41</f>
        <v>8</v>
      </c>
      <c r="J42" s="45">
        <f t="shared" si="2"/>
        <v>-8</v>
      </c>
      <c r="K42" s="37" t="str">
        <f>D42&amp;-2</f>
        <v>45.6-2</v>
      </c>
      <c r="L42" s="44">
        <f>L41</f>
        <v>0.11</v>
      </c>
      <c r="M42" s="53">
        <f>M41</f>
        <v>75</v>
      </c>
      <c r="N42" s="53">
        <f>N41</f>
        <v>150</v>
      </c>
      <c r="O42" s="44">
        <f>O41</f>
        <v>750</v>
      </c>
    </row>
    <row r="43" spans="1:15" x14ac:dyDescent="0.25">
      <c r="A43" s="41">
        <f t="shared" ref="A43:B53" si="22">A42+1</f>
        <v>4012</v>
      </c>
      <c r="B43" s="42">
        <f t="shared" si="22"/>
        <v>33</v>
      </c>
      <c r="C43" s="41" t="s">
        <v>2432</v>
      </c>
      <c r="D43" s="43">
        <f t="shared" ref="D43:F53" si="23">D42</f>
        <v>45.6</v>
      </c>
      <c r="E43" s="61">
        <f t="shared" si="23"/>
        <v>5.016</v>
      </c>
      <c r="F43" s="44">
        <f t="shared" si="23"/>
        <v>11</v>
      </c>
      <c r="G43" s="44">
        <f t="shared" ref="G43:G74" si="24">m_ty_t*F43</f>
        <v>9.4599999999999991</v>
      </c>
      <c r="H43" s="44">
        <f t="shared" ref="H43:H74" si="25">m_tz_t*F43</f>
        <v>5.61</v>
      </c>
      <c r="I43" s="44">
        <f t="shared" ref="I43:I53" si="26">I42</f>
        <v>8</v>
      </c>
      <c r="J43" s="45">
        <f t="shared" si="2"/>
        <v>-8</v>
      </c>
      <c r="K43" s="37" t="str">
        <f>D43&amp;-3</f>
        <v>45.6-3</v>
      </c>
      <c r="L43" s="44">
        <f t="shared" ref="L43:O53" si="27">L42</f>
        <v>0.11</v>
      </c>
      <c r="M43" s="53">
        <f t="shared" si="27"/>
        <v>75</v>
      </c>
      <c r="N43" s="53">
        <f t="shared" si="27"/>
        <v>150</v>
      </c>
      <c r="O43" s="44">
        <f t="shared" si="27"/>
        <v>750</v>
      </c>
    </row>
    <row r="44" spans="1:15" x14ac:dyDescent="0.25">
      <c r="A44" s="41">
        <f t="shared" si="22"/>
        <v>4013</v>
      </c>
      <c r="B44" s="42">
        <f t="shared" si="22"/>
        <v>34</v>
      </c>
      <c r="C44" s="41" t="s">
        <v>2433</v>
      </c>
      <c r="D44" s="43">
        <f t="shared" si="23"/>
        <v>45.6</v>
      </c>
      <c r="E44" s="61">
        <f t="shared" si="23"/>
        <v>5.016</v>
      </c>
      <c r="F44" s="44">
        <f t="shared" si="23"/>
        <v>11</v>
      </c>
      <c r="G44" s="44">
        <f t="shared" si="24"/>
        <v>9.4599999999999991</v>
      </c>
      <c r="H44" s="44">
        <f t="shared" si="25"/>
        <v>5.61</v>
      </c>
      <c r="I44" s="44">
        <f t="shared" si="26"/>
        <v>8</v>
      </c>
      <c r="J44" s="45">
        <f t="shared" si="2"/>
        <v>-8</v>
      </c>
      <c r="K44" s="37" t="str">
        <f>D44&amp;-4</f>
        <v>45.6-4</v>
      </c>
      <c r="L44" s="44">
        <f t="shared" si="27"/>
        <v>0.11</v>
      </c>
      <c r="M44" s="53">
        <f t="shared" si="27"/>
        <v>75</v>
      </c>
      <c r="N44" s="53">
        <f t="shared" si="27"/>
        <v>150</v>
      </c>
      <c r="O44" s="44">
        <f t="shared" si="27"/>
        <v>750</v>
      </c>
    </row>
    <row r="45" spans="1:15" x14ac:dyDescent="0.25">
      <c r="A45" s="41">
        <f t="shared" si="22"/>
        <v>4014</v>
      </c>
      <c r="B45" s="42">
        <f t="shared" si="22"/>
        <v>35</v>
      </c>
      <c r="C45" s="41" t="s">
        <v>2434</v>
      </c>
      <c r="D45" s="43">
        <f t="shared" si="23"/>
        <v>45.6</v>
      </c>
      <c r="E45" s="61">
        <f t="shared" si="23"/>
        <v>5.016</v>
      </c>
      <c r="F45" s="44">
        <f t="shared" si="23"/>
        <v>11</v>
      </c>
      <c r="G45" s="44">
        <f t="shared" si="24"/>
        <v>9.4599999999999991</v>
      </c>
      <c r="H45" s="44">
        <f t="shared" si="25"/>
        <v>5.61</v>
      </c>
      <c r="I45" s="44">
        <f t="shared" si="26"/>
        <v>8</v>
      </c>
      <c r="J45" s="45">
        <f t="shared" si="2"/>
        <v>-8</v>
      </c>
      <c r="K45" s="37" t="str">
        <f>D45&amp;-5</f>
        <v>45.6-5</v>
      </c>
      <c r="L45" s="44">
        <f t="shared" si="27"/>
        <v>0.11</v>
      </c>
      <c r="M45" s="53">
        <f t="shared" si="27"/>
        <v>75</v>
      </c>
      <c r="N45" s="53">
        <f t="shared" si="27"/>
        <v>150</v>
      </c>
      <c r="O45" s="44">
        <f t="shared" si="27"/>
        <v>750</v>
      </c>
    </row>
    <row r="46" spans="1:15" x14ac:dyDescent="0.25">
      <c r="A46" s="41">
        <f t="shared" si="22"/>
        <v>4015</v>
      </c>
      <c r="B46" s="42">
        <f t="shared" si="22"/>
        <v>36</v>
      </c>
      <c r="C46" s="41" t="s">
        <v>2435</v>
      </c>
      <c r="D46" s="43">
        <f t="shared" si="23"/>
        <v>45.6</v>
      </c>
      <c r="E46" s="61">
        <f t="shared" si="23"/>
        <v>5.016</v>
      </c>
      <c r="F46" s="44">
        <f t="shared" si="23"/>
        <v>11</v>
      </c>
      <c r="G46" s="44">
        <f t="shared" si="24"/>
        <v>9.4599999999999991</v>
      </c>
      <c r="H46" s="44">
        <f t="shared" si="25"/>
        <v>5.61</v>
      </c>
      <c r="I46" s="44">
        <f t="shared" si="26"/>
        <v>8</v>
      </c>
      <c r="J46" s="45">
        <f t="shared" si="2"/>
        <v>-8</v>
      </c>
      <c r="K46" s="37" t="str">
        <f>D46&amp;-6</f>
        <v>45.6-6</v>
      </c>
      <c r="L46" s="44">
        <f t="shared" si="27"/>
        <v>0.11</v>
      </c>
      <c r="M46" s="53">
        <f t="shared" si="27"/>
        <v>75</v>
      </c>
      <c r="N46" s="53">
        <f t="shared" si="27"/>
        <v>150</v>
      </c>
      <c r="O46" s="44">
        <f t="shared" si="27"/>
        <v>750</v>
      </c>
    </row>
    <row r="47" spans="1:15" x14ac:dyDescent="0.25">
      <c r="A47" s="41">
        <f t="shared" si="22"/>
        <v>4016</v>
      </c>
      <c r="B47" s="42">
        <f t="shared" si="22"/>
        <v>37</v>
      </c>
      <c r="C47" s="41" t="s">
        <v>2436</v>
      </c>
      <c r="D47" s="43">
        <f t="shared" si="23"/>
        <v>45.6</v>
      </c>
      <c r="E47" s="61">
        <f t="shared" si="23"/>
        <v>5.016</v>
      </c>
      <c r="F47" s="44">
        <f t="shared" si="23"/>
        <v>11</v>
      </c>
      <c r="G47" s="44">
        <f t="shared" si="24"/>
        <v>9.4599999999999991</v>
      </c>
      <c r="H47" s="44">
        <f t="shared" si="25"/>
        <v>5.61</v>
      </c>
      <c r="I47" s="44">
        <f t="shared" si="26"/>
        <v>8</v>
      </c>
      <c r="J47" s="45">
        <f t="shared" ref="J47:J82" si="28">yaw_null</f>
        <v>0</v>
      </c>
      <c r="K47" s="37" t="str">
        <f>D47&amp;-1</f>
        <v>45.6-1</v>
      </c>
      <c r="L47" s="44">
        <f t="shared" si="27"/>
        <v>0.11</v>
      </c>
      <c r="M47" s="53">
        <v>0</v>
      </c>
      <c r="N47" s="53">
        <f t="shared" si="27"/>
        <v>150</v>
      </c>
      <c r="O47" s="44">
        <f t="shared" si="27"/>
        <v>750</v>
      </c>
    </row>
    <row r="48" spans="1:15" x14ac:dyDescent="0.25">
      <c r="A48" s="41">
        <f t="shared" si="22"/>
        <v>4017</v>
      </c>
      <c r="B48" s="42">
        <f t="shared" si="22"/>
        <v>38</v>
      </c>
      <c r="C48" s="41" t="s">
        <v>2437</v>
      </c>
      <c r="D48" s="43">
        <f t="shared" si="23"/>
        <v>45.6</v>
      </c>
      <c r="E48" s="61">
        <f t="shared" si="23"/>
        <v>5.016</v>
      </c>
      <c r="F48" s="44">
        <f t="shared" si="23"/>
        <v>11</v>
      </c>
      <c r="G48" s="44">
        <f t="shared" si="24"/>
        <v>9.4599999999999991</v>
      </c>
      <c r="H48" s="44">
        <f t="shared" si="25"/>
        <v>5.61</v>
      </c>
      <c r="I48" s="44">
        <f t="shared" si="26"/>
        <v>8</v>
      </c>
      <c r="J48" s="45">
        <f t="shared" si="28"/>
        <v>0</v>
      </c>
      <c r="K48" s="37" t="str">
        <f>D48&amp;-2</f>
        <v>45.6-2</v>
      </c>
      <c r="L48" s="44">
        <f t="shared" si="27"/>
        <v>0.11</v>
      </c>
      <c r="M48" s="53">
        <f>M47</f>
        <v>0</v>
      </c>
      <c r="N48" s="53">
        <f t="shared" si="27"/>
        <v>150</v>
      </c>
      <c r="O48" s="44">
        <f t="shared" si="27"/>
        <v>750</v>
      </c>
    </row>
    <row r="49" spans="1:15" x14ac:dyDescent="0.25">
      <c r="A49" s="41">
        <f t="shared" si="22"/>
        <v>4018</v>
      </c>
      <c r="B49" s="42">
        <f t="shared" si="22"/>
        <v>39</v>
      </c>
      <c r="C49" s="41" t="s">
        <v>2438</v>
      </c>
      <c r="D49" s="43">
        <f t="shared" si="23"/>
        <v>45.6</v>
      </c>
      <c r="E49" s="61">
        <f t="shared" si="23"/>
        <v>5.016</v>
      </c>
      <c r="F49" s="44">
        <f t="shared" si="23"/>
        <v>11</v>
      </c>
      <c r="G49" s="44">
        <f t="shared" si="24"/>
        <v>9.4599999999999991</v>
      </c>
      <c r="H49" s="44">
        <f t="shared" si="25"/>
        <v>5.61</v>
      </c>
      <c r="I49" s="44">
        <f t="shared" si="26"/>
        <v>8</v>
      </c>
      <c r="J49" s="45">
        <f t="shared" si="28"/>
        <v>0</v>
      </c>
      <c r="K49" s="37" t="str">
        <f>D49&amp;-3</f>
        <v>45.6-3</v>
      </c>
      <c r="L49" s="44">
        <f t="shared" si="27"/>
        <v>0.11</v>
      </c>
      <c r="M49" s="53">
        <f t="shared" si="27"/>
        <v>0</v>
      </c>
      <c r="N49" s="53">
        <f t="shared" si="27"/>
        <v>150</v>
      </c>
      <c r="O49" s="44">
        <f t="shared" si="27"/>
        <v>750</v>
      </c>
    </row>
    <row r="50" spans="1:15" x14ac:dyDescent="0.25">
      <c r="A50" s="41">
        <f t="shared" si="22"/>
        <v>4019</v>
      </c>
      <c r="B50" s="42">
        <f t="shared" si="22"/>
        <v>40</v>
      </c>
      <c r="C50" s="41" t="s">
        <v>2439</v>
      </c>
      <c r="D50" s="43">
        <f t="shared" si="23"/>
        <v>45.6</v>
      </c>
      <c r="E50" s="61">
        <f t="shared" si="23"/>
        <v>5.016</v>
      </c>
      <c r="F50" s="44">
        <f t="shared" si="23"/>
        <v>11</v>
      </c>
      <c r="G50" s="44">
        <f t="shared" si="24"/>
        <v>9.4599999999999991</v>
      </c>
      <c r="H50" s="44">
        <f t="shared" si="25"/>
        <v>5.61</v>
      </c>
      <c r="I50" s="44">
        <f t="shared" si="26"/>
        <v>8</v>
      </c>
      <c r="J50" s="45">
        <f t="shared" si="28"/>
        <v>0</v>
      </c>
      <c r="K50" s="37" t="str">
        <f>D50&amp;-4</f>
        <v>45.6-4</v>
      </c>
      <c r="L50" s="44">
        <f t="shared" si="27"/>
        <v>0.11</v>
      </c>
      <c r="M50" s="53">
        <f t="shared" si="27"/>
        <v>0</v>
      </c>
      <c r="N50" s="53">
        <f t="shared" si="27"/>
        <v>150</v>
      </c>
      <c r="O50" s="44">
        <f t="shared" si="27"/>
        <v>750</v>
      </c>
    </row>
    <row r="51" spans="1:15" x14ac:dyDescent="0.25">
      <c r="A51" s="41">
        <f t="shared" si="22"/>
        <v>4020</v>
      </c>
      <c r="B51" s="42">
        <f t="shared" si="22"/>
        <v>41</v>
      </c>
      <c r="C51" s="41" t="s">
        <v>2440</v>
      </c>
      <c r="D51" s="43">
        <f t="shared" si="23"/>
        <v>45.6</v>
      </c>
      <c r="E51" s="61">
        <f t="shared" si="23"/>
        <v>5.016</v>
      </c>
      <c r="F51" s="44">
        <f t="shared" si="23"/>
        <v>11</v>
      </c>
      <c r="G51" s="44">
        <f t="shared" si="24"/>
        <v>9.4599999999999991</v>
      </c>
      <c r="H51" s="44">
        <f t="shared" si="25"/>
        <v>5.61</v>
      </c>
      <c r="I51" s="44">
        <f t="shared" si="26"/>
        <v>8</v>
      </c>
      <c r="J51" s="45">
        <f t="shared" si="28"/>
        <v>0</v>
      </c>
      <c r="K51" s="37" t="str">
        <f>D51&amp;-5</f>
        <v>45.6-5</v>
      </c>
      <c r="L51" s="44">
        <f t="shared" si="27"/>
        <v>0.11</v>
      </c>
      <c r="M51" s="53">
        <f t="shared" si="27"/>
        <v>0</v>
      </c>
      <c r="N51" s="53">
        <f t="shared" si="27"/>
        <v>150</v>
      </c>
      <c r="O51" s="44">
        <f t="shared" si="27"/>
        <v>750</v>
      </c>
    </row>
    <row r="52" spans="1:15" x14ac:dyDescent="0.25">
      <c r="A52" s="41">
        <f t="shared" si="22"/>
        <v>4021</v>
      </c>
      <c r="B52" s="42">
        <f t="shared" si="22"/>
        <v>42</v>
      </c>
      <c r="C52" s="41" t="s">
        <v>2441</v>
      </c>
      <c r="D52" s="43">
        <f t="shared" si="23"/>
        <v>45.6</v>
      </c>
      <c r="E52" s="61">
        <f t="shared" si="23"/>
        <v>5.016</v>
      </c>
      <c r="F52" s="44">
        <f t="shared" si="23"/>
        <v>11</v>
      </c>
      <c r="G52" s="44">
        <f t="shared" si="24"/>
        <v>9.4599999999999991</v>
      </c>
      <c r="H52" s="44">
        <f t="shared" si="25"/>
        <v>5.61</v>
      </c>
      <c r="I52" s="44">
        <f t="shared" si="26"/>
        <v>8</v>
      </c>
      <c r="J52" s="45">
        <f t="shared" si="28"/>
        <v>0</v>
      </c>
      <c r="K52" s="37" t="str">
        <f>D52&amp;-6</f>
        <v>45.6-6</v>
      </c>
      <c r="L52" s="44">
        <f t="shared" si="27"/>
        <v>0.11</v>
      </c>
      <c r="M52" s="53">
        <f t="shared" si="27"/>
        <v>0</v>
      </c>
      <c r="N52" s="53">
        <f t="shared" si="27"/>
        <v>150</v>
      </c>
      <c r="O52" s="44">
        <f t="shared" si="27"/>
        <v>750</v>
      </c>
    </row>
    <row r="53" spans="1:15" x14ac:dyDescent="0.25">
      <c r="A53" s="41">
        <f t="shared" si="22"/>
        <v>4022</v>
      </c>
      <c r="B53" s="42">
        <f t="shared" si="22"/>
        <v>43</v>
      </c>
      <c r="C53" s="41" t="s">
        <v>2442</v>
      </c>
      <c r="D53" s="43">
        <f t="shared" si="23"/>
        <v>45.6</v>
      </c>
      <c r="E53" s="61">
        <f t="shared" si="23"/>
        <v>5.016</v>
      </c>
      <c r="F53" s="44">
        <f t="shared" si="23"/>
        <v>11</v>
      </c>
      <c r="G53" s="44">
        <f t="shared" si="24"/>
        <v>9.4599999999999991</v>
      </c>
      <c r="H53" s="44">
        <f t="shared" si="25"/>
        <v>5.61</v>
      </c>
      <c r="I53" s="44">
        <f t="shared" si="26"/>
        <v>8</v>
      </c>
      <c r="J53" s="45">
        <f t="shared" si="28"/>
        <v>0</v>
      </c>
      <c r="K53" s="37" t="str">
        <f>D53&amp;-1</f>
        <v>45.6-1</v>
      </c>
      <c r="L53" s="44">
        <f t="shared" si="27"/>
        <v>0.11</v>
      </c>
      <c r="M53" s="53">
        <v>15</v>
      </c>
      <c r="N53" s="53">
        <f t="shared" si="27"/>
        <v>150</v>
      </c>
      <c r="O53" s="44">
        <f t="shared" si="27"/>
        <v>750</v>
      </c>
    </row>
    <row r="54" spans="1:15" x14ac:dyDescent="0.25">
      <c r="A54" s="41">
        <f>A53+1</f>
        <v>4023</v>
      </c>
      <c r="B54" s="42">
        <f>B53+1</f>
        <v>44</v>
      </c>
      <c r="C54" s="41" t="s">
        <v>2443</v>
      </c>
      <c r="D54" s="43">
        <f>D53</f>
        <v>45.6</v>
      </c>
      <c r="E54" s="61">
        <f>E53</f>
        <v>5.016</v>
      </c>
      <c r="F54" s="44">
        <f>F53</f>
        <v>11</v>
      </c>
      <c r="G54" s="44">
        <f t="shared" si="24"/>
        <v>9.4599999999999991</v>
      </c>
      <c r="H54" s="44">
        <f t="shared" si="25"/>
        <v>5.61</v>
      </c>
      <c r="I54" s="44">
        <f>I53</f>
        <v>8</v>
      </c>
      <c r="J54" s="45">
        <f t="shared" si="28"/>
        <v>0</v>
      </c>
      <c r="K54" s="37" t="str">
        <f>D54&amp;-2</f>
        <v>45.6-2</v>
      </c>
      <c r="L54" s="44">
        <f>L53</f>
        <v>0.11</v>
      </c>
      <c r="M54" s="53">
        <f>M53</f>
        <v>15</v>
      </c>
      <c r="N54" s="53">
        <f>N53</f>
        <v>150</v>
      </c>
      <c r="O54" s="44">
        <f>O53</f>
        <v>750</v>
      </c>
    </row>
    <row r="55" spans="1:15" x14ac:dyDescent="0.25">
      <c r="A55" s="41">
        <f t="shared" ref="A55:B59" si="29">A54+1</f>
        <v>4024</v>
      </c>
      <c r="B55" s="42">
        <f t="shared" si="29"/>
        <v>45</v>
      </c>
      <c r="C55" s="41" t="s">
        <v>2444</v>
      </c>
      <c r="D55" s="43">
        <f t="shared" ref="D55:F59" si="30">D54</f>
        <v>45.6</v>
      </c>
      <c r="E55" s="61">
        <f t="shared" si="30"/>
        <v>5.016</v>
      </c>
      <c r="F55" s="44">
        <f t="shared" si="30"/>
        <v>11</v>
      </c>
      <c r="G55" s="44">
        <f t="shared" si="24"/>
        <v>9.4599999999999991</v>
      </c>
      <c r="H55" s="44">
        <f t="shared" si="25"/>
        <v>5.61</v>
      </c>
      <c r="I55" s="44">
        <f t="shared" ref="I55:I59" si="31">I54</f>
        <v>8</v>
      </c>
      <c r="J55" s="45">
        <f t="shared" si="28"/>
        <v>0</v>
      </c>
      <c r="K55" s="37" t="str">
        <f>D55&amp;-3</f>
        <v>45.6-3</v>
      </c>
      <c r="L55" s="44">
        <f t="shared" ref="L55:O59" si="32">L54</f>
        <v>0.11</v>
      </c>
      <c r="M55" s="53">
        <f t="shared" si="32"/>
        <v>15</v>
      </c>
      <c r="N55" s="53">
        <f t="shared" si="32"/>
        <v>150</v>
      </c>
      <c r="O55" s="44">
        <f t="shared" si="32"/>
        <v>750</v>
      </c>
    </row>
    <row r="56" spans="1:15" x14ac:dyDescent="0.25">
      <c r="A56" s="41">
        <f t="shared" si="29"/>
        <v>4025</v>
      </c>
      <c r="B56" s="42">
        <f t="shared" si="29"/>
        <v>46</v>
      </c>
      <c r="C56" s="41" t="s">
        <v>2445</v>
      </c>
      <c r="D56" s="43">
        <f t="shared" si="30"/>
        <v>45.6</v>
      </c>
      <c r="E56" s="61">
        <f t="shared" si="30"/>
        <v>5.016</v>
      </c>
      <c r="F56" s="44">
        <f t="shared" si="30"/>
        <v>11</v>
      </c>
      <c r="G56" s="44">
        <f t="shared" si="24"/>
        <v>9.4599999999999991</v>
      </c>
      <c r="H56" s="44">
        <f t="shared" si="25"/>
        <v>5.61</v>
      </c>
      <c r="I56" s="44">
        <f t="shared" si="31"/>
        <v>8</v>
      </c>
      <c r="J56" s="45">
        <f t="shared" si="28"/>
        <v>0</v>
      </c>
      <c r="K56" s="37" t="str">
        <f>D56&amp;-4</f>
        <v>45.6-4</v>
      </c>
      <c r="L56" s="44">
        <f t="shared" si="32"/>
        <v>0.11</v>
      </c>
      <c r="M56" s="53">
        <f t="shared" si="32"/>
        <v>15</v>
      </c>
      <c r="N56" s="53">
        <f t="shared" si="32"/>
        <v>150</v>
      </c>
      <c r="O56" s="44">
        <f t="shared" si="32"/>
        <v>750</v>
      </c>
    </row>
    <row r="57" spans="1:15" x14ac:dyDescent="0.25">
      <c r="A57" s="41">
        <f t="shared" si="29"/>
        <v>4026</v>
      </c>
      <c r="B57" s="42">
        <f t="shared" si="29"/>
        <v>47</v>
      </c>
      <c r="C57" s="41" t="s">
        <v>2446</v>
      </c>
      <c r="D57" s="43">
        <f t="shared" si="30"/>
        <v>45.6</v>
      </c>
      <c r="E57" s="61">
        <f t="shared" si="30"/>
        <v>5.016</v>
      </c>
      <c r="F57" s="44">
        <f t="shared" si="30"/>
        <v>11</v>
      </c>
      <c r="G57" s="44">
        <f t="shared" si="24"/>
        <v>9.4599999999999991</v>
      </c>
      <c r="H57" s="44">
        <f t="shared" si="25"/>
        <v>5.61</v>
      </c>
      <c r="I57" s="44">
        <f t="shared" si="31"/>
        <v>8</v>
      </c>
      <c r="J57" s="45">
        <f t="shared" si="28"/>
        <v>0</v>
      </c>
      <c r="K57" s="37" t="str">
        <f>D57&amp;-5</f>
        <v>45.6-5</v>
      </c>
      <c r="L57" s="44">
        <f t="shared" si="32"/>
        <v>0.11</v>
      </c>
      <c r="M57" s="53">
        <f t="shared" si="32"/>
        <v>15</v>
      </c>
      <c r="N57" s="53">
        <f t="shared" si="32"/>
        <v>150</v>
      </c>
      <c r="O57" s="44">
        <f t="shared" si="32"/>
        <v>750</v>
      </c>
    </row>
    <row r="58" spans="1:15" x14ac:dyDescent="0.25">
      <c r="A58" s="41">
        <f t="shared" si="29"/>
        <v>4027</v>
      </c>
      <c r="B58" s="42">
        <f t="shared" si="29"/>
        <v>48</v>
      </c>
      <c r="C58" s="41" t="s">
        <v>2447</v>
      </c>
      <c r="D58" s="43">
        <f t="shared" si="30"/>
        <v>45.6</v>
      </c>
      <c r="E58" s="61">
        <f t="shared" si="30"/>
        <v>5.016</v>
      </c>
      <c r="F58" s="44">
        <f t="shared" si="30"/>
        <v>11</v>
      </c>
      <c r="G58" s="44">
        <f t="shared" si="24"/>
        <v>9.4599999999999991</v>
      </c>
      <c r="H58" s="44">
        <f t="shared" si="25"/>
        <v>5.61</v>
      </c>
      <c r="I58" s="44">
        <f t="shared" si="31"/>
        <v>8</v>
      </c>
      <c r="J58" s="45">
        <f t="shared" si="28"/>
        <v>0</v>
      </c>
      <c r="K58" s="37" t="str">
        <f>D58&amp;-6</f>
        <v>45.6-6</v>
      </c>
      <c r="L58" s="44">
        <f t="shared" si="32"/>
        <v>0.11</v>
      </c>
      <c r="M58" s="53">
        <f t="shared" si="32"/>
        <v>15</v>
      </c>
      <c r="N58" s="53">
        <f t="shared" si="32"/>
        <v>150</v>
      </c>
      <c r="O58" s="44">
        <f t="shared" si="32"/>
        <v>750</v>
      </c>
    </row>
    <row r="59" spans="1:15" x14ac:dyDescent="0.25">
      <c r="A59" s="41">
        <f t="shared" si="29"/>
        <v>4028</v>
      </c>
      <c r="B59" s="42">
        <f t="shared" si="29"/>
        <v>49</v>
      </c>
      <c r="C59" s="41" t="s">
        <v>2448</v>
      </c>
      <c r="D59" s="43">
        <f t="shared" si="30"/>
        <v>45.6</v>
      </c>
      <c r="E59" s="61">
        <f t="shared" si="30"/>
        <v>5.016</v>
      </c>
      <c r="F59" s="44">
        <f t="shared" si="30"/>
        <v>11</v>
      </c>
      <c r="G59" s="44">
        <f t="shared" si="24"/>
        <v>9.4599999999999991</v>
      </c>
      <c r="H59" s="44">
        <f t="shared" si="25"/>
        <v>5.61</v>
      </c>
      <c r="I59" s="44">
        <f t="shared" si="31"/>
        <v>8</v>
      </c>
      <c r="J59" s="45">
        <f t="shared" si="28"/>
        <v>0</v>
      </c>
      <c r="K59" s="37" t="str">
        <f>D59&amp;-1</f>
        <v>45.6-1</v>
      </c>
      <c r="L59" s="44">
        <f t="shared" si="32"/>
        <v>0.11</v>
      </c>
      <c r="M59" s="53">
        <v>30</v>
      </c>
      <c r="N59" s="53">
        <f t="shared" si="32"/>
        <v>150</v>
      </c>
      <c r="O59" s="44">
        <f t="shared" si="32"/>
        <v>750</v>
      </c>
    </row>
    <row r="60" spans="1:15" x14ac:dyDescent="0.25">
      <c r="A60" s="41">
        <f>A59+1</f>
        <v>4029</v>
      </c>
      <c r="B60" s="42">
        <f>B59+1</f>
        <v>50</v>
      </c>
      <c r="C60" s="41" t="s">
        <v>2449</v>
      </c>
      <c r="D60" s="43">
        <f>D59</f>
        <v>45.6</v>
      </c>
      <c r="E60" s="61">
        <f>E59</f>
        <v>5.016</v>
      </c>
      <c r="F60" s="44">
        <f>F59</f>
        <v>11</v>
      </c>
      <c r="G60" s="44">
        <f t="shared" si="24"/>
        <v>9.4599999999999991</v>
      </c>
      <c r="H60" s="44">
        <f t="shared" si="25"/>
        <v>5.61</v>
      </c>
      <c r="I60" s="44">
        <f>I59</f>
        <v>8</v>
      </c>
      <c r="J60" s="45">
        <f t="shared" si="28"/>
        <v>0</v>
      </c>
      <c r="K60" s="37" t="str">
        <f>D60&amp;-2</f>
        <v>45.6-2</v>
      </c>
      <c r="L60" s="44">
        <f>L59</f>
        <v>0.11</v>
      </c>
      <c r="M60" s="53">
        <f>M59</f>
        <v>30</v>
      </c>
      <c r="N60" s="53">
        <f>N59</f>
        <v>150</v>
      </c>
      <c r="O60" s="44">
        <f>O59</f>
        <v>750</v>
      </c>
    </row>
    <row r="61" spans="1:15" x14ac:dyDescent="0.25">
      <c r="A61" s="41">
        <f t="shared" ref="A61:B65" si="33">A60+1</f>
        <v>4030</v>
      </c>
      <c r="B61" s="42">
        <f t="shared" si="33"/>
        <v>51</v>
      </c>
      <c r="C61" s="41" t="s">
        <v>2450</v>
      </c>
      <c r="D61" s="43">
        <f t="shared" ref="D61:F65" si="34">D60</f>
        <v>45.6</v>
      </c>
      <c r="E61" s="61">
        <f t="shared" si="34"/>
        <v>5.016</v>
      </c>
      <c r="F61" s="44">
        <f t="shared" si="34"/>
        <v>11</v>
      </c>
      <c r="G61" s="44">
        <f t="shared" si="24"/>
        <v>9.4599999999999991</v>
      </c>
      <c r="H61" s="44">
        <f t="shared" si="25"/>
        <v>5.61</v>
      </c>
      <c r="I61" s="44">
        <f t="shared" ref="I61:I65" si="35">I60</f>
        <v>8</v>
      </c>
      <c r="J61" s="45">
        <f t="shared" si="28"/>
        <v>0</v>
      </c>
      <c r="K61" s="37" t="str">
        <f>D61&amp;-3</f>
        <v>45.6-3</v>
      </c>
      <c r="L61" s="44">
        <f t="shared" ref="L61:O65" si="36">L60</f>
        <v>0.11</v>
      </c>
      <c r="M61" s="53">
        <f t="shared" si="36"/>
        <v>30</v>
      </c>
      <c r="N61" s="53">
        <f t="shared" si="36"/>
        <v>150</v>
      </c>
      <c r="O61" s="44">
        <f t="shared" si="36"/>
        <v>750</v>
      </c>
    </row>
    <row r="62" spans="1:15" x14ac:dyDescent="0.25">
      <c r="A62" s="41">
        <f t="shared" si="33"/>
        <v>4031</v>
      </c>
      <c r="B62" s="42">
        <f t="shared" si="33"/>
        <v>52</v>
      </c>
      <c r="C62" s="41" t="s">
        <v>2451</v>
      </c>
      <c r="D62" s="43">
        <f t="shared" si="34"/>
        <v>45.6</v>
      </c>
      <c r="E62" s="61">
        <f t="shared" si="34"/>
        <v>5.016</v>
      </c>
      <c r="F62" s="44">
        <f t="shared" si="34"/>
        <v>11</v>
      </c>
      <c r="G62" s="44">
        <f t="shared" si="24"/>
        <v>9.4599999999999991</v>
      </c>
      <c r="H62" s="44">
        <f t="shared" si="25"/>
        <v>5.61</v>
      </c>
      <c r="I62" s="44">
        <f t="shared" si="35"/>
        <v>8</v>
      </c>
      <c r="J62" s="45">
        <f t="shared" si="28"/>
        <v>0</v>
      </c>
      <c r="K62" s="37" t="str">
        <f>D62&amp;-4</f>
        <v>45.6-4</v>
      </c>
      <c r="L62" s="44">
        <f t="shared" si="36"/>
        <v>0.11</v>
      </c>
      <c r="M62" s="53">
        <f t="shared" si="36"/>
        <v>30</v>
      </c>
      <c r="N62" s="53">
        <f t="shared" si="36"/>
        <v>150</v>
      </c>
      <c r="O62" s="44">
        <f t="shared" si="36"/>
        <v>750</v>
      </c>
    </row>
    <row r="63" spans="1:15" x14ac:dyDescent="0.25">
      <c r="A63" s="41">
        <f t="shared" si="33"/>
        <v>4032</v>
      </c>
      <c r="B63" s="42">
        <f t="shared" si="33"/>
        <v>53</v>
      </c>
      <c r="C63" s="41" t="s">
        <v>2452</v>
      </c>
      <c r="D63" s="43">
        <f t="shared" si="34"/>
        <v>45.6</v>
      </c>
      <c r="E63" s="61">
        <f t="shared" si="34"/>
        <v>5.016</v>
      </c>
      <c r="F63" s="44">
        <f t="shared" si="34"/>
        <v>11</v>
      </c>
      <c r="G63" s="44">
        <f t="shared" si="24"/>
        <v>9.4599999999999991</v>
      </c>
      <c r="H63" s="44">
        <f t="shared" si="25"/>
        <v>5.61</v>
      </c>
      <c r="I63" s="44">
        <f t="shared" si="35"/>
        <v>8</v>
      </c>
      <c r="J63" s="45">
        <f t="shared" si="28"/>
        <v>0</v>
      </c>
      <c r="K63" s="37" t="str">
        <f>D63&amp;-5</f>
        <v>45.6-5</v>
      </c>
      <c r="L63" s="44">
        <f t="shared" si="36"/>
        <v>0.11</v>
      </c>
      <c r="M63" s="53">
        <f t="shared" si="36"/>
        <v>30</v>
      </c>
      <c r="N63" s="53">
        <f t="shared" si="36"/>
        <v>150</v>
      </c>
      <c r="O63" s="44">
        <f t="shared" si="36"/>
        <v>750</v>
      </c>
    </row>
    <row r="64" spans="1:15" x14ac:dyDescent="0.25">
      <c r="A64" s="41">
        <f t="shared" si="33"/>
        <v>4033</v>
      </c>
      <c r="B64" s="42">
        <f t="shared" si="33"/>
        <v>54</v>
      </c>
      <c r="C64" s="41" t="s">
        <v>2453</v>
      </c>
      <c r="D64" s="43">
        <f t="shared" si="34"/>
        <v>45.6</v>
      </c>
      <c r="E64" s="61">
        <f t="shared" si="34"/>
        <v>5.016</v>
      </c>
      <c r="F64" s="44">
        <f t="shared" si="34"/>
        <v>11</v>
      </c>
      <c r="G64" s="44">
        <f t="shared" si="24"/>
        <v>9.4599999999999991</v>
      </c>
      <c r="H64" s="44">
        <f t="shared" si="25"/>
        <v>5.61</v>
      </c>
      <c r="I64" s="44">
        <f t="shared" si="35"/>
        <v>8</v>
      </c>
      <c r="J64" s="45">
        <f t="shared" si="28"/>
        <v>0</v>
      </c>
      <c r="K64" s="37" t="str">
        <f>D64&amp;-6</f>
        <v>45.6-6</v>
      </c>
      <c r="L64" s="44">
        <f t="shared" si="36"/>
        <v>0.11</v>
      </c>
      <c r="M64" s="53">
        <f t="shared" si="36"/>
        <v>30</v>
      </c>
      <c r="N64" s="53">
        <f t="shared" si="36"/>
        <v>150</v>
      </c>
      <c r="O64" s="44">
        <f t="shared" si="36"/>
        <v>750</v>
      </c>
    </row>
    <row r="65" spans="1:15" x14ac:dyDescent="0.25">
      <c r="A65" s="41">
        <f t="shared" si="33"/>
        <v>4034</v>
      </c>
      <c r="B65" s="42">
        <f t="shared" si="33"/>
        <v>55</v>
      </c>
      <c r="C65" s="41" t="s">
        <v>2454</v>
      </c>
      <c r="D65" s="43">
        <f t="shared" si="34"/>
        <v>45.6</v>
      </c>
      <c r="E65" s="61">
        <f t="shared" si="34"/>
        <v>5.016</v>
      </c>
      <c r="F65" s="44">
        <f t="shared" si="34"/>
        <v>11</v>
      </c>
      <c r="G65" s="44">
        <f t="shared" si="24"/>
        <v>9.4599999999999991</v>
      </c>
      <c r="H65" s="44">
        <f t="shared" si="25"/>
        <v>5.61</v>
      </c>
      <c r="I65" s="44">
        <f t="shared" si="35"/>
        <v>8</v>
      </c>
      <c r="J65" s="45">
        <f t="shared" si="28"/>
        <v>0</v>
      </c>
      <c r="K65" s="37" t="str">
        <f>D65&amp;-1</f>
        <v>45.6-1</v>
      </c>
      <c r="L65" s="44">
        <f t="shared" si="36"/>
        <v>0.11</v>
      </c>
      <c r="M65" s="53">
        <v>45</v>
      </c>
      <c r="N65" s="53">
        <f t="shared" si="36"/>
        <v>150</v>
      </c>
      <c r="O65" s="44">
        <f t="shared" si="36"/>
        <v>750</v>
      </c>
    </row>
    <row r="66" spans="1:15" x14ac:dyDescent="0.25">
      <c r="A66" s="41">
        <f>A65+1</f>
        <v>4035</v>
      </c>
      <c r="B66" s="42">
        <f>B65+1</f>
        <v>56</v>
      </c>
      <c r="C66" s="41" t="s">
        <v>2455</v>
      </c>
      <c r="D66" s="43">
        <f>D65</f>
        <v>45.6</v>
      </c>
      <c r="E66" s="61">
        <f>E65</f>
        <v>5.016</v>
      </c>
      <c r="F66" s="44">
        <f>F65</f>
        <v>11</v>
      </c>
      <c r="G66" s="44">
        <f t="shared" si="24"/>
        <v>9.4599999999999991</v>
      </c>
      <c r="H66" s="44">
        <f t="shared" si="25"/>
        <v>5.61</v>
      </c>
      <c r="I66" s="44">
        <f>I65</f>
        <v>8</v>
      </c>
      <c r="J66" s="45">
        <f t="shared" si="28"/>
        <v>0</v>
      </c>
      <c r="K66" s="37" t="str">
        <f>D66&amp;-2</f>
        <v>45.6-2</v>
      </c>
      <c r="L66" s="44">
        <f>L65</f>
        <v>0.11</v>
      </c>
      <c r="M66" s="53">
        <f>M65</f>
        <v>45</v>
      </c>
      <c r="N66" s="53">
        <f>N65</f>
        <v>150</v>
      </c>
      <c r="O66" s="44">
        <f>O65</f>
        <v>750</v>
      </c>
    </row>
    <row r="67" spans="1:15" x14ac:dyDescent="0.25">
      <c r="A67" s="41">
        <f t="shared" ref="A67:B71" si="37">A66+1</f>
        <v>4036</v>
      </c>
      <c r="B67" s="42">
        <f t="shared" si="37"/>
        <v>57</v>
      </c>
      <c r="C67" s="41" t="s">
        <v>2456</v>
      </c>
      <c r="D67" s="43">
        <f t="shared" ref="D67:F71" si="38">D66</f>
        <v>45.6</v>
      </c>
      <c r="E67" s="61">
        <f t="shared" si="38"/>
        <v>5.016</v>
      </c>
      <c r="F67" s="44">
        <f t="shared" si="38"/>
        <v>11</v>
      </c>
      <c r="G67" s="44">
        <f t="shared" si="24"/>
        <v>9.4599999999999991</v>
      </c>
      <c r="H67" s="44">
        <f t="shared" si="25"/>
        <v>5.61</v>
      </c>
      <c r="I67" s="44">
        <f t="shared" ref="I67:I71" si="39">I66</f>
        <v>8</v>
      </c>
      <c r="J67" s="45">
        <f t="shared" si="28"/>
        <v>0</v>
      </c>
      <c r="K67" s="37" t="str">
        <f>D67&amp;-3</f>
        <v>45.6-3</v>
      </c>
      <c r="L67" s="44">
        <f t="shared" ref="L67:O71" si="40">L66</f>
        <v>0.11</v>
      </c>
      <c r="M67" s="53">
        <f t="shared" si="40"/>
        <v>45</v>
      </c>
      <c r="N67" s="53">
        <f t="shared" si="40"/>
        <v>150</v>
      </c>
      <c r="O67" s="44">
        <f t="shared" si="40"/>
        <v>750</v>
      </c>
    </row>
    <row r="68" spans="1:15" x14ac:dyDescent="0.25">
      <c r="A68" s="41">
        <f t="shared" si="37"/>
        <v>4037</v>
      </c>
      <c r="B68" s="42">
        <f t="shared" si="37"/>
        <v>58</v>
      </c>
      <c r="C68" s="41" t="s">
        <v>2457</v>
      </c>
      <c r="D68" s="43">
        <f t="shared" si="38"/>
        <v>45.6</v>
      </c>
      <c r="E68" s="61">
        <f t="shared" si="38"/>
        <v>5.016</v>
      </c>
      <c r="F68" s="44">
        <f t="shared" si="38"/>
        <v>11</v>
      </c>
      <c r="G68" s="44">
        <f t="shared" si="24"/>
        <v>9.4599999999999991</v>
      </c>
      <c r="H68" s="44">
        <f t="shared" si="25"/>
        <v>5.61</v>
      </c>
      <c r="I68" s="44">
        <f t="shared" si="39"/>
        <v>8</v>
      </c>
      <c r="J68" s="45">
        <f t="shared" si="28"/>
        <v>0</v>
      </c>
      <c r="K68" s="37" t="str">
        <f>D68&amp;-4</f>
        <v>45.6-4</v>
      </c>
      <c r="L68" s="44">
        <f t="shared" si="40"/>
        <v>0.11</v>
      </c>
      <c r="M68" s="53">
        <f t="shared" si="40"/>
        <v>45</v>
      </c>
      <c r="N68" s="53">
        <f t="shared" si="40"/>
        <v>150</v>
      </c>
      <c r="O68" s="44">
        <f t="shared" si="40"/>
        <v>750</v>
      </c>
    </row>
    <row r="69" spans="1:15" x14ac:dyDescent="0.25">
      <c r="A69" s="41">
        <f t="shared" si="37"/>
        <v>4038</v>
      </c>
      <c r="B69" s="42">
        <f t="shared" si="37"/>
        <v>59</v>
      </c>
      <c r="C69" s="41" t="s">
        <v>2458</v>
      </c>
      <c r="D69" s="43">
        <f t="shared" si="38"/>
        <v>45.6</v>
      </c>
      <c r="E69" s="61">
        <f t="shared" si="38"/>
        <v>5.016</v>
      </c>
      <c r="F69" s="44">
        <f t="shared" si="38"/>
        <v>11</v>
      </c>
      <c r="G69" s="44">
        <f t="shared" si="24"/>
        <v>9.4599999999999991</v>
      </c>
      <c r="H69" s="44">
        <f t="shared" si="25"/>
        <v>5.61</v>
      </c>
      <c r="I69" s="44">
        <f t="shared" si="39"/>
        <v>8</v>
      </c>
      <c r="J69" s="45">
        <f t="shared" si="28"/>
        <v>0</v>
      </c>
      <c r="K69" s="37" t="str">
        <f>D69&amp;-5</f>
        <v>45.6-5</v>
      </c>
      <c r="L69" s="44">
        <f t="shared" si="40"/>
        <v>0.11</v>
      </c>
      <c r="M69" s="53">
        <f t="shared" si="40"/>
        <v>45</v>
      </c>
      <c r="N69" s="53">
        <f t="shared" si="40"/>
        <v>150</v>
      </c>
      <c r="O69" s="44">
        <f t="shared" si="40"/>
        <v>750</v>
      </c>
    </row>
    <row r="70" spans="1:15" x14ac:dyDescent="0.25">
      <c r="A70" s="41">
        <f t="shared" si="37"/>
        <v>4039</v>
      </c>
      <c r="B70" s="42">
        <f t="shared" si="37"/>
        <v>60</v>
      </c>
      <c r="C70" s="41" t="s">
        <v>2459</v>
      </c>
      <c r="D70" s="43">
        <f t="shared" si="38"/>
        <v>45.6</v>
      </c>
      <c r="E70" s="61">
        <f t="shared" si="38"/>
        <v>5.016</v>
      </c>
      <c r="F70" s="44">
        <f t="shared" si="38"/>
        <v>11</v>
      </c>
      <c r="G70" s="44">
        <f t="shared" si="24"/>
        <v>9.4599999999999991</v>
      </c>
      <c r="H70" s="44">
        <f t="shared" si="25"/>
        <v>5.61</v>
      </c>
      <c r="I70" s="44">
        <f t="shared" si="39"/>
        <v>8</v>
      </c>
      <c r="J70" s="45">
        <f t="shared" si="28"/>
        <v>0</v>
      </c>
      <c r="K70" s="37" t="str">
        <f>D70&amp;-6</f>
        <v>45.6-6</v>
      </c>
      <c r="L70" s="44">
        <f t="shared" si="40"/>
        <v>0.11</v>
      </c>
      <c r="M70" s="53">
        <f t="shared" si="40"/>
        <v>45</v>
      </c>
      <c r="N70" s="53">
        <f t="shared" si="40"/>
        <v>150</v>
      </c>
      <c r="O70" s="44">
        <f t="shared" si="40"/>
        <v>750</v>
      </c>
    </row>
    <row r="71" spans="1:15" x14ac:dyDescent="0.25">
      <c r="A71" s="41">
        <f t="shared" si="37"/>
        <v>4040</v>
      </c>
      <c r="B71" s="42">
        <f t="shared" si="37"/>
        <v>61</v>
      </c>
      <c r="C71" s="41" t="s">
        <v>2460</v>
      </c>
      <c r="D71" s="43">
        <f t="shared" si="38"/>
        <v>45.6</v>
      </c>
      <c r="E71" s="61">
        <f t="shared" si="38"/>
        <v>5.016</v>
      </c>
      <c r="F71" s="44">
        <f t="shared" si="38"/>
        <v>11</v>
      </c>
      <c r="G71" s="44">
        <f t="shared" si="24"/>
        <v>9.4599999999999991</v>
      </c>
      <c r="H71" s="44">
        <f t="shared" si="25"/>
        <v>5.61</v>
      </c>
      <c r="I71" s="44">
        <f t="shared" si="39"/>
        <v>8</v>
      </c>
      <c r="J71" s="45">
        <f t="shared" si="28"/>
        <v>0</v>
      </c>
      <c r="K71" s="37" t="str">
        <f>D71&amp;-1</f>
        <v>45.6-1</v>
      </c>
      <c r="L71" s="44">
        <f t="shared" si="40"/>
        <v>0.11</v>
      </c>
      <c r="M71" s="53">
        <v>60</v>
      </c>
      <c r="N71" s="53">
        <f t="shared" si="40"/>
        <v>150</v>
      </c>
      <c r="O71" s="44">
        <f t="shared" si="40"/>
        <v>750</v>
      </c>
    </row>
    <row r="72" spans="1:15" x14ac:dyDescent="0.25">
      <c r="A72" s="41">
        <f>A71+1</f>
        <v>4041</v>
      </c>
      <c r="B72" s="42">
        <f>B71+1</f>
        <v>62</v>
      </c>
      <c r="C72" s="41" t="s">
        <v>2461</v>
      </c>
      <c r="D72" s="43">
        <f>D71</f>
        <v>45.6</v>
      </c>
      <c r="E72" s="61">
        <f>E71</f>
        <v>5.016</v>
      </c>
      <c r="F72" s="44">
        <f>F71</f>
        <v>11</v>
      </c>
      <c r="G72" s="44">
        <f t="shared" si="24"/>
        <v>9.4599999999999991</v>
      </c>
      <c r="H72" s="44">
        <f t="shared" si="25"/>
        <v>5.61</v>
      </c>
      <c r="I72" s="44">
        <f>I71</f>
        <v>8</v>
      </c>
      <c r="J72" s="45">
        <f t="shared" si="28"/>
        <v>0</v>
      </c>
      <c r="K72" s="37" t="str">
        <f>D72&amp;-2</f>
        <v>45.6-2</v>
      </c>
      <c r="L72" s="44">
        <f>L71</f>
        <v>0.11</v>
      </c>
      <c r="M72" s="53">
        <f>M71</f>
        <v>60</v>
      </c>
      <c r="N72" s="53">
        <f>N71</f>
        <v>150</v>
      </c>
      <c r="O72" s="44">
        <f>O71</f>
        <v>750</v>
      </c>
    </row>
    <row r="73" spans="1:15" x14ac:dyDescent="0.25">
      <c r="A73" s="41">
        <f t="shared" ref="A73:B77" si="41">A72+1</f>
        <v>4042</v>
      </c>
      <c r="B73" s="42">
        <f t="shared" si="41"/>
        <v>63</v>
      </c>
      <c r="C73" s="41" t="s">
        <v>2462</v>
      </c>
      <c r="D73" s="43">
        <f t="shared" ref="D73:F77" si="42">D72</f>
        <v>45.6</v>
      </c>
      <c r="E73" s="61">
        <f t="shared" si="42"/>
        <v>5.016</v>
      </c>
      <c r="F73" s="44">
        <f t="shared" si="42"/>
        <v>11</v>
      </c>
      <c r="G73" s="44">
        <f t="shared" si="24"/>
        <v>9.4599999999999991</v>
      </c>
      <c r="H73" s="44">
        <f t="shared" si="25"/>
        <v>5.61</v>
      </c>
      <c r="I73" s="44">
        <f t="shared" ref="I73:I77" si="43">I72</f>
        <v>8</v>
      </c>
      <c r="J73" s="45">
        <f t="shared" si="28"/>
        <v>0</v>
      </c>
      <c r="K73" s="37" t="str">
        <f>D73&amp;-3</f>
        <v>45.6-3</v>
      </c>
      <c r="L73" s="44">
        <f t="shared" ref="L73:O77" si="44">L72</f>
        <v>0.11</v>
      </c>
      <c r="M73" s="53">
        <f t="shared" si="44"/>
        <v>60</v>
      </c>
      <c r="N73" s="53">
        <f t="shared" si="44"/>
        <v>150</v>
      </c>
      <c r="O73" s="44">
        <f t="shared" si="44"/>
        <v>750</v>
      </c>
    </row>
    <row r="74" spans="1:15" x14ac:dyDescent="0.25">
      <c r="A74" s="41">
        <f t="shared" si="41"/>
        <v>4043</v>
      </c>
      <c r="B74" s="42">
        <f t="shared" si="41"/>
        <v>64</v>
      </c>
      <c r="C74" s="41" t="s">
        <v>2463</v>
      </c>
      <c r="D74" s="43">
        <f t="shared" si="42"/>
        <v>45.6</v>
      </c>
      <c r="E74" s="61">
        <f t="shared" si="42"/>
        <v>5.016</v>
      </c>
      <c r="F74" s="44">
        <f t="shared" si="42"/>
        <v>11</v>
      </c>
      <c r="G74" s="44">
        <f t="shared" si="24"/>
        <v>9.4599999999999991</v>
      </c>
      <c r="H74" s="44">
        <f t="shared" si="25"/>
        <v>5.61</v>
      </c>
      <c r="I74" s="44">
        <f t="shared" si="43"/>
        <v>8</v>
      </c>
      <c r="J74" s="45">
        <f t="shared" si="28"/>
        <v>0</v>
      </c>
      <c r="K74" s="37" t="str">
        <f>D74&amp;-4</f>
        <v>45.6-4</v>
      </c>
      <c r="L74" s="44">
        <f t="shared" si="44"/>
        <v>0.11</v>
      </c>
      <c r="M74" s="53">
        <f t="shared" si="44"/>
        <v>60</v>
      </c>
      <c r="N74" s="53">
        <f t="shared" si="44"/>
        <v>150</v>
      </c>
      <c r="O74" s="44">
        <f t="shared" si="44"/>
        <v>750</v>
      </c>
    </row>
    <row r="75" spans="1:15" x14ac:dyDescent="0.25">
      <c r="A75" s="41">
        <f t="shared" si="41"/>
        <v>4044</v>
      </c>
      <c r="B75" s="42">
        <f t="shared" si="41"/>
        <v>65</v>
      </c>
      <c r="C75" s="41" t="s">
        <v>2464</v>
      </c>
      <c r="D75" s="43">
        <f t="shared" si="42"/>
        <v>45.6</v>
      </c>
      <c r="E75" s="61">
        <f t="shared" si="42"/>
        <v>5.016</v>
      </c>
      <c r="F75" s="44">
        <f t="shared" si="42"/>
        <v>11</v>
      </c>
      <c r="G75" s="44">
        <f t="shared" ref="G75:G106" si="45">m_ty_t*F75</f>
        <v>9.4599999999999991</v>
      </c>
      <c r="H75" s="44">
        <f t="shared" ref="H75:H106" si="46">m_tz_t*F75</f>
        <v>5.61</v>
      </c>
      <c r="I75" s="44">
        <f t="shared" si="43"/>
        <v>8</v>
      </c>
      <c r="J75" s="45">
        <f t="shared" si="28"/>
        <v>0</v>
      </c>
      <c r="K75" s="37" t="str">
        <f>D75&amp;-5</f>
        <v>45.6-5</v>
      </c>
      <c r="L75" s="44">
        <f t="shared" si="44"/>
        <v>0.11</v>
      </c>
      <c r="M75" s="53">
        <f t="shared" si="44"/>
        <v>60</v>
      </c>
      <c r="N75" s="53">
        <f t="shared" si="44"/>
        <v>150</v>
      </c>
      <c r="O75" s="44">
        <f t="shared" si="44"/>
        <v>750</v>
      </c>
    </row>
    <row r="76" spans="1:15" x14ac:dyDescent="0.25">
      <c r="A76" s="41">
        <f t="shared" si="41"/>
        <v>4045</v>
      </c>
      <c r="B76" s="42">
        <f t="shared" si="41"/>
        <v>66</v>
      </c>
      <c r="C76" s="41" t="s">
        <v>2465</v>
      </c>
      <c r="D76" s="43">
        <f t="shared" si="42"/>
        <v>45.6</v>
      </c>
      <c r="E76" s="61">
        <f t="shared" si="42"/>
        <v>5.016</v>
      </c>
      <c r="F76" s="44">
        <f t="shared" si="42"/>
        <v>11</v>
      </c>
      <c r="G76" s="44">
        <f t="shared" si="45"/>
        <v>9.4599999999999991</v>
      </c>
      <c r="H76" s="44">
        <f t="shared" si="46"/>
        <v>5.61</v>
      </c>
      <c r="I76" s="44">
        <f t="shared" si="43"/>
        <v>8</v>
      </c>
      <c r="J76" s="45">
        <f t="shared" si="28"/>
        <v>0</v>
      </c>
      <c r="K76" s="37" t="str">
        <f>D76&amp;-6</f>
        <v>45.6-6</v>
      </c>
      <c r="L76" s="44">
        <f t="shared" si="44"/>
        <v>0.11</v>
      </c>
      <c r="M76" s="53">
        <f t="shared" si="44"/>
        <v>60</v>
      </c>
      <c r="N76" s="53">
        <f t="shared" si="44"/>
        <v>150</v>
      </c>
      <c r="O76" s="44">
        <f t="shared" si="44"/>
        <v>750</v>
      </c>
    </row>
    <row r="77" spans="1:15" x14ac:dyDescent="0.25">
      <c r="A77" s="41">
        <f t="shared" si="41"/>
        <v>4046</v>
      </c>
      <c r="B77" s="42">
        <f t="shared" si="41"/>
        <v>67</v>
      </c>
      <c r="C77" s="41" t="s">
        <v>2466</v>
      </c>
      <c r="D77" s="43">
        <f t="shared" si="42"/>
        <v>45.6</v>
      </c>
      <c r="E77" s="61">
        <f t="shared" si="42"/>
        <v>5.016</v>
      </c>
      <c r="F77" s="44">
        <f t="shared" si="42"/>
        <v>11</v>
      </c>
      <c r="G77" s="44">
        <f t="shared" si="45"/>
        <v>9.4599999999999991</v>
      </c>
      <c r="H77" s="44">
        <f t="shared" si="46"/>
        <v>5.61</v>
      </c>
      <c r="I77" s="44">
        <f t="shared" si="43"/>
        <v>8</v>
      </c>
      <c r="J77" s="45">
        <f t="shared" si="28"/>
        <v>0</v>
      </c>
      <c r="K77" s="37" t="str">
        <f>D77&amp;-1</f>
        <v>45.6-1</v>
      </c>
      <c r="L77" s="44">
        <f t="shared" si="44"/>
        <v>0.11</v>
      </c>
      <c r="M77" s="53">
        <v>75</v>
      </c>
      <c r="N77" s="53">
        <f t="shared" si="44"/>
        <v>150</v>
      </c>
      <c r="O77" s="44">
        <f t="shared" si="44"/>
        <v>750</v>
      </c>
    </row>
    <row r="78" spans="1:15" x14ac:dyDescent="0.25">
      <c r="A78" s="41">
        <f>A77+1</f>
        <v>4047</v>
      </c>
      <c r="B78" s="42">
        <f>B77+1</f>
        <v>68</v>
      </c>
      <c r="C78" s="41" t="s">
        <v>2467</v>
      </c>
      <c r="D78" s="43">
        <f>D77</f>
        <v>45.6</v>
      </c>
      <c r="E78" s="61">
        <f>E77</f>
        <v>5.016</v>
      </c>
      <c r="F78" s="44">
        <f>F77</f>
        <v>11</v>
      </c>
      <c r="G78" s="44">
        <f t="shared" si="45"/>
        <v>9.4599999999999991</v>
      </c>
      <c r="H78" s="44">
        <f t="shared" si="46"/>
        <v>5.61</v>
      </c>
      <c r="I78" s="44">
        <f>I77</f>
        <v>8</v>
      </c>
      <c r="J78" s="45">
        <f t="shared" si="28"/>
        <v>0</v>
      </c>
      <c r="K78" s="37" t="str">
        <f>D78&amp;-2</f>
        <v>45.6-2</v>
      </c>
      <c r="L78" s="44">
        <f>L77</f>
        <v>0.11</v>
      </c>
      <c r="M78" s="53">
        <f>M77</f>
        <v>75</v>
      </c>
      <c r="N78" s="53">
        <f>N77</f>
        <v>150</v>
      </c>
      <c r="O78" s="44">
        <f>O77</f>
        <v>750</v>
      </c>
    </row>
    <row r="79" spans="1:15" x14ac:dyDescent="0.25">
      <c r="A79" s="41">
        <f t="shared" ref="A79:B89" si="47">A78+1</f>
        <v>4048</v>
      </c>
      <c r="B79" s="42">
        <f t="shared" si="47"/>
        <v>69</v>
      </c>
      <c r="C79" s="41" t="s">
        <v>2468</v>
      </c>
      <c r="D79" s="43">
        <f t="shared" ref="D79:F89" si="48">D78</f>
        <v>45.6</v>
      </c>
      <c r="E79" s="61">
        <f t="shared" si="48"/>
        <v>5.016</v>
      </c>
      <c r="F79" s="44">
        <f t="shared" si="48"/>
        <v>11</v>
      </c>
      <c r="G79" s="44">
        <f t="shared" si="45"/>
        <v>9.4599999999999991</v>
      </c>
      <c r="H79" s="44">
        <f t="shared" si="46"/>
        <v>5.61</v>
      </c>
      <c r="I79" s="44">
        <f t="shared" ref="I79:I89" si="49">I78</f>
        <v>8</v>
      </c>
      <c r="J79" s="45">
        <f t="shared" si="28"/>
        <v>0</v>
      </c>
      <c r="K79" s="37" t="str">
        <f>D79&amp;-3</f>
        <v>45.6-3</v>
      </c>
      <c r="L79" s="44">
        <f t="shared" ref="L79:O89" si="50">L78</f>
        <v>0.11</v>
      </c>
      <c r="M79" s="53">
        <f t="shared" si="50"/>
        <v>75</v>
      </c>
      <c r="N79" s="53">
        <f t="shared" si="50"/>
        <v>150</v>
      </c>
      <c r="O79" s="44">
        <f t="shared" si="50"/>
        <v>750</v>
      </c>
    </row>
    <row r="80" spans="1:15" x14ac:dyDescent="0.25">
      <c r="A80" s="41">
        <f t="shared" si="47"/>
        <v>4049</v>
      </c>
      <c r="B80" s="42">
        <f t="shared" si="47"/>
        <v>70</v>
      </c>
      <c r="C80" s="41" t="s">
        <v>2469</v>
      </c>
      <c r="D80" s="43">
        <f t="shared" si="48"/>
        <v>45.6</v>
      </c>
      <c r="E80" s="61">
        <f t="shared" si="48"/>
        <v>5.016</v>
      </c>
      <c r="F80" s="44">
        <f t="shared" si="48"/>
        <v>11</v>
      </c>
      <c r="G80" s="44">
        <f t="shared" si="45"/>
        <v>9.4599999999999991</v>
      </c>
      <c r="H80" s="44">
        <f t="shared" si="46"/>
        <v>5.61</v>
      </c>
      <c r="I80" s="44">
        <f t="shared" si="49"/>
        <v>8</v>
      </c>
      <c r="J80" s="45">
        <f t="shared" si="28"/>
        <v>0</v>
      </c>
      <c r="K80" s="37" t="str">
        <f>D80&amp;-4</f>
        <v>45.6-4</v>
      </c>
      <c r="L80" s="44">
        <f t="shared" si="50"/>
        <v>0.11</v>
      </c>
      <c r="M80" s="53">
        <f t="shared" si="50"/>
        <v>75</v>
      </c>
      <c r="N80" s="53">
        <f t="shared" si="50"/>
        <v>150</v>
      </c>
      <c r="O80" s="44">
        <f t="shared" si="50"/>
        <v>750</v>
      </c>
    </row>
    <row r="81" spans="1:15" x14ac:dyDescent="0.25">
      <c r="A81" s="41">
        <f t="shared" si="47"/>
        <v>4050</v>
      </c>
      <c r="B81" s="42">
        <f t="shared" si="47"/>
        <v>71</v>
      </c>
      <c r="C81" s="41" t="s">
        <v>2470</v>
      </c>
      <c r="D81" s="43">
        <f t="shared" si="48"/>
        <v>45.6</v>
      </c>
      <c r="E81" s="61">
        <f t="shared" si="48"/>
        <v>5.016</v>
      </c>
      <c r="F81" s="44">
        <f t="shared" si="48"/>
        <v>11</v>
      </c>
      <c r="G81" s="44">
        <f t="shared" si="45"/>
        <v>9.4599999999999991</v>
      </c>
      <c r="H81" s="44">
        <f t="shared" si="46"/>
        <v>5.61</v>
      </c>
      <c r="I81" s="44">
        <f t="shared" si="49"/>
        <v>8</v>
      </c>
      <c r="J81" s="45">
        <f t="shared" si="28"/>
        <v>0</v>
      </c>
      <c r="K81" s="37" t="str">
        <f>D81&amp;-5</f>
        <v>45.6-5</v>
      </c>
      <c r="L81" s="44">
        <f t="shared" si="50"/>
        <v>0.11</v>
      </c>
      <c r="M81" s="53">
        <f t="shared" si="50"/>
        <v>75</v>
      </c>
      <c r="N81" s="53">
        <f t="shared" si="50"/>
        <v>150</v>
      </c>
      <c r="O81" s="44">
        <f t="shared" si="50"/>
        <v>750</v>
      </c>
    </row>
    <row r="82" spans="1:15" x14ac:dyDescent="0.25">
      <c r="A82" s="41">
        <f t="shared" si="47"/>
        <v>4051</v>
      </c>
      <c r="B82" s="42">
        <f t="shared" si="47"/>
        <v>72</v>
      </c>
      <c r="C82" s="41" t="s">
        <v>2471</v>
      </c>
      <c r="D82" s="43">
        <f t="shared" si="48"/>
        <v>45.6</v>
      </c>
      <c r="E82" s="61">
        <f t="shared" si="48"/>
        <v>5.016</v>
      </c>
      <c r="F82" s="44">
        <f t="shared" si="48"/>
        <v>11</v>
      </c>
      <c r="G82" s="44">
        <f t="shared" si="45"/>
        <v>9.4599999999999991</v>
      </c>
      <c r="H82" s="44">
        <f t="shared" si="46"/>
        <v>5.61</v>
      </c>
      <c r="I82" s="44">
        <f t="shared" si="49"/>
        <v>8</v>
      </c>
      <c r="J82" s="45">
        <f t="shared" si="28"/>
        <v>0</v>
      </c>
      <c r="K82" s="37" t="str">
        <f>D82&amp;-6</f>
        <v>45.6-6</v>
      </c>
      <c r="L82" s="44">
        <f t="shared" si="50"/>
        <v>0.11</v>
      </c>
      <c r="M82" s="53">
        <f t="shared" si="50"/>
        <v>75</v>
      </c>
      <c r="N82" s="53">
        <f t="shared" si="50"/>
        <v>150</v>
      </c>
      <c r="O82" s="44">
        <f t="shared" si="50"/>
        <v>750</v>
      </c>
    </row>
    <row r="83" spans="1:15" x14ac:dyDescent="0.25">
      <c r="A83" s="41">
        <f t="shared" si="47"/>
        <v>4052</v>
      </c>
      <c r="B83" s="42">
        <f t="shared" si="47"/>
        <v>73</v>
      </c>
      <c r="C83" s="41" t="s">
        <v>2472</v>
      </c>
      <c r="D83" s="43">
        <f t="shared" si="48"/>
        <v>45.6</v>
      </c>
      <c r="E83" s="61">
        <f t="shared" si="48"/>
        <v>5.016</v>
      </c>
      <c r="F83" s="44">
        <f t="shared" si="48"/>
        <v>11</v>
      </c>
      <c r="G83" s="44">
        <f t="shared" si="45"/>
        <v>9.4599999999999991</v>
      </c>
      <c r="H83" s="44">
        <f t="shared" si="46"/>
        <v>5.61</v>
      </c>
      <c r="I83" s="44">
        <f t="shared" si="49"/>
        <v>8</v>
      </c>
      <c r="J83" s="45">
        <f t="shared" ref="J83:J118" si="51">yaw_max</f>
        <v>8</v>
      </c>
      <c r="K83" s="37" t="str">
        <f>D83&amp;-1</f>
        <v>45.6-1</v>
      </c>
      <c r="L83" s="44">
        <f t="shared" si="50"/>
        <v>0.11</v>
      </c>
      <c r="M83" s="53">
        <v>0</v>
      </c>
      <c r="N83" s="53">
        <f t="shared" si="50"/>
        <v>150</v>
      </c>
      <c r="O83" s="44">
        <f t="shared" si="50"/>
        <v>750</v>
      </c>
    </row>
    <row r="84" spans="1:15" x14ac:dyDescent="0.25">
      <c r="A84" s="41">
        <f t="shared" si="47"/>
        <v>4053</v>
      </c>
      <c r="B84" s="42">
        <f t="shared" si="47"/>
        <v>74</v>
      </c>
      <c r="C84" s="41" t="s">
        <v>2473</v>
      </c>
      <c r="D84" s="43">
        <f t="shared" si="48"/>
        <v>45.6</v>
      </c>
      <c r="E84" s="61">
        <f t="shared" si="48"/>
        <v>5.016</v>
      </c>
      <c r="F84" s="44">
        <f t="shared" si="48"/>
        <v>11</v>
      </c>
      <c r="G84" s="44">
        <f t="shared" si="45"/>
        <v>9.4599999999999991</v>
      </c>
      <c r="H84" s="44">
        <f t="shared" si="46"/>
        <v>5.61</v>
      </c>
      <c r="I84" s="44">
        <f t="shared" si="49"/>
        <v>8</v>
      </c>
      <c r="J84" s="45">
        <f t="shared" si="51"/>
        <v>8</v>
      </c>
      <c r="K84" s="37" t="str">
        <f>D84&amp;-2</f>
        <v>45.6-2</v>
      </c>
      <c r="L84" s="44">
        <f t="shared" si="50"/>
        <v>0.11</v>
      </c>
      <c r="M84" s="53">
        <f>M83</f>
        <v>0</v>
      </c>
      <c r="N84" s="53">
        <f t="shared" si="50"/>
        <v>150</v>
      </c>
      <c r="O84" s="44">
        <f t="shared" si="50"/>
        <v>750</v>
      </c>
    </row>
    <row r="85" spans="1:15" x14ac:dyDescent="0.25">
      <c r="A85" s="41">
        <f t="shared" si="47"/>
        <v>4054</v>
      </c>
      <c r="B85" s="42">
        <f t="shared" si="47"/>
        <v>75</v>
      </c>
      <c r="C85" s="41" t="s">
        <v>2474</v>
      </c>
      <c r="D85" s="43">
        <f t="shared" si="48"/>
        <v>45.6</v>
      </c>
      <c r="E85" s="61">
        <f t="shared" si="48"/>
        <v>5.016</v>
      </c>
      <c r="F85" s="44">
        <f t="shared" si="48"/>
        <v>11</v>
      </c>
      <c r="G85" s="44">
        <f t="shared" si="45"/>
        <v>9.4599999999999991</v>
      </c>
      <c r="H85" s="44">
        <f t="shared" si="46"/>
        <v>5.61</v>
      </c>
      <c r="I85" s="44">
        <f t="shared" si="49"/>
        <v>8</v>
      </c>
      <c r="J85" s="45">
        <f t="shared" si="51"/>
        <v>8</v>
      </c>
      <c r="K85" s="37" t="str">
        <f>D85&amp;-3</f>
        <v>45.6-3</v>
      </c>
      <c r="L85" s="44">
        <f t="shared" si="50"/>
        <v>0.11</v>
      </c>
      <c r="M85" s="53">
        <f t="shared" si="50"/>
        <v>0</v>
      </c>
      <c r="N85" s="53">
        <f t="shared" si="50"/>
        <v>150</v>
      </c>
      <c r="O85" s="44">
        <f t="shared" si="50"/>
        <v>750</v>
      </c>
    </row>
    <row r="86" spans="1:15" x14ac:dyDescent="0.25">
      <c r="A86" s="41">
        <f t="shared" si="47"/>
        <v>4055</v>
      </c>
      <c r="B86" s="42">
        <f t="shared" si="47"/>
        <v>76</v>
      </c>
      <c r="C86" s="41" t="s">
        <v>2475</v>
      </c>
      <c r="D86" s="43">
        <f t="shared" si="48"/>
        <v>45.6</v>
      </c>
      <c r="E86" s="61">
        <f t="shared" si="48"/>
        <v>5.016</v>
      </c>
      <c r="F86" s="44">
        <f t="shared" si="48"/>
        <v>11</v>
      </c>
      <c r="G86" s="44">
        <f t="shared" si="45"/>
        <v>9.4599999999999991</v>
      </c>
      <c r="H86" s="44">
        <f t="shared" si="46"/>
        <v>5.61</v>
      </c>
      <c r="I86" s="44">
        <f t="shared" si="49"/>
        <v>8</v>
      </c>
      <c r="J86" s="45">
        <f t="shared" si="51"/>
        <v>8</v>
      </c>
      <c r="K86" s="37" t="str">
        <f>D86&amp;-4</f>
        <v>45.6-4</v>
      </c>
      <c r="L86" s="44">
        <f t="shared" si="50"/>
        <v>0.11</v>
      </c>
      <c r="M86" s="53">
        <f t="shared" si="50"/>
        <v>0</v>
      </c>
      <c r="N86" s="53">
        <f t="shared" si="50"/>
        <v>150</v>
      </c>
      <c r="O86" s="44">
        <f t="shared" si="50"/>
        <v>750</v>
      </c>
    </row>
    <row r="87" spans="1:15" x14ac:dyDescent="0.25">
      <c r="A87" s="41">
        <f t="shared" si="47"/>
        <v>4056</v>
      </c>
      <c r="B87" s="42">
        <f t="shared" si="47"/>
        <v>77</v>
      </c>
      <c r="C87" s="41" t="s">
        <v>2476</v>
      </c>
      <c r="D87" s="43">
        <f t="shared" si="48"/>
        <v>45.6</v>
      </c>
      <c r="E87" s="61">
        <f t="shared" si="48"/>
        <v>5.016</v>
      </c>
      <c r="F87" s="44">
        <f t="shared" si="48"/>
        <v>11</v>
      </c>
      <c r="G87" s="44">
        <f t="shared" si="45"/>
        <v>9.4599999999999991</v>
      </c>
      <c r="H87" s="44">
        <f t="shared" si="46"/>
        <v>5.61</v>
      </c>
      <c r="I87" s="44">
        <f t="shared" si="49"/>
        <v>8</v>
      </c>
      <c r="J87" s="45">
        <f t="shared" si="51"/>
        <v>8</v>
      </c>
      <c r="K87" s="37" t="str">
        <f>D87&amp;-5</f>
        <v>45.6-5</v>
      </c>
      <c r="L87" s="44">
        <f t="shared" si="50"/>
        <v>0.11</v>
      </c>
      <c r="M87" s="53">
        <f t="shared" si="50"/>
        <v>0</v>
      </c>
      <c r="N87" s="53">
        <f t="shared" si="50"/>
        <v>150</v>
      </c>
      <c r="O87" s="44">
        <f t="shared" si="50"/>
        <v>750</v>
      </c>
    </row>
    <row r="88" spans="1:15" x14ac:dyDescent="0.25">
      <c r="A88" s="41">
        <f t="shared" si="47"/>
        <v>4057</v>
      </c>
      <c r="B88" s="42">
        <f t="shared" si="47"/>
        <v>78</v>
      </c>
      <c r="C88" s="41" t="s">
        <v>2477</v>
      </c>
      <c r="D88" s="43">
        <f t="shared" si="48"/>
        <v>45.6</v>
      </c>
      <c r="E88" s="61">
        <f t="shared" si="48"/>
        <v>5.016</v>
      </c>
      <c r="F88" s="44">
        <f t="shared" si="48"/>
        <v>11</v>
      </c>
      <c r="G88" s="44">
        <f t="shared" si="45"/>
        <v>9.4599999999999991</v>
      </c>
      <c r="H88" s="44">
        <f t="shared" si="46"/>
        <v>5.61</v>
      </c>
      <c r="I88" s="44">
        <f t="shared" si="49"/>
        <v>8</v>
      </c>
      <c r="J88" s="45">
        <f t="shared" si="51"/>
        <v>8</v>
      </c>
      <c r="K88" s="37" t="str">
        <f>D88&amp;-6</f>
        <v>45.6-6</v>
      </c>
      <c r="L88" s="44">
        <f t="shared" si="50"/>
        <v>0.11</v>
      </c>
      <c r="M88" s="53">
        <f t="shared" si="50"/>
        <v>0</v>
      </c>
      <c r="N88" s="53">
        <f t="shared" si="50"/>
        <v>150</v>
      </c>
      <c r="O88" s="44">
        <f t="shared" si="50"/>
        <v>750</v>
      </c>
    </row>
    <row r="89" spans="1:15" x14ac:dyDescent="0.25">
      <c r="A89" s="41">
        <f t="shared" si="47"/>
        <v>4058</v>
      </c>
      <c r="B89" s="42">
        <f t="shared" si="47"/>
        <v>79</v>
      </c>
      <c r="C89" s="41" t="s">
        <v>2478</v>
      </c>
      <c r="D89" s="43">
        <f t="shared" si="48"/>
        <v>45.6</v>
      </c>
      <c r="E89" s="61">
        <f t="shared" si="48"/>
        <v>5.016</v>
      </c>
      <c r="F89" s="44">
        <f t="shared" si="48"/>
        <v>11</v>
      </c>
      <c r="G89" s="44">
        <f t="shared" si="45"/>
        <v>9.4599999999999991</v>
      </c>
      <c r="H89" s="44">
        <f t="shared" si="46"/>
        <v>5.61</v>
      </c>
      <c r="I89" s="44">
        <f t="shared" si="49"/>
        <v>8</v>
      </c>
      <c r="J89" s="45">
        <f t="shared" si="51"/>
        <v>8</v>
      </c>
      <c r="K89" s="37" t="str">
        <f>D89&amp;-1</f>
        <v>45.6-1</v>
      </c>
      <c r="L89" s="44">
        <f t="shared" si="50"/>
        <v>0.11</v>
      </c>
      <c r="M89" s="53">
        <v>15</v>
      </c>
      <c r="N89" s="53">
        <f t="shared" si="50"/>
        <v>150</v>
      </c>
      <c r="O89" s="44">
        <f t="shared" si="50"/>
        <v>750</v>
      </c>
    </row>
    <row r="90" spans="1:15" x14ac:dyDescent="0.25">
      <c r="A90" s="41">
        <f>A89+1</f>
        <v>4059</v>
      </c>
      <c r="B90" s="42">
        <f>B89+1</f>
        <v>80</v>
      </c>
      <c r="C90" s="41" t="s">
        <v>2479</v>
      </c>
      <c r="D90" s="43">
        <f>D89</f>
        <v>45.6</v>
      </c>
      <c r="E90" s="61">
        <f>E89</f>
        <v>5.016</v>
      </c>
      <c r="F90" s="44">
        <f>F89</f>
        <v>11</v>
      </c>
      <c r="G90" s="44">
        <f t="shared" si="45"/>
        <v>9.4599999999999991</v>
      </c>
      <c r="H90" s="44">
        <f t="shared" si="46"/>
        <v>5.61</v>
      </c>
      <c r="I90" s="44">
        <f>I89</f>
        <v>8</v>
      </c>
      <c r="J90" s="45">
        <f t="shared" si="51"/>
        <v>8</v>
      </c>
      <c r="K90" s="37" t="str">
        <f>D90&amp;-2</f>
        <v>45.6-2</v>
      </c>
      <c r="L90" s="44">
        <f>L89</f>
        <v>0.11</v>
      </c>
      <c r="M90" s="53">
        <f>M89</f>
        <v>15</v>
      </c>
      <c r="N90" s="53">
        <f>N89</f>
        <v>150</v>
      </c>
      <c r="O90" s="44">
        <f>O89</f>
        <v>750</v>
      </c>
    </row>
    <row r="91" spans="1:15" x14ac:dyDescent="0.25">
      <c r="A91" s="41">
        <f t="shared" ref="A91:B95" si="52">A90+1</f>
        <v>4060</v>
      </c>
      <c r="B91" s="42">
        <f t="shared" si="52"/>
        <v>81</v>
      </c>
      <c r="C91" s="41" t="s">
        <v>2480</v>
      </c>
      <c r="D91" s="43">
        <f t="shared" ref="D91:F95" si="53">D90</f>
        <v>45.6</v>
      </c>
      <c r="E91" s="61">
        <f t="shared" si="53"/>
        <v>5.016</v>
      </c>
      <c r="F91" s="44">
        <f t="shared" si="53"/>
        <v>11</v>
      </c>
      <c r="G91" s="44">
        <f t="shared" si="45"/>
        <v>9.4599999999999991</v>
      </c>
      <c r="H91" s="44">
        <f t="shared" si="46"/>
        <v>5.61</v>
      </c>
      <c r="I91" s="44">
        <f t="shared" ref="I91:I95" si="54">I90</f>
        <v>8</v>
      </c>
      <c r="J91" s="45">
        <f t="shared" si="51"/>
        <v>8</v>
      </c>
      <c r="K91" s="37" t="str">
        <f>D91&amp;-3</f>
        <v>45.6-3</v>
      </c>
      <c r="L91" s="44">
        <f t="shared" ref="L91:O95" si="55">L90</f>
        <v>0.11</v>
      </c>
      <c r="M91" s="53">
        <f t="shared" si="55"/>
        <v>15</v>
      </c>
      <c r="N91" s="53">
        <f t="shared" si="55"/>
        <v>150</v>
      </c>
      <c r="O91" s="44">
        <f t="shared" si="55"/>
        <v>750</v>
      </c>
    </row>
    <row r="92" spans="1:15" x14ac:dyDescent="0.25">
      <c r="A92" s="41">
        <f t="shared" si="52"/>
        <v>4061</v>
      </c>
      <c r="B92" s="42">
        <f t="shared" si="52"/>
        <v>82</v>
      </c>
      <c r="C92" s="41" t="s">
        <v>2481</v>
      </c>
      <c r="D92" s="43">
        <f t="shared" si="53"/>
        <v>45.6</v>
      </c>
      <c r="E92" s="61">
        <f t="shared" si="53"/>
        <v>5.016</v>
      </c>
      <c r="F92" s="44">
        <f t="shared" si="53"/>
        <v>11</v>
      </c>
      <c r="G92" s="44">
        <f t="shared" si="45"/>
        <v>9.4599999999999991</v>
      </c>
      <c r="H92" s="44">
        <f t="shared" si="46"/>
        <v>5.61</v>
      </c>
      <c r="I92" s="44">
        <f t="shared" si="54"/>
        <v>8</v>
      </c>
      <c r="J92" s="45">
        <f t="shared" si="51"/>
        <v>8</v>
      </c>
      <c r="K92" s="37" t="str">
        <f>D92&amp;-4</f>
        <v>45.6-4</v>
      </c>
      <c r="L92" s="44">
        <f t="shared" si="55"/>
        <v>0.11</v>
      </c>
      <c r="M92" s="53">
        <f t="shared" si="55"/>
        <v>15</v>
      </c>
      <c r="N92" s="53">
        <f t="shared" si="55"/>
        <v>150</v>
      </c>
      <c r="O92" s="44">
        <f t="shared" si="55"/>
        <v>750</v>
      </c>
    </row>
    <row r="93" spans="1:15" x14ac:dyDescent="0.25">
      <c r="A93" s="41">
        <f t="shared" si="52"/>
        <v>4062</v>
      </c>
      <c r="B93" s="42">
        <f t="shared" si="52"/>
        <v>83</v>
      </c>
      <c r="C93" s="41" t="s">
        <v>2482</v>
      </c>
      <c r="D93" s="43">
        <f t="shared" si="53"/>
        <v>45.6</v>
      </c>
      <c r="E93" s="61">
        <f t="shared" si="53"/>
        <v>5.016</v>
      </c>
      <c r="F93" s="44">
        <f t="shared" si="53"/>
        <v>11</v>
      </c>
      <c r="G93" s="44">
        <f t="shared" si="45"/>
        <v>9.4599999999999991</v>
      </c>
      <c r="H93" s="44">
        <f t="shared" si="46"/>
        <v>5.61</v>
      </c>
      <c r="I93" s="44">
        <f t="shared" si="54"/>
        <v>8</v>
      </c>
      <c r="J93" s="45">
        <f t="shared" si="51"/>
        <v>8</v>
      </c>
      <c r="K93" s="37" t="str">
        <f>D93&amp;-5</f>
        <v>45.6-5</v>
      </c>
      <c r="L93" s="44">
        <f t="shared" si="55"/>
        <v>0.11</v>
      </c>
      <c r="M93" s="53">
        <f t="shared" si="55"/>
        <v>15</v>
      </c>
      <c r="N93" s="53">
        <f t="shared" si="55"/>
        <v>150</v>
      </c>
      <c r="O93" s="44">
        <f t="shared" si="55"/>
        <v>750</v>
      </c>
    </row>
    <row r="94" spans="1:15" x14ac:dyDescent="0.25">
      <c r="A94" s="41">
        <f t="shared" si="52"/>
        <v>4063</v>
      </c>
      <c r="B94" s="42">
        <f t="shared" si="52"/>
        <v>84</v>
      </c>
      <c r="C94" s="41" t="s">
        <v>2483</v>
      </c>
      <c r="D94" s="43">
        <f t="shared" si="53"/>
        <v>45.6</v>
      </c>
      <c r="E94" s="61">
        <f t="shared" si="53"/>
        <v>5.016</v>
      </c>
      <c r="F94" s="44">
        <f t="shared" si="53"/>
        <v>11</v>
      </c>
      <c r="G94" s="44">
        <f t="shared" si="45"/>
        <v>9.4599999999999991</v>
      </c>
      <c r="H94" s="44">
        <f t="shared" si="46"/>
        <v>5.61</v>
      </c>
      <c r="I94" s="44">
        <f t="shared" si="54"/>
        <v>8</v>
      </c>
      <c r="J94" s="45">
        <f t="shared" si="51"/>
        <v>8</v>
      </c>
      <c r="K94" s="37" t="str">
        <f>D94&amp;-6</f>
        <v>45.6-6</v>
      </c>
      <c r="L94" s="44">
        <f t="shared" si="55"/>
        <v>0.11</v>
      </c>
      <c r="M94" s="53">
        <f t="shared" si="55"/>
        <v>15</v>
      </c>
      <c r="N94" s="53">
        <f t="shared" si="55"/>
        <v>150</v>
      </c>
      <c r="O94" s="44">
        <f t="shared" si="55"/>
        <v>750</v>
      </c>
    </row>
    <row r="95" spans="1:15" x14ac:dyDescent="0.25">
      <c r="A95" s="41">
        <f t="shared" si="52"/>
        <v>4064</v>
      </c>
      <c r="B95" s="42">
        <f t="shared" si="52"/>
        <v>85</v>
      </c>
      <c r="C95" s="41" t="s">
        <v>2484</v>
      </c>
      <c r="D95" s="43">
        <f t="shared" si="53"/>
        <v>45.6</v>
      </c>
      <c r="E95" s="61">
        <f t="shared" si="53"/>
        <v>5.016</v>
      </c>
      <c r="F95" s="44">
        <f t="shared" si="53"/>
        <v>11</v>
      </c>
      <c r="G95" s="44">
        <f t="shared" si="45"/>
        <v>9.4599999999999991</v>
      </c>
      <c r="H95" s="44">
        <f t="shared" si="46"/>
        <v>5.61</v>
      </c>
      <c r="I95" s="44">
        <f t="shared" si="54"/>
        <v>8</v>
      </c>
      <c r="J95" s="45">
        <f t="shared" si="51"/>
        <v>8</v>
      </c>
      <c r="K95" s="37" t="str">
        <f>D95&amp;-1</f>
        <v>45.6-1</v>
      </c>
      <c r="L95" s="44">
        <f t="shared" si="55"/>
        <v>0.11</v>
      </c>
      <c r="M95" s="53">
        <v>30</v>
      </c>
      <c r="N95" s="53">
        <f t="shared" si="55"/>
        <v>150</v>
      </c>
      <c r="O95" s="44">
        <f t="shared" si="55"/>
        <v>750</v>
      </c>
    </row>
    <row r="96" spans="1:15" x14ac:dyDescent="0.25">
      <c r="A96" s="41">
        <f>A95+1</f>
        <v>4065</v>
      </c>
      <c r="B96" s="42">
        <f>B95+1</f>
        <v>86</v>
      </c>
      <c r="C96" s="41" t="s">
        <v>2485</v>
      </c>
      <c r="D96" s="43">
        <f>D95</f>
        <v>45.6</v>
      </c>
      <c r="E96" s="61">
        <f>E95</f>
        <v>5.016</v>
      </c>
      <c r="F96" s="44">
        <f>F95</f>
        <v>11</v>
      </c>
      <c r="G96" s="44">
        <f t="shared" si="45"/>
        <v>9.4599999999999991</v>
      </c>
      <c r="H96" s="44">
        <f t="shared" si="46"/>
        <v>5.61</v>
      </c>
      <c r="I96" s="44">
        <f>I95</f>
        <v>8</v>
      </c>
      <c r="J96" s="45">
        <f t="shared" si="51"/>
        <v>8</v>
      </c>
      <c r="K96" s="37" t="str">
        <f>D96&amp;-2</f>
        <v>45.6-2</v>
      </c>
      <c r="L96" s="44">
        <f>L95</f>
        <v>0.11</v>
      </c>
      <c r="M96" s="53">
        <f>M95</f>
        <v>30</v>
      </c>
      <c r="N96" s="53">
        <f>N95</f>
        <v>150</v>
      </c>
      <c r="O96" s="44">
        <f>O95</f>
        <v>750</v>
      </c>
    </row>
    <row r="97" spans="1:15" x14ac:dyDescent="0.25">
      <c r="A97" s="41">
        <f t="shared" ref="A97:B101" si="56">A96+1</f>
        <v>4066</v>
      </c>
      <c r="B97" s="42">
        <f t="shared" si="56"/>
        <v>87</v>
      </c>
      <c r="C97" s="41" t="s">
        <v>2486</v>
      </c>
      <c r="D97" s="43">
        <f t="shared" ref="D97:F101" si="57">D96</f>
        <v>45.6</v>
      </c>
      <c r="E97" s="61">
        <f t="shared" si="57"/>
        <v>5.016</v>
      </c>
      <c r="F97" s="44">
        <f t="shared" si="57"/>
        <v>11</v>
      </c>
      <c r="G97" s="44">
        <f t="shared" si="45"/>
        <v>9.4599999999999991</v>
      </c>
      <c r="H97" s="44">
        <f t="shared" si="46"/>
        <v>5.61</v>
      </c>
      <c r="I97" s="44">
        <f t="shared" ref="I97:I101" si="58">I96</f>
        <v>8</v>
      </c>
      <c r="J97" s="45">
        <f t="shared" si="51"/>
        <v>8</v>
      </c>
      <c r="K97" s="37" t="str">
        <f>D97&amp;-3</f>
        <v>45.6-3</v>
      </c>
      <c r="L97" s="44">
        <f t="shared" ref="L97:O101" si="59">L96</f>
        <v>0.11</v>
      </c>
      <c r="M97" s="53">
        <f t="shared" si="59"/>
        <v>30</v>
      </c>
      <c r="N97" s="53">
        <f t="shared" si="59"/>
        <v>150</v>
      </c>
      <c r="O97" s="44">
        <f t="shared" si="59"/>
        <v>750</v>
      </c>
    </row>
    <row r="98" spans="1:15" x14ac:dyDescent="0.25">
      <c r="A98" s="41">
        <f t="shared" si="56"/>
        <v>4067</v>
      </c>
      <c r="B98" s="42">
        <f t="shared" si="56"/>
        <v>88</v>
      </c>
      <c r="C98" s="41" t="s">
        <v>2487</v>
      </c>
      <c r="D98" s="43">
        <f t="shared" si="57"/>
        <v>45.6</v>
      </c>
      <c r="E98" s="61">
        <f t="shared" si="57"/>
        <v>5.016</v>
      </c>
      <c r="F98" s="44">
        <f t="shared" si="57"/>
        <v>11</v>
      </c>
      <c r="G98" s="44">
        <f t="shared" si="45"/>
        <v>9.4599999999999991</v>
      </c>
      <c r="H98" s="44">
        <f t="shared" si="46"/>
        <v>5.61</v>
      </c>
      <c r="I98" s="44">
        <f t="shared" si="58"/>
        <v>8</v>
      </c>
      <c r="J98" s="45">
        <f t="shared" si="51"/>
        <v>8</v>
      </c>
      <c r="K98" s="37" t="str">
        <f>D98&amp;-4</f>
        <v>45.6-4</v>
      </c>
      <c r="L98" s="44">
        <f t="shared" si="59"/>
        <v>0.11</v>
      </c>
      <c r="M98" s="53">
        <f t="shared" si="59"/>
        <v>30</v>
      </c>
      <c r="N98" s="53">
        <f t="shared" si="59"/>
        <v>150</v>
      </c>
      <c r="O98" s="44">
        <f t="shared" si="59"/>
        <v>750</v>
      </c>
    </row>
    <row r="99" spans="1:15" x14ac:dyDescent="0.25">
      <c r="A99" s="41">
        <f t="shared" si="56"/>
        <v>4068</v>
      </c>
      <c r="B99" s="42">
        <f t="shared" si="56"/>
        <v>89</v>
      </c>
      <c r="C99" s="41" t="s">
        <v>2488</v>
      </c>
      <c r="D99" s="43">
        <f t="shared" si="57"/>
        <v>45.6</v>
      </c>
      <c r="E99" s="61">
        <f t="shared" si="57"/>
        <v>5.016</v>
      </c>
      <c r="F99" s="44">
        <f t="shared" si="57"/>
        <v>11</v>
      </c>
      <c r="G99" s="44">
        <f t="shared" si="45"/>
        <v>9.4599999999999991</v>
      </c>
      <c r="H99" s="44">
        <f t="shared" si="46"/>
        <v>5.61</v>
      </c>
      <c r="I99" s="44">
        <f t="shared" si="58"/>
        <v>8</v>
      </c>
      <c r="J99" s="45">
        <f t="shared" si="51"/>
        <v>8</v>
      </c>
      <c r="K99" s="37" t="str">
        <f>D99&amp;-5</f>
        <v>45.6-5</v>
      </c>
      <c r="L99" s="44">
        <f t="shared" si="59"/>
        <v>0.11</v>
      </c>
      <c r="M99" s="53">
        <f t="shared" si="59"/>
        <v>30</v>
      </c>
      <c r="N99" s="53">
        <f t="shared" si="59"/>
        <v>150</v>
      </c>
      <c r="O99" s="44">
        <f t="shared" si="59"/>
        <v>750</v>
      </c>
    </row>
    <row r="100" spans="1:15" x14ac:dyDescent="0.25">
      <c r="A100" s="41">
        <f t="shared" si="56"/>
        <v>4069</v>
      </c>
      <c r="B100" s="42">
        <f t="shared" si="56"/>
        <v>90</v>
      </c>
      <c r="C100" s="41" t="s">
        <v>2489</v>
      </c>
      <c r="D100" s="43">
        <f t="shared" si="57"/>
        <v>45.6</v>
      </c>
      <c r="E100" s="61">
        <f t="shared" si="57"/>
        <v>5.016</v>
      </c>
      <c r="F100" s="44">
        <f t="shared" si="57"/>
        <v>11</v>
      </c>
      <c r="G100" s="44">
        <f t="shared" si="45"/>
        <v>9.4599999999999991</v>
      </c>
      <c r="H100" s="44">
        <f t="shared" si="46"/>
        <v>5.61</v>
      </c>
      <c r="I100" s="44">
        <f t="shared" si="58"/>
        <v>8</v>
      </c>
      <c r="J100" s="45">
        <f t="shared" si="51"/>
        <v>8</v>
      </c>
      <c r="K100" s="37" t="str">
        <f>D100&amp;-6</f>
        <v>45.6-6</v>
      </c>
      <c r="L100" s="44">
        <f t="shared" si="59"/>
        <v>0.11</v>
      </c>
      <c r="M100" s="53">
        <f t="shared" si="59"/>
        <v>30</v>
      </c>
      <c r="N100" s="53">
        <f t="shared" si="59"/>
        <v>150</v>
      </c>
      <c r="O100" s="44">
        <f t="shared" si="59"/>
        <v>750</v>
      </c>
    </row>
    <row r="101" spans="1:15" x14ac:dyDescent="0.25">
      <c r="A101" s="41">
        <f t="shared" si="56"/>
        <v>4070</v>
      </c>
      <c r="B101" s="42">
        <f t="shared" si="56"/>
        <v>91</v>
      </c>
      <c r="C101" s="41" t="s">
        <v>2490</v>
      </c>
      <c r="D101" s="43">
        <f t="shared" si="57"/>
        <v>45.6</v>
      </c>
      <c r="E101" s="61">
        <f t="shared" si="57"/>
        <v>5.016</v>
      </c>
      <c r="F101" s="44">
        <f t="shared" si="57"/>
        <v>11</v>
      </c>
      <c r="G101" s="44">
        <f t="shared" si="45"/>
        <v>9.4599999999999991</v>
      </c>
      <c r="H101" s="44">
        <f t="shared" si="46"/>
        <v>5.61</v>
      </c>
      <c r="I101" s="44">
        <f t="shared" si="58"/>
        <v>8</v>
      </c>
      <c r="J101" s="45">
        <f t="shared" si="51"/>
        <v>8</v>
      </c>
      <c r="K101" s="37" t="str">
        <f>D101&amp;-1</f>
        <v>45.6-1</v>
      </c>
      <c r="L101" s="44">
        <f t="shared" si="59"/>
        <v>0.11</v>
      </c>
      <c r="M101" s="53">
        <v>45</v>
      </c>
      <c r="N101" s="53">
        <f t="shared" si="59"/>
        <v>150</v>
      </c>
      <c r="O101" s="44">
        <f t="shared" si="59"/>
        <v>750</v>
      </c>
    </row>
    <row r="102" spans="1:15" x14ac:dyDescent="0.25">
      <c r="A102" s="41">
        <f>A101+1</f>
        <v>4071</v>
      </c>
      <c r="B102" s="42">
        <f>B101+1</f>
        <v>92</v>
      </c>
      <c r="C102" s="41" t="s">
        <v>2491</v>
      </c>
      <c r="D102" s="43">
        <f>D101</f>
        <v>45.6</v>
      </c>
      <c r="E102" s="61">
        <f>E101</f>
        <v>5.016</v>
      </c>
      <c r="F102" s="44">
        <f>F101</f>
        <v>11</v>
      </c>
      <c r="G102" s="44">
        <f t="shared" si="45"/>
        <v>9.4599999999999991</v>
      </c>
      <c r="H102" s="44">
        <f t="shared" si="46"/>
        <v>5.61</v>
      </c>
      <c r="I102" s="44">
        <f>I101</f>
        <v>8</v>
      </c>
      <c r="J102" s="45">
        <f t="shared" si="51"/>
        <v>8</v>
      </c>
      <c r="K102" s="37" t="str">
        <f>D102&amp;-2</f>
        <v>45.6-2</v>
      </c>
      <c r="L102" s="44">
        <f>L101</f>
        <v>0.11</v>
      </c>
      <c r="M102" s="53">
        <f>M101</f>
        <v>45</v>
      </c>
      <c r="N102" s="53">
        <f>N101</f>
        <v>150</v>
      </c>
      <c r="O102" s="44">
        <f>O101</f>
        <v>750</v>
      </c>
    </row>
    <row r="103" spans="1:15" x14ac:dyDescent="0.25">
      <c r="A103" s="41">
        <f t="shared" ref="A103:B107" si="60">A102+1</f>
        <v>4072</v>
      </c>
      <c r="B103" s="42">
        <f t="shared" si="60"/>
        <v>93</v>
      </c>
      <c r="C103" s="41" t="s">
        <v>2492</v>
      </c>
      <c r="D103" s="43">
        <f t="shared" ref="D103:F107" si="61">D102</f>
        <v>45.6</v>
      </c>
      <c r="E103" s="61">
        <f t="shared" si="61"/>
        <v>5.016</v>
      </c>
      <c r="F103" s="44">
        <f t="shared" si="61"/>
        <v>11</v>
      </c>
      <c r="G103" s="44">
        <f t="shared" si="45"/>
        <v>9.4599999999999991</v>
      </c>
      <c r="H103" s="44">
        <f t="shared" si="46"/>
        <v>5.61</v>
      </c>
      <c r="I103" s="44">
        <f t="shared" ref="I103:I107" si="62">I102</f>
        <v>8</v>
      </c>
      <c r="J103" s="45">
        <f t="shared" si="51"/>
        <v>8</v>
      </c>
      <c r="K103" s="37" t="str">
        <f>D103&amp;-3</f>
        <v>45.6-3</v>
      </c>
      <c r="L103" s="44">
        <f t="shared" ref="L103:O107" si="63">L102</f>
        <v>0.11</v>
      </c>
      <c r="M103" s="53">
        <f t="shared" si="63"/>
        <v>45</v>
      </c>
      <c r="N103" s="53">
        <f t="shared" si="63"/>
        <v>150</v>
      </c>
      <c r="O103" s="44">
        <f t="shared" si="63"/>
        <v>750</v>
      </c>
    </row>
    <row r="104" spans="1:15" x14ac:dyDescent="0.25">
      <c r="A104" s="41">
        <f t="shared" si="60"/>
        <v>4073</v>
      </c>
      <c r="B104" s="42">
        <f t="shared" si="60"/>
        <v>94</v>
      </c>
      <c r="C104" s="41" t="s">
        <v>2493</v>
      </c>
      <c r="D104" s="43">
        <f t="shared" si="61"/>
        <v>45.6</v>
      </c>
      <c r="E104" s="61">
        <f t="shared" si="61"/>
        <v>5.016</v>
      </c>
      <c r="F104" s="44">
        <f t="shared" si="61"/>
        <v>11</v>
      </c>
      <c r="G104" s="44">
        <f t="shared" si="45"/>
        <v>9.4599999999999991</v>
      </c>
      <c r="H104" s="44">
        <f t="shared" si="46"/>
        <v>5.61</v>
      </c>
      <c r="I104" s="44">
        <f t="shared" si="62"/>
        <v>8</v>
      </c>
      <c r="J104" s="45">
        <f t="shared" si="51"/>
        <v>8</v>
      </c>
      <c r="K104" s="37" t="str">
        <f>D104&amp;-4</f>
        <v>45.6-4</v>
      </c>
      <c r="L104" s="44">
        <f t="shared" si="63"/>
        <v>0.11</v>
      </c>
      <c r="M104" s="53">
        <f t="shared" si="63"/>
        <v>45</v>
      </c>
      <c r="N104" s="53">
        <f t="shared" si="63"/>
        <v>150</v>
      </c>
      <c r="O104" s="44">
        <f t="shared" si="63"/>
        <v>750</v>
      </c>
    </row>
    <row r="105" spans="1:15" x14ac:dyDescent="0.25">
      <c r="A105" s="41">
        <f t="shared" si="60"/>
        <v>4074</v>
      </c>
      <c r="B105" s="42">
        <f t="shared" si="60"/>
        <v>95</v>
      </c>
      <c r="C105" s="41" t="s">
        <v>2494</v>
      </c>
      <c r="D105" s="43">
        <f t="shared" si="61"/>
        <v>45.6</v>
      </c>
      <c r="E105" s="61">
        <f t="shared" si="61"/>
        <v>5.016</v>
      </c>
      <c r="F105" s="44">
        <f t="shared" si="61"/>
        <v>11</v>
      </c>
      <c r="G105" s="44">
        <f t="shared" si="45"/>
        <v>9.4599999999999991</v>
      </c>
      <c r="H105" s="44">
        <f t="shared" si="46"/>
        <v>5.61</v>
      </c>
      <c r="I105" s="44">
        <f t="shared" si="62"/>
        <v>8</v>
      </c>
      <c r="J105" s="45">
        <f t="shared" si="51"/>
        <v>8</v>
      </c>
      <c r="K105" s="37" t="str">
        <f>D105&amp;-5</f>
        <v>45.6-5</v>
      </c>
      <c r="L105" s="44">
        <f t="shared" si="63"/>
        <v>0.11</v>
      </c>
      <c r="M105" s="53">
        <f t="shared" si="63"/>
        <v>45</v>
      </c>
      <c r="N105" s="53">
        <f t="shared" si="63"/>
        <v>150</v>
      </c>
      <c r="O105" s="44">
        <f t="shared" si="63"/>
        <v>750</v>
      </c>
    </row>
    <row r="106" spans="1:15" x14ac:dyDescent="0.25">
      <c r="A106" s="41">
        <f t="shared" si="60"/>
        <v>4075</v>
      </c>
      <c r="B106" s="42">
        <f t="shared" si="60"/>
        <v>96</v>
      </c>
      <c r="C106" s="41" t="s">
        <v>2495</v>
      </c>
      <c r="D106" s="43">
        <f t="shared" si="61"/>
        <v>45.6</v>
      </c>
      <c r="E106" s="61">
        <f t="shared" si="61"/>
        <v>5.016</v>
      </c>
      <c r="F106" s="44">
        <f t="shared" si="61"/>
        <v>11</v>
      </c>
      <c r="G106" s="44">
        <f t="shared" si="45"/>
        <v>9.4599999999999991</v>
      </c>
      <c r="H106" s="44">
        <f t="shared" si="46"/>
        <v>5.61</v>
      </c>
      <c r="I106" s="44">
        <f t="shared" si="62"/>
        <v>8</v>
      </c>
      <c r="J106" s="45">
        <f t="shared" si="51"/>
        <v>8</v>
      </c>
      <c r="K106" s="37" t="str">
        <f>D106&amp;-6</f>
        <v>45.6-6</v>
      </c>
      <c r="L106" s="44">
        <f t="shared" si="63"/>
        <v>0.11</v>
      </c>
      <c r="M106" s="53">
        <f t="shared" si="63"/>
        <v>45</v>
      </c>
      <c r="N106" s="53">
        <f t="shared" si="63"/>
        <v>150</v>
      </c>
      <c r="O106" s="44">
        <f t="shared" si="63"/>
        <v>750</v>
      </c>
    </row>
    <row r="107" spans="1:15" x14ac:dyDescent="0.25">
      <c r="A107" s="41">
        <f t="shared" si="60"/>
        <v>4076</v>
      </c>
      <c r="B107" s="42">
        <f t="shared" si="60"/>
        <v>97</v>
      </c>
      <c r="C107" s="41" t="s">
        <v>2496</v>
      </c>
      <c r="D107" s="43">
        <f t="shared" si="61"/>
        <v>45.6</v>
      </c>
      <c r="E107" s="61">
        <f t="shared" si="61"/>
        <v>5.016</v>
      </c>
      <c r="F107" s="44">
        <f t="shared" si="61"/>
        <v>11</v>
      </c>
      <c r="G107" s="44">
        <f t="shared" ref="G107:G118" si="64">m_ty_t*F107</f>
        <v>9.4599999999999991</v>
      </c>
      <c r="H107" s="44">
        <f t="shared" ref="H107:H118" si="65">m_tz_t*F107</f>
        <v>5.61</v>
      </c>
      <c r="I107" s="44">
        <f t="shared" si="62"/>
        <v>8</v>
      </c>
      <c r="J107" s="45">
        <f t="shared" si="51"/>
        <v>8</v>
      </c>
      <c r="K107" s="37" t="str">
        <f>D107&amp;-1</f>
        <v>45.6-1</v>
      </c>
      <c r="L107" s="44">
        <f t="shared" si="63"/>
        <v>0.11</v>
      </c>
      <c r="M107" s="53">
        <v>60</v>
      </c>
      <c r="N107" s="53">
        <f t="shared" si="63"/>
        <v>150</v>
      </c>
      <c r="O107" s="44">
        <f t="shared" si="63"/>
        <v>750</v>
      </c>
    </row>
    <row r="108" spans="1:15" x14ac:dyDescent="0.25">
      <c r="A108" s="41">
        <f>A107+1</f>
        <v>4077</v>
      </c>
      <c r="B108" s="42">
        <f>B107+1</f>
        <v>98</v>
      </c>
      <c r="C108" s="41" t="s">
        <v>2497</v>
      </c>
      <c r="D108" s="43">
        <f>D107</f>
        <v>45.6</v>
      </c>
      <c r="E108" s="61">
        <f>E107</f>
        <v>5.016</v>
      </c>
      <c r="F108" s="44">
        <f>F107</f>
        <v>11</v>
      </c>
      <c r="G108" s="44">
        <f t="shared" si="64"/>
        <v>9.4599999999999991</v>
      </c>
      <c r="H108" s="44">
        <f t="shared" si="65"/>
        <v>5.61</v>
      </c>
      <c r="I108" s="44">
        <f>I107</f>
        <v>8</v>
      </c>
      <c r="J108" s="45">
        <f t="shared" si="51"/>
        <v>8</v>
      </c>
      <c r="K108" s="37" t="str">
        <f>D108&amp;-2</f>
        <v>45.6-2</v>
      </c>
      <c r="L108" s="44">
        <f>L107</f>
        <v>0.11</v>
      </c>
      <c r="M108" s="53">
        <f>M107</f>
        <v>60</v>
      </c>
      <c r="N108" s="53">
        <f>N107</f>
        <v>150</v>
      </c>
      <c r="O108" s="44">
        <f>O107</f>
        <v>750</v>
      </c>
    </row>
    <row r="109" spans="1:15" x14ac:dyDescent="0.25">
      <c r="A109" s="41">
        <f t="shared" ref="A109:B113" si="66">A108+1</f>
        <v>4078</v>
      </c>
      <c r="B109" s="42">
        <f t="shared" si="66"/>
        <v>99</v>
      </c>
      <c r="C109" s="41" t="s">
        <v>2498</v>
      </c>
      <c r="D109" s="43">
        <f t="shared" ref="D109:F113" si="67">D108</f>
        <v>45.6</v>
      </c>
      <c r="E109" s="61">
        <f t="shared" si="67"/>
        <v>5.016</v>
      </c>
      <c r="F109" s="44">
        <f t="shared" si="67"/>
        <v>11</v>
      </c>
      <c r="G109" s="44">
        <f t="shared" si="64"/>
        <v>9.4599999999999991</v>
      </c>
      <c r="H109" s="44">
        <f t="shared" si="65"/>
        <v>5.61</v>
      </c>
      <c r="I109" s="44">
        <f t="shared" ref="I109:I113" si="68">I108</f>
        <v>8</v>
      </c>
      <c r="J109" s="45">
        <f t="shared" si="51"/>
        <v>8</v>
      </c>
      <c r="K109" s="37" t="str">
        <f>D109&amp;-3</f>
        <v>45.6-3</v>
      </c>
      <c r="L109" s="44">
        <f t="shared" ref="L109:O113" si="69">L108</f>
        <v>0.11</v>
      </c>
      <c r="M109" s="53">
        <f t="shared" si="69"/>
        <v>60</v>
      </c>
      <c r="N109" s="53">
        <f t="shared" si="69"/>
        <v>150</v>
      </c>
      <c r="O109" s="44">
        <f t="shared" si="69"/>
        <v>750</v>
      </c>
    </row>
    <row r="110" spans="1:15" x14ac:dyDescent="0.25">
      <c r="A110" s="41">
        <f t="shared" si="66"/>
        <v>4079</v>
      </c>
      <c r="B110" s="42">
        <f t="shared" si="66"/>
        <v>100</v>
      </c>
      <c r="C110" s="41" t="s">
        <v>2499</v>
      </c>
      <c r="D110" s="43">
        <f t="shared" si="67"/>
        <v>45.6</v>
      </c>
      <c r="E110" s="61">
        <f t="shared" si="67"/>
        <v>5.016</v>
      </c>
      <c r="F110" s="44">
        <f t="shared" si="67"/>
        <v>11</v>
      </c>
      <c r="G110" s="44">
        <f t="shared" si="64"/>
        <v>9.4599999999999991</v>
      </c>
      <c r="H110" s="44">
        <f t="shared" si="65"/>
        <v>5.61</v>
      </c>
      <c r="I110" s="44">
        <f t="shared" si="68"/>
        <v>8</v>
      </c>
      <c r="J110" s="45">
        <f t="shared" si="51"/>
        <v>8</v>
      </c>
      <c r="K110" s="37" t="str">
        <f>D110&amp;-4</f>
        <v>45.6-4</v>
      </c>
      <c r="L110" s="44">
        <f t="shared" si="69"/>
        <v>0.11</v>
      </c>
      <c r="M110" s="53">
        <f t="shared" si="69"/>
        <v>60</v>
      </c>
      <c r="N110" s="53">
        <f t="shared" si="69"/>
        <v>150</v>
      </c>
      <c r="O110" s="44">
        <f t="shared" si="69"/>
        <v>750</v>
      </c>
    </row>
    <row r="111" spans="1:15" x14ac:dyDescent="0.25">
      <c r="A111" s="41">
        <f t="shared" si="66"/>
        <v>4080</v>
      </c>
      <c r="B111" s="42">
        <f t="shared" si="66"/>
        <v>101</v>
      </c>
      <c r="C111" s="41" t="s">
        <v>2500</v>
      </c>
      <c r="D111" s="43">
        <f t="shared" si="67"/>
        <v>45.6</v>
      </c>
      <c r="E111" s="61">
        <f t="shared" si="67"/>
        <v>5.016</v>
      </c>
      <c r="F111" s="44">
        <f t="shared" si="67"/>
        <v>11</v>
      </c>
      <c r="G111" s="44">
        <f t="shared" si="64"/>
        <v>9.4599999999999991</v>
      </c>
      <c r="H111" s="44">
        <f t="shared" si="65"/>
        <v>5.61</v>
      </c>
      <c r="I111" s="44">
        <f t="shared" si="68"/>
        <v>8</v>
      </c>
      <c r="J111" s="45">
        <f t="shared" si="51"/>
        <v>8</v>
      </c>
      <c r="K111" s="37" t="str">
        <f>D111&amp;-5</f>
        <v>45.6-5</v>
      </c>
      <c r="L111" s="44">
        <f t="shared" si="69"/>
        <v>0.11</v>
      </c>
      <c r="M111" s="53">
        <f t="shared" si="69"/>
        <v>60</v>
      </c>
      <c r="N111" s="53">
        <f t="shared" si="69"/>
        <v>150</v>
      </c>
      <c r="O111" s="44">
        <f t="shared" si="69"/>
        <v>750</v>
      </c>
    </row>
    <row r="112" spans="1:15" x14ac:dyDescent="0.25">
      <c r="A112" s="41">
        <f t="shared" si="66"/>
        <v>4081</v>
      </c>
      <c r="B112" s="42">
        <f t="shared" si="66"/>
        <v>102</v>
      </c>
      <c r="C112" s="41" t="s">
        <v>2501</v>
      </c>
      <c r="D112" s="43">
        <f t="shared" si="67"/>
        <v>45.6</v>
      </c>
      <c r="E112" s="61">
        <f t="shared" si="67"/>
        <v>5.016</v>
      </c>
      <c r="F112" s="44">
        <f t="shared" si="67"/>
        <v>11</v>
      </c>
      <c r="G112" s="44">
        <f t="shared" si="64"/>
        <v>9.4599999999999991</v>
      </c>
      <c r="H112" s="44">
        <f t="shared" si="65"/>
        <v>5.61</v>
      </c>
      <c r="I112" s="44">
        <f t="shared" si="68"/>
        <v>8</v>
      </c>
      <c r="J112" s="45">
        <f t="shared" si="51"/>
        <v>8</v>
      </c>
      <c r="K112" s="37" t="str">
        <f>D112&amp;-6</f>
        <v>45.6-6</v>
      </c>
      <c r="L112" s="44">
        <f t="shared" si="69"/>
        <v>0.11</v>
      </c>
      <c r="M112" s="53">
        <f t="shared" si="69"/>
        <v>60</v>
      </c>
      <c r="N112" s="53">
        <f t="shared" si="69"/>
        <v>150</v>
      </c>
      <c r="O112" s="44">
        <f t="shared" si="69"/>
        <v>750</v>
      </c>
    </row>
    <row r="113" spans="1:15" x14ac:dyDescent="0.25">
      <c r="A113" s="41">
        <f t="shared" si="66"/>
        <v>4082</v>
      </c>
      <c r="B113" s="42">
        <f t="shared" si="66"/>
        <v>103</v>
      </c>
      <c r="C113" s="41" t="s">
        <v>2502</v>
      </c>
      <c r="D113" s="43">
        <f t="shared" si="67"/>
        <v>45.6</v>
      </c>
      <c r="E113" s="61">
        <f t="shared" si="67"/>
        <v>5.016</v>
      </c>
      <c r="F113" s="44">
        <f t="shared" si="67"/>
        <v>11</v>
      </c>
      <c r="G113" s="44">
        <f t="shared" si="64"/>
        <v>9.4599999999999991</v>
      </c>
      <c r="H113" s="44">
        <f t="shared" si="65"/>
        <v>5.61</v>
      </c>
      <c r="I113" s="44">
        <f t="shared" si="68"/>
        <v>8</v>
      </c>
      <c r="J113" s="45">
        <f t="shared" si="51"/>
        <v>8</v>
      </c>
      <c r="K113" s="37" t="str">
        <f>D113&amp;-1</f>
        <v>45.6-1</v>
      </c>
      <c r="L113" s="44">
        <f t="shared" si="69"/>
        <v>0.11</v>
      </c>
      <c r="M113" s="53">
        <v>75</v>
      </c>
      <c r="N113" s="53">
        <f t="shared" si="69"/>
        <v>150</v>
      </c>
      <c r="O113" s="44">
        <f t="shared" si="69"/>
        <v>750</v>
      </c>
    </row>
    <row r="114" spans="1:15" x14ac:dyDescent="0.25">
      <c r="A114" s="41">
        <f>A113+1</f>
        <v>4083</v>
      </c>
      <c r="B114" s="42">
        <f>B113+1</f>
        <v>104</v>
      </c>
      <c r="C114" s="41" t="s">
        <v>2503</v>
      </c>
      <c r="D114" s="43">
        <f>D113</f>
        <v>45.6</v>
      </c>
      <c r="E114" s="61">
        <f>E113</f>
        <v>5.016</v>
      </c>
      <c r="F114" s="44">
        <f>F113</f>
        <v>11</v>
      </c>
      <c r="G114" s="44">
        <f t="shared" si="64"/>
        <v>9.4599999999999991</v>
      </c>
      <c r="H114" s="44">
        <f t="shared" si="65"/>
        <v>5.61</v>
      </c>
      <c r="I114" s="44">
        <f>I113</f>
        <v>8</v>
      </c>
      <c r="J114" s="45">
        <f t="shared" si="51"/>
        <v>8</v>
      </c>
      <c r="K114" s="37" t="str">
        <f>D114&amp;-2</f>
        <v>45.6-2</v>
      </c>
      <c r="L114" s="44">
        <f>L113</f>
        <v>0.11</v>
      </c>
      <c r="M114" s="53">
        <f>M113</f>
        <v>75</v>
      </c>
      <c r="N114" s="53">
        <f>N113</f>
        <v>150</v>
      </c>
      <c r="O114" s="44">
        <f>O113</f>
        <v>750</v>
      </c>
    </row>
    <row r="115" spans="1:15" x14ac:dyDescent="0.25">
      <c r="A115" s="41">
        <f t="shared" ref="A115:B118" si="70">A114+1</f>
        <v>4084</v>
      </c>
      <c r="B115" s="42">
        <f t="shared" si="70"/>
        <v>105</v>
      </c>
      <c r="C115" s="41" t="s">
        <v>2504</v>
      </c>
      <c r="D115" s="43">
        <f t="shared" ref="D115:F118" si="71">D114</f>
        <v>45.6</v>
      </c>
      <c r="E115" s="61">
        <f t="shared" si="71"/>
        <v>5.016</v>
      </c>
      <c r="F115" s="44">
        <f t="shared" si="71"/>
        <v>11</v>
      </c>
      <c r="G115" s="44">
        <f t="shared" si="64"/>
        <v>9.4599999999999991</v>
      </c>
      <c r="H115" s="44">
        <f t="shared" si="65"/>
        <v>5.61</v>
      </c>
      <c r="I115" s="44">
        <f t="shared" ref="I115:I118" si="72">I114</f>
        <v>8</v>
      </c>
      <c r="J115" s="45">
        <f t="shared" si="51"/>
        <v>8</v>
      </c>
      <c r="K115" s="37" t="str">
        <f>D115&amp;-3</f>
        <v>45.6-3</v>
      </c>
      <c r="L115" s="44">
        <f t="shared" ref="L115:O118" si="73">L114</f>
        <v>0.11</v>
      </c>
      <c r="M115" s="53">
        <f t="shared" si="73"/>
        <v>75</v>
      </c>
      <c r="N115" s="53">
        <f t="shared" si="73"/>
        <v>150</v>
      </c>
      <c r="O115" s="44">
        <f t="shared" si="73"/>
        <v>750</v>
      </c>
    </row>
    <row r="116" spans="1:15" x14ac:dyDescent="0.25">
      <c r="A116" s="41">
        <f t="shared" si="70"/>
        <v>4085</v>
      </c>
      <c r="B116" s="42">
        <f t="shared" si="70"/>
        <v>106</v>
      </c>
      <c r="C116" s="41" t="s">
        <v>2505</v>
      </c>
      <c r="D116" s="43">
        <f t="shared" si="71"/>
        <v>45.6</v>
      </c>
      <c r="E116" s="61">
        <f t="shared" si="71"/>
        <v>5.016</v>
      </c>
      <c r="F116" s="44">
        <f t="shared" si="71"/>
        <v>11</v>
      </c>
      <c r="G116" s="44">
        <f t="shared" si="64"/>
        <v>9.4599999999999991</v>
      </c>
      <c r="H116" s="44">
        <f t="shared" si="65"/>
        <v>5.61</v>
      </c>
      <c r="I116" s="44">
        <f t="shared" si="72"/>
        <v>8</v>
      </c>
      <c r="J116" s="45">
        <f t="shared" si="51"/>
        <v>8</v>
      </c>
      <c r="K116" s="37" t="str">
        <f>D116&amp;-4</f>
        <v>45.6-4</v>
      </c>
      <c r="L116" s="44">
        <f t="shared" si="73"/>
        <v>0.11</v>
      </c>
      <c r="M116" s="53">
        <f t="shared" si="73"/>
        <v>75</v>
      </c>
      <c r="N116" s="53">
        <f t="shared" si="73"/>
        <v>150</v>
      </c>
      <c r="O116" s="44">
        <f t="shared" si="73"/>
        <v>750</v>
      </c>
    </row>
    <row r="117" spans="1:15" x14ac:dyDescent="0.25">
      <c r="A117" s="41">
        <f t="shared" si="70"/>
        <v>4086</v>
      </c>
      <c r="B117" s="42">
        <f t="shared" si="70"/>
        <v>107</v>
      </c>
      <c r="C117" s="41" t="s">
        <v>2506</v>
      </c>
      <c r="D117" s="43">
        <f t="shared" si="71"/>
        <v>45.6</v>
      </c>
      <c r="E117" s="61">
        <f t="shared" si="71"/>
        <v>5.016</v>
      </c>
      <c r="F117" s="44">
        <f t="shared" si="71"/>
        <v>11</v>
      </c>
      <c r="G117" s="44">
        <f t="shared" si="64"/>
        <v>9.4599999999999991</v>
      </c>
      <c r="H117" s="44">
        <f t="shared" si="65"/>
        <v>5.61</v>
      </c>
      <c r="I117" s="44">
        <f t="shared" si="72"/>
        <v>8</v>
      </c>
      <c r="J117" s="45">
        <f t="shared" si="51"/>
        <v>8</v>
      </c>
      <c r="K117" s="37" t="str">
        <f>D117&amp;-5</f>
        <v>45.6-5</v>
      </c>
      <c r="L117" s="44">
        <f t="shared" si="73"/>
        <v>0.11</v>
      </c>
      <c r="M117" s="53">
        <f t="shared" si="73"/>
        <v>75</v>
      </c>
      <c r="N117" s="53">
        <f t="shared" si="73"/>
        <v>150</v>
      </c>
      <c r="O117" s="44">
        <f t="shared" si="73"/>
        <v>750</v>
      </c>
    </row>
    <row r="118" spans="1:15" x14ac:dyDescent="0.25">
      <c r="A118" s="41">
        <f t="shared" si="70"/>
        <v>4087</v>
      </c>
      <c r="B118" s="42">
        <f t="shared" si="70"/>
        <v>108</v>
      </c>
      <c r="C118" s="41" t="s">
        <v>2507</v>
      </c>
      <c r="D118" s="43">
        <f t="shared" si="71"/>
        <v>45.6</v>
      </c>
      <c r="E118" s="61">
        <f t="shared" si="71"/>
        <v>5.016</v>
      </c>
      <c r="F118" s="44">
        <f t="shared" si="71"/>
        <v>11</v>
      </c>
      <c r="G118" s="44">
        <f t="shared" si="64"/>
        <v>9.4599999999999991</v>
      </c>
      <c r="H118" s="44">
        <f t="shared" si="65"/>
        <v>5.61</v>
      </c>
      <c r="I118" s="44">
        <f t="shared" si="72"/>
        <v>8</v>
      </c>
      <c r="J118" s="45">
        <f t="shared" si="51"/>
        <v>8</v>
      </c>
      <c r="K118" s="37" t="str">
        <f>D118&amp;-6</f>
        <v>45.6-6</v>
      </c>
      <c r="L118" s="44">
        <f t="shared" si="73"/>
        <v>0.11</v>
      </c>
      <c r="M118" s="53">
        <f t="shared" si="73"/>
        <v>75</v>
      </c>
      <c r="N118" s="53">
        <f t="shared" si="73"/>
        <v>150</v>
      </c>
      <c r="O118" s="44">
        <f t="shared" si="73"/>
        <v>750</v>
      </c>
    </row>
  </sheetData>
  <phoneticPr fontId="1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Q298"/>
  <sheetViews>
    <sheetView zoomScale="85" zoomScaleNormal="85" workbookViewId="0">
      <selection activeCell="V25" sqref="V25"/>
    </sheetView>
  </sheetViews>
  <sheetFormatPr defaultColWidth="9" defaultRowHeight="15" x14ac:dyDescent="0.15"/>
  <cols>
    <col min="1" max="1" width="7.375" style="23" customWidth="1"/>
    <col min="2" max="2" width="7.125" style="23" customWidth="1"/>
    <col min="3" max="3" width="9.375" style="23" customWidth="1"/>
    <col min="4" max="4" width="6.75" style="23" customWidth="1"/>
    <col min="5" max="7" width="6.875" style="23" customWidth="1"/>
    <col min="8" max="8" width="7.25" style="23" customWidth="1"/>
    <col min="9" max="9" width="7.375" style="23" customWidth="1"/>
    <col min="10" max="10" width="8" style="23" customWidth="1"/>
    <col min="11" max="11" width="7.75" style="23" customWidth="1"/>
    <col min="12" max="13" width="7.375" style="23" customWidth="1"/>
    <col min="14" max="14" width="6.75" style="23" customWidth="1"/>
    <col min="15" max="15" width="8.25" style="23" customWidth="1"/>
    <col min="16" max="16" width="7.125" style="23" customWidth="1"/>
    <col min="17" max="17" width="8.125" style="23" customWidth="1"/>
    <col min="18" max="16384" width="9" style="23"/>
  </cols>
  <sheetData>
    <row r="1" spans="1:17" x14ac:dyDescent="0.15">
      <c r="H1" s="22" t="s">
        <v>135</v>
      </c>
      <c r="I1" s="22" t="s">
        <v>2510</v>
      </c>
    </row>
    <row r="2" spans="1:17" x14ac:dyDescent="0.15">
      <c r="B2" s="22" t="s">
        <v>2509</v>
      </c>
      <c r="C2" s="22"/>
      <c r="D2" s="22"/>
      <c r="E2" s="22"/>
      <c r="F2" s="22"/>
      <c r="G2" s="22"/>
      <c r="H2" s="22"/>
      <c r="I2" s="22" t="s">
        <v>2236</v>
      </c>
    </row>
    <row r="3" spans="1:17" x14ac:dyDescent="0.15">
      <c r="B3" s="22" t="s">
        <v>88</v>
      </c>
      <c r="C3" s="22"/>
      <c r="D3" s="22"/>
      <c r="E3" s="93" t="s">
        <v>2159</v>
      </c>
      <c r="F3" s="93"/>
      <c r="G3" s="93"/>
      <c r="H3" s="22"/>
      <c r="I3" s="22" t="s">
        <v>2237</v>
      </c>
    </row>
    <row r="4" spans="1:17" x14ac:dyDescent="0.15">
      <c r="B4" s="22" t="s">
        <v>89</v>
      </c>
      <c r="C4" s="22"/>
      <c r="D4" s="22"/>
      <c r="E4" s="22" t="s">
        <v>2508</v>
      </c>
      <c r="F4" s="22"/>
      <c r="G4" s="22"/>
      <c r="H4" s="22"/>
      <c r="I4" s="22" t="s">
        <v>2238</v>
      </c>
    </row>
    <row r="5" spans="1:17" x14ac:dyDescent="0.15">
      <c r="B5" s="22" t="s">
        <v>91</v>
      </c>
      <c r="C5" s="22"/>
      <c r="D5" s="22"/>
      <c r="E5" s="22" t="s">
        <v>99</v>
      </c>
      <c r="F5" s="22"/>
      <c r="G5" s="22"/>
      <c r="J5" s="22"/>
      <c r="K5" s="22"/>
    </row>
    <row r="6" spans="1:17" x14ac:dyDescent="0.15">
      <c r="B6" s="22" t="s">
        <v>93</v>
      </c>
      <c r="C6" s="22"/>
      <c r="D6" s="22"/>
      <c r="E6" s="22" t="s">
        <v>106</v>
      </c>
      <c r="F6" s="22"/>
      <c r="G6" s="22"/>
      <c r="J6" s="22"/>
      <c r="K6" s="22"/>
    </row>
    <row r="7" spans="1:17" x14ac:dyDescent="0.15">
      <c r="J7" s="22"/>
      <c r="K7" s="22"/>
    </row>
    <row r="8" spans="1:17" ht="15.75" thickBot="1" x14ac:dyDescent="0.2"/>
    <row r="9" spans="1:17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62" t="s">
        <v>152</v>
      </c>
      <c r="G9" s="62" t="s">
        <v>87</v>
      </c>
      <c r="H9" s="25" t="s">
        <v>146</v>
      </c>
      <c r="I9" s="27" t="s">
        <v>8</v>
      </c>
      <c r="J9" s="47" t="s">
        <v>21</v>
      </c>
      <c r="K9" s="25" t="s">
        <v>147</v>
      </c>
      <c r="L9" s="25" t="s">
        <v>1</v>
      </c>
      <c r="M9" s="25" t="s">
        <v>2</v>
      </c>
      <c r="N9" s="25" t="s">
        <v>10</v>
      </c>
      <c r="O9" s="25" t="s">
        <v>13</v>
      </c>
      <c r="P9" s="27" t="s">
        <v>138</v>
      </c>
      <c r="Q9" s="27" t="s">
        <v>139</v>
      </c>
    </row>
    <row r="10" spans="1:17" ht="15.75" thickBot="1" x14ac:dyDescent="0.3">
      <c r="A10" s="29" t="s">
        <v>76</v>
      </c>
      <c r="B10" s="30" t="str">
        <f>B2</f>
        <v>DLCT13a</v>
      </c>
      <c r="C10" s="29"/>
      <c r="D10" s="30" t="s">
        <v>4</v>
      </c>
      <c r="E10" s="59" t="s">
        <v>4</v>
      </c>
      <c r="F10" s="59" t="s">
        <v>14</v>
      </c>
      <c r="G10" s="59"/>
      <c r="H10" s="30" t="s">
        <v>4</v>
      </c>
      <c r="I10" s="32"/>
      <c r="J10" s="32" t="s">
        <v>17</v>
      </c>
      <c r="K10" s="32" t="s">
        <v>7</v>
      </c>
      <c r="L10" s="30" t="s">
        <v>6</v>
      </c>
      <c r="M10" s="30" t="s">
        <v>6</v>
      </c>
      <c r="N10" s="30"/>
      <c r="O10" s="32" t="s">
        <v>7</v>
      </c>
      <c r="P10" s="32" t="s">
        <v>7</v>
      </c>
      <c r="Q10" s="32" t="s">
        <v>7</v>
      </c>
    </row>
    <row r="11" spans="1:17" x14ac:dyDescent="0.25">
      <c r="A11" s="24">
        <f>'DLC13'!A100+1</f>
        <v>859</v>
      </c>
      <c r="B11" s="27">
        <v>1</v>
      </c>
      <c r="C11" s="24" t="s">
        <v>2512</v>
      </c>
      <c r="D11" s="34">
        <f>v_out</f>
        <v>25</v>
      </c>
      <c r="E11" s="60">
        <f t="shared" ref="E11:E74" si="0">I_ref*(0.75*D11+5.6)</f>
        <v>3.4090000000000007</v>
      </c>
      <c r="F11" s="60">
        <f t="shared" ref="F11:F74" si="1">tur_scale</f>
        <v>42</v>
      </c>
      <c r="G11" s="63">
        <f t="shared" ref="G11:G74" si="2">1/(1+0.2*(diameter/F11))</f>
        <v>0.58988764044943809</v>
      </c>
      <c r="H11" s="35">
        <f>6.4*ATAN(E11/D11*G11)/PI()*180</f>
        <v>29.432344969112751</v>
      </c>
      <c r="I11" s="42" t="s">
        <v>12</v>
      </c>
      <c r="J11" s="50">
        <f>EDCT_t</f>
        <v>6</v>
      </c>
      <c r="K11" s="49">
        <f>trig_t</f>
        <v>160</v>
      </c>
      <c r="L11" s="35">
        <f t="shared" ref="L11:L74" si="3">inflow</f>
        <v>8</v>
      </c>
      <c r="M11" s="35">
        <v>0</v>
      </c>
      <c r="N11" s="36">
        <f>alpha_n</f>
        <v>0.2</v>
      </c>
      <c r="O11" s="49">
        <v>0</v>
      </c>
      <c r="P11" s="35">
        <f>t_out</f>
        <v>150</v>
      </c>
      <c r="Q11" s="50">
        <f>P11+T_s2</f>
        <v>210</v>
      </c>
    </row>
    <row r="12" spans="1:17" x14ac:dyDescent="0.25">
      <c r="A12" s="41">
        <f t="shared" ref="A12:B27" si="4">A11+1</f>
        <v>860</v>
      </c>
      <c r="B12" s="42">
        <f t="shared" si="4"/>
        <v>2</v>
      </c>
      <c r="C12" s="41" t="s">
        <v>2511</v>
      </c>
      <c r="D12" s="43">
        <f>D11</f>
        <v>25</v>
      </c>
      <c r="E12" s="61">
        <f t="shared" si="0"/>
        <v>3.4090000000000007</v>
      </c>
      <c r="F12" s="61">
        <f t="shared" si="1"/>
        <v>42</v>
      </c>
      <c r="G12" s="64">
        <f t="shared" si="2"/>
        <v>0.58988764044943809</v>
      </c>
      <c r="H12" s="44">
        <f>6.4*ATAN(E12/D12*G12)/PI()*180</f>
        <v>29.432344969112751</v>
      </c>
      <c r="I12" s="42" t="str">
        <f t="shared" ref="I12:N27" si="5">I11</f>
        <v>Half</v>
      </c>
      <c r="J12" s="50">
        <f t="shared" si="5"/>
        <v>6</v>
      </c>
      <c r="K12" s="49">
        <f t="shared" si="5"/>
        <v>160</v>
      </c>
      <c r="L12" s="44">
        <f t="shared" si="3"/>
        <v>8</v>
      </c>
      <c r="M12" s="44">
        <v>0</v>
      </c>
      <c r="N12" s="45">
        <f t="shared" si="5"/>
        <v>0.2</v>
      </c>
      <c r="O12" s="49">
        <v>30</v>
      </c>
      <c r="P12" s="44">
        <f>P11</f>
        <v>150</v>
      </c>
      <c r="Q12" s="50">
        <f>Q11</f>
        <v>210</v>
      </c>
    </row>
    <row r="13" spans="1:17" x14ac:dyDescent="0.25">
      <c r="A13" s="41">
        <f t="shared" si="4"/>
        <v>861</v>
      </c>
      <c r="B13" s="42">
        <f t="shared" si="4"/>
        <v>3</v>
      </c>
      <c r="C13" s="41" t="s">
        <v>2513</v>
      </c>
      <c r="D13" s="43">
        <f t="shared" ref="D13:D76" si="6">D12</f>
        <v>25</v>
      </c>
      <c r="E13" s="61">
        <f t="shared" si="0"/>
        <v>3.4090000000000007</v>
      </c>
      <c r="F13" s="61">
        <f t="shared" si="1"/>
        <v>42</v>
      </c>
      <c r="G13" s="64">
        <f t="shared" si="2"/>
        <v>0.58988764044943809</v>
      </c>
      <c r="H13" s="44">
        <f t="shared" ref="H13:H58" si="7">6.4*ATAN(E13/D13*G13)/PI()*180</f>
        <v>29.432344969112751</v>
      </c>
      <c r="I13" s="42" t="str">
        <f t="shared" si="5"/>
        <v>Half</v>
      </c>
      <c r="J13" s="50">
        <f t="shared" si="5"/>
        <v>6</v>
      </c>
      <c r="K13" s="49">
        <f t="shared" si="5"/>
        <v>160</v>
      </c>
      <c r="L13" s="44">
        <f t="shared" si="3"/>
        <v>8</v>
      </c>
      <c r="M13" s="44">
        <v>0</v>
      </c>
      <c r="N13" s="45">
        <f t="shared" si="5"/>
        <v>0.2</v>
      </c>
      <c r="O13" s="49">
        <v>60</v>
      </c>
      <c r="P13" s="44">
        <f t="shared" ref="P13:Q28" si="8">P12</f>
        <v>150</v>
      </c>
      <c r="Q13" s="50">
        <f t="shared" si="8"/>
        <v>210</v>
      </c>
    </row>
    <row r="14" spans="1:17" x14ac:dyDescent="0.25">
      <c r="A14" s="41">
        <f t="shared" si="4"/>
        <v>862</v>
      </c>
      <c r="B14" s="42">
        <f t="shared" si="4"/>
        <v>4</v>
      </c>
      <c r="C14" s="41" t="s">
        <v>2514</v>
      </c>
      <c r="D14" s="43">
        <f t="shared" si="6"/>
        <v>25</v>
      </c>
      <c r="E14" s="61">
        <f t="shared" si="0"/>
        <v>3.4090000000000007</v>
      </c>
      <c r="F14" s="61">
        <f t="shared" si="1"/>
        <v>42</v>
      </c>
      <c r="G14" s="64">
        <f t="shared" si="2"/>
        <v>0.58988764044943809</v>
      </c>
      <c r="H14" s="44">
        <f t="shared" si="7"/>
        <v>29.432344969112751</v>
      </c>
      <c r="I14" s="42" t="str">
        <f t="shared" si="5"/>
        <v>Half</v>
      </c>
      <c r="J14" s="50">
        <f t="shared" si="5"/>
        <v>6</v>
      </c>
      <c r="K14" s="49">
        <f t="shared" si="5"/>
        <v>160</v>
      </c>
      <c r="L14" s="44">
        <f t="shared" si="3"/>
        <v>8</v>
      </c>
      <c r="M14" s="44">
        <v>0</v>
      </c>
      <c r="N14" s="45">
        <f t="shared" si="5"/>
        <v>0.2</v>
      </c>
      <c r="O14" s="49">
        <v>90</v>
      </c>
      <c r="P14" s="44">
        <f t="shared" si="8"/>
        <v>150</v>
      </c>
      <c r="Q14" s="50">
        <f t="shared" si="8"/>
        <v>210</v>
      </c>
    </row>
    <row r="15" spans="1:17" x14ac:dyDescent="0.25">
      <c r="A15" s="41">
        <f t="shared" si="4"/>
        <v>863</v>
      </c>
      <c r="B15" s="42">
        <f t="shared" si="4"/>
        <v>5</v>
      </c>
      <c r="C15" s="41" t="s">
        <v>2515</v>
      </c>
      <c r="D15" s="43">
        <f t="shared" si="6"/>
        <v>25</v>
      </c>
      <c r="E15" s="61">
        <f t="shared" si="0"/>
        <v>3.4090000000000007</v>
      </c>
      <c r="F15" s="61">
        <f t="shared" si="1"/>
        <v>42</v>
      </c>
      <c r="G15" s="64">
        <f t="shared" si="2"/>
        <v>0.58988764044943809</v>
      </c>
      <c r="H15" s="44">
        <f t="shared" si="7"/>
        <v>29.432344969112751</v>
      </c>
      <c r="I15" s="42" t="str">
        <f t="shared" si="5"/>
        <v>Half</v>
      </c>
      <c r="J15" s="50">
        <f t="shared" si="5"/>
        <v>6</v>
      </c>
      <c r="K15" s="49">
        <f t="shared" si="5"/>
        <v>160</v>
      </c>
      <c r="L15" s="44">
        <f t="shared" si="3"/>
        <v>8</v>
      </c>
      <c r="M15" s="44">
        <f>M11+30</f>
        <v>30</v>
      </c>
      <c r="N15" s="45">
        <f t="shared" si="5"/>
        <v>0.2</v>
      </c>
      <c r="O15" s="49">
        <v>0</v>
      </c>
      <c r="P15" s="44">
        <f t="shared" si="8"/>
        <v>150</v>
      </c>
      <c r="Q15" s="50">
        <f t="shared" si="8"/>
        <v>210</v>
      </c>
    </row>
    <row r="16" spans="1:17" x14ac:dyDescent="0.25">
      <c r="A16" s="41">
        <f t="shared" si="4"/>
        <v>864</v>
      </c>
      <c r="B16" s="42">
        <f t="shared" si="4"/>
        <v>6</v>
      </c>
      <c r="C16" s="41" t="s">
        <v>2516</v>
      </c>
      <c r="D16" s="43">
        <f t="shared" si="6"/>
        <v>25</v>
      </c>
      <c r="E16" s="61">
        <f t="shared" si="0"/>
        <v>3.4090000000000007</v>
      </c>
      <c r="F16" s="61">
        <f t="shared" si="1"/>
        <v>42</v>
      </c>
      <c r="G16" s="64">
        <f t="shared" si="2"/>
        <v>0.58988764044943809</v>
      </c>
      <c r="H16" s="44">
        <f t="shared" si="7"/>
        <v>29.432344969112751</v>
      </c>
      <c r="I16" s="42" t="str">
        <f t="shared" si="5"/>
        <v>Half</v>
      </c>
      <c r="J16" s="50">
        <f t="shared" si="5"/>
        <v>6</v>
      </c>
      <c r="K16" s="49">
        <f t="shared" si="5"/>
        <v>160</v>
      </c>
      <c r="L16" s="44">
        <f t="shared" si="3"/>
        <v>8</v>
      </c>
      <c r="M16" s="44">
        <f t="shared" ref="M16:M57" si="9">M12+30</f>
        <v>30</v>
      </c>
      <c r="N16" s="45">
        <f t="shared" si="5"/>
        <v>0.2</v>
      </c>
      <c r="O16" s="49">
        <v>30</v>
      </c>
      <c r="P16" s="44">
        <f t="shared" si="8"/>
        <v>150</v>
      </c>
      <c r="Q16" s="50">
        <f t="shared" si="8"/>
        <v>210</v>
      </c>
    </row>
    <row r="17" spans="1:17" x14ac:dyDescent="0.25">
      <c r="A17" s="41">
        <f t="shared" si="4"/>
        <v>865</v>
      </c>
      <c r="B17" s="42">
        <f t="shared" si="4"/>
        <v>7</v>
      </c>
      <c r="C17" s="41" t="s">
        <v>2517</v>
      </c>
      <c r="D17" s="43">
        <f t="shared" si="6"/>
        <v>25</v>
      </c>
      <c r="E17" s="61">
        <f t="shared" si="0"/>
        <v>3.4090000000000007</v>
      </c>
      <c r="F17" s="61">
        <f t="shared" si="1"/>
        <v>42</v>
      </c>
      <c r="G17" s="64">
        <f t="shared" si="2"/>
        <v>0.58988764044943809</v>
      </c>
      <c r="H17" s="44">
        <f t="shared" si="7"/>
        <v>29.432344969112751</v>
      </c>
      <c r="I17" s="42" t="str">
        <f t="shared" si="5"/>
        <v>Half</v>
      </c>
      <c r="J17" s="50">
        <f t="shared" si="5"/>
        <v>6</v>
      </c>
      <c r="K17" s="49">
        <f t="shared" si="5"/>
        <v>160</v>
      </c>
      <c r="L17" s="44">
        <f t="shared" si="3"/>
        <v>8</v>
      </c>
      <c r="M17" s="44">
        <f t="shared" si="9"/>
        <v>30</v>
      </c>
      <c r="N17" s="45">
        <f t="shared" si="5"/>
        <v>0.2</v>
      </c>
      <c r="O17" s="49">
        <v>60</v>
      </c>
      <c r="P17" s="44">
        <f t="shared" si="8"/>
        <v>150</v>
      </c>
      <c r="Q17" s="50">
        <f t="shared" si="8"/>
        <v>210</v>
      </c>
    </row>
    <row r="18" spans="1:17" x14ac:dyDescent="0.25">
      <c r="A18" s="41">
        <f t="shared" si="4"/>
        <v>866</v>
      </c>
      <c r="B18" s="42">
        <f t="shared" si="4"/>
        <v>8</v>
      </c>
      <c r="C18" s="41" t="s">
        <v>2518</v>
      </c>
      <c r="D18" s="43">
        <f t="shared" si="6"/>
        <v>25</v>
      </c>
      <c r="E18" s="61">
        <f t="shared" si="0"/>
        <v>3.4090000000000007</v>
      </c>
      <c r="F18" s="61">
        <f t="shared" si="1"/>
        <v>42</v>
      </c>
      <c r="G18" s="64">
        <f t="shared" si="2"/>
        <v>0.58988764044943809</v>
      </c>
      <c r="H18" s="44">
        <f t="shared" si="7"/>
        <v>29.432344969112751</v>
      </c>
      <c r="I18" s="42" t="str">
        <f t="shared" si="5"/>
        <v>Half</v>
      </c>
      <c r="J18" s="50">
        <f t="shared" si="5"/>
        <v>6</v>
      </c>
      <c r="K18" s="49">
        <f t="shared" si="5"/>
        <v>160</v>
      </c>
      <c r="L18" s="44">
        <f t="shared" si="3"/>
        <v>8</v>
      </c>
      <c r="M18" s="44">
        <f t="shared" si="9"/>
        <v>30</v>
      </c>
      <c r="N18" s="45">
        <f t="shared" si="5"/>
        <v>0.2</v>
      </c>
      <c r="O18" s="49">
        <v>90</v>
      </c>
      <c r="P18" s="44">
        <f t="shared" si="8"/>
        <v>150</v>
      </c>
      <c r="Q18" s="50">
        <f t="shared" si="8"/>
        <v>210</v>
      </c>
    </row>
    <row r="19" spans="1:17" x14ac:dyDescent="0.25">
      <c r="A19" s="41">
        <f t="shared" si="4"/>
        <v>867</v>
      </c>
      <c r="B19" s="42">
        <f t="shared" si="4"/>
        <v>9</v>
      </c>
      <c r="C19" s="41" t="s">
        <v>2519</v>
      </c>
      <c r="D19" s="43">
        <f t="shared" si="6"/>
        <v>25</v>
      </c>
      <c r="E19" s="61">
        <f t="shared" si="0"/>
        <v>3.4090000000000007</v>
      </c>
      <c r="F19" s="61">
        <f t="shared" si="1"/>
        <v>42</v>
      </c>
      <c r="G19" s="64">
        <f t="shared" si="2"/>
        <v>0.58988764044943809</v>
      </c>
      <c r="H19" s="44">
        <f t="shared" si="7"/>
        <v>29.432344969112751</v>
      </c>
      <c r="I19" s="42" t="str">
        <f t="shared" si="5"/>
        <v>Half</v>
      </c>
      <c r="J19" s="50">
        <f t="shared" si="5"/>
        <v>6</v>
      </c>
      <c r="K19" s="49">
        <f t="shared" si="5"/>
        <v>160</v>
      </c>
      <c r="L19" s="44">
        <f t="shared" si="3"/>
        <v>8</v>
      </c>
      <c r="M19" s="44">
        <f>M15+30</f>
        <v>60</v>
      </c>
      <c r="N19" s="45">
        <f t="shared" si="5"/>
        <v>0.2</v>
      </c>
      <c r="O19" s="49">
        <v>0</v>
      </c>
      <c r="P19" s="44">
        <f t="shared" si="8"/>
        <v>150</v>
      </c>
      <c r="Q19" s="50">
        <f t="shared" si="8"/>
        <v>210</v>
      </c>
    </row>
    <row r="20" spans="1:17" x14ac:dyDescent="0.25">
      <c r="A20" s="41">
        <f t="shared" si="4"/>
        <v>868</v>
      </c>
      <c r="B20" s="42">
        <f t="shared" si="4"/>
        <v>10</v>
      </c>
      <c r="C20" s="41" t="s">
        <v>2520</v>
      </c>
      <c r="D20" s="43">
        <f t="shared" si="6"/>
        <v>25</v>
      </c>
      <c r="E20" s="61">
        <f t="shared" si="0"/>
        <v>3.4090000000000007</v>
      </c>
      <c r="F20" s="61">
        <f t="shared" si="1"/>
        <v>42</v>
      </c>
      <c r="G20" s="64">
        <f t="shared" si="2"/>
        <v>0.58988764044943809</v>
      </c>
      <c r="H20" s="44">
        <f t="shared" si="7"/>
        <v>29.432344969112751</v>
      </c>
      <c r="I20" s="42" t="str">
        <f>I19</f>
        <v>Half</v>
      </c>
      <c r="J20" s="50">
        <f t="shared" si="5"/>
        <v>6</v>
      </c>
      <c r="K20" s="49">
        <f t="shared" si="5"/>
        <v>160</v>
      </c>
      <c r="L20" s="44">
        <f t="shared" si="3"/>
        <v>8</v>
      </c>
      <c r="M20" s="44">
        <f t="shared" si="9"/>
        <v>60</v>
      </c>
      <c r="N20" s="45">
        <f t="shared" si="5"/>
        <v>0.2</v>
      </c>
      <c r="O20" s="49">
        <v>30</v>
      </c>
      <c r="P20" s="44">
        <f t="shared" si="8"/>
        <v>150</v>
      </c>
      <c r="Q20" s="50">
        <f t="shared" si="8"/>
        <v>210</v>
      </c>
    </row>
    <row r="21" spans="1:17" x14ac:dyDescent="0.25">
      <c r="A21" s="41">
        <f t="shared" si="4"/>
        <v>869</v>
      </c>
      <c r="B21" s="42">
        <f t="shared" si="4"/>
        <v>11</v>
      </c>
      <c r="C21" s="41" t="s">
        <v>2521</v>
      </c>
      <c r="D21" s="43">
        <f t="shared" si="6"/>
        <v>25</v>
      </c>
      <c r="E21" s="61">
        <f t="shared" si="0"/>
        <v>3.4090000000000007</v>
      </c>
      <c r="F21" s="61">
        <f t="shared" si="1"/>
        <v>42</v>
      </c>
      <c r="G21" s="64">
        <f t="shared" si="2"/>
        <v>0.58988764044943809</v>
      </c>
      <c r="H21" s="44">
        <f t="shared" si="7"/>
        <v>29.432344969112751</v>
      </c>
      <c r="I21" s="42" t="str">
        <f>I20</f>
        <v>Half</v>
      </c>
      <c r="J21" s="50">
        <f t="shared" si="5"/>
        <v>6</v>
      </c>
      <c r="K21" s="49">
        <f t="shared" si="5"/>
        <v>160</v>
      </c>
      <c r="L21" s="44">
        <f t="shared" si="3"/>
        <v>8</v>
      </c>
      <c r="M21" s="44">
        <f t="shared" si="9"/>
        <v>60</v>
      </c>
      <c r="N21" s="45">
        <f t="shared" si="5"/>
        <v>0.2</v>
      </c>
      <c r="O21" s="49">
        <v>60</v>
      </c>
      <c r="P21" s="44">
        <f t="shared" si="8"/>
        <v>150</v>
      </c>
      <c r="Q21" s="50">
        <f t="shared" si="8"/>
        <v>210</v>
      </c>
    </row>
    <row r="22" spans="1:17" x14ac:dyDescent="0.25">
      <c r="A22" s="41">
        <f t="shared" si="4"/>
        <v>870</v>
      </c>
      <c r="B22" s="42">
        <f t="shared" si="4"/>
        <v>12</v>
      </c>
      <c r="C22" s="41" t="s">
        <v>2522</v>
      </c>
      <c r="D22" s="43">
        <f t="shared" si="6"/>
        <v>25</v>
      </c>
      <c r="E22" s="61">
        <f t="shared" si="0"/>
        <v>3.4090000000000007</v>
      </c>
      <c r="F22" s="61">
        <f t="shared" si="1"/>
        <v>42</v>
      </c>
      <c r="G22" s="64">
        <f t="shared" si="2"/>
        <v>0.58988764044943809</v>
      </c>
      <c r="H22" s="44">
        <f t="shared" si="7"/>
        <v>29.432344969112751</v>
      </c>
      <c r="I22" s="42" t="str">
        <f>I21</f>
        <v>Half</v>
      </c>
      <c r="J22" s="50">
        <f t="shared" si="5"/>
        <v>6</v>
      </c>
      <c r="K22" s="49">
        <f t="shared" si="5"/>
        <v>160</v>
      </c>
      <c r="L22" s="44">
        <f t="shared" si="3"/>
        <v>8</v>
      </c>
      <c r="M22" s="44">
        <f t="shared" si="9"/>
        <v>60</v>
      </c>
      <c r="N22" s="45">
        <f t="shared" si="5"/>
        <v>0.2</v>
      </c>
      <c r="O22" s="49">
        <v>90</v>
      </c>
      <c r="P22" s="44">
        <f t="shared" si="8"/>
        <v>150</v>
      </c>
      <c r="Q22" s="50">
        <f t="shared" si="8"/>
        <v>210</v>
      </c>
    </row>
    <row r="23" spans="1:17" x14ac:dyDescent="0.25">
      <c r="A23" s="41">
        <f t="shared" si="4"/>
        <v>871</v>
      </c>
      <c r="B23" s="42">
        <f t="shared" si="4"/>
        <v>13</v>
      </c>
      <c r="C23" s="41" t="s">
        <v>2523</v>
      </c>
      <c r="D23" s="43">
        <f t="shared" si="6"/>
        <v>25</v>
      </c>
      <c r="E23" s="61">
        <f t="shared" si="0"/>
        <v>3.4090000000000007</v>
      </c>
      <c r="F23" s="61">
        <f t="shared" si="1"/>
        <v>42</v>
      </c>
      <c r="G23" s="64">
        <f t="shared" si="2"/>
        <v>0.58988764044943809</v>
      </c>
      <c r="H23" s="44">
        <f t="shared" si="7"/>
        <v>29.432344969112751</v>
      </c>
      <c r="I23" s="42" t="str">
        <f t="shared" si="5"/>
        <v>Half</v>
      </c>
      <c r="J23" s="50">
        <f t="shared" si="5"/>
        <v>6</v>
      </c>
      <c r="K23" s="49">
        <f t="shared" si="5"/>
        <v>160</v>
      </c>
      <c r="L23" s="44">
        <f t="shared" si="3"/>
        <v>8</v>
      </c>
      <c r="M23" s="44">
        <f t="shared" si="9"/>
        <v>90</v>
      </c>
      <c r="N23" s="45">
        <f t="shared" si="5"/>
        <v>0.2</v>
      </c>
      <c r="O23" s="49">
        <v>0</v>
      </c>
      <c r="P23" s="44">
        <f t="shared" si="8"/>
        <v>150</v>
      </c>
      <c r="Q23" s="50">
        <f t="shared" si="8"/>
        <v>210</v>
      </c>
    </row>
    <row r="24" spans="1:17" x14ac:dyDescent="0.25">
      <c r="A24" s="41">
        <f t="shared" si="4"/>
        <v>872</v>
      </c>
      <c r="B24" s="42">
        <f t="shared" si="4"/>
        <v>14</v>
      </c>
      <c r="C24" s="41" t="s">
        <v>2524</v>
      </c>
      <c r="D24" s="43">
        <f t="shared" si="6"/>
        <v>25</v>
      </c>
      <c r="E24" s="61">
        <f t="shared" si="0"/>
        <v>3.4090000000000007</v>
      </c>
      <c r="F24" s="61">
        <f t="shared" si="1"/>
        <v>42</v>
      </c>
      <c r="G24" s="64">
        <f t="shared" si="2"/>
        <v>0.58988764044943809</v>
      </c>
      <c r="H24" s="44">
        <f t="shared" si="7"/>
        <v>29.432344969112751</v>
      </c>
      <c r="I24" s="42" t="str">
        <f t="shared" si="5"/>
        <v>Half</v>
      </c>
      <c r="J24" s="50">
        <f t="shared" si="5"/>
        <v>6</v>
      </c>
      <c r="K24" s="49">
        <f t="shared" si="5"/>
        <v>160</v>
      </c>
      <c r="L24" s="44">
        <f t="shared" si="3"/>
        <v>8</v>
      </c>
      <c r="M24" s="44">
        <f t="shared" si="9"/>
        <v>90</v>
      </c>
      <c r="N24" s="45">
        <f t="shared" si="5"/>
        <v>0.2</v>
      </c>
      <c r="O24" s="49">
        <v>30</v>
      </c>
      <c r="P24" s="44">
        <f t="shared" si="8"/>
        <v>150</v>
      </c>
      <c r="Q24" s="50">
        <f t="shared" si="8"/>
        <v>210</v>
      </c>
    </row>
    <row r="25" spans="1:17" x14ac:dyDescent="0.25">
      <c r="A25" s="41">
        <f t="shared" si="4"/>
        <v>873</v>
      </c>
      <c r="B25" s="42">
        <f t="shared" si="4"/>
        <v>15</v>
      </c>
      <c r="C25" s="41" t="s">
        <v>2525</v>
      </c>
      <c r="D25" s="43">
        <f t="shared" si="6"/>
        <v>25</v>
      </c>
      <c r="E25" s="61">
        <f t="shared" si="0"/>
        <v>3.4090000000000007</v>
      </c>
      <c r="F25" s="61">
        <f t="shared" si="1"/>
        <v>42</v>
      </c>
      <c r="G25" s="64">
        <f t="shared" si="2"/>
        <v>0.58988764044943809</v>
      </c>
      <c r="H25" s="44">
        <f t="shared" si="7"/>
        <v>29.432344969112751</v>
      </c>
      <c r="I25" s="42" t="str">
        <f t="shared" si="5"/>
        <v>Half</v>
      </c>
      <c r="J25" s="50">
        <f t="shared" si="5"/>
        <v>6</v>
      </c>
      <c r="K25" s="49">
        <f t="shared" si="5"/>
        <v>160</v>
      </c>
      <c r="L25" s="44">
        <f t="shared" si="3"/>
        <v>8</v>
      </c>
      <c r="M25" s="44">
        <f t="shared" si="9"/>
        <v>90</v>
      </c>
      <c r="N25" s="45">
        <f t="shared" si="5"/>
        <v>0.2</v>
      </c>
      <c r="O25" s="49">
        <v>60</v>
      </c>
      <c r="P25" s="44">
        <f t="shared" si="8"/>
        <v>150</v>
      </c>
      <c r="Q25" s="50">
        <f t="shared" si="8"/>
        <v>210</v>
      </c>
    </row>
    <row r="26" spans="1:17" x14ac:dyDescent="0.25">
      <c r="A26" s="41">
        <f t="shared" si="4"/>
        <v>874</v>
      </c>
      <c r="B26" s="42">
        <f t="shared" si="4"/>
        <v>16</v>
      </c>
      <c r="C26" s="41" t="s">
        <v>2526</v>
      </c>
      <c r="D26" s="43">
        <f t="shared" si="6"/>
        <v>25</v>
      </c>
      <c r="E26" s="61">
        <f t="shared" si="0"/>
        <v>3.4090000000000007</v>
      </c>
      <c r="F26" s="61">
        <f t="shared" si="1"/>
        <v>42</v>
      </c>
      <c r="G26" s="64">
        <f t="shared" si="2"/>
        <v>0.58988764044943809</v>
      </c>
      <c r="H26" s="44">
        <f t="shared" si="7"/>
        <v>29.432344969112751</v>
      </c>
      <c r="I26" s="42" t="str">
        <f t="shared" si="5"/>
        <v>Half</v>
      </c>
      <c r="J26" s="50">
        <f t="shared" si="5"/>
        <v>6</v>
      </c>
      <c r="K26" s="49">
        <f t="shared" si="5"/>
        <v>160</v>
      </c>
      <c r="L26" s="44">
        <f t="shared" si="3"/>
        <v>8</v>
      </c>
      <c r="M26" s="44">
        <f t="shared" si="9"/>
        <v>90</v>
      </c>
      <c r="N26" s="45">
        <f t="shared" si="5"/>
        <v>0.2</v>
      </c>
      <c r="O26" s="49">
        <v>90</v>
      </c>
      <c r="P26" s="44">
        <f t="shared" si="8"/>
        <v>150</v>
      </c>
      <c r="Q26" s="50">
        <f t="shared" si="8"/>
        <v>210</v>
      </c>
    </row>
    <row r="27" spans="1:17" x14ac:dyDescent="0.25">
      <c r="A27" s="41">
        <f t="shared" si="4"/>
        <v>875</v>
      </c>
      <c r="B27" s="42">
        <f t="shared" si="4"/>
        <v>17</v>
      </c>
      <c r="C27" s="41" t="s">
        <v>2527</v>
      </c>
      <c r="D27" s="43">
        <f t="shared" si="6"/>
        <v>25</v>
      </c>
      <c r="E27" s="61">
        <f t="shared" si="0"/>
        <v>3.4090000000000007</v>
      </c>
      <c r="F27" s="61">
        <f t="shared" si="1"/>
        <v>42</v>
      </c>
      <c r="G27" s="64">
        <f t="shared" si="2"/>
        <v>0.58988764044943809</v>
      </c>
      <c r="H27" s="44">
        <f t="shared" si="7"/>
        <v>29.432344969112751</v>
      </c>
      <c r="I27" s="42" t="s">
        <v>12</v>
      </c>
      <c r="J27" s="50">
        <f t="shared" si="5"/>
        <v>6</v>
      </c>
      <c r="K27" s="49">
        <f t="shared" si="5"/>
        <v>160</v>
      </c>
      <c r="L27" s="44">
        <f t="shared" si="3"/>
        <v>8</v>
      </c>
      <c r="M27" s="44">
        <f t="shared" si="9"/>
        <v>120</v>
      </c>
      <c r="N27" s="45">
        <f t="shared" si="5"/>
        <v>0.2</v>
      </c>
      <c r="O27" s="49">
        <v>0</v>
      </c>
      <c r="P27" s="44">
        <f t="shared" si="8"/>
        <v>150</v>
      </c>
      <c r="Q27" s="50">
        <f t="shared" si="8"/>
        <v>210</v>
      </c>
    </row>
    <row r="28" spans="1:17" x14ac:dyDescent="0.25">
      <c r="A28" s="41">
        <f t="shared" ref="A28:B43" si="10">A27+1</f>
        <v>876</v>
      </c>
      <c r="B28" s="42">
        <f t="shared" si="10"/>
        <v>18</v>
      </c>
      <c r="C28" s="41" t="s">
        <v>2528</v>
      </c>
      <c r="D28" s="43">
        <f t="shared" si="6"/>
        <v>25</v>
      </c>
      <c r="E28" s="61">
        <f t="shared" si="0"/>
        <v>3.4090000000000007</v>
      </c>
      <c r="F28" s="61">
        <f t="shared" si="1"/>
        <v>42</v>
      </c>
      <c r="G28" s="64">
        <f t="shared" si="2"/>
        <v>0.58988764044943809</v>
      </c>
      <c r="H28" s="44">
        <f t="shared" si="7"/>
        <v>29.432344969112751</v>
      </c>
      <c r="I28" s="42" t="str">
        <f>I27</f>
        <v>Half</v>
      </c>
      <c r="J28" s="50">
        <f t="shared" ref="J28:N43" si="11">J27</f>
        <v>6</v>
      </c>
      <c r="K28" s="49">
        <f t="shared" si="11"/>
        <v>160</v>
      </c>
      <c r="L28" s="44">
        <f t="shared" si="3"/>
        <v>8</v>
      </c>
      <c r="M28" s="44">
        <f t="shared" si="9"/>
        <v>120</v>
      </c>
      <c r="N28" s="45">
        <f t="shared" si="11"/>
        <v>0.2</v>
      </c>
      <c r="O28" s="49">
        <v>30</v>
      </c>
      <c r="P28" s="44">
        <f t="shared" si="8"/>
        <v>150</v>
      </c>
      <c r="Q28" s="50">
        <f t="shared" si="8"/>
        <v>210</v>
      </c>
    </row>
    <row r="29" spans="1:17" x14ac:dyDescent="0.25">
      <c r="A29" s="41">
        <f t="shared" si="10"/>
        <v>877</v>
      </c>
      <c r="B29" s="42">
        <f t="shared" si="10"/>
        <v>19</v>
      </c>
      <c r="C29" s="41" t="s">
        <v>2529</v>
      </c>
      <c r="D29" s="43">
        <f t="shared" si="6"/>
        <v>25</v>
      </c>
      <c r="E29" s="61">
        <f t="shared" si="0"/>
        <v>3.4090000000000007</v>
      </c>
      <c r="F29" s="61">
        <f t="shared" si="1"/>
        <v>42</v>
      </c>
      <c r="G29" s="64">
        <f t="shared" si="2"/>
        <v>0.58988764044943809</v>
      </c>
      <c r="H29" s="44">
        <f t="shared" si="7"/>
        <v>29.432344969112751</v>
      </c>
      <c r="I29" s="42" t="str">
        <f t="shared" ref="I29:N44" si="12">I28</f>
        <v>Half</v>
      </c>
      <c r="J29" s="50">
        <f t="shared" si="12"/>
        <v>6</v>
      </c>
      <c r="K29" s="49">
        <f t="shared" si="11"/>
        <v>160</v>
      </c>
      <c r="L29" s="44">
        <f t="shared" si="3"/>
        <v>8</v>
      </c>
      <c r="M29" s="44">
        <f t="shared" si="9"/>
        <v>120</v>
      </c>
      <c r="N29" s="45">
        <f t="shared" si="11"/>
        <v>0.2</v>
      </c>
      <c r="O29" s="49">
        <v>60</v>
      </c>
      <c r="P29" s="44">
        <f t="shared" ref="P29:Q44" si="13">P28</f>
        <v>150</v>
      </c>
      <c r="Q29" s="50">
        <f t="shared" si="13"/>
        <v>210</v>
      </c>
    </row>
    <row r="30" spans="1:17" x14ac:dyDescent="0.25">
      <c r="A30" s="41">
        <f t="shared" si="10"/>
        <v>878</v>
      </c>
      <c r="B30" s="42">
        <f t="shared" si="10"/>
        <v>20</v>
      </c>
      <c r="C30" s="41" t="s">
        <v>2530</v>
      </c>
      <c r="D30" s="43">
        <f t="shared" si="6"/>
        <v>25</v>
      </c>
      <c r="E30" s="61">
        <f t="shared" si="0"/>
        <v>3.4090000000000007</v>
      </c>
      <c r="F30" s="61">
        <f t="shared" si="1"/>
        <v>42</v>
      </c>
      <c r="G30" s="64">
        <f t="shared" si="2"/>
        <v>0.58988764044943809</v>
      </c>
      <c r="H30" s="44">
        <f t="shared" si="7"/>
        <v>29.432344969112751</v>
      </c>
      <c r="I30" s="42" t="str">
        <f t="shared" si="12"/>
        <v>Half</v>
      </c>
      <c r="J30" s="50">
        <f t="shared" si="12"/>
        <v>6</v>
      </c>
      <c r="K30" s="49">
        <f t="shared" si="11"/>
        <v>160</v>
      </c>
      <c r="L30" s="44">
        <f t="shared" si="3"/>
        <v>8</v>
      </c>
      <c r="M30" s="44">
        <f t="shared" si="9"/>
        <v>120</v>
      </c>
      <c r="N30" s="45">
        <f t="shared" si="11"/>
        <v>0.2</v>
      </c>
      <c r="O30" s="49">
        <v>90</v>
      </c>
      <c r="P30" s="44">
        <f t="shared" si="13"/>
        <v>150</v>
      </c>
      <c r="Q30" s="50">
        <f t="shared" si="13"/>
        <v>210</v>
      </c>
    </row>
    <row r="31" spans="1:17" x14ac:dyDescent="0.25">
      <c r="A31" s="41">
        <f t="shared" si="10"/>
        <v>879</v>
      </c>
      <c r="B31" s="42">
        <f t="shared" si="10"/>
        <v>21</v>
      </c>
      <c r="C31" s="41" t="s">
        <v>2531</v>
      </c>
      <c r="D31" s="43">
        <f t="shared" si="6"/>
        <v>25</v>
      </c>
      <c r="E31" s="61">
        <f t="shared" si="0"/>
        <v>3.4090000000000007</v>
      </c>
      <c r="F31" s="61">
        <f t="shared" si="1"/>
        <v>42</v>
      </c>
      <c r="G31" s="64">
        <f t="shared" si="2"/>
        <v>0.58988764044943809</v>
      </c>
      <c r="H31" s="44">
        <f t="shared" si="7"/>
        <v>29.432344969112751</v>
      </c>
      <c r="I31" s="42" t="str">
        <f t="shared" si="12"/>
        <v>Half</v>
      </c>
      <c r="J31" s="50">
        <f t="shared" si="12"/>
        <v>6</v>
      </c>
      <c r="K31" s="49">
        <f t="shared" si="11"/>
        <v>160</v>
      </c>
      <c r="L31" s="44">
        <f t="shared" si="3"/>
        <v>8</v>
      </c>
      <c r="M31" s="44">
        <f t="shared" si="9"/>
        <v>150</v>
      </c>
      <c r="N31" s="45">
        <f t="shared" si="11"/>
        <v>0.2</v>
      </c>
      <c r="O31" s="49">
        <v>0</v>
      </c>
      <c r="P31" s="44">
        <f t="shared" si="13"/>
        <v>150</v>
      </c>
      <c r="Q31" s="50">
        <f t="shared" si="13"/>
        <v>210</v>
      </c>
    </row>
    <row r="32" spans="1:17" x14ac:dyDescent="0.25">
      <c r="A32" s="41">
        <f t="shared" si="10"/>
        <v>880</v>
      </c>
      <c r="B32" s="42">
        <f t="shared" si="10"/>
        <v>22</v>
      </c>
      <c r="C32" s="41" t="s">
        <v>2532</v>
      </c>
      <c r="D32" s="43">
        <f t="shared" si="6"/>
        <v>25</v>
      </c>
      <c r="E32" s="61">
        <f t="shared" si="0"/>
        <v>3.4090000000000007</v>
      </c>
      <c r="F32" s="61">
        <f t="shared" si="1"/>
        <v>42</v>
      </c>
      <c r="G32" s="64">
        <f t="shared" si="2"/>
        <v>0.58988764044943809</v>
      </c>
      <c r="H32" s="44">
        <f t="shared" si="7"/>
        <v>29.432344969112751</v>
      </c>
      <c r="I32" s="42" t="str">
        <f t="shared" si="12"/>
        <v>Half</v>
      </c>
      <c r="J32" s="50">
        <f t="shared" si="12"/>
        <v>6</v>
      </c>
      <c r="K32" s="49">
        <f t="shared" si="11"/>
        <v>160</v>
      </c>
      <c r="L32" s="44">
        <f t="shared" si="3"/>
        <v>8</v>
      </c>
      <c r="M32" s="44">
        <f t="shared" si="9"/>
        <v>150</v>
      </c>
      <c r="N32" s="45">
        <f t="shared" si="11"/>
        <v>0.2</v>
      </c>
      <c r="O32" s="49">
        <v>30</v>
      </c>
      <c r="P32" s="44">
        <f t="shared" si="13"/>
        <v>150</v>
      </c>
      <c r="Q32" s="50">
        <f t="shared" si="13"/>
        <v>210</v>
      </c>
    </row>
    <row r="33" spans="1:17" x14ac:dyDescent="0.25">
      <c r="A33" s="41">
        <f t="shared" si="10"/>
        <v>881</v>
      </c>
      <c r="B33" s="42">
        <f t="shared" si="10"/>
        <v>23</v>
      </c>
      <c r="C33" s="41" t="s">
        <v>2533</v>
      </c>
      <c r="D33" s="43">
        <f t="shared" si="6"/>
        <v>25</v>
      </c>
      <c r="E33" s="61">
        <f t="shared" si="0"/>
        <v>3.4090000000000007</v>
      </c>
      <c r="F33" s="61">
        <f t="shared" si="1"/>
        <v>42</v>
      </c>
      <c r="G33" s="64">
        <f t="shared" si="2"/>
        <v>0.58988764044943809</v>
      </c>
      <c r="H33" s="44">
        <f t="shared" si="7"/>
        <v>29.432344969112751</v>
      </c>
      <c r="I33" s="42" t="str">
        <f t="shared" si="12"/>
        <v>Half</v>
      </c>
      <c r="J33" s="50">
        <f t="shared" si="12"/>
        <v>6</v>
      </c>
      <c r="K33" s="49">
        <f t="shared" si="11"/>
        <v>160</v>
      </c>
      <c r="L33" s="44">
        <f t="shared" si="3"/>
        <v>8</v>
      </c>
      <c r="M33" s="44">
        <f t="shared" si="9"/>
        <v>150</v>
      </c>
      <c r="N33" s="45">
        <f t="shared" si="11"/>
        <v>0.2</v>
      </c>
      <c r="O33" s="49">
        <v>60</v>
      </c>
      <c r="P33" s="44">
        <f t="shared" si="13"/>
        <v>150</v>
      </c>
      <c r="Q33" s="50">
        <f t="shared" si="13"/>
        <v>210</v>
      </c>
    </row>
    <row r="34" spans="1:17" x14ac:dyDescent="0.25">
      <c r="A34" s="41">
        <f t="shared" si="10"/>
        <v>882</v>
      </c>
      <c r="B34" s="42">
        <f t="shared" si="10"/>
        <v>24</v>
      </c>
      <c r="C34" s="41" t="s">
        <v>2534</v>
      </c>
      <c r="D34" s="43">
        <f t="shared" si="6"/>
        <v>25</v>
      </c>
      <c r="E34" s="61">
        <f t="shared" si="0"/>
        <v>3.4090000000000007</v>
      </c>
      <c r="F34" s="61">
        <f t="shared" si="1"/>
        <v>42</v>
      </c>
      <c r="G34" s="64">
        <f t="shared" si="2"/>
        <v>0.58988764044943809</v>
      </c>
      <c r="H34" s="44">
        <f t="shared" si="7"/>
        <v>29.432344969112751</v>
      </c>
      <c r="I34" s="42" t="str">
        <f t="shared" si="12"/>
        <v>Half</v>
      </c>
      <c r="J34" s="50">
        <f t="shared" si="12"/>
        <v>6</v>
      </c>
      <c r="K34" s="49">
        <f t="shared" si="11"/>
        <v>160</v>
      </c>
      <c r="L34" s="44">
        <f t="shared" si="3"/>
        <v>8</v>
      </c>
      <c r="M34" s="44">
        <f t="shared" si="9"/>
        <v>150</v>
      </c>
      <c r="N34" s="45">
        <f t="shared" si="11"/>
        <v>0.2</v>
      </c>
      <c r="O34" s="49">
        <v>90</v>
      </c>
      <c r="P34" s="44">
        <f t="shared" si="13"/>
        <v>150</v>
      </c>
      <c r="Q34" s="50">
        <f t="shared" si="13"/>
        <v>210</v>
      </c>
    </row>
    <row r="35" spans="1:17" x14ac:dyDescent="0.25">
      <c r="A35" s="41">
        <f t="shared" si="10"/>
        <v>883</v>
      </c>
      <c r="B35" s="42">
        <f t="shared" si="10"/>
        <v>25</v>
      </c>
      <c r="C35" s="41" t="s">
        <v>2535</v>
      </c>
      <c r="D35" s="43">
        <f t="shared" si="6"/>
        <v>25</v>
      </c>
      <c r="E35" s="61">
        <f t="shared" si="0"/>
        <v>3.4090000000000007</v>
      </c>
      <c r="F35" s="61">
        <f t="shared" si="1"/>
        <v>42</v>
      </c>
      <c r="G35" s="64">
        <f t="shared" si="2"/>
        <v>0.58988764044943809</v>
      </c>
      <c r="H35" s="44">
        <f t="shared" si="7"/>
        <v>29.432344969112751</v>
      </c>
      <c r="I35" s="42" t="str">
        <f t="shared" si="12"/>
        <v>Half</v>
      </c>
      <c r="J35" s="50">
        <f t="shared" si="12"/>
        <v>6</v>
      </c>
      <c r="K35" s="49">
        <f t="shared" si="11"/>
        <v>160</v>
      </c>
      <c r="L35" s="44">
        <f t="shared" si="3"/>
        <v>8</v>
      </c>
      <c r="M35" s="44">
        <f t="shared" si="9"/>
        <v>180</v>
      </c>
      <c r="N35" s="45">
        <f t="shared" si="11"/>
        <v>0.2</v>
      </c>
      <c r="O35" s="49">
        <v>0</v>
      </c>
      <c r="P35" s="44">
        <f t="shared" si="13"/>
        <v>150</v>
      </c>
      <c r="Q35" s="50">
        <f t="shared" si="13"/>
        <v>210</v>
      </c>
    </row>
    <row r="36" spans="1:17" x14ac:dyDescent="0.25">
      <c r="A36" s="41">
        <f t="shared" si="10"/>
        <v>884</v>
      </c>
      <c r="B36" s="42">
        <f t="shared" si="10"/>
        <v>26</v>
      </c>
      <c r="C36" s="41" t="s">
        <v>2536</v>
      </c>
      <c r="D36" s="43">
        <f t="shared" si="6"/>
        <v>25</v>
      </c>
      <c r="E36" s="61">
        <f t="shared" si="0"/>
        <v>3.4090000000000007</v>
      </c>
      <c r="F36" s="61">
        <f t="shared" si="1"/>
        <v>42</v>
      </c>
      <c r="G36" s="64">
        <f t="shared" si="2"/>
        <v>0.58988764044943809</v>
      </c>
      <c r="H36" s="44">
        <f t="shared" si="7"/>
        <v>29.432344969112751</v>
      </c>
      <c r="I36" s="42" t="str">
        <f t="shared" si="12"/>
        <v>Half</v>
      </c>
      <c r="J36" s="50">
        <f t="shared" si="12"/>
        <v>6</v>
      </c>
      <c r="K36" s="49">
        <f t="shared" si="11"/>
        <v>160</v>
      </c>
      <c r="L36" s="44">
        <f t="shared" si="3"/>
        <v>8</v>
      </c>
      <c r="M36" s="44">
        <f t="shared" si="9"/>
        <v>180</v>
      </c>
      <c r="N36" s="45">
        <f t="shared" si="11"/>
        <v>0.2</v>
      </c>
      <c r="O36" s="49">
        <v>30</v>
      </c>
      <c r="P36" s="44">
        <f t="shared" si="13"/>
        <v>150</v>
      </c>
      <c r="Q36" s="50">
        <f t="shared" si="13"/>
        <v>210</v>
      </c>
    </row>
    <row r="37" spans="1:17" x14ac:dyDescent="0.25">
      <c r="A37" s="41">
        <f t="shared" si="10"/>
        <v>885</v>
      </c>
      <c r="B37" s="42">
        <f t="shared" si="10"/>
        <v>27</v>
      </c>
      <c r="C37" s="41" t="s">
        <v>2537</v>
      </c>
      <c r="D37" s="43">
        <f t="shared" si="6"/>
        <v>25</v>
      </c>
      <c r="E37" s="61">
        <f t="shared" si="0"/>
        <v>3.4090000000000007</v>
      </c>
      <c r="F37" s="61">
        <f t="shared" si="1"/>
        <v>42</v>
      </c>
      <c r="G37" s="64">
        <f t="shared" si="2"/>
        <v>0.58988764044943809</v>
      </c>
      <c r="H37" s="44">
        <f t="shared" si="7"/>
        <v>29.432344969112751</v>
      </c>
      <c r="I37" s="42" t="str">
        <f t="shared" si="12"/>
        <v>Half</v>
      </c>
      <c r="J37" s="50">
        <f t="shared" si="12"/>
        <v>6</v>
      </c>
      <c r="K37" s="49">
        <f t="shared" si="11"/>
        <v>160</v>
      </c>
      <c r="L37" s="44">
        <f t="shared" si="3"/>
        <v>8</v>
      </c>
      <c r="M37" s="44">
        <f t="shared" si="9"/>
        <v>180</v>
      </c>
      <c r="N37" s="45">
        <f t="shared" si="11"/>
        <v>0.2</v>
      </c>
      <c r="O37" s="49">
        <v>60</v>
      </c>
      <c r="P37" s="44">
        <f t="shared" si="13"/>
        <v>150</v>
      </c>
      <c r="Q37" s="50">
        <f t="shared" si="13"/>
        <v>210</v>
      </c>
    </row>
    <row r="38" spans="1:17" x14ac:dyDescent="0.25">
      <c r="A38" s="41">
        <f t="shared" si="10"/>
        <v>886</v>
      </c>
      <c r="B38" s="42">
        <f t="shared" si="10"/>
        <v>28</v>
      </c>
      <c r="C38" s="41" t="s">
        <v>2538</v>
      </c>
      <c r="D38" s="43">
        <f t="shared" si="6"/>
        <v>25</v>
      </c>
      <c r="E38" s="61">
        <f t="shared" si="0"/>
        <v>3.4090000000000007</v>
      </c>
      <c r="F38" s="61">
        <f t="shared" si="1"/>
        <v>42</v>
      </c>
      <c r="G38" s="64">
        <f t="shared" si="2"/>
        <v>0.58988764044943809</v>
      </c>
      <c r="H38" s="44">
        <f t="shared" si="7"/>
        <v>29.432344969112751</v>
      </c>
      <c r="I38" s="42" t="str">
        <f t="shared" si="12"/>
        <v>Half</v>
      </c>
      <c r="J38" s="50">
        <f t="shared" si="12"/>
        <v>6</v>
      </c>
      <c r="K38" s="49">
        <f t="shared" si="11"/>
        <v>160</v>
      </c>
      <c r="L38" s="44">
        <f t="shared" si="3"/>
        <v>8</v>
      </c>
      <c r="M38" s="44">
        <f t="shared" si="9"/>
        <v>180</v>
      </c>
      <c r="N38" s="45">
        <f t="shared" si="11"/>
        <v>0.2</v>
      </c>
      <c r="O38" s="49">
        <v>90</v>
      </c>
      <c r="P38" s="44">
        <f t="shared" si="13"/>
        <v>150</v>
      </c>
      <c r="Q38" s="50">
        <f t="shared" si="13"/>
        <v>210</v>
      </c>
    </row>
    <row r="39" spans="1:17" x14ac:dyDescent="0.25">
      <c r="A39" s="41">
        <f t="shared" si="10"/>
        <v>887</v>
      </c>
      <c r="B39" s="42">
        <f t="shared" si="10"/>
        <v>29</v>
      </c>
      <c r="C39" s="41" t="s">
        <v>2539</v>
      </c>
      <c r="D39" s="43">
        <f t="shared" si="6"/>
        <v>25</v>
      </c>
      <c r="E39" s="61">
        <f t="shared" si="0"/>
        <v>3.4090000000000007</v>
      </c>
      <c r="F39" s="61">
        <f t="shared" si="1"/>
        <v>42</v>
      </c>
      <c r="G39" s="64">
        <f t="shared" si="2"/>
        <v>0.58988764044943809</v>
      </c>
      <c r="H39" s="44">
        <f t="shared" si="7"/>
        <v>29.432344969112751</v>
      </c>
      <c r="I39" s="42" t="str">
        <f t="shared" si="12"/>
        <v>Half</v>
      </c>
      <c r="J39" s="50">
        <f t="shared" si="12"/>
        <v>6</v>
      </c>
      <c r="K39" s="49">
        <f t="shared" si="11"/>
        <v>160</v>
      </c>
      <c r="L39" s="44">
        <f t="shared" si="3"/>
        <v>8</v>
      </c>
      <c r="M39" s="44">
        <f t="shared" si="9"/>
        <v>210</v>
      </c>
      <c r="N39" s="45">
        <f t="shared" si="11"/>
        <v>0.2</v>
      </c>
      <c r="O39" s="49">
        <v>0</v>
      </c>
      <c r="P39" s="44">
        <f t="shared" si="13"/>
        <v>150</v>
      </c>
      <c r="Q39" s="50">
        <f t="shared" si="13"/>
        <v>210</v>
      </c>
    </row>
    <row r="40" spans="1:17" x14ac:dyDescent="0.25">
      <c r="A40" s="41">
        <f t="shared" si="10"/>
        <v>888</v>
      </c>
      <c r="B40" s="42">
        <f t="shared" si="10"/>
        <v>30</v>
      </c>
      <c r="C40" s="41" t="s">
        <v>2540</v>
      </c>
      <c r="D40" s="43">
        <f t="shared" si="6"/>
        <v>25</v>
      </c>
      <c r="E40" s="61">
        <f t="shared" si="0"/>
        <v>3.4090000000000007</v>
      </c>
      <c r="F40" s="61">
        <f t="shared" si="1"/>
        <v>42</v>
      </c>
      <c r="G40" s="64">
        <f t="shared" si="2"/>
        <v>0.58988764044943809</v>
      </c>
      <c r="H40" s="44">
        <f t="shared" si="7"/>
        <v>29.432344969112751</v>
      </c>
      <c r="I40" s="42" t="str">
        <f t="shared" si="12"/>
        <v>Half</v>
      </c>
      <c r="J40" s="50">
        <f t="shared" si="12"/>
        <v>6</v>
      </c>
      <c r="K40" s="49">
        <f t="shared" si="11"/>
        <v>160</v>
      </c>
      <c r="L40" s="44">
        <f t="shared" si="3"/>
        <v>8</v>
      </c>
      <c r="M40" s="44">
        <f t="shared" si="9"/>
        <v>210</v>
      </c>
      <c r="N40" s="45">
        <f t="shared" si="11"/>
        <v>0.2</v>
      </c>
      <c r="O40" s="49">
        <v>30</v>
      </c>
      <c r="P40" s="44">
        <f t="shared" si="13"/>
        <v>150</v>
      </c>
      <c r="Q40" s="50">
        <f t="shared" si="13"/>
        <v>210</v>
      </c>
    </row>
    <row r="41" spans="1:17" x14ac:dyDescent="0.25">
      <c r="A41" s="41">
        <f t="shared" si="10"/>
        <v>889</v>
      </c>
      <c r="B41" s="42">
        <f t="shared" si="10"/>
        <v>31</v>
      </c>
      <c r="C41" s="41" t="s">
        <v>2541</v>
      </c>
      <c r="D41" s="43">
        <f t="shared" si="6"/>
        <v>25</v>
      </c>
      <c r="E41" s="61">
        <f t="shared" si="0"/>
        <v>3.4090000000000007</v>
      </c>
      <c r="F41" s="61">
        <f t="shared" si="1"/>
        <v>42</v>
      </c>
      <c r="G41" s="64">
        <f t="shared" si="2"/>
        <v>0.58988764044943809</v>
      </c>
      <c r="H41" s="44">
        <f t="shared" si="7"/>
        <v>29.432344969112751</v>
      </c>
      <c r="I41" s="42" t="str">
        <f t="shared" si="12"/>
        <v>Half</v>
      </c>
      <c r="J41" s="50">
        <f t="shared" si="12"/>
        <v>6</v>
      </c>
      <c r="K41" s="49">
        <f t="shared" si="11"/>
        <v>160</v>
      </c>
      <c r="L41" s="44">
        <f t="shared" si="3"/>
        <v>8</v>
      </c>
      <c r="M41" s="44">
        <f t="shared" si="9"/>
        <v>210</v>
      </c>
      <c r="N41" s="45">
        <f t="shared" si="11"/>
        <v>0.2</v>
      </c>
      <c r="O41" s="49">
        <v>60</v>
      </c>
      <c r="P41" s="44">
        <f t="shared" si="13"/>
        <v>150</v>
      </c>
      <c r="Q41" s="50">
        <f t="shared" si="13"/>
        <v>210</v>
      </c>
    </row>
    <row r="42" spans="1:17" x14ac:dyDescent="0.25">
      <c r="A42" s="41">
        <f t="shared" si="10"/>
        <v>890</v>
      </c>
      <c r="B42" s="42">
        <f t="shared" si="10"/>
        <v>32</v>
      </c>
      <c r="C42" s="41" t="s">
        <v>2542</v>
      </c>
      <c r="D42" s="43">
        <f t="shared" si="6"/>
        <v>25</v>
      </c>
      <c r="E42" s="61">
        <f t="shared" si="0"/>
        <v>3.4090000000000007</v>
      </c>
      <c r="F42" s="61">
        <f t="shared" si="1"/>
        <v>42</v>
      </c>
      <c r="G42" s="64">
        <f t="shared" si="2"/>
        <v>0.58988764044943809</v>
      </c>
      <c r="H42" s="44">
        <f t="shared" si="7"/>
        <v>29.432344969112751</v>
      </c>
      <c r="I42" s="42" t="str">
        <f t="shared" si="12"/>
        <v>Half</v>
      </c>
      <c r="J42" s="50">
        <f t="shared" si="12"/>
        <v>6</v>
      </c>
      <c r="K42" s="49">
        <f t="shared" si="11"/>
        <v>160</v>
      </c>
      <c r="L42" s="44">
        <f t="shared" si="3"/>
        <v>8</v>
      </c>
      <c r="M42" s="44">
        <f t="shared" si="9"/>
        <v>210</v>
      </c>
      <c r="N42" s="45">
        <f t="shared" si="11"/>
        <v>0.2</v>
      </c>
      <c r="O42" s="49">
        <v>90</v>
      </c>
      <c r="P42" s="44">
        <f t="shared" si="13"/>
        <v>150</v>
      </c>
      <c r="Q42" s="50">
        <f t="shared" si="13"/>
        <v>210</v>
      </c>
    </row>
    <row r="43" spans="1:17" x14ac:dyDescent="0.25">
      <c r="A43" s="41">
        <f t="shared" si="10"/>
        <v>891</v>
      </c>
      <c r="B43" s="42">
        <f t="shared" si="10"/>
        <v>33</v>
      </c>
      <c r="C43" s="41" t="s">
        <v>2543</v>
      </c>
      <c r="D43" s="43">
        <f t="shared" si="6"/>
        <v>25</v>
      </c>
      <c r="E43" s="61">
        <f t="shared" si="0"/>
        <v>3.4090000000000007</v>
      </c>
      <c r="F43" s="61">
        <f t="shared" si="1"/>
        <v>42</v>
      </c>
      <c r="G43" s="64">
        <f t="shared" si="2"/>
        <v>0.58988764044943809</v>
      </c>
      <c r="H43" s="44">
        <f t="shared" si="7"/>
        <v>29.432344969112751</v>
      </c>
      <c r="I43" s="42" t="s">
        <v>12</v>
      </c>
      <c r="J43" s="50">
        <f t="shared" si="12"/>
        <v>6</v>
      </c>
      <c r="K43" s="49">
        <f t="shared" si="11"/>
        <v>160</v>
      </c>
      <c r="L43" s="44">
        <f t="shared" si="3"/>
        <v>8</v>
      </c>
      <c r="M43" s="44">
        <f t="shared" si="9"/>
        <v>240</v>
      </c>
      <c r="N43" s="45">
        <f t="shared" si="11"/>
        <v>0.2</v>
      </c>
      <c r="O43" s="49">
        <v>0</v>
      </c>
      <c r="P43" s="44">
        <f t="shared" si="13"/>
        <v>150</v>
      </c>
      <c r="Q43" s="50">
        <f t="shared" si="13"/>
        <v>210</v>
      </c>
    </row>
    <row r="44" spans="1:17" x14ac:dyDescent="0.25">
      <c r="A44" s="41">
        <f t="shared" ref="A44:B59" si="14">A43+1</f>
        <v>892</v>
      </c>
      <c r="B44" s="42">
        <f t="shared" si="14"/>
        <v>34</v>
      </c>
      <c r="C44" s="41" t="s">
        <v>2544</v>
      </c>
      <c r="D44" s="43">
        <f t="shared" si="6"/>
        <v>25</v>
      </c>
      <c r="E44" s="61">
        <f t="shared" si="0"/>
        <v>3.4090000000000007</v>
      </c>
      <c r="F44" s="61">
        <f t="shared" si="1"/>
        <v>42</v>
      </c>
      <c r="G44" s="64">
        <f t="shared" si="2"/>
        <v>0.58988764044943809</v>
      </c>
      <c r="H44" s="44">
        <f t="shared" si="7"/>
        <v>29.432344969112751</v>
      </c>
      <c r="I44" s="42" t="str">
        <f>I43</f>
        <v>Half</v>
      </c>
      <c r="J44" s="50">
        <f t="shared" si="12"/>
        <v>6</v>
      </c>
      <c r="K44" s="49">
        <f t="shared" si="12"/>
        <v>160</v>
      </c>
      <c r="L44" s="44">
        <f t="shared" si="3"/>
        <v>8</v>
      </c>
      <c r="M44" s="44">
        <f t="shared" si="9"/>
        <v>240</v>
      </c>
      <c r="N44" s="45">
        <f t="shared" si="12"/>
        <v>0.2</v>
      </c>
      <c r="O44" s="49">
        <v>30</v>
      </c>
      <c r="P44" s="44">
        <f t="shared" si="13"/>
        <v>150</v>
      </c>
      <c r="Q44" s="50">
        <f t="shared" si="13"/>
        <v>210</v>
      </c>
    </row>
    <row r="45" spans="1:17" x14ac:dyDescent="0.25">
      <c r="A45" s="41">
        <f t="shared" si="14"/>
        <v>893</v>
      </c>
      <c r="B45" s="42">
        <f t="shared" si="14"/>
        <v>35</v>
      </c>
      <c r="C45" s="41" t="s">
        <v>2545</v>
      </c>
      <c r="D45" s="43">
        <f t="shared" si="6"/>
        <v>25</v>
      </c>
      <c r="E45" s="61">
        <f t="shared" si="0"/>
        <v>3.4090000000000007</v>
      </c>
      <c r="F45" s="61">
        <f t="shared" si="1"/>
        <v>42</v>
      </c>
      <c r="G45" s="64">
        <f t="shared" si="2"/>
        <v>0.58988764044943809</v>
      </c>
      <c r="H45" s="44">
        <f t="shared" si="7"/>
        <v>29.432344969112751</v>
      </c>
      <c r="I45" s="42" t="str">
        <f t="shared" ref="I45:N60" si="15">I44</f>
        <v>Half</v>
      </c>
      <c r="J45" s="50">
        <f t="shared" si="15"/>
        <v>6</v>
      </c>
      <c r="K45" s="49">
        <f t="shared" si="15"/>
        <v>160</v>
      </c>
      <c r="L45" s="44">
        <f t="shared" si="3"/>
        <v>8</v>
      </c>
      <c r="M45" s="44">
        <f t="shared" si="9"/>
        <v>240</v>
      </c>
      <c r="N45" s="45">
        <f t="shared" si="15"/>
        <v>0.2</v>
      </c>
      <c r="O45" s="49">
        <v>60</v>
      </c>
      <c r="P45" s="44">
        <f t="shared" ref="P45:Q60" si="16">P44</f>
        <v>150</v>
      </c>
      <c r="Q45" s="50">
        <f t="shared" si="16"/>
        <v>210</v>
      </c>
    </row>
    <row r="46" spans="1:17" x14ac:dyDescent="0.25">
      <c r="A46" s="41">
        <f t="shared" si="14"/>
        <v>894</v>
      </c>
      <c r="B46" s="42">
        <f t="shared" si="14"/>
        <v>36</v>
      </c>
      <c r="C46" s="41" t="s">
        <v>2546</v>
      </c>
      <c r="D46" s="43">
        <f t="shared" si="6"/>
        <v>25</v>
      </c>
      <c r="E46" s="61">
        <f t="shared" si="0"/>
        <v>3.4090000000000007</v>
      </c>
      <c r="F46" s="61">
        <f t="shared" si="1"/>
        <v>42</v>
      </c>
      <c r="G46" s="64">
        <f t="shared" si="2"/>
        <v>0.58988764044943809</v>
      </c>
      <c r="H46" s="44">
        <f t="shared" si="7"/>
        <v>29.432344969112751</v>
      </c>
      <c r="I46" s="42" t="str">
        <f t="shared" si="15"/>
        <v>Half</v>
      </c>
      <c r="J46" s="50">
        <f t="shared" si="15"/>
        <v>6</v>
      </c>
      <c r="K46" s="49">
        <f t="shared" si="15"/>
        <v>160</v>
      </c>
      <c r="L46" s="44">
        <f t="shared" si="3"/>
        <v>8</v>
      </c>
      <c r="M46" s="44">
        <f t="shared" si="9"/>
        <v>240</v>
      </c>
      <c r="N46" s="45">
        <f t="shared" si="15"/>
        <v>0.2</v>
      </c>
      <c r="O46" s="49">
        <v>90</v>
      </c>
      <c r="P46" s="44">
        <f t="shared" si="16"/>
        <v>150</v>
      </c>
      <c r="Q46" s="50">
        <f t="shared" si="16"/>
        <v>210</v>
      </c>
    </row>
    <row r="47" spans="1:17" x14ac:dyDescent="0.25">
      <c r="A47" s="41">
        <f t="shared" si="14"/>
        <v>895</v>
      </c>
      <c r="B47" s="42">
        <f t="shared" si="14"/>
        <v>37</v>
      </c>
      <c r="C47" s="41" t="s">
        <v>2547</v>
      </c>
      <c r="D47" s="43">
        <f t="shared" si="6"/>
        <v>25</v>
      </c>
      <c r="E47" s="61">
        <f t="shared" si="0"/>
        <v>3.4090000000000007</v>
      </c>
      <c r="F47" s="61">
        <f t="shared" si="1"/>
        <v>42</v>
      </c>
      <c r="G47" s="64">
        <f t="shared" si="2"/>
        <v>0.58988764044943809</v>
      </c>
      <c r="H47" s="44">
        <f t="shared" si="7"/>
        <v>29.432344969112751</v>
      </c>
      <c r="I47" s="42" t="str">
        <f t="shared" si="15"/>
        <v>Half</v>
      </c>
      <c r="J47" s="50">
        <f t="shared" si="15"/>
        <v>6</v>
      </c>
      <c r="K47" s="49">
        <f t="shared" si="15"/>
        <v>160</v>
      </c>
      <c r="L47" s="44">
        <f t="shared" si="3"/>
        <v>8</v>
      </c>
      <c r="M47" s="44">
        <f t="shared" si="9"/>
        <v>270</v>
      </c>
      <c r="N47" s="45">
        <f t="shared" si="15"/>
        <v>0.2</v>
      </c>
      <c r="O47" s="49">
        <v>0</v>
      </c>
      <c r="P47" s="44">
        <f t="shared" si="16"/>
        <v>150</v>
      </c>
      <c r="Q47" s="50">
        <f t="shared" si="16"/>
        <v>210</v>
      </c>
    </row>
    <row r="48" spans="1:17" x14ac:dyDescent="0.25">
      <c r="A48" s="41">
        <f>A47+1</f>
        <v>896</v>
      </c>
      <c r="B48" s="42">
        <f>B47+1</f>
        <v>38</v>
      </c>
      <c r="C48" s="41" t="s">
        <v>2548</v>
      </c>
      <c r="D48" s="43">
        <f t="shared" si="6"/>
        <v>25</v>
      </c>
      <c r="E48" s="61">
        <f t="shared" si="0"/>
        <v>3.4090000000000007</v>
      </c>
      <c r="F48" s="61">
        <f t="shared" si="1"/>
        <v>42</v>
      </c>
      <c r="G48" s="64">
        <f t="shared" si="2"/>
        <v>0.58988764044943809</v>
      </c>
      <c r="H48" s="44">
        <f t="shared" si="7"/>
        <v>29.432344969112751</v>
      </c>
      <c r="I48" s="42" t="str">
        <f t="shared" si="15"/>
        <v>Half</v>
      </c>
      <c r="J48" s="50">
        <f t="shared" si="15"/>
        <v>6</v>
      </c>
      <c r="K48" s="49">
        <f t="shared" si="15"/>
        <v>160</v>
      </c>
      <c r="L48" s="44">
        <f t="shared" si="3"/>
        <v>8</v>
      </c>
      <c r="M48" s="44">
        <f t="shared" si="9"/>
        <v>270</v>
      </c>
      <c r="N48" s="45">
        <f t="shared" si="15"/>
        <v>0.2</v>
      </c>
      <c r="O48" s="49">
        <v>30</v>
      </c>
      <c r="P48" s="44">
        <f t="shared" si="16"/>
        <v>150</v>
      </c>
      <c r="Q48" s="50">
        <f t="shared" si="16"/>
        <v>210</v>
      </c>
    </row>
    <row r="49" spans="1:17" x14ac:dyDescent="0.25">
      <c r="A49" s="41">
        <f t="shared" si="14"/>
        <v>897</v>
      </c>
      <c r="B49" s="42">
        <f t="shared" si="14"/>
        <v>39</v>
      </c>
      <c r="C49" s="41" t="s">
        <v>2549</v>
      </c>
      <c r="D49" s="43">
        <f t="shared" si="6"/>
        <v>25</v>
      </c>
      <c r="E49" s="61">
        <f t="shared" si="0"/>
        <v>3.4090000000000007</v>
      </c>
      <c r="F49" s="61">
        <f t="shared" si="1"/>
        <v>42</v>
      </c>
      <c r="G49" s="64">
        <f t="shared" si="2"/>
        <v>0.58988764044943809</v>
      </c>
      <c r="H49" s="44">
        <f t="shared" si="7"/>
        <v>29.432344969112751</v>
      </c>
      <c r="I49" s="42" t="str">
        <f t="shared" si="15"/>
        <v>Half</v>
      </c>
      <c r="J49" s="50">
        <f t="shared" si="15"/>
        <v>6</v>
      </c>
      <c r="K49" s="49">
        <f t="shared" si="15"/>
        <v>160</v>
      </c>
      <c r="L49" s="44">
        <f t="shared" si="3"/>
        <v>8</v>
      </c>
      <c r="M49" s="44">
        <f t="shared" si="9"/>
        <v>270</v>
      </c>
      <c r="N49" s="45">
        <f t="shared" si="15"/>
        <v>0.2</v>
      </c>
      <c r="O49" s="49">
        <v>60</v>
      </c>
      <c r="P49" s="44">
        <f t="shared" si="16"/>
        <v>150</v>
      </c>
      <c r="Q49" s="50">
        <f t="shared" si="16"/>
        <v>210</v>
      </c>
    </row>
    <row r="50" spans="1:17" x14ac:dyDescent="0.25">
      <c r="A50" s="41">
        <f t="shared" si="14"/>
        <v>898</v>
      </c>
      <c r="B50" s="42">
        <f t="shared" si="14"/>
        <v>40</v>
      </c>
      <c r="C50" s="41" t="s">
        <v>2550</v>
      </c>
      <c r="D50" s="43">
        <f t="shared" si="6"/>
        <v>25</v>
      </c>
      <c r="E50" s="61">
        <f t="shared" si="0"/>
        <v>3.4090000000000007</v>
      </c>
      <c r="F50" s="61">
        <f t="shared" si="1"/>
        <v>42</v>
      </c>
      <c r="G50" s="64">
        <f t="shared" si="2"/>
        <v>0.58988764044943809</v>
      </c>
      <c r="H50" s="44">
        <f t="shared" si="7"/>
        <v>29.432344969112751</v>
      </c>
      <c r="I50" s="42" t="str">
        <f t="shared" si="15"/>
        <v>Half</v>
      </c>
      <c r="J50" s="50">
        <f t="shared" si="15"/>
        <v>6</v>
      </c>
      <c r="K50" s="49">
        <f t="shared" si="15"/>
        <v>160</v>
      </c>
      <c r="L50" s="44">
        <f t="shared" si="3"/>
        <v>8</v>
      </c>
      <c r="M50" s="44">
        <f t="shared" si="9"/>
        <v>270</v>
      </c>
      <c r="N50" s="45">
        <f t="shared" si="15"/>
        <v>0.2</v>
      </c>
      <c r="O50" s="49">
        <v>90</v>
      </c>
      <c r="P50" s="44">
        <f t="shared" si="16"/>
        <v>150</v>
      </c>
      <c r="Q50" s="50">
        <f t="shared" si="16"/>
        <v>210</v>
      </c>
    </row>
    <row r="51" spans="1:17" x14ac:dyDescent="0.25">
      <c r="A51" s="41">
        <f t="shared" si="14"/>
        <v>899</v>
      </c>
      <c r="B51" s="42">
        <f t="shared" si="14"/>
        <v>41</v>
      </c>
      <c r="C51" s="41" t="s">
        <v>2551</v>
      </c>
      <c r="D51" s="43">
        <f t="shared" si="6"/>
        <v>25</v>
      </c>
      <c r="E51" s="61">
        <f t="shared" si="0"/>
        <v>3.4090000000000007</v>
      </c>
      <c r="F51" s="61">
        <f t="shared" si="1"/>
        <v>42</v>
      </c>
      <c r="G51" s="64">
        <f t="shared" si="2"/>
        <v>0.58988764044943809</v>
      </c>
      <c r="H51" s="44">
        <f t="shared" si="7"/>
        <v>29.432344969112751</v>
      </c>
      <c r="I51" s="42" t="str">
        <f t="shared" si="15"/>
        <v>Half</v>
      </c>
      <c r="J51" s="50">
        <f t="shared" si="15"/>
        <v>6</v>
      </c>
      <c r="K51" s="49">
        <f t="shared" si="15"/>
        <v>160</v>
      </c>
      <c r="L51" s="44">
        <f t="shared" si="3"/>
        <v>8</v>
      </c>
      <c r="M51" s="44">
        <f t="shared" si="9"/>
        <v>300</v>
      </c>
      <c r="N51" s="45">
        <f t="shared" si="15"/>
        <v>0.2</v>
      </c>
      <c r="O51" s="49">
        <v>0</v>
      </c>
      <c r="P51" s="44">
        <f t="shared" si="16"/>
        <v>150</v>
      </c>
      <c r="Q51" s="50">
        <f t="shared" si="16"/>
        <v>210</v>
      </c>
    </row>
    <row r="52" spans="1:17" x14ac:dyDescent="0.25">
      <c r="A52" s="41">
        <f t="shared" si="14"/>
        <v>900</v>
      </c>
      <c r="B52" s="42">
        <f t="shared" si="14"/>
        <v>42</v>
      </c>
      <c r="C52" s="41" t="s">
        <v>2552</v>
      </c>
      <c r="D52" s="43">
        <f t="shared" si="6"/>
        <v>25</v>
      </c>
      <c r="E52" s="61">
        <f t="shared" si="0"/>
        <v>3.4090000000000007</v>
      </c>
      <c r="F52" s="61">
        <f t="shared" si="1"/>
        <v>42</v>
      </c>
      <c r="G52" s="64">
        <f t="shared" si="2"/>
        <v>0.58988764044943809</v>
      </c>
      <c r="H52" s="44">
        <f t="shared" si="7"/>
        <v>29.432344969112751</v>
      </c>
      <c r="I52" s="42" t="str">
        <f t="shared" si="15"/>
        <v>Half</v>
      </c>
      <c r="J52" s="50">
        <f t="shared" si="15"/>
        <v>6</v>
      </c>
      <c r="K52" s="49">
        <f t="shared" si="15"/>
        <v>160</v>
      </c>
      <c r="L52" s="44">
        <f t="shared" si="3"/>
        <v>8</v>
      </c>
      <c r="M52" s="44">
        <f t="shared" si="9"/>
        <v>300</v>
      </c>
      <c r="N52" s="45">
        <f t="shared" si="15"/>
        <v>0.2</v>
      </c>
      <c r="O52" s="49">
        <v>30</v>
      </c>
      <c r="P52" s="44">
        <f t="shared" si="16"/>
        <v>150</v>
      </c>
      <c r="Q52" s="50">
        <f t="shared" si="16"/>
        <v>210</v>
      </c>
    </row>
    <row r="53" spans="1:17" x14ac:dyDescent="0.25">
      <c r="A53" s="41">
        <f t="shared" si="14"/>
        <v>901</v>
      </c>
      <c r="B53" s="42">
        <f t="shared" si="14"/>
        <v>43</v>
      </c>
      <c r="C53" s="41" t="s">
        <v>2553</v>
      </c>
      <c r="D53" s="43">
        <f t="shared" si="6"/>
        <v>25</v>
      </c>
      <c r="E53" s="61">
        <f t="shared" si="0"/>
        <v>3.4090000000000007</v>
      </c>
      <c r="F53" s="61">
        <f t="shared" si="1"/>
        <v>42</v>
      </c>
      <c r="G53" s="64">
        <f t="shared" si="2"/>
        <v>0.58988764044943809</v>
      </c>
      <c r="H53" s="44">
        <f t="shared" si="7"/>
        <v>29.432344969112751</v>
      </c>
      <c r="I53" s="42" t="str">
        <f t="shared" si="15"/>
        <v>Half</v>
      </c>
      <c r="J53" s="50">
        <f t="shared" si="15"/>
        <v>6</v>
      </c>
      <c r="K53" s="49">
        <f t="shared" si="15"/>
        <v>160</v>
      </c>
      <c r="L53" s="44">
        <f t="shared" si="3"/>
        <v>8</v>
      </c>
      <c r="M53" s="44">
        <f t="shared" si="9"/>
        <v>300</v>
      </c>
      <c r="N53" s="45">
        <f t="shared" si="15"/>
        <v>0.2</v>
      </c>
      <c r="O53" s="49">
        <v>60</v>
      </c>
      <c r="P53" s="44">
        <f t="shared" si="16"/>
        <v>150</v>
      </c>
      <c r="Q53" s="50">
        <f t="shared" si="16"/>
        <v>210</v>
      </c>
    </row>
    <row r="54" spans="1:17" x14ac:dyDescent="0.25">
      <c r="A54" s="41">
        <f t="shared" si="14"/>
        <v>902</v>
      </c>
      <c r="B54" s="42">
        <f t="shared" si="14"/>
        <v>44</v>
      </c>
      <c r="C54" s="41" t="s">
        <v>2554</v>
      </c>
      <c r="D54" s="43">
        <f t="shared" si="6"/>
        <v>25</v>
      </c>
      <c r="E54" s="61">
        <f t="shared" si="0"/>
        <v>3.4090000000000007</v>
      </c>
      <c r="F54" s="61">
        <f t="shared" si="1"/>
        <v>42</v>
      </c>
      <c r="G54" s="64">
        <f t="shared" si="2"/>
        <v>0.58988764044943809</v>
      </c>
      <c r="H54" s="44">
        <f t="shared" si="7"/>
        <v>29.432344969112751</v>
      </c>
      <c r="I54" s="42" t="str">
        <f t="shared" si="15"/>
        <v>Half</v>
      </c>
      <c r="J54" s="50">
        <f t="shared" si="15"/>
        <v>6</v>
      </c>
      <c r="K54" s="49">
        <f t="shared" si="15"/>
        <v>160</v>
      </c>
      <c r="L54" s="44">
        <f t="shared" si="3"/>
        <v>8</v>
      </c>
      <c r="M54" s="44">
        <f>M50+30</f>
        <v>300</v>
      </c>
      <c r="N54" s="45">
        <f t="shared" si="15"/>
        <v>0.2</v>
      </c>
      <c r="O54" s="49">
        <v>90</v>
      </c>
      <c r="P54" s="44">
        <f t="shared" si="16"/>
        <v>150</v>
      </c>
      <c r="Q54" s="50">
        <f t="shared" si="16"/>
        <v>210</v>
      </c>
    </row>
    <row r="55" spans="1:17" x14ac:dyDescent="0.25">
      <c r="A55" s="41">
        <f t="shared" si="14"/>
        <v>903</v>
      </c>
      <c r="B55" s="42">
        <f t="shared" si="14"/>
        <v>45</v>
      </c>
      <c r="C55" s="41" t="s">
        <v>2555</v>
      </c>
      <c r="D55" s="43">
        <f t="shared" si="6"/>
        <v>25</v>
      </c>
      <c r="E55" s="61">
        <f t="shared" si="0"/>
        <v>3.4090000000000007</v>
      </c>
      <c r="F55" s="61">
        <f t="shared" si="1"/>
        <v>42</v>
      </c>
      <c r="G55" s="64">
        <f t="shared" si="2"/>
        <v>0.58988764044943809</v>
      </c>
      <c r="H55" s="44">
        <f t="shared" si="7"/>
        <v>29.432344969112751</v>
      </c>
      <c r="I55" s="42" t="str">
        <f t="shared" si="15"/>
        <v>Half</v>
      </c>
      <c r="J55" s="50">
        <f t="shared" si="15"/>
        <v>6</v>
      </c>
      <c r="K55" s="49">
        <f t="shared" si="15"/>
        <v>160</v>
      </c>
      <c r="L55" s="44">
        <f t="shared" si="3"/>
        <v>8</v>
      </c>
      <c r="M55" s="44">
        <f t="shared" si="9"/>
        <v>330</v>
      </c>
      <c r="N55" s="45">
        <f t="shared" si="15"/>
        <v>0.2</v>
      </c>
      <c r="O55" s="49">
        <v>0</v>
      </c>
      <c r="P55" s="44">
        <f t="shared" si="16"/>
        <v>150</v>
      </c>
      <c r="Q55" s="50">
        <f t="shared" si="16"/>
        <v>210</v>
      </c>
    </row>
    <row r="56" spans="1:17" x14ac:dyDescent="0.25">
      <c r="A56" s="41">
        <f t="shared" si="14"/>
        <v>904</v>
      </c>
      <c r="B56" s="42">
        <f t="shared" si="14"/>
        <v>46</v>
      </c>
      <c r="C56" s="41" t="s">
        <v>2556</v>
      </c>
      <c r="D56" s="43">
        <f t="shared" si="6"/>
        <v>25</v>
      </c>
      <c r="E56" s="61">
        <f t="shared" si="0"/>
        <v>3.4090000000000007</v>
      </c>
      <c r="F56" s="61">
        <f t="shared" si="1"/>
        <v>42</v>
      </c>
      <c r="G56" s="64">
        <f t="shared" si="2"/>
        <v>0.58988764044943809</v>
      </c>
      <c r="H56" s="44">
        <f t="shared" si="7"/>
        <v>29.432344969112751</v>
      </c>
      <c r="I56" s="42" t="str">
        <f>I55</f>
        <v>Half</v>
      </c>
      <c r="J56" s="50">
        <f t="shared" si="15"/>
        <v>6</v>
      </c>
      <c r="K56" s="49">
        <f t="shared" si="15"/>
        <v>160</v>
      </c>
      <c r="L56" s="44">
        <f t="shared" si="3"/>
        <v>8</v>
      </c>
      <c r="M56" s="44">
        <f t="shared" si="9"/>
        <v>330</v>
      </c>
      <c r="N56" s="45">
        <f t="shared" si="15"/>
        <v>0.2</v>
      </c>
      <c r="O56" s="49">
        <v>30</v>
      </c>
      <c r="P56" s="44">
        <f t="shared" si="16"/>
        <v>150</v>
      </c>
      <c r="Q56" s="50">
        <f t="shared" si="16"/>
        <v>210</v>
      </c>
    </row>
    <row r="57" spans="1:17" x14ac:dyDescent="0.25">
      <c r="A57" s="41">
        <f t="shared" si="14"/>
        <v>905</v>
      </c>
      <c r="B57" s="42">
        <f t="shared" si="14"/>
        <v>47</v>
      </c>
      <c r="C57" s="41" t="s">
        <v>2557</v>
      </c>
      <c r="D57" s="43">
        <f t="shared" si="6"/>
        <v>25</v>
      </c>
      <c r="E57" s="61">
        <f t="shared" si="0"/>
        <v>3.4090000000000007</v>
      </c>
      <c r="F57" s="61">
        <f t="shared" si="1"/>
        <v>42</v>
      </c>
      <c r="G57" s="64">
        <f t="shared" si="2"/>
        <v>0.58988764044943809</v>
      </c>
      <c r="H57" s="44">
        <f t="shared" si="7"/>
        <v>29.432344969112751</v>
      </c>
      <c r="I57" s="42" t="str">
        <f>I56</f>
        <v>Half</v>
      </c>
      <c r="J57" s="50">
        <f t="shared" si="15"/>
        <v>6</v>
      </c>
      <c r="K57" s="49">
        <f t="shared" si="15"/>
        <v>160</v>
      </c>
      <c r="L57" s="44">
        <f t="shared" si="3"/>
        <v>8</v>
      </c>
      <c r="M57" s="44">
        <f t="shared" si="9"/>
        <v>330</v>
      </c>
      <c r="N57" s="45">
        <f t="shared" si="15"/>
        <v>0.2</v>
      </c>
      <c r="O57" s="49">
        <v>60</v>
      </c>
      <c r="P57" s="44">
        <f t="shared" si="16"/>
        <v>150</v>
      </c>
      <c r="Q57" s="50">
        <f t="shared" si="16"/>
        <v>210</v>
      </c>
    </row>
    <row r="58" spans="1:17" x14ac:dyDescent="0.25">
      <c r="A58" s="41">
        <f t="shared" si="14"/>
        <v>906</v>
      </c>
      <c r="B58" s="42">
        <f t="shared" si="14"/>
        <v>48</v>
      </c>
      <c r="C58" s="127" t="s">
        <v>2558</v>
      </c>
      <c r="D58" s="43">
        <f t="shared" si="6"/>
        <v>25</v>
      </c>
      <c r="E58" s="61">
        <f t="shared" si="0"/>
        <v>3.4090000000000007</v>
      </c>
      <c r="F58" s="61">
        <f t="shared" si="1"/>
        <v>42</v>
      </c>
      <c r="G58" s="64">
        <f t="shared" si="2"/>
        <v>0.58988764044943809</v>
      </c>
      <c r="H58" s="44">
        <f t="shared" si="7"/>
        <v>29.432344969112751</v>
      </c>
      <c r="I58" s="42" t="str">
        <f>I57</f>
        <v>Half</v>
      </c>
      <c r="J58" s="50">
        <f t="shared" si="15"/>
        <v>6</v>
      </c>
      <c r="K58" s="49">
        <f t="shared" si="15"/>
        <v>160</v>
      </c>
      <c r="L58" s="44">
        <f t="shared" si="3"/>
        <v>8</v>
      </c>
      <c r="M58" s="128">
        <f>M54+30</f>
        <v>330</v>
      </c>
      <c r="N58" s="45">
        <f t="shared" si="15"/>
        <v>0.2</v>
      </c>
      <c r="O58" s="49">
        <v>90</v>
      </c>
      <c r="P58" s="44">
        <f t="shared" si="16"/>
        <v>150</v>
      </c>
      <c r="Q58" s="50">
        <f t="shared" si="16"/>
        <v>210</v>
      </c>
    </row>
    <row r="59" spans="1:17" x14ac:dyDescent="0.25">
      <c r="A59" s="41">
        <f t="shared" si="14"/>
        <v>907</v>
      </c>
      <c r="B59" s="42">
        <f t="shared" si="14"/>
        <v>49</v>
      </c>
      <c r="C59" s="41" t="s">
        <v>2559</v>
      </c>
      <c r="D59" s="43">
        <f t="shared" si="6"/>
        <v>25</v>
      </c>
      <c r="E59" s="61">
        <f t="shared" si="0"/>
        <v>3.4090000000000007</v>
      </c>
      <c r="F59" s="61">
        <f t="shared" si="1"/>
        <v>42</v>
      </c>
      <c r="G59" s="64">
        <f t="shared" si="2"/>
        <v>0.58988764044943809</v>
      </c>
      <c r="H59" s="44">
        <f>-6.4*ATAN(E59/D59*G59)/PI()*180</f>
        <v>-29.432344969112751</v>
      </c>
      <c r="I59" s="42" t="str">
        <f t="shared" si="15"/>
        <v>Half</v>
      </c>
      <c r="J59" s="50">
        <f t="shared" si="15"/>
        <v>6</v>
      </c>
      <c r="K59" s="49">
        <f t="shared" si="15"/>
        <v>160</v>
      </c>
      <c r="L59" s="44">
        <f t="shared" si="3"/>
        <v>8</v>
      </c>
      <c r="M59" s="44">
        <v>0</v>
      </c>
      <c r="N59" s="45">
        <f t="shared" si="15"/>
        <v>0.2</v>
      </c>
      <c r="O59" s="49">
        <v>0</v>
      </c>
      <c r="P59" s="44">
        <f t="shared" si="16"/>
        <v>150</v>
      </c>
      <c r="Q59" s="50">
        <f t="shared" si="16"/>
        <v>210</v>
      </c>
    </row>
    <row r="60" spans="1:17" x14ac:dyDescent="0.25">
      <c r="A60" s="41">
        <f t="shared" ref="A60:B75" si="17">A59+1</f>
        <v>908</v>
      </c>
      <c r="B60" s="42">
        <f t="shared" si="17"/>
        <v>50</v>
      </c>
      <c r="C60" s="41" t="s">
        <v>2560</v>
      </c>
      <c r="D60" s="43">
        <f t="shared" si="6"/>
        <v>25</v>
      </c>
      <c r="E60" s="61">
        <f t="shared" si="0"/>
        <v>3.4090000000000007</v>
      </c>
      <c r="F60" s="61">
        <f t="shared" si="1"/>
        <v>42</v>
      </c>
      <c r="G60" s="64">
        <f t="shared" si="2"/>
        <v>0.58988764044943809</v>
      </c>
      <c r="H60" s="44">
        <f t="shared" ref="H60:H107" si="18">-6.4*ATAN(E60/D60*G60)/PI()*180</f>
        <v>-29.432344969112751</v>
      </c>
      <c r="I60" s="42" t="str">
        <f t="shared" si="15"/>
        <v>Half</v>
      </c>
      <c r="J60" s="50">
        <f t="shared" si="15"/>
        <v>6</v>
      </c>
      <c r="K60" s="49">
        <f t="shared" si="15"/>
        <v>160</v>
      </c>
      <c r="L60" s="44">
        <f t="shared" si="3"/>
        <v>8</v>
      </c>
      <c r="M60" s="44">
        <v>0</v>
      </c>
      <c r="N60" s="45">
        <f t="shared" si="15"/>
        <v>0.2</v>
      </c>
      <c r="O60" s="49">
        <v>30</v>
      </c>
      <c r="P60" s="44">
        <f t="shared" si="16"/>
        <v>150</v>
      </c>
      <c r="Q60" s="50">
        <f t="shared" si="16"/>
        <v>210</v>
      </c>
    </row>
    <row r="61" spans="1:17" x14ac:dyDescent="0.25">
      <c r="A61" s="41">
        <f t="shared" si="17"/>
        <v>909</v>
      </c>
      <c r="B61" s="42">
        <f t="shared" si="17"/>
        <v>51</v>
      </c>
      <c r="C61" s="41" t="s">
        <v>2561</v>
      </c>
      <c r="D61" s="43">
        <f t="shared" si="6"/>
        <v>25</v>
      </c>
      <c r="E61" s="61">
        <f t="shared" si="0"/>
        <v>3.4090000000000007</v>
      </c>
      <c r="F61" s="61">
        <f t="shared" si="1"/>
        <v>42</v>
      </c>
      <c r="G61" s="64">
        <f t="shared" si="2"/>
        <v>0.58988764044943809</v>
      </c>
      <c r="H61" s="44">
        <f t="shared" si="18"/>
        <v>-29.432344969112751</v>
      </c>
      <c r="I61" s="42" t="str">
        <f t="shared" ref="I61:K76" si="19">I60</f>
        <v>Half</v>
      </c>
      <c r="J61" s="50">
        <f t="shared" si="19"/>
        <v>6</v>
      </c>
      <c r="K61" s="49">
        <f t="shared" si="19"/>
        <v>160</v>
      </c>
      <c r="L61" s="44">
        <f t="shared" si="3"/>
        <v>8</v>
      </c>
      <c r="M61" s="44">
        <v>0</v>
      </c>
      <c r="N61" s="45">
        <f t="shared" ref="N61:N124" si="20">N60</f>
        <v>0.2</v>
      </c>
      <c r="O61" s="49">
        <v>60</v>
      </c>
      <c r="P61" s="44">
        <f t="shared" ref="P61:Q76" si="21">P60</f>
        <v>150</v>
      </c>
      <c r="Q61" s="50">
        <f t="shared" si="21"/>
        <v>210</v>
      </c>
    </row>
    <row r="62" spans="1:17" x14ac:dyDescent="0.25">
      <c r="A62" s="41">
        <f t="shared" si="17"/>
        <v>910</v>
      </c>
      <c r="B62" s="42">
        <f t="shared" si="17"/>
        <v>52</v>
      </c>
      <c r="C62" s="41" t="s">
        <v>2562</v>
      </c>
      <c r="D62" s="43">
        <f t="shared" si="6"/>
        <v>25</v>
      </c>
      <c r="E62" s="61">
        <f t="shared" si="0"/>
        <v>3.4090000000000007</v>
      </c>
      <c r="F62" s="61">
        <f t="shared" si="1"/>
        <v>42</v>
      </c>
      <c r="G62" s="64">
        <f t="shared" si="2"/>
        <v>0.58988764044943809</v>
      </c>
      <c r="H62" s="44">
        <f t="shared" si="18"/>
        <v>-29.432344969112751</v>
      </c>
      <c r="I62" s="42" t="str">
        <f t="shared" si="19"/>
        <v>Half</v>
      </c>
      <c r="J62" s="50">
        <f t="shared" si="19"/>
        <v>6</v>
      </c>
      <c r="K62" s="49">
        <f t="shared" si="19"/>
        <v>160</v>
      </c>
      <c r="L62" s="44">
        <f t="shared" si="3"/>
        <v>8</v>
      </c>
      <c r="M62" s="44">
        <v>0</v>
      </c>
      <c r="N62" s="45">
        <f t="shared" si="20"/>
        <v>0.2</v>
      </c>
      <c r="O62" s="49">
        <v>90</v>
      </c>
      <c r="P62" s="44">
        <f t="shared" si="21"/>
        <v>150</v>
      </c>
      <c r="Q62" s="50">
        <f t="shared" si="21"/>
        <v>210</v>
      </c>
    </row>
    <row r="63" spans="1:17" x14ac:dyDescent="0.25">
      <c r="A63" s="41">
        <f t="shared" si="17"/>
        <v>911</v>
      </c>
      <c r="B63" s="42">
        <f t="shared" si="17"/>
        <v>53</v>
      </c>
      <c r="C63" s="41" t="s">
        <v>2563</v>
      </c>
      <c r="D63" s="43">
        <f t="shared" si="6"/>
        <v>25</v>
      </c>
      <c r="E63" s="61">
        <f t="shared" si="0"/>
        <v>3.4090000000000007</v>
      </c>
      <c r="F63" s="61">
        <f t="shared" si="1"/>
        <v>42</v>
      </c>
      <c r="G63" s="64">
        <f t="shared" si="2"/>
        <v>0.58988764044943809</v>
      </c>
      <c r="H63" s="44">
        <f t="shared" si="18"/>
        <v>-29.432344969112751</v>
      </c>
      <c r="I63" s="42" t="s">
        <v>12</v>
      </c>
      <c r="J63" s="50">
        <f t="shared" si="19"/>
        <v>6</v>
      </c>
      <c r="K63" s="49">
        <f t="shared" si="19"/>
        <v>160</v>
      </c>
      <c r="L63" s="44">
        <f t="shared" si="3"/>
        <v>8</v>
      </c>
      <c r="M63" s="44">
        <f>M59+30</f>
        <v>30</v>
      </c>
      <c r="N63" s="45">
        <f t="shared" si="20"/>
        <v>0.2</v>
      </c>
      <c r="O63" s="49">
        <v>0</v>
      </c>
      <c r="P63" s="44">
        <f t="shared" si="21"/>
        <v>150</v>
      </c>
      <c r="Q63" s="50">
        <f t="shared" si="21"/>
        <v>210</v>
      </c>
    </row>
    <row r="64" spans="1:17" x14ac:dyDescent="0.25">
      <c r="A64" s="41">
        <f t="shared" si="17"/>
        <v>912</v>
      </c>
      <c r="B64" s="42">
        <f t="shared" si="17"/>
        <v>54</v>
      </c>
      <c r="C64" s="41" t="s">
        <v>2564</v>
      </c>
      <c r="D64" s="43">
        <f t="shared" si="6"/>
        <v>25</v>
      </c>
      <c r="E64" s="61">
        <f t="shared" si="0"/>
        <v>3.4090000000000007</v>
      </c>
      <c r="F64" s="61">
        <f t="shared" si="1"/>
        <v>42</v>
      </c>
      <c r="G64" s="64">
        <f t="shared" si="2"/>
        <v>0.58988764044943809</v>
      </c>
      <c r="H64" s="44">
        <f t="shared" si="18"/>
        <v>-29.432344969112751</v>
      </c>
      <c r="I64" s="42" t="str">
        <f>I63</f>
        <v>Half</v>
      </c>
      <c r="J64" s="50">
        <f t="shared" si="19"/>
        <v>6</v>
      </c>
      <c r="K64" s="49">
        <f t="shared" si="19"/>
        <v>160</v>
      </c>
      <c r="L64" s="44">
        <f t="shared" si="3"/>
        <v>8</v>
      </c>
      <c r="M64" s="44">
        <f t="shared" ref="M64:M105" si="22">M60+30</f>
        <v>30</v>
      </c>
      <c r="N64" s="45">
        <f t="shared" si="20"/>
        <v>0.2</v>
      </c>
      <c r="O64" s="49">
        <v>30</v>
      </c>
      <c r="P64" s="44">
        <f t="shared" si="21"/>
        <v>150</v>
      </c>
      <c r="Q64" s="50">
        <f t="shared" si="21"/>
        <v>210</v>
      </c>
    </row>
    <row r="65" spans="1:17" x14ac:dyDescent="0.25">
      <c r="A65" s="41">
        <f t="shared" si="17"/>
        <v>913</v>
      </c>
      <c r="B65" s="42">
        <f t="shared" si="17"/>
        <v>55</v>
      </c>
      <c r="C65" s="41" t="s">
        <v>2565</v>
      </c>
      <c r="D65" s="43">
        <f t="shared" si="6"/>
        <v>25</v>
      </c>
      <c r="E65" s="61">
        <f t="shared" si="0"/>
        <v>3.4090000000000007</v>
      </c>
      <c r="F65" s="61">
        <f t="shared" si="1"/>
        <v>42</v>
      </c>
      <c r="G65" s="64">
        <f t="shared" si="2"/>
        <v>0.58988764044943809</v>
      </c>
      <c r="H65" s="44">
        <f t="shared" si="18"/>
        <v>-29.432344969112751</v>
      </c>
      <c r="I65" s="42" t="str">
        <f t="shared" si="19"/>
        <v>Half</v>
      </c>
      <c r="J65" s="50">
        <f t="shared" si="19"/>
        <v>6</v>
      </c>
      <c r="K65" s="49">
        <f t="shared" si="19"/>
        <v>160</v>
      </c>
      <c r="L65" s="44">
        <f t="shared" si="3"/>
        <v>8</v>
      </c>
      <c r="M65" s="44">
        <f t="shared" si="22"/>
        <v>30</v>
      </c>
      <c r="N65" s="45">
        <f t="shared" si="20"/>
        <v>0.2</v>
      </c>
      <c r="O65" s="49">
        <v>60</v>
      </c>
      <c r="P65" s="44">
        <f t="shared" si="21"/>
        <v>150</v>
      </c>
      <c r="Q65" s="50">
        <f t="shared" si="21"/>
        <v>210</v>
      </c>
    </row>
    <row r="66" spans="1:17" x14ac:dyDescent="0.25">
      <c r="A66" s="41">
        <f t="shared" si="17"/>
        <v>914</v>
      </c>
      <c r="B66" s="42">
        <f t="shared" si="17"/>
        <v>56</v>
      </c>
      <c r="C66" s="41" t="s">
        <v>2566</v>
      </c>
      <c r="D66" s="43">
        <f t="shared" si="6"/>
        <v>25</v>
      </c>
      <c r="E66" s="61">
        <f t="shared" si="0"/>
        <v>3.4090000000000007</v>
      </c>
      <c r="F66" s="61">
        <f t="shared" si="1"/>
        <v>42</v>
      </c>
      <c r="G66" s="64">
        <f t="shared" si="2"/>
        <v>0.58988764044943809</v>
      </c>
      <c r="H66" s="44">
        <f t="shared" si="18"/>
        <v>-29.432344969112751</v>
      </c>
      <c r="I66" s="42" t="str">
        <f t="shared" si="19"/>
        <v>Half</v>
      </c>
      <c r="J66" s="50">
        <f t="shared" si="19"/>
        <v>6</v>
      </c>
      <c r="K66" s="49">
        <f t="shared" si="19"/>
        <v>160</v>
      </c>
      <c r="L66" s="44">
        <f t="shared" si="3"/>
        <v>8</v>
      </c>
      <c r="M66" s="44">
        <f t="shared" si="22"/>
        <v>30</v>
      </c>
      <c r="N66" s="45">
        <f t="shared" si="20"/>
        <v>0.2</v>
      </c>
      <c r="O66" s="49">
        <v>90</v>
      </c>
      <c r="P66" s="44">
        <f t="shared" si="21"/>
        <v>150</v>
      </c>
      <c r="Q66" s="50">
        <f t="shared" si="21"/>
        <v>210</v>
      </c>
    </row>
    <row r="67" spans="1:17" x14ac:dyDescent="0.25">
      <c r="A67" s="41">
        <f t="shared" si="17"/>
        <v>915</v>
      </c>
      <c r="B67" s="42">
        <f t="shared" si="17"/>
        <v>57</v>
      </c>
      <c r="C67" s="41" t="s">
        <v>2567</v>
      </c>
      <c r="D67" s="43">
        <f t="shared" si="6"/>
        <v>25</v>
      </c>
      <c r="E67" s="61">
        <f t="shared" si="0"/>
        <v>3.4090000000000007</v>
      </c>
      <c r="F67" s="61">
        <f t="shared" si="1"/>
        <v>42</v>
      </c>
      <c r="G67" s="64">
        <f t="shared" si="2"/>
        <v>0.58988764044943809</v>
      </c>
      <c r="H67" s="44">
        <f t="shared" si="18"/>
        <v>-29.432344969112751</v>
      </c>
      <c r="I67" s="42" t="str">
        <f t="shared" si="19"/>
        <v>Half</v>
      </c>
      <c r="J67" s="50">
        <f t="shared" si="19"/>
        <v>6</v>
      </c>
      <c r="K67" s="49">
        <f t="shared" si="19"/>
        <v>160</v>
      </c>
      <c r="L67" s="44">
        <f t="shared" si="3"/>
        <v>8</v>
      </c>
      <c r="M67" s="44">
        <f>M63+30</f>
        <v>60</v>
      </c>
      <c r="N67" s="45">
        <f t="shared" si="20"/>
        <v>0.2</v>
      </c>
      <c r="O67" s="49">
        <v>0</v>
      </c>
      <c r="P67" s="44">
        <f t="shared" si="21"/>
        <v>150</v>
      </c>
      <c r="Q67" s="50">
        <f t="shared" si="21"/>
        <v>210</v>
      </c>
    </row>
    <row r="68" spans="1:17" x14ac:dyDescent="0.25">
      <c r="A68" s="41">
        <f t="shared" si="17"/>
        <v>916</v>
      </c>
      <c r="B68" s="42">
        <f t="shared" si="17"/>
        <v>58</v>
      </c>
      <c r="C68" s="41" t="s">
        <v>2568</v>
      </c>
      <c r="D68" s="43">
        <f t="shared" si="6"/>
        <v>25</v>
      </c>
      <c r="E68" s="61">
        <f t="shared" si="0"/>
        <v>3.4090000000000007</v>
      </c>
      <c r="F68" s="61">
        <f t="shared" si="1"/>
        <v>42</v>
      </c>
      <c r="G68" s="64">
        <f t="shared" si="2"/>
        <v>0.58988764044943809</v>
      </c>
      <c r="H68" s="44">
        <f t="shared" si="18"/>
        <v>-29.432344969112751</v>
      </c>
      <c r="I68" s="42" t="str">
        <f t="shared" si="19"/>
        <v>Half</v>
      </c>
      <c r="J68" s="50">
        <f t="shared" si="19"/>
        <v>6</v>
      </c>
      <c r="K68" s="49">
        <f t="shared" si="19"/>
        <v>160</v>
      </c>
      <c r="L68" s="44">
        <f t="shared" si="3"/>
        <v>8</v>
      </c>
      <c r="M68" s="44">
        <f t="shared" si="22"/>
        <v>60</v>
      </c>
      <c r="N68" s="45">
        <f t="shared" si="20"/>
        <v>0.2</v>
      </c>
      <c r="O68" s="49">
        <v>30</v>
      </c>
      <c r="P68" s="44">
        <f t="shared" si="21"/>
        <v>150</v>
      </c>
      <c r="Q68" s="50">
        <f t="shared" si="21"/>
        <v>210</v>
      </c>
    </row>
    <row r="69" spans="1:17" x14ac:dyDescent="0.25">
      <c r="A69" s="41">
        <f t="shared" si="17"/>
        <v>917</v>
      </c>
      <c r="B69" s="42">
        <f t="shared" si="17"/>
        <v>59</v>
      </c>
      <c r="C69" s="41" t="s">
        <v>2569</v>
      </c>
      <c r="D69" s="43">
        <f t="shared" si="6"/>
        <v>25</v>
      </c>
      <c r="E69" s="61">
        <f t="shared" si="0"/>
        <v>3.4090000000000007</v>
      </c>
      <c r="F69" s="61">
        <f t="shared" si="1"/>
        <v>42</v>
      </c>
      <c r="G69" s="64">
        <f t="shared" si="2"/>
        <v>0.58988764044943809</v>
      </c>
      <c r="H69" s="44">
        <f t="shared" si="18"/>
        <v>-29.432344969112751</v>
      </c>
      <c r="I69" s="42" t="str">
        <f t="shared" si="19"/>
        <v>Half</v>
      </c>
      <c r="J69" s="50">
        <f t="shared" si="19"/>
        <v>6</v>
      </c>
      <c r="K69" s="49">
        <f t="shared" si="19"/>
        <v>160</v>
      </c>
      <c r="L69" s="44">
        <f t="shared" si="3"/>
        <v>8</v>
      </c>
      <c r="M69" s="44">
        <f t="shared" si="22"/>
        <v>60</v>
      </c>
      <c r="N69" s="45">
        <f t="shared" si="20"/>
        <v>0.2</v>
      </c>
      <c r="O69" s="49">
        <v>60</v>
      </c>
      <c r="P69" s="44">
        <f t="shared" si="21"/>
        <v>150</v>
      </c>
      <c r="Q69" s="50">
        <f t="shared" si="21"/>
        <v>210</v>
      </c>
    </row>
    <row r="70" spans="1:17" x14ac:dyDescent="0.25">
      <c r="A70" s="41">
        <f t="shared" si="17"/>
        <v>918</v>
      </c>
      <c r="B70" s="42">
        <f t="shared" si="17"/>
        <v>60</v>
      </c>
      <c r="C70" s="41" t="s">
        <v>2570</v>
      </c>
      <c r="D70" s="43">
        <f t="shared" si="6"/>
        <v>25</v>
      </c>
      <c r="E70" s="61">
        <f t="shared" si="0"/>
        <v>3.4090000000000007</v>
      </c>
      <c r="F70" s="61">
        <f t="shared" si="1"/>
        <v>42</v>
      </c>
      <c r="G70" s="64">
        <f t="shared" si="2"/>
        <v>0.58988764044943809</v>
      </c>
      <c r="H70" s="44">
        <f t="shared" si="18"/>
        <v>-29.432344969112751</v>
      </c>
      <c r="I70" s="42" t="str">
        <f t="shared" si="19"/>
        <v>Half</v>
      </c>
      <c r="J70" s="50">
        <f t="shared" si="19"/>
        <v>6</v>
      </c>
      <c r="K70" s="49">
        <f t="shared" si="19"/>
        <v>160</v>
      </c>
      <c r="L70" s="44">
        <f t="shared" si="3"/>
        <v>8</v>
      </c>
      <c r="M70" s="44">
        <f t="shared" si="22"/>
        <v>60</v>
      </c>
      <c r="N70" s="45">
        <f t="shared" si="20"/>
        <v>0.2</v>
      </c>
      <c r="O70" s="49">
        <v>90</v>
      </c>
      <c r="P70" s="44">
        <f t="shared" si="21"/>
        <v>150</v>
      </c>
      <c r="Q70" s="50">
        <f t="shared" si="21"/>
        <v>210</v>
      </c>
    </row>
    <row r="71" spans="1:17" x14ac:dyDescent="0.25">
      <c r="A71" s="41">
        <f t="shared" si="17"/>
        <v>919</v>
      </c>
      <c r="B71" s="42">
        <f t="shared" si="17"/>
        <v>61</v>
      </c>
      <c r="C71" s="41" t="s">
        <v>2571</v>
      </c>
      <c r="D71" s="43">
        <f t="shared" si="6"/>
        <v>25</v>
      </c>
      <c r="E71" s="61">
        <f t="shared" si="0"/>
        <v>3.4090000000000007</v>
      </c>
      <c r="F71" s="61">
        <f t="shared" si="1"/>
        <v>42</v>
      </c>
      <c r="G71" s="64">
        <f t="shared" si="2"/>
        <v>0.58988764044943809</v>
      </c>
      <c r="H71" s="44">
        <f t="shared" si="18"/>
        <v>-29.432344969112751</v>
      </c>
      <c r="I71" s="42" t="str">
        <f t="shared" si="19"/>
        <v>Half</v>
      </c>
      <c r="J71" s="50">
        <f t="shared" si="19"/>
        <v>6</v>
      </c>
      <c r="K71" s="49">
        <f t="shared" si="19"/>
        <v>160</v>
      </c>
      <c r="L71" s="44">
        <f t="shared" si="3"/>
        <v>8</v>
      </c>
      <c r="M71" s="44">
        <f t="shared" si="22"/>
        <v>90</v>
      </c>
      <c r="N71" s="45">
        <f t="shared" si="20"/>
        <v>0.2</v>
      </c>
      <c r="O71" s="49">
        <v>0</v>
      </c>
      <c r="P71" s="44">
        <f t="shared" si="21"/>
        <v>150</v>
      </c>
      <c r="Q71" s="50">
        <f t="shared" si="21"/>
        <v>210</v>
      </c>
    </row>
    <row r="72" spans="1:17" x14ac:dyDescent="0.25">
      <c r="A72" s="41">
        <f t="shared" si="17"/>
        <v>920</v>
      </c>
      <c r="B72" s="42">
        <f t="shared" si="17"/>
        <v>62</v>
      </c>
      <c r="C72" s="41" t="s">
        <v>2572</v>
      </c>
      <c r="D72" s="43">
        <f t="shared" si="6"/>
        <v>25</v>
      </c>
      <c r="E72" s="61">
        <f t="shared" si="0"/>
        <v>3.4090000000000007</v>
      </c>
      <c r="F72" s="61">
        <f t="shared" si="1"/>
        <v>42</v>
      </c>
      <c r="G72" s="64">
        <f t="shared" si="2"/>
        <v>0.58988764044943809</v>
      </c>
      <c r="H72" s="44">
        <f t="shared" si="18"/>
        <v>-29.432344969112751</v>
      </c>
      <c r="I72" s="42" t="str">
        <f t="shared" si="19"/>
        <v>Half</v>
      </c>
      <c r="J72" s="50">
        <f t="shared" si="19"/>
        <v>6</v>
      </c>
      <c r="K72" s="49">
        <f t="shared" si="19"/>
        <v>160</v>
      </c>
      <c r="L72" s="44">
        <f t="shared" si="3"/>
        <v>8</v>
      </c>
      <c r="M72" s="44">
        <f t="shared" si="22"/>
        <v>90</v>
      </c>
      <c r="N72" s="45">
        <f t="shared" si="20"/>
        <v>0.2</v>
      </c>
      <c r="O72" s="49">
        <v>30</v>
      </c>
      <c r="P72" s="44">
        <f t="shared" si="21"/>
        <v>150</v>
      </c>
      <c r="Q72" s="50">
        <f t="shared" si="21"/>
        <v>210</v>
      </c>
    </row>
    <row r="73" spans="1:17" x14ac:dyDescent="0.25">
      <c r="A73" s="41">
        <f t="shared" si="17"/>
        <v>921</v>
      </c>
      <c r="B73" s="42">
        <f t="shared" si="17"/>
        <v>63</v>
      </c>
      <c r="C73" s="41" t="s">
        <v>2573</v>
      </c>
      <c r="D73" s="43">
        <f t="shared" si="6"/>
        <v>25</v>
      </c>
      <c r="E73" s="61">
        <f t="shared" si="0"/>
        <v>3.4090000000000007</v>
      </c>
      <c r="F73" s="61">
        <f t="shared" si="1"/>
        <v>42</v>
      </c>
      <c r="G73" s="64">
        <f t="shared" si="2"/>
        <v>0.58988764044943809</v>
      </c>
      <c r="H73" s="44">
        <f t="shared" si="18"/>
        <v>-29.432344969112751</v>
      </c>
      <c r="I73" s="42" t="str">
        <f t="shared" si="19"/>
        <v>Half</v>
      </c>
      <c r="J73" s="50">
        <f t="shared" si="19"/>
        <v>6</v>
      </c>
      <c r="K73" s="49">
        <f t="shared" si="19"/>
        <v>160</v>
      </c>
      <c r="L73" s="44">
        <f t="shared" si="3"/>
        <v>8</v>
      </c>
      <c r="M73" s="44">
        <f t="shared" si="22"/>
        <v>90</v>
      </c>
      <c r="N73" s="45">
        <f t="shared" si="20"/>
        <v>0.2</v>
      </c>
      <c r="O73" s="49">
        <v>60</v>
      </c>
      <c r="P73" s="44">
        <f t="shared" si="21"/>
        <v>150</v>
      </c>
      <c r="Q73" s="50">
        <f t="shared" si="21"/>
        <v>210</v>
      </c>
    </row>
    <row r="74" spans="1:17" x14ac:dyDescent="0.25">
      <c r="A74" s="41">
        <f t="shared" si="17"/>
        <v>922</v>
      </c>
      <c r="B74" s="42">
        <f t="shared" si="17"/>
        <v>64</v>
      </c>
      <c r="C74" s="41" t="s">
        <v>2574</v>
      </c>
      <c r="D74" s="43">
        <f t="shared" si="6"/>
        <v>25</v>
      </c>
      <c r="E74" s="61">
        <f t="shared" si="0"/>
        <v>3.4090000000000007</v>
      </c>
      <c r="F74" s="61">
        <f t="shared" si="1"/>
        <v>42</v>
      </c>
      <c r="G74" s="64">
        <f t="shared" si="2"/>
        <v>0.58988764044943809</v>
      </c>
      <c r="H74" s="44">
        <f t="shared" si="18"/>
        <v>-29.432344969112751</v>
      </c>
      <c r="I74" s="42" t="str">
        <f t="shared" si="19"/>
        <v>Half</v>
      </c>
      <c r="J74" s="50">
        <f t="shared" si="19"/>
        <v>6</v>
      </c>
      <c r="K74" s="49">
        <f t="shared" si="19"/>
        <v>160</v>
      </c>
      <c r="L74" s="44">
        <f t="shared" si="3"/>
        <v>8</v>
      </c>
      <c r="M74" s="44">
        <f t="shared" si="22"/>
        <v>90</v>
      </c>
      <c r="N74" s="45">
        <f t="shared" si="20"/>
        <v>0.2</v>
      </c>
      <c r="O74" s="49">
        <v>90</v>
      </c>
      <c r="P74" s="44">
        <f t="shared" si="21"/>
        <v>150</v>
      </c>
      <c r="Q74" s="50">
        <f t="shared" si="21"/>
        <v>210</v>
      </c>
    </row>
    <row r="75" spans="1:17" x14ac:dyDescent="0.25">
      <c r="A75" s="41">
        <f t="shared" si="17"/>
        <v>923</v>
      </c>
      <c r="B75" s="42">
        <f t="shared" si="17"/>
        <v>65</v>
      </c>
      <c r="C75" s="41" t="s">
        <v>2575</v>
      </c>
      <c r="D75" s="43">
        <f t="shared" si="6"/>
        <v>25</v>
      </c>
      <c r="E75" s="61">
        <f t="shared" ref="E75:E138" si="23">I_ref*(0.75*D75+5.6)</f>
        <v>3.4090000000000007</v>
      </c>
      <c r="F75" s="61">
        <f t="shared" ref="F75:F138" si="24">tur_scale</f>
        <v>42</v>
      </c>
      <c r="G75" s="64">
        <f t="shared" ref="G75:G138" si="25">1/(1+0.2*(diameter/F75))</f>
        <v>0.58988764044943809</v>
      </c>
      <c r="H75" s="44">
        <f t="shared" si="18"/>
        <v>-29.432344969112751</v>
      </c>
      <c r="I75" s="42" t="str">
        <f t="shared" si="19"/>
        <v>Half</v>
      </c>
      <c r="J75" s="50">
        <f t="shared" si="19"/>
        <v>6</v>
      </c>
      <c r="K75" s="49">
        <f t="shared" si="19"/>
        <v>160</v>
      </c>
      <c r="L75" s="44">
        <f t="shared" ref="L75:L138" si="26">inflow</f>
        <v>8</v>
      </c>
      <c r="M75" s="44">
        <f t="shared" si="22"/>
        <v>120</v>
      </c>
      <c r="N75" s="45">
        <f t="shared" si="20"/>
        <v>0.2</v>
      </c>
      <c r="O75" s="49">
        <v>0</v>
      </c>
      <c r="P75" s="44">
        <f t="shared" si="21"/>
        <v>150</v>
      </c>
      <c r="Q75" s="50">
        <f t="shared" si="21"/>
        <v>210</v>
      </c>
    </row>
    <row r="76" spans="1:17" x14ac:dyDescent="0.25">
      <c r="A76" s="41">
        <f t="shared" ref="A76:B91" si="27">A75+1</f>
        <v>924</v>
      </c>
      <c r="B76" s="42">
        <f t="shared" si="27"/>
        <v>66</v>
      </c>
      <c r="C76" s="41" t="s">
        <v>2576</v>
      </c>
      <c r="D76" s="43">
        <f t="shared" si="6"/>
        <v>25</v>
      </c>
      <c r="E76" s="61">
        <f t="shared" si="23"/>
        <v>3.4090000000000007</v>
      </c>
      <c r="F76" s="61">
        <f t="shared" si="24"/>
        <v>42</v>
      </c>
      <c r="G76" s="64">
        <f t="shared" si="25"/>
        <v>0.58988764044943809</v>
      </c>
      <c r="H76" s="44">
        <f t="shared" si="18"/>
        <v>-29.432344969112751</v>
      </c>
      <c r="I76" s="42" t="str">
        <f t="shared" si="19"/>
        <v>Half</v>
      </c>
      <c r="J76" s="50">
        <f t="shared" si="19"/>
        <v>6</v>
      </c>
      <c r="K76" s="49">
        <f t="shared" si="19"/>
        <v>160</v>
      </c>
      <c r="L76" s="44">
        <f t="shared" si="26"/>
        <v>8</v>
      </c>
      <c r="M76" s="44">
        <f t="shared" si="22"/>
        <v>120</v>
      </c>
      <c r="N76" s="45">
        <f t="shared" si="20"/>
        <v>0.2</v>
      </c>
      <c r="O76" s="49">
        <v>30</v>
      </c>
      <c r="P76" s="44">
        <f t="shared" si="21"/>
        <v>150</v>
      </c>
      <c r="Q76" s="50">
        <f t="shared" si="21"/>
        <v>210</v>
      </c>
    </row>
    <row r="77" spans="1:17" x14ac:dyDescent="0.25">
      <c r="A77" s="41">
        <f t="shared" si="27"/>
        <v>925</v>
      </c>
      <c r="B77" s="42">
        <f t="shared" si="27"/>
        <v>67</v>
      </c>
      <c r="C77" s="41" t="s">
        <v>2577</v>
      </c>
      <c r="D77" s="43">
        <f t="shared" ref="D77:D106" si="28">D76</f>
        <v>25</v>
      </c>
      <c r="E77" s="61">
        <f t="shared" si="23"/>
        <v>3.4090000000000007</v>
      </c>
      <c r="F77" s="61">
        <f t="shared" si="24"/>
        <v>42</v>
      </c>
      <c r="G77" s="64">
        <f t="shared" si="25"/>
        <v>0.58988764044943809</v>
      </c>
      <c r="H77" s="44">
        <f t="shared" si="18"/>
        <v>-29.432344969112751</v>
      </c>
      <c r="I77" s="42" t="str">
        <f t="shared" ref="I77:K83" si="29">I76</f>
        <v>Half</v>
      </c>
      <c r="J77" s="50">
        <f t="shared" si="29"/>
        <v>6</v>
      </c>
      <c r="K77" s="49">
        <f t="shared" si="29"/>
        <v>160</v>
      </c>
      <c r="L77" s="44">
        <f t="shared" si="26"/>
        <v>8</v>
      </c>
      <c r="M77" s="44">
        <f t="shared" si="22"/>
        <v>120</v>
      </c>
      <c r="N77" s="45">
        <f t="shared" si="20"/>
        <v>0.2</v>
      </c>
      <c r="O77" s="49">
        <v>60</v>
      </c>
      <c r="P77" s="44">
        <f t="shared" ref="P77:Q92" si="30">P76</f>
        <v>150</v>
      </c>
      <c r="Q77" s="50">
        <f t="shared" si="30"/>
        <v>210</v>
      </c>
    </row>
    <row r="78" spans="1:17" x14ac:dyDescent="0.25">
      <c r="A78" s="41">
        <f t="shared" si="27"/>
        <v>926</v>
      </c>
      <c r="B78" s="42">
        <f t="shared" si="27"/>
        <v>68</v>
      </c>
      <c r="C78" s="41" t="s">
        <v>2578</v>
      </c>
      <c r="D78" s="43">
        <f t="shared" si="28"/>
        <v>25</v>
      </c>
      <c r="E78" s="61">
        <f t="shared" si="23"/>
        <v>3.4090000000000007</v>
      </c>
      <c r="F78" s="61">
        <f t="shared" si="24"/>
        <v>42</v>
      </c>
      <c r="G78" s="64">
        <f t="shared" si="25"/>
        <v>0.58988764044943809</v>
      </c>
      <c r="H78" s="44">
        <f t="shared" si="18"/>
        <v>-29.432344969112751</v>
      </c>
      <c r="I78" s="42" t="str">
        <f t="shared" si="29"/>
        <v>Half</v>
      </c>
      <c r="J78" s="50">
        <f t="shared" si="29"/>
        <v>6</v>
      </c>
      <c r="K78" s="49">
        <f t="shared" si="29"/>
        <v>160</v>
      </c>
      <c r="L78" s="44">
        <f t="shared" si="26"/>
        <v>8</v>
      </c>
      <c r="M78" s="44">
        <f t="shared" si="22"/>
        <v>120</v>
      </c>
      <c r="N78" s="45">
        <f t="shared" si="20"/>
        <v>0.2</v>
      </c>
      <c r="O78" s="49">
        <v>90</v>
      </c>
      <c r="P78" s="44">
        <f t="shared" si="30"/>
        <v>150</v>
      </c>
      <c r="Q78" s="50">
        <f t="shared" si="30"/>
        <v>210</v>
      </c>
    </row>
    <row r="79" spans="1:17" x14ac:dyDescent="0.25">
      <c r="A79" s="41">
        <f t="shared" si="27"/>
        <v>927</v>
      </c>
      <c r="B79" s="42">
        <f t="shared" si="27"/>
        <v>69</v>
      </c>
      <c r="C79" s="41" t="s">
        <v>2579</v>
      </c>
      <c r="D79" s="43">
        <f t="shared" si="28"/>
        <v>25</v>
      </c>
      <c r="E79" s="61">
        <f t="shared" si="23"/>
        <v>3.4090000000000007</v>
      </c>
      <c r="F79" s="61">
        <f t="shared" si="24"/>
        <v>42</v>
      </c>
      <c r="G79" s="64">
        <f t="shared" si="25"/>
        <v>0.58988764044943809</v>
      </c>
      <c r="H79" s="44">
        <f t="shared" si="18"/>
        <v>-29.432344969112751</v>
      </c>
      <c r="I79" s="42" t="s">
        <v>12</v>
      </c>
      <c r="J79" s="50">
        <f t="shared" si="29"/>
        <v>6</v>
      </c>
      <c r="K79" s="49">
        <f t="shared" si="29"/>
        <v>160</v>
      </c>
      <c r="L79" s="44">
        <f t="shared" si="26"/>
        <v>8</v>
      </c>
      <c r="M79" s="44">
        <f t="shared" si="22"/>
        <v>150</v>
      </c>
      <c r="N79" s="45">
        <f t="shared" si="20"/>
        <v>0.2</v>
      </c>
      <c r="O79" s="49">
        <v>0</v>
      </c>
      <c r="P79" s="44">
        <f t="shared" si="30"/>
        <v>150</v>
      </c>
      <c r="Q79" s="50">
        <f t="shared" si="30"/>
        <v>210</v>
      </c>
    </row>
    <row r="80" spans="1:17" x14ac:dyDescent="0.25">
      <c r="A80" s="41">
        <f t="shared" si="27"/>
        <v>928</v>
      </c>
      <c r="B80" s="42">
        <f t="shared" si="27"/>
        <v>70</v>
      </c>
      <c r="C80" s="41" t="s">
        <v>2580</v>
      </c>
      <c r="D80" s="43">
        <f t="shared" si="28"/>
        <v>25</v>
      </c>
      <c r="E80" s="61">
        <f t="shared" si="23"/>
        <v>3.4090000000000007</v>
      </c>
      <c r="F80" s="61">
        <f t="shared" si="24"/>
        <v>42</v>
      </c>
      <c r="G80" s="64">
        <f t="shared" si="25"/>
        <v>0.58988764044943809</v>
      </c>
      <c r="H80" s="44">
        <f t="shared" si="18"/>
        <v>-29.432344969112751</v>
      </c>
      <c r="I80" s="42" t="str">
        <f>I79</f>
        <v>Half</v>
      </c>
      <c r="J80" s="50">
        <f t="shared" si="29"/>
        <v>6</v>
      </c>
      <c r="K80" s="49">
        <f t="shared" si="29"/>
        <v>160</v>
      </c>
      <c r="L80" s="44">
        <f t="shared" si="26"/>
        <v>8</v>
      </c>
      <c r="M80" s="44">
        <f t="shared" si="22"/>
        <v>150</v>
      </c>
      <c r="N80" s="45">
        <f t="shared" si="20"/>
        <v>0.2</v>
      </c>
      <c r="O80" s="49">
        <v>30</v>
      </c>
      <c r="P80" s="44">
        <f t="shared" si="30"/>
        <v>150</v>
      </c>
      <c r="Q80" s="50">
        <f t="shared" si="30"/>
        <v>210</v>
      </c>
    </row>
    <row r="81" spans="1:17" x14ac:dyDescent="0.25">
      <c r="A81" s="41">
        <f t="shared" si="27"/>
        <v>929</v>
      </c>
      <c r="B81" s="42">
        <f t="shared" si="27"/>
        <v>71</v>
      </c>
      <c r="C81" s="41" t="s">
        <v>2581</v>
      </c>
      <c r="D81" s="43">
        <f t="shared" si="28"/>
        <v>25</v>
      </c>
      <c r="E81" s="61">
        <f t="shared" si="23"/>
        <v>3.4090000000000007</v>
      </c>
      <c r="F81" s="61">
        <f t="shared" si="24"/>
        <v>42</v>
      </c>
      <c r="G81" s="64">
        <f t="shared" si="25"/>
        <v>0.58988764044943809</v>
      </c>
      <c r="H81" s="44">
        <f t="shared" si="18"/>
        <v>-29.432344969112751</v>
      </c>
      <c r="I81" s="42" t="str">
        <f t="shared" si="29"/>
        <v>Half</v>
      </c>
      <c r="J81" s="50">
        <f t="shared" si="29"/>
        <v>6</v>
      </c>
      <c r="K81" s="49">
        <f t="shared" si="29"/>
        <v>160</v>
      </c>
      <c r="L81" s="44">
        <f t="shared" si="26"/>
        <v>8</v>
      </c>
      <c r="M81" s="44">
        <f t="shared" si="22"/>
        <v>150</v>
      </c>
      <c r="N81" s="45">
        <f t="shared" si="20"/>
        <v>0.2</v>
      </c>
      <c r="O81" s="49">
        <v>60</v>
      </c>
      <c r="P81" s="44">
        <f t="shared" si="30"/>
        <v>150</v>
      </c>
      <c r="Q81" s="50">
        <f t="shared" si="30"/>
        <v>210</v>
      </c>
    </row>
    <row r="82" spans="1:17" x14ac:dyDescent="0.25">
      <c r="A82" s="41">
        <f t="shared" si="27"/>
        <v>930</v>
      </c>
      <c r="B82" s="42">
        <f t="shared" si="27"/>
        <v>72</v>
      </c>
      <c r="C82" s="41" t="s">
        <v>2582</v>
      </c>
      <c r="D82" s="43">
        <f t="shared" si="28"/>
        <v>25</v>
      </c>
      <c r="E82" s="61">
        <f t="shared" si="23"/>
        <v>3.4090000000000007</v>
      </c>
      <c r="F82" s="61">
        <f t="shared" si="24"/>
        <v>42</v>
      </c>
      <c r="G82" s="64">
        <f t="shared" si="25"/>
        <v>0.58988764044943809</v>
      </c>
      <c r="H82" s="44">
        <f t="shared" si="18"/>
        <v>-29.432344969112751</v>
      </c>
      <c r="I82" s="42" t="str">
        <f t="shared" si="29"/>
        <v>Half</v>
      </c>
      <c r="J82" s="50">
        <f t="shared" si="29"/>
        <v>6</v>
      </c>
      <c r="K82" s="49">
        <f t="shared" si="29"/>
        <v>160</v>
      </c>
      <c r="L82" s="44">
        <f t="shared" si="26"/>
        <v>8</v>
      </c>
      <c r="M82" s="44">
        <f t="shared" si="22"/>
        <v>150</v>
      </c>
      <c r="N82" s="45">
        <f t="shared" si="20"/>
        <v>0.2</v>
      </c>
      <c r="O82" s="49">
        <v>90</v>
      </c>
      <c r="P82" s="44">
        <f t="shared" si="30"/>
        <v>150</v>
      </c>
      <c r="Q82" s="50">
        <f t="shared" si="30"/>
        <v>210</v>
      </c>
    </row>
    <row r="83" spans="1:17" x14ac:dyDescent="0.25">
      <c r="A83" s="41">
        <f t="shared" si="27"/>
        <v>931</v>
      </c>
      <c r="B83" s="42">
        <f t="shared" si="27"/>
        <v>73</v>
      </c>
      <c r="C83" s="41" t="s">
        <v>2583</v>
      </c>
      <c r="D83" s="43">
        <f t="shared" si="28"/>
        <v>25</v>
      </c>
      <c r="E83" s="61">
        <f t="shared" si="23"/>
        <v>3.4090000000000007</v>
      </c>
      <c r="F83" s="61">
        <f t="shared" si="24"/>
        <v>42</v>
      </c>
      <c r="G83" s="64">
        <f t="shared" si="25"/>
        <v>0.58988764044943809</v>
      </c>
      <c r="H83" s="44">
        <f t="shared" si="18"/>
        <v>-29.432344969112751</v>
      </c>
      <c r="I83" s="42" t="s">
        <v>12</v>
      </c>
      <c r="J83" s="50">
        <f t="shared" si="29"/>
        <v>6</v>
      </c>
      <c r="K83" s="49">
        <f t="shared" si="29"/>
        <v>160</v>
      </c>
      <c r="L83" s="44">
        <f t="shared" si="26"/>
        <v>8</v>
      </c>
      <c r="M83" s="44">
        <f t="shared" si="22"/>
        <v>180</v>
      </c>
      <c r="N83" s="45">
        <f t="shared" si="20"/>
        <v>0.2</v>
      </c>
      <c r="O83" s="49">
        <v>0</v>
      </c>
      <c r="P83" s="44">
        <f t="shared" si="30"/>
        <v>150</v>
      </c>
      <c r="Q83" s="50">
        <f t="shared" si="30"/>
        <v>210</v>
      </c>
    </row>
    <row r="84" spans="1:17" x14ac:dyDescent="0.25">
      <c r="A84" s="41">
        <f t="shared" si="27"/>
        <v>932</v>
      </c>
      <c r="B84" s="42">
        <f t="shared" si="27"/>
        <v>74</v>
      </c>
      <c r="C84" s="41" t="s">
        <v>2584</v>
      </c>
      <c r="D84" s="43">
        <f t="shared" si="28"/>
        <v>25</v>
      </c>
      <c r="E84" s="61">
        <f t="shared" si="23"/>
        <v>3.4090000000000007</v>
      </c>
      <c r="F84" s="61">
        <f t="shared" si="24"/>
        <v>42</v>
      </c>
      <c r="G84" s="64">
        <f t="shared" si="25"/>
        <v>0.58988764044943809</v>
      </c>
      <c r="H84" s="44">
        <f t="shared" si="18"/>
        <v>-29.432344969112751</v>
      </c>
      <c r="I84" s="42" t="str">
        <f t="shared" ref="I84:K95" si="31">I83</f>
        <v>Half</v>
      </c>
      <c r="J84" s="50">
        <f t="shared" si="31"/>
        <v>6</v>
      </c>
      <c r="K84" s="49">
        <f t="shared" si="31"/>
        <v>160</v>
      </c>
      <c r="L84" s="44">
        <f t="shared" si="26"/>
        <v>8</v>
      </c>
      <c r="M84" s="44">
        <f t="shared" si="22"/>
        <v>180</v>
      </c>
      <c r="N84" s="45">
        <f t="shared" si="20"/>
        <v>0.2</v>
      </c>
      <c r="O84" s="49">
        <v>30</v>
      </c>
      <c r="P84" s="44">
        <f t="shared" si="30"/>
        <v>150</v>
      </c>
      <c r="Q84" s="50">
        <f t="shared" si="30"/>
        <v>210</v>
      </c>
    </row>
    <row r="85" spans="1:17" x14ac:dyDescent="0.25">
      <c r="A85" s="41">
        <f t="shared" si="27"/>
        <v>933</v>
      </c>
      <c r="B85" s="42">
        <f t="shared" si="27"/>
        <v>75</v>
      </c>
      <c r="C85" s="41" t="s">
        <v>2585</v>
      </c>
      <c r="D85" s="43">
        <f t="shared" si="28"/>
        <v>25</v>
      </c>
      <c r="E85" s="61">
        <f t="shared" si="23"/>
        <v>3.4090000000000007</v>
      </c>
      <c r="F85" s="61">
        <f t="shared" si="24"/>
        <v>42</v>
      </c>
      <c r="G85" s="64">
        <f t="shared" si="25"/>
        <v>0.58988764044943809</v>
      </c>
      <c r="H85" s="44">
        <f t="shared" si="18"/>
        <v>-29.432344969112751</v>
      </c>
      <c r="I85" s="42" t="str">
        <f t="shared" si="31"/>
        <v>Half</v>
      </c>
      <c r="J85" s="50">
        <f t="shared" si="31"/>
        <v>6</v>
      </c>
      <c r="K85" s="49">
        <f t="shared" si="31"/>
        <v>160</v>
      </c>
      <c r="L85" s="44">
        <f t="shared" si="26"/>
        <v>8</v>
      </c>
      <c r="M85" s="44">
        <f t="shared" si="22"/>
        <v>180</v>
      </c>
      <c r="N85" s="45">
        <f t="shared" si="20"/>
        <v>0.2</v>
      </c>
      <c r="O85" s="49">
        <v>60</v>
      </c>
      <c r="P85" s="44">
        <f t="shared" si="30"/>
        <v>150</v>
      </c>
      <c r="Q85" s="50">
        <f t="shared" si="30"/>
        <v>210</v>
      </c>
    </row>
    <row r="86" spans="1:17" x14ac:dyDescent="0.25">
      <c r="A86" s="41">
        <f t="shared" si="27"/>
        <v>934</v>
      </c>
      <c r="B86" s="42">
        <f t="shared" si="27"/>
        <v>76</v>
      </c>
      <c r="C86" s="41" t="s">
        <v>2586</v>
      </c>
      <c r="D86" s="43">
        <f t="shared" si="28"/>
        <v>25</v>
      </c>
      <c r="E86" s="61">
        <f t="shared" si="23"/>
        <v>3.4090000000000007</v>
      </c>
      <c r="F86" s="61">
        <f t="shared" si="24"/>
        <v>42</v>
      </c>
      <c r="G86" s="64">
        <f t="shared" si="25"/>
        <v>0.58988764044943809</v>
      </c>
      <c r="H86" s="44">
        <f t="shared" si="18"/>
        <v>-29.432344969112751</v>
      </c>
      <c r="I86" s="42" t="str">
        <f t="shared" si="31"/>
        <v>Half</v>
      </c>
      <c r="J86" s="50">
        <f t="shared" si="31"/>
        <v>6</v>
      </c>
      <c r="K86" s="49">
        <f t="shared" si="31"/>
        <v>160</v>
      </c>
      <c r="L86" s="44">
        <f t="shared" si="26"/>
        <v>8</v>
      </c>
      <c r="M86" s="44">
        <f t="shared" si="22"/>
        <v>180</v>
      </c>
      <c r="N86" s="45">
        <f t="shared" si="20"/>
        <v>0.2</v>
      </c>
      <c r="O86" s="49">
        <v>90</v>
      </c>
      <c r="P86" s="44">
        <f t="shared" si="30"/>
        <v>150</v>
      </c>
      <c r="Q86" s="50">
        <f t="shared" si="30"/>
        <v>210</v>
      </c>
    </row>
    <row r="87" spans="1:17" x14ac:dyDescent="0.25">
      <c r="A87" s="41">
        <f t="shared" si="27"/>
        <v>935</v>
      </c>
      <c r="B87" s="42">
        <f t="shared" si="27"/>
        <v>77</v>
      </c>
      <c r="C87" s="41" t="s">
        <v>2587</v>
      </c>
      <c r="D87" s="43">
        <f t="shared" si="28"/>
        <v>25</v>
      </c>
      <c r="E87" s="61">
        <f t="shared" si="23"/>
        <v>3.4090000000000007</v>
      </c>
      <c r="F87" s="61">
        <f t="shared" si="24"/>
        <v>42</v>
      </c>
      <c r="G87" s="64">
        <f t="shared" si="25"/>
        <v>0.58988764044943809</v>
      </c>
      <c r="H87" s="44">
        <f t="shared" si="18"/>
        <v>-29.432344969112751</v>
      </c>
      <c r="I87" s="42" t="str">
        <f t="shared" si="31"/>
        <v>Half</v>
      </c>
      <c r="J87" s="50">
        <f t="shared" si="31"/>
        <v>6</v>
      </c>
      <c r="K87" s="49">
        <f t="shared" si="31"/>
        <v>160</v>
      </c>
      <c r="L87" s="44">
        <f t="shared" si="26"/>
        <v>8</v>
      </c>
      <c r="M87" s="44">
        <f t="shared" si="22"/>
        <v>210</v>
      </c>
      <c r="N87" s="45">
        <f t="shared" si="20"/>
        <v>0.2</v>
      </c>
      <c r="O87" s="49">
        <v>0</v>
      </c>
      <c r="P87" s="44">
        <f t="shared" si="30"/>
        <v>150</v>
      </c>
      <c r="Q87" s="50">
        <f t="shared" si="30"/>
        <v>210</v>
      </c>
    </row>
    <row r="88" spans="1:17" x14ac:dyDescent="0.25">
      <c r="A88" s="41">
        <f t="shared" si="27"/>
        <v>936</v>
      </c>
      <c r="B88" s="42">
        <f t="shared" si="27"/>
        <v>78</v>
      </c>
      <c r="C88" s="41" t="s">
        <v>2588</v>
      </c>
      <c r="D88" s="43">
        <f t="shared" si="28"/>
        <v>25</v>
      </c>
      <c r="E88" s="61">
        <f t="shared" si="23"/>
        <v>3.4090000000000007</v>
      </c>
      <c r="F88" s="61">
        <f t="shared" si="24"/>
        <v>42</v>
      </c>
      <c r="G88" s="64">
        <f t="shared" si="25"/>
        <v>0.58988764044943809</v>
      </c>
      <c r="H88" s="44">
        <f t="shared" si="18"/>
        <v>-29.432344969112751</v>
      </c>
      <c r="I88" s="42" t="str">
        <f t="shared" si="31"/>
        <v>Half</v>
      </c>
      <c r="J88" s="50">
        <f t="shared" si="31"/>
        <v>6</v>
      </c>
      <c r="K88" s="49">
        <f t="shared" si="31"/>
        <v>160</v>
      </c>
      <c r="L88" s="44">
        <f t="shared" si="26"/>
        <v>8</v>
      </c>
      <c r="M88" s="44">
        <f t="shared" si="22"/>
        <v>210</v>
      </c>
      <c r="N88" s="45">
        <f t="shared" si="20"/>
        <v>0.2</v>
      </c>
      <c r="O88" s="49">
        <v>30</v>
      </c>
      <c r="P88" s="44">
        <f t="shared" si="30"/>
        <v>150</v>
      </c>
      <c r="Q88" s="50">
        <f t="shared" si="30"/>
        <v>210</v>
      </c>
    </row>
    <row r="89" spans="1:17" x14ac:dyDescent="0.25">
      <c r="A89" s="41">
        <f t="shared" si="27"/>
        <v>937</v>
      </c>
      <c r="B89" s="42">
        <f t="shared" si="27"/>
        <v>79</v>
      </c>
      <c r="C89" s="41" t="s">
        <v>2589</v>
      </c>
      <c r="D89" s="43">
        <f t="shared" si="28"/>
        <v>25</v>
      </c>
      <c r="E89" s="61">
        <f t="shared" si="23"/>
        <v>3.4090000000000007</v>
      </c>
      <c r="F89" s="61">
        <f t="shared" si="24"/>
        <v>42</v>
      </c>
      <c r="G89" s="64">
        <f t="shared" si="25"/>
        <v>0.58988764044943809</v>
      </c>
      <c r="H89" s="44">
        <f t="shared" si="18"/>
        <v>-29.432344969112751</v>
      </c>
      <c r="I89" s="42" t="str">
        <f t="shared" si="31"/>
        <v>Half</v>
      </c>
      <c r="J89" s="50">
        <f t="shared" si="31"/>
        <v>6</v>
      </c>
      <c r="K89" s="49">
        <f t="shared" si="31"/>
        <v>160</v>
      </c>
      <c r="L89" s="44">
        <f t="shared" si="26"/>
        <v>8</v>
      </c>
      <c r="M89" s="44">
        <f t="shared" si="22"/>
        <v>210</v>
      </c>
      <c r="N89" s="45">
        <f t="shared" si="20"/>
        <v>0.2</v>
      </c>
      <c r="O89" s="49">
        <v>60</v>
      </c>
      <c r="P89" s="44">
        <f t="shared" si="30"/>
        <v>150</v>
      </c>
      <c r="Q89" s="50">
        <f t="shared" si="30"/>
        <v>210</v>
      </c>
    </row>
    <row r="90" spans="1:17" x14ac:dyDescent="0.25">
      <c r="A90" s="41">
        <f t="shared" si="27"/>
        <v>938</v>
      </c>
      <c r="B90" s="42">
        <f t="shared" si="27"/>
        <v>80</v>
      </c>
      <c r="C90" s="41" t="s">
        <v>2590</v>
      </c>
      <c r="D90" s="43">
        <f t="shared" si="28"/>
        <v>25</v>
      </c>
      <c r="E90" s="61">
        <f t="shared" si="23"/>
        <v>3.4090000000000007</v>
      </c>
      <c r="F90" s="61">
        <f t="shared" si="24"/>
        <v>42</v>
      </c>
      <c r="G90" s="64">
        <f t="shared" si="25"/>
        <v>0.58988764044943809</v>
      </c>
      <c r="H90" s="44">
        <f t="shared" si="18"/>
        <v>-29.432344969112751</v>
      </c>
      <c r="I90" s="42" t="str">
        <f t="shared" si="31"/>
        <v>Half</v>
      </c>
      <c r="J90" s="50">
        <f t="shared" si="31"/>
        <v>6</v>
      </c>
      <c r="K90" s="49">
        <f t="shared" si="31"/>
        <v>160</v>
      </c>
      <c r="L90" s="44">
        <f t="shared" si="26"/>
        <v>8</v>
      </c>
      <c r="M90" s="44">
        <f t="shared" si="22"/>
        <v>210</v>
      </c>
      <c r="N90" s="45">
        <f t="shared" si="20"/>
        <v>0.2</v>
      </c>
      <c r="O90" s="49">
        <v>90</v>
      </c>
      <c r="P90" s="44">
        <f t="shared" si="30"/>
        <v>150</v>
      </c>
      <c r="Q90" s="50">
        <f t="shared" si="30"/>
        <v>210</v>
      </c>
    </row>
    <row r="91" spans="1:17" x14ac:dyDescent="0.25">
      <c r="A91" s="41">
        <f t="shared" si="27"/>
        <v>939</v>
      </c>
      <c r="B91" s="42">
        <f t="shared" si="27"/>
        <v>81</v>
      </c>
      <c r="C91" s="41" t="s">
        <v>2591</v>
      </c>
      <c r="D91" s="43">
        <f t="shared" si="28"/>
        <v>25</v>
      </c>
      <c r="E91" s="61">
        <f t="shared" si="23"/>
        <v>3.4090000000000007</v>
      </c>
      <c r="F91" s="61">
        <f t="shared" si="24"/>
        <v>42</v>
      </c>
      <c r="G91" s="64">
        <f t="shared" si="25"/>
        <v>0.58988764044943809</v>
      </c>
      <c r="H91" s="44">
        <f t="shared" si="18"/>
        <v>-29.432344969112751</v>
      </c>
      <c r="I91" s="42" t="str">
        <f t="shared" si="31"/>
        <v>Half</v>
      </c>
      <c r="J91" s="50">
        <f t="shared" si="31"/>
        <v>6</v>
      </c>
      <c r="K91" s="49">
        <f t="shared" si="31"/>
        <v>160</v>
      </c>
      <c r="L91" s="44">
        <f t="shared" si="26"/>
        <v>8</v>
      </c>
      <c r="M91" s="44">
        <f t="shared" si="22"/>
        <v>240</v>
      </c>
      <c r="N91" s="45">
        <f t="shared" si="20"/>
        <v>0.2</v>
      </c>
      <c r="O91" s="49">
        <v>0</v>
      </c>
      <c r="P91" s="44">
        <f t="shared" si="30"/>
        <v>150</v>
      </c>
      <c r="Q91" s="50">
        <f t="shared" si="30"/>
        <v>210</v>
      </c>
    </row>
    <row r="92" spans="1:17" x14ac:dyDescent="0.25">
      <c r="A92" s="41">
        <f t="shared" ref="A92:B107" si="32">A91+1</f>
        <v>940</v>
      </c>
      <c r="B92" s="42">
        <f t="shared" si="32"/>
        <v>82</v>
      </c>
      <c r="C92" s="41" t="s">
        <v>2592</v>
      </c>
      <c r="D92" s="43">
        <f t="shared" si="28"/>
        <v>25</v>
      </c>
      <c r="E92" s="61">
        <f t="shared" si="23"/>
        <v>3.4090000000000007</v>
      </c>
      <c r="F92" s="61">
        <f t="shared" si="24"/>
        <v>42</v>
      </c>
      <c r="G92" s="64">
        <f t="shared" si="25"/>
        <v>0.58988764044943809</v>
      </c>
      <c r="H92" s="44">
        <f t="shared" si="18"/>
        <v>-29.432344969112751</v>
      </c>
      <c r="I92" s="42" t="str">
        <f>I91</f>
        <v>Half</v>
      </c>
      <c r="J92" s="50">
        <f t="shared" si="31"/>
        <v>6</v>
      </c>
      <c r="K92" s="49">
        <f t="shared" si="31"/>
        <v>160</v>
      </c>
      <c r="L92" s="44">
        <f t="shared" si="26"/>
        <v>8</v>
      </c>
      <c r="M92" s="44">
        <f t="shared" si="22"/>
        <v>240</v>
      </c>
      <c r="N92" s="45">
        <f t="shared" si="20"/>
        <v>0.2</v>
      </c>
      <c r="O92" s="49">
        <v>30</v>
      </c>
      <c r="P92" s="44">
        <f t="shared" si="30"/>
        <v>150</v>
      </c>
      <c r="Q92" s="50">
        <f t="shared" si="30"/>
        <v>210</v>
      </c>
    </row>
    <row r="93" spans="1:17" x14ac:dyDescent="0.25">
      <c r="A93" s="41">
        <f t="shared" si="32"/>
        <v>941</v>
      </c>
      <c r="B93" s="42">
        <f t="shared" si="32"/>
        <v>83</v>
      </c>
      <c r="C93" s="41" t="s">
        <v>2593</v>
      </c>
      <c r="D93" s="43">
        <f t="shared" si="28"/>
        <v>25</v>
      </c>
      <c r="E93" s="61">
        <f t="shared" si="23"/>
        <v>3.4090000000000007</v>
      </c>
      <c r="F93" s="61">
        <f t="shared" si="24"/>
        <v>42</v>
      </c>
      <c r="G93" s="64">
        <f t="shared" si="25"/>
        <v>0.58988764044943809</v>
      </c>
      <c r="H93" s="44">
        <f t="shared" si="18"/>
        <v>-29.432344969112751</v>
      </c>
      <c r="I93" s="42" t="str">
        <f>I92</f>
        <v>Half</v>
      </c>
      <c r="J93" s="50">
        <f t="shared" si="31"/>
        <v>6</v>
      </c>
      <c r="K93" s="49">
        <f t="shared" si="31"/>
        <v>160</v>
      </c>
      <c r="L93" s="44">
        <f t="shared" si="26"/>
        <v>8</v>
      </c>
      <c r="M93" s="44">
        <f t="shared" si="22"/>
        <v>240</v>
      </c>
      <c r="N93" s="45">
        <f t="shared" si="20"/>
        <v>0.2</v>
      </c>
      <c r="O93" s="49">
        <v>60</v>
      </c>
      <c r="P93" s="44">
        <f t="shared" ref="P93:Q108" si="33">P92</f>
        <v>150</v>
      </c>
      <c r="Q93" s="50">
        <f t="shared" si="33"/>
        <v>210</v>
      </c>
    </row>
    <row r="94" spans="1:17" x14ac:dyDescent="0.25">
      <c r="A94" s="41">
        <f t="shared" si="32"/>
        <v>942</v>
      </c>
      <c r="B94" s="42">
        <f t="shared" si="32"/>
        <v>84</v>
      </c>
      <c r="C94" s="41" t="s">
        <v>2594</v>
      </c>
      <c r="D94" s="43">
        <f t="shared" si="28"/>
        <v>25</v>
      </c>
      <c r="E94" s="61">
        <f t="shared" si="23"/>
        <v>3.4090000000000007</v>
      </c>
      <c r="F94" s="61">
        <f t="shared" si="24"/>
        <v>42</v>
      </c>
      <c r="G94" s="64">
        <f t="shared" si="25"/>
        <v>0.58988764044943809</v>
      </c>
      <c r="H94" s="44">
        <f t="shared" si="18"/>
        <v>-29.432344969112751</v>
      </c>
      <c r="I94" s="42" t="str">
        <f>I93</f>
        <v>Half</v>
      </c>
      <c r="J94" s="50">
        <f t="shared" si="31"/>
        <v>6</v>
      </c>
      <c r="K94" s="49">
        <f t="shared" si="31"/>
        <v>160</v>
      </c>
      <c r="L94" s="44">
        <f t="shared" si="26"/>
        <v>8</v>
      </c>
      <c r="M94" s="44">
        <f t="shared" si="22"/>
        <v>240</v>
      </c>
      <c r="N94" s="45">
        <f t="shared" si="20"/>
        <v>0.2</v>
      </c>
      <c r="O94" s="49">
        <v>90</v>
      </c>
      <c r="P94" s="44">
        <f t="shared" si="33"/>
        <v>150</v>
      </c>
      <c r="Q94" s="50">
        <f t="shared" si="33"/>
        <v>210</v>
      </c>
    </row>
    <row r="95" spans="1:17" x14ac:dyDescent="0.25">
      <c r="A95" s="41">
        <f t="shared" si="32"/>
        <v>943</v>
      </c>
      <c r="B95" s="42">
        <f t="shared" si="32"/>
        <v>85</v>
      </c>
      <c r="C95" s="41" t="s">
        <v>2595</v>
      </c>
      <c r="D95" s="43">
        <f t="shared" si="28"/>
        <v>25</v>
      </c>
      <c r="E95" s="61">
        <f t="shared" si="23"/>
        <v>3.4090000000000007</v>
      </c>
      <c r="F95" s="61">
        <f t="shared" si="24"/>
        <v>42</v>
      </c>
      <c r="G95" s="64">
        <f t="shared" si="25"/>
        <v>0.58988764044943809</v>
      </c>
      <c r="H95" s="44">
        <f t="shared" si="18"/>
        <v>-29.432344969112751</v>
      </c>
      <c r="I95" s="42" t="str">
        <f t="shared" ref="I95:K100" si="34">I94</f>
        <v>Half</v>
      </c>
      <c r="J95" s="50">
        <f t="shared" si="34"/>
        <v>6</v>
      </c>
      <c r="K95" s="49">
        <f t="shared" si="31"/>
        <v>160</v>
      </c>
      <c r="L95" s="44">
        <f t="shared" si="26"/>
        <v>8</v>
      </c>
      <c r="M95" s="44">
        <f t="shared" si="22"/>
        <v>270</v>
      </c>
      <c r="N95" s="45">
        <f t="shared" si="20"/>
        <v>0.2</v>
      </c>
      <c r="O95" s="49">
        <v>0</v>
      </c>
      <c r="P95" s="44">
        <f t="shared" si="33"/>
        <v>150</v>
      </c>
      <c r="Q95" s="50">
        <f t="shared" si="33"/>
        <v>210</v>
      </c>
    </row>
    <row r="96" spans="1:17" x14ac:dyDescent="0.25">
      <c r="A96" s="41">
        <f t="shared" si="32"/>
        <v>944</v>
      </c>
      <c r="B96" s="42">
        <f t="shared" si="32"/>
        <v>86</v>
      </c>
      <c r="C96" s="41" t="s">
        <v>2596</v>
      </c>
      <c r="D96" s="43">
        <f t="shared" si="28"/>
        <v>25</v>
      </c>
      <c r="E96" s="61">
        <f t="shared" si="23"/>
        <v>3.4090000000000007</v>
      </c>
      <c r="F96" s="61">
        <f t="shared" si="24"/>
        <v>42</v>
      </c>
      <c r="G96" s="64">
        <f t="shared" si="25"/>
        <v>0.58988764044943809</v>
      </c>
      <c r="H96" s="44">
        <f t="shared" si="18"/>
        <v>-29.432344969112751</v>
      </c>
      <c r="I96" s="42" t="str">
        <f t="shared" si="34"/>
        <v>Half</v>
      </c>
      <c r="J96" s="50">
        <f t="shared" si="34"/>
        <v>6</v>
      </c>
      <c r="K96" s="49">
        <f t="shared" si="34"/>
        <v>160</v>
      </c>
      <c r="L96" s="44">
        <f t="shared" si="26"/>
        <v>8</v>
      </c>
      <c r="M96" s="44">
        <f t="shared" si="22"/>
        <v>270</v>
      </c>
      <c r="N96" s="45">
        <f t="shared" si="20"/>
        <v>0.2</v>
      </c>
      <c r="O96" s="49">
        <v>30</v>
      </c>
      <c r="P96" s="44">
        <f t="shared" si="33"/>
        <v>150</v>
      </c>
      <c r="Q96" s="50">
        <f t="shared" si="33"/>
        <v>210</v>
      </c>
    </row>
    <row r="97" spans="1:17" x14ac:dyDescent="0.25">
      <c r="A97" s="41">
        <f t="shared" si="32"/>
        <v>945</v>
      </c>
      <c r="B97" s="42">
        <f t="shared" si="32"/>
        <v>87</v>
      </c>
      <c r="C97" s="41" t="s">
        <v>2597</v>
      </c>
      <c r="D97" s="43">
        <f t="shared" si="28"/>
        <v>25</v>
      </c>
      <c r="E97" s="61">
        <f t="shared" si="23"/>
        <v>3.4090000000000007</v>
      </c>
      <c r="F97" s="61">
        <f t="shared" si="24"/>
        <v>42</v>
      </c>
      <c r="G97" s="64">
        <f t="shared" si="25"/>
        <v>0.58988764044943809</v>
      </c>
      <c r="H97" s="44">
        <f t="shared" si="18"/>
        <v>-29.432344969112751</v>
      </c>
      <c r="I97" s="42" t="str">
        <f t="shared" si="34"/>
        <v>Half</v>
      </c>
      <c r="J97" s="50">
        <f t="shared" si="34"/>
        <v>6</v>
      </c>
      <c r="K97" s="49">
        <f t="shared" si="34"/>
        <v>160</v>
      </c>
      <c r="L97" s="44">
        <f t="shared" si="26"/>
        <v>8</v>
      </c>
      <c r="M97" s="44">
        <f t="shared" si="22"/>
        <v>270</v>
      </c>
      <c r="N97" s="45">
        <f t="shared" si="20"/>
        <v>0.2</v>
      </c>
      <c r="O97" s="49">
        <v>60</v>
      </c>
      <c r="P97" s="44">
        <f t="shared" si="33"/>
        <v>150</v>
      </c>
      <c r="Q97" s="50">
        <f t="shared" si="33"/>
        <v>210</v>
      </c>
    </row>
    <row r="98" spans="1:17" x14ac:dyDescent="0.25">
      <c r="A98" s="41">
        <f t="shared" si="32"/>
        <v>946</v>
      </c>
      <c r="B98" s="42">
        <f t="shared" si="32"/>
        <v>88</v>
      </c>
      <c r="C98" s="41" t="s">
        <v>2598</v>
      </c>
      <c r="D98" s="43">
        <f t="shared" si="28"/>
        <v>25</v>
      </c>
      <c r="E98" s="61">
        <f t="shared" si="23"/>
        <v>3.4090000000000007</v>
      </c>
      <c r="F98" s="61">
        <f t="shared" si="24"/>
        <v>42</v>
      </c>
      <c r="G98" s="64">
        <f t="shared" si="25"/>
        <v>0.58988764044943809</v>
      </c>
      <c r="H98" s="44">
        <f t="shared" si="18"/>
        <v>-29.432344969112751</v>
      </c>
      <c r="I98" s="42" t="str">
        <f t="shared" si="34"/>
        <v>Half</v>
      </c>
      <c r="J98" s="50">
        <f t="shared" si="34"/>
        <v>6</v>
      </c>
      <c r="K98" s="49">
        <f t="shared" si="34"/>
        <v>160</v>
      </c>
      <c r="L98" s="44">
        <f t="shared" si="26"/>
        <v>8</v>
      </c>
      <c r="M98" s="44">
        <f t="shared" si="22"/>
        <v>270</v>
      </c>
      <c r="N98" s="45">
        <f t="shared" si="20"/>
        <v>0.2</v>
      </c>
      <c r="O98" s="49">
        <v>90</v>
      </c>
      <c r="P98" s="44">
        <f t="shared" si="33"/>
        <v>150</v>
      </c>
      <c r="Q98" s="50">
        <f t="shared" si="33"/>
        <v>210</v>
      </c>
    </row>
    <row r="99" spans="1:17" x14ac:dyDescent="0.25">
      <c r="A99" s="41">
        <f t="shared" si="32"/>
        <v>947</v>
      </c>
      <c r="B99" s="42">
        <f t="shared" si="32"/>
        <v>89</v>
      </c>
      <c r="C99" s="41" t="s">
        <v>2599</v>
      </c>
      <c r="D99" s="43">
        <f t="shared" si="28"/>
        <v>25</v>
      </c>
      <c r="E99" s="61">
        <f t="shared" si="23"/>
        <v>3.4090000000000007</v>
      </c>
      <c r="F99" s="61">
        <f t="shared" si="24"/>
        <v>42</v>
      </c>
      <c r="G99" s="64">
        <f t="shared" si="25"/>
        <v>0.58988764044943809</v>
      </c>
      <c r="H99" s="44">
        <f t="shared" si="18"/>
        <v>-29.432344969112751</v>
      </c>
      <c r="I99" s="42" t="s">
        <v>12</v>
      </c>
      <c r="J99" s="50">
        <f t="shared" si="34"/>
        <v>6</v>
      </c>
      <c r="K99" s="49">
        <f t="shared" si="34"/>
        <v>160</v>
      </c>
      <c r="L99" s="44">
        <f t="shared" si="26"/>
        <v>8</v>
      </c>
      <c r="M99" s="44">
        <f t="shared" si="22"/>
        <v>300</v>
      </c>
      <c r="N99" s="45">
        <f t="shared" si="20"/>
        <v>0.2</v>
      </c>
      <c r="O99" s="49">
        <v>0</v>
      </c>
      <c r="P99" s="44">
        <f t="shared" si="33"/>
        <v>150</v>
      </c>
      <c r="Q99" s="50">
        <f t="shared" si="33"/>
        <v>210</v>
      </c>
    </row>
    <row r="100" spans="1:17" x14ac:dyDescent="0.25">
      <c r="A100" s="41">
        <f t="shared" si="32"/>
        <v>948</v>
      </c>
      <c r="B100" s="42">
        <f t="shared" si="32"/>
        <v>90</v>
      </c>
      <c r="C100" s="41" t="s">
        <v>2600</v>
      </c>
      <c r="D100" s="43">
        <f t="shared" si="28"/>
        <v>25</v>
      </c>
      <c r="E100" s="61">
        <f t="shared" si="23"/>
        <v>3.4090000000000007</v>
      </c>
      <c r="F100" s="61">
        <f t="shared" si="24"/>
        <v>42</v>
      </c>
      <c r="G100" s="64">
        <f t="shared" si="25"/>
        <v>0.58988764044943809</v>
      </c>
      <c r="H100" s="44">
        <f t="shared" si="18"/>
        <v>-29.432344969112751</v>
      </c>
      <c r="I100" s="42" t="str">
        <f>I99</f>
        <v>Half</v>
      </c>
      <c r="J100" s="50">
        <f t="shared" si="34"/>
        <v>6</v>
      </c>
      <c r="K100" s="49">
        <f t="shared" si="34"/>
        <v>160</v>
      </c>
      <c r="L100" s="44">
        <f t="shared" si="26"/>
        <v>8</v>
      </c>
      <c r="M100" s="44">
        <f t="shared" si="22"/>
        <v>300</v>
      </c>
      <c r="N100" s="45">
        <f t="shared" si="20"/>
        <v>0.2</v>
      </c>
      <c r="O100" s="49">
        <v>30</v>
      </c>
      <c r="P100" s="44">
        <f t="shared" si="33"/>
        <v>150</v>
      </c>
      <c r="Q100" s="50">
        <f t="shared" si="33"/>
        <v>210</v>
      </c>
    </row>
    <row r="101" spans="1:17" x14ac:dyDescent="0.25">
      <c r="A101" s="41">
        <f t="shared" si="32"/>
        <v>949</v>
      </c>
      <c r="B101" s="42">
        <f t="shared" si="32"/>
        <v>91</v>
      </c>
      <c r="C101" s="41" t="s">
        <v>2601</v>
      </c>
      <c r="D101" s="43">
        <f t="shared" si="28"/>
        <v>25</v>
      </c>
      <c r="E101" s="61">
        <f t="shared" si="23"/>
        <v>3.4090000000000007</v>
      </c>
      <c r="F101" s="61">
        <f t="shared" si="24"/>
        <v>42</v>
      </c>
      <c r="G101" s="64">
        <f t="shared" si="25"/>
        <v>0.58988764044943809</v>
      </c>
      <c r="H101" s="44">
        <f t="shared" si="18"/>
        <v>-29.432344969112751</v>
      </c>
      <c r="I101" s="42" t="str">
        <f t="shared" ref="I101:K116" si="35">I100</f>
        <v>Half</v>
      </c>
      <c r="J101" s="50">
        <f t="shared" si="35"/>
        <v>6</v>
      </c>
      <c r="K101" s="49">
        <f t="shared" si="35"/>
        <v>160</v>
      </c>
      <c r="L101" s="44">
        <f t="shared" si="26"/>
        <v>8</v>
      </c>
      <c r="M101" s="44">
        <f t="shared" si="22"/>
        <v>300</v>
      </c>
      <c r="N101" s="45">
        <f t="shared" si="20"/>
        <v>0.2</v>
      </c>
      <c r="O101" s="49">
        <v>60</v>
      </c>
      <c r="P101" s="44">
        <f t="shared" si="33"/>
        <v>150</v>
      </c>
      <c r="Q101" s="50">
        <f t="shared" si="33"/>
        <v>210</v>
      </c>
    </row>
    <row r="102" spans="1:17" x14ac:dyDescent="0.25">
      <c r="A102" s="41">
        <f t="shared" si="32"/>
        <v>950</v>
      </c>
      <c r="B102" s="42">
        <f t="shared" si="32"/>
        <v>92</v>
      </c>
      <c r="C102" s="41" t="s">
        <v>2602</v>
      </c>
      <c r="D102" s="43">
        <f t="shared" si="28"/>
        <v>25</v>
      </c>
      <c r="E102" s="61">
        <f t="shared" si="23"/>
        <v>3.4090000000000007</v>
      </c>
      <c r="F102" s="61">
        <f t="shared" si="24"/>
        <v>42</v>
      </c>
      <c r="G102" s="64">
        <f t="shared" si="25"/>
        <v>0.58988764044943809</v>
      </c>
      <c r="H102" s="44">
        <f t="shared" si="18"/>
        <v>-29.432344969112751</v>
      </c>
      <c r="I102" s="42" t="str">
        <f t="shared" si="35"/>
        <v>Half</v>
      </c>
      <c r="J102" s="50">
        <f t="shared" si="35"/>
        <v>6</v>
      </c>
      <c r="K102" s="49">
        <f t="shared" si="35"/>
        <v>160</v>
      </c>
      <c r="L102" s="44">
        <f t="shared" si="26"/>
        <v>8</v>
      </c>
      <c r="M102" s="44">
        <f>M98+30</f>
        <v>300</v>
      </c>
      <c r="N102" s="45">
        <f t="shared" si="20"/>
        <v>0.2</v>
      </c>
      <c r="O102" s="49">
        <v>90</v>
      </c>
      <c r="P102" s="44">
        <f t="shared" si="33"/>
        <v>150</v>
      </c>
      <c r="Q102" s="50">
        <f t="shared" si="33"/>
        <v>210</v>
      </c>
    </row>
    <row r="103" spans="1:17" x14ac:dyDescent="0.25">
      <c r="A103" s="41">
        <f t="shared" si="32"/>
        <v>951</v>
      </c>
      <c r="B103" s="42">
        <f t="shared" si="32"/>
        <v>93</v>
      </c>
      <c r="C103" s="41" t="s">
        <v>2603</v>
      </c>
      <c r="D103" s="43">
        <f t="shared" si="28"/>
        <v>25</v>
      </c>
      <c r="E103" s="61">
        <f t="shared" si="23"/>
        <v>3.4090000000000007</v>
      </c>
      <c r="F103" s="61">
        <f t="shared" si="24"/>
        <v>42</v>
      </c>
      <c r="G103" s="64">
        <f t="shared" si="25"/>
        <v>0.58988764044943809</v>
      </c>
      <c r="H103" s="44">
        <f t="shared" si="18"/>
        <v>-29.432344969112751</v>
      </c>
      <c r="I103" s="42" t="str">
        <f t="shared" si="35"/>
        <v>Half</v>
      </c>
      <c r="J103" s="50">
        <f t="shared" si="35"/>
        <v>6</v>
      </c>
      <c r="K103" s="49">
        <f t="shared" si="35"/>
        <v>160</v>
      </c>
      <c r="L103" s="44">
        <f t="shared" si="26"/>
        <v>8</v>
      </c>
      <c r="M103" s="44">
        <f t="shared" si="22"/>
        <v>330</v>
      </c>
      <c r="N103" s="45">
        <f t="shared" si="20"/>
        <v>0.2</v>
      </c>
      <c r="O103" s="49">
        <v>0</v>
      </c>
      <c r="P103" s="44">
        <f t="shared" si="33"/>
        <v>150</v>
      </c>
      <c r="Q103" s="50">
        <f t="shared" si="33"/>
        <v>210</v>
      </c>
    </row>
    <row r="104" spans="1:17" x14ac:dyDescent="0.25">
      <c r="A104" s="41">
        <f t="shared" si="32"/>
        <v>952</v>
      </c>
      <c r="B104" s="42">
        <f t="shared" si="32"/>
        <v>94</v>
      </c>
      <c r="C104" s="41" t="s">
        <v>2604</v>
      </c>
      <c r="D104" s="43">
        <f t="shared" si="28"/>
        <v>25</v>
      </c>
      <c r="E104" s="61">
        <f t="shared" si="23"/>
        <v>3.4090000000000007</v>
      </c>
      <c r="F104" s="61">
        <f t="shared" si="24"/>
        <v>42</v>
      </c>
      <c r="G104" s="64">
        <f t="shared" si="25"/>
        <v>0.58988764044943809</v>
      </c>
      <c r="H104" s="44">
        <f t="shared" si="18"/>
        <v>-29.432344969112751</v>
      </c>
      <c r="I104" s="42" t="str">
        <f t="shared" si="35"/>
        <v>Half</v>
      </c>
      <c r="J104" s="50">
        <f t="shared" si="35"/>
        <v>6</v>
      </c>
      <c r="K104" s="49">
        <f t="shared" si="35"/>
        <v>160</v>
      </c>
      <c r="L104" s="44">
        <f t="shared" si="26"/>
        <v>8</v>
      </c>
      <c r="M104" s="44">
        <f t="shared" si="22"/>
        <v>330</v>
      </c>
      <c r="N104" s="45">
        <f t="shared" si="20"/>
        <v>0.2</v>
      </c>
      <c r="O104" s="49">
        <v>30</v>
      </c>
      <c r="P104" s="44">
        <f t="shared" si="33"/>
        <v>150</v>
      </c>
      <c r="Q104" s="50">
        <f t="shared" si="33"/>
        <v>210</v>
      </c>
    </row>
    <row r="105" spans="1:17" x14ac:dyDescent="0.25">
      <c r="A105" s="41">
        <f t="shared" si="32"/>
        <v>953</v>
      </c>
      <c r="B105" s="42">
        <f t="shared" si="32"/>
        <v>95</v>
      </c>
      <c r="C105" s="41" t="s">
        <v>2605</v>
      </c>
      <c r="D105" s="43">
        <f t="shared" si="28"/>
        <v>25</v>
      </c>
      <c r="E105" s="61">
        <f t="shared" si="23"/>
        <v>3.4090000000000007</v>
      </c>
      <c r="F105" s="61">
        <f t="shared" si="24"/>
        <v>42</v>
      </c>
      <c r="G105" s="64">
        <f t="shared" si="25"/>
        <v>0.58988764044943809</v>
      </c>
      <c r="H105" s="44">
        <f t="shared" si="18"/>
        <v>-29.432344969112751</v>
      </c>
      <c r="I105" s="42" t="str">
        <f t="shared" si="35"/>
        <v>Half</v>
      </c>
      <c r="J105" s="50">
        <f t="shared" si="35"/>
        <v>6</v>
      </c>
      <c r="K105" s="49">
        <f t="shared" si="35"/>
        <v>160</v>
      </c>
      <c r="L105" s="44">
        <f t="shared" si="26"/>
        <v>8</v>
      </c>
      <c r="M105" s="44">
        <f t="shared" si="22"/>
        <v>330</v>
      </c>
      <c r="N105" s="45">
        <f t="shared" si="20"/>
        <v>0.2</v>
      </c>
      <c r="O105" s="49">
        <v>60</v>
      </c>
      <c r="P105" s="44">
        <f t="shared" si="33"/>
        <v>150</v>
      </c>
      <c r="Q105" s="50">
        <f t="shared" si="33"/>
        <v>210</v>
      </c>
    </row>
    <row r="106" spans="1:17" x14ac:dyDescent="0.25">
      <c r="A106" s="41">
        <f t="shared" si="32"/>
        <v>954</v>
      </c>
      <c r="B106" s="42">
        <f t="shared" si="32"/>
        <v>96</v>
      </c>
      <c r="C106" s="127" t="s">
        <v>2606</v>
      </c>
      <c r="D106" s="43">
        <f t="shared" si="28"/>
        <v>25</v>
      </c>
      <c r="E106" s="61">
        <f t="shared" si="23"/>
        <v>3.4090000000000007</v>
      </c>
      <c r="F106" s="61">
        <f t="shared" si="24"/>
        <v>42</v>
      </c>
      <c r="G106" s="64">
        <f t="shared" si="25"/>
        <v>0.58988764044943809</v>
      </c>
      <c r="H106" s="44">
        <f t="shared" si="18"/>
        <v>-29.432344969112751</v>
      </c>
      <c r="I106" s="42" t="str">
        <f t="shared" si="35"/>
        <v>Half</v>
      </c>
      <c r="J106" s="50">
        <f t="shared" si="35"/>
        <v>6</v>
      </c>
      <c r="K106" s="49">
        <f t="shared" si="35"/>
        <v>160</v>
      </c>
      <c r="L106" s="44">
        <f t="shared" si="26"/>
        <v>8</v>
      </c>
      <c r="M106" s="128">
        <f>M102+30</f>
        <v>330</v>
      </c>
      <c r="N106" s="45">
        <f t="shared" si="20"/>
        <v>0.2</v>
      </c>
      <c r="O106" s="49">
        <v>90</v>
      </c>
      <c r="P106" s="44">
        <f t="shared" si="33"/>
        <v>150</v>
      </c>
      <c r="Q106" s="50">
        <f t="shared" si="33"/>
        <v>210</v>
      </c>
    </row>
    <row r="107" spans="1:17" x14ac:dyDescent="0.25">
      <c r="A107" s="41">
        <f t="shared" si="32"/>
        <v>955</v>
      </c>
      <c r="B107" s="42">
        <f t="shared" si="32"/>
        <v>97</v>
      </c>
      <c r="C107" s="41" t="s">
        <v>2607</v>
      </c>
      <c r="D107" s="43">
        <f>0.6*v_tref</f>
        <v>34.199999999999996</v>
      </c>
      <c r="E107" s="61">
        <f t="shared" si="23"/>
        <v>4.375</v>
      </c>
      <c r="F107" s="61">
        <f t="shared" si="24"/>
        <v>42</v>
      </c>
      <c r="G107" s="64">
        <f t="shared" si="25"/>
        <v>0.58988764044943809</v>
      </c>
      <c r="H107" s="44">
        <f t="shared" si="18"/>
        <v>-27.618592548519779</v>
      </c>
      <c r="I107" s="42" t="str">
        <f t="shared" si="35"/>
        <v>Half</v>
      </c>
      <c r="J107" s="50">
        <f t="shared" si="35"/>
        <v>6</v>
      </c>
      <c r="K107" s="49">
        <f t="shared" si="35"/>
        <v>160</v>
      </c>
      <c r="L107" s="44">
        <f t="shared" si="26"/>
        <v>8</v>
      </c>
      <c r="M107" s="44">
        <v>0</v>
      </c>
      <c r="N107" s="45">
        <f t="shared" si="20"/>
        <v>0.2</v>
      </c>
      <c r="O107" s="49">
        <v>0</v>
      </c>
      <c r="P107" s="44">
        <f t="shared" si="33"/>
        <v>150</v>
      </c>
      <c r="Q107" s="50">
        <f t="shared" si="33"/>
        <v>210</v>
      </c>
    </row>
    <row r="108" spans="1:17" x14ac:dyDescent="0.25">
      <c r="A108" s="41">
        <f t="shared" ref="A108:B123" si="36">A107+1</f>
        <v>956</v>
      </c>
      <c r="B108" s="42">
        <f t="shared" si="36"/>
        <v>98</v>
      </c>
      <c r="C108" s="41" t="s">
        <v>2608</v>
      </c>
      <c r="D108" s="43">
        <f>D107</f>
        <v>34.199999999999996</v>
      </c>
      <c r="E108" s="61">
        <f t="shared" si="23"/>
        <v>4.375</v>
      </c>
      <c r="F108" s="61">
        <f t="shared" si="24"/>
        <v>42</v>
      </c>
      <c r="G108" s="64">
        <f t="shared" si="25"/>
        <v>0.58988764044943809</v>
      </c>
      <c r="H108" s="44">
        <f>6.4*ATAN(E108/D108*G108)/PI()*180</f>
        <v>27.618592548519779</v>
      </c>
      <c r="I108" s="42" t="str">
        <f t="shared" si="35"/>
        <v>Half</v>
      </c>
      <c r="J108" s="50">
        <f t="shared" si="35"/>
        <v>6</v>
      </c>
      <c r="K108" s="49">
        <f t="shared" si="35"/>
        <v>160</v>
      </c>
      <c r="L108" s="44">
        <f t="shared" si="26"/>
        <v>8</v>
      </c>
      <c r="M108" s="44">
        <v>0</v>
      </c>
      <c r="N108" s="45">
        <f t="shared" si="20"/>
        <v>0.2</v>
      </c>
      <c r="O108" s="49">
        <v>30</v>
      </c>
      <c r="P108" s="44">
        <f t="shared" si="33"/>
        <v>150</v>
      </c>
      <c r="Q108" s="50">
        <f t="shared" si="33"/>
        <v>210</v>
      </c>
    </row>
    <row r="109" spans="1:17" x14ac:dyDescent="0.25">
      <c r="A109" s="41">
        <f t="shared" si="36"/>
        <v>957</v>
      </c>
      <c r="B109" s="42">
        <f t="shared" si="36"/>
        <v>99</v>
      </c>
      <c r="C109" s="41" t="s">
        <v>2609</v>
      </c>
      <c r="D109" s="43">
        <f t="shared" ref="D109:D172" si="37">D108</f>
        <v>34.199999999999996</v>
      </c>
      <c r="E109" s="61">
        <f t="shared" si="23"/>
        <v>4.375</v>
      </c>
      <c r="F109" s="61">
        <f t="shared" si="24"/>
        <v>42</v>
      </c>
      <c r="G109" s="64">
        <f t="shared" si="25"/>
        <v>0.58988764044943809</v>
      </c>
      <c r="H109" s="44">
        <f t="shared" ref="H109:H154" si="38">6.4*ATAN(E109/D109*G109)/PI()*180</f>
        <v>27.618592548519779</v>
      </c>
      <c r="I109" s="42" t="str">
        <f t="shared" si="35"/>
        <v>Half</v>
      </c>
      <c r="J109" s="50">
        <f t="shared" si="35"/>
        <v>6</v>
      </c>
      <c r="K109" s="49">
        <f t="shared" si="35"/>
        <v>160</v>
      </c>
      <c r="L109" s="44">
        <f t="shared" si="26"/>
        <v>8</v>
      </c>
      <c r="M109" s="44">
        <v>0</v>
      </c>
      <c r="N109" s="45">
        <f t="shared" si="20"/>
        <v>0.2</v>
      </c>
      <c r="O109" s="49">
        <v>60</v>
      </c>
      <c r="P109" s="44">
        <f t="shared" ref="P109:Q124" si="39">P108</f>
        <v>150</v>
      </c>
      <c r="Q109" s="50">
        <f t="shared" si="39"/>
        <v>210</v>
      </c>
    </row>
    <row r="110" spans="1:17" x14ac:dyDescent="0.25">
      <c r="A110" s="41">
        <f t="shared" si="36"/>
        <v>958</v>
      </c>
      <c r="B110" s="42">
        <f t="shared" si="36"/>
        <v>100</v>
      </c>
      <c r="C110" s="41" t="s">
        <v>2610</v>
      </c>
      <c r="D110" s="43">
        <f t="shared" si="37"/>
        <v>34.199999999999996</v>
      </c>
      <c r="E110" s="61">
        <f t="shared" si="23"/>
        <v>4.375</v>
      </c>
      <c r="F110" s="61">
        <f t="shared" si="24"/>
        <v>42</v>
      </c>
      <c r="G110" s="64">
        <f t="shared" si="25"/>
        <v>0.58988764044943809</v>
      </c>
      <c r="H110" s="44">
        <f t="shared" si="38"/>
        <v>27.618592548519779</v>
      </c>
      <c r="I110" s="42" t="str">
        <f t="shared" si="35"/>
        <v>Half</v>
      </c>
      <c r="J110" s="50">
        <f t="shared" si="35"/>
        <v>6</v>
      </c>
      <c r="K110" s="49">
        <f t="shared" si="35"/>
        <v>160</v>
      </c>
      <c r="L110" s="44">
        <f t="shared" si="26"/>
        <v>8</v>
      </c>
      <c r="M110" s="44">
        <v>0</v>
      </c>
      <c r="N110" s="45">
        <f t="shared" si="20"/>
        <v>0.2</v>
      </c>
      <c r="O110" s="49">
        <v>90</v>
      </c>
      <c r="P110" s="44">
        <f t="shared" si="39"/>
        <v>150</v>
      </c>
      <c r="Q110" s="50">
        <f t="shared" si="39"/>
        <v>210</v>
      </c>
    </row>
    <row r="111" spans="1:17" x14ac:dyDescent="0.25">
      <c r="A111" s="41">
        <f t="shared" si="36"/>
        <v>959</v>
      </c>
      <c r="B111" s="42">
        <f t="shared" si="36"/>
        <v>101</v>
      </c>
      <c r="C111" s="41" t="s">
        <v>2611</v>
      </c>
      <c r="D111" s="43">
        <f t="shared" si="37"/>
        <v>34.199999999999996</v>
      </c>
      <c r="E111" s="61">
        <f t="shared" si="23"/>
        <v>4.375</v>
      </c>
      <c r="F111" s="61">
        <f t="shared" si="24"/>
        <v>42</v>
      </c>
      <c r="G111" s="64">
        <f t="shared" si="25"/>
        <v>0.58988764044943809</v>
      </c>
      <c r="H111" s="44">
        <f t="shared" si="38"/>
        <v>27.618592548519779</v>
      </c>
      <c r="I111" s="42" t="str">
        <f t="shared" si="35"/>
        <v>Half</v>
      </c>
      <c r="J111" s="50">
        <f t="shared" si="35"/>
        <v>6</v>
      </c>
      <c r="K111" s="49">
        <f t="shared" si="35"/>
        <v>160</v>
      </c>
      <c r="L111" s="44">
        <f t="shared" si="26"/>
        <v>8</v>
      </c>
      <c r="M111" s="44">
        <f>M107+30</f>
        <v>30</v>
      </c>
      <c r="N111" s="45">
        <f t="shared" si="20"/>
        <v>0.2</v>
      </c>
      <c r="O111" s="49">
        <v>0</v>
      </c>
      <c r="P111" s="44">
        <f t="shared" si="39"/>
        <v>150</v>
      </c>
      <c r="Q111" s="50">
        <f t="shared" si="39"/>
        <v>210</v>
      </c>
    </row>
    <row r="112" spans="1:17" x14ac:dyDescent="0.25">
      <c r="A112" s="41">
        <f t="shared" si="36"/>
        <v>960</v>
      </c>
      <c r="B112" s="42">
        <f t="shared" si="36"/>
        <v>102</v>
      </c>
      <c r="C112" s="41" t="s">
        <v>2612</v>
      </c>
      <c r="D112" s="43">
        <f t="shared" si="37"/>
        <v>34.199999999999996</v>
      </c>
      <c r="E112" s="61">
        <f t="shared" si="23"/>
        <v>4.375</v>
      </c>
      <c r="F112" s="61">
        <f t="shared" si="24"/>
        <v>42</v>
      </c>
      <c r="G112" s="64">
        <f t="shared" si="25"/>
        <v>0.58988764044943809</v>
      </c>
      <c r="H112" s="44">
        <f t="shared" si="38"/>
        <v>27.618592548519779</v>
      </c>
      <c r="I112" s="42" t="str">
        <f t="shared" si="35"/>
        <v>Half</v>
      </c>
      <c r="J112" s="50">
        <f t="shared" si="35"/>
        <v>6</v>
      </c>
      <c r="K112" s="49">
        <f t="shared" si="35"/>
        <v>160</v>
      </c>
      <c r="L112" s="44">
        <f t="shared" si="26"/>
        <v>8</v>
      </c>
      <c r="M112" s="44">
        <f t="shared" ref="M112:M153" si="40">M108+30</f>
        <v>30</v>
      </c>
      <c r="N112" s="45">
        <f t="shared" si="20"/>
        <v>0.2</v>
      </c>
      <c r="O112" s="49">
        <v>30</v>
      </c>
      <c r="P112" s="44">
        <f t="shared" si="39"/>
        <v>150</v>
      </c>
      <c r="Q112" s="50">
        <f t="shared" si="39"/>
        <v>210</v>
      </c>
    </row>
    <row r="113" spans="1:17" x14ac:dyDescent="0.25">
      <c r="A113" s="41">
        <f t="shared" si="36"/>
        <v>961</v>
      </c>
      <c r="B113" s="42">
        <f t="shared" si="36"/>
        <v>103</v>
      </c>
      <c r="C113" s="41" t="s">
        <v>2613</v>
      </c>
      <c r="D113" s="43">
        <f t="shared" si="37"/>
        <v>34.199999999999996</v>
      </c>
      <c r="E113" s="61">
        <f t="shared" si="23"/>
        <v>4.375</v>
      </c>
      <c r="F113" s="61">
        <f t="shared" si="24"/>
        <v>42</v>
      </c>
      <c r="G113" s="64">
        <f t="shared" si="25"/>
        <v>0.58988764044943809</v>
      </c>
      <c r="H113" s="44">
        <f t="shared" si="38"/>
        <v>27.618592548519779</v>
      </c>
      <c r="I113" s="42" t="str">
        <f t="shared" si="35"/>
        <v>Half</v>
      </c>
      <c r="J113" s="50">
        <f t="shared" si="35"/>
        <v>6</v>
      </c>
      <c r="K113" s="49">
        <f t="shared" si="35"/>
        <v>160</v>
      </c>
      <c r="L113" s="44">
        <f t="shared" si="26"/>
        <v>8</v>
      </c>
      <c r="M113" s="44">
        <f t="shared" si="40"/>
        <v>30</v>
      </c>
      <c r="N113" s="45">
        <f t="shared" si="20"/>
        <v>0.2</v>
      </c>
      <c r="O113" s="49">
        <v>60</v>
      </c>
      <c r="P113" s="44">
        <f t="shared" si="39"/>
        <v>150</v>
      </c>
      <c r="Q113" s="50">
        <f t="shared" si="39"/>
        <v>210</v>
      </c>
    </row>
    <row r="114" spans="1:17" x14ac:dyDescent="0.25">
      <c r="A114" s="41">
        <f t="shared" si="36"/>
        <v>962</v>
      </c>
      <c r="B114" s="42">
        <f t="shared" si="36"/>
        <v>104</v>
      </c>
      <c r="C114" s="41" t="s">
        <v>2614</v>
      </c>
      <c r="D114" s="43">
        <f t="shared" si="37"/>
        <v>34.199999999999996</v>
      </c>
      <c r="E114" s="61">
        <f t="shared" si="23"/>
        <v>4.375</v>
      </c>
      <c r="F114" s="61">
        <f t="shared" si="24"/>
        <v>42</v>
      </c>
      <c r="G114" s="64">
        <f t="shared" si="25"/>
        <v>0.58988764044943809</v>
      </c>
      <c r="H114" s="44">
        <f t="shared" si="38"/>
        <v>27.618592548519779</v>
      </c>
      <c r="I114" s="42" t="str">
        <f t="shared" si="35"/>
        <v>Half</v>
      </c>
      <c r="J114" s="50">
        <f t="shared" si="35"/>
        <v>6</v>
      </c>
      <c r="K114" s="49">
        <f t="shared" si="35"/>
        <v>160</v>
      </c>
      <c r="L114" s="44">
        <f t="shared" si="26"/>
        <v>8</v>
      </c>
      <c r="M114" s="44">
        <f t="shared" si="40"/>
        <v>30</v>
      </c>
      <c r="N114" s="45">
        <f t="shared" si="20"/>
        <v>0.2</v>
      </c>
      <c r="O114" s="49">
        <v>90</v>
      </c>
      <c r="P114" s="44">
        <f t="shared" si="39"/>
        <v>150</v>
      </c>
      <c r="Q114" s="50">
        <f t="shared" si="39"/>
        <v>210</v>
      </c>
    </row>
    <row r="115" spans="1:17" x14ac:dyDescent="0.25">
      <c r="A115" s="41">
        <f t="shared" si="36"/>
        <v>963</v>
      </c>
      <c r="B115" s="42">
        <f t="shared" si="36"/>
        <v>105</v>
      </c>
      <c r="C115" s="41" t="s">
        <v>2615</v>
      </c>
      <c r="D115" s="43">
        <f t="shared" si="37"/>
        <v>34.199999999999996</v>
      </c>
      <c r="E115" s="61">
        <f t="shared" si="23"/>
        <v>4.375</v>
      </c>
      <c r="F115" s="61">
        <f t="shared" si="24"/>
        <v>42</v>
      </c>
      <c r="G115" s="64">
        <f t="shared" si="25"/>
        <v>0.58988764044943809</v>
      </c>
      <c r="H115" s="44">
        <f t="shared" si="38"/>
        <v>27.618592548519779</v>
      </c>
      <c r="I115" s="42" t="s">
        <v>12</v>
      </c>
      <c r="J115" s="50">
        <f t="shared" si="35"/>
        <v>6</v>
      </c>
      <c r="K115" s="49">
        <f t="shared" si="35"/>
        <v>160</v>
      </c>
      <c r="L115" s="44">
        <f t="shared" si="26"/>
        <v>8</v>
      </c>
      <c r="M115" s="44">
        <f>M111+30</f>
        <v>60</v>
      </c>
      <c r="N115" s="45">
        <f t="shared" si="20"/>
        <v>0.2</v>
      </c>
      <c r="O115" s="49">
        <v>0</v>
      </c>
      <c r="P115" s="44">
        <f t="shared" si="39"/>
        <v>150</v>
      </c>
      <c r="Q115" s="50">
        <f t="shared" si="39"/>
        <v>210</v>
      </c>
    </row>
    <row r="116" spans="1:17" x14ac:dyDescent="0.25">
      <c r="A116" s="41">
        <f t="shared" si="36"/>
        <v>964</v>
      </c>
      <c r="B116" s="42">
        <f t="shared" si="36"/>
        <v>106</v>
      </c>
      <c r="C116" s="41" t="s">
        <v>2616</v>
      </c>
      <c r="D116" s="43">
        <f t="shared" si="37"/>
        <v>34.199999999999996</v>
      </c>
      <c r="E116" s="61">
        <f t="shared" si="23"/>
        <v>4.375</v>
      </c>
      <c r="F116" s="61">
        <f t="shared" si="24"/>
        <v>42</v>
      </c>
      <c r="G116" s="64">
        <f t="shared" si="25"/>
        <v>0.58988764044943809</v>
      </c>
      <c r="H116" s="44">
        <f t="shared" si="38"/>
        <v>27.618592548519779</v>
      </c>
      <c r="I116" s="42" t="str">
        <f>I115</f>
        <v>Half</v>
      </c>
      <c r="J116" s="50">
        <f t="shared" si="35"/>
        <v>6</v>
      </c>
      <c r="K116" s="49">
        <f t="shared" si="35"/>
        <v>160</v>
      </c>
      <c r="L116" s="44">
        <f t="shared" si="26"/>
        <v>8</v>
      </c>
      <c r="M116" s="44">
        <f t="shared" si="40"/>
        <v>60</v>
      </c>
      <c r="N116" s="45">
        <f t="shared" si="20"/>
        <v>0.2</v>
      </c>
      <c r="O116" s="49">
        <v>30</v>
      </c>
      <c r="P116" s="44">
        <f t="shared" si="39"/>
        <v>150</v>
      </c>
      <c r="Q116" s="50">
        <f t="shared" si="39"/>
        <v>210</v>
      </c>
    </row>
    <row r="117" spans="1:17" x14ac:dyDescent="0.25">
      <c r="A117" s="41">
        <f t="shared" si="36"/>
        <v>965</v>
      </c>
      <c r="B117" s="42">
        <f t="shared" si="36"/>
        <v>107</v>
      </c>
      <c r="C117" s="41" t="s">
        <v>2617</v>
      </c>
      <c r="D117" s="43">
        <f t="shared" si="37"/>
        <v>34.199999999999996</v>
      </c>
      <c r="E117" s="61">
        <f t="shared" si="23"/>
        <v>4.375</v>
      </c>
      <c r="F117" s="61">
        <f t="shared" si="24"/>
        <v>42</v>
      </c>
      <c r="G117" s="64">
        <f t="shared" si="25"/>
        <v>0.58988764044943809</v>
      </c>
      <c r="H117" s="44">
        <f t="shared" si="38"/>
        <v>27.618592548519779</v>
      </c>
      <c r="I117" s="42" t="str">
        <f t="shared" ref="I117:K131" si="41">I116</f>
        <v>Half</v>
      </c>
      <c r="J117" s="50">
        <f t="shared" si="41"/>
        <v>6</v>
      </c>
      <c r="K117" s="49">
        <f t="shared" si="41"/>
        <v>160</v>
      </c>
      <c r="L117" s="44">
        <f t="shared" si="26"/>
        <v>8</v>
      </c>
      <c r="M117" s="44">
        <f t="shared" si="40"/>
        <v>60</v>
      </c>
      <c r="N117" s="45">
        <f t="shared" si="20"/>
        <v>0.2</v>
      </c>
      <c r="O117" s="49">
        <v>60</v>
      </c>
      <c r="P117" s="44">
        <f t="shared" si="39"/>
        <v>150</v>
      </c>
      <c r="Q117" s="50">
        <f t="shared" si="39"/>
        <v>210</v>
      </c>
    </row>
    <row r="118" spans="1:17" x14ac:dyDescent="0.25">
      <c r="A118" s="41">
        <f t="shared" si="36"/>
        <v>966</v>
      </c>
      <c r="B118" s="42">
        <f t="shared" si="36"/>
        <v>108</v>
      </c>
      <c r="C118" s="41" t="s">
        <v>2618</v>
      </c>
      <c r="D118" s="43">
        <f t="shared" si="37"/>
        <v>34.199999999999996</v>
      </c>
      <c r="E118" s="61">
        <f t="shared" si="23"/>
        <v>4.375</v>
      </c>
      <c r="F118" s="61">
        <f t="shared" si="24"/>
        <v>42</v>
      </c>
      <c r="G118" s="64">
        <f t="shared" si="25"/>
        <v>0.58988764044943809</v>
      </c>
      <c r="H118" s="44">
        <f t="shared" si="38"/>
        <v>27.618592548519779</v>
      </c>
      <c r="I118" s="42" t="str">
        <f t="shared" si="41"/>
        <v>Half</v>
      </c>
      <c r="J118" s="50">
        <f t="shared" si="41"/>
        <v>6</v>
      </c>
      <c r="K118" s="49">
        <f t="shared" si="41"/>
        <v>160</v>
      </c>
      <c r="L118" s="44">
        <f t="shared" si="26"/>
        <v>8</v>
      </c>
      <c r="M118" s="44">
        <f t="shared" si="40"/>
        <v>60</v>
      </c>
      <c r="N118" s="45">
        <f t="shared" si="20"/>
        <v>0.2</v>
      </c>
      <c r="O118" s="49">
        <v>90</v>
      </c>
      <c r="P118" s="44">
        <f t="shared" si="39"/>
        <v>150</v>
      </c>
      <c r="Q118" s="50">
        <f t="shared" si="39"/>
        <v>210</v>
      </c>
    </row>
    <row r="119" spans="1:17" x14ac:dyDescent="0.25">
      <c r="A119" s="41">
        <f t="shared" si="36"/>
        <v>967</v>
      </c>
      <c r="B119" s="42">
        <f t="shared" si="36"/>
        <v>109</v>
      </c>
      <c r="C119" s="41" t="s">
        <v>2619</v>
      </c>
      <c r="D119" s="43">
        <f t="shared" si="37"/>
        <v>34.199999999999996</v>
      </c>
      <c r="E119" s="61">
        <f t="shared" si="23"/>
        <v>4.375</v>
      </c>
      <c r="F119" s="61">
        <f t="shared" si="24"/>
        <v>42</v>
      </c>
      <c r="G119" s="64">
        <f t="shared" si="25"/>
        <v>0.58988764044943809</v>
      </c>
      <c r="H119" s="44">
        <f t="shared" si="38"/>
        <v>27.618592548519779</v>
      </c>
      <c r="I119" s="42" t="str">
        <f t="shared" si="41"/>
        <v>Half</v>
      </c>
      <c r="J119" s="50">
        <f t="shared" si="41"/>
        <v>6</v>
      </c>
      <c r="K119" s="49">
        <f t="shared" si="41"/>
        <v>160</v>
      </c>
      <c r="L119" s="44">
        <f t="shared" si="26"/>
        <v>8</v>
      </c>
      <c r="M119" s="44">
        <f t="shared" si="40"/>
        <v>90</v>
      </c>
      <c r="N119" s="45">
        <f t="shared" si="20"/>
        <v>0.2</v>
      </c>
      <c r="O119" s="49">
        <v>0</v>
      </c>
      <c r="P119" s="44">
        <f t="shared" si="39"/>
        <v>150</v>
      </c>
      <c r="Q119" s="50">
        <f t="shared" si="39"/>
        <v>210</v>
      </c>
    </row>
    <row r="120" spans="1:17" x14ac:dyDescent="0.25">
      <c r="A120" s="41">
        <f t="shared" si="36"/>
        <v>968</v>
      </c>
      <c r="B120" s="42">
        <f t="shared" si="36"/>
        <v>110</v>
      </c>
      <c r="C120" s="41" t="s">
        <v>2620</v>
      </c>
      <c r="D120" s="43">
        <f t="shared" si="37"/>
        <v>34.199999999999996</v>
      </c>
      <c r="E120" s="61">
        <f t="shared" si="23"/>
        <v>4.375</v>
      </c>
      <c r="F120" s="61">
        <f t="shared" si="24"/>
        <v>42</v>
      </c>
      <c r="G120" s="64">
        <f t="shared" si="25"/>
        <v>0.58988764044943809</v>
      </c>
      <c r="H120" s="44">
        <f t="shared" si="38"/>
        <v>27.618592548519779</v>
      </c>
      <c r="I120" s="42" t="str">
        <f t="shared" si="41"/>
        <v>Half</v>
      </c>
      <c r="J120" s="50">
        <f t="shared" si="41"/>
        <v>6</v>
      </c>
      <c r="K120" s="49">
        <f t="shared" si="41"/>
        <v>160</v>
      </c>
      <c r="L120" s="44">
        <f t="shared" si="26"/>
        <v>8</v>
      </c>
      <c r="M120" s="44">
        <f t="shared" si="40"/>
        <v>90</v>
      </c>
      <c r="N120" s="45">
        <f t="shared" si="20"/>
        <v>0.2</v>
      </c>
      <c r="O120" s="49">
        <v>30</v>
      </c>
      <c r="P120" s="44">
        <f t="shared" si="39"/>
        <v>150</v>
      </c>
      <c r="Q120" s="50">
        <f t="shared" si="39"/>
        <v>210</v>
      </c>
    </row>
    <row r="121" spans="1:17" x14ac:dyDescent="0.25">
      <c r="A121" s="41">
        <f t="shared" si="36"/>
        <v>969</v>
      </c>
      <c r="B121" s="42">
        <f t="shared" si="36"/>
        <v>111</v>
      </c>
      <c r="C121" s="41" t="s">
        <v>2621</v>
      </c>
      <c r="D121" s="43">
        <f t="shared" si="37"/>
        <v>34.199999999999996</v>
      </c>
      <c r="E121" s="61">
        <f t="shared" si="23"/>
        <v>4.375</v>
      </c>
      <c r="F121" s="61">
        <f t="shared" si="24"/>
        <v>42</v>
      </c>
      <c r="G121" s="64">
        <f t="shared" si="25"/>
        <v>0.58988764044943809</v>
      </c>
      <c r="H121" s="44">
        <f t="shared" si="38"/>
        <v>27.618592548519779</v>
      </c>
      <c r="I121" s="42" t="str">
        <f t="shared" si="41"/>
        <v>Half</v>
      </c>
      <c r="J121" s="50">
        <f t="shared" si="41"/>
        <v>6</v>
      </c>
      <c r="K121" s="49">
        <f t="shared" si="41"/>
        <v>160</v>
      </c>
      <c r="L121" s="44">
        <f t="shared" si="26"/>
        <v>8</v>
      </c>
      <c r="M121" s="44">
        <f t="shared" si="40"/>
        <v>90</v>
      </c>
      <c r="N121" s="45">
        <f t="shared" si="20"/>
        <v>0.2</v>
      </c>
      <c r="O121" s="49">
        <v>60</v>
      </c>
      <c r="P121" s="44">
        <f t="shared" si="39"/>
        <v>150</v>
      </c>
      <c r="Q121" s="50">
        <f t="shared" si="39"/>
        <v>210</v>
      </c>
    </row>
    <row r="122" spans="1:17" x14ac:dyDescent="0.25">
      <c r="A122" s="41">
        <f t="shared" si="36"/>
        <v>970</v>
      </c>
      <c r="B122" s="42">
        <f t="shared" si="36"/>
        <v>112</v>
      </c>
      <c r="C122" s="41" t="s">
        <v>2622</v>
      </c>
      <c r="D122" s="43">
        <f t="shared" si="37"/>
        <v>34.199999999999996</v>
      </c>
      <c r="E122" s="61">
        <f t="shared" si="23"/>
        <v>4.375</v>
      </c>
      <c r="F122" s="61">
        <f t="shared" si="24"/>
        <v>42</v>
      </c>
      <c r="G122" s="64">
        <f t="shared" si="25"/>
        <v>0.58988764044943809</v>
      </c>
      <c r="H122" s="44">
        <f t="shared" si="38"/>
        <v>27.618592548519779</v>
      </c>
      <c r="I122" s="42" t="str">
        <f t="shared" si="41"/>
        <v>Half</v>
      </c>
      <c r="J122" s="50">
        <f t="shared" si="41"/>
        <v>6</v>
      </c>
      <c r="K122" s="49">
        <f t="shared" si="41"/>
        <v>160</v>
      </c>
      <c r="L122" s="44">
        <f t="shared" si="26"/>
        <v>8</v>
      </c>
      <c r="M122" s="44">
        <f t="shared" si="40"/>
        <v>90</v>
      </c>
      <c r="N122" s="45">
        <f t="shared" si="20"/>
        <v>0.2</v>
      </c>
      <c r="O122" s="49">
        <v>90</v>
      </c>
      <c r="P122" s="44">
        <f t="shared" si="39"/>
        <v>150</v>
      </c>
      <c r="Q122" s="50">
        <f t="shared" si="39"/>
        <v>210</v>
      </c>
    </row>
    <row r="123" spans="1:17" x14ac:dyDescent="0.25">
      <c r="A123" s="41">
        <f t="shared" si="36"/>
        <v>971</v>
      </c>
      <c r="B123" s="42">
        <f t="shared" si="36"/>
        <v>113</v>
      </c>
      <c r="C123" s="41" t="s">
        <v>2623</v>
      </c>
      <c r="D123" s="43">
        <f t="shared" si="37"/>
        <v>34.199999999999996</v>
      </c>
      <c r="E123" s="61">
        <f t="shared" si="23"/>
        <v>4.375</v>
      </c>
      <c r="F123" s="61">
        <f t="shared" si="24"/>
        <v>42</v>
      </c>
      <c r="G123" s="64">
        <f t="shared" si="25"/>
        <v>0.58988764044943809</v>
      </c>
      <c r="H123" s="44">
        <f t="shared" si="38"/>
        <v>27.618592548519779</v>
      </c>
      <c r="I123" s="42" t="str">
        <f t="shared" si="41"/>
        <v>Half</v>
      </c>
      <c r="J123" s="50">
        <f t="shared" si="41"/>
        <v>6</v>
      </c>
      <c r="K123" s="49">
        <f t="shared" si="41"/>
        <v>160</v>
      </c>
      <c r="L123" s="44">
        <f t="shared" si="26"/>
        <v>8</v>
      </c>
      <c r="M123" s="44">
        <f t="shared" si="40"/>
        <v>120</v>
      </c>
      <c r="N123" s="45">
        <f t="shared" si="20"/>
        <v>0.2</v>
      </c>
      <c r="O123" s="49">
        <v>0</v>
      </c>
      <c r="P123" s="44">
        <f t="shared" si="39"/>
        <v>150</v>
      </c>
      <c r="Q123" s="50">
        <f t="shared" si="39"/>
        <v>210</v>
      </c>
    </row>
    <row r="124" spans="1:17" x14ac:dyDescent="0.25">
      <c r="A124" s="41">
        <f t="shared" ref="A124:B139" si="42">A123+1</f>
        <v>972</v>
      </c>
      <c r="B124" s="42">
        <f t="shared" si="42"/>
        <v>114</v>
      </c>
      <c r="C124" s="41" t="s">
        <v>2624</v>
      </c>
      <c r="D124" s="43">
        <f t="shared" si="37"/>
        <v>34.199999999999996</v>
      </c>
      <c r="E124" s="61">
        <f t="shared" si="23"/>
        <v>4.375</v>
      </c>
      <c r="F124" s="61">
        <f t="shared" si="24"/>
        <v>42</v>
      </c>
      <c r="G124" s="64">
        <f t="shared" si="25"/>
        <v>0.58988764044943809</v>
      </c>
      <c r="H124" s="44">
        <f t="shared" si="38"/>
        <v>27.618592548519779</v>
      </c>
      <c r="I124" s="42" t="str">
        <f t="shared" si="41"/>
        <v>Half</v>
      </c>
      <c r="J124" s="50">
        <f t="shared" si="41"/>
        <v>6</v>
      </c>
      <c r="K124" s="49">
        <f t="shared" si="41"/>
        <v>160</v>
      </c>
      <c r="L124" s="44">
        <f t="shared" si="26"/>
        <v>8</v>
      </c>
      <c r="M124" s="44">
        <f t="shared" si="40"/>
        <v>120</v>
      </c>
      <c r="N124" s="45">
        <f t="shared" si="20"/>
        <v>0.2</v>
      </c>
      <c r="O124" s="49">
        <v>30</v>
      </c>
      <c r="P124" s="44">
        <f t="shared" si="39"/>
        <v>150</v>
      </c>
      <c r="Q124" s="50">
        <f t="shared" si="39"/>
        <v>210</v>
      </c>
    </row>
    <row r="125" spans="1:17" x14ac:dyDescent="0.25">
      <c r="A125" s="41">
        <f t="shared" si="42"/>
        <v>973</v>
      </c>
      <c r="B125" s="42">
        <f t="shared" si="42"/>
        <v>115</v>
      </c>
      <c r="C125" s="41" t="s">
        <v>2625</v>
      </c>
      <c r="D125" s="43">
        <f t="shared" si="37"/>
        <v>34.199999999999996</v>
      </c>
      <c r="E125" s="61">
        <f t="shared" si="23"/>
        <v>4.375</v>
      </c>
      <c r="F125" s="61">
        <f t="shared" si="24"/>
        <v>42</v>
      </c>
      <c r="G125" s="64">
        <f t="shared" si="25"/>
        <v>0.58988764044943809</v>
      </c>
      <c r="H125" s="44">
        <f t="shared" si="38"/>
        <v>27.618592548519779</v>
      </c>
      <c r="I125" s="42" t="str">
        <f t="shared" si="41"/>
        <v>Half</v>
      </c>
      <c r="J125" s="50">
        <f t="shared" si="41"/>
        <v>6</v>
      </c>
      <c r="K125" s="49">
        <f t="shared" si="41"/>
        <v>160</v>
      </c>
      <c r="L125" s="44">
        <f t="shared" si="26"/>
        <v>8</v>
      </c>
      <c r="M125" s="44">
        <f t="shared" si="40"/>
        <v>120</v>
      </c>
      <c r="N125" s="45">
        <f t="shared" ref="N125:N188" si="43">N124</f>
        <v>0.2</v>
      </c>
      <c r="O125" s="49">
        <v>60</v>
      </c>
      <c r="P125" s="44">
        <f t="shared" ref="P125:Q140" si="44">P124</f>
        <v>150</v>
      </c>
      <c r="Q125" s="50">
        <f t="shared" si="44"/>
        <v>210</v>
      </c>
    </row>
    <row r="126" spans="1:17" x14ac:dyDescent="0.25">
      <c r="A126" s="41">
        <f t="shared" si="42"/>
        <v>974</v>
      </c>
      <c r="B126" s="42">
        <f t="shared" si="42"/>
        <v>116</v>
      </c>
      <c r="C126" s="41" t="s">
        <v>2626</v>
      </c>
      <c r="D126" s="43">
        <f t="shared" si="37"/>
        <v>34.199999999999996</v>
      </c>
      <c r="E126" s="61">
        <f t="shared" si="23"/>
        <v>4.375</v>
      </c>
      <c r="F126" s="61">
        <f t="shared" si="24"/>
        <v>42</v>
      </c>
      <c r="G126" s="64">
        <f t="shared" si="25"/>
        <v>0.58988764044943809</v>
      </c>
      <c r="H126" s="44">
        <f t="shared" si="38"/>
        <v>27.618592548519779</v>
      </c>
      <c r="I126" s="42" t="str">
        <f t="shared" si="41"/>
        <v>Half</v>
      </c>
      <c r="J126" s="50">
        <f t="shared" si="41"/>
        <v>6</v>
      </c>
      <c r="K126" s="49">
        <f t="shared" si="41"/>
        <v>160</v>
      </c>
      <c r="L126" s="44">
        <f t="shared" si="26"/>
        <v>8</v>
      </c>
      <c r="M126" s="44">
        <f t="shared" si="40"/>
        <v>120</v>
      </c>
      <c r="N126" s="45">
        <f t="shared" si="43"/>
        <v>0.2</v>
      </c>
      <c r="O126" s="49">
        <v>90</v>
      </c>
      <c r="P126" s="44">
        <f t="shared" si="44"/>
        <v>150</v>
      </c>
      <c r="Q126" s="50">
        <f t="shared" si="44"/>
        <v>210</v>
      </c>
    </row>
    <row r="127" spans="1:17" x14ac:dyDescent="0.25">
      <c r="A127" s="41">
        <f t="shared" si="42"/>
        <v>975</v>
      </c>
      <c r="B127" s="42">
        <f t="shared" si="42"/>
        <v>117</v>
      </c>
      <c r="C127" s="41" t="s">
        <v>2627</v>
      </c>
      <c r="D127" s="43">
        <f t="shared" si="37"/>
        <v>34.199999999999996</v>
      </c>
      <c r="E127" s="61">
        <f t="shared" si="23"/>
        <v>4.375</v>
      </c>
      <c r="F127" s="61">
        <f t="shared" si="24"/>
        <v>42</v>
      </c>
      <c r="G127" s="64">
        <f t="shared" si="25"/>
        <v>0.58988764044943809</v>
      </c>
      <c r="H127" s="44">
        <f t="shared" si="38"/>
        <v>27.618592548519779</v>
      </c>
      <c r="I127" s="42" t="str">
        <f t="shared" si="41"/>
        <v>Half</v>
      </c>
      <c r="J127" s="50">
        <f t="shared" si="41"/>
        <v>6</v>
      </c>
      <c r="K127" s="49">
        <f t="shared" si="41"/>
        <v>160</v>
      </c>
      <c r="L127" s="44">
        <f t="shared" si="26"/>
        <v>8</v>
      </c>
      <c r="M127" s="44">
        <f t="shared" si="40"/>
        <v>150</v>
      </c>
      <c r="N127" s="45">
        <f t="shared" si="43"/>
        <v>0.2</v>
      </c>
      <c r="O127" s="49">
        <v>0</v>
      </c>
      <c r="P127" s="44">
        <f t="shared" si="44"/>
        <v>150</v>
      </c>
      <c r="Q127" s="50">
        <f t="shared" si="44"/>
        <v>210</v>
      </c>
    </row>
    <row r="128" spans="1:17" x14ac:dyDescent="0.25">
      <c r="A128" s="41">
        <f t="shared" si="42"/>
        <v>976</v>
      </c>
      <c r="B128" s="42">
        <f t="shared" si="42"/>
        <v>118</v>
      </c>
      <c r="C128" s="41" t="s">
        <v>2628</v>
      </c>
      <c r="D128" s="43">
        <f t="shared" si="37"/>
        <v>34.199999999999996</v>
      </c>
      <c r="E128" s="61">
        <f t="shared" si="23"/>
        <v>4.375</v>
      </c>
      <c r="F128" s="61">
        <f t="shared" si="24"/>
        <v>42</v>
      </c>
      <c r="G128" s="64">
        <f t="shared" si="25"/>
        <v>0.58988764044943809</v>
      </c>
      <c r="H128" s="44">
        <f t="shared" si="38"/>
        <v>27.618592548519779</v>
      </c>
      <c r="I128" s="42" t="str">
        <f>I127</f>
        <v>Half</v>
      </c>
      <c r="J128" s="50">
        <f t="shared" si="41"/>
        <v>6</v>
      </c>
      <c r="K128" s="49">
        <f t="shared" si="41"/>
        <v>160</v>
      </c>
      <c r="L128" s="44">
        <f t="shared" si="26"/>
        <v>8</v>
      </c>
      <c r="M128" s="44">
        <f t="shared" si="40"/>
        <v>150</v>
      </c>
      <c r="N128" s="45">
        <f t="shared" si="43"/>
        <v>0.2</v>
      </c>
      <c r="O128" s="49">
        <v>30</v>
      </c>
      <c r="P128" s="44">
        <f t="shared" si="44"/>
        <v>150</v>
      </c>
      <c r="Q128" s="50">
        <f t="shared" si="44"/>
        <v>210</v>
      </c>
    </row>
    <row r="129" spans="1:17" x14ac:dyDescent="0.25">
      <c r="A129" s="41">
        <f t="shared" si="42"/>
        <v>977</v>
      </c>
      <c r="B129" s="42">
        <f t="shared" si="42"/>
        <v>119</v>
      </c>
      <c r="C129" s="41" t="s">
        <v>2629</v>
      </c>
      <c r="D129" s="43">
        <f t="shared" si="37"/>
        <v>34.199999999999996</v>
      </c>
      <c r="E129" s="61">
        <f t="shared" si="23"/>
        <v>4.375</v>
      </c>
      <c r="F129" s="61">
        <f t="shared" si="24"/>
        <v>42</v>
      </c>
      <c r="G129" s="64">
        <f t="shared" si="25"/>
        <v>0.58988764044943809</v>
      </c>
      <c r="H129" s="44">
        <f t="shared" si="38"/>
        <v>27.618592548519779</v>
      </c>
      <c r="I129" s="42" t="str">
        <f>I128</f>
        <v>Half</v>
      </c>
      <c r="J129" s="50">
        <f t="shared" si="41"/>
        <v>6</v>
      </c>
      <c r="K129" s="49">
        <f t="shared" si="41"/>
        <v>160</v>
      </c>
      <c r="L129" s="44">
        <f t="shared" si="26"/>
        <v>8</v>
      </c>
      <c r="M129" s="44">
        <f t="shared" si="40"/>
        <v>150</v>
      </c>
      <c r="N129" s="45">
        <f t="shared" si="43"/>
        <v>0.2</v>
      </c>
      <c r="O129" s="49">
        <v>60</v>
      </c>
      <c r="P129" s="44">
        <f t="shared" si="44"/>
        <v>150</v>
      </c>
      <c r="Q129" s="50">
        <f t="shared" si="44"/>
        <v>210</v>
      </c>
    </row>
    <row r="130" spans="1:17" x14ac:dyDescent="0.25">
      <c r="A130" s="41">
        <f t="shared" si="42"/>
        <v>978</v>
      </c>
      <c r="B130" s="42">
        <f t="shared" si="42"/>
        <v>120</v>
      </c>
      <c r="C130" s="41" t="s">
        <v>2630</v>
      </c>
      <c r="D130" s="43">
        <f t="shared" si="37"/>
        <v>34.199999999999996</v>
      </c>
      <c r="E130" s="61">
        <f t="shared" si="23"/>
        <v>4.375</v>
      </c>
      <c r="F130" s="61">
        <f t="shared" si="24"/>
        <v>42</v>
      </c>
      <c r="G130" s="64">
        <f t="shared" si="25"/>
        <v>0.58988764044943809</v>
      </c>
      <c r="H130" s="44">
        <f t="shared" si="38"/>
        <v>27.618592548519779</v>
      </c>
      <c r="I130" s="42" t="str">
        <f>I129</f>
        <v>Half</v>
      </c>
      <c r="J130" s="50">
        <f t="shared" si="41"/>
        <v>6</v>
      </c>
      <c r="K130" s="49">
        <f t="shared" si="41"/>
        <v>160</v>
      </c>
      <c r="L130" s="44">
        <f t="shared" si="26"/>
        <v>8</v>
      </c>
      <c r="M130" s="44">
        <f t="shared" si="40"/>
        <v>150</v>
      </c>
      <c r="N130" s="45">
        <f t="shared" si="43"/>
        <v>0.2</v>
      </c>
      <c r="O130" s="49">
        <v>90</v>
      </c>
      <c r="P130" s="44">
        <f t="shared" si="44"/>
        <v>150</v>
      </c>
      <c r="Q130" s="50">
        <f t="shared" si="44"/>
        <v>210</v>
      </c>
    </row>
    <row r="131" spans="1:17" x14ac:dyDescent="0.25">
      <c r="A131" s="41">
        <f t="shared" si="42"/>
        <v>979</v>
      </c>
      <c r="B131" s="42">
        <f t="shared" si="42"/>
        <v>121</v>
      </c>
      <c r="C131" s="41" t="s">
        <v>2631</v>
      </c>
      <c r="D131" s="43">
        <f t="shared" si="37"/>
        <v>34.199999999999996</v>
      </c>
      <c r="E131" s="61">
        <f t="shared" si="23"/>
        <v>4.375</v>
      </c>
      <c r="F131" s="61">
        <f t="shared" si="24"/>
        <v>42</v>
      </c>
      <c r="G131" s="64">
        <f t="shared" si="25"/>
        <v>0.58988764044943809</v>
      </c>
      <c r="H131" s="44">
        <f t="shared" si="38"/>
        <v>27.618592548519779</v>
      </c>
      <c r="I131" s="42" t="str">
        <f t="shared" ref="I131:K136" si="45">I130</f>
        <v>Half</v>
      </c>
      <c r="J131" s="50">
        <f t="shared" si="45"/>
        <v>6</v>
      </c>
      <c r="K131" s="49">
        <f t="shared" si="41"/>
        <v>160</v>
      </c>
      <c r="L131" s="44">
        <f t="shared" si="26"/>
        <v>8</v>
      </c>
      <c r="M131" s="44">
        <f t="shared" si="40"/>
        <v>180</v>
      </c>
      <c r="N131" s="45">
        <f t="shared" si="43"/>
        <v>0.2</v>
      </c>
      <c r="O131" s="49">
        <v>0</v>
      </c>
      <c r="P131" s="44">
        <f t="shared" si="44"/>
        <v>150</v>
      </c>
      <c r="Q131" s="50">
        <f t="shared" si="44"/>
        <v>210</v>
      </c>
    </row>
    <row r="132" spans="1:17" x14ac:dyDescent="0.25">
      <c r="A132" s="41">
        <f t="shared" si="42"/>
        <v>980</v>
      </c>
      <c r="B132" s="42">
        <f t="shared" si="42"/>
        <v>122</v>
      </c>
      <c r="C132" s="41" t="s">
        <v>2632</v>
      </c>
      <c r="D132" s="43">
        <f t="shared" si="37"/>
        <v>34.199999999999996</v>
      </c>
      <c r="E132" s="61">
        <f t="shared" si="23"/>
        <v>4.375</v>
      </c>
      <c r="F132" s="61">
        <f t="shared" si="24"/>
        <v>42</v>
      </c>
      <c r="G132" s="64">
        <f t="shared" si="25"/>
        <v>0.58988764044943809</v>
      </c>
      <c r="H132" s="44">
        <f t="shared" si="38"/>
        <v>27.618592548519779</v>
      </c>
      <c r="I132" s="42" t="str">
        <f t="shared" si="45"/>
        <v>Half</v>
      </c>
      <c r="J132" s="50">
        <f t="shared" si="45"/>
        <v>6</v>
      </c>
      <c r="K132" s="49">
        <f t="shared" si="45"/>
        <v>160</v>
      </c>
      <c r="L132" s="44">
        <f t="shared" si="26"/>
        <v>8</v>
      </c>
      <c r="M132" s="44">
        <f t="shared" si="40"/>
        <v>180</v>
      </c>
      <c r="N132" s="45">
        <f t="shared" si="43"/>
        <v>0.2</v>
      </c>
      <c r="O132" s="49">
        <v>30</v>
      </c>
      <c r="P132" s="44">
        <f t="shared" si="44"/>
        <v>150</v>
      </c>
      <c r="Q132" s="50">
        <f t="shared" si="44"/>
        <v>210</v>
      </c>
    </row>
    <row r="133" spans="1:17" x14ac:dyDescent="0.25">
      <c r="A133" s="41">
        <f t="shared" si="42"/>
        <v>981</v>
      </c>
      <c r="B133" s="42">
        <f t="shared" si="42"/>
        <v>123</v>
      </c>
      <c r="C133" s="41" t="s">
        <v>2633</v>
      </c>
      <c r="D133" s="43">
        <f t="shared" si="37"/>
        <v>34.199999999999996</v>
      </c>
      <c r="E133" s="61">
        <f t="shared" si="23"/>
        <v>4.375</v>
      </c>
      <c r="F133" s="61">
        <f t="shared" si="24"/>
        <v>42</v>
      </c>
      <c r="G133" s="64">
        <f t="shared" si="25"/>
        <v>0.58988764044943809</v>
      </c>
      <c r="H133" s="44">
        <f t="shared" si="38"/>
        <v>27.618592548519779</v>
      </c>
      <c r="I133" s="42" t="str">
        <f t="shared" si="45"/>
        <v>Half</v>
      </c>
      <c r="J133" s="50">
        <f t="shared" si="45"/>
        <v>6</v>
      </c>
      <c r="K133" s="49">
        <f t="shared" si="45"/>
        <v>160</v>
      </c>
      <c r="L133" s="44">
        <f t="shared" si="26"/>
        <v>8</v>
      </c>
      <c r="M133" s="44">
        <f t="shared" si="40"/>
        <v>180</v>
      </c>
      <c r="N133" s="45">
        <f t="shared" si="43"/>
        <v>0.2</v>
      </c>
      <c r="O133" s="49">
        <v>60</v>
      </c>
      <c r="P133" s="44">
        <f t="shared" si="44"/>
        <v>150</v>
      </c>
      <c r="Q133" s="50">
        <f t="shared" si="44"/>
        <v>210</v>
      </c>
    </row>
    <row r="134" spans="1:17" x14ac:dyDescent="0.25">
      <c r="A134" s="41">
        <f t="shared" si="42"/>
        <v>982</v>
      </c>
      <c r="B134" s="42">
        <f t="shared" si="42"/>
        <v>124</v>
      </c>
      <c r="C134" s="41" t="s">
        <v>2634</v>
      </c>
      <c r="D134" s="43">
        <f t="shared" si="37"/>
        <v>34.199999999999996</v>
      </c>
      <c r="E134" s="61">
        <f t="shared" si="23"/>
        <v>4.375</v>
      </c>
      <c r="F134" s="61">
        <f t="shared" si="24"/>
        <v>42</v>
      </c>
      <c r="G134" s="64">
        <f t="shared" si="25"/>
        <v>0.58988764044943809</v>
      </c>
      <c r="H134" s="44">
        <f t="shared" si="38"/>
        <v>27.618592548519779</v>
      </c>
      <c r="I134" s="42" t="str">
        <f t="shared" si="45"/>
        <v>Half</v>
      </c>
      <c r="J134" s="50">
        <f t="shared" si="45"/>
        <v>6</v>
      </c>
      <c r="K134" s="49">
        <f t="shared" si="45"/>
        <v>160</v>
      </c>
      <c r="L134" s="44">
        <f t="shared" si="26"/>
        <v>8</v>
      </c>
      <c r="M134" s="44">
        <f t="shared" si="40"/>
        <v>180</v>
      </c>
      <c r="N134" s="45">
        <f t="shared" si="43"/>
        <v>0.2</v>
      </c>
      <c r="O134" s="49">
        <v>90</v>
      </c>
      <c r="P134" s="44">
        <f t="shared" si="44"/>
        <v>150</v>
      </c>
      <c r="Q134" s="50">
        <f t="shared" si="44"/>
        <v>210</v>
      </c>
    </row>
    <row r="135" spans="1:17" x14ac:dyDescent="0.25">
      <c r="A135" s="41">
        <f t="shared" si="42"/>
        <v>983</v>
      </c>
      <c r="B135" s="42">
        <f t="shared" si="42"/>
        <v>125</v>
      </c>
      <c r="C135" s="41" t="s">
        <v>2635</v>
      </c>
      <c r="D135" s="43">
        <f t="shared" si="37"/>
        <v>34.199999999999996</v>
      </c>
      <c r="E135" s="61">
        <f t="shared" si="23"/>
        <v>4.375</v>
      </c>
      <c r="F135" s="61">
        <f t="shared" si="24"/>
        <v>42</v>
      </c>
      <c r="G135" s="64">
        <f t="shared" si="25"/>
        <v>0.58988764044943809</v>
      </c>
      <c r="H135" s="44">
        <f t="shared" si="38"/>
        <v>27.618592548519779</v>
      </c>
      <c r="I135" s="42" t="s">
        <v>12</v>
      </c>
      <c r="J135" s="50">
        <f t="shared" si="45"/>
        <v>6</v>
      </c>
      <c r="K135" s="49">
        <f t="shared" si="45"/>
        <v>160</v>
      </c>
      <c r="L135" s="44">
        <f t="shared" si="26"/>
        <v>8</v>
      </c>
      <c r="M135" s="44">
        <f t="shared" si="40"/>
        <v>210</v>
      </c>
      <c r="N135" s="45">
        <f t="shared" si="43"/>
        <v>0.2</v>
      </c>
      <c r="O135" s="49">
        <v>0</v>
      </c>
      <c r="P135" s="44">
        <f t="shared" si="44"/>
        <v>150</v>
      </c>
      <c r="Q135" s="50">
        <f t="shared" si="44"/>
        <v>210</v>
      </c>
    </row>
    <row r="136" spans="1:17" x14ac:dyDescent="0.25">
      <c r="A136" s="41">
        <f t="shared" si="42"/>
        <v>984</v>
      </c>
      <c r="B136" s="42">
        <f t="shared" si="42"/>
        <v>126</v>
      </c>
      <c r="C136" s="41" t="s">
        <v>2636</v>
      </c>
      <c r="D136" s="43">
        <f t="shared" si="37"/>
        <v>34.199999999999996</v>
      </c>
      <c r="E136" s="61">
        <f t="shared" si="23"/>
        <v>4.375</v>
      </c>
      <c r="F136" s="61">
        <f t="shared" si="24"/>
        <v>42</v>
      </c>
      <c r="G136" s="64">
        <f t="shared" si="25"/>
        <v>0.58988764044943809</v>
      </c>
      <c r="H136" s="44">
        <f t="shared" si="38"/>
        <v>27.618592548519779</v>
      </c>
      <c r="I136" s="42" t="str">
        <f>I135</f>
        <v>Half</v>
      </c>
      <c r="J136" s="50">
        <f t="shared" si="45"/>
        <v>6</v>
      </c>
      <c r="K136" s="49">
        <f t="shared" si="45"/>
        <v>160</v>
      </c>
      <c r="L136" s="44">
        <f t="shared" si="26"/>
        <v>8</v>
      </c>
      <c r="M136" s="44">
        <f t="shared" si="40"/>
        <v>210</v>
      </c>
      <c r="N136" s="45">
        <f t="shared" si="43"/>
        <v>0.2</v>
      </c>
      <c r="O136" s="49">
        <v>30</v>
      </c>
      <c r="P136" s="44">
        <f t="shared" si="44"/>
        <v>150</v>
      </c>
      <c r="Q136" s="50">
        <f t="shared" si="44"/>
        <v>210</v>
      </c>
    </row>
    <row r="137" spans="1:17" x14ac:dyDescent="0.25">
      <c r="A137" s="41">
        <f t="shared" si="42"/>
        <v>985</v>
      </c>
      <c r="B137" s="42">
        <f t="shared" si="42"/>
        <v>127</v>
      </c>
      <c r="C137" s="41" t="s">
        <v>2637</v>
      </c>
      <c r="D137" s="43">
        <f t="shared" si="37"/>
        <v>34.199999999999996</v>
      </c>
      <c r="E137" s="61">
        <f t="shared" si="23"/>
        <v>4.375</v>
      </c>
      <c r="F137" s="61">
        <f t="shared" si="24"/>
        <v>42</v>
      </c>
      <c r="G137" s="64">
        <f t="shared" si="25"/>
        <v>0.58988764044943809</v>
      </c>
      <c r="H137" s="44">
        <f t="shared" si="38"/>
        <v>27.618592548519779</v>
      </c>
      <c r="I137" s="42" t="str">
        <f t="shared" ref="I137:K152" si="46">I136</f>
        <v>Half</v>
      </c>
      <c r="J137" s="50">
        <f t="shared" si="46"/>
        <v>6</v>
      </c>
      <c r="K137" s="49">
        <f t="shared" si="46"/>
        <v>160</v>
      </c>
      <c r="L137" s="44">
        <f t="shared" si="26"/>
        <v>8</v>
      </c>
      <c r="M137" s="44">
        <f t="shared" si="40"/>
        <v>210</v>
      </c>
      <c r="N137" s="45">
        <f t="shared" si="43"/>
        <v>0.2</v>
      </c>
      <c r="O137" s="49">
        <v>60</v>
      </c>
      <c r="P137" s="44">
        <f t="shared" si="44"/>
        <v>150</v>
      </c>
      <c r="Q137" s="50">
        <f t="shared" si="44"/>
        <v>210</v>
      </c>
    </row>
    <row r="138" spans="1:17" x14ac:dyDescent="0.25">
      <c r="A138" s="41">
        <f t="shared" si="42"/>
        <v>986</v>
      </c>
      <c r="B138" s="42">
        <f t="shared" si="42"/>
        <v>128</v>
      </c>
      <c r="C138" s="41" t="s">
        <v>2638</v>
      </c>
      <c r="D138" s="43">
        <f t="shared" si="37"/>
        <v>34.199999999999996</v>
      </c>
      <c r="E138" s="61">
        <f t="shared" si="23"/>
        <v>4.375</v>
      </c>
      <c r="F138" s="61">
        <f t="shared" si="24"/>
        <v>42</v>
      </c>
      <c r="G138" s="64">
        <f t="shared" si="25"/>
        <v>0.58988764044943809</v>
      </c>
      <c r="H138" s="44">
        <f t="shared" si="38"/>
        <v>27.618592548519779</v>
      </c>
      <c r="I138" s="42" t="str">
        <f t="shared" si="46"/>
        <v>Half</v>
      </c>
      <c r="J138" s="50">
        <f t="shared" si="46"/>
        <v>6</v>
      </c>
      <c r="K138" s="49">
        <f t="shared" si="46"/>
        <v>160</v>
      </c>
      <c r="L138" s="44">
        <f t="shared" si="26"/>
        <v>8</v>
      </c>
      <c r="M138" s="44">
        <f t="shared" si="40"/>
        <v>210</v>
      </c>
      <c r="N138" s="45">
        <f t="shared" si="43"/>
        <v>0.2</v>
      </c>
      <c r="O138" s="49">
        <v>90</v>
      </c>
      <c r="P138" s="44">
        <f t="shared" si="44"/>
        <v>150</v>
      </c>
      <c r="Q138" s="50">
        <f t="shared" si="44"/>
        <v>210</v>
      </c>
    </row>
    <row r="139" spans="1:17" x14ac:dyDescent="0.25">
      <c r="A139" s="41">
        <f t="shared" si="42"/>
        <v>987</v>
      </c>
      <c r="B139" s="42">
        <f t="shared" si="42"/>
        <v>129</v>
      </c>
      <c r="C139" s="41" t="s">
        <v>2639</v>
      </c>
      <c r="D139" s="43">
        <f t="shared" si="37"/>
        <v>34.199999999999996</v>
      </c>
      <c r="E139" s="61">
        <f t="shared" ref="E139:E202" si="47">I_ref*(0.75*D139+5.6)</f>
        <v>4.375</v>
      </c>
      <c r="F139" s="61">
        <f t="shared" ref="F139:F202" si="48">tur_scale</f>
        <v>42</v>
      </c>
      <c r="G139" s="64">
        <f t="shared" ref="G139:G202" si="49">1/(1+0.2*(diameter/F139))</f>
        <v>0.58988764044943809</v>
      </c>
      <c r="H139" s="44">
        <f t="shared" si="38"/>
        <v>27.618592548519779</v>
      </c>
      <c r="I139" s="42" t="str">
        <f t="shared" si="46"/>
        <v>Half</v>
      </c>
      <c r="J139" s="50">
        <f t="shared" si="46"/>
        <v>6</v>
      </c>
      <c r="K139" s="49">
        <f t="shared" si="46"/>
        <v>160</v>
      </c>
      <c r="L139" s="44">
        <f t="shared" ref="L139:L202" si="50">inflow</f>
        <v>8</v>
      </c>
      <c r="M139" s="44">
        <f t="shared" si="40"/>
        <v>240</v>
      </c>
      <c r="N139" s="45">
        <f t="shared" si="43"/>
        <v>0.2</v>
      </c>
      <c r="O139" s="49">
        <v>0</v>
      </c>
      <c r="P139" s="44">
        <f t="shared" si="44"/>
        <v>150</v>
      </c>
      <c r="Q139" s="50">
        <f t="shared" si="44"/>
        <v>210</v>
      </c>
    </row>
    <row r="140" spans="1:17" x14ac:dyDescent="0.25">
      <c r="A140" s="41">
        <f t="shared" ref="A140:B155" si="51">A139+1</f>
        <v>988</v>
      </c>
      <c r="B140" s="42">
        <f t="shared" si="51"/>
        <v>130</v>
      </c>
      <c r="C140" s="41" t="s">
        <v>2640</v>
      </c>
      <c r="D140" s="43">
        <f t="shared" si="37"/>
        <v>34.199999999999996</v>
      </c>
      <c r="E140" s="61">
        <f t="shared" si="47"/>
        <v>4.375</v>
      </c>
      <c r="F140" s="61">
        <f t="shared" si="48"/>
        <v>42</v>
      </c>
      <c r="G140" s="64">
        <f t="shared" si="49"/>
        <v>0.58988764044943809</v>
      </c>
      <c r="H140" s="44">
        <f t="shared" si="38"/>
        <v>27.618592548519779</v>
      </c>
      <c r="I140" s="42" t="str">
        <f t="shared" si="46"/>
        <v>Half</v>
      </c>
      <c r="J140" s="50">
        <f t="shared" si="46"/>
        <v>6</v>
      </c>
      <c r="K140" s="49">
        <f t="shared" si="46"/>
        <v>160</v>
      </c>
      <c r="L140" s="44">
        <f t="shared" si="50"/>
        <v>8</v>
      </c>
      <c r="M140" s="44">
        <f t="shared" si="40"/>
        <v>240</v>
      </c>
      <c r="N140" s="45">
        <f t="shared" si="43"/>
        <v>0.2</v>
      </c>
      <c r="O140" s="49">
        <v>30</v>
      </c>
      <c r="P140" s="44">
        <f t="shared" si="44"/>
        <v>150</v>
      </c>
      <c r="Q140" s="50">
        <f t="shared" si="44"/>
        <v>210</v>
      </c>
    </row>
    <row r="141" spans="1:17" x14ac:dyDescent="0.25">
      <c r="A141" s="41">
        <f t="shared" si="51"/>
        <v>989</v>
      </c>
      <c r="B141" s="42">
        <f t="shared" si="51"/>
        <v>131</v>
      </c>
      <c r="C141" s="41" t="s">
        <v>2641</v>
      </c>
      <c r="D141" s="43">
        <f t="shared" si="37"/>
        <v>34.199999999999996</v>
      </c>
      <c r="E141" s="61">
        <f t="shared" si="47"/>
        <v>4.375</v>
      </c>
      <c r="F141" s="61">
        <f t="shared" si="48"/>
        <v>42</v>
      </c>
      <c r="G141" s="64">
        <f t="shared" si="49"/>
        <v>0.58988764044943809</v>
      </c>
      <c r="H141" s="44">
        <f t="shared" si="38"/>
        <v>27.618592548519779</v>
      </c>
      <c r="I141" s="42" t="str">
        <f t="shared" si="46"/>
        <v>Half</v>
      </c>
      <c r="J141" s="50">
        <f t="shared" si="46"/>
        <v>6</v>
      </c>
      <c r="K141" s="49">
        <f t="shared" si="46"/>
        <v>160</v>
      </c>
      <c r="L141" s="44">
        <f t="shared" si="50"/>
        <v>8</v>
      </c>
      <c r="M141" s="44">
        <f t="shared" si="40"/>
        <v>240</v>
      </c>
      <c r="N141" s="45">
        <f t="shared" si="43"/>
        <v>0.2</v>
      </c>
      <c r="O141" s="49">
        <v>60</v>
      </c>
      <c r="P141" s="44">
        <f t="shared" ref="P141:Q156" si="52">P140</f>
        <v>150</v>
      </c>
      <c r="Q141" s="50">
        <f t="shared" si="52"/>
        <v>210</v>
      </c>
    </row>
    <row r="142" spans="1:17" x14ac:dyDescent="0.25">
      <c r="A142" s="41">
        <f t="shared" si="51"/>
        <v>990</v>
      </c>
      <c r="B142" s="42">
        <f t="shared" si="51"/>
        <v>132</v>
      </c>
      <c r="C142" s="41" t="s">
        <v>2642</v>
      </c>
      <c r="D142" s="43">
        <f t="shared" si="37"/>
        <v>34.199999999999996</v>
      </c>
      <c r="E142" s="61">
        <f t="shared" si="47"/>
        <v>4.375</v>
      </c>
      <c r="F142" s="61">
        <f t="shared" si="48"/>
        <v>42</v>
      </c>
      <c r="G142" s="64">
        <f t="shared" si="49"/>
        <v>0.58988764044943809</v>
      </c>
      <c r="H142" s="44">
        <f t="shared" si="38"/>
        <v>27.618592548519779</v>
      </c>
      <c r="I142" s="42" t="str">
        <f t="shared" si="46"/>
        <v>Half</v>
      </c>
      <c r="J142" s="50">
        <f t="shared" si="46"/>
        <v>6</v>
      </c>
      <c r="K142" s="49">
        <f t="shared" si="46"/>
        <v>160</v>
      </c>
      <c r="L142" s="44">
        <f t="shared" si="50"/>
        <v>8</v>
      </c>
      <c r="M142" s="44">
        <f t="shared" si="40"/>
        <v>240</v>
      </c>
      <c r="N142" s="45">
        <f t="shared" si="43"/>
        <v>0.2</v>
      </c>
      <c r="O142" s="49">
        <v>90</v>
      </c>
      <c r="P142" s="44">
        <f t="shared" si="52"/>
        <v>150</v>
      </c>
      <c r="Q142" s="50">
        <f t="shared" si="52"/>
        <v>210</v>
      </c>
    </row>
    <row r="143" spans="1:17" x14ac:dyDescent="0.25">
      <c r="A143" s="41">
        <f t="shared" si="51"/>
        <v>991</v>
      </c>
      <c r="B143" s="42">
        <f t="shared" si="51"/>
        <v>133</v>
      </c>
      <c r="C143" s="41" t="s">
        <v>2643</v>
      </c>
      <c r="D143" s="43">
        <f t="shared" si="37"/>
        <v>34.199999999999996</v>
      </c>
      <c r="E143" s="61">
        <f t="shared" si="47"/>
        <v>4.375</v>
      </c>
      <c r="F143" s="61">
        <f t="shared" si="48"/>
        <v>42</v>
      </c>
      <c r="G143" s="64">
        <f t="shared" si="49"/>
        <v>0.58988764044943809</v>
      </c>
      <c r="H143" s="44">
        <f t="shared" si="38"/>
        <v>27.618592548519779</v>
      </c>
      <c r="I143" s="42" t="str">
        <f t="shared" si="46"/>
        <v>Half</v>
      </c>
      <c r="J143" s="50">
        <f t="shared" si="46"/>
        <v>6</v>
      </c>
      <c r="K143" s="49">
        <f t="shared" si="46"/>
        <v>160</v>
      </c>
      <c r="L143" s="44">
        <f t="shared" si="50"/>
        <v>8</v>
      </c>
      <c r="M143" s="44">
        <f t="shared" si="40"/>
        <v>270</v>
      </c>
      <c r="N143" s="45">
        <f t="shared" si="43"/>
        <v>0.2</v>
      </c>
      <c r="O143" s="49">
        <v>0</v>
      </c>
      <c r="P143" s="44">
        <f t="shared" si="52"/>
        <v>150</v>
      </c>
      <c r="Q143" s="50">
        <f t="shared" si="52"/>
        <v>210</v>
      </c>
    </row>
    <row r="144" spans="1:17" x14ac:dyDescent="0.25">
      <c r="A144" s="41">
        <f t="shared" si="51"/>
        <v>992</v>
      </c>
      <c r="B144" s="42">
        <f t="shared" si="51"/>
        <v>134</v>
      </c>
      <c r="C144" s="41" t="s">
        <v>2644</v>
      </c>
      <c r="D144" s="43">
        <f t="shared" si="37"/>
        <v>34.199999999999996</v>
      </c>
      <c r="E144" s="61">
        <f t="shared" si="47"/>
        <v>4.375</v>
      </c>
      <c r="F144" s="61">
        <f t="shared" si="48"/>
        <v>42</v>
      </c>
      <c r="G144" s="64">
        <f t="shared" si="49"/>
        <v>0.58988764044943809</v>
      </c>
      <c r="H144" s="44">
        <f t="shared" si="38"/>
        <v>27.618592548519779</v>
      </c>
      <c r="I144" s="42" t="str">
        <f t="shared" si="46"/>
        <v>Half</v>
      </c>
      <c r="J144" s="50">
        <f t="shared" si="46"/>
        <v>6</v>
      </c>
      <c r="K144" s="49">
        <f t="shared" si="46"/>
        <v>160</v>
      </c>
      <c r="L144" s="44">
        <f t="shared" si="50"/>
        <v>8</v>
      </c>
      <c r="M144" s="44">
        <f t="shared" si="40"/>
        <v>270</v>
      </c>
      <c r="N144" s="45">
        <f t="shared" si="43"/>
        <v>0.2</v>
      </c>
      <c r="O144" s="49">
        <v>30</v>
      </c>
      <c r="P144" s="44">
        <f t="shared" si="52"/>
        <v>150</v>
      </c>
      <c r="Q144" s="50">
        <f t="shared" si="52"/>
        <v>210</v>
      </c>
    </row>
    <row r="145" spans="1:17" x14ac:dyDescent="0.25">
      <c r="A145" s="41">
        <f t="shared" si="51"/>
        <v>993</v>
      </c>
      <c r="B145" s="42">
        <f t="shared" si="51"/>
        <v>135</v>
      </c>
      <c r="C145" s="41" t="s">
        <v>2645</v>
      </c>
      <c r="D145" s="43">
        <f t="shared" si="37"/>
        <v>34.199999999999996</v>
      </c>
      <c r="E145" s="61">
        <f t="shared" si="47"/>
        <v>4.375</v>
      </c>
      <c r="F145" s="61">
        <f t="shared" si="48"/>
        <v>42</v>
      </c>
      <c r="G145" s="64">
        <f t="shared" si="49"/>
        <v>0.58988764044943809</v>
      </c>
      <c r="H145" s="44">
        <f t="shared" si="38"/>
        <v>27.618592548519779</v>
      </c>
      <c r="I145" s="42" t="str">
        <f t="shared" si="46"/>
        <v>Half</v>
      </c>
      <c r="J145" s="50">
        <f t="shared" si="46"/>
        <v>6</v>
      </c>
      <c r="K145" s="49">
        <f t="shared" si="46"/>
        <v>160</v>
      </c>
      <c r="L145" s="44">
        <f t="shared" si="50"/>
        <v>8</v>
      </c>
      <c r="M145" s="44">
        <f t="shared" si="40"/>
        <v>270</v>
      </c>
      <c r="N145" s="45">
        <f t="shared" si="43"/>
        <v>0.2</v>
      </c>
      <c r="O145" s="49">
        <v>60</v>
      </c>
      <c r="P145" s="44">
        <f t="shared" si="52"/>
        <v>150</v>
      </c>
      <c r="Q145" s="50">
        <f t="shared" si="52"/>
        <v>210</v>
      </c>
    </row>
    <row r="146" spans="1:17" x14ac:dyDescent="0.25">
      <c r="A146" s="41">
        <f t="shared" si="51"/>
        <v>994</v>
      </c>
      <c r="B146" s="42">
        <f t="shared" si="51"/>
        <v>136</v>
      </c>
      <c r="C146" s="41" t="s">
        <v>2646</v>
      </c>
      <c r="D146" s="43">
        <f t="shared" si="37"/>
        <v>34.199999999999996</v>
      </c>
      <c r="E146" s="61">
        <f t="shared" si="47"/>
        <v>4.375</v>
      </c>
      <c r="F146" s="61">
        <f t="shared" si="48"/>
        <v>42</v>
      </c>
      <c r="G146" s="64">
        <f t="shared" si="49"/>
        <v>0.58988764044943809</v>
      </c>
      <c r="H146" s="44">
        <f t="shared" si="38"/>
        <v>27.618592548519779</v>
      </c>
      <c r="I146" s="42" t="str">
        <f t="shared" si="46"/>
        <v>Half</v>
      </c>
      <c r="J146" s="50">
        <f t="shared" si="46"/>
        <v>6</v>
      </c>
      <c r="K146" s="49">
        <f t="shared" si="46"/>
        <v>160</v>
      </c>
      <c r="L146" s="44">
        <f t="shared" si="50"/>
        <v>8</v>
      </c>
      <c r="M146" s="44">
        <f t="shared" si="40"/>
        <v>270</v>
      </c>
      <c r="N146" s="45">
        <f t="shared" si="43"/>
        <v>0.2</v>
      </c>
      <c r="O146" s="49">
        <v>90</v>
      </c>
      <c r="P146" s="44">
        <f t="shared" si="52"/>
        <v>150</v>
      </c>
      <c r="Q146" s="50">
        <f t="shared" si="52"/>
        <v>210</v>
      </c>
    </row>
    <row r="147" spans="1:17" x14ac:dyDescent="0.25">
      <c r="A147" s="41">
        <f t="shared" si="51"/>
        <v>995</v>
      </c>
      <c r="B147" s="42">
        <f t="shared" si="51"/>
        <v>137</v>
      </c>
      <c r="C147" s="41" t="s">
        <v>2647</v>
      </c>
      <c r="D147" s="43">
        <f t="shared" si="37"/>
        <v>34.199999999999996</v>
      </c>
      <c r="E147" s="61">
        <f t="shared" si="47"/>
        <v>4.375</v>
      </c>
      <c r="F147" s="61">
        <f t="shared" si="48"/>
        <v>42</v>
      </c>
      <c r="G147" s="64">
        <f t="shared" si="49"/>
        <v>0.58988764044943809</v>
      </c>
      <c r="H147" s="44">
        <f t="shared" si="38"/>
        <v>27.618592548519779</v>
      </c>
      <c r="I147" s="42" t="str">
        <f t="shared" si="46"/>
        <v>Half</v>
      </c>
      <c r="J147" s="50">
        <f t="shared" si="46"/>
        <v>6</v>
      </c>
      <c r="K147" s="49">
        <f t="shared" si="46"/>
        <v>160</v>
      </c>
      <c r="L147" s="44">
        <f t="shared" si="50"/>
        <v>8</v>
      </c>
      <c r="M147" s="44">
        <f t="shared" si="40"/>
        <v>300</v>
      </c>
      <c r="N147" s="45">
        <f t="shared" si="43"/>
        <v>0.2</v>
      </c>
      <c r="O147" s="49">
        <v>0</v>
      </c>
      <c r="P147" s="44">
        <f t="shared" si="52"/>
        <v>150</v>
      </c>
      <c r="Q147" s="50">
        <f t="shared" si="52"/>
        <v>210</v>
      </c>
    </row>
    <row r="148" spans="1:17" x14ac:dyDescent="0.25">
      <c r="A148" s="41">
        <f t="shared" si="51"/>
        <v>996</v>
      </c>
      <c r="B148" s="42">
        <f t="shared" si="51"/>
        <v>138</v>
      </c>
      <c r="C148" s="41" t="s">
        <v>2648</v>
      </c>
      <c r="D148" s="43">
        <f t="shared" si="37"/>
        <v>34.199999999999996</v>
      </c>
      <c r="E148" s="61">
        <f t="shared" si="47"/>
        <v>4.375</v>
      </c>
      <c r="F148" s="61">
        <f t="shared" si="48"/>
        <v>42</v>
      </c>
      <c r="G148" s="64">
        <f t="shared" si="49"/>
        <v>0.58988764044943809</v>
      </c>
      <c r="H148" s="44">
        <f t="shared" si="38"/>
        <v>27.618592548519779</v>
      </c>
      <c r="I148" s="42" t="str">
        <f t="shared" si="46"/>
        <v>Half</v>
      </c>
      <c r="J148" s="50">
        <f t="shared" si="46"/>
        <v>6</v>
      </c>
      <c r="K148" s="49">
        <f t="shared" si="46"/>
        <v>160</v>
      </c>
      <c r="L148" s="44">
        <f t="shared" si="50"/>
        <v>8</v>
      </c>
      <c r="M148" s="44">
        <f t="shared" si="40"/>
        <v>300</v>
      </c>
      <c r="N148" s="45">
        <f t="shared" si="43"/>
        <v>0.2</v>
      </c>
      <c r="O148" s="49">
        <v>30</v>
      </c>
      <c r="P148" s="44">
        <f t="shared" si="52"/>
        <v>150</v>
      </c>
      <c r="Q148" s="50">
        <f t="shared" si="52"/>
        <v>210</v>
      </c>
    </row>
    <row r="149" spans="1:17" x14ac:dyDescent="0.25">
      <c r="A149" s="41">
        <f t="shared" si="51"/>
        <v>997</v>
      </c>
      <c r="B149" s="42">
        <f t="shared" si="51"/>
        <v>139</v>
      </c>
      <c r="C149" s="41" t="s">
        <v>2649</v>
      </c>
      <c r="D149" s="43">
        <f t="shared" si="37"/>
        <v>34.199999999999996</v>
      </c>
      <c r="E149" s="61">
        <f t="shared" si="47"/>
        <v>4.375</v>
      </c>
      <c r="F149" s="61">
        <f t="shared" si="48"/>
        <v>42</v>
      </c>
      <c r="G149" s="64">
        <f t="shared" si="49"/>
        <v>0.58988764044943809</v>
      </c>
      <c r="H149" s="44">
        <f t="shared" si="38"/>
        <v>27.618592548519779</v>
      </c>
      <c r="I149" s="42" t="str">
        <f t="shared" si="46"/>
        <v>Half</v>
      </c>
      <c r="J149" s="50">
        <f t="shared" si="46"/>
        <v>6</v>
      </c>
      <c r="K149" s="49">
        <f t="shared" si="46"/>
        <v>160</v>
      </c>
      <c r="L149" s="44">
        <f t="shared" si="50"/>
        <v>8</v>
      </c>
      <c r="M149" s="44">
        <f t="shared" si="40"/>
        <v>300</v>
      </c>
      <c r="N149" s="45">
        <f t="shared" si="43"/>
        <v>0.2</v>
      </c>
      <c r="O149" s="49">
        <v>60</v>
      </c>
      <c r="P149" s="44">
        <f t="shared" si="52"/>
        <v>150</v>
      </c>
      <c r="Q149" s="50">
        <f t="shared" si="52"/>
        <v>210</v>
      </c>
    </row>
    <row r="150" spans="1:17" x14ac:dyDescent="0.25">
      <c r="A150" s="41">
        <f t="shared" si="51"/>
        <v>998</v>
      </c>
      <c r="B150" s="42">
        <f t="shared" si="51"/>
        <v>140</v>
      </c>
      <c r="C150" s="41" t="s">
        <v>2650</v>
      </c>
      <c r="D150" s="43">
        <f t="shared" si="37"/>
        <v>34.199999999999996</v>
      </c>
      <c r="E150" s="61">
        <f t="shared" si="47"/>
        <v>4.375</v>
      </c>
      <c r="F150" s="61">
        <f t="shared" si="48"/>
        <v>42</v>
      </c>
      <c r="G150" s="64">
        <f t="shared" si="49"/>
        <v>0.58988764044943809</v>
      </c>
      <c r="H150" s="44">
        <f t="shared" si="38"/>
        <v>27.618592548519779</v>
      </c>
      <c r="I150" s="42" t="str">
        <f t="shared" si="46"/>
        <v>Half</v>
      </c>
      <c r="J150" s="50">
        <f t="shared" si="46"/>
        <v>6</v>
      </c>
      <c r="K150" s="49">
        <f t="shared" si="46"/>
        <v>160</v>
      </c>
      <c r="L150" s="44">
        <f t="shared" si="50"/>
        <v>8</v>
      </c>
      <c r="M150" s="44">
        <f>M146+30</f>
        <v>300</v>
      </c>
      <c r="N150" s="45">
        <f t="shared" si="43"/>
        <v>0.2</v>
      </c>
      <c r="O150" s="49">
        <v>90</v>
      </c>
      <c r="P150" s="44">
        <f t="shared" si="52"/>
        <v>150</v>
      </c>
      <c r="Q150" s="50">
        <f t="shared" si="52"/>
        <v>210</v>
      </c>
    </row>
    <row r="151" spans="1:17" x14ac:dyDescent="0.25">
      <c r="A151" s="41">
        <f t="shared" si="51"/>
        <v>999</v>
      </c>
      <c r="B151" s="42">
        <f t="shared" si="51"/>
        <v>141</v>
      </c>
      <c r="C151" s="41" t="s">
        <v>2651</v>
      </c>
      <c r="D151" s="43">
        <f t="shared" si="37"/>
        <v>34.199999999999996</v>
      </c>
      <c r="E151" s="61">
        <f t="shared" si="47"/>
        <v>4.375</v>
      </c>
      <c r="F151" s="61">
        <f t="shared" si="48"/>
        <v>42</v>
      </c>
      <c r="G151" s="64">
        <f t="shared" si="49"/>
        <v>0.58988764044943809</v>
      </c>
      <c r="H151" s="44">
        <f t="shared" si="38"/>
        <v>27.618592548519779</v>
      </c>
      <c r="I151" s="42" t="s">
        <v>12</v>
      </c>
      <c r="J151" s="50">
        <f t="shared" si="46"/>
        <v>6</v>
      </c>
      <c r="K151" s="49">
        <f t="shared" si="46"/>
        <v>160</v>
      </c>
      <c r="L151" s="44">
        <f t="shared" si="50"/>
        <v>8</v>
      </c>
      <c r="M151" s="44">
        <f t="shared" si="40"/>
        <v>330</v>
      </c>
      <c r="N151" s="45">
        <f t="shared" si="43"/>
        <v>0.2</v>
      </c>
      <c r="O151" s="49">
        <v>0</v>
      </c>
      <c r="P151" s="44">
        <f t="shared" si="52"/>
        <v>150</v>
      </c>
      <c r="Q151" s="50">
        <f t="shared" si="52"/>
        <v>210</v>
      </c>
    </row>
    <row r="152" spans="1:17" x14ac:dyDescent="0.25">
      <c r="A152" s="41">
        <f t="shared" si="51"/>
        <v>1000</v>
      </c>
      <c r="B152" s="42">
        <f t="shared" si="51"/>
        <v>142</v>
      </c>
      <c r="C152" s="41" t="s">
        <v>2652</v>
      </c>
      <c r="D152" s="43">
        <f t="shared" si="37"/>
        <v>34.199999999999996</v>
      </c>
      <c r="E152" s="61">
        <f t="shared" si="47"/>
        <v>4.375</v>
      </c>
      <c r="F152" s="61">
        <f t="shared" si="48"/>
        <v>42</v>
      </c>
      <c r="G152" s="64">
        <f t="shared" si="49"/>
        <v>0.58988764044943809</v>
      </c>
      <c r="H152" s="44">
        <f t="shared" si="38"/>
        <v>27.618592548519779</v>
      </c>
      <c r="I152" s="42" t="str">
        <f>I151</f>
        <v>Half</v>
      </c>
      <c r="J152" s="50">
        <f t="shared" si="46"/>
        <v>6</v>
      </c>
      <c r="K152" s="49">
        <f t="shared" si="46"/>
        <v>160</v>
      </c>
      <c r="L152" s="44">
        <f t="shared" si="50"/>
        <v>8</v>
      </c>
      <c r="M152" s="44">
        <f t="shared" si="40"/>
        <v>330</v>
      </c>
      <c r="N152" s="45">
        <f t="shared" si="43"/>
        <v>0.2</v>
      </c>
      <c r="O152" s="49">
        <v>30</v>
      </c>
      <c r="P152" s="44">
        <f t="shared" si="52"/>
        <v>150</v>
      </c>
      <c r="Q152" s="50">
        <f t="shared" si="52"/>
        <v>210</v>
      </c>
    </row>
    <row r="153" spans="1:17" x14ac:dyDescent="0.25">
      <c r="A153" s="41">
        <f t="shared" si="51"/>
        <v>1001</v>
      </c>
      <c r="B153" s="42">
        <f t="shared" si="51"/>
        <v>143</v>
      </c>
      <c r="C153" s="41" t="s">
        <v>2653</v>
      </c>
      <c r="D153" s="43">
        <f t="shared" si="37"/>
        <v>34.199999999999996</v>
      </c>
      <c r="E153" s="61">
        <f t="shared" si="47"/>
        <v>4.375</v>
      </c>
      <c r="F153" s="61">
        <f t="shared" si="48"/>
        <v>42</v>
      </c>
      <c r="G153" s="64">
        <f t="shared" si="49"/>
        <v>0.58988764044943809</v>
      </c>
      <c r="H153" s="44">
        <f t="shared" si="38"/>
        <v>27.618592548519779</v>
      </c>
      <c r="I153" s="42" t="str">
        <f t="shared" ref="I153:K168" si="53">I152</f>
        <v>Half</v>
      </c>
      <c r="J153" s="50">
        <f t="shared" si="53"/>
        <v>6</v>
      </c>
      <c r="K153" s="49">
        <f t="shared" si="53"/>
        <v>160</v>
      </c>
      <c r="L153" s="44">
        <f t="shared" si="50"/>
        <v>8</v>
      </c>
      <c r="M153" s="44">
        <f t="shared" si="40"/>
        <v>330</v>
      </c>
      <c r="N153" s="45">
        <f t="shared" si="43"/>
        <v>0.2</v>
      </c>
      <c r="O153" s="49">
        <v>60</v>
      </c>
      <c r="P153" s="44">
        <f t="shared" si="52"/>
        <v>150</v>
      </c>
      <c r="Q153" s="50">
        <f t="shared" si="52"/>
        <v>210</v>
      </c>
    </row>
    <row r="154" spans="1:17" x14ac:dyDescent="0.25">
      <c r="A154" s="41">
        <f t="shared" si="51"/>
        <v>1002</v>
      </c>
      <c r="B154" s="42">
        <f t="shared" si="51"/>
        <v>144</v>
      </c>
      <c r="C154" s="127" t="s">
        <v>2654</v>
      </c>
      <c r="D154" s="43">
        <f t="shared" si="37"/>
        <v>34.199999999999996</v>
      </c>
      <c r="E154" s="61">
        <f t="shared" si="47"/>
        <v>4.375</v>
      </c>
      <c r="F154" s="61">
        <f t="shared" si="48"/>
        <v>42</v>
      </c>
      <c r="G154" s="64">
        <f t="shared" si="49"/>
        <v>0.58988764044943809</v>
      </c>
      <c r="H154" s="44">
        <f t="shared" si="38"/>
        <v>27.618592548519779</v>
      </c>
      <c r="I154" s="42" t="str">
        <f t="shared" si="53"/>
        <v>Half</v>
      </c>
      <c r="J154" s="50">
        <f t="shared" si="53"/>
        <v>6</v>
      </c>
      <c r="K154" s="49">
        <f t="shared" si="53"/>
        <v>160</v>
      </c>
      <c r="L154" s="44">
        <f t="shared" si="50"/>
        <v>8</v>
      </c>
      <c r="M154" s="128">
        <f>M150+30</f>
        <v>330</v>
      </c>
      <c r="N154" s="45">
        <f t="shared" si="43"/>
        <v>0.2</v>
      </c>
      <c r="O154" s="49">
        <v>90</v>
      </c>
      <c r="P154" s="44">
        <f t="shared" si="52"/>
        <v>150</v>
      </c>
      <c r="Q154" s="50">
        <f t="shared" si="52"/>
        <v>210</v>
      </c>
    </row>
    <row r="155" spans="1:17" x14ac:dyDescent="0.25">
      <c r="A155" s="41">
        <f t="shared" si="51"/>
        <v>1003</v>
      </c>
      <c r="B155" s="42">
        <f t="shared" si="51"/>
        <v>145</v>
      </c>
      <c r="C155" s="41" t="s">
        <v>2655</v>
      </c>
      <c r="D155" s="43">
        <f t="shared" si="37"/>
        <v>34.199999999999996</v>
      </c>
      <c r="E155" s="61">
        <f t="shared" si="47"/>
        <v>4.375</v>
      </c>
      <c r="F155" s="61">
        <f t="shared" si="48"/>
        <v>42</v>
      </c>
      <c r="G155" s="64">
        <f t="shared" si="49"/>
        <v>0.58988764044943809</v>
      </c>
      <c r="H155" s="44">
        <f>-6.4*ATAN(E155/D155*G155)/PI()*180</f>
        <v>-27.618592548519779</v>
      </c>
      <c r="I155" s="42" t="str">
        <f t="shared" si="53"/>
        <v>Half</v>
      </c>
      <c r="J155" s="50">
        <f t="shared" si="53"/>
        <v>6</v>
      </c>
      <c r="K155" s="49">
        <f t="shared" si="53"/>
        <v>160</v>
      </c>
      <c r="L155" s="44">
        <f t="shared" si="50"/>
        <v>8</v>
      </c>
      <c r="M155" s="44">
        <v>0</v>
      </c>
      <c r="N155" s="45">
        <f t="shared" si="43"/>
        <v>0.2</v>
      </c>
      <c r="O155" s="49">
        <v>0</v>
      </c>
      <c r="P155" s="44">
        <f t="shared" si="52"/>
        <v>150</v>
      </c>
      <c r="Q155" s="50">
        <f t="shared" si="52"/>
        <v>210</v>
      </c>
    </row>
    <row r="156" spans="1:17" x14ac:dyDescent="0.25">
      <c r="A156" s="41">
        <f t="shared" ref="A156:B171" si="54">A155+1</f>
        <v>1004</v>
      </c>
      <c r="B156" s="42">
        <f t="shared" si="54"/>
        <v>146</v>
      </c>
      <c r="C156" s="41" t="s">
        <v>2656</v>
      </c>
      <c r="D156" s="43">
        <f t="shared" si="37"/>
        <v>34.199999999999996</v>
      </c>
      <c r="E156" s="61">
        <f t="shared" si="47"/>
        <v>4.375</v>
      </c>
      <c r="F156" s="61">
        <f t="shared" si="48"/>
        <v>42</v>
      </c>
      <c r="G156" s="64">
        <f t="shared" si="49"/>
        <v>0.58988764044943809</v>
      </c>
      <c r="H156" s="44">
        <f t="shared" ref="H156:H203" si="55">-6.4*ATAN(E156/D156*G156)/PI()*180</f>
        <v>-27.618592548519779</v>
      </c>
      <c r="I156" s="42" t="str">
        <f t="shared" si="53"/>
        <v>Half</v>
      </c>
      <c r="J156" s="50">
        <f t="shared" si="53"/>
        <v>6</v>
      </c>
      <c r="K156" s="49">
        <f t="shared" si="53"/>
        <v>160</v>
      </c>
      <c r="L156" s="44">
        <f t="shared" si="50"/>
        <v>8</v>
      </c>
      <c r="M156" s="44">
        <v>0</v>
      </c>
      <c r="N156" s="45">
        <f t="shared" si="43"/>
        <v>0.2</v>
      </c>
      <c r="O156" s="49">
        <v>30</v>
      </c>
      <c r="P156" s="44">
        <f t="shared" si="52"/>
        <v>150</v>
      </c>
      <c r="Q156" s="50">
        <f t="shared" si="52"/>
        <v>210</v>
      </c>
    </row>
    <row r="157" spans="1:17" x14ac:dyDescent="0.25">
      <c r="A157" s="41">
        <f t="shared" si="54"/>
        <v>1005</v>
      </c>
      <c r="B157" s="42">
        <f t="shared" si="54"/>
        <v>147</v>
      </c>
      <c r="C157" s="41" t="s">
        <v>2657</v>
      </c>
      <c r="D157" s="43">
        <f t="shared" si="37"/>
        <v>34.199999999999996</v>
      </c>
      <c r="E157" s="61">
        <f t="shared" si="47"/>
        <v>4.375</v>
      </c>
      <c r="F157" s="61">
        <f t="shared" si="48"/>
        <v>42</v>
      </c>
      <c r="G157" s="64">
        <f t="shared" si="49"/>
        <v>0.58988764044943809</v>
      </c>
      <c r="H157" s="44">
        <f t="shared" si="55"/>
        <v>-27.618592548519779</v>
      </c>
      <c r="I157" s="42" t="str">
        <f t="shared" si="53"/>
        <v>Half</v>
      </c>
      <c r="J157" s="50">
        <f t="shared" si="53"/>
        <v>6</v>
      </c>
      <c r="K157" s="49">
        <f t="shared" si="53"/>
        <v>160</v>
      </c>
      <c r="L157" s="44">
        <f t="shared" si="50"/>
        <v>8</v>
      </c>
      <c r="M157" s="44">
        <v>0</v>
      </c>
      <c r="N157" s="45">
        <f t="shared" si="43"/>
        <v>0.2</v>
      </c>
      <c r="O157" s="49">
        <v>60</v>
      </c>
      <c r="P157" s="44">
        <f t="shared" ref="P157:Q172" si="56">P156</f>
        <v>150</v>
      </c>
      <c r="Q157" s="50">
        <f t="shared" si="56"/>
        <v>210</v>
      </c>
    </row>
    <row r="158" spans="1:17" x14ac:dyDescent="0.25">
      <c r="A158" s="41">
        <f t="shared" si="54"/>
        <v>1006</v>
      </c>
      <c r="B158" s="42">
        <f t="shared" si="54"/>
        <v>148</v>
      </c>
      <c r="C158" s="41" t="s">
        <v>2658</v>
      </c>
      <c r="D158" s="43">
        <f t="shared" si="37"/>
        <v>34.199999999999996</v>
      </c>
      <c r="E158" s="61">
        <f t="shared" si="47"/>
        <v>4.375</v>
      </c>
      <c r="F158" s="61">
        <f t="shared" si="48"/>
        <v>42</v>
      </c>
      <c r="G158" s="64">
        <f t="shared" si="49"/>
        <v>0.58988764044943809</v>
      </c>
      <c r="H158" s="44">
        <f t="shared" si="55"/>
        <v>-27.618592548519779</v>
      </c>
      <c r="I158" s="42" t="str">
        <f t="shared" si="53"/>
        <v>Half</v>
      </c>
      <c r="J158" s="50">
        <f t="shared" si="53"/>
        <v>6</v>
      </c>
      <c r="K158" s="49">
        <f t="shared" si="53"/>
        <v>160</v>
      </c>
      <c r="L158" s="44">
        <f t="shared" si="50"/>
        <v>8</v>
      </c>
      <c r="M158" s="44">
        <v>0</v>
      </c>
      <c r="N158" s="45">
        <f t="shared" si="43"/>
        <v>0.2</v>
      </c>
      <c r="O158" s="49">
        <v>90</v>
      </c>
      <c r="P158" s="44">
        <f t="shared" si="56"/>
        <v>150</v>
      </c>
      <c r="Q158" s="50">
        <f t="shared" si="56"/>
        <v>210</v>
      </c>
    </row>
    <row r="159" spans="1:17" x14ac:dyDescent="0.25">
      <c r="A159" s="41">
        <f t="shared" si="54"/>
        <v>1007</v>
      </c>
      <c r="B159" s="42">
        <f t="shared" si="54"/>
        <v>149</v>
      </c>
      <c r="C159" s="41" t="s">
        <v>2659</v>
      </c>
      <c r="D159" s="43">
        <f t="shared" si="37"/>
        <v>34.199999999999996</v>
      </c>
      <c r="E159" s="61">
        <f t="shared" si="47"/>
        <v>4.375</v>
      </c>
      <c r="F159" s="61">
        <f t="shared" si="48"/>
        <v>42</v>
      </c>
      <c r="G159" s="64">
        <f t="shared" si="49"/>
        <v>0.58988764044943809</v>
      </c>
      <c r="H159" s="44">
        <f t="shared" si="55"/>
        <v>-27.618592548519779</v>
      </c>
      <c r="I159" s="42" t="str">
        <f t="shared" si="53"/>
        <v>Half</v>
      </c>
      <c r="J159" s="50">
        <f t="shared" si="53"/>
        <v>6</v>
      </c>
      <c r="K159" s="49">
        <f t="shared" si="53"/>
        <v>160</v>
      </c>
      <c r="L159" s="44">
        <f t="shared" si="50"/>
        <v>8</v>
      </c>
      <c r="M159" s="44">
        <f>M155+30</f>
        <v>30</v>
      </c>
      <c r="N159" s="45">
        <f t="shared" si="43"/>
        <v>0.2</v>
      </c>
      <c r="O159" s="49">
        <v>0</v>
      </c>
      <c r="P159" s="44">
        <f t="shared" si="56"/>
        <v>150</v>
      </c>
      <c r="Q159" s="50">
        <f t="shared" si="56"/>
        <v>210</v>
      </c>
    </row>
    <row r="160" spans="1:17" x14ac:dyDescent="0.25">
      <c r="A160" s="41">
        <f t="shared" si="54"/>
        <v>1008</v>
      </c>
      <c r="B160" s="42">
        <f t="shared" si="54"/>
        <v>150</v>
      </c>
      <c r="C160" s="41" t="s">
        <v>2660</v>
      </c>
      <c r="D160" s="43">
        <f t="shared" si="37"/>
        <v>34.199999999999996</v>
      </c>
      <c r="E160" s="61">
        <f t="shared" si="47"/>
        <v>4.375</v>
      </c>
      <c r="F160" s="61">
        <f t="shared" si="48"/>
        <v>42</v>
      </c>
      <c r="G160" s="64">
        <f t="shared" si="49"/>
        <v>0.58988764044943809</v>
      </c>
      <c r="H160" s="44">
        <f t="shared" si="55"/>
        <v>-27.618592548519779</v>
      </c>
      <c r="I160" s="42" t="str">
        <f t="shared" si="53"/>
        <v>Half</v>
      </c>
      <c r="J160" s="50">
        <f t="shared" si="53"/>
        <v>6</v>
      </c>
      <c r="K160" s="49">
        <f t="shared" si="53"/>
        <v>160</v>
      </c>
      <c r="L160" s="44">
        <f t="shared" si="50"/>
        <v>8</v>
      </c>
      <c r="M160" s="44">
        <f t="shared" ref="M160:M201" si="57">M156+30</f>
        <v>30</v>
      </c>
      <c r="N160" s="45">
        <f t="shared" si="43"/>
        <v>0.2</v>
      </c>
      <c r="O160" s="49">
        <v>30</v>
      </c>
      <c r="P160" s="44">
        <f t="shared" si="56"/>
        <v>150</v>
      </c>
      <c r="Q160" s="50">
        <f t="shared" si="56"/>
        <v>210</v>
      </c>
    </row>
    <row r="161" spans="1:17" x14ac:dyDescent="0.25">
      <c r="A161" s="41">
        <f t="shared" si="54"/>
        <v>1009</v>
      </c>
      <c r="B161" s="42">
        <f t="shared" si="54"/>
        <v>151</v>
      </c>
      <c r="C161" s="41" t="s">
        <v>2661</v>
      </c>
      <c r="D161" s="43">
        <f t="shared" si="37"/>
        <v>34.199999999999996</v>
      </c>
      <c r="E161" s="61">
        <f t="shared" si="47"/>
        <v>4.375</v>
      </c>
      <c r="F161" s="61">
        <f t="shared" si="48"/>
        <v>42</v>
      </c>
      <c r="G161" s="64">
        <f t="shared" si="49"/>
        <v>0.58988764044943809</v>
      </c>
      <c r="H161" s="44">
        <f t="shared" si="55"/>
        <v>-27.618592548519779</v>
      </c>
      <c r="I161" s="42" t="str">
        <f t="shared" si="53"/>
        <v>Half</v>
      </c>
      <c r="J161" s="50">
        <f t="shared" si="53"/>
        <v>6</v>
      </c>
      <c r="K161" s="49">
        <f t="shared" si="53"/>
        <v>160</v>
      </c>
      <c r="L161" s="44">
        <f t="shared" si="50"/>
        <v>8</v>
      </c>
      <c r="M161" s="44">
        <f t="shared" si="57"/>
        <v>30</v>
      </c>
      <c r="N161" s="45">
        <f t="shared" si="43"/>
        <v>0.2</v>
      </c>
      <c r="O161" s="49">
        <v>60</v>
      </c>
      <c r="P161" s="44">
        <f t="shared" si="56"/>
        <v>150</v>
      </c>
      <c r="Q161" s="50">
        <f t="shared" si="56"/>
        <v>210</v>
      </c>
    </row>
    <row r="162" spans="1:17" x14ac:dyDescent="0.25">
      <c r="A162" s="41">
        <f t="shared" si="54"/>
        <v>1010</v>
      </c>
      <c r="B162" s="42">
        <f t="shared" si="54"/>
        <v>152</v>
      </c>
      <c r="C162" s="41" t="s">
        <v>2662</v>
      </c>
      <c r="D162" s="43">
        <f t="shared" si="37"/>
        <v>34.199999999999996</v>
      </c>
      <c r="E162" s="61">
        <f t="shared" si="47"/>
        <v>4.375</v>
      </c>
      <c r="F162" s="61">
        <f t="shared" si="48"/>
        <v>42</v>
      </c>
      <c r="G162" s="64">
        <f t="shared" si="49"/>
        <v>0.58988764044943809</v>
      </c>
      <c r="H162" s="44">
        <f t="shared" si="55"/>
        <v>-27.618592548519779</v>
      </c>
      <c r="I162" s="42" t="str">
        <f t="shared" si="53"/>
        <v>Half</v>
      </c>
      <c r="J162" s="50">
        <f t="shared" si="53"/>
        <v>6</v>
      </c>
      <c r="K162" s="49">
        <f t="shared" si="53"/>
        <v>160</v>
      </c>
      <c r="L162" s="44">
        <f t="shared" si="50"/>
        <v>8</v>
      </c>
      <c r="M162" s="44">
        <f t="shared" si="57"/>
        <v>30</v>
      </c>
      <c r="N162" s="45">
        <f t="shared" si="43"/>
        <v>0.2</v>
      </c>
      <c r="O162" s="49">
        <v>90</v>
      </c>
      <c r="P162" s="44">
        <f t="shared" si="56"/>
        <v>150</v>
      </c>
      <c r="Q162" s="50">
        <f t="shared" si="56"/>
        <v>210</v>
      </c>
    </row>
    <row r="163" spans="1:17" x14ac:dyDescent="0.25">
      <c r="A163" s="41">
        <f t="shared" si="54"/>
        <v>1011</v>
      </c>
      <c r="B163" s="42">
        <f t="shared" si="54"/>
        <v>153</v>
      </c>
      <c r="C163" s="41" t="s">
        <v>2663</v>
      </c>
      <c r="D163" s="43">
        <f t="shared" si="37"/>
        <v>34.199999999999996</v>
      </c>
      <c r="E163" s="61">
        <f t="shared" si="47"/>
        <v>4.375</v>
      </c>
      <c r="F163" s="61">
        <f t="shared" si="48"/>
        <v>42</v>
      </c>
      <c r="G163" s="64">
        <f t="shared" si="49"/>
        <v>0.58988764044943809</v>
      </c>
      <c r="H163" s="44">
        <f t="shared" si="55"/>
        <v>-27.618592548519779</v>
      </c>
      <c r="I163" s="42" t="str">
        <f t="shared" si="53"/>
        <v>Half</v>
      </c>
      <c r="J163" s="50">
        <f t="shared" si="53"/>
        <v>6</v>
      </c>
      <c r="K163" s="49">
        <f t="shared" si="53"/>
        <v>160</v>
      </c>
      <c r="L163" s="44">
        <f t="shared" si="50"/>
        <v>8</v>
      </c>
      <c r="M163" s="44">
        <f>M159+30</f>
        <v>60</v>
      </c>
      <c r="N163" s="45">
        <f t="shared" si="43"/>
        <v>0.2</v>
      </c>
      <c r="O163" s="49">
        <v>0</v>
      </c>
      <c r="P163" s="44">
        <f t="shared" si="56"/>
        <v>150</v>
      </c>
      <c r="Q163" s="50">
        <f t="shared" si="56"/>
        <v>210</v>
      </c>
    </row>
    <row r="164" spans="1:17" x14ac:dyDescent="0.25">
      <c r="A164" s="41">
        <f t="shared" si="54"/>
        <v>1012</v>
      </c>
      <c r="B164" s="42">
        <f t="shared" si="54"/>
        <v>154</v>
      </c>
      <c r="C164" s="41" t="s">
        <v>2664</v>
      </c>
      <c r="D164" s="43">
        <f t="shared" si="37"/>
        <v>34.199999999999996</v>
      </c>
      <c r="E164" s="61">
        <f t="shared" si="47"/>
        <v>4.375</v>
      </c>
      <c r="F164" s="61">
        <f t="shared" si="48"/>
        <v>42</v>
      </c>
      <c r="G164" s="64">
        <f t="shared" si="49"/>
        <v>0.58988764044943809</v>
      </c>
      <c r="H164" s="44">
        <f t="shared" si="55"/>
        <v>-27.618592548519779</v>
      </c>
      <c r="I164" s="42" t="str">
        <f>I163</f>
        <v>Half</v>
      </c>
      <c r="J164" s="50">
        <f t="shared" si="53"/>
        <v>6</v>
      </c>
      <c r="K164" s="49">
        <f t="shared" si="53"/>
        <v>160</v>
      </c>
      <c r="L164" s="44">
        <f t="shared" si="50"/>
        <v>8</v>
      </c>
      <c r="M164" s="44">
        <f t="shared" si="57"/>
        <v>60</v>
      </c>
      <c r="N164" s="45">
        <f t="shared" si="43"/>
        <v>0.2</v>
      </c>
      <c r="O164" s="49">
        <v>30</v>
      </c>
      <c r="P164" s="44">
        <f t="shared" si="56"/>
        <v>150</v>
      </c>
      <c r="Q164" s="50">
        <f t="shared" si="56"/>
        <v>210</v>
      </c>
    </row>
    <row r="165" spans="1:17" x14ac:dyDescent="0.25">
      <c r="A165" s="41">
        <f t="shared" si="54"/>
        <v>1013</v>
      </c>
      <c r="B165" s="42">
        <f t="shared" si="54"/>
        <v>155</v>
      </c>
      <c r="C165" s="41" t="s">
        <v>2665</v>
      </c>
      <c r="D165" s="43">
        <f t="shared" si="37"/>
        <v>34.199999999999996</v>
      </c>
      <c r="E165" s="61">
        <f t="shared" si="47"/>
        <v>4.375</v>
      </c>
      <c r="F165" s="61">
        <f t="shared" si="48"/>
        <v>42</v>
      </c>
      <c r="G165" s="64">
        <f t="shared" si="49"/>
        <v>0.58988764044943809</v>
      </c>
      <c r="H165" s="44">
        <f t="shared" si="55"/>
        <v>-27.618592548519779</v>
      </c>
      <c r="I165" s="42" t="str">
        <f>I164</f>
        <v>Half</v>
      </c>
      <c r="J165" s="50">
        <f t="shared" si="53"/>
        <v>6</v>
      </c>
      <c r="K165" s="49">
        <f t="shared" si="53"/>
        <v>160</v>
      </c>
      <c r="L165" s="44">
        <f t="shared" si="50"/>
        <v>8</v>
      </c>
      <c r="M165" s="44">
        <f t="shared" si="57"/>
        <v>60</v>
      </c>
      <c r="N165" s="45">
        <f t="shared" si="43"/>
        <v>0.2</v>
      </c>
      <c r="O165" s="49">
        <v>60</v>
      </c>
      <c r="P165" s="44">
        <f t="shared" si="56"/>
        <v>150</v>
      </c>
      <c r="Q165" s="50">
        <f t="shared" si="56"/>
        <v>210</v>
      </c>
    </row>
    <row r="166" spans="1:17" x14ac:dyDescent="0.25">
      <c r="A166" s="41">
        <f t="shared" si="54"/>
        <v>1014</v>
      </c>
      <c r="B166" s="42">
        <f t="shared" si="54"/>
        <v>156</v>
      </c>
      <c r="C166" s="41" t="s">
        <v>2666</v>
      </c>
      <c r="D166" s="43">
        <f t="shared" si="37"/>
        <v>34.199999999999996</v>
      </c>
      <c r="E166" s="61">
        <f t="shared" si="47"/>
        <v>4.375</v>
      </c>
      <c r="F166" s="61">
        <f t="shared" si="48"/>
        <v>42</v>
      </c>
      <c r="G166" s="64">
        <f t="shared" si="49"/>
        <v>0.58988764044943809</v>
      </c>
      <c r="H166" s="44">
        <f t="shared" si="55"/>
        <v>-27.618592548519779</v>
      </c>
      <c r="I166" s="42" t="str">
        <f>I165</f>
        <v>Half</v>
      </c>
      <c r="J166" s="50">
        <f t="shared" si="53"/>
        <v>6</v>
      </c>
      <c r="K166" s="49">
        <f t="shared" si="53"/>
        <v>160</v>
      </c>
      <c r="L166" s="44">
        <f t="shared" si="50"/>
        <v>8</v>
      </c>
      <c r="M166" s="44">
        <f t="shared" si="57"/>
        <v>60</v>
      </c>
      <c r="N166" s="45">
        <f t="shared" si="43"/>
        <v>0.2</v>
      </c>
      <c r="O166" s="49">
        <v>90</v>
      </c>
      <c r="P166" s="44">
        <f t="shared" si="56"/>
        <v>150</v>
      </c>
      <c r="Q166" s="50">
        <f t="shared" si="56"/>
        <v>210</v>
      </c>
    </row>
    <row r="167" spans="1:17" x14ac:dyDescent="0.25">
      <c r="A167" s="41">
        <f t="shared" si="54"/>
        <v>1015</v>
      </c>
      <c r="B167" s="42">
        <f t="shared" si="54"/>
        <v>157</v>
      </c>
      <c r="C167" s="41" t="s">
        <v>2667</v>
      </c>
      <c r="D167" s="43">
        <f t="shared" si="37"/>
        <v>34.199999999999996</v>
      </c>
      <c r="E167" s="61">
        <f t="shared" si="47"/>
        <v>4.375</v>
      </c>
      <c r="F167" s="61">
        <f t="shared" si="48"/>
        <v>42</v>
      </c>
      <c r="G167" s="64">
        <f t="shared" si="49"/>
        <v>0.58988764044943809</v>
      </c>
      <c r="H167" s="44">
        <f t="shared" si="55"/>
        <v>-27.618592548519779</v>
      </c>
      <c r="I167" s="42" t="str">
        <f t="shared" si="53"/>
        <v>Half</v>
      </c>
      <c r="J167" s="50">
        <f t="shared" si="53"/>
        <v>6</v>
      </c>
      <c r="K167" s="49">
        <f t="shared" si="53"/>
        <v>160</v>
      </c>
      <c r="L167" s="44">
        <f t="shared" si="50"/>
        <v>8</v>
      </c>
      <c r="M167" s="44">
        <f t="shared" si="57"/>
        <v>90</v>
      </c>
      <c r="N167" s="45">
        <f t="shared" si="43"/>
        <v>0.2</v>
      </c>
      <c r="O167" s="49">
        <v>0</v>
      </c>
      <c r="P167" s="44">
        <f t="shared" si="56"/>
        <v>150</v>
      </c>
      <c r="Q167" s="50">
        <f t="shared" si="56"/>
        <v>210</v>
      </c>
    </row>
    <row r="168" spans="1:17" x14ac:dyDescent="0.25">
      <c r="A168" s="41">
        <f t="shared" si="54"/>
        <v>1016</v>
      </c>
      <c r="B168" s="42">
        <f t="shared" si="54"/>
        <v>158</v>
      </c>
      <c r="C168" s="41" t="s">
        <v>2668</v>
      </c>
      <c r="D168" s="43">
        <f t="shared" si="37"/>
        <v>34.199999999999996</v>
      </c>
      <c r="E168" s="61">
        <f t="shared" si="47"/>
        <v>4.375</v>
      </c>
      <c r="F168" s="61">
        <f t="shared" si="48"/>
        <v>42</v>
      </c>
      <c r="G168" s="64">
        <f t="shared" si="49"/>
        <v>0.58988764044943809</v>
      </c>
      <c r="H168" s="44">
        <f t="shared" si="55"/>
        <v>-27.618592548519779</v>
      </c>
      <c r="I168" s="42" t="str">
        <f t="shared" si="53"/>
        <v>Half</v>
      </c>
      <c r="J168" s="50">
        <f t="shared" si="53"/>
        <v>6</v>
      </c>
      <c r="K168" s="49">
        <f t="shared" si="53"/>
        <v>160</v>
      </c>
      <c r="L168" s="44">
        <f t="shared" si="50"/>
        <v>8</v>
      </c>
      <c r="M168" s="44">
        <f t="shared" si="57"/>
        <v>90</v>
      </c>
      <c r="N168" s="45">
        <f t="shared" si="43"/>
        <v>0.2</v>
      </c>
      <c r="O168" s="49">
        <v>30</v>
      </c>
      <c r="P168" s="44">
        <f t="shared" si="56"/>
        <v>150</v>
      </c>
      <c r="Q168" s="50">
        <f t="shared" si="56"/>
        <v>210</v>
      </c>
    </row>
    <row r="169" spans="1:17" x14ac:dyDescent="0.25">
      <c r="A169" s="41">
        <f t="shared" si="54"/>
        <v>1017</v>
      </c>
      <c r="B169" s="42">
        <f t="shared" si="54"/>
        <v>159</v>
      </c>
      <c r="C169" s="41" t="s">
        <v>2669</v>
      </c>
      <c r="D169" s="43">
        <f t="shared" si="37"/>
        <v>34.199999999999996</v>
      </c>
      <c r="E169" s="61">
        <f t="shared" si="47"/>
        <v>4.375</v>
      </c>
      <c r="F169" s="61">
        <f t="shared" si="48"/>
        <v>42</v>
      </c>
      <c r="G169" s="64">
        <f t="shared" si="49"/>
        <v>0.58988764044943809</v>
      </c>
      <c r="H169" s="44">
        <f t="shared" si="55"/>
        <v>-27.618592548519779</v>
      </c>
      <c r="I169" s="42" t="str">
        <f t="shared" ref="I169:K172" si="58">I168</f>
        <v>Half</v>
      </c>
      <c r="J169" s="50">
        <f t="shared" si="58"/>
        <v>6</v>
      </c>
      <c r="K169" s="49">
        <f t="shared" si="58"/>
        <v>160</v>
      </c>
      <c r="L169" s="44">
        <f t="shared" si="50"/>
        <v>8</v>
      </c>
      <c r="M169" s="44">
        <f t="shared" si="57"/>
        <v>90</v>
      </c>
      <c r="N169" s="45">
        <f t="shared" si="43"/>
        <v>0.2</v>
      </c>
      <c r="O169" s="49">
        <v>60</v>
      </c>
      <c r="P169" s="44">
        <f t="shared" si="56"/>
        <v>150</v>
      </c>
      <c r="Q169" s="50">
        <f t="shared" si="56"/>
        <v>210</v>
      </c>
    </row>
    <row r="170" spans="1:17" x14ac:dyDescent="0.25">
      <c r="A170" s="41">
        <f t="shared" si="54"/>
        <v>1018</v>
      </c>
      <c r="B170" s="42">
        <f t="shared" si="54"/>
        <v>160</v>
      </c>
      <c r="C170" s="41" t="s">
        <v>2670</v>
      </c>
      <c r="D170" s="43">
        <f t="shared" si="37"/>
        <v>34.199999999999996</v>
      </c>
      <c r="E170" s="61">
        <f t="shared" si="47"/>
        <v>4.375</v>
      </c>
      <c r="F170" s="61">
        <f t="shared" si="48"/>
        <v>42</v>
      </c>
      <c r="G170" s="64">
        <f t="shared" si="49"/>
        <v>0.58988764044943809</v>
      </c>
      <c r="H170" s="44">
        <f t="shared" si="55"/>
        <v>-27.618592548519779</v>
      </c>
      <c r="I170" s="42" t="str">
        <f t="shared" si="58"/>
        <v>Half</v>
      </c>
      <c r="J170" s="50">
        <f t="shared" si="58"/>
        <v>6</v>
      </c>
      <c r="K170" s="49">
        <f t="shared" si="58"/>
        <v>160</v>
      </c>
      <c r="L170" s="44">
        <f t="shared" si="50"/>
        <v>8</v>
      </c>
      <c r="M170" s="44">
        <f t="shared" si="57"/>
        <v>90</v>
      </c>
      <c r="N170" s="45">
        <f t="shared" si="43"/>
        <v>0.2</v>
      </c>
      <c r="O170" s="49">
        <v>90</v>
      </c>
      <c r="P170" s="44">
        <f t="shared" si="56"/>
        <v>150</v>
      </c>
      <c r="Q170" s="50">
        <f t="shared" si="56"/>
        <v>210</v>
      </c>
    </row>
    <row r="171" spans="1:17" x14ac:dyDescent="0.25">
      <c r="A171" s="41">
        <f t="shared" si="54"/>
        <v>1019</v>
      </c>
      <c r="B171" s="42">
        <f t="shared" si="54"/>
        <v>161</v>
      </c>
      <c r="C171" s="41" t="s">
        <v>2671</v>
      </c>
      <c r="D171" s="43">
        <f t="shared" si="37"/>
        <v>34.199999999999996</v>
      </c>
      <c r="E171" s="61">
        <f t="shared" si="47"/>
        <v>4.375</v>
      </c>
      <c r="F171" s="61">
        <f t="shared" si="48"/>
        <v>42</v>
      </c>
      <c r="G171" s="64">
        <f t="shared" si="49"/>
        <v>0.58988764044943809</v>
      </c>
      <c r="H171" s="44">
        <f t="shared" si="55"/>
        <v>-27.618592548519779</v>
      </c>
      <c r="I171" s="42" t="s">
        <v>12</v>
      </c>
      <c r="J171" s="50">
        <f t="shared" si="58"/>
        <v>6</v>
      </c>
      <c r="K171" s="49">
        <f t="shared" si="58"/>
        <v>160</v>
      </c>
      <c r="L171" s="44">
        <f t="shared" si="50"/>
        <v>8</v>
      </c>
      <c r="M171" s="44">
        <f t="shared" si="57"/>
        <v>120</v>
      </c>
      <c r="N171" s="45">
        <f t="shared" si="43"/>
        <v>0.2</v>
      </c>
      <c r="O171" s="49">
        <v>0</v>
      </c>
      <c r="P171" s="44">
        <f t="shared" si="56"/>
        <v>150</v>
      </c>
      <c r="Q171" s="50">
        <f t="shared" si="56"/>
        <v>210</v>
      </c>
    </row>
    <row r="172" spans="1:17" x14ac:dyDescent="0.25">
      <c r="A172" s="41">
        <f t="shared" ref="A172:B187" si="59">A171+1</f>
        <v>1020</v>
      </c>
      <c r="B172" s="42">
        <f t="shared" si="59"/>
        <v>162</v>
      </c>
      <c r="C172" s="41" t="s">
        <v>2672</v>
      </c>
      <c r="D172" s="43">
        <f t="shared" si="37"/>
        <v>34.199999999999996</v>
      </c>
      <c r="E172" s="61">
        <f t="shared" si="47"/>
        <v>4.375</v>
      </c>
      <c r="F172" s="61">
        <f t="shared" si="48"/>
        <v>42</v>
      </c>
      <c r="G172" s="64">
        <f t="shared" si="49"/>
        <v>0.58988764044943809</v>
      </c>
      <c r="H172" s="44">
        <f t="shared" si="55"/>
        <v>-27.618592548519779</v>
      </c>
      <c r="I172" s="42" t="str">
        <f>I171</f>
        <v>Half</v>
      </c>
      <c r="J172" s="50">
        <f t="shared" si="58"/>
        <v>6</v>
      </c>
      <c r="K172" s="49">
        <f t="shared" si="58"/>
        <v>160</v>
      </c>
      <c r="L172" s="44">
        <f t="shared" si="50"/>
        <v>8</v>
      </c>
      <c r="M172" s="44">
        <f t="shared" si="57"/>
        <v>120</v>
      </c>
      <c r="N172" s="45">
        <f t="shared" si="43"/>
        <v>0.2</v>
      </c>
      <c r="O172" s="49">
        <v>30</v>
      </c>
      <c r="P172" s="44">
        <f t="shared" si="56"/>
        <v>150</v>
      </c>
      <c r="Q172" s="50">
        <f t="shared" si="56"/>
        <v>210</v>
      </c>
    </row>
    <row r="173" spans="1:17" x14ac:dyDescent="0.25">
      <c r="A173" s="41">
        <f t="shared" si="59"/>
        <v>1021</v>
      </c>
      <c r="B173" s="42">
        <f t="shared" si="59"/>
        <v>163</v>
      </c>
      <c r="C173" s="41" t="s">
        <v>2673</v>
      </c>
      <c r="D173" s="43">
        <f t="shared" ref="D173:D202" si="60">D172</f>
        <v>34.199999999999996</v>
      </c>
      <c r="E173" s="61">
        <f t="shared" si="47"/>
        <v>4.375</v>
      </c>
      <c r="F173" s="61">
        <f t="shared" si="48"/>
        <v>42</v>
      </c>
      <c r="G173" s="64">
        <f t="shared" si="49"/>
        <v>0.58988764044943809</v>
      </c>
      <c r="H173" s="44">
        <f t="shared" si="55"/>
        <v>-27.618592548519779</v>
      </c>
      <c r="I173" s="42" t="str">
        <f t="shared" ref="I173:K188" si="61">I172</f>
        <v>Half</v>
      </c>
      <c r="J173" s="50">
        <f t="shared" si="61"/>
        <v>6</v>
      </c>
      <c r="K173" s="49">
        <f t="shared" si="61"/>
        <v>160</v>
      </c>
      <c r="L173" s="44">
        <f t="shared" si="50"/>
        <v>8</v>
      </c>
      <c r="M173" s="44">
        <f t="shared" si="57"/>
        <v>120</v>
      </c>
      <c r="N173" s="45">
        <f t="shared" si="43"/>
        <v>0.2</v>
      </c>
      <c r="O173" s="49">
        <v>60</v>
      </c>
      <c r="P173" s="44">
        <f t="shared" ref="P173:Q188" si="62">P172</f>
        <v>150</v>
      </c>
      <c r="Q173" s="50">
        <f t="shared" si="62"/>
        <v>210</v>
      </c>
    </row>
    <row r="174" spans="1:17" x14ac:dyDescent="0.25">
      <c r="A174" s="41">
        <f t="shared" si="59"/>
        <v>1022</v>
      </c>
      <c r="B174" s="42">
        <f t="shared" si="59"/>
        <v>164</v>
      </c>
      <c r="C174" s="41" t="s">
        <v>2674</v>
      </c>
      <c r="D174" s="43">
        <f t="shared" si="60"/>
        <v>34.199999999999996</v>
      </c>
      <c r="E174" s="61">
        <f t="shared" si="47"/>
        <v>4.375</v>
      </c>
      <c r="F174" s="61">
        <f t="shared" si="48"/>
        <v>42</v>
      </c>
      <c r="G174" s="64">
        <f t="shared" si="49"/>
        <v>0.58988764044943809</v>
      </c>
      <c r="H174" s="44">
        <f t="shared" si="55"/>
        <v>-27.618592548519779</v>
      </c>
      <c r="I174" s="42" t="str">
        <f t="shared" si="61"/>
        <v>Half</v>
      </c>
      <c r="J174" s="50">
        <f t="shared" si="61"/>
        <v>6</v>
      </c>
      <c r="K174" s="49">
        <f t="shared" si="61"/>
        <v>160</v>
      </c>
      <c r="L174" s="44">
        <f t="shared" si="50"/>
        <v>8</v>
      </c>
      <c r="M174" s="44">
        <f t="shared" si="57"/>
        <v>120</v>
      </c>
      <c r="N174" s="45">
        <f t="shared" si="43"/>
        <v>0.2</v>
      </c>
      <c r="O174" s="49">
        <v>90</v>
      </c>
      <c r="P174" s="44">
        <f t="shared" si="62"/>
        <v>150</v>
      </c>
      <c r="Q174" s="50">
        <f t="shared" si="62"/>
        <v>210</v>
      </c>
    </row>
    <row r="175" spans="1:17" x14ac:dyDescent="0.25">
      <c r="A175" s="41">
        <f t="shared" si="59"/>
        <v>1023</v>
      </c>
      <c r="B175" s="42">
        <f t="shared" si="59"/>
        <v>165</v>
      </c>
      <c r="C175" s="41" t="s">
        <v>2675</v>
      </c>
      <c r="D175" s="43">
        <f t="shared" si="60"/>
        <v>34.199999999999996</v>
      </c>
      <c r="E175" s="61">
        <f t="shared" si="47"/>
        <v>4.375</v>
      </c>
      <c r="F175" s="61">
        <f t="shared" si="48"/>
        <v>42</v>
      </c>
      <c r="G175" s="64">
        <f t="shared" si="49"/>
        <v>0.58988764044943809</v>
      </c>
      <c r="H175" s="44">
        <f t="shared" si="55"/>
        <v>-27.618592548519779</v>
      </c>
      <c r="I175" s="42" t="str">
        <f t="shared" si="61"/>
        <v>Half</v>
      </c>
      <c r="J175" s="50">
        <f t="shared" si="61"/>
        <v>6</v>
      </c>
      <c r="K175" s="49">
        <f t="shared" si="61"/>
        <v>160</v>
      </c>
      <c r="L175" s="44">
        <f t="shared" si="50"/>
        <v>8</v>
      </c>
      <c r="M175" s="44">
        <f t="shared" si="57"/>
        <v>150</v>
      </c>
      <c r="N175" s="45">
        <f t="shared" si="43"/>
        <v>0.2</v>
      </c>
      <c r="O175" s="49">
        <v>0</v>
      </c>
      <c r="P175" s="44">
        <f t="shared" si="62"/>
        <v>150</v>
      </c>
      <c r="Q175" s="50">
        <f t="shared" si="62"/>
        <v>210</v>
      </c>
    </row>
    <row r="176" spans="1:17" x14ac:dyDescent="0.25">
      <c r="A176" s="41">
        <f t="shared" si="59"/>
        <v>1024</v>
      </c>
      <c r="B176" s="42">
        <f t="shared" si="59"/>
        <v>166</v>
      </c>
      <c r="C176" s="41" t="s">
        <v>2676</v>
      </c>
      <c r="D176" s="43">
        <f t="shared" si="60"/>
        <v>34.199999999999996</v>
      </c>
      <c r="E176" s="61">
        <f t="shared" si="47"/>
        <v>4.375</v>
      </c>
      <c r="F176" s="61">
        <f t="shared" si="48"/>
        <v>42</v>
      </c>
      <c r="G176" s="64">
        <f t="shared" si="49"/>
        <v>0.58988764044943809</v>
      </c>
      <c r="H176" s="44">
        <f t="shared" si="55"/>
        <v>-27.618592548519779</v>
      </c>
      <c r="I176" s="42" t="str">
        <f t="shared" si="61"/>
        <v>Half</v>
      </c>
      <c r="J176" s="50">
        <f t="shared" si="61"/>
        <v>6</v>
      </c>
      <c r="K176" s="49">
        <f t="shared" si="61"/>
        <v>160</v>
      </c>
      <c r="L176" s="44">
        <f t="shared" si="50"/>
        <v>8</v>
      </c>
      <c r="M176" s="44">
        <f t="shared" si="57"/>
        <v>150</v>
      </c>
      <c r="N176" s="45">
        <f t="shared" si="43"/>
        <v>0.2</v>
      </c>
      <c r="O176" s="49">
        <v>30</v>
      </c>
      <c r="P176" s="44">
        <f t="shared" si="62"/>
        <v>150</v>
      </c>
      <c r="Q176" s="50">
        <f t="shared" si="62"/>
        <v>210</v>
      </c>
    </row>
    <row r="177" spans="1:17" x14ac:dyDescent="0.25">
      <c r="A177" s="41">
        <f t="shared" si="59"/>
        <v>1025</v>
      </c>
      <c r="B177" s="42">
        <f t="shared" si="59"/>
        <v>167</v>
      </c>
      <c r="C177" s="41" t="s">
        <v>2677</v>
      </c>
      <c r="D177" s="43">
        <f t="shared" si="60"/>
        <v>34.199999999999996</v>
      </c>
      <c r="E177" s="61">
        <f t="shared" si="47"/>
        <v>4.375</v>
      </c>
      <c r="F177" s="61">
        <f t="shared" si="48"/>
        <v>42</v>
      </c>
      <c r="G177" s="64">
        <f t="shared" si="49"/>
        <v>0.58988764044943809</v>
      </c>
      <c r="H177" s="44">
        <f t="shared" si="55"/>
        <v>-27.618592548519779</v>
      </c>
      <c r="I177" s="42" t="str">
        <f t="shared" si="61"/>
        <v>Half</v>
      </c>
      <c r="J177" s="50">
        <f t="shared" si="61"/>
        <v>6</v>
      </c>
      <c r="K177" s="49">
        <f t="shared" si="61"/>
        <v>160</v>
      </c>
      <c r="L177" s="44">
        <f t="shared" si="50"/>
        <v>8</v>
      </c>
      <c r="M177" s="44">
        <f t="shared" si="57"/>
        <v>150</v>
      </c>
      <c r="N177" s="45">
        <f t="shared" si="43"/>
        <v>0.2</v>
      </c>
      <c r="O177" s="49">
        <v>60</v>
      </c>
      <c r="P177" s="44">
        <f t="shared" si="62"/>
        <v>150</v>
      </c>
      <c r="Q177" s="50">
        <f t="shared" si="62"/>
        <v>210</v>
      </c>
    </row>
    <row r="178" spans="1:17" x14ac:dyDescent="0.25">
      <c r="A178" s="41">
        <f t="shared" si="59"/>
        <v>1026</v>
      </c>
      <c r="B178" s="42">
        <f t="shared" si="59"/>
        <v>168</v>
      </c>
      <c r="C178" s="41" t="s">
        <v>2678</v>
      </c>
      <c r="D178" s="43">
        <f t="shared" si="60"/>
        <v>34.199999999999996</v>
      </c>
      <c r="E178" s="61">
        <f t="shared" si="47"/>
        <v>4.375</v>
      </c>
      <c r="F178" s="61">
        <f t="shared" si="48"/>
        <v>42</v>
      </c>
      <c r="G178" s="64">
        <f t="shared" si="49"/>
        <v>0.58988764044943809</v>
      </c>
      <c r="H178" s="44">
        <f t="shared" si="55"/>
        <v>-27.618592548519779</v>
      </c>
      <c r="I178" s="42" t="str">
        <f t="shared" si="61"/>
        <v>Half</v>
      </c>
      <c r="J178" s="50">
        <f t="shared" si="61"/>
        <v>6</v>
      </c>
      <c r="K178" s="49">
        <f t="shared" si="61"/>
        <v>160</v>
      </c>
      <c r="L178" s="44">
        <f t="shared" si="50"/>
        <v>8</v>
      </c>
      <c r="M178" s="44">
        <f t="shared" si="57"/>
        <v>150</v>
      </c>
      <c r="N178" s="45">
        <f t="shared" si="43"/>
        <v>0.2</v>
      </c>
      <c r="O178" s="49">
        <v>90</v>
      </c>
      <c r="P178" s="44">
        <f t="shared" si="62"/>
        <v>150</v>
      </c>
      <c r="Q178" s="50">
        <f t="shared" si="62"/>
        <v>210</v>
      </c>
    </row>
    <row r="179" spans="1:17" x14ac:dyDescent="0.25">
      <c r="A179" s="41">
        <f t="shared" si="59"/>
        <v>1027</v>
      </c>
      <c r="B179" s="42">
        <f t="shared" si="59"/>
        <v>169</v>
      </c>
      <c r="C179" s="41" t="s">
        <v>2679</v>
      </c>
      <c r="D179" s="43">
        <f t="shared" si="60"/>
        <v>34.199999999999996</v>
      </c>
      <c r="E179" s="61">
        <f t="shared" si="47"/>
        <v>4.375</v>
      </c>
      <c r="F179" s="61">
        <f t="shared" si="48"/>
        <v>42</v>
      </c>
      <c r="G179" s="64">
        <f t="shared" si="49"/>
        <v>0.58988764044943809</v>
      </c>
      <c r="H179" s="44">
        <f t="shared" si="55"/>
        <v>-27.618592548519779</v>
      </c>
      <c r="I179" s="42" t="str">
        <f t="shared" si="61"/>
        <v>Half</v>
      </c>
      <c r="J179" s="50">
        <f t="shared" si="61"/>
        <v>6</v>
      </c>
      <c r="K179" s="49">
        <f t="shared" si="61"/>
        <v>160</v>
      </c>
      <c r="L179" s="44">
        <f t="shared" si="50"/>
        <v>8</v>
      </c>
      <c r="M179" s="44">
        <f t="shared" si="57"/>
        <v>180</v>
      </c>
      <c r="N179" s="45">
        <f t="shared" si="43"/>
        <v>0.2</v>
      </c>
      <c r="O179" s="49">
        <v>0</v>
      </c>
      <c r="P179" s="44">
        <f t="shared" si="62"/>
        <v>150</v>
      </c>
      <c r="Q179" s="50">
        <f t="shared" si="62"/>
        <v>210</v>
      </c>
    </row>
    <row r="180" spans="1:17" x14ac:dyDescent="0.25">
      <c r="A180" s="41">
        <f t="shared" si="59"/>
        <v>1028</v>
      </c>
      <c r="B180" s="42">
        <f t="shared" si="59"/>
        <v>170</v>
      </c>
      <c r="C180" s="41" t="s">
        <v>2680</v>
      </c>
      <c r="D180" s="43">
        <f t="shared" si="60"/>
        <v>34.199999999999996</v>
      </c>
      <c r="E180" s="61">
        <f t="shared" si="47"/>
        <v>4.375</v>
      </c>
      <c r="F180" s="61">
        <f t="shared" si="48"/>
        <v>42</v>
      </c>
      <c r="G180" s="64">
        <f t="shared" si="49"/>
        <v>0.58988764044943809</v>
      </c>
      <c r="H180" s="44">
        <f t="shared" si="55"/>
        <v>-27.618592548519779</v>
      </c>
      <c r="I180" s="42" t="str">
        <f t="shared" si="61"/>
        <v>Half</v>
      </c>
      <c r="J180" s="50">
        <f t="shared" si="61"/>
        <v>6</v>
      </c>
      <c r="K180" s="49">
        <f t="shared" si="61"/>
        <v>160</v>
      </c>
      <c r="L180" s="44">
        <f t="shared" si="50"/>
        <v>8</v>
      </c>
      <c r="M180" s="44">
        <f t="shared" si="57"/>
        <v>180</v>
      </c>
      <c r="N180" s="45">
        <f t="shared" si="43"/>
        <v>0.2</v>
      </c>
      <c r="O180" s="49">
        <v>30</v>
      </c>
      <c r="P180" s="44">
        <f t="shared" si="62"/>
        <v>150</v>
      </c>
      <c r="Q180" s="50">
        <f t="shared" si="62"/>
        <v>210</v>
      </c>
    </row>
    <row r="181" spans="1:17" x14ac:dyDescent="0.25">
      <c r="A181" s="41">
        <f t="shared" si="59"/>
        <v>1029</v>
      </c>
      <c r="B181" s="42">
        <f t="shared" si="59"/>
        <v>171</v>
      </c>
      <c r="C181" s="41" t="s">
        <v>2681</v>
      </c>
      <c r="D181" s="43">
        <f t="shared" si="60"/>
        <v>34.199999999999996</v>
      </c>
      <c r="E181" s="61">
        <f t="shared" si="47"/>
        <v>4.375</v>
      </c>
      <c r="F181" s="61">
        <f t="shared" si="48"/>
        <v>42</v>
      </c>
      <c r="G181" s="64">
        <f t="shared" si="49"/>
        <v>0.58988764044943809</v>
      </c>
      <c r="H181" s="44">
        <f t="shared" si="55"/>
        <v>-27.618592548519779</v>
      </c>
      <c r="I181" s="42" t="str">
        <f t="shared" si="61"/>
        <v>Half</v>
      </c>
      <c r="J181" s="50">
        <f t="shared" si="61"/>
        <v>6</v>
      </c>
      <c r="K181" s="49">
        <f t="shared" si="61"/>
        <v>160</v>
      </c>
      <c r="L181" s="44">
        <f t="shared" si="50"/>
        <v>8</v>
      </c>
      <c r="M181" s="44">
        <f t="shared" si="57"/>
        <v>180</v>
      </c>
      <c r="N181" s="45">
        <f t="shared" si="43"/>
        <v>0.2</v>
      </c>
      <c r="O181" s="49">
        <v>60</v>
      </c>
      <c r="P181" s="44">
        <f t="shared" si="62"/>
        <v>150</v>
      </c>
      <c r="Q181" s="50">
        <f t="shared" si="62"/>
        <v>210</v>
      </c>
    </row>
    <row r="182" spans="1:17" x14ac:dyDescent="0.25">
      <c r="A182" s="41">
        <f t="shared" si="59"/>
        <v>1030</v>
      </c>
      <c r="B182" s="42">
        <f t="shared" si="59"/>
        <v>172</v>
      </c>
      <c r="C182" s="41" t="s">
        <v>2682</v>
      </c>
      <c r="D182" s="43">
        <f t="shared" si="60"/>
        <v>34.199999999999996</v>
      </c>
      <c r="E182" s="61">
        <f t="shared" si="47"/>
        <v>4.375</v>
      </c>
      <c r="F182" s="61">
        <f t="shared" si="48"/>
        <v>42</v>
      </c>
      <c r="G182" s="64">
        <f t="shared" si="49"/>
        <v>0.58988764044943809</v>
      </c>
      <c r="H182" s="44">
        <f t="shared" si="55"/>
        <v>-27.618592548519779</v>
      </c>
      <c r="I182" s="42" t="str">
        <f t="shared" si="61"/>
        <v>Half</v>
      </c>
      <c r="J182" s="50">
        <f t="shared" si="61"/>
        <v>6</v>
      </c>
      <c r="K182" s="49">
        <f t="shared" si="61"/>
        <v>160</v>
      </c>
      <c r="L182" s="44">
        <f t="shared" si="50"/>
        <v>8</v>
      </c>
      <c r="M182" s="44">
        <f t="shared" si="57"/>
        <v>180</v>
      </c>
      <c r="N182" s="45">
        <f t="shared" si="43"/>
        <v>0.2</v>
      </c>
      <c r="O182" s="49">
        <v>90</v>
      </c>
      <c r="P182" s="44">
        <f t="shared" si="62"/>
        <v>150</v>
      </c>
      <c r="Q182" s="50">
        <f t="shared" si="62"/>
        <v>210</v>
      </c>
    </row>
    <row r="183" spans="1:17" x14ac:dyDescent="0.25">
      <c r="A183" s="41">
        <f t="shared" si="59"/>
        <v>1031</v>
      </c>
      <c r="B183" s="42">
        <f t="shared" si="59"/>
        <v>173</v>
      </c>
      <c r="C183" s="41" t="s">
        <v>2683</v>
      </c>
      <c r="D183" s="43">
        <f t="shared" si="60"/>
        <v>34.199999999999996</v>
      </c>
      <c r="E183" s="61">
        <f t="shared" si="47"/>
        <v>4.375</v>
      </c>
      <c r="F183" s="61">
        <f t="shared" si="48"/>
        <v>42</v>
      </c>
      <c r="G183" s="64">
        <f t="shared" si="49"/>
        <v>0.58988764044943809</v>
      </c>
      <c r="H183" s="44">
        <f t="shared" si="55"/>
        <v>-27.618592548519779</v>
      </c>
      <c r="I183" s="42" t="str">
        <f t="shared" si="61"/>
        <v>Half</v>
      </c>
      <c r="J183" s="50">
        <f t="shared" si="61"/>
        <v>6</v>
      </c>
      <c r="K183" s="49">
        <f t="shared" si="61"/>
        <v>160</v>
      </c>
      <c r="L183" s="44">
        <f t="shared" si="50"/>
        <v>8</v>
      </c>
      <c r="M183" s="44">
        <f t="shared" si="57"/>
        <v>210</v>
      </c>
      <c r="N183" s="45">
        <f t="shared" si="43"/>
        <v>0.2</v>
      </c>
      <c r="O183" s="49">
        <v>0</v>
      </c>
      <c r="P183" s="44">
        <f t="shared" si="62"/>
        <v>150</v>
      </c>
      <c r="Q183" s="50">
        <f t="shared" si="62"/>
        <v>210</v>
      </c>
    </row>
    <row r="184" spans="1:17" x14ac:dyDescent="0.25">
      <c r="A184" s="41">
        <f t="shared" si="59"/>
        <v>1032</v>
      </c>
      <c r="B184" s="42">
        <f t="shared" si="59"/>
        <v>174</v>
      </c>
      <c r="C184" s="41" t="s">
        <v>2684</v>
      </c>
      <c r="D184" s="43">
        <f t="shared" si="60"/>
        <v>34.199999999999996</v>
      </c>
      <c r="E184" s="61">
        <f t="shared" si="47"/>
        <v>4.375</v>
      </c>
      <c r="F184" s="61">
        <f t="shared" si="48"/>
        <v>42</v>
      </c>
      <c r="G184" s="64">
        <f t="shared" si="49"/>
        <v>0.58988764044943809</v>
      </c>
      <c r="H184" s="44">
        <f t="shared" si="55"/>
        <v>-27.618592548519779</v>
      </c>
      <c r="I184" s="42" t="str">
        <f t="shared" si="61"/>
        <v>Half</v>
      </c>
      <c r="J184" s="50">
        <f t="shared" si="61"/>
        <v>6</v>
      </c>
      <c r="K184" s="49">
        <f t="shared" si="61"/>
        <v>160</v>
      </c>
      <c r="L184" s="44">
        <f t="shared" si="50"/>
        <v>8</v>
      </c>
      <c r="M184" s="44">
        <f t="shared" si="57"/>
        <v>210</v>
      </c>
      <c r="N184" s="45">
        <f t="shared" si="43"/>
        <v>0.2</v>
      </c>
      <c r="O184" s="49">
        <v>30</v>
      </c>
      <c r="P184" s="44">
        <f t="shared" si="62"/>
        <v>150</v>
      </c>
      <c r="Q184" s="50">
        <f t="shared" si="62"/>
        <v>210</v>
      </c>
    </row>
    <row r="185" spans="1:17" x14ac:dyDescent="0.25">
      <c r="A185" s="41">
        <f t="shared" si="59"/>
        <v>1033</v>
      </c>
      <c r="B185" s="42">
        <f t="shared" si="59"/>
        <v>175</v>
      </c>
      <c r="C185" s="41" t="s">
        <v>2685</v>
      </c>
      <c r="D185" s="43">
        <f t="shared" si="60"/>
        <v>34.199999999999996</v>
      </c>
      <c r="E185" s="61">
        <f t="shared" si="47"/>
        <v>4.375</v>
      </c>
      <c r="F185" s="61">
        <f t="shared" si="48"/>
        <v>42</v>
      </c>
      <c r="G185" s="64">
        <f t="shared" si="49"/>
        <v>0.58988764044943809</v>
      </c>
      <c r="H185" s="44">
        <f t="shared" si="55"/>
        <v>-27.618592548519779</v>
      </c>
      <c r="I185" s="42" t="str">
        <f t="shared" si="61"/>
        <v>Half</v>
      </c>
      <c r="J185" s="50">
        <f t="shared" si="61"/>
        <v>6</v>
      </c>
      <c r="K185" s="49">
        <f t="shared" si="61"/>
        <v>160</v>
      </c>
      <c r="L185" s="44">
        <f t="shared" si="50"/>
        <v>8</v>
      </c>
      <c r="M185" s="44">
        <f t="shared" si="57"/>
        <v>210</v>
      </c>
      <c r="N185" s="45">
        <f t="shared" si="43"/>
        <v>0.2</v>
      </c>
      <c r="O185" s="49">
        <v>60</v>
      </c>
      <c r="P185" s="44">
        <f t="shared" si="62"/>
        <v>150</v>
      </c>
      <c r="Q185" s="50">
        <f t="shared" si="62"/>
        <v>210</v>
      </c>
    </row>
    <row r="186" spans="1:17" x14ac:dyDescent="0.25">
      <c r="A186" s="41">
        <f t="shared" si="59"/>
        <v>1034</v>
      </c>
      <c r="B186" s="42">
        <f t="shared" si="59"/>
        <v>176</v>
      </c>
      <c r="C186" s="41" t="s">
        <v>2686</v>
      </c>
      <c r="D186" s="43">
        <f t="shared" si="60"/>
        <v>34.199999999999996</v>
      </c>
      <c r="E186" s="61">
        <f t="shared" si="47"/>
        <v>4.375</v>
      </c>
      <c r="F186" s="61">
        <f t="shared" si="48"/>
        <v>42</v>
      </c>
      <c r="G186" s="64">
        <f t="shared" si="49"/>
        <v>0.58988764044943809</v>
      </c>
      <c r="H186" s="44">
        <f t="shared" si="55"/>
        <v>-27.618592548519779</v>
      </c>
      <c r="I186" s="42" t="str">
        <f t="shared" si="61"/>
        <v>Half</v>
      </c>
      <c r="J186" s="50">
        <f t="shared" si="61"/>
        <v>6</v>
      </c>
      <c r="K186" s="49">
        <f t="shared" si="61"/>
        <v>160</v>
      </c>
      <c r="L186" s="44">
        <f t="shared" si="50"/>
        <v>8</v>
      </c>
      <c r="M186" s="44">
        <f t="shared" si="57"/>
        <v>210</v>
      </c>
      <c r="N186" s="45">
        <f t="shared" si="43"/>
        <v>0.2</v>
      </c>
      <c r="O186" s="49">
        <v>90</v>
      </c>
      <c r="P186" s="44">
        <f t="shared" si="62"/>
        <v>150</v>
      </c>
      <c r="Q186" s="50">
        <f t="shared" si="62"/>
        <v>210</v>
      </c>
    </row>
    <row r="187" spans="1:17" x14ac:dyDescent="0.25">
      <c r="A187" s="41">
        <f t="shared" si="59"/>
        <v>1035</v>
      </c>
      <c r="B187" s="42">
        <f t="shared" si="59"/>
        <v>177</v>
      </c>
      <c r="C187" s="41" t="s">
        <v>2687</v>
      </c>
      <c r="D187" s="43">
        <f t="shared" si="60"/>
        <v>34.199999999999996</v>
      </c>
      <c r="E187" s="61">
        <f t="shared" si="47"/>
        <v>4.375</v>
      </c>
      <c r="F187" s="61">
        <f t="shared" si="48"/>
        <v>42</v>
      </c>
      <c r="G187" s="64">
        <f t="shared" si="49"/>
        <v>0.58988764044943809</v>
      </c>
      <c r="H187" s="44">
        <f t="shared" si="55"/>
        <v>-27.618592548519779</v>
      </c>
      <c r="I187" s="42" t="s">
        <v>12</v>
      </c>
      <c r="J187" s="50">
        <f t="shared" si="61"/>
        <v>6</v>
      </c>
      <c r="K187" s="49">
        <f t="shared" si="61"/>
        <v>160</v>
      </c>
      <c r="L187" s="44">
        <f t="shared" si="50"/>
        <v>8</v>
      </c>
      <c r="M187" s="44">
        <f t="shared" si="57"/>
        <v>240</v>
      </c>
      <c r="N187" s="45">
        <f t="shared" si="43"/>
        <v>0.2</v>
      </c>
      <c r="O187" s="49">
        <v>0</v>
      </c>
      <c r="P187" s="44">
        <f t="shared" si="62"/>
        <v>150</v>
      </c>
      <c r="Q187" s="50">
        <f t="shared" si="62"/>
        <v>210</v>
      </c>
    </row>
    <row r="188" spans="1:17" x14ac:dyDescent="0.25">
      <c r="A188" s="41">
        <f t="shared" ref="A188:B203" si="63">A187+1</f>
        <v>1036</v>
      </c>
      <c r="B188" s="42">
        <f t="shared" si="63"/>
        <v>178</v>
      </c>
      <c r="C188" s="41" t="s">
        <v>2688</v>
      </c>
      <c r="D188" s="43">
        <f t="shared" si="60"/>
        <v>34.199999999999996</v>
      </c>
      <c r="E188" s="61">
        <f t="shared" si="47"/>
        <v>4.375</v>
      </c>
      <c r="F188" s="61">
        <f t="shared" si="48"/>
        <v>42</v>
      </c>
      <c r="G188" s="64">
        <f t="shared" si="49"/>
        <v>0.58988764044943809</v>
      </c>
      <c r="H188" s="44">
        <f t="shared" si="55"/>
        <v>-27.618592548519779</v>
      </c>
      <c r="I188" s="42" t="str">
        <f>I187</f>
        <v>Half</v>
      </c>
      <c r="J188" s="50">
        <f t="shared" si="61"/>
        <v>6</v>
      </c>
      <c r="K188" s="49">
        <f t="shared" si="61"/>
        <v>160</v>
      </c>
      <c r="L188" s="44">
        <f t="shared" si="50"/>
        <v>8</v>
      </c>
      <c r="M188" s="44">
        <f t="shared" si="57"/>
        <v>240</v>
      </c>
      <c r="N188" s="45">
        <f t="shared" si="43"/>
        <v>0.2</v>
      </c>
      <c r="O188" s="49">
        <v>30</v>
      </c>
      <c r="P188" s="44">
        <f t="shared" si="62"/>
        <v>150</v>
      </c>
      <c r="Q188" s="50">
        <f t="shared" si="62"/>
        <v>210</v>
      </c>
    </row>
    <row r="189" spans="1:17" x14ac:dyDescent="0.25">
      <c r="A189" s="41">
        <f t="shared" si="63"/>
        <v>1037</v>
      </c>
      <c r="B189" s="42">
        <f t="shared" si="63"/>
        <v>179</v>
      </c>
      <c r="C189" s="41" t="s">
        <v>2689</v>
      </c>
      <c r="D189" s="43">
        <f t="shared" si="60"/>
        <v>34.199999999999996</v>
      </c>
      <c r="E189" s="61">
        <f t="shared" si="47"/>
        <v>4.375</v>
      </c>
      <c r="F189" s="61">
        <f t="shared" si="48"/>
        <v>42</v>
      </c>
      <c r="G189" s="64">
        <f t="shared" si="49"/>
        <v>0.58988764044943809</v>
      </c>
      <c r="H189" s="44">
        <f t="shared" si="55"/>
        <v>-27.618592548519779</v>
      </c>
      <c r="I189" s="42" t="str">
        <f t="shared" ref="I189:K202" si="64">I188</f>
        <v>Half</v>
      </c>
      <c r="J189" s="50">
        <f t="shared" si="64"/>
        <v>6</v>
      </c>
      <c r="K189" s="49">
        <f t="shared" si="64"/>
        <v>160</v>
      </c>
      <c r="L189" s="44">
        <f t="shared" si="50"/>
        <v>8</v>
      </c>
      <c r="M189" s="44">
        <f t="shared" si="57"/>
        <v>240</v>
      </c>
      <c r="N189" s="45">
        <f t="shared" ref="N189:N252" si="65">N188</f>
        <v>0.2</v>
      </c>
      <c r="O189" s="49">
        <v>60</v>
      </c>
      <c r="P189" s="44">
        <f t="shared" ref="P189:Q202" si="66">P188</f>
        <v>150</v>
      </c>
      <c r="Q189" s="50">
        <f t="shared" si="66"/>
        <v>210</v>
      </c>
    </row>
    <row r="190" spans="1:17" x14ac:dyDescent="0.25">
      <c r="A190" s="41">
        <f t="shared" si="63"/>
        <v>1038</v>
      </c>
      <c r="B190" s="42">
        <f t="shared" si="63"/>
        <v>180</v>
      </c>
      <c r="C190" s="41" t="s">
        <v>2690</v>
      </c>
      <c r="D190" s="43">
        <f t="shared" si="60"/>
        <v>34.199999999999996</v>
      </c>
      <c r="E190" s="61">
        <f t="shared" si="47"/>
        <v>4.375</v>
      </c>
      <c r="F190" s="61">
        <f t="shared" si="48"/>
        <v>42</v>
      </c>
      <c r="G190" s="64">
        <f t="shared" si="49"/>
        <v>0.58988764044943809</v>
      </c>
      <c r="H190" s="44">
        <f t="shared" si="55"/>
        <v>-27.618592548519779</v>
      </c>
      <c r="I190" s="42" t="str">
        <f t="shared" si="64"/>
        <v>Half</v>
      </c>
      <c r="J190" s="50">
        <f t="shared" si="64"/>
        <v>6</v>
      </c>
      <c r="K190" s="49">
        <f t="shared" si="64"/>
        <v>160</v>
      </c>
      <c r="L190" s="44">
        <f t="shared" si="50"/>
        <v>8</v>
      </c>
      <c r="M190" s="44">
        <f t="shared" si="57"/>
        <v>240</v>
      </c>
      <c r="N190" s="45">
        <f t="shared" si="65"/>
        <v>0.2</v>
      </c>
      <c r="O190" s="49">
        <v>90</v>
      </c>
      <c r="P190" s="44">
        <f t="shared" si="66"/>
        <v>150</v>
      </c>
      <c r="Q190" s="50">
        <f t="shared" si="66"/>
        <v>210</v>
      </c>
    </row>
    <row r="191" spans="1:17" x14ac:dyDescent="0.25">
      <c r="A191" s="41">
        <f t="shared" si="63"/>
        <v>1039</v>
      </c>
      <c r="B191" s="42">
        <f t="shared" si="63"/>
        <v>181</v>
      </c>
      <c r="C191" s="41" t="s">
        <v>2691</v>
      </c>
      <c r="D191" s="43">
        <f t="shared" si="60"/>
        <v>34.199999999999996</v>
      </c>
      <c r="E191" s="61">
        <f t="shared" si="47"/>
        <v>4.375</v>
      </c>
      <c r="F191" s="61">
        <f t="shared" si="48"/>
        <v>42</v>
      </c>
      <c r="G191" s="64">
        <f t="shared" si="49"/>
        <v>0.58988764044943809</v>
      </c>
      <c r="H191" s="44">
        <f t="shared" si="55"/>
        <v>-27.618592548519779</v>
      </c>
      <c r="I191" s="42" t="str">
        <f t="shared" si="64"/>
        <v>Half</v>
      </c>
      <c r="J191" s="50">
        <f t="shared" si="64"/>
        <v>6</v>
      </c>
      <c r="K191" s="49">
        <f t="shared" si="64"/>
        <v>160</v>
      </c>
      <c r="L191" s="44">
        <f t="shared" si="50"/>
        <v>8</v>
      </c>
      <c r="M191" s="44">
        <f t="shared" si="57"/>
        <v>270</v>
      </c>
      <c r="N191" s="45">
        <f t="shared" si="65"/>
        <v>0.2</v>
      </c>
      <c r="O191" s="49">
        <v>0</v>
      </c>
      <c r="P191" s="44">
        <f t="shared" si="66"/>
        <v>150</v>
      </c>
      <c r="Q191" s="50">
        <f t="shared" si="66"/>
        <v>210</v>
      </c>
    </row>
    <row r="192" spans="1:17" x14ac:dyDescent="0.25">
      <c r="A192" s="41">
        <f t="shared" si="63"/>
        <v>1040</v>
      </c>
      <c r="B192" s="42">
        <f t="shared" si="63"/>
        <v>182</v>
      </c>
      <c r="C192" s="41" t="s">
        <v>2692</v>
      </c>
      <c r="D192" s="43">
        <f t="shared" si="60"/>
        <v>34.199999999999996</v>
      </c>
      <c r="E192" s="61">
        <f t="shared" si="47"/>
        <v>4.375</v>
      </c>
      <c r="F192" s="61">
        <f t="shared" si="48"/>
        <v>42</v>
      </c>
      <c r="G192" s="64">
        <f t="shared" si="49"/>
        <v>0.58988764044943809</v>
      </c>
      <c r="H192" s="44">
        <f t="shared" si="55"/>
        <v>-27.618592548519779</v>
      </c>
      <c r="I192" s="42" t="str">
        <f t="shared" si="64"/>
        <v>Half</v>
      </c>
      <c r="J192" s="50">
        <f t="shared" si="64"/>
        <v>6</v>
      </c>
      <c r="K192" s="49">
        <f t="shared" si="64"/>
        <v>160</v>
      </c>
      <c r="L192" s="44">
        <f t="shared" si="50"/>
        <v>8</v>
      </c>
      <c r="M192" s="44">
        <f t="shared" si="57"/>
        <v>270</v>
      </c>
      <c r="N192" s="45">
        <f t="shared" si="65"/>
        <v>0.2</v>
      </c>
      <c r="O192" s="49">
        <v>30</v>
      </c>
      <c r="P192" s="44">
        <f t="shared" si="66"/>
        <v>150</v>
      </c>
      <c r="Q192" s="50">
        <f t="shared" si="66"/>
        <v>210</v>
      </c>
    </row>
    <row r="193" spans="1:17" x14ac:dyDescent="0.25">
      <c r="A193" s="41">
        <f t="shared" si="63"/>
        <v>1041</v>
      </c>
      <c r="B193" s="42">
        <f t="shared" si="63"/>
        <v>183</v>
      </c>
      <c r="C193" s="41" t="s">
        <v>2693</v>
      </c>
      <c r="D193" s="43">
        <f t="shared" si="60"/>
        <v>34.199999999999996</v>
      </c>
      <c r="E193" s="61">
        <f t="shared" si="47"/>
        <v>4.375</v>
      </c>
      <c r="F193" s="61">
        <f t="shared" si="48"/>
        <v>42</v>
      </c>
      <c r="G193" s="64">
        <f t="shared" si="49"/>
        <v>0.58988764044943809</v>
      </c>
      <c r="H193" s="44">
        <f t="shared" si="55"/>
        <v>-27.618592548519779</v>
      </c>
      <c r="I193" s="42" t="str">
        <f t="shared" si="64"/>
        <v>Half</v>
      </c>
      <c r="J193" s="50">
        <f t="shared" si="64"/>
        <v>6</v>
      </c>
      <c r="K193" s="49">
        <f t="shared" si="64"/>
        <v>160</v>
      </c>
      <c r="L193" s="44">
        <f t="shared" si="50"/>
        <v>8</v>
      </c>
      <c r="M193" s="44">
        <f t="shared" si="57"/>
        <v>270</v>
      </c>
      <c r="N193" s="45">
        <f t="shared" si="65"/>
        <v>0.2</v>
      </c>
      <c r="O193" s="49">
        <v>60</v>
      </c>
      <c r="P193" s="44">
        <f t="shared" si="66"/>
        <v>150</v>
      </c>
      <c r="Q193" s="50">
        <f t="shared" si="66"/>
        <v>210</v>
      </c>
    </row>
    <row r="194" spans="1:17" x14ac:dyDescent="0.25">
      <c r="A194" s="41">
        <f t="shared" si="63"/>
        <v>1042</v>
      </c>
      <c r="B194" s="42">
        <f t="shared" si="63"/>
        <v>184</v>
      </c>
      <c r="C194" s="41" t="s">
        <v>2694</v>
      </c>
      <c r="D194" s="43">
        <f t="shared" si="60"/>
        <v>34.199999999999996</v>
      </c>
      <c r="E194" s="61">
        <f t="shared" si="47"/>
        <v>4.375</v>
      </c>
      <c r="F194" s="61">
        <f t="shared" si="48"/>
        <v>42</v>
      </c>
      <c r="G194" s="64">
        <f t="shared" si="49"/>
        <v>0.58988764044943809</v>
      </c>
      <c r="H194" s="44">
        <f t="shared" si="55"/>
        <v>-27.618592548519779</v>
      </c>
      <c r="I194" s="42" t="str">
        <f t="shared" si="64"/>
        <v>Half</v>
      </c>
      <c r="J194" s="50">
        <f t="shared" si="64"/>
        <v>6</v>
      </c>
      <c r="K194" s="49">
        <f t="shared" si="64"/>
        <v>160</v>
      </c>
      <c r="L194" s="44">
        <f t="shared" si="50"/>
        <v>8</v>
      </c>
      <c r="M194" s="44">
        <f t="shared" si="57"/>
        <v>270</v>
      </c>
      <c r="N194" s="45">
        <f t="shared" si="65"/>
        <v>0.2</v>
      </c>
      <c r="O194" s="49">
        <v>90</v>
      </c>
      <c r="P194" s="44">
        <f t="shared" si="66"/>
        <v>150</v>
      </c>
      <c r="Q194" s="50">
        <f t="shared" si="66"/>
        <v>210</v>
      </c>
    </row>
    <row r="195" spans="1:17" x14ac:dyDescent="0.25">
      <c r="A195" s="41">
        <f t="shared" si="63"/>
        <v>1043</v>
      </c>
      <c r="B195" s="42">
        <f t="shared" si="63"/>
        <v>185</v>
      </c>
      <c r="C195" s="41" t="s">
        <v>2695</v>
      </c>
      <c r="D195" s="43">
        <f t="shared" si="60"/>
        <v>34.199999999999996</v>
      </c>
      <c r="E195" s="61">
        <f t="shared" si="47"/>
        <v>4.375</v>
      </c>
      <c r="F195" s="61">
        <f t="shared" si="48"/>
        <v>42</v>
      </c>
      <c r="G195" s="64">
        <f t="shared" si="49"/>
        <v>0.58988764044943809</v>
      </c>
      <c r="H195" s="44">
        <f t="shared" si="55"/>
        <v>-27.618592548519779</v>
      </c>
      <c r="I195" s="42" t="str">
        <f t="shared" si="64"/>
        <v>Half</v>
      </c>
      <c r="J195" s="50">
        <f t="shared" si="64"/>
        <v>6</v>
      </c>
      <c r="K195" s="49">
        <f t="shared" si="64"/>
        <v>160</v>
      </c>
      <c r="L195" s="44">
        <f t="shared" si="50"/>
        <v>8</v>
      </c>
      <c r="M195" s="44">
        <f t="shared" si="57"/>
        <v>300</v>
      </c>
      <c r="N195" s="45">
        <f t="shared" si="65"/>
        <v>0.2</v>
      </c>
      <c r="O195" s="49">
        <v>0</v>
      </c>
      <c r="P195" s="44">
        <f t="shared" si="66"/>
        <v>150</v>
      </c>
      <c r="Q195" s="50">
        <f t="shared" si="66"/>
        <v>210</v>
      </c>
    </row>
    <row r="196" spans="1:17" x14ac:dyDescent="0.25">
      <c r="A196" s="41">
        <f t="shared" si="63"/>
        <v>1044</v>
      </c>
      <c r="B196" s="42">
        <f t="shared" si="63"/>
        <v>186</v>
      </c>
      <c r="C196" s="41" t="s">
        <v>2696</v>
      </c>
      <c r="D196" s="43">
        <f t="shared" si="60"/>
        <v>34.199999999999996</v>
      </c>
      <c r="E196" s="61">
        <f t="shared" si="47"/>
        <v>4.375</v>
      </c>
      <c r="F196" s="61">
        <f t="shared" si="48"/>
        <v>42</v>
      </c>
      <c r="G196" s="64">
        <f t="shared" si="49"/>
        <v>0.58988764044943809</v>
      </c>
      <c r="H196" s="44">
        <f t="shared" si="55"/>
        <v>-27.618592548519779</v>
      </c>
      <c r="I196" s="42" t="str">
        <f t="shared" si="64"/>
        <v>Half</v>
      </c>
      <c r="J196" s="50">
        <f t="shared" si="64"/>
        <v>6</v>
      </c>
      <c r="K196" s="49">
        <f t="shared" si="64"/>
        <v>160</v>
      </c>
      <c r="L196" s="44">
        <f t="shared" si="50"/>
        <v>8</v>
      </c>
      <c r="M196" s="44">
        <f t="shared" si="57"/>
        <v>300</v>
      </c>
      <c r="N196" s="45">
        <f t="shared" si="65"/>
        <v>0.2</v>
      </c>
      <c r="O196" s="49">
        <v>30</v>
      </c>
      <c r="P196" s="44">
        <f t="shared" si="66"/>
        <v>150</v>
      </c>
      <c r="Q196" s="50">
        <f t="shared" si="66"/>
        <v>210</v>
      </c>
    </row>
    <row r="197" spans="1:17" x14ac:dyDescent="0.25">
      <c r="A197" s="41">
        <f t="shared" si="63"/>
        <v>1045</v>
      </c>
      <c r="B197" s="42">
        <f t="shared" si="63"/>
        <v>187</v>
      </c>
      <c r="C197" s="41" t="s">
        <v>2697</v>
      </c>
      <c r="D197" s="43">
        <f t="shared" si="60"/>
        <v>34.199999999999996</v>
      </c>
      <c r="E197" s="61">
        <f t="shared" si="47"/>
        <v>4.375</v>
      </c>
      <c r="F197" s="61">
        <f t="shared" si="48"/>
        <v>42</v>
      </c>
      <c r="G197" s="64">
        <f t="shared" si="49"/>
        <v>0.58988764044943809</v>
      </c>
      <c r="H197" s="44">
        <f t="shared" si="55"/>
        <v>-27.618592548519779</v>
      </c>
      <c r="I197" s="42" t="str">
        <f t="shared" si="64"/>
        <v>Half</v>
      </c>
      <c r="J197" s="50">
        <f t="shared" si="64"/>
        <v>6</v>
      </c>
      <c r="K197" s="49">
        <f t="shared" si="64"/>
        <v>160</v>
      </c>
      <c r="L197" s="44">
        <f t="shared" si="50"/>
        <v>8</v>
      </c>
      <c r="M197" s="44">
        <f t="shared" si="57"/>
        <v>300</v>
      </c>
      <c r="N197" s="45">
        <f t="shared" si="65"/>
        <v>0.2</v>
      </c>
      <c r="O197" s="49">
        <v>60</v>
      </c>
      <c r="P197" s="44">
        <f t="shared" si="66"/>
        <v>150</v>
      </c>
      <c r="Q197" s="50">
        <f t="shared" si="66"/>
        <v>210</v>
      </c>
    </row>
    <row r="198" spans="1:17" x14ac:dyDescent="0.25">
      <c r="A198" s="41">
        <f t="shared" si="63"/>
        <v>1046</v>
      </c>
      <c r="B198" s="42">
        <f t="shared" si="63"/>
        <v>188</v>
      </c>
      <c r="C198" s="41" t="s">
        <v>2698</v>
      </c>
      <c r="D198" s="43">
        <f t="shared" si="60"/>
        <v>34.199999999999996</v>
      </c>
      <c r="E198" s="61">
        <f t="shared" si="47"/>
        <v>4.375</v>
      </c>
      <c r="F198" s="61">
        <f t="shared" si="48"/>
        <v>42</v>
      </c>
      <c r="G198" s="64">
        <f t="shared" si="49"/>
        <v>0.58988764044943809</v>
      </c>
      <c r="H198" s="44">
        <f t="shared" si="55"/>
        <v>-27.618592548519779</v>
      </c>
      <c r="I198" s="42" t="str">
        <f t="shared" si="64"/>
        <v>Half</v>
      </c>
      <c r="J198" s="50">
        <f t="shared" si="64"/>
        <v>6</v>
      </c>
      <c r="K198" s="49">
        <f t="shared" si="64"/>
        <v>160</v>
      </c>
      <c r="L198" s="44">
        <f t="shared" si="50"/>
        <v>8</v>
      </c>
      <c r="M198" s="44">
        <f>M194+30</f>
        <v>300</v>
      </c>
      <c r="N198" s="45">
        <f t="shared" si="65"/>
        <v>0.2</v>
      </c>
      <c r="O198" s="49">
        <v>90</v>
      </c>
      <c r="P198" s="44">
        <f t="shared" si="66"/>
        <v>150</v>
      </c>
      <c r="Q198" s="50">
        <f t="shared" si="66"/>
        <v>210</v>
      </c>
    </row>
    <row r="199" spans="1:17" x14ac:dyDescent="0.25">
      <c r="A199" s="41">
        <f t="shared" si="63"/>
        <v>1047</v>
      </c>
      <c r="B199" s="42">
        <f t="shared" si="63"/>
        <v>189</v>
      </c>
      <c r="C199" s="41" t="s">
        <v>2699</v>
      </c>
      <c r="D199" s="43">
        <f t="shared" si="60"/>
        <v>34.199999999999996</v>
      </c>
      <c r="E199" s="61">
        <f t="shared" si="47"/>
        <v>4.375</v>
      </c>
      <c r="F199" s="61">
        <f t="shared" si="48"/>
        <v>42</v>
      </c>
      <c r="G199" s="64">
        <f t="shared" si="49"/>
        <v>0.58988764044943809</v>
      </c>
      <c r="H199" s="44">
        <f t="shared" si="55"/>
        <v>-27.618592548519779</v>
      </c>
      <c r="I199" s="42" t="str">
        <f t="shared" si="64"/>
        <v>Half</v>
      </c>
      <c r="J199" s="50">
        <f t="shared" si="64"/>
        <v>6</v>
      </c>
      <c r="K199" s="49">
        <f t="shared" si="64"/>
        <v>160</v>
      </c>
      <c r="L199" s="44">
        <f t="shared" si="50"/>
        <v>8</v>
      </c>
      <c r="M199" s="44">
        <f t="shared" si="57"/>
        <v>330</v>
      </c>
      <c r="N199" s="45">
        <f t="shared" si="65"/>
        <v>0.2</v>
      </c>
      <c r="O199" s="49">
        <v>0</v>
      </c>
      <c r="P199" s="44">
        <f t="shared" si="66"/>
        <v>150</v>
      </c>
      <c r="Q199" s="50">
        <f t="shared" si="66"/>
        <v>210</v>
      </c>
    </row>
    <row r="200" spans="1:17" x14ac:dyDescent="0.25">
      <c r="A200" s="41">
        <f t="shared" si="63"/>
        <v>1048</v>
      </c>
      <c r="B200" s="42">
        <f t="shared" si="63"/>
        <v>190</v>
      </c>
      <c r="C200" s="41" t="s">
        <v>2700</v>
      </c>
      <c r="D200" s="43">
        <f t="shared" si="60"/>
        <v>34.199999999999996</v>
      </c>
      <c r="E200" s="61">
        <f t="shared" si="47"/>
        <v>4.375</v>
      </c>
      <c r="F200" s="61">
        <f t="shared" si="48"/>
        <v>42</v>
      </c>
      <c r="G200" s="64">
        <f t="shared" si="49"/>
        <v>0.58988764044943809</v>
      </c>
      <c r="H200" s="44">
        <f t="shared" si="55"/>
        <v>-27.618592548519779</v>
      </c>
      <c r="I200" s="42" t="str">
        <f>I199</f>
        <v>Half</v>
      </c>
      <c r="J200" s="50">
        <f t="shared" si="64"/>
        <v>6</v>
      </c>
      <c r="K200" s="49">
        <f t="shared" si="64"/>
        <v>160</v>
      </c>
      <c r="L200" s="44">
        <f t="shared" si="50"/>
        <v>8</v>
      </c>
      <c r="M200" s="44">
        <f t="shared" si="57"/>
        <v>330</v>
      </c>
      <c r="N200" s="45">
        <f t="shared" si="65"/>
        <v>0.2</v>
      </c>
      <c r="O200" s="49">
        <v>30</v>
      </c>
      <c r="P200" s="44">
        <f t="shared" si="66"/>
        <v>150</v>
      </c>
      <c r="Q200" s="50">
        <f t="shared" si="66"/>
        <v>210</v>
      </c>
    </row>
    <row r="201" spans="1:17" x14ac:dyDescent="0.25">
      <c r="A201" s="41">
        <f t="shared" si="63"/>
        <v>1049</v>
      </c>
      <c r="B201" s="42">
        <f t="shared" si="63"/>
        <v>191</v>
      </c>
      <c r="C201" s="41" t="s">
        <v>2701</v>
      </c>
      <c r="D201" s="43">
        <f t="shared" si="60"/>
        <v>34.199999999999996</v>
      </c>
      <c r="E201" s="61">
        <f t="shared" si="47"/>
        <v>4.375</v>
      </c>
      <c r="F201" s="61">
        <f t="shared" si="48"/>
        <v>42</v>
      </c>
      <c r="G201" s="64">
        <f t="shared" si="49"/>
        <v>0.58988764044943809</v>
      </c>
      <c r="H201" s="44">
        <f t="shared" si="55"/>
        <v>-27.618592548519779</v>
      </c>
      <c r="I201" s="42" t="str">
        <f>I200</f>
        <v>Half</v>
      </c>
      <c r="J201" s="50">
        <f t="shared" si="64"/>
        <v>6</v>
      </c>
      <c r="K201" s="49">
        <f t="shared" si="64"/>
        <v>160</v>
      </c>
      <c r="L201" s="44">
        <f t="shared" si="50"/>
        <v>8</v>
      </c>
      <c r="M201" s="44">
        <f t="shared" si="57"/>
        <v>330</v>
      </c>
      <c r="N201" s="45">
        <f t="shared" si="65"/>
        <v>0.2</v>
      </c>
      <c r="O201" s="49">
        <v>60</v>
      </c>
      <c r="P201" s="44">
        <f t="shared" si="66"/>
        <v>150</v>
      </c>
      <c r="Q201" s="50">
        <f t="shared" si="66"/>
        <v>210</v>
      </c>
    </row>
    <row r="202" spans="1:17" x14ac:dyDescent="0.25">
      <c r="A202" s="41">
        <f t="shared" si="63"/>
        <v>1050</v>
      </c>
      <c r="B202" s="42">
        <f t="shared" si="63"/>
        <v>192</v>
      </c>
      <c r="C202" s="127" t="s">
        <v>2702</v>
      </c>
      <c r="D202" s="43">
        <f t="shared" si="60"/>
        <v>34.199999999999996</v>
      </c>
      <c r="E202" s="61">
        <f t="shared" si="47"/>
        <v>4.375</v>
      </c>
      <c r="F202" s="61">
        <f t="shared" si="48"/>
        <v>42</v>
      </c>
      <c r="G202" s="64">
        <f t="shared" si="49"/>
        <v>0.58988764044943809</v>
      </c>
      <c r="H202" s="44">
        <f t="shared" si="55"/>
        <v>-27.618592548519779</v>
      </c>
      <c r="I202" s="42" t="str">
        <f>I201</f>
        <v>Half</v>
      </c>
      <c r="J202" s="50">
        <f t="shared" si="64"/>
        <v>6</v>
      </c>
      <c r="K202" s="49">
        <f t="shared" si="64"/>
        <v>160</v>
      </c>
      <c r="L202" s="44">
        <f t="shared" si="50"/>
        <v>8</v>
      </c>
      <c r="M202" s="44">
        <f>M198+30</f>
        <v>330</v>
      </c>
      <c r="N202" s="45">
        <f t="shared" si="65"/>
        <v>0.2</v>
      </c>
      <c r="O202" s="49">
        <v>90</v>
      </c>
      <c r="P202" s="44">
        <f t="shared" si="66"/>
        <v>150</v>
      </c>
      <c r="Q202" s="50">
        <f t="shared" si="66"/>
        <v>210</v>
      </c>
    </row>
    <row r="203" spans="1:17" x14ac:dyDescent="0.25">
      <c r="A203" s="41">
        <f t="shared" si="63"/>
        <v>1051</v>
      </c>
      <c r="B203" s="42">
        <f t="shared" si="63"/>
        <v>193</v>
      </c>
      <c r="C203" s="41" t="s">
        <v>2703</v>
      </c>
      <c r="D203" s="43">
        <f>0.7*v_tref</f>
        <v>39.9</v>
      </c>
      <c r="E203" s="61">
        <f t="shared" ref="E203:E266" si="67">I_ref*(0.75*D203+5.6)</f>
        <v>4.9735000000000005</v>
      </c>
      <c r="F203" s="61">
        <f t="shared" ref="F203:F266" si="68">tur_scale</f>
        <v>42</v>
      </c>
      <c r="G203" s="64">
        <f t="shared" ref="G203:G266" si="69">1/(1+0.2*(diameter/F203))</f>
        <v>0.58988764044943809</v>
      </c>
      <c r="H203" s="44">
        <f t="shared" si="55"/>
        <v>-26.914126219991235</v>
      </c>
      <c r="I203" s="42" t="str">
        <f t="shared" ref="I203:K203" si="70">I202</f>
        <v>Half</v>
      </c>
      <c r="J203" s="50">
        <f t="shared" si="70"/>
        <v>6</v>
      </c>
      <c r="K203" s="49">
        <f t="shared" si="70"/>
        <v>160</v>
      </c>
      <c r="L203" s="44">
        <f t="shared" ref="L203:L266" si="71">inflow</f>
        <v>8</v>
      </c>
      <c r="M203" s="44">
        <v>0</v>
      </c>
      <c r="N203" s="45">
        <f t="shared" si="65"/>
        <v>0.2</v>
      </c>
      <c r="O203" s="49">
        <v>0</v>
      </c>
      <c r="P203" s="44">
        <f t="shared" ref="P203:Q203" si="72">P202</f>
        <v>150</v>
      </c>
      <c r="Q203" s="50">
        <f t="shared" si="72"/>
        <v>210</v>
      </c>
    </row>
    <row r="204" spans="1:17" x14ac:dyDescent="0.25">
      <c r="A204" s="41">
        <f t="shared" ref="A204:B219" si="73">A203+1</f>
        <v>1052</v>
      </c>
      <c r="B204" s="42">
        <f t="shared" si="73"/>
        <v>194</v>
      </c>
      <c r="C204" s="41" t="s">
        <v>2704</v>
      </c>
      <c r="D204" s="43">
        <f>D203</f>
        <v>39.9</v>
      </c>
      <c r="E204" s="61">
        <f t="shared" si="67"/>
        <v>4.9735000000000005</v>
      </c>
      <c r="F204" s="61">
        <f t="shared" si="68"/>
        <v>42</v>
      </c>
      <c r="G204" s="64">
        <f t="shared" si="69"/>
        <v>0.58988764044943809</v>
      </c>
      <c r="H204" s="44">
        <f>6.4*ATAN(E204/D204*G204)/PI()*180</f>
        <v>26.914126219991235</v>
      </c>
      <c r="I204" s="42" t="str">
        <f t="shared" ref="I204:K204" si="74">I203</f>
        <v>Half</v>
      </c>
      <c r="J204" s="50">
        <f t="shared" si="74"/>
        <v>6</v>
      </c>
      <c r="K204" s="49">
        <f t="shared" si="74"/>
        <v>160</v>
      </c>
      <c r="L204" s="44">
        <f t="shared" si="71"/>
        <v>8</v>
      </c>
      <c r="M204" s="44">
        <v>0</v>
      </c>
      <c r="N204" s="45">
        <f t="shared" si="65"/>
        <v>0.2</v>
      </c>
      <c r="O204" s="49">
        <v>30</v>
      </c>
      <c r="P204" s="44">
        <f t="shared" ref="P204:Q204" si="75">P203</f>
        <v>150</v>
      </c>
      <c r="Q204" s="50">
        <f t="shared" si="75"/>
        <v>210</v>
      </c>
    </row>
    <row r="205" spans="1:17" x14ac:dyDescent="0.25">
      <c r="A205" s="41">
        <f t="shared" si="73"/>
        <v>1053</v>
      </c>
      <c r="B205" s="42">
        <f t="shared" si="73"/>
        <v>195</v>
      </c>
      <c r="C205" s="41" t="s">
        <v>2705</v>
      </c>
      <c r="D205" s="43">
        <f t="shared" ref="D205:D268" si="76">D204</f>
        <v>39.9</v>
      </c>
      <c r="E205" s="61">
        <f t="shared" si="67"/>
        <v>4.9735000000000005</v>
      </c>
      <c r="F205" s="61">
        <f t="shared" si="68"/>
        <v>42</v>
      </c>
      <c r="G205" s="64">
        <f t="shared" si="69"/>
        <v>0.58988764044943809</v>
      </c>
      <c r="H205" s="44">
        <f t="shared" ref="H205:H250" si="77">6.4*ATAN(E205/D205*G205)/PI()*180</f>
        <v>26.914126219991235</v>
      </c>
      <c r="I205" s="42" t="str">
        <f t="shared" ref="I205:K205" si="78">I204</f>
        <v>Half</v>
      </c>
      <c r="J205" s="50">
        <f t="shared" si="78"/>
        <v>6</v>
      </c>
      <c r="K205" s="49">
        <f t="shared" si="78"/>
        <v>160</v>
      </c>
      <c r="L205" s="44">
        <f t="shared" si="71"/>
        <v>8</v>
      </c>
      <c r="M205" s="44">
        <v>0</v>
      </c>
      <c r="N205" s="45">
        <f t="shared" si="65"/>
        <v>0.2</v>
      </c>
      <c r="O205" s="49">
        <v>60</v>
      </c>
      <c r="P205" s="44">
        <f t="shared" ref="P205:Q205" si="79">P204</f>
        <v>150</v>
      </c>
      <c r="Q205" s="50">
        <f t="shared" si="79"/>
        <v>210</v>
      </c>
    </row>
    <row r="206" spans="1:17" x14ac:dyDescent="0.25">
      <c r="A206" s="41">
        <f t="shared" si="73"/>
        <v>1054</v>
      </c>
      <c r="B206" s="42">
        <f t="shared" si="73"/>
        <v>196</v>
      </c>
      <c r="C206" s="41" t="s">
        <v>2706</v>
      </c>
      <c r="D206" s="43">
        <f t="shared" si="76"/>
        <v>39.9</v>
      </c>
      <c r="E206" s="61">
        <f t="shared" si="67"/>
        <v>4.9735000000000005</v>
      </c>
      <c r="F206" s="61">
        <f t="shared" si="68"/>
        <v>42</v>
      </c>
      <c r="G206" s="64">
        <f t="shared" si="69"/>
        <v>0.58988764044943809</v>
      </c>
      <c r="H206" s="44">
        <f t="shared" si="77"/>
        <v>26.914126219991235</v>
      </c>
      <c r="I206" s="42" t="str">
        <f t="shared" ref="I206:K206" si="80">I205</f>
        <v>Half</v>
      </c>
      <c r="J206" s="50">
        <f t="shared" si="80"/>
        <v>6</v>
      </c>
      <c r="K206" s="49">
        <f t="shared" si="80"/>
        <v>160</v>
      </c>
      <c r="L206" s="44">
        <f t="shared" si="71"/>
        <v>8</v>
      </c>
      <c r="M206" s="44">
        <v>0</v>
      </c>
      <c r="N206" s="45">
        <f t="shared" si="65"/>
        <v>0.2</v>
      </c>
      <c r="O206" s="49">
        <v>90</v>
      </c>
      <c r="P206" s="44">
        <f t="shared" ref="P206:Q206" si="81">P205</f>
        <v>150</v>
      </c>
      <c r="Q206" s="50">
        <f t="shared" si="81"/>
        <v>210</v>
      </c>
    </row>
    <row r="207" spans="1:17" x14ac:dyDescent="0.25">
      <c r="A207" s="41">
        <f t="shared" si="73"/>
        <v>1055</v>
      </c>
      <c r="B207" s="42">
        <f t="shared" si="73"/>
        <v>197</v>
      </c>
      <c r="C207" s="41" t="s">
        <v>2707</v>
      </c>
      <c r="D207" s="43">
        <f t="shared" si="76"/>
        <v>39.9</v>
      </c>
      <c r="E207" s="61">
        <f t="shared" si="67"/>
        <v>4.9735000000000005</v>
      </c>
      <c r="F207" s="61">
        <f t="shared" si="68"/>
        <v>42</v>
      </c>
      <c r="G207" s="64">
        <f t="shared" si="69"/>
        <v>0.58988764044943809</v>
      </c>
      <c r="H207" s="44">
        <f t="shared" si="77"/>
        <v>26.914126219991235</v>
      </c>
      <c r="I207" s="42" t="str">
        <f t="shared" ref="I207:K207" si="82">I206</f>
        <v>Half</v>
      </c>
      <c r="J207" s="50">
        <f t="shared" si="82"/>
        <v>6</v>
      </c>
      <c r="K207" s="49">
        <f t="shared" si="82"/>
        <v>160</v>
      </c>
      <c r="L207" s="44">
        <f t="shared" si="71"/>
        <v>8</v>
      </c>
      <c r="M207" s="44">
        <f>M203+30</f>
        <v>30</v>
      </c>
      <c r="N207" s="45">
        <f t="shared" si="65"/>
        <v>0.2</v>
      </c>
      <c r="O207" s="49">
        <v>0</v>
      </c>
      <c r="P207" s="44">
        <f t="shared" ref="P207:Q207" si="83">P206</f>
        <v>150</v>
      </c>
      <c r="Q207" s="50">
        <f t="shared" si="83"/>
        <v>210</v>
      </c>
    </row>
    <row r="208" spans="1:17" x14ac:dyDescent="0.25">
      <c r="A208" s="41">
        <f t="shared" si="73"/>
        <v>1056</v>
      </c>
      <c r="B208" s="42">
        <f t="shared" si="73"/>
        <v>198</v>
      </c>
      <c r="C208" s="41" t="s">
        <v>2708</v>
      </c>
      <c r="D208" s="43">
        <f t="shared" si="76"/>
        <v>39.9</v>
      </c>
      <c r="E208" s="61">
        <f t="shared" si="67"/>
        <v>4.9735000000000005</v>
      </c>
      <c r="F208" s="61">
        <f t="shared" si="68"/>
        <v>42</v>
      </c>
      <c r="G208" s="64">
        <f t="shared" si="69"/>
        <v>0.58988764044943809</v>
      </c>
      <c r="H208" s="44">
        <f t="shared" si="77"/>
        <v>26.914126219991235</v>
      </c>
      <c r="I208" s="42" t="str">
        <f t="shared" ref="I208:K208" si="84">I207</f>
        <v>Half</v>
      </c>
      <c r="J208" s="50">
        <f t="shared" si="84"/>
        <v>6</v>
      </c>
      <c r="K208" s="49">
        <f t="shared" si="84"/>
        <v>160</v>
      </c>
      <c r="L208" s="44">
        <f t="shared" si="71"/>
        <v>8</v>
      </c>
      <c r="M208" s="44">
        <f t="shared" ref="M208:M249" si="85">M204+30</f>
        <v>30</v>
      </c>
      <c r="N208" s="45">
        <f t="shared" si="65"/>
        <v>0.2</v>
      </c>
      <c r="O208" s="49">
        <v>30</v>
      </c>
      <c r="P208" s="44">
        <f t="shared" ref="P208:Q208" si="86">P207</f>
        <v>150</v>
      </c>
      <c r="Q208" s="50">
        <f t="shared" si="86"/>
        <v>210</v>
      </c>
    </row>
    <row r="209" spans="1:17" x14ac:dyDescent="0.25">
      <c r="A209" s="41">
        <f t="shared" si="73"/>
        <v>1057</v>
      </c>
      <c r="B209" s="42">
        <f t="shared" si="73"/>
        <v>199</v>
      </c>
      <c r="C209" s="41" t="s">
        <v>2709</v>
      </c>
      <c r="D209" s="43">
        <f t="shared" si="76"/>
        <v>39.9</v>
      </c>
      <c r="E209" s="61">
        <f t="shared" si="67"/>
        <v>4.9735000000000005</v>
      </c>
      <c r="F209" s="61">
        <f t="shared" si="68"/>
        <v>42</v>
      </c>
      <c r="G209" s="64">
        <f t="shared" si="69"/>
        <v>0.58988764044943809</v>
      </c>
      <c r="H209" s="44">
        <f t="shared" si="77"/>
        <v>26.914126219991235</v>
      </c>
      <c r="I209" s="42" t="str">
        <f t="shared" ref="I209:K209" si="87">I208</f>
        <v>Half</v>
      </c>
      <c r="J209" s="50">
        <f t="shared" si="87"/>
        <v>6</v>
      </c>
      <c r="K209" s="49">
        <f t="shared" si="87"/>
        <v>160</v>
      </c>
      <c r="L209" s="44">
        <f t="shared" si="71"/>
        <v>8</v>
      </c>
      <c r="M209" s="44">
        <f t="shared" si="85"/>
        <v>30</v>
      </c>
      <c r="N209" s="45">
        <f t="shared" si="65"/>
        <v>0.2</v>
      </c>
      <c r="O209" s="49">
        <v>60</v>
      </c>
      <c r="P209" s="44">
        <f t="shared" ref="P209:Q209" si="88">P208</f>
        <v>150</v>
      </c>
      <c r="Q209" s="50">
        <f t="shared" si="88"/>
        <v>210</v>
      </c>
    </row>
    <row r="210" spans="1:17" x14ac:dyDescent="0.25">
      <c r="A210" s="41">
        <f t="shared" si="73"/>
        <v>1058</v>
      </c>
      <c r="B210" s="42">
        <f t="shared" si="73"/>
        <v>200</v>
      </c>
      <c r="C210" s="41" t="s">
        <v>2710</v>
      </c>
      <c r="D210" s="43">
        <f t="shared" si="76"/>
        <v>39.9</v>
      </c>
      <c r="E210" s="61">
        <f t="shared" si="67"/>
        <v>4.9735000000000005</v>
      </c>
      <c r="F210" s="61">
        <f t="shared" si="68"/>
        <v>42</v>
      </c>
      <c r="G210" s="64">
        <f t="shared" si="69"/>
        <v>0.58988764044943809</v>
      </c>
      <c r="H210" s="44">
        <f t="shared" si="77"/>
        <v>26.914126219991235</v>
      </c>
      <c r="I210" s="42" t="str">
        <f t="shared" ref="I210:K210" si="89">I209</f>
        <v>Half</v>
      </c>
      <c r="J210" s="50">
        <f t="shared" si="89"/>
        <v>6</v>
      </c>
      <c r="K210" s="49">
        <f t="shared" si="89"/>
        <v>160</v>
      </c>
      <c r="L210" s="44">
        <f t="shared" si="71"/>
        <v>8</v>
      </c>
      <c r="M210" s="44">
        <f t="shared" si="85"/>
        <v>30</v>
      </c>
      <c r="N210" s="45">
        <f t="shared" si="65"/>
        <v>0.2</v>
      </c>
      <c r="O210" s="49">
        <v>90</v>
      </c>
      <c r="P210" s="44">
        <f t="shared" ref="P210:Q210" si="90">P209</f>
        <v>150</v>
      </c>
      <c r="Q210" s="50">
        <f t="shared" si="90"/>
        <v>210</v>
      </c>
    </row>
    <row r="211" spans="1:17" x14ac:dyDescent="0.25">
      <c r="A211" s="41">
        <f t="shared" si="73"/>
        <v>1059</v>
      </c>
      <c r="B211" s="42">
        <f t="shared" si="73"/>
        <v>201</v>
      </c>
      <c r="C211" s="41" t="s">
        <v>2711</v>
      </c>
      <c r="D211" s="43">
        <f t="shared" si="76"/>
        <v>39.9</v>
      </c>
      <c r="E211" s="61">
        <f t="shared" si="67"/>
        <v>4.9735000000000005</v>
      </c>
      <c r="F211" s="61">
        <f t="shared" si="68"/>
        <v>42</v>
      </c>
      <c r="G211" s="64">
        <f t="shared" si="69"/>
        <v>0.58988764044943809</v>
      </c>
      <c r="H211" s="44">
        <f t="shared" si="77"/>
        <v>26.914126219991235</v>
      </c>
      <c r="I211" s="42" t="s">
        <v>12</v>
      </c>
      <c r="J211" s="50">
        <f t="shared" ref="J211:K211" si="91">J210</f>
        <v>6</v>
      </c>
      <c r="K211" s="49">
        <f t="shared" si="91"/>
        <v>160</v>
      </c>
      <c r="L211" s="44">
        <f t="shared" si="71"/>
        <v>8</v>
      </c>
      <c r="M211" s="44">
        <f>M207+30</f>
        <v>60</v>
      </c>
      <c r="N211" s="45">
        <f t="shared" si="65"/>
        <v>0.2</v>
      </c>
      <c r="O211" s="49">
        <v>0</v>
      </c>
      <c r="P211" s="44">
        <f t="shared" ref="P211:Q211" si="92">P210</f>
        <v>150</v>
      </c>
      <c r="Q211" s="50">
        <f t="shared" si="92"/>
        <v>210</v>
      </c>
    </row>
    <row r="212" spans="1:17" x14ac:dyDescent="0.25">
      <c r="A212" s="41">
        <f t="shared" si="73"/>
        <v>1060</v>
      </c>
      <c r="B212" s="42">
        <f t="shared" si="73"/>
        <v>202</v>
      </c>
      <c r="C212" s="41" t="s">
        <v>2712</v>
      </c>
      <c r="D212" s="43">
        <f t="shared" si="76"/>
        <v>39.9</v>
      </c>
      <c r="E212" s="61">
        <f t="shared" si="67"/>
        <v>4.9735000000000005</v>
      </c>
      <c r="F212" s="61">
        <f t="shared" si="68"/>
        <v>42</v>
      </c>
      <c r="G212" s="64">
        <f t="shared" si="69"/>
        <v>0.58988764044943809</v>
      </c>
      <c r="H212" s="44">
        <f t="shared" si="77"/>
        <v>26.914126219991235</v>
      </c>
      <c r="I212" s="42" t="str">
        <f>I211</f>
        <v>Half</v>
      </c>
      <c r="J212" s="50">
        <f t="shared" ref="J212:K212" si="93">J211</f>
        <v>6</v>
      </c>
      <c r="K212" s="49">
        <f t="shared" si="93"/>
        <v>160</v>
      </c>
      <c r="L212" s="44">
        <f t="shared" si="71"/>
        <v>8</v>
      </c>
      <c r="M212" s="44">
        <f t="shared" si="85"/>
        <v>60</v>
      </c>
      <c r="N212" s="45">
        <f t="shared" si="65"/>
        <v>0.2</v>
      </c>
      <c r="O212" s="49">
        <v>30</v>
      </c>
      <c r="P212" s="44">
        <f t="shared" ref="P212:Q212" si="94">P211</f>
        <v>150</v>
      </c>
      <c r="Q212" s="50">
        <f t="shared" si="94"/>
        <v>210</v>
      </c>
    </row>
    <row r="213" spans="1:17" x14ac:dyDescent="0.25">
      <c r="A213" s="41">
        <f t="shared" si="73"/>
        <v>1061</v>
      </c>
      <c r="B213" s="42">
        <f t="shared" si="73"/>
        <v>203</v>
      </c>
      <c r="C213" s="41" t="s">
        <v>2713</v>
      </c>
      <c r="D213" s="43">
        <f t="shared" si="76"/>
        <v>39.9</v>
      </c>
      <c r="E213" s="61">
        <f t="shared" si="67"/>
        <v>4.9735000000000005</v>
      </c>
      <c r="F213" s="61">
        <f t="shared" si="68"/>
        <v>42</v>
      </c>
      <c r="G213" s="64">
        <f t="shared" si="69"/>
        <v>0.58988764044943809</v>
      </c>
      <c r="H213" s="44">
        <f t="shared" si="77"/>
        <v>26.914126219991235</v>
      </c>
      <c r="I213" s="42" t="str">
        <f t="shared" ref="I213:K213" si="95">I212</f>
        <v>Half</v>
      </c>
      <c r="J213" s="50">
        <f t="shared" si="95"/>
        <v>6</v>
      </c>
      <c r="K213" s="49">
        <f t="shared" si="95"/>
        <v>160</v>
      </c>
      <c r="L213" s="44">
        <f t="shared" si="71"/>
        <v>8</v>
      </c>
      <c r="M213" s="44">
        <f t="shared" si="85"/>
        <v>60</v>
      </c>
      <c r="N213" s="45">
        <f t="shared" si="65"/>
        <v>0.2</v>
      </c>
      <c r="O213" s="49">
        <v>60</v>
      </c>
      <c r="P213" s="44">
        <f t="shared" ref="P213:Q213" si="96">P212</f>
        <v>150</v>
      </c>
      <c r="Q213" s="50">
        <f t="shared" si="96"/>
        <v>210</v>
      </c>
    </row>
    <row r="214" spans="1:17" x14ac:dyDescent="0.25">
      <c r="A214" s="41">
        <f t="shared" si="73"/>
        <v>1062</v>
      </c>
      <c r="B214" s="42">
        <f t="shared" si="73"/>
        <v>204</v>
      </c>
      <c r="C214" s="41" t="s">
        <v>2714</v>
      </c>
      <c r="D214" s="43">
        <f t="shared" si="76"/>
        <v>39.9</v>
      </c>
      <c r="E214" s="61">
        <f t="shared" si="67"/>
        <v>4.9735000000000005</v>
      </c>
      <c r="F214" s="61">
        <f t="shared" si="68"/>
        <v>42</v>
      </c>
      <c r="G214" s="64">
        <f t="shared" si="69"/>
        <v>0.58988764044943809</v>
      </c>
      <c r="H214" s="44">
        <f t="shared" si="77"/>
        <v>26.914126219991235</v>
      </c>
      <c r="I214" s="42" t="str">
        <f t="shared" ref="I214:K214" si="97">I213</f>
        <v>Half</v>
      </c>
      <c r="J214" s="50">
        <f t="shared" si="97"/>
        <v>6</v>
      </c>
      <c r="K214" s="49">
        <f t="shared" si="97"/>
        <v>160</v>
      </c>
      <c r="L214" s="44">
        <f t="shared" si="71"/>
        <v>8</v>
      </c>
      <c r="M214" s="44">
        <f t="shared" si="85"/>
        <v>60</v>
      </c>
      <c r="N214" s="45">
        <f t="shared" si="65"/>
        <v>0.2</v>
      </c>
      <c r="O214" s="49">
        <v>90</v>
      </c>
      <c r="P214" s="44">
        <f t="shared" ref="P214:Q214" si="98">P213</f>
        <v>150</v>
      </c>
      <c r="Q214" s="50">
        <f t="shared" si="98"/>
        <v>210</v>
      </c>
    </row>
    <row r="215" spans="1:17" x14ac:dyDescent="0.25">
      <c r="A215" s="41">
        <f t="shared" si="73"/>
        <v>1063</v>
      </c>
      <c r="B215" s="42">
        <f t="shared" si="73"/>
        <v>205</v>
      </c>
      <c r="C215" s="41" t="s">
        <v>2715</v>
      </c>
      <c r="D215" s="43">
        <f t="shared" si="76"/>
        <v>39.9</v>
      </c>
      <c r="E215" s="61">
        <f t="shared" si="67"/>
        <v>4.9735000000000005</v>
      </c>
      <c r="F215" s="61">
        <f t="shared" si="68"/>
        <v>42</v>
      </c>
      <c r="G215" s="64">
        <f t="shared" si="69"/>
        <v>0.58988764044943809</v>
      </c>
      <c r="H215" s="44">
        <f t="shared" si="77"/>
        <v>26.914126219991235</v>
      </c>
      <c r="I215" s="42" t="str">
        <f t="shared" ref="I215:K215" si="99">I214</f>
        <v>Half</v>
      </c>
      <c r="J215" s="50">
        <f t="shared" si="99"/>
        <v>6</v>
      </c>
      <c r="K215" s="49">
        <f t="shared" si="99"/>
        <v>160</v>
      </c>
      <c r="L215" s="44">
        <f t="shared" si="71"/>
        <v>8</v>
      </c>
      <c r="M215" s="44">
        <f t="shared" si="85"/>
        <v>90</v>
      </c>
      <c r="N215" s="45">
        <f t="shared" si="65"/>
        <v>0.2</v>
      </c>
      <c r="O215" s="49">
        <v>0</v>
      </c>
      <c r="P215" s="44">
        <f t="shared" ref="P215:Q215" si="100">P214</f>
        <v>150</v>
      </c>
      <c r="Q215" s="50">
        <f t="shared" si="100"/>
        <v>210</v>
      </c>
    </row>
    <row r="216" spans="1:17" x14ac:dyDescent="0.25">
      <c r="A216" s="41">
        <f t="shared" si="73"/>
        <v>1064</v>
      </c>
      <c r="B216" s="42">
        <f t="shared" si="73"/>
        <v>206</v>
      </c>
      <c r="C216" s="41" t="s">
        <v>2716</v>
      </c>
      <c r="D216" s="43">
        <f t="shared" si="76"/>
        <v>39.9</v>
      </c>
      <c r="E216" s="61">
        <f t="shared" si="67"/>
        <v>4.9735000000000005</v>
      </c>
      <c r="F216" s="61">
        <f t="shared" si="68"/>
        <v>42</v>
      </c>
      <c r="G216" s="64">
        <f t="shared" si="69"/>
        <v>0.58988764044943809</v>
      </c>
      <c r="H216" s="44">
        <f t="shared" si="77"/>
        <v>26.914126219991235</v>
      </c>
      <c r="I216" s="42" t="str">
        <f t="shared" ref="I216:K216" si="101">I215</f>
        <v>Half</v>
      </c>
      <c r="J216" s="50">
        <f t="shared" si="101"/>
        <v>6</v>
      </c>
      <c r="K216" s="49">
        <f t="shared" si="101"/>
        <v>160</v>
      </c>
      <c r="L216" s="44">
        <f t="shared" si="71"/>
        <v>8</v>
      </c>
      <c r="M216" s="44">
        <f t="shared" si="85"/>
        <v>90</v>
      </c>
      <c r="N216" s="45">
        <f t="shared" si="65"/>
        <v>0.2</v>
      </c>
      <c r="O216" s="49">
        <v>30</v>
      </c>
      <c r="P216" s="44">
        <f t="shared" ref="P216:Q216" si="102">P215</f>
        <v>150</v>
      </c>
      <c r="Q216" s="50">
        <f t="shared" si="102"/>
        <v>210</v>
      </c>
    </row>
    <row r="217" spans="1:17" x14ac:dyDescent="0.25">
      <c r="A217" s="41">
        <f t="shared" si="73"/>
        <v>1065</v>
      </c>
      <c r="B217" s="42">
        <f t="shared" si="73"/>
        <v>207</v>
      </c>
      <c r="C217" s="41" t="s">
        <v>2717</v>
      </c>
      <c r="D217" s="43">
        <f t="shared" si="76"/>
        <v>39.9</v>
      </c>
      <c r="E217" s="61">
        <f t="shared" si="67"/>
        <v>4.9735000000000005</v>
      </c>
      <c r="F217" s="61">
        <f t="shared" si="68"/>
        <v>42</v>
      </c>
      <c r="G217" s="64">
        <f t="shared" si="69"/>
        <v>0.58988764044943809</v>
      </c>
      <c r="H217" s="44">
        <f t="shared" si="77"/>
        <v>26.914126219991235</v>
      </c>
      <c r="I217" s="42" t="str">
        <f t="shared" ref="I217:K217" si="103">I216</f>
        <v>Half</v>
      </c>
      <c r="J217" s="50">
        <f t="shared" si="103"/>
        <v>6</v>
      </c>
      <c r="K217" s="49">
        <f t="shared" si="103"/>
        <v>160</v>
      </c>
      <c r="L217" s="44">
        <f t="shared" si="71"/>
        <v>8</v>
      </c>
      <c r="M217" s="44">
        <f t="shared" si="85"/>
        <v>90</v>
      </c>
      <c r="N217" s="45">
        <f t="shared" si="65"/>
        <v>0.2</v>
      </c>
      <c r="O217" s="49">
        <v>60</v>
      </c>
      <c r="P217" s="44">
        <f t="shared" ref="P217:Q217" si="104">P216</f>
        <v>150</v>
      </c>
      <c r="Q217" s="50">
        <f t="shared" si="104"/>
        <v>210</v>
      </c>
    </row>
    <row r="218" spans="1:17" x14ac:dyDescent="0.25">
      <c r="A218" s="41">
        <f t="shared" si="73"/>
        <v>1066</v>
      </c>
      <c r="B218" s="42">
        <f t="shared" si="73"/>
        <v>208</v>
      </c>
      <c r="C218" s="41" t="s">
        <v>2718</v>
      </c>
      <c r="D218" s="43">
        <f t="shared" si="76"/>
        <v>39.9</v>
      </c>
      <c r="E218" s="61">
        <f t="shared" si="67"/>
        <v>4.9735000000000005</v>
      </c>
      <c r="F218" s="61">
        <f t="shared" si="68"/>
        <v>42</v>
      </c>
      <c r="G218" s="64">
        <f t="shared" si="69"/>
        <v>0.58988764044943809</v>
      </c>
      <c r="H218" s="44">
        <f t="shared" si="77"/>
        <v>26.914126219991235</v>
      </c>
      <c r="I218" s="42" t="str">
        <f t="shared" ref="I218:K218" si="105">I217</f>
        <v>Half</v>
      </c>
      <c r="J218" s="50">
        <f t="shared" si="105"/>
        <v>6</v>
      </c>
      <c r="K218" s="49">
        <f t="shared" si="105"/>
        <v>160</v>
      </c>
      <c r="L218" s="44">
        <f t="shared" si="71"/>
        <v>8</v>
      </c>
      <c r="M218" s="44">
        <f t="shared" si="85"/>
        <v>90</v>
      </c>
      <c r="N218" s="45">
        <f t="shared" si="65"/>
        <v>0.2</v>
      </c>
      <c r="O218" s="49">
        <v>90</v>
      </c>
      <c r="P218" s="44">
        <f t="shared" ref="P218:Q218" si="106">P217</f>
        <v>150</v>
      </c>
      <c r="Q218" s="50">
        <f t="shared" si="106"/>
        <v>210</v>
      </c>
    </row>
    <row r="219" spans="1:17" x14ac:dyDescent="0.25">
      <c r="A219" s="41">
        <f t="shared" si="73"/>
        <v>1067</v>
      </c>
      <c r="B219" s="42">
        <f t="shared" si="73"/>
        <v>209</v>
      </c>
      <c r="C219" s="41" t="s">
        <v>2719</v>
      </c>
      <c r="D219" s="43">
        <f t="shared" si="76"/>
        <v>39.9</v>
      </c>
      <c r="E219" s="61">
        <f t="shared" si="67"/>
        <v>4.9735000000000005</v>
      </c>
      <c r="F219" s="61">
        <f t="shared" si="68"/>
        <v>42</v>
      </c>
      <c r="G219" s="64">
        <f t="shared" si="69"/>
        <v>0.58988764044943809</v>
      </c>
      <c r="H219" s="44">
        <f t="shared" si="77"/>
        <v>26.914126219991235</v>
      </c>
      <c r="I219" s="42" t="str">
        <f t="shared" ref="I219:K219" si="107">I218</f>
        <v>Half</v>
      </c>
      <c r="J219" s="50">
        <f t="shared" si="107"/>
        <v>6</v>
      </c>
      <c r="K219" s="49">
        <f t="shared" si="107"/>
        <v>160</v>
      </c>
      <c r="L219" s="44">
        <f t="shared" si="71"/>
        <v>8</v>
      </c>
      <c r="M219" s="44">
        <f t="shared" si="85"/>
        <v>120</v>
      </c>
      <c r="N219" s="45">
        <f t="shared" si="65"/>
        <v>0.2</v>
      </c>
      <c r="O219" s="49">
        <v>0</v>
      </c>
      <c r="P219" s="44">
        <f t="shared" ref="P219:Q219" si="108">P218</f>
        <v>150</v>
      </c>
      <c r="Q219" s="50">
        <f t="shared" si="108"/>
        <v>210</v>
      </c>
    </row>
    <row r="220" spans="1:17" x14ac:dyDescent="0.25">
      <c r="A220" s="41">
        <f t="shared" ref="A220:B225" si="109">A219+1</f>
        <v>1068</v>
      </c>
      <c r="B220" s="42">
        <f t="shared" si="109"/>
        <v>210</v>
      </c>
      <c r="C220" s="41" t="s">
        <v>2720</v>
      </c>
      <c r="D220" s="43">
        <f t="shared" si="76"/>
        <v>39.9</v>
      </c>
      <c r="E220" s="61">
        <f t="shared" si="67"/>
        <v>4.9735000000000005</v>
      </c>
      <c r="F220" s="61">
        <f t="shared" si="68"/>
        <v>42</v>
      </c>
      <c r="G220" s="64">
        <f t="shared" si="69"/>
        <v>0.58988764044943809</v>
      </c>
      <c r="H220" s="44">
        <f t="shared" si="77"/>
        <v>26.914126219991235</v>
      </c>
      <c r="I220" s="42" t="str">
        <f t="shared" ref="I220:K220" si="110">I219</f>
        <v>Half</v>
      </c>
      <c r="J220" s="50">
        <f t="shared" si="110"/>
        <v>6</v>
      </c>
      <c r="K220" s="49">
        <f t="shared" si="110"/>
        <v>160</v>
      </c>
      <c r="L220" s="44">
        <f t="shared" si="71"/>
        <v>8</v>
      </c>
      <c r="M220" s="44">
        <f t="shared" si="85"/>
        <v>120</v>
      </c>
      <c r="N220" s="45">
        <f t="shared" si="65"/>
        <v>0.2</v>
      </c>
      <c r="O220" s="49">
        <v>30</v>
      </c>
      <c r="P220" s="44">
        <f t="shared" ref="P220:Q220" si="111">P219</f>
        <v>150</v>
      </c>
      <c r="Q220" s="50">
        <f t="shared" si="111"/>
        <v>210</v>
      </c>
    </row>
    <row r="221" spans="1:17" x14ac:dyDescent="0.25">
      <c r="A221" s="41">
        <f t="shared" si="109"/>
        <v>1069</v>
      </c>
      <c r="B221" s="42">
        <f t="shared" si="109"/>
        <v>211</v>
      </c>
      <c r="C221" s="41" t="s">
        <v>2721</v>
      </c>
      <c r="D221" s="43">
        <f t="shared" si="76"/>
        <v>39.9</v>
      </c>
      <c r="E221" s="61">
        <f t="shared" si="67"/>
        <v>4.9735000000000005</v>
      </c>
      <c r="F221" s="61">
        <f t="shared" si="68"/>
        <v>42</v>
      </c>
      <c r="G221" s="64">
        <f t="shared" si="69"/>
        <v>0.58988764044943809</v>
      </c>
      <c r="H221" s="44">
        <f t="shared" si="77"/>
        <v>26.914126219991235</v>
      </c>
      <c r="I221" s="42" t="str">
        <f t="shared" ref="I221:K221" si="112">I220</f>
        <v>Half</v>
      </c>
      <c r="J221" s="50">
        <f t="shared" si="112"/>
        <v>6</v>
      </c>
      <c r="K221" s="49">
        <f t="shared" si="112"/>
        <v>160</v>
      </c>
      <c r="L221" s="44">
        <f t="shared" si="71"/>
        <v>8</v>
      </c>
      <c r="M221" s="44">
        <f t="shared" si="85"/>
        <v>120</v>
      </c>
      <c r="N221" s="45">
        <f t="shared" si="65"/>
        <v>0.2</v>
      </c>
      <c r="O221" s="49">
        <v>60</v>
      </c>
      <c r="P221" s="44">
        <f t="shared" ref="P221:Q221" si="113">P220</f>
        <v>150</v>
      </c>
      <c r="Q221" s="50">
        <f t="shared" si="113"/>
        <v>210</v>
      </c>
    </row>
    <row r="222" spans="1:17" x14ac:dyDescent="0.25">
      <c r="A222" s="41">
        <f t="shared" si="109"/>
        <v>1070</v>
      </c>
      <c r="B222" s="42">
        <f t="shared" si="109"/>
        <v>212</v>
      </c>
      <c r="C222" s="41" t="s">
        <v>2722</v>
      </c>
      <c r="D222" s="43">
        <f t="shared" si="76"/>
        <v>39.9</v>
      </c>
      <c r="E222" s="61">
        <f t="shared" si="67"/>
        <v>4.9735000000000005</v>
      </c>
      <c r="F222" s="61">
        <f t="shared" si="68"/>
        <v>42</v>
      </c>
      <c r="G222" s="64">
        <f t="shared" si="69"/>
        <v>0.58988764044943809</v>
      </c>
      <c r="H222" s="44">
        <f t="shared" si="77"/>
        <v>26.914126219991235</v>
      </c>
      <c r="I222" s="42" t="str">
        <f t="shared" ref="I222:K222" si="114">I221</f>
        <v>Half</v>
      </c>
      <c r="J222" s="50">
        <f t="shared" si="114"/>
        <v>6</v>
      </c>
      <c r="K222" s="49">
        <f t="shared" si="114"/>
        <v>160</v>
      </c>
      <c r="L222" s="44">
        <f t="shared" si="71"/>
        <v>8</v>
      </c>
      <c r="M222" s="44">
        <f t="shared" si="85"/>
        <v>120</v>
      </c>
      <c r="N222" s="45">
        <f t="shared" si="65"/>
        <v>0.2</v>
      </c>
      <c r="O222" s="49">
        <v>90</v>
      </c>
      <c r="P222" s="44">
        <f t="shared" ref="P222:Q222" si="115">P221</f>
        <v>150</v>
      </c>
      <c r="Q222" s="50">
        <f t="shared" si="115"/>
        <v>210</v>
      </c>
    </row>
    <row r="223" spans="1:17" x14ac:dyDescent="0.25">
      <c r="A223" s="41">
        <f t="shared" si="109"/>
        <v>1071</v>
      </c>
      <c r="B223" s="42">
        <f t="shared" si="109"/>
        <v>213</v>
      </c>
      <c r="C223" s="41" t="s">
        <v>2723</v>
      </c>
      <c r="D223" s="43">
        <f t="shared" si="76"/>
        <v>39.9</v>
      </c>
      <c r="E223" s="61">
        <f t="shared" si="67"/>
        <v>4.9735000000000005</v>
      </c>
      <c r="F223" s="61">
        <f t="shared" si="68"/>
        <v>42</v>
      </c>
      <c r="G223" s="64">
        <f t="shared" si="69"/>
        <v>0.58988764044943809</v>
      </c>
      <c r="H223" s="44">
        <f t="shared" si="77"/>
        <v>26.914126219991235</v>
      </c>
      <c r="I223" s="42" t="str">
        <f t="shared" ref="I223:K223" si="116">I222</f>
        <v>Half</v>
      </c>
      <c r="J223" s="50">
        <f t="shared" si="116"/>
        <v>6</v>
      </c>
      <c r="K223" s="49">
        <f t="shared" si="116"/>
        <v>160</v>
      </c>
      <c r="L223" s="44">
        <f t="shared" si="71"/>
        <v>8</v>
      </c>
      <c r="M223" s="44">
        <f t="shared" si="85"/>
        <v>150</v>
      </c>
      <c r="N223" s="45">
        <f t="shared" si="65"/>
        <v>0.2</v>
      </c>
      <c r="O223" s="49">
        <v>0</v>
      </c>
      <c r="P223" s="44">
        <f t="shared" ref="P223:Q223" si="117">P222</f>
        <v>150</v>
      </c>
      <c r="Q223" s="50">
        <f t="shared" si="117"/>
        <v>210</v>
      </c>
    </row>
    <row r="224" spans="1:17" x14ac:dyDescent="0.25">
      <c r="A224" s="41">
        <f t="shared" si="109"/>
        <v>1072</v>
      </c>
      <c r="B224" s="42">
        <f t="shared" si="109"/>
        <v>214</v>
      </c>
      <c r="C224" s="41" t="s">
        <v>2724</v>
      </c>
      <c r="D224" s="43">
        <f t="shared" si="76"/>
        <v>39.9</v>
      </c>
      <c r="E224" s="61">
        <f t="shared" si="67"/>
        <v>4.9735000000000005</v>
      </c>
      <c r="F224" s="61">
        <f t="shared" si="68"/>
        <v>42</v>
      </c>
      <c r="G224" s="64">
        <f t="shared" si="69"/>
        <v>0.58988764044943809</v>
      </c>
      <c r="H224" s="44">
        <f t="shared" si="77"/>
        <v>26.914126219991235</v>
      </c>
      <c r="I224" s="42" t="str">
        <f>I223</f>
        <v>Half</v>
      </c>
      <c r="J224" s="50">
        <f t="shared" ref="J224:K224" si="118">J223</f>
        <v>6</v>
      </c>
      <c r="K224" s="49">
        <f t="shared" si="118"/>
        <v>160</v>
      </c>
      <c r="L224" s="44">
        <f t="shared" si="71"/>
        <v>8</v>
      </c>
      <c r="M224" s="44">
        <f t="shared" si="85"/>
        <v>150</v>
      </c>
      <c r="N224" s="45">
        <f t="shared" si="65"/>
        <v>0.2</v>
      </c>
      <c r="O224" s="49">
        <v>30</v>
      </c>
      <c r="P224" s="44">
        <f t="shared" ref="P224:Q224" si="119">P223</f>
        <v>150</v>
      </c>
      <c r="Q224" s="50">
        <f t="shared" si="119"/>
        <v>210</v>
      </c>
    </row>
    <row r="225" spans="1:17" x14ac:dyDescent="0.25">
      <c r="A225" s="41">
        <f t="shared" si="109"/>
        <v>1073</v>
      </c>
      <c r="B225" s="42">
        <f t="shared" si="109"/>
        <v>215</v>
      </c>
      <c r="C225" s="41" t="s">
        <v>2725</v>
      </c>
      <c r="D225" s="43">
        <f t="shared" si="76"/>
        <v>39.9</v>
      </c>
      <c r="E225" s="61">
        <f t="shared" si="67"/>
        <v>4.9735000000000005</v>
      </c>
      <c r="F225" s="61">
        <f t="shared" si="68"/>
        <v>42</v>
      </c>
      <c r="G225" s="64">
        <f t="shared" si="69"/>
        <v>0.58988764044943809</v>
      </c>
      <c r="H225" s="44">
        <f t="shared" si="77"/>
        <v>26.914126219991235</v>
      </c>
      <c r="I225" s="42" t="str">
        <f>I224</f>
        <v>Half</v>
      </c>
      <c r="J225" s="50">
        <f t="shared" ref="J225:K225" si="120">J224</f>
        <v>6</v>
      </c>
      <c r="K225" s="49">
        <f t="shared" si="120"/>
        <v>160</v>
      </c>
      <c r="L225" s="44">
        <f t="shared" si="71"/>
        <v>8</v>
      </c>
      <c r="M225" s="44">
        <f t="shared" si="85"/>
        <v>150</v>
      </c>
      <c r="N225" s="45">
        <f t="shared" si="65"/>
        <v>0.2</v>
      </c>
      <c r="O225" s="49">
        <v>60</v>
      </c>
      <c r="P225" s="44">
        <f t="shared" ref="P225:Q225" si="121">P224</f>
        <v>150</v>
      </c>
      <c r="Q225" s="50">
        <f t="shared" si="121"/>
        <v>210</v>
      </c>
    </row>
    <row r="226" spans="1:17" x14ac:dyDescent="0.25">
      <c r="A226" s="41">
        <f t="shared" ref="A226:B226" si="122">A225+1</f>
        <v>1074</v>
      </c>
      <c r="B226" s="42">
        <f t="shared" si="122"/>
        <v>216</v>
      </c>
      <c r="C226" s="41" t="s">
        <v>2726</v>
      </c>
      <c r="D226" s="43">
        <f t="shared" si="76"/>
        <v>39.9</v>
      </c>
      <c r="E226" s="61">
        <f t="shared" si="67"/>
        <v>4.9735000000000005</v>
      </c>
      <c r="F226" s="61">
        <f t="shared" si="68"/>
        <v>42</v>
      </c>
      <c r="G226" s="64">
        <f t="shared" si="69"/>
        <v>0.58988764044943809</v>
      </c>
      <c r="H226" s="44">
        <f t="shared" si="77"/>
        <v>26.914126219991235</v>
      </c>
      <c r="I226" s="42" t="str">
        <f>I225</f>
        <v>Half</v>
      </c>
      <c r="J226" s="50">
        <f t="shared" ref="J226:K226" si="123">J225</f>
        <v>6</v>
      </c>
      <c r="K226" s="49">
        <f t="shared" si="123"/>
        <v>160</v>
      </c>
      <c r="L226" s="44">
        <f t="shared" si="71"/>
        <v>8</v>
      </c>
      <c r="M226" s="44">
        <f t="shared" si="85"/>
        <v>150</v>
      </c>
      <c r="N226" s="45">
        <f t="shared" si="65"/>
        <v>0.2</v>
      </c>
      <c r="O226" s="49">
        <v>90</v>
      </c>
      <c r="P226" s="44">
        <f t="shared" ref="P226:Q226" si="124">P225</f>
        <v>150</v>
      </c>
      <c r="Q226" s="50">
        <f t="shared" si="124"/>
        <v>210</v>
      </c>
    </row>
    <row r="227" spans="1:17" x14ac:dyDescent="0.25">
      <c r="A227" s="41">
        <f t="shared" ref="A227:B227" si="125">A226+1</f>
        <v>1075</v>
      </c>
      <c r="B227" s="42">
        <f t="shared" si="125"/>
        <v>217</v>
      </c>
      <c r="C227" s="41" t="s">
        <v>2727</v>
      </c>
      <c r="D227" s="43">
        <f t="shared" si="76"/>
        <v>39.9</v>
      </c>
      <c r="E227" s="61">
        <f t="shared" si="67"/>
        <v>4.9735000000000005</v>
      </c>
      <c r="F227" s="61">
        <f t="shared" si="68"/>
        <v>42</v>
      </c>
      <c r="G227" s="64">
        <f t="shared" si="69"/>
        <v>0.58988764044943809</v>
      </c>
      <c r="H227" s="44">
        <f t="shared" si="77"/>
        <v>26.914126219991235</v>
      </c>
      <c r="I227" s="42" t="str">
        <f t="shared" ref="I227:K227" si="126">I226</f>
        <v>Half</v>
      </c>
      <c r="J227" s="50">
        <f t="shared" si="126"/>
        <v>6</v>
      </c>
      <c r="K227" s="49">
        <f t="shared" si="126"/>
        <v>160</v>
      </c>
      <c r="L227" s="44">
        <f t="shared" si="71"/>
        <v>8</v>
      </c>
      <c r="M227" s="44">
        <f t="shared" si="85"/>
        <v>180</v>
      </c>
      <c r="N227" s="45">
        <f t="shared" si="65"/>
        <v>0.2</v>
      </c>
      <c r="O227" s="49">
        <v>0</v>
      </c>
      <c r="P227" s="44">
        <f t="shared" ref="P227:Q227" si="127">P226</f>
        <v>150</v>
      </c>
      <c r="Q227" s="50">
        <f t="shared" si="127"/>
        <v>210</v>
      </c>
    </row>
    <row r="228" spans="1:17" x14ac:dyDescent="0.25">
      <c r="A228" s="41">
        <f t="shared" ref="A228:B228" si="128">A227+1</f>
        <v>1076</v>
      </c>
      <c r="B228" s="42">
        <f t="shared" si="128"/>
        <v>218</v>
      </c>
      <c r="C228" s="41" t="s">
        <v>2728</v>
      </c>
      <c r="D228" s="43">
        <f t="shared" si="76"/>
        <v>39.9</v>
      </c>
      <c r="E228" s="61">
        <f t="shared" si="67"/>
        <v>4.9735000000000005</v>
      </c>
      <c r="F228" s="61">
        <f t="shared" si="68"/>
        <v>42</v>
      </c>
      <c r="G228" s="64">
        <f t="shared" si="69"/>
        <v>0.58988764044943809</v>
      </c>
      <c r="H228" s="44">
        <f t="shared" si="77"/>
        <v>26.914126219991235</v>
      </c>
      <c r="I228" s="42" t="str">
        <f t="shared" ref="I228:K228" si="129">I227</f>
        <v>Half</v>
      </c>
      <c r="J228" s="50">
        <f t="shared" si="129"/>
        <v>6</v>
      </c>
      <c r="K228" s="49">
        <f t="shared" si="129"/>
        <v>160</v>
      </c>
      <c r="L228" s="44">
        <f t="shared" si="71"/>
        <v>8</v>
      </c>
      <c r="M228" s="44">
        <f t="shared" si="85"/>
        <v>180</v>
      </c>
      <c r="N228" s="45">
        <f t="shared" si="65"/>
        <v>0.2</v>
      </c>
      <c r="O228" s="49">
        <v>30</v>
      </c>
      <c r="P228" s="44">
        <f t="shared" ref="P228:Q228" si="130">P227</f>
        <v>150</v>
      </c>
      <c r="Q228" s="50">
        <f t="shared" si="130"/>
        <v>210</v>
      </c>
    </row>
    <row r="229" spans="1:17" x14ac:dyDescent="0.25">
      <c r="A229" s="41">
        <f t="shared" ref="A229:B229" si="131">A228+1</f>
        <v>1077</v>
      </c>
      <c r="B229" s="42">
        <f t="shared" si="131"/>
        <v>219</v>
      </c>
      <c r="C229" s="41" t="s">
        <v>2729</v>
      </c>
      <c r="D229" s="43">
        <f t="shared" si="76"/>
        <v>39.9</v>
      </c>
      <c r="E229" s="61">
        <f t="shared" si="67"/>
        <v>4.9735000000000005</v>
      </c>
      <c r="F229" s="61">
        <f t="shared" si="68"/>
        <v>42</v>
      </c>
      <c r="G229" s="64">
        <f t="shared" si="69"/>
        <v>0.58988764044943809</v>
      </c>
      <c r="H229" s="44">
        <f t="shared" si="77"/>
        <v>26.914126219991235</v>
      </c>
      <c r="I229" s="42" t="str">
        <f t="shared" ref="I229:K229" si="132">I228</f>
        <v>Half</v>
      </c>
      <c r="J229" s="50">
        <f t="shared" si="132"/>
        <v>6</v>
      </c>
      <c r="K229" s="49">
        <f t="shared" si="132"/>
        <v>160</v>
      </c>
      <c r="L229" s="44">
        <f t="shared" si="71"/>
        <v>8</v>
      </c>
      <c r="M229" s="44">
        <f t="shared" si="85"/>
        <v>180</v>
      </c>
      <c r="N229" s="45">
        <f t="shared" si="65"/>
        <v>0.2</v>
      </c>
      <c r="O229" s="49">
        <v>60</v>
      </c>
      <c r="P229" s="44">
        <f t="shared" ref="P229:Q229" si="133">P228</f>
        <v>150</v>
      </c>
      <c r="Q229" s="50">
        <f t="shared" si="133"/>
        <v>210</v>
      </c>
    </row>
    <row r="230" spans="1:17" x14ac:dyDescent="0.25">
      <c r="A230" s="41">
        <f t="shared" ref="A230:B230" si="134">A229+1</f>
        <v>1078</v>
      </c>
      <c r="B230" s="42">
        <f t="shared" si="134"/>
        <v>220</v>
      </c>
      <c r="C230" s="41" t="s">
        <v>2730</v>
      </c>
      <c r="D230" s="43">
        <f t="shared" si="76"/>
        <v>39.9</v>
      </c>
      <c r="E230" s="61">
        <f t="shared" si="67"/>
        <v>4.9735000000000005</v>
      </c>
      <c r="F230" s="61">
        <f t="shared" si="68"/>
        <v>42</v>
      </c>
      <c r="G230" s="64">
        <f t="shared" si="69"/>
        <v>0.58988764044943809</v>
      </c>
      <c r="H230" s="44">
        <f t="shared" si="77"/>
        <v>26.914126219991235</v>
      </c>
      <c r="I230" s="42" t="str">
        <f t="shared" ref="I230:K230" si="135">I229</f>
        <v>Half</v>
      </c>
      <c r="J230" s="50">
        <f t="shared" si="135"/>
        <v>6</v>
      </c>
      <c r="K230" s="49">
        <f t="shared" si="135"/>
        <v>160</v>
      </c>
      <c r="L230" s="44">
        <f t="shared" si="71"/>
        <v>8</v>
      </c>
      <c r="M230" s="44">
        <f t="shared" si="85"/>
        <v>180</v>
      </c>
      <c r="N230" s="45">
        <f t="shared" si="65"/>
        <v>0.2</v>
      </c>
      <c r="O230" s="49">
        <v>90</v>
      </c>
      <c r="P230" s="44">
        <f t="shared" ref="P230:Q230" si="136">P229</f>
        <v>150</v>
      </c>
      <c r="Q230" s="50">
        <f t="shared" si="136"/>
        <v>210</v>
      </c>
    </row>
    <row r="231" spans="1:17" x14ac:dyDescent="0.25">
      <c r="A231" s="41">
        <f t="shared" ref="A231:B231" si="137">A230+1</f>
        <v>1079</v>
      </c>
      <c r="B231" s="42">
        <f t="shared" si="137"/>
        <v>221</v>
      </c>
      <c r="C231" s="41" t="s">
        <v>2731</v>
      </c>
      <c r="D231" s="43">
        <f t="shared" si="76"/>
        <v>39.9</v>
      </c>
      <c r="E231" s="61">
        <f t="shared" si="67"/>
        <v>4.9735000000000005</v>
      </c>
      <c r="F231" s="61">
        <f t="shared" si="68"/>
        <v>42</v>
      </c>
      <c r="G231" s="64">
        <f t="shared" si="69"/>
        <v>0.58988764044943809</v>
      </c>
      <c r="H231" s="44">
        <f t="shared" si="77"/>
        <v>26.914126219991235</v>
      </c>
      <c r="I231" s="42" t="s">
        <v>12</v>
      </c>
      <c r="J231" s="50">
        <f t="shared" ref="J231:K231" si="138">J230</f>
        <v>6</v>
      </c>
      <c r="K231" s="49">
        <f t="shared" si="138"/>
        <v>160</v>
      </c>
      <c r="L231" s="44">
        <f t="shared" si="71"/>
        <v>8</v>
      </c>
      <c r="M231" s="44">
        <f t="shared" si="85"/>
        <v>210</v>
      </c>
      <c r="N231" s="45">
        <f t="shared" si="65"/>
        <v>0.2</v>
      </c>
      <c r="O231" s="49">
        <v>0</v>
      </c>
      <c r="P231" s="44">
        <f t="shared" ref="P231:Q231" si="139">P230</f>
        <v>150</v>
      </c>
      <c r="Q231" s="50">
        <f t="shared" si="139"/>
        <v>210</v>
      </c>
    </row>
    <row r="232" spans="1:17" x14ac:dyDescent="0.25">
      <c r="A232" s="41">
        <f t="shared" ref="A232:B232" si="140">A231+1</f>
        <v>1080</v>
      </c>
      <c r="B232" s="42">
        <f t="shared" si="140"/>
        <v>222</v>
      </c>
      <c r="C232" s="41" t="s">
        <v>2732</v>
      </c>
      <c r="D232" s="43">
        <f t="shared" si="76"/>
        <v>39.9</v>
      </c>
      <c r="E232" s="61">
        <f t="shared" si="67"/>
        <v>4.9735000000000005</v>
      </c>
      <c r="F232" s="61">
        <f t="shared" si="68"/>
        <v>42</v>
      </c>
      <c r="G232" s="64">
        <f t="shared" si="69"/>
        <v>0.58988764044943809</v>
      </c>
      <c r="H232" s="44">
        <f t="shared" si="77"/>
        <v>26.914126219991235</v>
      </c>
      <c r="I232" s="42" t="str">
        <f>I231</f>
        <v>Half</v>
      </c>
      <c r="J232" s="50">
        <f t="shared" ref="J232:K232" si="141">J231</f>
        <v>6</v>
      </c>
      <c r="K232" s="49">
        <f t="shared" si="141"/>
        <v>160</v>
      </c>
      <c r="L232" s="44">
        <f t="shared" si="71"/>
        <v>8</v>
      </c>
      <c r="M232" s="44">
        <f t="shared" si="85"/>
        <v>210</v>
      </c>
      <c r="N232" s="45">
        <f t="shared" si="65"/>
        <v>0.2</v>
      </c>
      <c r="O232" s="49">
        <v>30</v>
      </c>
      <c r="P232" s="44">
        <f t="shared" ref="P232:Q232" si="142">P231</f>
        <v>150</v>
      </c>
      <c r="Q232" s="50">
        <f t="shared" si="142"/>
        <v>210</v>
      </c>
    </row>
    <row r="233" spans="1:17" x14ac:dyDescent="0.25">
      <c r="A233" s="41">
        <f t="shared" ref="A233:B233" si="143">A232+1</f>
        <v>1081</v>
      </c>
      <c r="B233" s="42">
        <f t="shared" si="143"/>
        <v>223</v>
      </c>
      <c r="C233" s="41" t="s">
        <v>2733</v>
      </c>
      <c r="D233" s="43">
        <f t="shared" si="76"/>
        <v>39.9</v>
      </c>
      <c r="E233" s="61">
        <f t="shared" si="67"/>
        <v>4.9735000000000005</v>
      </c>
      <c r="F233" s="61">
        <f t="shared" si="68"/>
        <v>42</v>
      </c>
      <c r="G233" s="64">
        <f t="shared" si="69"/>
        <v>0.58988764044943809</v>
      </c>
      <c r="H233" s="44">
        <f t="shared" si="77"/>
        <v>26.914126219991235</v>
      </c>
      <c r="I233" s="42" t="str">
        <f t="shared" ref="I233:K233" si="144">I232</f>
        <v>Half</v>
      </c>
      <c r="J233" s="50">
        <f t="shared" si="144"/>
        <v>6</v>
      </c>
      <c r="K233" s="49">
        <f t="shared" si="144"/>
        <v>160</v>
      </c>
      <c r="L233" s="44">
        <f t="shared" si="71"/>
        <v>8</v>
      </c>
      <c r="M233" s="44">
        <f t="shared" si="85"/>
        <v>210</v>
      </c>
      <c r="N233" s="45">
        <f t="shared" si="65"/>
        <v>0.2</v>
      </c>
      <c r="O233" s="49">
        <v>60</v>
      </c>
      <c r="P233" s="44">
        <f t="shared" ref="P233:Q233" si="145">P232</f>
        <v>150</v>
      </c>
      <c r="Q233" s="50">
        <f t="shared" si="145"/>
        <v>210</v>
      </c>
    </row>
    <row r="234" spans="1:17" x14ac:dyDescent="0.25">
      <c r="A234" s="41">
        <f t="shared" ref="A234:B234" si="146">A233+1</f>
        <v>1082</v>
      </c>
      <c r="B234" s="42">
        <f t="shared" si="146"/>
        <v>224</v>
      </c>
      <c r="C234" s="41" t="s">
        <v>2734</v>
      </c>
      <c r="D234" s="43">
        <f t="shared" si="76"/>
        <v>39.9</v>
      </c>
      <c r="E234" s="61">
        <f t="shared" si="67"/>
        <v>4.9735000000000005</v>
      </c>
      <c r="F234" s="61">
        <f t="shared" si="68"/>
        <v>42</v>
      </c>
      <c r="G234" s="64">
        <f t="shared" si="69"/>
        <v>0.58988764044943809</v>
      </c>
      <c r="H234" s="44">
        <f t="shared" si="77"/>
        <v>26.914126219991235</v>
      </c>
      <c r="I234" s="42" t="str">
        <f t="shared" ref="I234:K234" si="147">I233</f>
        <v>Half</v>
      </c>
      <c r="J234" s="50">
        <f t="shared" si="147"/>
        <v>6</v>
      </c>
      <c r="K234" s="49">
        <f t="shared" si="147"/>
        <v>160</v>
      </c>
      <c r="L234" s="44">
        <f t="shared" si="71"/>
        <v>8</v>
      </c>
      <c r="M234" s="44">
        <f t="shared" si="85"/>
        <v>210</v>
      </c>
      <c r="N234" s="45">
        <f t="shared" si="65"/>
        <v>0.2</v>
      </c>
      <c r="O234" s="49">
        <v>90</v>
      </c>
      <c r="P234" s="44">
        <f t="shared" ref="P234:Q234" si="148">P233</f>
        <v>150</v>
      </c>
      <c r="Q234" s="50">
        <f t="shared" si="148"/>
        <v>210</v>
      </c>
    </row>
    <row r="235" spans="1:17" x14ac:dyDescent="0.25">
      <c r="A235" s="41">
        <f t="shared" ref="A235:B235" si="149">A234+1</f>
        <v>1083</v>
      </c>
      <c r="B235" s="42">
        <f t="shared" si="149"/>
        <v>225</v>
      </c>
      <c r="C235" s="41" t="s">
        <v>2735</v>
      </c>
      <c r="D235" s="43">
        <f t="shared" si="76"/>
        <v>39.9</v>
      </c>
      <c r="E235" s="61">
        <f t="shared" si="67"/>
        <v>4.9735000000000005</v>
      </c>
      <c r="F235" s="61">
        <f t="shared" si="68"/>
        <v>42</v>
      </c>
      <c r="G235" s="64">
        <f t="shared" si="69"/>
        <v>0.58988764044943809</v>
      </c>
      <c r="H235" s="44">
        <f t="shared" si="77"/>
        <v>26.914126219991235</v>
      </c>
      <c r="I235" s="42" t="str">
        <f t="shared" ref="I235:K235" si="150">I234</f>
        <v>Half</v>
      </c>
      <c r="J235" s="50">
        <f t="shared" si="150"/>
        <v>6</v>
      </c>
      <c r="K235" s="49">
        <f t="shared" si="150"/>
        <v>160</v>
      </c>
      <c r="L235" s="44">
        <f t="shared" si="71"/>
        <v>8</v>
      </c>
      <c r="M235" s="44">
        <f t="shared" si="85"/>
        <v>240</v>
      </c>
      <c r="N235" s="45">
        <f t="shared" si="65"/>
        <v>0.2</v>
      </c>
      <c r="O235" s="49">
        <v>0</v>
      </c>
      <c r="P235" s="44">
        <f t="shared" ref="P235:Q235" si="151">P234</f>
        <v>150</v>
      </c>
      <c r="Q235" s="50">
        <f t="shared" si="151"/>
        <v>210</v>
      </c>
    </row>
    <row r="236" spans="1:17" x14ac:dyDescent="0.25">
      <c r="A236" s="41">
        <f t="shared" ref="A236:B236" si="152">A235+1</f>
        <v>1084</v>
      </c>
      <c r="B236" s="42">
        <f t="shared" si="152"/>
        <v>226</v>
      </c>
      <c r="C236" s="41" t="s">
        <v>2736</v>
      </c>
      <c r="D236" s="43">
        <f t="shared" si="76"/>
        <v>39.9</v>
      </c>
      <c r="E236" s="61">
        <f t="shared" si="67"/>
        <v>4.9735000000000005</v>
      </c>
      <c r="F236" s="61">
        <f t="shared" si="68"/>
        <v>42</v>
      </c>
      <c r="G236" s="64">
        <f t="shared" si="69"/>
        <v>0.58988764044943809</v>
      </c>
      <c r="H236" s="44">
        <f t="shared" si="77"/>
        <v>26.914126219991235</v>
      </c>
      <c r="I236" s="42" t="str">
        <f t="shared" ref="I236:K236" si="153">I235</f>
        <v>Half</v>
      </c>
      <c r="J236" s="50">
        <f t="shared" si="153"/>
        <v>6</v>
      </c>
      <c r="K236" s="49">
        <f t="shared" si="153"/>
        <v>160</v>
      </c>
      <c r="L236" s="44">
        <f t="shared" si="71"/>
        <v>8</v>
      </c>
      <c r="M236" s="44">
        <f t="shared" si="85"/>
        <v>240</v>
      </c>
      <c r="N236" s="45">
        <f t="shared" si="65"/>
        <v>0.2</v>
      </c>
      <c r="O236" s="49">
        <v>30</v>
      </c>
      <c r="P236" s="44">
        <f t="shared" ref="P236:Q236" si="154">P235</f>
        <v>150</v>
      </c>
      <c r="Q236" s="50">
        <f t="shared" si="154"/>
        <v>210</v>
      </c>
    </row>
    <row r="237" spans="1:17" x14ac:dyDescent="0.25">
      <c r="A237" s="41">
        <f t="shared" ref="A237:B237" si="155">A236+1</f>
        <v>1085</v>
      </c>
      <c r="B237" s="42">
        <f t="shared" si="155"/>
        <v>227</v>
      </c>
      <c r="C237" s="41" t="s">
        <v>2737</v>
      </c>
      <c r="D237" s="43">
        <f t="shared" si="76"/>
        <v>39.9</v>
      </c>
      <c r="E237" s="61">
        <f t="shared" si="67"/>
        <v>4.9735000000000005</v>
      </c>
      <c r="F237" s="61">
        <f t="shared" si="68"/>
        <v>42</v>
      </c>
      <c r="G237" s="64">
        <f t="shared" si="69"/>
        <v>0.58988764044943809</v>
      </c>
      <c r="H237" s="44">
        <f t="shared" si="77"/>
        <v>26.914126219991235</v>
      </c>
      <c r="I237" s="42" t="str">
        <f t="shared" ref="I237:K237" si="156">I236</f>
        <v>Half</v>
      </c>
      <c r="J237" s="50">
        <f t="shared" si="156"/>
        <v>6</v>
      </c>
      <c r="K237" s="49">
        <f t="shared" si="156"/>
        <v>160</v>
      </c>
      <c r="L237" s="44">
        <f t="shared" si="71"/>
        <v>8</v>
      </c>
      <c r="M237" s="44">
        <f t="shared" si="85"/>
        <v>240</v>
      </c>
      <c r="N237" s="45">
        <f t="shared" si="65"/>
        <v>0.2</v>
      </c>
      <c r="O237" s="49">
        <v>60</v>
      </c>
      <c r="P237" s="44">
        <f t="shared" ref="P237:Q237" si="157">P236</f>
        <v>150</v>
      </c>
      <c r="Q237" s="50">
        <f t="shared" si="157"/>
        <v>210</v>
      </c>
    </row>
    <row r="238" spans="1:17" x14ac:dyDescent="0.25">
      <c r="A238" s="41">
        <f t="shared" ref="A238:B238" si="158">A237+1</f>
        <v>1086</v>
      </c>
      <c r="B238" s="42">
        <f t="shared" si="158"/>
        <v>228</v>
      </c>
      <c r="C238" s="41" t="s">
        <v>2738</v>
      </c>
      <c r="D238" s="43">
        <f t="shared" si="76"/>
        <v>39.9</v>
      </c>
      <c r="E238" s="61">
        <f t="shared" si="67"/>
        <v>4.9735000000000005</v>
      </c>
      <c r="F238" s="61">
        <f t="shared" si="68"/>
        <v>42</v>
      </c>
      <c r="G238" s="64">
        <f t="shared" si="69"/>
        <v>0.58988764044943809</v>
      </c>
      <c r="H238" s="44">
        <f t="shared" si="77"/>
        <v>26.914126219991235</v>
      </c>
      <c r="I238" s="42" t="str">
        <f t="shared" ref="I238:K238" si="159">I237</f>
        <v>Half</v>
      </c>
      <c r="J238" s="50">
        <f t="shared" si="159"/>
        <v>6</v>
      </c>
      <c r="K238" s="49">
        <f t="shared" si="159"/>
        <v>160</v>
      </c>
      <c r="L238" s="44">
        <f t="shared" si="71"/>
        <v>8</v>
      </c>
      <c r="M238" s="44">
        <f t="shared" si="85"/>
        <v>240</v>
      </c>
      <c r="N238" s="45">
        <f t="shared" si="65"/>
        <v>0.2</v>
      </c>
      <c r="O238" s="49">
        <v>90</v>
      </c>
      <c r="P238" s="44">
        <f t="shared" ref="P238:Q238" si="160">P237</f>
        <v>150</v>
      </c>
      <c r="Q238" s="50">
        <f t="shared" si="160"/>
        <v>210</v>
      </c>
    </row>
    <row r="239" spans="1:17" x14ac:dyDescent="0.25">
      <c r="A239" s="41">
        <f t="shared" ref="A239:B239" si="161">A238+1</f>
        <v>1087</v>
      </c>
      <c r="B239" s="42">
        <f t="shared" si="161"/>
        <v>229</v>
      </c>
      <c r="C239" s="41" t="s">
        <v>2739</v>
      </c>
      <c r="D239" s="43">
        <f t="shared" si="76"/>
        <v>39.9</v>
      </c>
      <c r="E239" s="61">
        <f t="shared" si="67"/>
        <v>4.9735000000000005</v>
      </c>
      <c r="F239" s="61">
        <f t="shared" si="68"/>
        <v>42</v>
      </c>
      <c r="G239" s="64">
        <f t="shared" si="69"/>
        <v>0.58988764044943809</v>
      </c>
      <c r="H239" s="44">
        <f t="shared" si="77"/>
        <v>26.914126219991235</v>
      </c>
      <c r="I239" s="42" t="str">
        <f t="shared" ref="I239:K239" si="162">I238</f>
        <v>Half</v>
      </c>
      <c r="J239" s="50">
        <f t="shared" si="162"/>
        <v>6</v>
      </c>
      <c r="K239" s="49">
        <f t="shared" si="162"/>
        <v>160</v>
      </c>
      <c r="L239" s="44">
        <f t="shared" si="71"/>
        <v>8</v>
      </c>
      <c r="M239" s="44">
        <f t="shared" si="85"/>
        <v>270</v>
      </c>
      <c r="N239" s="45">
        <f t="shared" si="65"/>
        <v>0.2</v>
      </c>
      <c r="O239" s="49">
        <v>0</v>
      </c>
      <c r="P239" s="44">
        <f t="shared" ref="P239:Q239" si="163">P238</f>
        <v>150</v>
      </c>
      <c r="Q239" s="50">
        <f t="shared" si="163"/>
        <v>210</v>
      </c>
    </row>
    <row r="240" spans="1:17" x14ac:dyDescent="0.25">
      <c r="A240" s="41">
        <f t="shared" ref="A240:B240" si="164">A239+1</f>
        <v>1088</v>
      </c>
      <c r="B240" s="42">
        <f t="shared" si="164"/>
        <v>230</v>
      </c>
      <c r="C240" s="41" t="s">
        <v>2740</v>
      </c>
      <c r="D240" s="43">
        <f t="shared" si="76"/>
        <v>39.9</v>
      </c>
      <c r="E240" s="61">
        <f t="shared" si="67"/>
        <v>4.9735000000000005</v>
      </c>
      <c r="F240" s="61">
        <f t="shared" si="68"/>
        <v>42</v>
      </c>
      <c r="G240" s="64">
        <f t="shared" si="69"/>
        <v>0.58988764044943809</v>
      </c>
      <c r="H240" s="44">
        <f t="shared" si="77"/>
        <v>26.914126219991235</v>
      </c>
      <c r="I240" s="42" t="str">
        <f t="shared" ref="I240:K240" si="165">I239</f>
        <v>Half</v>
      </c>
      <c r="J240" s="50">
        <f t="shared" si="165"/>
        <v>6</v>
      </c>
      <c r="K240" s="49">
        <f t="shared" si="165"/>
        <v>160</v>
      </c>
      <c r="L240" s="44">
        <f t="shared" si="71"/>
        <v>8</v>
      </c>
      <c r="M240" s="44">
        <f t="shared" si="85"/>
        <v>270</v>
      </c>
      <c r="N240" s="45">
        <f t="shared" si="65"/>
        <v>0.2</v>
      </c>
      <c r="O240" s="49">
        <v>30</v>
      </c>
      <c r="P240" s="44">
        <f t="shared" ref="P240:Q240" si="166">P239</f>
        <v>150</v>
      </c>
      <c r="Q240" s="50">
        <f t="shared" si="166"/>
        <v>210</v>
      </c>
    </row>
    <row r="241" spans="1:17" x14ac:dyDescent="0.25">
      <c r="A241" s="41">
        <f t="shared" ref="A241:B241" si="167">A240+1</f>
        <v>1089</v>
      </c>
      <c r="B241" s="42">
        <f t="shared" si="167"/>
        <v>231</v>
      </c>
      <c r="C241" s="41" t="s">
        <v>2741</v>
      </c>
      <c r="D241" s="43">
        <f t="shared" si="76"/>
        <v>39.9</v>
      </c>
      <c r="E241" s="61">
        <f t="shared" si="67"/>
        <v>4.9735000000000005</v>
      </c>
      <c r="F241" s="61">
        <f t="shared" si="68"/>
        <v>42</v>
      </c>
      <c r="G241" s="64">
        <f t="shared" si="69"/>
        <v>0.58988764044943809</v>
      </c>
      <c r="H241" s="44">
        <f t="shared" si="77"/>
        <v>26.914126219991235</v>
      </c>
      <c r="I241" s="42" t="str">
        <f t="shared" ref="I241:K241" si="168">I240</f>
        <v>Half</v>
      </c>
      <c r="J241" s="50">
        <f t="shared" si="168"/>
        <v>6</v>
      </c>
      <c r="K241" s="49">
        <f t="shared" si="168"/>
        <v>160</v>
      </c>
      <c r="L241" s="44">
        <f t="shared" si="71"/>
        <v>8</v>
      </c>
      <c r="M241" s="44">
        <f t="shared" si="85"/>
        <v>270</v>
      </c>
      <c r="N241" s="45">
        <f t="shared" si="65"/>
        <v>0.2</v>
      </c>
      <c r="O241" s="49">
        <v>60</v>
      </c>
      <c r="P241" s="44">
        <f t="shared" ref="P241:Q241" si="169">P240</f>
        <v>150</v>
      </c>
      <c r="Q241" s="50">
        <f t="shared" si="169"/>
        <v>210</v>
      </c>
    </row>
    <row r="242" spans="1:17" x14ac:dyDescent="0.25">
      <c r="A242" s="41">
        <f t="shared" ref="A242:B242" si="170">A241+1</f>
        <v>1090</v>
      </c>
      <c r="B242" s="42">
        <f t="shared" si="170"/>
        <v>232</v>
      </c>
      <c r="C242" s="41" t="s">
        <v>2742</v>
      </c>
      <c r="D242" s="43">
        <f t="shared" si="76"/>
        <v>39.9</v>
      </c>
      <c r="E242" s="61">
        <f t="shared" si="67"/>
        <v>4.9735000000000005</v>
      </c>
      <c r="F242" s="61">
        <f t="shared" si="68"/>
        <v>42</v>
      </c>
      <c r="G242" s="64">
        <f t="shared" si="69"/>
        <v>0.58988764044943809</v>
      </c>
      <c r="H242" s="44">
        <f t="shared" si="77"/>
        <v>26.914126219991235</v>
      </c>
      <c r="I242" s="42" t="str">
        <f t="shared" ref="I242:K242" si="171">I241</f>
        <v>Half</v>
      </c>
      <c r="J242" s="50">
        <f t="shared" si="171"/>
        <v>6</v>
      </c>
      <c r="K242" s="49">
        <f t="shared" si="171"/>
        <v>160</v>
      </c>
      <c r="L242" s="44">
        <f t="shared" si="71"/>
        <v>8</v>
      </c>
      <c r="M242" s="44">
        <f t="shared" si="85"/>
        <v>270</v>
      </c>
      <c r="N242" s="45">
        <f t="shared" si="65"/>
        <v>0.2</v>
      </c>
      <c r="O242" s="49">
        <v>90</v>
      </c>
      <c r="P242" s="44">
        <f t="shared" ref="P242:Q242" si="172">P241</f>
        <v>150</v>
      </c>
      <c r="Q242" s="50">
        <f t="shared" si="172"/>
        <v>210</v>
      </c>
    </row>
    <row r="243" spans="1:17" x14ac:dyDescent="0.25">
      <c r="A243" s="41">
        <f t="shared" ref="A243:B243" si="173">A242+1</f>
        <v>1091</v>
      </c>
      <c r="B243" s="42">
        <f t="shared" si="173"/>
        <v>233</v>
      </c>
      <c r="C243" s="41" t="s">
        <v>2743</v>
      </c>
      <c r="D243" s="43">
        <f t="shared" si="76"/>
        <v>39.9</v>
      </c>
      <c r="E243" s="61">
        <f t="shared" si="67"/>
        <v>4.9735000000000005</v>
      </c>
      <c r="F243" s="61">
        <f t="shared" si="68"/>
        <v>42</v>
      </c>
      <c r="G243" s="64">
        <f t="shared" si="69"/>
        <v>0.58988764044943809</v>
      </c>
      <c r="H243" s="44">
        <f t="shared" si="77"/>
        <v>26.914126219991235</v>
      </c>
      <c r="I243" s="42" t="str">
        <f t="shared" ref="I243:K243" si="174">I242</f>
        <v>Half</v>
      </c>
      <c r="J243" s="50">
        <f t="shared" si="174"/>
        <v>6</v>
      </c>
      <c r="K243" s="49">
        <f t="shared" si="174"/>
        <v>160</v>
      </c>
      <c r="L243" s="44">
        <f t="shared" si="71"/>
        <v>8</v>
      </c>
      <c r="M243" s="44">
        <f t="shared" si="85"/>
        <v>300</v>
      </c>
      <c r="N243" s="45">
        <f t="shared" si="65"/>
        <v>0.2</v>
      </c>
      <c r="O243" s="49">
        <v>0</v>
      </c>
      <c r="P243" s="44">
        <f t="shared" ref="P243:Q243" si="175">P242</f>
        <v>150</v>
      </c>
      <c r="Q243" s="50">
        <f t="shared" si="175"/>
        <v>210</v>
      </c>
    </row>
    <row r="244" spans="1:17" x14ac:dyDescent="0.25">
      <c r="A244" s="41">
        <f t="shared" ref="A244:B244" si="176">A243+1</f>
        <v>1092</v>
      </c>
      <c r="B244" s="42">
        <f t="shared" si="176"/>
        <v>234</v>
      </c>
      <c r="C244" s="41" t="s">
        <v>2744</v>
      </c>
      <c r="D244" s="43">
        <f t="shared" si="76"/>
        <v>39.9</v>
      </c>
      <c r="E244" s="61">
        <f t="shared" si="67"/>
        <v>4.9735000000000005</v>
      </c>
      <c r="F244" s="61">
        <f t="shared" si="68"/>
        <v>42</v>
      </c>
      <c r="G244" s="64">
        <f t="shared" si="69"/>
        <v>0.58988764044943809</v>
      </c>
      <c r="H244" s="44">
        <f t="shared" si="77"/>
        <v>26.914126219991235</v>
      </c>
      <c r="I244" s="42" t="str">
        <f t="shared" ref="I244:K244" si="177">I243</f>
        <v>Half</v>
      </c>
      <c r="J244" s="50">
        <f t="shared" si="177"/>
        <v>6</v>
      </c>
      <c r="K244" s="49">
        <f t="shared" si="177"/>
        <v>160</v>
      </c>
      <c r="L244" s="44">
        <f t="shared" si="71"/>
        <v>8</v>
      </c>
      <c r="M244" s="44">
        <f t="shared" si="85"/>
        <v>300</v>
      </c>
      <c r="N244" s="45">
        <f t="shared" si="65"/>
        <v>0.2</v>
      </c>
      <c r="O244" s="49">
        <v>30</v>
      </c>
      <c r="P244" s="44">
        <f t="shared" ref="P244:Q244" si="178">P243</f>
        <v>150</v>
      </c>
      <c r="Q244" s="50">
        <f t="shared" si="178"/>
        <v>210</v>
      </c>
    </row>
    <row r="245" spans="1:17" x14ac:dyDescent="0.25">
      <c r="A245" s="41">
        <f t="shared" ref="A245:B245" si="179">A244+1</f>
        <v>1093</v>
      </c>
      <c r="B245" s="42">
        <f t="shared" si="179"/>
        <v>235</v>
      </c>
      <c r="C245" s="41" t="s">
        <v>2745</v>
      </c>
      <c r="D245" s="43">
        <f t="shared" si="76"/>
        <v>39.9</v>
      </c>
      <c r="E245" s="61">
        <f t="shared" si="67"/>
        <v>4.9735000000000005</v>
      </c>
      <c r="F245" s="61">
        <f t="shared" si="68"/>
        <v>42</v>
      </c>
      <c r="G245" s="64">
        <f t="shared" si="69"/>
        <v>0.58988764044943809</v>
      </c>
      <c r="H245" s="44">
        <f t="shared" si="77"/>
        <v>26.914126219991235</v>
      </c>
      <c r="I245" s="42" t="str">
        <f t="shared" ref="I245:K245" si="180">I244</f>
        <v>Half</v>
      </c>
      <c r="J245" s="50">
        <f t="shared" si="180"/>
        <v>6</v>
      </c>
      <c r="K245" s="49">
        <f t="shared" si="180"/>
        <v>160</v>
      </c>
      <c r="L245" s="44">
        <f t="shared" si="71"/>
        <v>8</v>
      </c>
      <c r="M245" s="44">
        <f t="shared" si="85"/>
        <v>300</v>
      </c>
      <c r="N245" s="45">
        <f t="shared" si="65"/>
        <v>0.2</v>
      </c>
      <c r="O245" s="49">
        <v>60</v>
      </c>
      <c r="P245" s="44">
        <f t="shared" ref="P245:Q245" si="181">P244</f>
        <v>150</v>
      </c>
      <c r="Q245" s="50">
        <f t="shared" si="181"/>
        <v>210</v>
      </c>
    </row>
    <row r="246" spans="1:17" x14ac:dyDescent="0.25">
      <c r="A246" s="41">
        <f t="shared" ref="A246:B246" si="182">A245+1</f>
        <v>1094</v>
      </c>
      <c r="B246" s="42">
        <f t="shared" si="182"/>
        <v>236</v>
      </c>
      <c r="C246" s="41" t="s">
        <v>2746</v>
      </c>
      <c r="D246" s="43">
        <f t="shared" si="76"/>
        <v>39.9</v>
      </c>
      <c r="E246" s="61">
        <f t="shared" si="67"/>
        <v>4.9735000000000005</v>
      </c>
      <c r="F246" s="61">
        <f t="shared" si="68"/>
        <v>42</v>
      </c>
      <c r="G246" s="64">
        <f t="shared" si="69"/>
        <v>0.58988764044943809</v>
      </c>
      <c r="H246" s="44">
        <f t="shared" si="77"/>
        <v>26.914126219991235</v>
      </c>
      <c r="I246" s="42" t="str">
        <f t="shared" ref="I246:K246" si="183">I245</f>
        <v>Half</v>
      </c>
      <c r="J246" s="50">
        <f t="shared" si="183"/>
        <v>6</v>
      </c>
      <c r="K246" s="49">
        <f t="shared" si="183"/>
        <v>160</v>
      </c>
      <c r="L246" s="44">
        <f t="shared" si="71"/>
        <v>8</v>
      </c>
      <c r="M246" s="44">
        <f>M242+30</f>
        <v>300</v>
      </c>
      <c r="N246" s="45">
        <f t="shared" si="65"/>
        <v>0.2</v>
      </c>
      <c r="O246" s="49">
        <v>90</v>
      </c>
      <c r="P246" s="44">
        <f t="shared" ref="P246:Q246" si="184">P245</f>
        <v>150</v>
      </c>
      <c r="Q246" s="50">
        <f t="shared" si="184"/>
        <v>210</v>
      </c>
    </row>
    <row r="247" spans="1:17" x14ac:dyDescent="0.25">
      <c r="A247" s="41">
        <f t="shared" ref="A247:B247" si="185">A246+1</f>
        <v>1095</v>
      </c>
      <c r="B247" s="42">
        <f t="shared" si="185"/>
        <v>237</v>
      </c>
      <c r="C247" s="41" t="s">
        <v>2747</v>
      </c>
      <c r="D247" s="43">
        <f t="shared" si="76"/>
        <v>39.9</v>
      </c>
      <c r="E247" s="61">
        <f t="shared" si="67"/>
        <v>4.9735000000000005</v>
      </c>
      <c r="F247" s="61">
        <f t="shared" si="68"/>
        <v>42</v>
      </c>
      <c r="G247" s="64">
        <f t="shared" si="69"/>
        <v>0.58988764044943809</v>
      </c>
      <c r="H247" s="44">
        <f t="shared" si="77"/>
        <v>26.914126219991235</v>
      </c>
      <c r="I247" s="42" t="s">
        <v>12</v>
      </c>
      <c r="J247" s="50">
        <f t="shared" ref="J247:K247" si="186">J246</f>
        <v>6</v>
      </c>
      <c r="K247" s="49">
        <f t="shared" si="186"/>
        <v>160</v>
      </c>
      <c r="L247" s="44">
        <f t="shared" si="71"/>
        <v>8</v>
      </c>
      <c r="M247" s="44">
        <f t="shared" si="85"/>
        <v>330</v>
      </c>
      <c r="N247" s="45">
        <f t="shared" si="65"/>
        <v>0.2</v>
      </c>
      <c r="O247" s="49">
        <v>0</v>
      </c>
      <c r="P247" s="44">
        <f t="shared" ref="P247:Q247" si="187">P246</f>
        <v>150</v>
      </c>
      <c r="Q247" s="50">
        <f t="shared" si="187"/>
        <v>210</v>
      </c>
    </row>
    <row r="248" spans="1:17" x14ac:dyDescent="0.25">
      <c r="A248" s="41">
        <f t="shared" ref="A248:B248" si="188">A247+1</f>
        <v>1096</v>
      </c>
      <c r="B248" s="42">
        <f t="shared" si="188"/>
        <v>238</v>
      </c>
      <c r="C248" s="41" t="s">
        <v>2748</v>
      </c>
      <c r="D248" s="43">
        <f t="shared" si="76"/>
        <v>39.9</v>
      </c>
      <c r="E248" s="61">
        <f t="shared" si="67"/>
        <v>4.9735000000000005</v>
      </c>
      <c r="F248" s="61">
        <f t="shared" si="68"/>
        <v>42</v>
      </c>
      <c r="G248" s="64">
        <f t="shared" si="69"/>
        <v>0.58988764044943809</v>
      </c>
      <c r="H248" s="44">
        <f t="shared" si="77"/>
        <v>26.914126219991235</v>
      </c>
      <c r="I248" s="42" t="str">
        <f>I247</f>
        <v>Half</v>
      </c>
      <c r="J248" s="50">
        <f t="shared" ref="J248:K248" si="189">J247</f>
        <v>6</v>
      </c>
      <c r="K248" s="49">
        <f t="shared" si="189"/>
        <v>160</v>
      </c>
      <c r="L248" s="44">
        <f t="shared" si="71"/>
        <v>8</v>
      </c>
      <c r="M248" s="44">
        <f t="shared" si="85"/>
        <v>330</v>
      </c>
      <c r="N248" s="45">
        <f t="shared" si="65"/>
        <v>0.2</v>
      </c>
      <c r="O248" s="49">
        <v>30</v>
      </c>
      <c r="P248" s="44">
        <f t="shared" ref="P248:Q248" si="190">P247</f>
        <v>150</v>
      </c>
      <c r="Q248" s="50">
        <f t="shared" si="190"/>
        <v>210</v>
      </c>
    </row>
    <row r="249" spans="1:17" x14ac:dyDescent="0.25">
      <c r="A249" s="41">
        <f t="shared" ref="A249:B249" si="191">A248+1</f>
        <v>1097</v>
      </c>
      <c r="B249" s="42">
        <f t="shared" si="191"/>
        <v>239</v>
      </c>
      <c r="C249" s="41" t="s">
        <v>2749</v>
      </c>
      <c r="D249" s="43">
        <f t="shared" si="76"/>
        <v>39.9</v>
      </c>
      <c r="E249" s="61">
        <f t="shared" si="67"/>
        <v>4.9735000000000005</v>
      </c>
      <c r="F249" s="61">
        <f t="shared" si="68"/>
        <v>42</v>
      </c>
      <c r="G249" s="64">
        <f t="shared" si="69"/>
        <v>0.58988764044943809</v>
      </c>
      <c r="H249" s="44">
        <f t="shared" si="77"/>
        <v>26.914126219991235</v>
      </c>
      <c r="I249" s="42" t="str">
        <f t="shared" ref="I249:K249" si="192">I248</f>
        <v>Half</v>
      </c>
      <c r="J249" s="50">
        <f t="shared" si="192"/>
        <v>6</v>
      </c>
      <c r="K249" s="49">
        <f t="shared" si="192"/>
        <v>160</v>
      </c>
      <c r="L249" s="44">
        <f t="shared" si="71"/>
        <v>8</v>
      </c>
      <c r="M249" s="44">
        <f t="shared" si="85"/>
        <v>330</v>
      </c>
      <c r="N249" s="45">
        <f t="shared" si="65"/>
        <v>0.2</v>
      </c>
      <c r="O249" s="49">
        <v>60</v>
      </c>
      <c r="P249" s="44">
        <f t="shared" ref="P249:Q249" si="193">P248</f>
        <v>150</v>
      </c>
      <c r="Q249" s="50">
        <f t="shared" si="193"/>
        <v>210</v>
      </c>
    </row>
    <row r="250" spans="1:17" x14ac:dyDescent="0.25">
      <c r="A250" s="41">
        <f t="shared" ref="A250:B250" si="194">A249+1</f>
        <v>1098</v>
      </c>
      <c r="B250" s="42">
        <f t="shared" si="194"/>
        <v>240</v>
      </c>
      <c r="C250" s="127" t="s">
        <v>2750</v>
      </c>
      <c r="D250" s="43">
        <f t="shared" si="76"/>
        <v>39.9</v>
      </c>
      <c r="E250" s="61">
        <f t="shared" si="67"/>
        <v>4.9735000000000005</v>
      </c>
      <c r="F250" s="61">
        <f t="shared" si="68"/>
        <v>42</v>
      </c>
      <c r="G250" s="64">
        <f t="shared" si="69"/>
        <v>0.58988764044943809</v>
      </c>
      <c r="H250" s="44">
        <f t="shared" si="77"/>
        <v>26.914126219991235</v>
      </c>
      <c r="I250" s="42" t="str">
        <f t="shared" ref="I250:K250" si="195">I249</f>
        <v>Half</v>
      </c>
      <c r="J250" s="50">
        <f t="shared" si="195"/>
        <v>6</v>
      </c>
      <c r="K250" s="49">
        <f t="shared" si="195"/>
        <v>160</v>
      </c>
      <c r="L250" s="44">
        <f t="shared" si="71"/>
        <v>8</v>
      </c>
      <c r="M250" s="128">
        <f>M246+30</f>
        <v>330</v>
      </c>
      <c r="N250" s="45">
        <f t="shared" si="65"/>
        <v>0.2</v>
      </c>
      <c r="O250" s="49">
        <v>90</v>
      </c>
      <c r="P250" s="44">
        <f t="shared" ref="P250:Q250" si="196">P249</f>
        <v>150</v>
      </c>
      <c r="Q250" s="50">
        <f t="shared" si="196"/>
        <v>210</v>
      </c>
    </row>
    <row r="251" spans="1:17" x14ac:dyDescent="0.25">
      <c r="A251" s="41">
        <f t="shared" ref="A251:B251" si="197">A250+1</f>
        <v>1099</v>
      </c>
      <c r="B251" s="42">
        <f t="shared" si="197"/>
        <v>241</v>
      </c>
      <c r="C251" s="41" t="s">
        <v>2751</v>
      </c>
      <c r="D251" s="43">
        <f t="shared" si="76"/>
        <v>39.9</v>
      </c>
      <c r="E251" s="61">
        <f t="shared" si="67"/>
        <v>4.9735000000000005</v>
      </c>
      <c r="F251" s="61">
        <f t="shared" si="68"/>
        <v>42</v>
      </c>
      <c r="G251" s="64">
        <f t="shared" si="69"/>
        <v>0.58988764044943809</v>
      </c>
      <c r="H251" s="44">
        <f>-6.4*ATAN(E251/D251*G251)/PI()*180</f>
        <v>-26.914126219991235</v>
      </c>
      <c r="I251" s="42" t="str">
        <f t="shared" ref="I251:K251" si="198">I250</f>
        <v>Half</v>
      </c>
      <c r="J251" s="50">
        <f t="shared" si="198"/>
        <v>6</v>
      </c>
      <c r="K251" s="49">
        <f t="shared" si="198"/>
        <v>160</v>
      </c>
      <c r="L251" s="44">
        <f t="shared" si="71"/>
        <v>8</v>
      </c>
      <c r="M251" s="44">
        <v>0</v>
      </c>
      <c r="N251" s="45">
        <f t="shared" si="65"/>
        <v>0.2</v>
      </c>
      <c r="O251" s="49">
        <v>0</v>
      </c>
      <c r="P251" s="44">
        <f t="shared" ref="P251:Q251" si="199">P250</f>
        <v>150</v>
      </c>
      <c r="Q251" s="50">
        <f t="shared" si="199"/>
        <v>210</v>
      </c>
    </row>
    <row r="252" spans="1:17" x14ac:dyDescent="0.25">
      <c r="A252" s="41">
        <f t="shared" ref="A252:B252" si="200">A251+1</f>
        <v>1100</v>
      </c>
      <c r="B252" s="42">
        <f t="shared" si="200"/>
        <v>242</v>
      </c>
      <c r="C252" s="41" t="s">
        <v>2752</v>
      </c>
      <c r="D252" s="43">
        <f t="shared" si="76"/>
        <v>39.9</v>
      </c>
      <c r="E252" s="61">
        <f t="shared" si="67"/>
        <v>4.9735000000000005</v>
      </c>
      <c r="F252" s="61">
        <f t="shared" si="68"/>
        <v>42</v>
      </c>
      <c r="G252" s="64">
        <f t="shared" si="69"/>
        <v>0.58988764044943809</v>
      </c>
      <c r="H252" s="44">
        <f t="shared" ref="H252:H298" si="201">-6.4*ATAN(E252/D252*G252)/PI()*180</f>
        <v>-26.914126219991235</v>
      </c>
      <c r="I252" s="42" t="str">
        <f t="shared" ref="I252:K252" si="202">I251</f>
        <v>Half</v>
      </c>
      <c r="J252" s="50">
        <f t="shared" si="202"/>
        <v>6</v>
      </c>
      <c r="K252" s="49">
        <f t="shared" si="202"/>
        <v>160</v>
      </c>
      <c r="L252" s="44">
        <f t="shared" si="71"/>
        <v>8</v>
      </c>
      <c r="M252" s="44">
        <v>0</v>
      </c>
      <c r="N252" s="45">
        <f t="shared" si="65"/>
        <v>0.2</v>
      </c>
      <c r="O252" s="49">
        <v>30</v>
      </c>
      <c r="P252" s="44">
        <f t="shared" ref="P252:Q252" si="203">P251</f>
        <v>150</v>
      </c>
      <c r="Q252" s="50">
        <f t="shared" si="203"/>
        <v>210</v>
      </c>
    </row>
    <row r="253" spans="1:17" x14ac:dyDescent="0.25">
      <c r="A253" s="41">
        <f t="shared" ref="A253:B253" si="204">A252+1</f>
        <v>1101</v>
      </c>
      <c r="B253" s="42">
        <f t="shared" si="204"/>
        <v>243</v>
      </c>
      <c r="C253" s="41" t="s">
        <v>2753</v>
      </c>
      <c r="D253" s="43">
        <f t="shared" si="76"/>
        <v>39.9</v>
      </c>
      <c r="E253" s="61">
        <f t="shared" si="67"/>
        <v>4.9735000000000005</v>
      </c>
      <c r="F253" s="61">
        <f t="shared" si="68"/>
        <v>42</v>
      </c>
      <c r="G253" s="64">
        <f t="shared" si="69"/>
        <v>0.58988764044943809</v>
      </c>
      <c r="H253" s="44">
        <f t="shared" si="201"/>
        <v>-26.914126219991235</v>
      </c>
      <c r="I253" s="42" t="str">
        <f t="shared" ref="I253:K253" si="205">I252</f>
        <v>Half</v>
      </c>
      <c r="J253" s="50">
        <f t="shared" si="205"/>
        <v>6</v>
      </c>
      <c r="K253" s="49">
        <f t="shared" si="205"/>
        <v>160</v>
      </c>
      <c r="L253" s="44">
        <f t="shared" si="71"/>
        <v>8</v>
      </c>
      <c r="M253" s="44">
        <v>0</v>
      </c>
      <c r="N253" s="45">
        <f t="shared" ref="N253:N298" si="206">N252</f>
        <v>0.2</v>
      </c>
      <c r="O253" s="49">
        <v>60</v>
      </c>
      <c r="P253" s="44">
        <f t="shared" ref="P253:Q253" si="207">P252</f>
        <v>150</v>
      </c>
      <c r="Q253" s="50">
        <f t="shared" si="207"/>
        <v>210</v>
      </c>
    </row>
    <row r="254" spans="1:17" x14ac:dyDescent="0.25">
      <c r="A254" s="41">
        <f t="shared" ref="A254:B254" si="208">A253+1</f>
        <v>1102</v>
      </c>
      <c r="B254" s="42">
        <f t="shared" si="208"/>
        <v>244</v>
      </c>
      <c r="C254" s="41" t="s">
        <v>2754</v>
      </c>
      <c r="D254" s="43">
        <f t="shared" si="76"/>
        <v>39.9</v>
      </c>
      <c r="E254" s="61">
        <f t="shared" si="67"/>
        <v>4.9735000000000005</v>
      </c>
      <c r="F254" s="61">
        <f t="shared" si="68"/>
        <v>42</v>
      </c>
      <c r="G254" s="64">
        <f t="shared" si="69"/>
        <v>0.58988764044943809</v>
      </c>
      <c r="H254" s="44">
        <f t="shared" si="201"/>
        <v>-26.914126219991235</v>
      </c>
      <c r="I254" s="42" t="str">
        <f t="shared" ref="I254:K254" si="209">I253</f>
        <v>Half</v>
      </c>
      <c r="J254" s="50">
        <f t="shared" si="209"/>
        <v>6</v>
      </c>
      <c r="K254" s="49">
        <f t="shared" si="209"/>
        <v>160</v>
      </c>
      <c r="L254" s="44">
        <f t="shared" si="71"/>
        <v>8</v>
      </c>
      <c r="M254" s="44">
        <v>0</v>
      </c>
      <c r="N254" s="45">
        <f t="shared" si="206"/>
        <v>0.2</v>
      </c>
      <c r="O254" s="49">
        <v>90</v>
      </c>
      <c r="P254" s="44">
        <f t="shared" ref="P254:Q254" si="210">P253</f>
        <v>150</v>
      </c>
      <c r="Q254" s="50">
        <f t="shared" si="210"/>
        <v>210</v>
      </c>
    </row>
    <row r="255" spans="1:17" x14ac:dyDescent="0.25">
      <c r="A255" s="41">
        <f t="shared" ref="A255:B255" si="211">A254+1</f>
        <v>1103</v>
      </c>
      <c r="B255" s="42">
        <f t="shared" si="211"/>
        <v>245</v>
      </c>
      <c r="C255" s="41" t="s">
        <v>2755</v>
      </c>
      <c r="D255" s="43">
        <f t="shared" si="76"/>
        <v>39.9</v>
      </c>
      <c r="E255" s="61">
        <f t="shared" si="67"/>
        <v>4.9735000000000005</v>
      </c>
      <c r="F255" s="61">
        <f t="shared" si="68"/>
        <v>42</v>
      </c>
      <c r="G255" s="64">
        <f t="shared" si="69"/>
        <v>0.58988764044943809</v>
      </c>
      <c r="H255" s="44">
        <f t="shared" si="201"/>
        <v>-26.914126219991235</v>
      </c>
      <c r="I255" s="42" t="str">
        <f t="shared" ref="I255:K255" si="212">I254</f>
        <v>Half</v>
      </c>
      <c r="J255" s="50">
        <f t="shared" si="212"/>
        <v>6</v>
      </c>
      <c r="K255" s="49">
        <f t="shared" si="212"/>
        <v>160</v>
      </c>
      <c r="L255" s="44">
        <f t="shared" si="71"/>
        <v>8</v>
      </c>
      <c r="M255" s="44">
        <f>M251+30</f>
        <v>30</v>
      </c>
      <c r="N255" s="45">
        <f t="shared" si="206"/>
        <v>0.2</v>
      </c>
      <c r="O255" s="49">
        <v>0</v>
      </c>
      <c r="P255" s="44">
        <f t="shared" ref="P255:Q255" si="213">P254</f>
        <v>150</v>
      </c>
      <c r="Q255" s="50">
        <f t="shared" si="213"/>
        <v>210</v>
      </c>
    </row>
    <row r="256" spans="1:17" x14ac:dyDescent="0.25">
      <c r="A256" s="41">
        <f t="shared" ref="A256:B256" si="214">A255+1</f>
        <v>1104</v>
      </c>
      <c r="B256" s="42">
        <f t="shared" si="214"/>
        <v>246</v>
      </c>
      <c r="C256" s="41" t="s">
        <v>2756</v>
      </c>
      <c r="D256" s="43">
        <f t="shared" si="76"/>
        <v>39.9</v>
      </c>
      <c r="E256" s="61">
        <f t="shared" si="67"/>
        <v>4.9735000000000005</v>
      </c>
      <c r="F256" s="61">
        <f t="shared" si="68"/>
        <v>42</v>
      </c>
      <c r="G256" s="64">
        <f t="shared" si="69"/>
        <v>0.58988764044943809</v>
      </c>
      <c r="H256" s="44">
        <f t="shared" si="201"/>
        <v>-26.914126219991235</v>
      </c>
      <c r="I256" s="42" t="str">
        <f t="shared" ref="I256:K256" si="215">I255</f>
        <v>Half</v>
      </c>
      <c r="J256" s="50">
        <f t="shared" si="215"/>
        <v>6</v>
      </c>
      <c r="K256" s="49">
        <f t="shared" si="215"/>
        <v>160</v>
      </c>
      <c r="L256" s="44">
        <f t="shared" si="71"/>
        <v>8</v>
      </c>
      <c r="M256" s="44">
        <f t="shared" ref="M256:M297" si="216">M252+30</f>
        <v>30</v>
      </c>
      <c r="N256" s="45">
        <f t="shared" si="206"/>
        <v>0.2</v>
      </c>
      <c r="O256" s="49">
        <v>30</v>
      </c>
      <c r="P256" s="44">
        <f t="shared" ref="P256:Q256" si="217">P255</f>
        <v>150</v>
      </c>
      <c r="Q256" s="50">
        <f t="shared" si="217"/>
        <v>210</v>
      </c>
    </row>
    <row r="257" spans="1:17" x14ac:dyDescent="0.25">
      <c r="A257" s="41">
        <f t="shared" ref="A257:B257" si="218">A256+1</f>
        <v>1105</v>
      </c>
      <c r="B257" s="42">
        <f t="shared" si="218"/>
        <v>247</v>
      </c>
      <c r="C257" s="41" t="s">
        <v>2757</v>
      </c>
      <c r="D257" s="43">
        <f t="shared" si="76"/>
        <v>39.9</v>
      </c>
      <c r="E257" s="61">
        <f t="shared" si="67"/>
        <v>4.9735000000000005</v>
      </c>
      <c r="F257" s="61">
        <f t="shared" si="68"/>
        <v>42</v>
      </c>
      <c r="G257" s="64">
        <f t="shared" si="69"/>
        <v>0.58988764044943809</v>
      </c>
      <c r="H257" s="44">
        <f t="shared" si="201"/>
        <v>-26.914126219991235</v>
      </c>
      <c r="I257" s="42" t="str">
        <f t="shared" ref="I257:K257" si="219">I256</f>
        <v>Half</v>
      </c>
      <c r="J257" s="50">
        <f t="shared" si="219"/>
        <v>6</v>
      </c>
      <c r="K257" s="49">
        <f t="shared" si="219"/>
        <v>160</v>
      </c>
      <c r="L257" s="44">
        <f t="shared" si="71"/>
        <v>8</v>
      </c>
      <c r="M257" s="44">
        <f t="shared" si="216"/>
        <v>30</v>
      </c>
      <c r="N257" s="45">
        <f t="shared" si="206"/>
        <v>0.2</v>
      </c>
      <c r="O257" s="49">
        <v>60</v>
      </c>
      <c r="P257" s="44">
        <f t="shared" ref="P257:Q257" si="220">P256</f>
        <v>150</v>
      </c>
      <c r="Q257" s="50">
        <f t="shared" si="220"/>
        <v>210</v>
      </c>
    </row>
    <row r="258" spans="1:17" x14ac:dyDescent="0.25">
      <c r="A258" s="41">
        <f t="shared" ref="A258:B258" si="221">A257+1</f>
        <v>1106</v>
      </c>
      <c r="B258" s="42">
        <f t="shared" si="221"/>
        <v>248</v>
      </c>
      <c r="C258" s="41" t="s">
        <v>2758</v>
      </c>
      <c r="D258" s="43">
        <f t="shared" si="76"/>
        <v>39.9</v>
      </c>
      <c r="E258" s="61">
        <f t="shared" si="67"/>
        <v>4.9735000000000005</v>
      </c>
      <c r="F258" s="61">
        <f t="shared" si="68"/>
        <v>42</v>
      </c>
      <c r="G258" s="64">
        <f t="shared" si="69"/>
        <v>0.58988764044943809</v>
      </c>
      <c r="H258" s="44">
        <f t="shared" si="201"/>
        <v>-26.914126219991235</v>
      </c>
      <c r="I258" s="42" t="str">
        <f t="shared" ref="I258:K258" si="222">I257</f>
        <v>Half</v>
      </c>
      <c r="J258" s="50">
        <f t="shared" si="222"/>
        <v>6</v>
      </c>
      <c r="K258" s="49">
        <f t="shared" si="222"/>
        <v>160</v>
      </c>
      <c r="L258" s="44">
        <f t="shared" si="71"/>
        <v>8</v>
      </c>
      <c r="M258" s="44">
        <f t="shared" si="216"/>
        <v>30</v>
      </c>
      <c r="N258" s="45">
        <f t="shared" si="206"/>
        <v>0.2</v>
      </c>
      <c r="O258" s="49">
        <v>90</v>
      </c>
      <c r="P258" s="44">
        <f t="shared" ref="P258:Q258" si="223">P257</f>
        <v>150</v>
      </c>
      <c r="Q258" s="50">
        <f t="shared" si="223"/>
        <v>210</v>
      </c>
    </row>
    <row r="259" spans="1:17" x14ac:dyDescent="0.25">
      <c r="A259" s="41">
        <f t="shared" ref="A259:B259" si="224">A258+1</f>
        <v>1107</v>
      </c>
      <c r="B259" s="42">
        <f t="shared" si="224"/>
        <v>249</v>
      </c>
      <c r="C259" s="41" t="s">
        <v>2759</v>
      </c>
      <c r="D259" s="43">
        <f t="shared" si="76"/>
        <v>39.9</v>
      </c>
      <c r="E259" s="61">
        <f t="shared" si="67"/>
        <v>4.9735000000000005</v>
      </c>
      <c r="F259" s="61">
        <f t="shared" si="68"/>
        <v>42</v>
      </c>
      <c r="G259" s="64">
        <f t="shared" si="69"/>
        <v>0.58988764044943809</v>
      </c>
      <c r="H259" s="44">
        <f t="shared" si="201"/>
        <v>-26.914126219991235</v>
      </c>
      <c r="I259" s="42" t="str">
        <f t="shared" ref="I259:K259" si="225">I258</f>
        <v>Half</v>
      </c>
      <c r="J259" s="50">
        <f t="shared" si="225"/>
        <v>6</v>
      </c>
      <c r="K259" s="49">
        <f t="shared" si="225"/>
        <v>160</v>
      </c>
      <c r="L259" s="44">
        <f t="shared" si="71"/>
        <v>8</v>
      </c>
      <c r="M259" s="44">
        <f>M255+30</f>
        <v>60</v>
      </c>
      <c r="N259" s="45">
        <f t="shared" si="206"/>
        <v>0.2</v>
      </c>
      <c r="O259" s="49">
        <v>0</v>
      </c>
      <c r="P259" s="44">
        <f t="shared" ref="P259:Q259" si="226">P258</f>
        <v>150</v>
      </c>
      <c r="Q259" s="50">
        <f t="shared" si="226"/>
        <v>210</v>
      </c>
    </row>
    <row r="260" spans="1:17" x14ac:dyDescent="0.25">
      <c r="A260" s="41">
        <f t="shared" ref="A260:B260" si="227">A259+1</f>
        <v>1108</v>
      </c>
      <c r="B260" s="42">
        <f t="shared" si="227"/>
        <v>250</v>
      </c>
      <c r="C260" s="41" t="s">
        <v>2760</v>
      </c>
      <c r="D260" s="43">
        <f t="shared" si="76"/>
        <v>39.9</v>
      </c>
      <c r="E260" s="61">
        <f t="shared" si="67"/>
        <v>4.9735000000000005</v>
      </c>
      <c r="F260" s="61">
        <f t="shared" si="68"/>
        <v>42</v>
      </c>
      <c r="G260" s="64">
        <f t="shared" si="69"/>
        <v>0.58988764044943809</v>
      </c>
      <c r="H260" s="44">
        <f t="shared" si="201"/>
        <v>-26.914126219991235</v>
      </c>
      <c r="I260" s="42" t="str">
        <f>I259</f>
        <v>Half</v>
      </c>
      <c r="J260" s="50">
        <f t="shared" ref="J260:K260" si="228">J259</f>
        <v>6</v>
      </c>
      <c r="K260" s="49">
        <f t="shared" si="228"/>
        <v>160</v>
      </c>
      <c r="L260" s="44">
        <f t="shared" si="71"/>
        <v>8</v>
      </c>
      <c r="M260" s="44">
        <f t="shared" si="216"/>
        <v>60</v>
      </c>
      <c r="N260" s="45">
        <f t="shared" si="206"/>
        <v>0.2</v>
      </c>
      <c r="O260" s="49">
        <v>30</v>
      </c>
      <c r="P260" s="44">
        <f t="shared" ref="P260:Q260" si="229">P259</f>
        <v>150</v>
      </c>
      <c r="Q260" s="50">
        <f t="shared" si="229"/>
        <v>210</v>
      </c>
    </row>
    <row r="261" spans="1:17" x14ac:dyDescent="0.25">
      <c r="A261" s="41">
        <f t="shared" ref="A261:B261" si="230">A260+1</f>
        <v>1109</v>
      </c>
      <c r="B261" s="42">
        <f t="shared" si="230"/>
        <v>251</v>
      </c>
      <c r="C261" s="41" t="s">
        <v>2761</v>
      </c>
      <c r="D261" s="43">
        <f t="shared" si="76"/>
        <v>39.9</v>
      </c>
      <c r="E261" s="61">
        <f t="shared" si="67"/>
        <v>4.9735000000000005</v>
      </c>
      <c r="F261" s="61">
        <f t="shared" si="68"/>
        <v>42</v>
      </c>
      <c r="G261" s="64">
        <f t="shared" si="69"/>
        <v>0.58988764044943809</v>
      </c>
      <c r="H261" s="44">
        <f t="shared" si="201"/>
        <v>-26.914126219991235</v>
      </c>
      <c r="I261" s="42" t="str">
        <f>I260</f>
        <v>Half</v>
      </c>
      <c r="J261" s="50">
        <f t="shared" ref="J261:K261" si="231">J260</f>
        <v>6</v>
      </c>
      <c r="K261" s="49">
        <f t="shared" si="231"/>
        <v>160</v>
      </c>
      <c r="L261" s="44">
        <f t="shared" si="71"/>
        <v>8</v>
      </c>
      <c r="M261" s="44">
        <f t="shared" si="216"/>
        <v>60</v>
      </c>
      <c r="N261" s="45">
        <f t="shared" si="206"/>
        <v>0.2</v>
      </c>
      <c r="O261" s="49">
        <v>60</v>
      </c>
      <c r="P261" s="44">
        <f t="shared" ref="P261:Q261" si="232">P260</f>
        <v>150</v>
      </c>
      <c r="Q261" s="50">
        <f t="shared" si="232"/>
        <v>210</v>
      </c>
    </row>
    <row r="262" spans="1:17" x14ac:dyDescent="0.25">
      <c r="A262" s="41">
        <f t="shared" ref="A262:B262" si="233">A261+1</f>
        <v>1110</v>
      </c>
      <c r="B262" s="42">
        <f t="shared" si="233"/>
        <v>252</v>
      </c>
      <c r="C262" s="41" t="s">
        <v>2762</v>
      </c>
      <c r="D262" s="43">
        <f t="shared" si="76"/>
        <v>39.9</v>
      </c>
      <c r="E262" s="61">
        <f t="shared" si="67"/>
        <v>4.9735000000000005</v>
      </c>
      <c r="F262" s="61">
        <f t="shared" si="68"/>
        <v>42</v>
      </c>
      <c r="G262" s="64">
        <f t="shared" si="69"/>
        <v>0.58988764044943809</v>
      </c>
      <c r="H262" s="44">
        <f t="shared" si="201"/>
        <v>-26.914126219991235</v>
      </c>
      <c r="I262" s="42" t="str">
        <f>I261</f>
        <v>Half</v>
      </c>
      <c r="J262" s="50">
        <f t="shared" ref="J262:K262" si="234">J261</f>
        <v>6</v>
      </c>
      <c r="K262" s="49">
        <f t="shared" si="234"/>
        <v>160</v>
      </c>
      <c r="L262" s="44">
        <f t="shared" si="71"/>
        <v>8</v>
      </c>
      <c r="M262" s="44">
        <f t="shared" si="216"/>
        <v>60</v>
      </c>
      <c r="N262" s="45">
        <f t="shared" si="206"/>
        <v>0.2</v>
      </c>
      <c r="O262" s="49">
        <v>90</v>
      </c>
      <c r="P262" s="44">
        <f t="shared" ref="P262:Q262" si="235">P261</f>
        <v>150</v>
      </c>
      <c r="Q262" s="50">
        <f t="shared" si="235"/>
        <v>210</v>
      </c>
    </row>
    <row r="263" spans="1:17" x14ac:dyDescent="0.25">
      <c r="A263" s="41">
        <f t="shared" ref="A263:B263" si="236">A262+1</f>
        <v>1111</v>
      </c>
      <c r="B263" s="42">
        <f t="shared" si="236"/>
        <v>253</v>
      </c>
      <c r="C263" s="41" t="s">
        <v>2763</v>
      </c>
      <c r="D263" s="43">
        <f t="shared" si="76"/>
        <v>39.9</v>
      </c>
      <c r="E263" s="61">
        <f t="shared" si="67"/>
        <v>4.9735000000000005</v>
      </c>
      <c r="F263" s="61">
        <f t="shared" si="68"/>
        <v>42</v>
      </c>
      <c r="G263" s="64">
        <f t="shared" si="69"/>
        <v>0.58988764044943809</v>
      </c>
      <c r="H263" s="44">
        <f t="shared" si="201"/>
        <v>-26.914126219991235</v>
      </c>
      <c r="I263" s="42" t="str">
        <f t="shared" ref="I263:K263" si="237">I262</f>
        <v>Half</v>
      </c>
      <c r="J263" s="50">
        <f t="shared" si="237"/>
        <v>6</v>
      </c>
      <c r="K263" s="49">
        <f t="shared" si="237"/>
        <v>160</v>
      </c>
      <c r="L263" s="44">
        <f t="shared" si="71"/>
        <v>8</v>
      </c>
      <c r="M263" s="44">
        <f t="shared" si="216"/>
        <v>90</v>
      </c>
      <c r="N263" s="45">
        <f t="shared" si="206"/>
        <v>0.2</v>
      </c>
      <c r="O263" s="49">
        <v>0</v>
      </c>
      <c r="P263" s="44">
        <f t="shared" ref="P263:Q263" si="238">P262</f>
        <v>150</v>
      </c>
      <c r="Q263" s="50">
        <f t="shared" si="238"/>
        <v>210</v>
      </c>
    </row>
    <row r="264" spans="1:17" x14ac:dyDescent="0.25">
      <c r="A264" s="41">
        <f t="shared" ref="A264:B264" si="239">A263+1</f>
        <v>1112</v>
      </c>
      <c r="B264" s="42">
        <f t="shared" si="239"/>
        <v>254</v>
      </c>
      <c r="C264" s="41" t="s">
        <v>2764</v>
      </c>
      <c r="D264" s="43">
        <f t="shared" si="76"/>
        <v>39.9</v>
      </c>
      <c r="E264" s="61">
        <f t="shared" si="67"/>
        <v>4.9735000000000005</v>
      </c>
      <c r="F264" s="61">
        <f t="shared" si="68"/>
        <v>42</v>
      </c>
      <c r="G264" s="64">
        <f t="shared" si="69"/>
        <v>0.58988764044943809</v>
      </c>
      <c r="H264" s="44">
        <f t="shared" si="201"/>
        <v>-26.914126219991235</v>
      </c>
      <c r="I264" s="42" t="str">
        <f t="shared" ref="I264:K264" si="240">I263</f>
        <v>Half</v>
      </c>
      <c r="J264" s="50">
        <f t="shared" si="240"/>
        <v>6</v>
      </c>
      <c r="K264" s="49">
        <f t="shared" si="240"/>
        <v>160</v>
      </c>
      <c r="L264" s="44">
        <f t="shared" si="71"/>
        <v>8</v>
      </c>
      <c r="M264" s="44">
        <f t="shared" si="216"/>
        <v>90</v>
      </c>
      <c r="N264" s="45">
        <f t="shared" si="206"/>
        <v>0.2</v>
      </c>
      <c r="O264" s="49">
        <v>30</v>
      </c>
      <c r="P264" s="44">
        <f t="shared" ref="P264:Q264" si="241">P263</f>
        <v>150</v>
      </c>
      <c r="Q264" s="50">
        <f t="shared" si="241"/>
        <v>210</v>
      </c>
    </row>
    <row r="265" spans="1:17" x14ac:dyDescent="0.25">
      <c r="A265" s="41">
        <f t="shared" ref="A265:B265" si="242">A264+1</f>
        <v>1113</v>
      </c>
      <c r="B265" s="42">
        <f t="shared" si="242"/>
        <v>255</v>
      </c>
      <c r="C265" s="41" t="s">
        <v>2765</v>
      </c>
      <c r="D265" s="43">
        <f t="shared" si="76"/>
        <v>39.9</v>
      </c>
      <c r="E265" s="61">
        <f t="shared" si="67"/>
        <v>4.9735000000000005</v>
      </c>
      <c r="F265" s="61">
        <f t="shared" si="68"/>
        <v>42</v>
      </c>
      <c r="G265" s="64">
        <f t="shared" si="69"/>
        <v>0.58988764044943809</v>
      </c>
      <c r="H265" s="44">
        <f t="shared" si="201"/>
        <v>-26.914126219991235</v>
      </c>
      <c r="I265" s="42" t="str">
        <f t="shared" ref="I265:K265" si="243">I264</f>
        <v>Half</v>
      </c>
      <c r="J265" s="50">
        <f t="shared" si="243"/>
        <v>6</v>
      </c>
      <c r="K265" s="49">
        <f t="shared" si="243"/>
        <v>160</v>
      </c>
      <c r="L265" s="44">
        <f t="shared" si="71"/>
        <v>8</v>
      </c>
      <c r="M265" s="44">
        <f t="shared" si="216"/>
        <v>90</v>
      </c>
      <c r="N265" s="45">
        <f t="shared" si="206"/>
        <v>0.2</v>
      </c>
      <c r="O265" s="49">
        <v>60</v>
      </c>
      <c r="P265" s="44">
        <f t="shared" ref="P265:Q265" si="244">P264</f>
        <v>150</v>
      </c>
      <c r="Q265" s="50">
        <f t="shared" si="244"/>
        <v>210</v>
      </c>
    </row>
    <row r="266" spans="1:17" x14ac:dyDescent="0.25">
      <c r="A266" s="41">
        <f t="shared" ref="A266:B266" si="245">A265+1</f>
        <v>1114</v>
      </c>
      <c r="B266" s="42">
        <f t="shared" si="245"/>
        <v>256</v>
      </c>
      <c r="C266" s="41" t="s">
        <v>2766</v>
      </c>
      <c r="D266" s="43">
        <f t="shared" si="76"/>
        <v>39.9</v>
      </c>
      <c r="E266" s="61">
        <f t="shared" si="67"/>
        <v>4.9735000000000005</v>
      </c>
      <c r="F266" s="61">
        <f t="shared" si="68"/>
        <v>42</v>
      </c>
      <c r="G266" s="64">
        <f t="shared" si="69"/>
        <v>0.58988764044943809</v>
      </c>
      <c r="H266" s="44">
        <f t="shared" si="201"/>
        <v>-26.914126219991235</v>
      </c>
      <c r="I266" s="42" t="str">
        <f t="shared" ref="I266:K266" si="246">I265</f>
        <v>Half</v>
      </c>
      <c r="J266" s="50">
        <f t="shared" si="246"/>
        <v>6</v>
      </c>
      <c r="K266" s="49">
        <f t="shared" si="246"/>
        <v>160</v>
      </c>
      <c r="L266" s="44">
        <f t="shared" si="71"/>
        <v>8</v>
      </c>
      <c r="M266" s="44">
        <f t="shared" si="216"/>
        <v>90</v>
      </c>
      <c r="N266" s="45">
        <f t="shared" si="206"/>
        <v>0.2</v>
      </c>
      <c r="O266" s="49">
        <v>90</v>
      </c>
      <c r="P266" s="44">
        <f t="shared" ref="P266:Q266" si="247">P265</f>
        <v>150</v>
      </c>
      <c r="Q266" s="50">
        <f t="shared" si="247"/>
        <v>210</v>
      </c>
    </row>
    <row r="267" spans="1:17" x14ac:dyDescent="0.25">
      <c r="A267" s="41">
        <f t="shared" ref="A267:B267" si="248">A266+1</f>
        <v>1115</v>
      </c>
      <c r="B267" s="42">
        <f t="shared" si="248"/>
        <v>257</v>
      </c>
      <c r="C267" s="41" t="s">
        <v>2767</v>
      </c>
      <c r="D267" s="43">
        <f t="shared" si="76"/>
        <v>39.9</v>
      </c>
      <c r="E267" s="61">
        <f t="shared" ref="E267:E298" si="249">I_ref*(0.75*D267+5.6)</f>
        <v>4.9735000000000005</v>
      </c>
      <c r="F267" s="61">
        <f t="shared" ref="F267:F298" si="250">tur_scale</f>
        <v>42</v>
      </c>
      <c r="G267" s="64">
        <f t="shared" ref="G267:G298" si="251">1/(1+0.2*(diameter/F267))</f>
        <v>0.58988764044943809</v>
      </c>
      <c r="H267" s="44">
        <f t="shared" si="201"/>
        <v>-26.914126219991235</v>
      </c>
      <c r="I267" s="42" t="s">
        <v>12</v>
      </c>
      <c r="J267" s="50">
        <f t="shared" ref="J267:K267" si="252">J266</f>
        <v>6</v>
      </c>
      <c r="K267" s="49">
        <f t="shared" si="252"/>
        <v>160</v>
      </c>
      <c r="L267" s="44">
        <f t="shared" ref="L267:L298" si="253">inflow</f>
        <v>8</v>
      </c>
      <c r="M267" s="44">
        <f t="shared" si="216"/>
        <v>120</v>
      </c>
      <c r="N267" s="45">
        <f t="shared" si="206"/>
        <v>0.2</v>
      </c>
      <c r="O267" s="49">
        <v>0</v>
      </c>
      <c r="P267" s="44">
        <f t="shared" ref="P267:Q267" si="254">P266</f>
        <v>150</v>
      </c>
      <c r="Q267" s="50">
        <f t="shared" si="254"/>
        <v>210</v>
      </c>
    </row>
    <row r="268" spans="1:17" x14ac:dyDescent="0.25">
      <c r="A268" s="41">
        <f t="shared" ref="A268:B268" si="255">A267+1</f>
        <v>1116</v>
      </c>
      <c r="B268" s="42">
        <f t="shared" si="255"/>
        <v>258</v>
      </c>
      <c r="C268" s="41" t="s">
        <v>2768</v>
      </c>
      <c r="D268" s="43">
        <f t="shared" si="76"/>
        <v>39.9</v>
      </c>
      <c r="E268" s="61">
        <f t="shared" si="249"/>
        <v>4.9735000000000005</v>
      </c>
      <c r="F268" s="61">
        <f t="shared" si="250"/>
        <v>42</v>
      </c>
      <c r="G268" s="64">
        <f t="shared" si="251"/>
        <v>0.58988764044943809</v>
      </c>
      <c r="H268" s="44">
        <f t="shared" si="201"/>
        <v>-26.914126219991235</v>
      </c>
      <c r="I268" s="42" t="str">
        <f>I267</f>
        <v>Half</v>
      </c>
      <c r="J268" s="50">
        <f t="shared" ref="J268:K268" si="256">J267</f>
        <v>6</v>
      </c>
      <c r="K268" s="49">
        <f t="shared" si="256"/>
        <v>160</v>
      </c>
      <c r="L268" s="44">
        <f t="shared" si="253"/>
        <v>8</v>
      </c>
      <c r="M268" s="44">
        <f t="shared" si="216"/>
        <v>120</v>
      </c>
      <c r="N268" s="45">
        <f t="shared" si="206"/>
        <v>0.2</v>
      </c>
      <c r="O268" s="49">
        <v>30</v>
      </c>
      <c r="P268" s="44">
        <f t="shared" ref="P268:Q268" si="257">P267</f>
        <v>150</v>
      </c>
      <c r="Q268" s="50">
        <f t="shared" si="257"/>
        <v>210</v>
      </c>
    </row>
    <row r="269" spans="1:17" x14ac:dyDescent="0.25">
      <c r="A269" s="41">
        <f t="shared" ref="A269:B269" si="258">A268+1</f>
        <v>1117</v>
      </c>
      <c r="B269" s="42">
        <f t="shared" si="258"/>
        <v>259</v>
      </c>
      <c r="C269" s="41" t="s">
        <v>2769</v>
      </c>
      <c r="D269" s="43">
        <f t="shared" ref="D269:D298" si="259">D268</f>
        <v>39.9</v>
      </c>
      <c r="E269" s="61">
        <f t="shared" si="249"/>
        <v>4.9735000000000005</v>
      </c>
      <c r="F269" s="61">
        <f t="shared" si="250"/>
        <v>42</v>
      </c>
      <c r="G269" s="64">
        <f t="shared" si="251"/>
        <v>0.58988764044943809</v>
      </c>
      <c r="H269" s="44">
        <f t="shared" si="201"/>
        <v>-26.914126219991235</v>
      </c>
      <c r="I269" s="42" t="str">
        <f t="shared" ref="I269:K269" si="260">I268</f>
        <v>Half</v>
      </c>
      <c r="J269" s="50">
        <f t="shared" si="260"/>
        <v>6</v>
      </c>
      <c r="K269" s="49">
        <f t="shared" si="260"/>
        <v>160</v>
      </c>
      <c r="L269" s="44">
        <f t="shared" si="253"/>
        <v>8</v>
      </c>
      <c r="M269" s="44">
        <f t="shared" si="216"/>
        <v>120</v>
      </c>
      <c r="N269" s="45">
        <f t="shared" si="206"/>
        <v>0.2</v>
      </c>
      <c r="O269" s="49">
        <v>60</v>
      </c>
      <c r="P269" s="44">
        <f t="shared" ref="P269:Q269" si="261">P268</f>
        <v>150</v>
      </c>
      <c r="Q269" s="50">
        <f t="shared" si="261"/>
        <v>210</v>
      </c>
    </row>
    <row r="270" spans="1:17" x14ac:dyDescent="0.25">
      <c r="A270" s="41">
        <f t="shared" ref="A270:B270" si="262">A269+1</f>
        <v>1118</v>
      </c>
      <c r="B270" s="42">
        <f t="shared" si="262"/>
        <v>260</v>
      </c>
      <c r="C270" s="41" t="s">
        <v>2770</v>
      </c>
      <c r="D270" s="43">
        <f t="shared" si="259"/>
        <v>39.9</v>
      </c>
      <c r="E270" s="61">
        <f t="shared" si="249"/>
        <v>4.9735000000000005</v>
      </c>
      <c r="F270" s="61">
        <f t="shared" si="250"/>
        <v>42</v>
      </c>
      <c r="G270" s="64">
        <f t="shared" si="251"/>
        <v>0.58988764044943809</v>
      </c>
      <c r="H270" s="44">
        <f t="shared" si="201"/>
        <v>-26.914126219991235</v>
      </c>
      <c r="I270" s="42" t="str">
        <f t="shared" ref="I270:K270" si="263">I269</f>
        <v>Half</v>
      </c>
      <c r="J270" s="50">
        <f t="shared" si="263"/>
        <v>6</v>
      </c>
      <c r="K270" s="49">
        <f t="shared" si="263"/>
        <v>160</v>
      </c>
      <c r="L270" s="44">
        <f t="shared" si="253"/>
        <v>8</v>
      </c>
      <c r="M270" s="44">
        <f t="shared" si="216"/>
        <v>120</v>
      </c>
      <c r="N270" s="45">
        <f t="shared" si="206"/>
        <v>0.2</v>
      </c>
      <c r="O270" s="49">
        <v>90</v>
      </c>
      <c r="P270" s="44">
        <f t="shared" ref="P270:Q270" si="264">P269</f>
        <v>150</v>
      </c>
      <c r="Q270" s="50">
        <f t="shared" si="264"/>
        <v>210</v>
      </c>
    </row>
    <row r="271" spans="1:17" x14ac:dyDescent="0.25">
      <c r="A271" s="41">
        <f t="shared" ref="A271:B271" si="265">A270+1</f>
        <v>1119</v>
      </c>
      <c r="B271" s="42">
        <f t="shared" si="265"/>
        <v>261</v>
      </c>
      <c r="C271" s="41" t="s">
        <v>2771</v>
      </c>
      <c r="D271" s="43">
        <f t="shared" si="259"/>
        <v>39.9</v>
      </c>
      <c r="E271" s="61">
        <f t="shared" si="249"/>
        <v>4.9735000000000005</v>
      </c>
      <c r="F271" s="61">
        <f t="shared" si="250"/>
        <v>42</v>
      </c>
      <c r="G271" s="64">
        <f t="shared" si="251"/>
        <v>0.58988764044943809</v>
      </c>
      <c r="H271" s="44">
        <f t="shared" si="201"/>
        <v>-26.914126219991235</v>
      </c>
      <c r="I271" s="42" t="str">
        <f t="shared" ref="I271:K271" si="266">I270</f>
        <v>Half</v>
      </c>
      <c r="J271" s="50">
        <f t="shared" si="266"/>
        <v>6</v>
      </c>
      <c r="K271" s="49">
        <f t="shared" si="266"/>
        <v>160</v>
      </c>
      <c r="L271" s="44">
        <f t="shared" si="253"/>
        <v>8</v>
      </c>
      <c r="M271" s="44">
        <f t="shared" si="216"/>
        <v>150</v>
      </c>
      <c r="N271" s="45">
        <f t="shared" si="206"/>
        <v>0.2</v>
      </c>
      <c r="O271" s="49">
        <v>0</v>
      </c>
      <c r="P271" s="44">
        <f t="shared" ref="P271:Q271" si="267">P270</f>
        <v>150</v>
      </c>
      <c r="Q271" s="50">
        <f t="shared" si="267"/>
        <v>210</v>
      </c>
    </row>
    <row r="272" spans="1:17" x14ac:dyDescent="0.25">
      <c r="A272" s="41">
        <f t="shared" ref="A272:B272" si="268">A271+1</f>
        <v>1120</v>
      </c>
      <c r="B272" s="42">
        <f t="shared" si="268"/>
        <v>262</v>
      </c>
      <c r="C272" s="41" t="s">
        <v>2772</v>
      </c>
      <c r="D272" s="43">
        <f t="shared" si="259"/>
        <v>39.9</v>
      </c>
      <c r="E272" s="61">
        <f t="shared" si="249"/>
        <v>4.9735000000000005</v>
      </c>
      <c r="F272" s="61">
        <f t="shared" si="250"/>
        <v>42</v>
      </c>
      <c r="G272" s="64">
        <f t="shared" si="251"/>
        <v>0.58988764044943809</v>
      </c>
      <c r="H272" s="44">
        <f t="shared" si="201"/>
        <v>-26.914126219991235</v>
      </c>
      <c r="I272" s="42" t="str">
        <f t="shared" ref="I272:K272" si="269">I271</f>
        <v>Half</v>
      </c>
      <c r="J272" s="50">
        <f t="shared" si="269"/>
        <v>6</v>
      </c>
      <c r="K272" s="49">
        <f t="shared" si="269"/>
        <v>160</v>
      </c>
      <c r="L272" s="44">
        <f t="shared" si="253"/>
        <v>8</v>
      </c>
      <c r="M272" s="44">
        <f t="shared" si="216"/>
        <v>150</v>
      </c>
      <c r="N272" s="45">
        <f t="shared" si="206"/>
        <v>0.2</v>
      </c>
      <c r="O272" s="49">
        <v>30</v>
      </c>
      <c r="P272" s="44">
        <f t="shared" ref="P272:Q272" si="270">P271</f>
        <v>150</v>
      </c>
      <c r="Q272" s="50">
        <f t="shared" si="270"/>
        <v>210</v>
      </c>
    </row>
    <row r="273" spans="1:17" x14ac:dyDescent="0.25">
      <c r="A273" s="41">
        <f t="shared" ref="A273:B273" si="271">A272+1</f>
        <v>1121</v>
      </c>
      <c r="B273" s="42">
        <f t="shared" si="271"/>
        <v>263</v>
      </c>
      <c r="C273" s="41" t="s">
        <v>2773</v>
      </c>
      <c r="D273" s="43">
        <f t="shared" si="259"/>
        <v>39.9</v>
      </c>
      <c r="E273" s="61">
        <f t="shared" si="249"/>
        <v>4.9735000000000005</v>
      </c>
      <c r="F273" s="61">
        <f t="shared" si="250"/>
        <v>42</v>
      </c>
      <c r="G273" s="64">
        <f t="shared" si="251"/>
        <v>0.58988764044943809</v>
      </c>
      <c r="H273" s="44">
        <f t="shared" si="201"/>
        <v>-26.914126219991235</v>
      </c>
      <c r="I273" s="42" t="str">
        <f t="shared" ref="I273:K273" si="272">I272</f>
        <v>Half</v>
      </c>
      <c r="J273" s="50">
        <f t="shared" si="272"/>
        <v>6</v>
      </c>
      <c r="K273" s="49">
        <f t="shared" si="272"/>
        <v>160</v>
      </c>
      <c r="L273" s="44">
        <f t="shared" si="253"/>
        <v>8</v>
      </c>
      <c r="M273" s="44">
        <f t="shared" si="216"/>
        <v>150</v>
      </c>
      <c r="N273" s="45">
        <f t="shared" si="206"/>
        <v>0.2</v>
      </c>
      <c r="O273" s="49">
        <v>60</v>
      </c>
      <c r="P273" s="44">
        <f t="shared" ref="P273:Q273" si="273">P272</f>
        <v>150</v>
      </c>
      <c r="Q273" s="50">
        <f t="shared" si="273"/>
        <v>210</v>
      </c>
    </row>
    <row r="274" spans="1:17" x14ac:dyDescent="0.25">
      <c r="A274" s="41">
        <f t="shared" ref="A274:B274" si="274">A273+1</f>
        <v>1122</v>
      </c>
      <c r="B274" s="42">
        <f t="shared" si="274"/>
        <v>264</v>
      </c>
      <c r="C274" s="41" t="s">
        <v>2774</v>
      </c>
      <c r="D274" s="43">
        <f t="shared" si="259"/>
        <v>39.9</v>
      </c>
      <c r="E274" s="61">
        <f t="shared" si="249"/>
        <v>4.9735000000000005</v>
      </c>
      <c r="F274" s="61">
        <f t="shared" si="250"/>
        <v>42</v>
      </c>
      <c r="G274" s="64">
        <f t="shared" si="251"/>
        <v>0.58988764044943809</v>
      </c>
      <c r="H274" s="44">
        <f t="shared" si="201"/>
        <v>-26.914126219991235</v>
      </c>
      <c r="I274" s="42" t="str">
        <f t="shared" ref="I274:K274" si="275">I273</f>
        <v>Half</v>
      </c>
      <c r="J274" s="50">
        <f t="shared" si="275"/>
        <v>6</v>
      </c>
      <c r="K274" s="49">
        <f t="shared" si="275"/>
        <v>160</v>
      </c>
      <c r="L274" s="44">
        <f t="shared" si="253"/>
        <v>8</v>
      </c>
      <c r="M274" s="44">
        <f t="shared" si="216"/>
        <v>150</v>
      </c>
      <c r="N274" s="45">
        <f t="shared" si="206"/>
        <v>0.2</v>
      </c>
      <c r="O274" s="49">
        <v>90</v>
      </c>
      <c r="P274" s="44">
        <f t="shared" ref="P274:Q274" si="276">P273</f>
        <v>150</v>
      </c>
      <c r="Q274" s="50">
        <f t="shared" si="276"/>
        <v>210</v>
      </c>
    </row>
    <row r="275" spans="1:17" x14ac:dyDescent="0.25">
      <c r="A275" s="41">
        <f t="shared" ref="A275:B275" si="277">A274+1</f>
        <v>1123</v>
      </c>
      <c r="B275" s="42">
        <f t="shared" si="277"/>
        <v>265</v>
      </c>
      <c r="C275" s="41" t="s">
        <v>2775</v>
      </c>
      <c r="D275" s="43">
        <f t="shared" si="259"/>
        <v>39.9</v>
      </c>
      <c r="E275" s="61">
        <f t="shared" si="249"/>
        <v>4.9735000000000005</v>
      </c>
      <c r="F275" s="61">
        <f t="shared" si="250"/>
        <v>42</v>
      </c>
      <c r="G275" s="64">
        <f t="shared" si="251"/>
        <v>0.58988764044943809</v>
      </c>
      <c r="H275" s="44">
        <f t="shared" si="201"/>
        <v>-26.914126219991235</v>
      </c>
      <c r="I275" s="42" t="str">
        <f t="shared" ref="I275:K275" si="278">I274</f>
        <v>Half</v>
      </c>
      <c r="J275" s="50">
        <f t="shared" si="278"/>
        <v>6</v>
      </c>
      <c r="K275" s="49">
        <f t="shared" si="278"/>
        <v>160</v>
      </c>
      <c r="L275" s="44">
        <f t="shared" si="253"/>
        <v>8</v>
      </c>
      <c r="M275" s="44">
        <f t="shared" si="216"/>
        <v>180</v>
      </c>
      <c r="N275" s="45">
        <f t="shared" si="206"/>
        <v>0.2</v>
      </c>
      <c r="O275" s="49">
        <v>0</v>
      </c>
      <c r="P275" s="44">
        <f t="shared" ref="P275:Q275" si="279">P274</f>
        <v>150</v>
      </c>
      <c r="Q275" s="50">
        <f t="shared" si="279"/>
        <v>210</v>
      </c>
    </row>
    <row r="276" spans="1:17" x14ac:dyDescent="0.25">
      <c r="A276" s="41">
        <f t="shared" ref="A276:B276" si="280">A275+1</f>
        <v>1124</v>
      </c>
      <c r="B276" s="42">
        <f t="shared" si="280"/>
        <v>266</v>
      </c>
      <c r="C276" s="41" t="s">
        <v>2776</v>
      </c>
      <c r="D276" s="43">
        <f t="shared" si="259"/>
        <v>39.9</v>
      </c>
      <c r="E276" s="61">
        <f t="shared" si="249"/>
        <v>4.9735000000000005</v>
      </c>
      <c r="F276" s="61">
        <f t="shared" si="250"/>
        <v>42</v>
      </c>
      <c r="G276" s="64">
        <f t="shared" si="251"/>
        <v>0.58988764044943809</v>
      </c>
      <c r="H276" s="44">
        <f t="shared" si="201"/>
        <v>-26.914126219991235</v>
      </c>
      <c r="I276" s="42" t="str">
        <f t="shared" ref="I276:K276" si="281">I275</f>
        <v>Half</v>
      </c>
      <c r="J276" s="50">
        <f t="shared" si="281"/>
        <v>6</v>
      </c>
      <c r="K276" s="49">
        <f t="shared" si="281"/>
        <v>160</v>
      </c>
      <c r="L276" s="44">
        <f t="shared" si="253"/>
        <v>8</v>
      </c>
      <c r="M276" s="44">
        <f t="shared" si="216"/>
        <v>180</v>
      </c>
      <c r="N276" s="45">
        <f t="shared" si="206"/>
        <v>0.2</v>
      </c>
      <c r="O276" s="49">
        <v>30</v>
      </c>
      <c r="P276" s="44">
        <f t="shared" ref="P276:Q276" si="282">P275</f>
        <v>150</v>
      </c>
      <c r="Q276" s="50">
        <f t="shared" si="282"/>
        <v>210</v>
      </c>
    </row>
    <row r="277" spans="1:17" x14ac:dyDescent="0.25">
      <c r="A277" s="41">
        <f t="shared" ref="A277:B277" si="283">A276+1</f>
        <v>1125</v>
      </c>
      <c r="B277" s="42">
        <f t="shared" si="283"/>
        <v>267</v>
      </c>
      <c r="C277" s="41" t="s">
        <v>2777</v>
      </c>
      <c r="D277" s="43">
        <f t="shared" si="259"/>
        <v>39.9</v>
      </c>
      <c r="E277" s="61">
        <f t="shared" si="249"/>
        <v>4.9735000000000005</v>
      </c>
      <c r="F277" s="61">
        <f t="shared" si="250"/>
        <v>42</v>
      </c>
      <c r="G277" s="64">
        <f t="shared" si="251"/>
        <v>0.58988764044943809</v>
      </c>
      <c r="H277" s="44">
        <f t="shared" si="201"/>
        <v>-26.914126219991235</v>
      </c>
      <c r="I277" s="42" t="str">
        <f t="shared" ref="I277:K277" si="284">I276</f>
        <v>Half</v>
      </c>
      <c r="J277" s="50">
        <f t="shared" si="284"/>
        <v>6</v>
      </c>
      <c r="K277" s="49">
        <f t="shared" si="284"/>
        <v>160</v>
      </c>
      <c r="L277" s="44">
        <f t="shared" si="253"/>
        <v>8</v>
      </c>
      <c r="M277" s="44">
        <f t="shared" si="216"/>
        <v>180</v>
      </c>
      <c r="N277" s="45">
        <f t="shared" si="206"/>
        <v>0.2</v>
      </c>
      <c r="O277" s="49">
        <v>60</v>
      </c>
      <c r="P277" s="44">
        <f t="shared" ref="P277:Q277" si="285">P276</f>
        <v>150</v>
      </c>
      <c r="Q277" s="50">
        <f t="shared" si="285"/>
        <v>210</v>
      </c>
    </row>
    <row r="278" spans="1:17" x14ac:dyDescent="0.25">
      <c r="A278" s="41">
        <f t="shared" ref="A278:B278" si="286">A277+1</f>
        <v>1126</v>
      </c>
      <c r="B278" s="42">
        <f t="shared" si="286"/>
        <v>268</v>
      </c>
      <c r="C278" s="41" t="s">
        <v>2778</v>
      </c>
      <c r="D278" s="43">
        <f t="shared" si="259"/>
        <v>39.9</v>
      </c>
      <c r="E278" s="61">
        <f t="shared" si="249"/>
        <v>4.9735000000000005</v>
      </c>
      <c r="F278" s="61">
        <f t="shared" si="250"/>
        <v>42</v>
      </c>
      <c r="G278" s="64">
        <f t="shared" si="251"/>
        <v>0.58988764044943809</v>
      </c>
      <c r="H278" s="44">
        <f t="shared" si="201"/>
        <v>-26.914126219991235</v>
      </c>
      <c r="I278" s="42" t="str">
        <f t="shared" ref="I278:K278" si="287">I277</f>
        <v>Half</v>
      </c>
      <c r="J278" s="50">
        <f t="shared" si="287"/>
        <v>6</v>
      </c>
      <c r="K278" s="49">
        <f t="shared" si="287"/>
        <v>160</v>
      </c>
      <c r="L278" s="44">
        <f t="shared" si="253"/>
        <v>8</v>
      </c>
      <c r="M278" s="44">
        <f t="shared" si="216"/>
        <v>180</v>
      </c>
      <c r="N278" s="45">
        <f t="shared" si="206"/>
        <v>0.2</v>
      </c>
      <c r="O278" s="49">
        <v>90</v>
      </c>
      <c r="P278" s="44">
        <f t="shared" ref="P278:Q278" si="288">P277</f>
        <v>150</v>
      </c>
      <c r="Q278" s="50">
        <f t="shared" si="288"/>
        <v>210</v>
      </c>
    </row>
    <row r="279" spans="1:17" x14ac:dyDescent="0.25">
      <c r="A279" s="41">
        <f t="shared" ref="A279:B279" si="289">A278+1</f>
        <v>1127</v>
      </c>
      <c r="B279" s="42">
        <f t="shared" si="289"/>
        <v>269</v>
      </c>
      <c r="C279" s="41" t="s">
        <v>2779</v>
      </c>
      <c r="D279" s="43">
        <f t="shared" si="259"/>
        <v>39.9</v>
      </c>
      <c r="E279" s="61">
        <f t="shared" si="249"/>
        <v>4.9735000000000005</v>
      </c>
      <c r="F279" s="61">
        <f t="shared" si="250"/>
        <v>42</v>
      </c>
      <c r="G279" s="64">
        <f t="shared" si="251"/>
        <v>0.58988764044943809</v>
      </c>
      <c r="H279" s="44">
        <f t="shared" si="201"/>
        <v>-26.914126219991235</v>
      </c>
      <c r="I279" s="42" t="str">
        <f t="shared" ref="I279:K279" si="290">I278</f>
        <v>Half</v>
      </c>
      <c r="J279" s="50">
        <f t="shared" si="290"/>
        <v>6</v>
      </c>
      <c r="K279" s="49">
        <f t="shared" si="290"/>
        <v>160</v>
      </c>
      <c r="L279" s="44">
        <f t="shared" si="253"/>
        <v>8</v>
      </c>
      <c r="M279" s="44">
        <f t="shared" si="216"/>
        <v>210</v>
      </c>
      <c r="N279" s="45">
        <f t="shared" si="206"/>
        <v>0.2</v>
      </c>
      <c r="O279" s="49">
        <v>0</v>
      </c>
      <c r="P279" s="44">
        <f t="shared" ref="P279:Q279" si="291">P278</f>
        <v>150</v>
      </c>
      <c r="Q279" s="50">
        <f t="shared" si="291"/>
        <v>210</v>
      </c>
    </row>
    <row r="280" spans="1:17" x14ac:dyDescent="0.25">
      <c r="A280" s="41">
        <f t="shared" ref="A280:B280" si="292">A279+1</f>
        <v>1128</v>
      </c>
      <c r="B280" s="42">
        <f t="shared" si="292"/>
        <v>270</v>
      </c>
      <c r="C280" s="41" t="s">
        <v>2780</v>
      </c>
      <c r="D280" s="43">
        <f t="shared" si="259"/>
        <v>39.9</v>
      </c>
      <c r="E280" s="61">
        <f t="shared" si="249"/>
        <v>4.9735000000000005</v>
      </c>
      <c r="F280" s="61">
        <f t="shared" si="250"/>
        <v>42</v>
      </c>
      <c r="G280" s="64">
        <f t="shared" si="251"/>
        <v>0.58988764044943809</v>
      </c>
      <c r="H280" s="44">
        <f t="shared" si="201"/>
        <v>-26.914126219991235</v>
      </c>
      <c r="I280" s="42" t="str">
        <f t="shared" ref="I280:K280" si="293">I279</f>
        <v>Half</v>
      </c>
      <c r="J280" s="50">
        <f t="shared" si="293"/>
        <v>6</v>
      </c>
      <c r="K280" s="49">
        <f t="shared" si="293"/>
        <v>160</v>
      </c>
      <c r="L280" s="44">
        <f t="shared" si="253"/>
        <v>8</v>
      </c>
      <c r="M280" s="44">
        <f t="shared" si="216"/>
        <v>210</v>
      </c>
      <c r="N280" s="45">
        <f t="shared" si="206"/>
        <v>0.2</v>
      </c>
      <c r="O280" s="49">
        <v>30</v>
      </c>
      <c r="P280" s="44">
        <f t="shared" ref="P280:Q280" si="294">P279</f>
        <v>150</v>
      </c>
      <c r="Q280" s="50">
        <f t="shared" si="294"/>
        <v>210</v>
      </c>
    </row>
    <row r="281" spans="1:17" x14ac:dyDescent="0.25">
      <c r="A281" s="41">
        <f t="shared" ref="A281:B281" si="295">A280+1</f>
        <v>1129</v>
      </c>
      <c r="B281" s="42">
        <f t="shared" si="295"/>
        <v>271</v>
      </c>
      <c r="C281" s="41" t="s">
        <v>2781</v>
      </c>
      <c r="D281" s="43">
        <f t="shared" si="259"/>
        <v>39.9</v>
      </c>
      <c r="E281" s="61">
        <f t="shared" si="249"/>
        <v>4.9735000000000005</v>
      </c>
      <c r="F281" s="61">
        <f t="shared" si="250"/>
        <v>42</v>
      </c>
      <c r="G281" s="64">
        <f t="shared" si="251"/>
        <v>0.58988764044943809</v>
      </c>
      <c r="H281" s="44">
        <f t="shared" si="201"/>
        <v>-26.914126219991235</v>
      </c>
      <c r="I281" s="42" t="str">
        <f t="shared" ref="I281:K281" si="296">I280</f>
        <v>Half</v>
      </c>
      <c r="J281" s="50">
        <f t="shared" si="296"/>
        <v>6</v>
      </c>
      <c r="K281" s="49">
        <f t="shared" si="296"/>
        <v>160</v>
      </c>
      <c r="L281" s="44">
        <f t="shared" si="253"/>
        <v>8</v>
      </c>
      <c r="M281" s="44">
        <f t="shared" si="216"/>
        <v>210</v>
      </c>
      <c r="N281" s="45">
        <f t="shared" si="206"/>
        <v>0.2</v>
      </c>
      <c r="O281" s="49">
        <v>60</v>
      </c>
      <c r="P281" s="44">
        <f t="shared" ref="P281:Q281" si="297">P280</f>
        <v>150</v>
      </c>
      <c r="Q281" s="50">
        <f t="shared" si="297"/>
        <v>210</v>
      </c>
    </row>
    <row r="282" spans="1:17" x14ac:dyDescent="0.25">
      <c r="A282" s="41">
        <f t="shared" ref="A282:B282" si="298">A281+1</f>
        <v>1130</v>
      </c>
      <c r="B282" s="42">
        <f t="shared" si="298"/>
        <v>272</v>
      </c>
      <c r="C282" s="41" t="s">
        <v>2782</v>
      </c>
      <c r="D282" s="43">
        <f t="shared" si="259"/>
        <v>39.9</v>
      </c>
      <c r="E282" s="61">
        <f t="shared" si="249"/>
        <v>4.9735000000000005</v>
      </c>
      <c r="F282" s="61">
        <f t="shared" si="250"/>
        <v>42</v>
      </c>
      <c r="G282" s="64">
        <f t="shared" si="251"/>
        <v>0.58988764044943809</v>
      </c>
      <c r="H282" s="44">
        <f t="shared" si="201"/>
        <v>-26.914126219991235</v>
      </c>
      <c r="I282" s="42" t="str">
        <f t="shared" ref="I282:K282" si="299">I281</f>
        <v>Half</v>
      </c>
      <c r="J282" s="50">
        <f t="shared" si="299"/>
        <v>6</v>
      </c>
      <c r="K282" s="49">
        <f t="shared" si="299"/>
        <v>160</v>
      </c>
      <c r="L282" s="44">
        <f t="shared" si="253"/>
        <v>8</v>
      </c>
      <c r="M282" s="44">
        <f t="shared" si="216"/>
        <v>210</v>
      </c>
      <c r="N282" s="45">
        <f t="shared" si="206"/>
        <v>0.2</v>
      </c>
      <c r="O282" s="49">
        <v>90</v>
      </c>
      <c r="P282" s="44">
        <f t="shared" ref="P282:Q282" si="300">P281</f>
        <v>150</v>
      </c>
      <c r="Q282" s="50">
        <f t="shared" si="300"/>
        <v>210</v>
      </c>
    </row>
    <row r="283" spans="1:17" x14ac:dyDescent="0.25">
      <c r="A283" s="41">
        <f t="shared" ref="A283:B283" si="301">A282+1</f>
        <v>1131</v>
      </c>
      <c r="B283" s="42">
        <f t="shared" si="301"/>
        <v>273</v>
      </c>
      <c r="C283" s="41" t="s">
        <v>2783</v>
      </c>
      <c r="D283" s="43">
        <f t="shared" si="259"/>
        <v>39.9</v>
      </c>
      <c r="E283" s="61">
        <f t="shared" si="249"/>
        <v>4.9735000000000005</v>
      </c>
      <c r="F283" s="61">
        <f t="shared" si="250"/>
        <v>42</v>
      </c>
      <c r="G283" s="64">
        <f t="shared" si="251"/>
        <v>0.58988764044943809</v>
      </c>
      <c r="H283" s="44">
        <f t="shared" si="201"/>
        <v>-26.914126219991235</v>
      </c>
      <c r="I283" s="42" t="s">
        <v>12</v>
      </c>
      <c r="J283" s="50">
        <f t="shared" ref="J283:K283" si="302">J282</f>
        <v>6</v>
      </c>
      <c r="K283" s="49">
        <f t="shared" si="302"/>
        <v>160</v>
      </c>
      <c r="L283" s="44">
        <f t="shared" si="253"/>
        <v>8</v>
      </c>
      <c r="M283" s="44">
        <f t="shared" si="216"/>
        <v>240</v>
      </c>
      <c r="N283" s="45">
        <f t="shared" si="206"/>
        <v>0.2</v>
      </c>
      <c r="O283" s="49">
        <v>0</v>
      </c>
      <c r="P283" s="44">
        <f t="shared" ref="P283:Q283" si="303">P282</f>
        <v>150</v>
      </c>
      <c r="Q283" s="50">
        <f t="shared" si="303"/>
        <v>210</v>
      </c>
    </row>
    <row r="284" spans="1:17" x14ac:dyDescent="0.25">
      <c r="A284" s="41">
        <f t="shared" ref="A284:B284" si="304">A283+1</f>
        <v>1132</v>
      </c>
      <c r="B284" s="42">
        <f t="shared" si="304"/>
        <v>274</v>
      </c>
      <c r="C284" s="41" t="s">
        <v>2784</v>
      </c>
      <c r="D284" s="43">
        <f t="shared" si="259"/>
        <v>39.9</v>
      </c>
      <c r="E284" s="61">
        <f t="shared" si="249"/>
        <v>4.9735000000000005</v>
      </c>
      <c r="F284" s="61">
        <f t="shared" si="250"/>
        <v>42</v>
      </c>
      <c r="G284" s="64">
        <f t="shared" si="251"/>
        <v>0.58988764044943809</v>
      </c>
      <c r="H284" s="44">
        <f t="shared" si="201"/>
        <v>-26.914126219991235</v>
      </c>
      <c r="I284" s="42" t="str">
        <f>I283</f>
        <v>Half</v>
      </c>
      <c r="J284" s="50">
        <f t="shared" ref="J284:K284" si="305">J283</f>
        <v>6</v>
      </c>
      <c r="K284" s="49">
        <f t="shared" si="305"/>
        <v>160</v>
      </c>
      <c r="L284" s="44">
        <f t="shared" si="253"/>
        <v>8</v>
      </c>
      <c r="M284" s="44">
        <f t="shared" si="216"/>
        <v>240</v>
      </c>
      <c r="N284" s="45">
        <f t="shared" si="206"/>
        <v>0.2</v>
      </c>
      <c r="O284" s="49">
        <v>30</v>
      </c>
      <c r="P284" s="44">
        <f t="shared" ref="P284:Q284" si="306">P283</f>
        <v>150</v>
      </c>
      <c r="Q284" s="50">
        <f t="shared" si="306"/>
        <v>210</v>
      </c>
    </row>
    <row r="285" spans="1:17" x14ac:dyDescent="0.25">
      <c r="A285" s="41">
        <f t="shared" ref="A285:B285" si="307">A284+1</f>
        <v>1133</v>
      </c>
      <c r="B285" s="42">
        <f t="shared" si="307"/>
        <v>275</v>
      </c>
      <c r="C285" s="41" t="s">
        <v>2785</v>
      </c>
      <c r="D285" s="43">
        <f t="shared" si="259"/>
        <v>39.9</v>
      </c>
      <c r="E285" s="61">
        <f t="shared" si="249"/>
        <v>4.9735000000000005</v>
      </c>
      <c r="F285" s="61">
        <f t="shared" si="250"/>
        <v>42</v>
      </c>
      <c r="G285" s="64">
        <f t="shared" si="251"/>
        <v>0.58988764044943809</v>
      </c>
      <c r="H285" s="44">
        <f t="shared" si="201"/>
        <v>-26.914126219991235</v>
      </c>
      <c r="I285" s="42" t="str">
        <f t="shared" ref="I285:K285" si="308">I284</f>
        <v>Half</v>
      </c>
      <c r="J285" s="50">
        <f t="shared" si="308"/>
        <v>6</v>
      </c>
      <c r="K285" s="49">
        <f t="shared" si="308"/>
        <v>160</v>
      </c>
      <c r="L285" s="44">
        <f t="shared" si="253"/>
        <v>8</v>
      </c>
      <c r="M285" s="44">
        <f t="shared" si="216"/>
        <v>240</v>
      </c>
      <c r="N285" s="45">
        <f t="shared" si="206"/>
        <v>0.2</v>
      </c>
      <c r="O285" s="49">
        <v>60</v>
      </c>
      <c r="P285" s="44">
        <f t="shared" ref="P285:Q285" si="309">P284</f>
        <v>150</v>
      </c>
      <c r="Q285" s="50">
        <f t="shared" si="309"/>
        <v>210</v>
      </c>
    </row>
    <row r="286" spans="1:17" x14ac:dyDescent="0.25">
      <c r="A286" s="41">
        <f t="shared" ref="A286:B286" si="310">A285+1</f>
        <v>1134</v>
      </c>
      <c r="B286" s="42">
        <f t="shared" si="310"/>
        <v>276</v>
      </c>
      <c r="C286" s="41" t="s">
        <v>2786</v>
      </c>
      <c r="D286" s="43">
        <f t="shared" si="259"/>
        <v>39.9</v>
      </c>
      <c r="E286" s="61">
        <f t="shared" si="249"/>
        <v>4.9735000000000005</v>
      </c>
      <c r="F286" s="61">
        <f t="shared" si="250"/>
        <v>42</v>
      </c>
      <c r="G286" s="64">
        <f t="shared" si="251"/>
        <v>0.58988764044943809</v>
      </c>
      <c r="H286" s="44">
        <f t="shared" si="201"/>
        <v>-26.914126219991235</v>
      </c>
      <c r="I286" s="42" t="str">
        <f t="shared" ref="I286:K286" si="311">I285</f>
        <v>Half</v>
      </c>
      <c r="J286" s="50">
        <f t="shared" si="311"/>
        <v>6</v>
      </c>
      <c r="K286" s="49">
        <f t="shared" si="311"/>
        <v>160</v>
      </c>
      <c r="L286" s="44">
        <f t="shared" si="253"/>
        <v>8</v>
      </c>
      <c r="M286" s="44">
        <f t="shared" si="216"/>
        <v>240</v>
      </c>
      <c r="N286" s="45">
        <f t="shared" si="206"/>
        <v>0.2</v>
      </c>
      <c r="O286" s="49">
        <v>90</v>
      </c>
      <c r="P286" s="44">
        <f t="shared" ref="P286:Q286" si="312">P285</f>
        <v>150</v>
      </c>
      <c r="Q286" s="50">
        <f t="shared" si="312"/>
        <v>210</v>
      </c>
    </row>
    <row r="287" spans="1:17" x14ac:dyDescent="0.25">
      <c r="A287" s="41">
        <f t="shared" ref="A287:B287" si="313">A286+1</f>
        <v>1135</v>
      </c>
      <c r="B287" s="42">
        <f t="shared" si="313"/>
        <v>277</v>
      </c>
      <c r="C287" s="41" t="s">
        <v>2787</v>
      </c>
      <c r="D287" s="43">
        <f t="shared" si="259"/>
        <v>39.9</v>
      </c>
      <c r="E287" s="61">
        <f t="shared" si="249"/>
        <v>4.9735000000000005</v>
      </c>
      <c r="F287" s="61">
        <f t="shared" si="250"/>
        <v>42</v>
      </c>
      <c r="G287" s="64">
        <f t="shared" si="251"/>
        <v>0.58988764044943809</v>
      </c>
      <c r="H287" s="44">
        <f t="shared" si="201"/>
        <v>-26.914126219991235</v>
      </c>
      <c r="I287" s="42" t="str">
        <f t="shared" ref="I287:K287" si="314">I286</f>
        <v>Half</v>
      </c>
      <c r="J287" s="50">
        <f t="shared" si="314"/>
        <v>6</v>
      </c>
      <c r="K287" s="49">
        <f t="shared" si="314"/>
        <v>160</v>
      </c>
      <c r="L287" s="44">
        <f t="shared" si="253"/>
        <v>8</v>
      </c>
      <c r="M287" s="44">
        <f t="shared" si="216"/>
        <v>270</v>
      </c>
      <c r="N287" s="45">
        <f t="shared" si="206"/>
        <v>0.2</v>
      </c>
      <c r="O287" s="49">
        <v>0</v>
      </c>
      <c r="P287" s="44">
        <f t="shared" ref="P287:Q287" si="315">P286</f>
        <v>150</v>
      </c>
      <c r="Q287" s="50">
        <f t="shared" si="315"/>
        <v>210</v>
      </c>
    </row>
    <row r="288" spans="1:17" x14ac:dyDescent="0.25">
      <c r="A288" s="41">
        <f t="shared" ref="A288:B288" si="316">A287+1</f>
        <v>1136</v>
      </c>
      <c r="B288" s="42">
        <f t="shared" si="316"/>
        <v>278</v>
      </c>
      <c r="C288" s="41" t="s">
        <v>2788</v>
      </c>
      <c r="D288" s="43">
        <f t="shared" si="259"/>
        <v>39.9</v>
      </c>
      <c r="E288" s="61">
        <f t="shared" si="249"/>
        <v>4.9735000000000005</v>
      </c>
      <c r="F288" s="61">
        <f t="shared" si="250"/>
        <v>42</v>
      </c>
      <c r="G288" s="64">
        <f t="shared" si="251"/>
        <v>0.58988764044943809</v>
      </c>
      <c r="H288" s="44">
        <f t="shared" si="201"/>
        <v>-26.914126219991235</v>
      </c>
      <c r="I288" s="42" t="str">
        <f t="shared" ref="I288:K288" si="317">I287</f>
        <v>Half</v>
      </c>
      <c r="J288" s="50">
        <f t="shared" si="317"/>
        <v>6</v>
      </c>
      <c r="K288" s="49">
        <f t="shared" si="317"/>
        <v>160</v>
      </c>
      <c r="L288" s="44">
        <f t="shared" si="253"/>
        <v>8</v>
      </c>
      <c r="M288" s="44">
        <f t="shared" si="216"/>
        <v>270</v>
      </c>
      <c r="N288" s="45">
        <f t="shared" si="206"/>
        <v>0.2</v>
      </c>
      <c r="O288" s="49">
        <v>30</v>
      </c>
      <c r="P288" s="44">
        <f t="shared" ref="P288:Q288" si="318">P287</f>
        <v>150</v>
      </c>
      <c r="Q288" s="50">
        <f t="shared" si="318"/>
        <v>210</v>
      </c>
    </row>
    <row r="289" spans="1:17" x14ac:dyDescent="0.25">
      <c r="A289" s="41">
        <f t="shared" ref="A289:B289" si="319">A288+1</f>
        <v>1137</v>
      </c>
      <c r="B289" s="42">
        <f t="shared" si="319"/>
        <v>279</v>
      </c>
      <c r="C289" s="41" t="s">
        <v>2789</v>
      </c>
      <c r="D289" s="43">
        <f t="shared" si="259"/>
        <v>39.9</v>
      </c>
      <c r="E289" s="61">
        <f t="shared" si="249"/>
        <v>4.9735000000000005</v>
      </c>
      <c r="F289" s="61">
        <f t="shared" si="250"/>
        <v>42</v>
      </c>
      <c r="G289" s="64">
        <f t="shared" si="251"/>
        <v>0.58988764044943809</v>
      </c>
      <c r="H289" s="44">
        <f t="shared" si="201"/>
        <v>-26.914126219991235</v>
      </c>
      <c r="I289" s="42" t="str">
        <f t="shared" ref="I289:K289" si="320">I288</f>
        <v>Half</v>
      </c>
      <c r="J289" s="50">
        <f t="shared" si="320"/>
        <v>6</v>
      </c>
      <c r="K289" s="49">
        <f t="shared" si="320"/>
        <v>160</v>
      </c>
      <c r="L289" s="44">
        <f t="shared" si="253"/>
        <v>8</v>
      </c>
      <c r="M289" s="44">
        <f t="shared" si="216"/>
        <v>270</v>
      </c>
      <c r="N289" s="45">
        <f t="shared" si="206"/>
        <v>0.2</v>
      </c>
      <c r="O289" s="49">
        <v>60</v>
      </c>
      <c r="P289" s="44">
        <f t="shared" ref="P289:Q289" si="321">P288</f>
        <v>150</v>
      </c>
      <c r="Q289" s="50">
        <f t="shared" si="321"/>
        <v>210</v>
      </c>
    </row>
    <row r="290" spans="1:17" x14ac:dyDescent="0.25">
      <c r="A290" s="41">
        <f t="shared" ref="A290:B290" si="322">A289+1</f>
        <v>1138</v>
      </c>
      <c r="B290" s="42">
        <f t="shared" si="322"/>
        <v>280</v>
      </c>
      <c r="C290" s="41" t="s">
        <v>2790</v>
      </c>
      <c r="D290" s="43">
        <f t="shared" si="259"/>
        <v>39.9</v>
      </c>
      <c r="E290" s="61">
        <f t="shared" si="249"/>
        <v>4.9735000000000005</v>
      </c>
      <c r="F290" s="61">
        <f t="shared" si="250"/>
        <v>42</v>
      </c>
      <c r="G290" s="64">
        <f t="shared" si="251"/>
        <v>0.58988764044943809</v>
      </c>
      <c r="H290" s="44">
        <f t="shared" si="201"/>
        <v>-26.914126219991235</v>
      </c>
      <c r="I290" s="42" t="str">
        <f t="shared" ref="I290:K290" si="323">I289</f>
        <v>Half</v>
      </c>
      <c r="J290" s="50">
        <f t="shared" si="323"/>
        <v>6</v>
      </c>
      <c r="K290" s="49">
        <f t="shared" si="323"/>
        <v>160</v>
      </c>
      <c r="L290" s="44">
        <f t="shared" si="253"/>
        <v>8</v>
      </c>
      <c r="M290" s="44">
        <f t="shared" si="216"/>
        <v>270</v>
      </c>
      <c r="N290" s="45">
        <f t="shared" si="206"/>
        <v>0.2</v>
      </c>
      <c r="O290" s="49">
        <v>90</v>
      </c>
      <c r="P290" s="44">
        <f t="shared" ref="P290:Q290" si="324">P289</f>
        <v>150</v>
      </c>
      <c r="Q290" s="50">
        <f t="shared" si="324"/>
        <v>210</v>
      </c>
    </row>
    <row r="291" spans="1:17" x14ac:dyDescent="0.25">
      <c r="A291" s="41">
        <f t="shared" ref="A291:B291" si="325">A290+1</f>
        <v>1139</v>
      </c>
      <c r="B291" s="42">
        <f t="shared" si="325"/>
        <v>281</v>
      </c>
      <c r="C291" s="41" t="s">
        <v>2791</v>
      </c>
      <c r="D291" s="43">
        <f t="shared" si="259"/>
        <v>39.9</v>
      </c>
      <c r="E291" s="61">
        <f t="shared" si="249"/>
        <v>4.9735000000000005</v>
      </c>
      <c r="F291" s="61">
        <f t="shared" si="250"/>
        <v>42</v>
      </c>
      <c r="G291" s="64">
        <f t="shared" si="251"/>
        <v>0.58988764044943809</v>
      </c>
      <c r="H291" s="44">
        <f t="shared" si="201"/>
        <v>-26.914126219991235</v>
      </c>
      <c r="I291" s="42" t="str">
        <f t="shared" ref="I291:K291" si="326">I290</f>
        <v>Half</v>
      </c>
      <c r="J291" s="50">
        <f t="shared" si="326"/>
        <v>6</v>
      </c>
      <c r="K291" s="49">
        <f t="shared" si="326"/>
        <v>160</v>
      </c>
      <c r="L291" s="44">
        <f t="shared" si="253"/>
        <v>8</v>
      </c>
      <c r="M291" s="44">
        <f t="shared" si="216"/>
        <v>300</v>
      </c>
      <c r="N291" s="45">
        <f t="shared" si="206"/>
        <v>0.2</v>
      </c>
      <c r="O291" s="49">
        <v>0</v>
      </c>
      <c r="P291" s="44">
        <f t="shared" ref="P291:Q291" si="327">P290</f>
        <v>150</v>
      </c>
      <c r="Q291" s="50">
        <f t="shared" si="327"/>
        <v>210</v>
      </c>
    </row>
    <row r="292" spans="1:17" x14ac:dyDescent="0.25">
      <c r="A292" s="41">
        <f t="shared" ref="A292:B292" si="328">A291+1</f>
        <v>1140</v>
      </c>
      <c r="B292" s="42">
        <f t="shared" si="328"/>
        <v>282</v>
      </c>
      <c r="C292" s="41" t="s">
        <v>2792</v>
      </c>
      <c r="D292" s="43">
        <f t="shared" si="259"/>
        <v>39.9</v>
      </c>
      <c r="E292" s="61">
        <f t="shared" si="249"/>
        <v>4.9735000000000005</v>
      </c>
      <c r="F292" s="61">
        <f t="shared" si="250"/>
        <v>42</v>
      </c>
      <c r="G292" s="64">
        <f t="shared" si="251"/>
        <v>0.58988764044943809</v>
      </c>
      <c r="H292" s="44">
        <f t="shared" si="201"/>
        <v>-26.914126219991235</v>
      </c>
      <c r="I292" s="42" t="str">
        <f t="shared" ref="I292:K292" si="329">I291</f>
        <v>Half</v>
      </c>
      <c r="J292" s="50">
        <f t="shared" si="329"/>
        <v>6</v>
      </c>
      <c r="K292" s="49">
        <f t="shared" si="329"/>
        <v>160</v>
      </c>
      <c r="L292" s="44">
        <f t="shared" si="253"/>
        <v>8</v>
      </c>
      <c r="M292" s="44">
        <f t="shared" si="216"/>
        <v>300</v>
      </c>
      <c r="N292" s="45">
        <f t="shared" si="206"/>
        <v>0.2</v>
      </c>
      <c r="O292" s="49">
        <v>30</v>
      </c>
      <c r="P292" s="44">
        <f t="shared" ref="P292:Q292" si="330">P291</f>
        <v>150</v>
      </c>
      <c r="Q292" s="50">
        <f t="shared" si="330"/>
        <v>210</v>
      </c>
    </row>
    <row r="293" spans="1:17" x14ac:dyDescent="0.25">
      <c r="A293" s="41">
        <f t="shared" ref="A293:B293" si="331">A292+1</f>
        <v>1141</v>
      </c>
      <c r="B293" s="42">
        <f t="shared" si="331"/>
        <v>283</v>
      </c>
      <c r="C293" s="41" t="s">
        <v>2793</v>
      </c>
      <c r="D293" s="43">
        <f t="shared" si="259"/>
        <v>39.9</v>
      </c>
      <c r="E293" s="61">
        <f t="shared" si="249"/>
        <v>4.9735000000000005</v>
      </c>
      <c r="F293" s="61">
        <f t="shared" si="250"/>
        <v>42</v>
      </c>
      <c r="G293" s="64">
        <f t="shared" si="251"/>
        <v>0.58988764044943809</v>
      </c>
      <c r="H293" s="44">
        <f t="shared" si="201"/>
        <v>-26.914126219991235</v>
      </c>
      <c r="I293" s="42" t="str">
        <f t="shared" ref="I293:K293" si="332">I292</f>
        <v>Half</v>
      </c>
      <c r="J293" s="50">
        <f t="shared" si="332"/>
        <v>6</v>
      </c>
      <c r="K293" s="49">
        <f t="shared" si="332"/>
        <v>160</v>
      </c>
      <c r="L293" s="44">
        <f t="shared" si="253"/>
        <v>8</v>
      </c>
      <c r="M293" s="44">
        <f t="shared" si="216"/>
        <v>300</v>
      </c>
      <c r="N293" s="45">
        <f t="shared" si="206"/>
        <v>0.2</v>
      </c>
      <c r="O293" s="49">
        <v>60</v>
      </c>
      <c r="P293" s="44">
        <f t="shared" ref="P293:Q293" si="333">P292</f>
        <v>150</v>
      </c>
      <c r="Q293" s="50">
        <f t="shared" si="333"/>
        <v>210</v>
      </c>
    </row>
    <row r="294" spans="1:17" x14ac:dyDescent="0.25">
      <c r="A294" s="41">
        <f t="shared" ref="A294:B294" si="334">A293+1</f>
        <v>1142</v>
      </c>
      <c r="B294" s="42">
        <f t="shared" si="334"/>
        <v>284</v>
      </c>
      <c r="C294" s="41" t="s">
        <v>2794</v>
      </c>
      <c r="D294" s="43">
        <f t="shared" si="259"/>
        <v>39.9</v>
      </c>
      <c r="E294" s="61">
        <f t="shared" si="249"/>
        <v>4.9735000000000005</v>
      </c>
      <c r="F294" s="61">
        <f t="shared" si="250"/>
        <v>42</v>
      </c>
      <c r="G294" s="64">
        <f t="shared" si="251"/>
        <v>0.58988764044943809</v>
      </c>
      <c r="H294" s="44">
        <f t="shared" si="201"/>
        <v>-26.914126219991235</v>
      </c>
      <c r="I294" s="42" t="str">
        <f t="shared" ref="I294:K294" si="335">I293</f>
        <v>Half</v>
      </c>
      <c r="J294" s="50">
        <f t="shared" si="335"/>
        <v>6</v>
      </c>
      <c r="K294" s="49">
        <f t="shared" si="335"/>
        <v>160</v>
      </c>
      <c r="L294" s="44">
        <f t="shared" si="253"/>
        <v>8</v>
      </c>
      <c r="M294" s="44">
        <f>M290+30</f>
        <v>300</v>
      </c>
      <c r="N294" s="45">
        <f t="shared" si="206"/>
        <v>0.2</v>
      </c>
      <c r="O294" s="49">
        <v>90</v>
      </c>
      <c r="P294" s="44">
        <f t="shared" ref="P294:Q294" si="336">P293</f>
        <v>150</v>
      </c>
      <c r="Q294" s="50">
        <f t="shared" si="336"/>
        <v>210</v>
      </c>
    </row>
    <row r="295" spans="1:17" x14ac:dyDescent="0.25">
      <c r="A295" s="41">
        <f t="shared" ref="A295:B295" si="337">A294+1</f>
        <v>1143</v>
      </c>
      <c r="B295" s="42">
        <f t="shared" si="337"/>
        <v>285</v>
      </c>
      <c r="C295" s="41" t="s">
        <v>2795</v>
      </c>
      <c r="D295" s="43">
        <f t="shared" si="259"/>
        <v>39.9</v>
      </c>
      <c r="E295" s="61">
        <f t="shared" si="249"/>
        <v>4.9735000000000005</v>
      </c>
      <c r="F295" s="61">
        <f t="shared" si="250"/>
        <v>42</v>
      </c>
      <c r="G295" s="64">
        <f t="shared" si="251"/>
        <v>0.58988764044943809</v>
      </c>
      <c r="H295" s="44">
        <f t="shared" si="201"/>
        <v>-26.914126219991235</v>
      </c>
      <c r="I295" s="42" t="str">
        <f t="shared" ref="I295:K295" si="338">I294</f>
        <v>Half</v>
      </c>
      <c r="J295" s="50">
        <f t="shared" si="338"/>
        <v>6</v>
      </c>
      <c r="K295" s="49">
        <f t="shared" si="338"/>
        <v>160</v>
      </c>
      <c r="L295" s="44">
        <f t="shared" si="253"/>
        <v>8</v>
      </c>
      <c r="M295" s="44">
        <f t="shared" si="216"/>
        <v>330</v>
      </c>
      <c r="N295" s="45">
        <f t="shared" si="206"/>
        <v>0.2</v>
      </c>
      <c r="O295" s="49">
        <v>0</v>
      </c>
      <c r="P295" s="44">
        <f t="shared" ref="P295:Q295" si="339">P294</f>
        <v>150</v>
      </c>
      <c r="Q295" s="50">
        <f t="shared" si="339"/>
        <v>210</v>
      </c>
    </row>
    <row r="296" spans="1:17" x14ac:dyDescent="0.25">
      <c r="A296" s="41">
        <f t="shared" ref="A296:B296" si="340">A295+1</f>
        <v>1144</v>
      </c>
      <c r="B296" s="42">
        <f t="shared" si="340"/>
        <v>286</v>
      </c>
      <c r="C296" s="41" t="s">
        <v>2796</v>
      </c>
      <c r="D296" s="43">
        <f t="shared" si="259"/>
        <v>39.9</v>
      </c>
      <c r="E296" s="61">
        <f t="shared" si="249"/>
        <v>4.9735000000000005</v>
      </c>
      <c r="F296" s="61">
        <f t="shared" si="250"/>
        <v>42</v>
      </c>
      <c r="G296" s="64">
        <f t="shared" si="251"/>
        <v>0.58988764044943809</v>
      </c>
      <c r="H296" s="44">
        <f t="shared" si="201"/>
        <v>-26.914126219991235</v>
      </c>
      <c r="I296" s="42" t="str">
        <f>I295</f>
        <v>Half</v>
      </c>
      <c r="J296" s="50">
        <f t="shared" ref="J296:K296" si="341">J295</f>
        <v>6</v>
      </c>
      <c r="K296" s="49">
        <f t="shared" si="341"/>
        <v>160</v>
      </c>
      <c r="L296" s="44">
        <f t="shared" si="253"/>
        <v>8</v>
      </c>
      <c r="M296" s="44">
        <f t="shared" si="216"/>
        <v>330</v>
      </c>
      <c r="N296" s="45">
        <f t="shared" si="206"/>
        <v>0.2</v>
      </c>
      <c r="O296" s="49">
        <v>30</v>
      </c>
      <c r="P296" s="44">
        <f t="shared" ref="P296:Q296" si="342">P295</f>
        <v>150</v>
      </c>
      <c r="Q296" s="50">
        <f t="shared" si="342"/>
        <v>210</v>
      </c>
    </row>
    <row r="297" spans="1:17" x14ac:dyDescent="0.25">
      <c r="A297" s="41">
        <f t="shared" ref="A297:B297" si="343">A296+1</f>
        <v>1145</v>
      </c>
      <c r="B297" s="42">
        <f t="shared" si="343"/>
        <v>287</v>
      </c>
      <c r="C297" s="41" t="s">
        <v>2797</v>
      </c>
      <c r="D297" s="43">
        <f t="shared" si="259"/>
        <v>39.9</v>
      </c>
      <c r="E297" s="61">
        <f t="shared" si="249"/>
        <v>4.9735000000000005</v>
      </c>
      <c r="F297" s="61">
        <f t="shared" si="250"/>
        <v>42</v>
      </c>
      <c r="G297" s="64">
        <f t="shared" si="251"/>
        <v>0.58988764044943809</v>
      </c>
      <c r="H297" s="44">
        <f t="shared" si="201"/>
        <v>-26.914126219991235</v>
      </c>
      <c r="I297" s="42" t="str">
        <f>I296</f>
        <v>Half</v>
      </c>
      <c r="J297" s="50">
        <f t="shared" ref="J297:K297" si="344">J296</f>
        <v>6</v>
      </c>
      <c r="K297" s="49">
        <f t="shared" si="344"/>
        <v>160</v>
      </c>
      <c r="L297" s="44">
        <f t="shared" si="253"/>
        <v>8</v>
      </c>
      <c r="M297" s="44">
        <f t="shared" si="216"/>
        <v>330</v>
      </c>
      <c r="N297" s="45">
        <f t="shared" si="206"/>
        <v>0.2</v>
      </c>
      <c r="O297" s="49">
        <v>60</v>
      </c>
      <c r="P297" s="44">
        <f t="shared" ref="P297:Q297" si="345">P296</f>
        <v>150</v>
      </c>
      <c r="Q297" s="50">
        <f t="shared" si="345"/>
        <v>210</v>
      </c>
    </row>
    <row r="298" spans="1:17" x14ac:dyDescent="0.25">
      <c r="A298" s="41">
        <f t="shared" ref="A298:B298" si="346">A297+1</f>
        <v>1146</v>
      </c>
      <c r="B298" s="42">
        <f t="shared" si="346"/>
        <v>288</v>
      </c>
      <c r="C298" s="41" t="s">
        <v>2798</v>
      </c>
      <c r="D298" s="43">
        <f t="shared" si="259"/>
        <v>39.9</v>
      </c>
      <c r="E298" s="61">
        <f t="shared" si="249"/>
        <v>4.9735000000000005</v>
      </c>
      <c r="F298" s="61">
        <f t="shared" si="250"/>
        <v>42</v>
      </c>
      <c r="G298" s="64">
        <f t="shared" si="251"/>
        <v>0.58988764044943809</v>
      </c>
      <c r="H298" s="44">
        <f t="shared" si="201"/>
        <v>-26.914126219991235</v>
      </c>
      <c r="I298" s="42" t="str">
        <f>I297</f>
        <v>Half</v>
      </c>
      <c r="J298" s="50">
        <f t="shared" ref="J298:K298" si="347">J297</f>
        <v>6</v>
      </c>
      <c r="K298" s="49">
        <f t="shared" si="347"/>
        <v>160</v>
      </c>
      <c r="L298" s="44">
        <f t="shared" si="253"/>
        <v>8</v>
      </c>
      <c r="M298" s="44">
        <f>M294+30</f>
        <v>330</v>
      </c>
      <c r="N298" s="45">
        <f t="shared" si="206"/>
        <v>0.2</v>
      </c>
      <c r="O298" s="49">
        <v>90</v>
      </c>
      <c r="P298" s="44">
        <f t="shared" ref="P298:Q298" si="348">P297</f>
        <v>150</v>
      </c>
      <c r="Q298" s="50">
        <f t="shared" si="348"/>
        <v>210</v>
      </c>
    </row>
  </sheetData>
  <phoneticPr fontId="1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R442"/>
  <sheetViews>
    <sheetView zoomScale="85" zoomScaleNormal="85" workbookViewId="0">
      <selection activeCell="P4" sqref="P4"/>
    </sheetView>
  </sheetViews>
  <sheetFormatPr defaultColWidth="9" defaultRowHeight="15" x14ac:dyDescent="0.15"/>
  <cols>
    <col min="1" max="1" width="7.375" style="23" customWidth="1"/>
    <col min="2" max="2" width="7.125" style="23" customWidth="1"/>
    <col min="3" max="3" width="9.375" style="23" customWidth="1"/>
    <col min="4" max="4" width="6.75" style="23" customWidth="1"/>
    <col min="5" max="7" width="6.875" style="23" customWidth="1"/>
    <col min="8" max="8" width="7.25" style="23" customWidth="1"/>
    <col min="9" max="9" width="7.375" style="23" customWidth="1"/>
    <col min="10" max="10" width="8" style="23" customWidth="1"/>
    <col min="11" max="11" width="7.75" style="23" customWidth="1"/>
    <col min="12" max="13" width="7.375" style="23" customWidth="1"/>
    <col min="14" max="14" width="6.75" style="23" customWidth="1"/>
    <col min="15" max="15" width="8.25" style="23" customWidth="1"/>
    <col min="16" max="16" width="8.75" style="23" customWidth="1"/>
    <col min="17" max="17" width="7.125" style="23" customWidth="1"/>
    <col min="18" max="18" width="8.125" style="23" customWidth="1"/>
    <col min="19" max="16384" width="9" style="23"/>
  </cols>
  <sheetData>
    <row r="1" spans="1:18" x14ac:dyDescent="0.15">
      <c r="H1" s="22" t="s">
        <v>135</v>
      </c>
      <c r="I1" s="22" t="s">
        <v>2800</v>
      </c>
    </row>
    <row r="2" spans="1:18" x14ac:dyDescent="0.15">
      <c r="B2" s="22" t="s">
        <v>2799</v>
      </c>
      <c r="C2" s="22"/>
      <c r="D2" s="22"/>
      <c r="E2" s="22"/>
      <c r="F2" s="22"/>
      <c r="G2" s="22"/>
      <c r="H2" s="22"/>
      <c r="I2" s="22" t="s">
        <v>2236</v>
      </c>
    </row>
    <row r="3" spans="1:18" x14ac:dyDescent="0.15">
      <c r="B3" s="22" t="s">
        <v>88</v>
      </c>
      <c r="C3" s="22"/>
      <c r="D3" s="22"/>
      <c r="E3" s="93" t="s">
        <v>2159</v>
      </c>
      <c r="F3" s="93"/>
      <c r="G3" s="93"/>
      <c r="H3" s="22"/>
      <c r="I3" s="22" t="s">
        <v>3234</v>
      </c>
    </row>
    <row r="4" spans="1:18" x14ac:dyDescent="0.15">
      <c r="B4" s="22" t="s">
        <v>89</v>
      </c>
      <c r="C4" s="22"/>
      <c r="D4" s="22"/>
      <c r="E4" s="22" t="s">
        <v>2801</v>
      </c>
      <c r="F4" s="22"/>
      <c r="G4" s="22"/>
      <c r="H4" s="22"/>
      <c r="I4" s="22" t="s">
        <v>3235</v>
      </c>
    </row>
    <row r="5" spans="1:18" x14ac:dyDescent="0.15">
      <c r="B5" s="22" t="s">
        <v>91</v>
      </c>
      <c r="C5" s="22"/>
      <c r="D5" s="22"/>
      <c r="E5" s="22" t="s">
        <v>99</v>
      </c>
      <c r="F5" s="22"/>
      <c r="G5" s="22"/>
      <c r="J5" s="22"/>
      <c r="K5" s="22"/>
    </row>
    <row r="6" spans="1:18" x14ac:dyDescent="0.15">
      <c r="B6" s="22" t="s">
        <v>93</v>
      </c>
      <c r="C6" s="22"/>
      <c r="D6" s="22"/>
      <c r="E6" s="22" t="s">
        <v>106</v>
      </c>
      <c r="F6" s="22"/>
      <c r="G6" s="22"/>
      <c r="J6" s="22"/>
      <c r="K6" s="22"/>
    </row>
    <row r="7" spans="1:18" x14ac:dyDescent="0.15">
      <c r="J7" s="22"/>
      <c r="K7" s="22"/>
      <c r="P7" s="46"/>
    </row>
    <row r="8" spans="1:18" ht="15.75" thickBot="1" x14ac:dyDescent="0.2">
      <c r="P8" s="46"/>
    </row>
    <row r="9" spans="1:18" x14ac:dyDescent="0.25">
      <c r="A9" s="24" t="s">
        <v>97</v>
      </c>
      <c r="B9" s="25" t="s">
        <v>96</v>
      </c>
      <c r="C9" s="24" t="s">
        <v>0</v>
      </c>
      <c r="D9" s="25" t="s">
        <v>137</v>
      </c>
      <c r="E9" s="58" t="s">
        <v>142</v>
      </c>
      <c r="F9" s="62" t="s">
        <v>152</v>
      </c>
      <c r="G9" s="62" t="s">
        <v>87</v>
      </c>
      <c r="H9" s="25" t="s">
        <v>146</v>
      </c>
      <c r="I9" s="27" t="s">
        <v>8</v>
      </c>
      <c r="J9" s="47" t="s">
        <v>21</v>
      </c>
      <c r="K9" s="25" t="s">
        <v>147</v>
      </c>
      <c r="L9" s="25" t="s">
        <v>1</v>
      </c>
      <c r="M9" s="25" t="s">
        <v>2</v>
      </c>
      <c r="N9" s="25" t="s">
        <v>10</v>
      </c>
      <c r="O9" s="25" t="s">
        <v>13</v>
      </c>
      <c r="P9" s="47" t="s">
        <v>22</v>
      </c>
      <c r="Q9" s="27" t="s">
        <v>138</v>
      </c>
      <c r="R9" s="27" t="s">
        <v>139</v>
      </c>
    </row>
    <row r="10" spans="1:18" ht="15.75" thickBot="1" x14ac:dyDescent="0.3">
      <c r="A10" s="29" t="s">
        <v>76</v>
      </c>
      <c r="B10" s="30" t="str">
        <f>B2</f>
        <v>DLCT13b</v>
      </c>
      <c r="C10" s="29"/>
      <c r="D10" s="30" t="s">
        <v>4</v>
      </c>
      <c r="E10" s="59" t="s">
        <v>4</v>
      </c>
      <c r="F10" s="59" t="s">
        <v>14</v>
      </c>
      <c r="G10" s="59"/>
      <c r="H10" s="30" t="s">
        <v>4</v>
      </c>
      <c r="I10" s="32"/>
      <c r="J10" s="32" t="s">
        <v>17</v>
      </c>
      <c r="K10" s="32" t="s">
        <v>7</v>
      </c>
      <c r="L10" s="30" t="s">
        <v>6</v>
      </c>
      <c r="M10" s="30" t="s">
        <v>6</v>
      </c>
      <c r="N10" s="30"/>
      <c r="O10" s="32" t="s">
        <v>7</v>
      </c>
      <c r="P10" s="48"/>
      <c r="Q10" s="32" t="s">
        <v>7</v>
      </c>
      <c r="R10" s="32" t="s">
        <v>7</v>
      </c>
    </row>
    <row r="11" spans="1:18" x14ac:dyDescent="0.25">
      <c r="A11" s="24">
        <f>'DLC13'!A100+1</f>
        <v>859</v>
      </c>
      <c r="B11" s="27">
        <v>1</v>
      </c>
      <c r="C11" s="24" t="s">
        <v>2802</v>
      </c>
      <c r="D11" s="34">
        <f>v_out</f>
        <v>25</v>
      </c>
      <c r="E11" s="60">
        <f t="shared" ref="E11:E74" si="0">I_ref*(0.75*D11+5.6)</f>
        <v>3.4090000000000007</v>
      </c>
      <c r="F11" s="60">
        <f t="shared" ref="F11:F74" si="1">tur_scale</f>
        <v>42</v>
      </c>
      <c r="G11" s="63">
        <f t="shared" ref="G11:G74" si="2">1/(1+0.2*(diameter/F11))</f>
        <v>0.58988764044943809</v>
      </c>
      <c r="H11" s="35">
        <f>6.4*ATAN(E11/D11*G11)/PI()*180</f>
        <v>29.432344969112751</v>
      </c>
      <c r="I11" s="42" t="s">
        <v>12</v>
      </c>
      <c r="J11" s="50">
        <f>EDCT_t</f>
        <v>6</v>
      </c>
      <c r="K11" s="49">
        <f>trig_t</f>
        <v>160</v>
      </c>
      <c r="L11" s="35">
        <f t="shared" ref="L11:L74" si="3">inflow</f>
        <v>8</v>
      </c>
      <c r="M11" s="35">
        <f t="shared" ref="M11:M34" si="4">yaw_min</f>
        <v>-8</v>
      </c>
      <c r="N11" s="36">
        <f>alpha_n</f>
        <v>0.2</v>
      </c>
      <c r="O11" s="49">
        <v>0</v>
      </c>
      <c r="P11" s="57">
        <v>0</v>
      </c>
      <c r="Q11" s="35">
        <f>t_out</f>
        <v>150</v>
      </c>
      <c r="R11" s="50">
        <f>Q11+T_s2</f>
        <v>210</v>
      </c>
    </row>
    <row r="12" spans="1:18" x14ac:dyDescent="0.25">
      <c r="A12" s="41">
        <f t="shared" ref="A12:B27" si="5">A11+1</f>
        <v>860</v>
      </c>
      <c r="B12" s="42">
        <f t="shared" si="5"/>
        <v>2</v>
      </c>
      <c r="C12" s="41" t="s">
        <v>2803</v>
      </c>
      <c r="D12" s="43">
        <f>D11</f>
        <v>25</v>
      </c>
      <c r="E12" s="61">
        <f t="shared" si="0"/>
        <v>3.4090000000000007</v>
      </c>
      <c r="F12" s="61">
        <f t="shared" si="1"/>
        <v>42</v>
      </c>
      <c r="G12" s="64">
        <f t="shared" si="2"/>
        <v>0.58988764044943809</v>
      </c>
      <c r="H12" s="44">
        <f>6.4*ATAN(E12/D12*G12)/PI()*180</f>
        <v>29.432344969112751</v>
      </c>
      <c r="I12" s="42" t="str">
        <f t="shared" ref="I12:N27" si="6">I11</f>
        <v>Half</v>
      </c>
      <c r="J12" s="50">
        <f t="shared" si="6"/>
        <v>6</v>
      </c>
      <c r="K12" s="49">
        <f t="shared" si="6"/>
        <v>160</v>
      </c>
      <c r="L12" s="44">
        <f t="shared" si="3"/>
        <v>8</v>
      </c>
      <c r="M12" s="44">
        <f t="shared" si="4"/>
        <v>-8</v>
      </c>
      <c r="N12" s="45">
        <f t="shared" si="6"/>
        <v>0.2</v>
      </c>
      <c r="O12" s="49">
        <v>0</v>
      </c>
      <c r="P12" s="53">
        <f>P11+15</f>
        <v>15</v>
      </c>
      <c r="Q12" s="44">
        <f>Q11</f>
        <v>150</v>
      </c>
      <c r="R12" s="50">
        <f>R11</f>
        <v>210</v>
      </c>
    </row>
    <row r="13" spans="1:18" x14ac:dyDescent="0.25">
      <c r="A13" s="41">
        <f t="shared" si="5"/>
        <v>861</v>
      </c>
      <c r="B13" s="42">
        <f t="shared" si="5"/>
        <v>3</v>
      </c>
      <c r="C13" s="41" t="s">
        <v>2804</v>
      </c>
      <c r="D13" s="43">
        <f t="shared" ref="D13:D76" si="7">D12</f>
        <v>25</v>
      </c>
      <c r="E13" s="61">
        <f t="shared" si="0"/>
        <v>3.4090000000000007</v>
      </c>
      <c r="F13" s="61">
        <f t="shared" si="1"/>
        <v>42</v>
      </c>
      <c r="G13" s="64">
        <f t="shared" si="2"/>
        <v>0.58988764044943809</v>
      </c>
      <c r="H13" s="44">
        <f t="shared" ref="H13:H76" si="8">6.4*ATAN(E13/D13*G13)/PI()*180</f>
        <v>29.432344969112751</v>
      </c>
      <c r="I13" s="42" t="str">
        <f t="shared" si="6"/>
        <v>Half</v>
      </c>
      <c r="J13" s="50">
        <f t="shared" si="6"/>
        <v>6</v>
      </c>
      <c r="K13" s="49">
        <f t="shared" si="6"/>
        <v>160</v>
      </c>
      <c r="L13" s="44">
        <f t="shared" si="3"/>
        <v>8</v>
      </c>
      <c r="M13" s="44">
        <f t="shared" si="4"/>
        <v>-8</v>
      </c>
      <c r="N13" s="45">
        <f t="shared" si="6"/>
        <v>0.2</v>
      </c>
      <c r="O13" s="49">
        <v>0</v>
      </c>
      <c r="P13" s="53">
        <f t="shared" ref="P13:P22" si="9">P12+15</f>
        <v>30</v>
      </c>
      <c r="Q13" s="44">
        <f t="shared" ref="Q13:R28" si="10">Q12</f>
        <v>150</v>
      </c>
      <c r="R13" s="50">
        <f t="shared" si="10"/>
        <v>210</v>
      </c>
    </row>
    <row r="14" spans="1:18" x14ac:dyDescent="0.25">
      <c r="A14" s="41">
        <f t="shared" si="5"/>
        <v>862</v>
      </c>
      <c r="B14" s="42">
        <f t="shared" si="5"/>
        <v>4</v>
      </c>
      <c r="C14" s="41" t="s">
        <v>2805</v>
      </c>
      <c r="D14" s="43">
        <f t="shared" si="7"/>
        <v>25</v>
      </c>
      <c r="E14" s="61">
        <f t="shared" si="0"/>
        <v>3.4090000000000007</v>
      </c>
      <c r="F14" s="61">
        <f t="shared" si="1"/>
        <v>42</v>
      </c>
      <c r="G14" s="64">
        <f t="shared" si="2"/>
        <v>0.58988764044943809</v>
      </c>
      <c r="H14" s="44">
        <f t="shared" si="8"/>
        <v>29.432344969112751</v>
      </c>
      <c r="I14" s="42" t="str">
        <f t="shared" si="6"/>
        <v>Half</v>
      </c>
      <c r="J14" s="50">
        <f t="shared" si="6"/>
        <v>6</v>
      </c>
      <c r="K14" s="49">
        <f t="shared" si="6"/>
        <v>160</v>
      </c>
      <c r="L14" s="44">
        <f t="shared" si="3"/>
        <v>8</v>
      </c>
      <c r="M14" s="44">
        <f t="shared" si="4"/>
        <v>-8</v>
      </c>
      <c r="N14" s="45">
        <f t="shared" si="6"/>
        <v>0.2</v>
      </c>
      <c r="O14" s="49">
        <v>0</v>
      </c>
      <c r="P14" s="53">
        <f t="shared" si="9"/>
        <v>45</v>
      </c>
      <c r="Q14" s="44">
        <f t="shared" si="10"/>
        <v>150</v>
      </c>
      <c r="R14" s="50">
        <f t="shared" si="10"/>
        <v>210</v>
      </c>
    </row>
    <row r="15" spans="1:18" x14ac:dyDescent="0.25">
      <c r="A15" s="41">
        <f t="shared" si="5"/>
        <v>863</v>
      </c>
      <c r="B15" s="42">
        <f t="shared" si="5"/>
        <v>5</v>
      </c>
      <c r="C15" s="41" t="s">
        <v>2806</v>
      </c>
      <c r="D15" s="43">
        <f t="shared" si="7"/>
        <v>25</v>
      </c>
      <c r="E15" s="61">
        <f t="shared" si="0"/>
        <v>3.4090000000000007</v>
      </c>
      <c r="F15" s="61">
        <f t="shared" si="1"/>
        <v>42</v>
      </c>
      <c r="G15" s="64">
        <f t="shared" si="2"/>
        <v>0.58988764044943809</v>
      </c>
      <c r="H15" s="44">
        <f t="shared" si="8"/>
        <v>29.432344969112751</v>
      </c>
      <c r="I15" s="42" t="str">
        <f t="shared" si="6"/>
        <v>Half</v>
      </c>
      <c r="J15" s="50">
        <f t="shared" si="6"/>
        <v>6</v>
      </c>
      <c r="K15" s="49">
        <f t="shared" si="6"/>
        <v>160</v>
      </c>
      <c r="L15" s="44">
        <f t="shared" si="3"/>
        <v>8</v>
      </c>
      <c r="M15" s="44">
        <f t="shared" si="4"/>
        <v>-8</v>
      </c>
      <c r="N15" s="45">
        <f t="shared" si="6"/>
        <v>0.2</v>
      </c>
      <c r="O15" s="49">
        <v>0</v>
      </c>
      <c r="P15" s="53">
        <f t="shared" si="9"/>
        <v>60</v>
      </c>
      <c r="Q15" s="44">
        <f t="shared" si="10"/>
        <v>150</v>
      </c>
      <c r="R15" s="50">
        <f t="shared" si="10"/>
        <v>210</v>
      </c>
    </row>
    <row r="16" spans="1:18" x14ac:dyDescent="0.25">
      <c r="A16" s="41">
        <f t="shared" si="5"/>
        <v>864</v>
      </c>
      <c r="B16" s="42">
        <f t="shared" si="5"/>
        <v>6</v>
      </c>
      <c r="C16" s="41" t="s">
        <v>2807</v>
      </c>
      <c r="D16" s="43">
        <f t="shared" si="7"/>
        <v>25</v>
      </c>
      <c r="E16" s="61">
        <f t="shared" si="0"/>
        <v>3.4090000000000007</v>
      </c>
      <c r="F16" s="61">
        <f t="shared" si="1"/>
        <v>42</v>
      </c>
      <c r="G16" s="64">
        <f t="shared" si="2"/>
        <v>0.58988764044943809</v>
      </c>
      <c r="H16" s="44">
        <f t="shared" si="8"/>
        <v>29.432344969112751</v>
      </c>
      <c r="I16" s="42" t="str">
        <f t="shared" si="6"/>
        <v>Half</v>
      </c>
      <c r="J16" s="50">
        <f t="shared" si="6"/>
        <v>6</v>
      </c>
      <c r="K16" s="49">
        <f t="shared" si="6"/>
        <v>160</v>
      </c>
      <c r="L16" s="44">
        <f t="shared" si="3"/>
        <v>8</v>
      </c>
      <c r="M16" s="44">
        <f t="shared" si="4"/>
        <v>-8</v>
      </c>
      <c r="N16" s="45">
        <f t="shared" si="6"/>
        <v>0.2</v>
      </c>
      <c r="O16" s="49">
        <v>0</v>
      </c>
      <c r="P16" s="135">
        <f t="shared" si="9"/>
        <v>75</v>
      </c>
      <c r="Q16" s="44">
        <f t="shared" si="10"/>
        <v>150</v>
      </c>
      <c r="R16" s="50">
        <f t="shared" si="10"/>
        <v>210</v>
      </c>
    </row>
    <row r="17" spans="1:18" x14ac:dyDescent="0.25">
      <c r="A17" s="41">
        <f t="shared" si="5"/>
        <v>865</v>
      </c>
      <c r="B17" s="42">
        <f t="shared" si="5"/>
        <v>7</v>
      </c>
      <c r="C17" s="41" t="s">
        <v>2808</v>
      </c>
      <c r="D17" s="43">
        <f t="shared" si="7"/>
        <v>25</v>
      </c>
      <c r="E17" s="61">
        <f t="shared" si="0"/>
        <v>3.4090000000000007</v>
      </c>
      <c r="F17" s="61">
        <f t="shared" si="1"/>
        <v>42</v>
      </c>
      <c r="G17" s="64">
        <f t="shared" si="2"/>
        <v>0.58988764044943809</v>
      </c>
      <c r="H17" s="44">
        <f t="shared" si="8"/>
        <v>29.432344969112751</v>
      </c>
      <c r="I17" s="42" t="str">
        <f t="shared" si="6"/>
        <v>Half</v>
      </c>
      <c r="J17" s="50">
        <f t="shared" si="6"/>
        <v>6</v>
      </c>
      <c r="K17" s="49">
        <f t="shared" si="6"/>
        <v>160</v>
      </c>
      <c r="L17" s="44">
        <f t="shared" si="3"/>
        <v>8</v>
      </c>
      <c r="M17" s="44">
        <f t="shared" si="4"/>
        <v>-8</v>
      </c>
      <c r="N17" s="45">
        <f t="shared" si="6"/>
        <v>0.2</v>
      </c>
      <c r="O17" s="49">
        <f>O11+30</f>
        <v>30</v>
      </c>
      <c r="P17" s="136">
        <v>0</v>
      </c>
      <c r="Q17" s="44">
        <f t="shared" si="10"/>
        <v>150</v>
      </c>
      <c r="R17" s="50">
        <f t="shared" si="10"/>
        <v>210</v>
      </c>
    </row>
    <row r="18" spans="1:18" x14ac:dyDescent="0.25">
      <c r="A18" s="41">
        <f t="shared" si="5"/>
        <v>866</v>
      </c>
      <c r="B18" s="42">
        <f t="shared" si="5"/>
        <v>8</v>
      </c>
      <c r="C18" s="41" t="s">
        <v>2809</v>
      </c>
      <c r="D18" s="43">
        <f t="shared" si="7"/>
        <v>25</v>
      </c>
      <c r="E18" s="61">
        <f t="shared" si="0"/>
        <v>3.4090000000000007</v>
      </c>
      <c r="F18" s="61">
        <f t="shared" si="1"/>
        <v>42</v>
      </c>
      <c r="G18" s="64">
        <f t="shared" si="2"/>
        <v>0.58988764044943809</v>
      </c>
      <c r="H18" s="44">
        <f t="shared" si="8"/>
        <v>29.432344969112751</v>
      </c>
      <c r="I18" s="42" t="str">
        <f t="shared" si="6"/>
        <v>Half</v>
      </c>
      <c r="J18" s="50">
        <f t="shared" si="6"/>
        <v>6</v>
      </c>
      <c r="K18" s="49">
        <f t="shared" si="6"/>
        <v>160</v>
      </c>
      <c r="L18" s="44">
        <f t="shared" si="3"/>
        <v>8</v>
      </c>
      <c r="M18" s="44">
        <f t="shared" si="4"/>
        <v>-8</v>
      </c>
      <c r="N18" s="45">
        <f t="shared" si="6"/>
        <v>0.2</v>
      </c>
      <c r="O18" s="49">
        <f t="shared" ref="O18:O34" si="11">O12+30</f>
        <v>30</v>
      </c>
      <c r="P18" s="53">
        <f>P17+15</f>
        <v>15</v>
      </c>
      <c r="Q18" s="44">
        <f t="shared" si="10"/>
        <v>150</v>
      </c>
      <c r="R18" s="50">
        <f t="shared" si="10"/>
        <v>210</v>
      </c>
    </row>
    <row r="19" spans="1:18" x14ac:dyDescent="0.25">
      <c r="A19" s="41">
        <f t="shared" si="5"/>
        <v>867</v>
      </c>
      <c r="B19" s="42">
        <f t="shared" si="5"/>
        <v>9</v>
      </c>
      <c r="C19" s="41" t="s">
        <v>2810</v>
      </c>
      <c r="D19" s="43">
        <f t="shared" si="7"/>
        <v>25</v>
      </c>
      <c r="E19" s="61">
        <f t="shared" si="0"/>
        <v>3.4090000000000007</v>
      </c>
      <c r="F19" s="61">
        <f t="shared" si="1"/>
        <v>42</v>
      </c>
      <c r="G19" s="64">
        <f t="shared" si="2"/>
        <v>0.58988764044943809</v>
      </c>
      <c r="H19" s="44">
        <f t="shared" si="8"/>
        <v>29.432344969112751</v>
      </c>
      <c r="I19" s="42" t="str">
        <f t="shared" si="6"/>
        <v>Half</v>
      </c>
      <c r="J19" s="50">
        <f t="shared" si="6"/>
        <v>6</v>
      </c>
      <c r="K19" s="49">
        <f t="shared" si="6"/>
        <v>160</v>
      </c>
      <c r="L19" s="44">
        <f t="shared" si="3"/>
        <v>8</v>
      </c>
      <c r="M19" s="44">
        <f t="shared" si="4"/>
        <v>-8</v>
      </c>
      <c r="N19" s="45">
        <f t="shared" si="6"/>
        <v>0.2</v>
      </c>
      <c r="O19" s="49">
        <f t="shared" si="11"/>
        <v>30</v>
      </c>
      <c r="P19" s="53">
        <f t="shared" si="9"/>
        <v>30</v>
      </c>
      <c r="Q19" s="44">
        <f t="shared" si="10"/>
        <v>150</v>
      </c>
      <c r="R19" s="50">
        <f t="shared" si="10"/>
        <v>210</v>
      </c>
    </row>
    <row r="20" spans="1:18" x14ac:dyDescent="0.25">
      <c r="A20" s="41">
        <f t="shared" si="5"/>
        <v>868</v>
      </c>
      <c r="B20" s="42">
        <f t="shared" si="5"/>
        <v>10</v>
      </c>
      <c r="C20" s="41" t="s">
        <v>2811</v>
      </c>
      <c r="D20" s="43">
        <f t="shared" si="7"/>
        <v>25</v>
      </c>
      <c r="E20" s="61">
        <f t="shared" si="0"/>
        <v>3.4090000000000007</v>
      </c>
      <c r="F20" s="61">
        <f t="shared" si="1"/>
        <v>42</v>
      </c>
      <c r="G20" s="64">
        <f t="shared" si="2"/>
        <v>0.58988764044943809</v>
      </c>
      <c r="H20" s="44">
        <f t="shared" si="8"/>
        <v>29.432344969112751</v>
      </c>
      <c r="I20" s="42" t="str">
        <f>I19</f>
        <v>Half</v>
      </c>
      <c r="J20" s="50">
        <f t="shared" si="6"/>
        <v>6</v>
      </c>
      <c r="K20" s="49">
        <f t="shared" si="6"/>
        <v>160</v>
      </c>
      <c r="L20" s="44">
        <f t="shared" si="3"/>
        <v>8</v>
      </c>
      <c r="M20" s="44">
        <f t="shared" si="4"/>
        <v>-8</v>
      </c>
      <c r="N20" s="45">
        <f t="shared" si="6"/>
        <v>0.2</v>
      </c>
      <c r="O20" s="49">
        <f t="shared" si="11"/>
        <v>30</v>
      </c>
      <c r="P20" s="53">
        <f t="shared" si="9"/>
        <v>45</v>
      </c>
      <c r="Q20" s="44">
        <f t="shared" si="10"/>
        <v>150</v>
      </c>
      <c r="R20" s="50">
        <f t="shared" si="10"/>
        <v>210</v>
      </c>
    </row>
    <row r="21" spans="1:18" x14ac:dyDescent="0.25">
      <c r="A21" s="41">
        <f t="shared" si="5"/>
        <v>869</v>
      </c>
      <c r="B21" s="42">
        <f t="shared" si="5"/>
        <v>11</v>
      </c>
      <c r="C21" s="41" t="s">
        <v>2812</v>
      </c>
      <c r="D21" s="43">
        <f t="shared" si="7"/>
        <v>25</v>
      </c>
      <c r="E21" s="61">
        <f t="shared" si="0"/>
        <v>3.4090000000000007</v>
      </c>
      <c r="F21" s="61">
        <f t="shared" si="1"/>
        <v>42</v>
      </c>
      <c r="G21" s="64">
        <f t="shared" si="2"/>
        <v>0.58988764044943809</v>
      </c>
      <c r="H21" s="44">
        <f t="shared" si="8"/>
        <v>29.432344969112751</v>
      </c>
      <c r="I21" s="42" t="str">
        <f>I20</f>
        <v>Half</v>
      </c>
      <c r="J21" s="50">
        <f t="shared" si="6"/>
        <v>6</v>
      </c>
      <c r="K21" s="49">
        <f t="shared" si="6"/>
        <v>160</v>
      </c>
      <c r="L21" s="44">
        <f t="shared" si="3"/>
        <v>8</v>
      </c>
      <c r="M21" s="44">
        <f t="shared" si="4"/>
        <v>-8</v>
      </c>
      <c r="N21" s="45">
        <f t="shared" si="6"/>
        <v>0.2</v>
      </c>
      <c r="O21" s="49">
        <f t="shared" si="11"/>
        <v>30</v>
      </c>
      <c r="P21" s="53">
        <f t="shared" si="9"/>
        <v>60</v>
      </c>
      <c r="Q21" s="44">
        <f t="shared" si="10"/>
        <v>150</v>
      </c>
      <c r="R21" s="50">
        <f t="shared" si="10"/>
        <v>210</v>
      </c>
    </row>
    <row r="22" spans="1:18" x14ac:dyDescent="0.25">
      <c r="A22" s="41">
        <f t="shared" si="5"/>
        <v>870</v>
      </c>
      <c r="B22" s="42">
        <f t="shared" si="5"/>
        <v>12</v>
      </c>
      <c r="C22" s="41" t="s">
        <v>2813</v>
      </c>
      <c r="D22" s="43">
        <f t="shared" si="7"/>
        <v>25</v>
      </c>
      <c r="E22" s="61">
        <f t="shared" si="0"/>
        <v>3.4090000000000007</v>
      </c>
      <c r="F22" s="61">
        <f t="shared" si="1"/>
        <v>42</v>
      </c>
      <c r="G22" s="64">
        <f t="shared" si="2"/>
        <v>0.58988764044943809</v>
      </c>
      <c r="H22" s="44">
        <f t="shared" si="8"/>
        <v>29.432344969112751</v>
      </c>
      <c r="I22" s="42" t="str">
        <f>I21</f>
        <v>Half</v>
      </c>
      <c r="J22" s="50">
        <f t="shared" si="6"/>
        <v>6</v>
      </c>
      <c r="K22" s="49">
        <f t="shared" si="6"/>
        <v>160</v>
      </c>
      <c r="L22" s="44">
        <f t="shared" si="3"/>
        <v>8</v>
      </c>
      <c r="M22" s="44">
        <f t="shared" si="4"/>
        <v>-8</v>
      </c>
      <c r="N22" s="45">
        <f t="shared" si="6"/>
        <v>0.2</v>
      </c>
      <c r="O22" s="49">
        <f t="shared" si="11"/>
        <v>30</v>
      </c>
      <c r="P22" s="135">
        <f t="shared" si="9"/>
        <v>75</v>
      </c>
      <c r="Q22" s="44">
        <f t="shared" si="10"/>
        <v>150</v>
      </c>
      <c r="R22" s="50">
        <f t="shared" si="10"/>
        <v>210</v>
      </c>
    </row>
    <row r="23" spans="1:18" x14ac:dyDescent="0.25">
      <c r="A23" s="41">
        <f t="shared" si="5"/>
        <v>871</v>
      </c>
      <c r="B23" s="42">
        <f t="shared" si="5"/>
        <v>13</v>
      </c>
      <c r="C23" s="41" t="s">
        <v>2814</v>
      </c>
      <c r="D23" s="43">
        <f t="shared" si="7"/>
        <v>25</v>
      </c>
      <c r="E23" s="61">
        <f t="shared" si="0"/>
        <v>3.4090000000000007</v>
      </c>
      <c r="F23" s="61">
        <f t="shared" si="1"/>
        <v>42</v>
      </c>
      <c r="G23" s="64">
        <f t="shared" si="2"/>
        <v>0.58988764044943809</v>
      </c>
      <c r="H23" s="44">
        <f t="shared" si="8"/>
        <v>29.432344969112751</v>
      </c>
      <c r="I23" s="42" t="str">
        <f t="shared" si="6"/>
        <v>Half</v>
      </c>
      <c r="J23" s="50">
        <f t="shared" si="6"/>
        <v>6</v>
      </c>
      <c r="K23" s="49">
        <f t="shared" si="6"/>
        <v>160</v>
      </c>
      <c r="L23" s="44">
        <f t="shared" si="3"/>
        <v>8</v>
      </c>
      <c r="M23" s="44">
        <f t="shared" si="4"/>
        <v>-8</v>
      </c>
      <c r="N23" s="45">
        <f t="shared" si="6"/>
        <v>0.2</v>
      </c>
      <c r="O23" s="49">
        <f t="shared" si="11"/>
        <v>60</v>
      </c>
      <c r="P23" s="136">
        <v>0</v>
      </c>
      <c r="Q23" s="44">
        <f t="shared" si="10"/>
        <v>150</v>
      </c>
      <c r="R23" s="50">
        <f t="shared" si="10"/>
        <v>210</v>
      </c>
    </row>
    <row r="24" spans="1:18" x14ac:dyDescent="0.25">
      <c r="A24" s="41">
        <f t="shared" si="5"/>
        <v>872</v>
      </c>
      <c r="B24" s="42">
        <f t="shared" si="5"/>
        <v>14</v>
      </c>
      <c r="C24" s="41" t="s">
        <v>2815</v>
      </c>
      <c r="D24" s="43">
        <f t="shared" si="7"/>
        <v>25</v>
      </c>
      <c r="E24" s="61">
        <f t="shared" si="0"/>
        <v>3.4090000000000007</v>
      </c>
      <c r="F24" s="61">
        <f t="shared" si="1"/>
        <v>42</v>
      </c>
      <c r="G24" s="64">
        <f t="shared" si="2"/>
        <v>0.58988764044943809</v>
      </c>
      <c r="H24" s="44">
        <f t="shared" si="8"/>
        <v>29.432344969112751</v>
      </c>
      <c r="I24" s="42" t="str">
        <f t="shared" si="6"/>
        <v>Half</v>
      </c>
      <c r="J24" s="50">
        <f t="shared" si="6"/>
        <v>6</v>
      </c>
      <c r="K24" s="49">
        <f t="shared" si="6"/>
        <v>160</v>
      </c>
      <c r="L24" s="44">
        <f t="shared" si="3"/>
        <v>8</v>
      </c>
      <c r="M24" s="44">
        <f t="shared" si="4"/>
        <v>-8</v>
      </c>
      <c r="N24" s="45">
        <f t="shared" si="6"/>
        <v>0.2</v>
      </c>
      <c r="O24" s="49">
        <f t="shared" si="11"/>
        <v>60</v>
      </c>
      <c r="P24" s="53">
        <f>P23+15</f>
        <v>15</v>
      </c>
      <c r="Q24" s="44">
        <f t="shared" si="10"/>
        <v>150</v>
      </c>
      <c r="R24" s="50">
        <f t="shared" si="10"/>
        <v>210</v>
      </c>
    </row>
    <row r="25" spans="1:18" x14ac:dyDescent="0.25">
      <c r="A25" s="41">
        <f t="shared" si="5"/>
        <v>873</v>
      </c>
      <c r="B25" s="42">
        <f t="shared" si="5"/>
        <v>15</v>
      </c>
      <c r="C25" s="41" t="s">
        <v>2816</v>
      </c>
      <c r="D25" s="43">
        <f t="shared" si="7"/>
        <v>25</v>
      </c>
      <c r="E25" s="61">
        <f t="shared" si="0"/>
        <v>3.4090000000000007</v>
      </c>
      <c r="F25" s="61">
        <f t="shared" si="1"/>
        <v>42</v>
      </c>
      <c r="G25" s="64">
        <f t="shared" si="2"/>
        <v>0.58988764044943809</v>
      </c>
      <c r="H25" s="44">
        <f t="shared" si="8"/>
        <v>29.432344969112751</v>
      </c>
      <c r="I25" s="42" t="str">
        <f t="shared" si="6"/>
        <v>Half</v>
      </c>
      <c r="J25" s="50">
        <f t="shared" si="6"/>
        <v>6</v>
      </c>
      <c r="K25" s="49">
        <f t="shared" si="6"/>
        <v>160</v>
      </c>
      <c r="L25" s="44">
        <f t="shared" si="3"/>
        <v>8</v>
      </c>
      <c r="M25" s="44">
        <f t="shared" si="4"/>
        <v>-8</v>
      </c>
      <c r="N25" s="45">
        <f t="shared" si="6"/>
        <v>0.2</v>
      </c>
      <c r="O25" s="49">
        <f t="shared" si="11"/>
        <v>60</v>
      </c>
      <c r="P25" s="53">
        <f t="shared" ref="P25:P34" si="12">P24+15</f>
        <v>30</v>
      </c>
      <c r="Q25" s="44">
        <f t="shared" si="10"/>
        <v>150</v>
      </c>
      <c r="R25" s="50">
        <f t="shared" si="10"/>
        <v>210</v>
      </c>
    </row>
    <row r="26" spans="1:18" x14ac:dyDescent="0.25">
      <c r="A26" s="41">
        <f t="shared" si="5"/>
        <v>874</v>
      </c>
      <c r="B26" s="42">
        <f t="shared" si="5"/>
        <v>16</v>
      </c>
      <c r="C26" s="41" t="s">
        <v>2817</v>
      </c>
      <c r="D26" s="43">
        <f t="shared" si="7"/>
        <v>25</v>
      </c>
      <c r="E26" s="61">
        <f t="shared" si="0"/>
        <v>3.4090000000000007</v>
      </c>
      <c r="F26" s="61">
        <f t="shared" si="1"/>
        <v>42</v>
      </c>
      <c r="G26" s="64">
        <f t="shared" si="2"/>
        <v>0.58988764044943809</v>
      </c>
      <c r="H26" s="44">
        <f t="shared" si="8"/>
        <v>29.432344969112751</v>
      </c>
      <c r="I26" s="42" t="str">
        <f t="shared" si="6"/>
        <v>Half</v>
      </c>
      <c r="J26" s="50">
        <f t="shared" si="6"/>
        <v>6</v>
      </c>
      <c r="K26" s="49">
        <f t="shared" si="6"/>
        <v>160</v>
      </c>
      <c r="L26" s="44">
        <f t="shared" si="3"/>
        <v>8</v>
      </c>
      <c r="M26" s="44">
        <f t="shared" si="4"/>
        <v>-8</v>
      </c>
      <c r="N26" s="45">
        <f t="shared" si="6"/>
        <v>0.2</v>
      </c>
      <c r="O26" s="49">
        <f t="shared" si="11"/>
        <v>60</v>
      </c>
      <c r="P26" s="53">
        <f t="shared" si="12"/>
        <v>45</v>
      </c>
      <c r="Q26" s="44">
        <f t="shared" si="10"/>
        <v>150</v>
      </c>
      <c r="R26" s="50">
        <f t="shared" si="10"/>
        <v>210</v>
      </c>
    </row>
    <row r="27" spans="1:18" x14ac:dyDescent="0.25">
      <c r="A27" s="41">
        <f t="shared" si="5"/>
        <v>875</v>
      </c>
      <c r="B27" s="42">
        <f t="shared" si="5"/>
        <v>17</v>
      </c>
      <c r="C27" s="41" t="s">
        <v>2818</v>
      </c>
      <c r="D27" s="43">
        <f t="shared" si="7"/>
        <v>25</v>
      </c>
      <c r="E27" s="61">
        <f t="shared" si="0"/>
        <v>3.4090000000000007</v>
      </c>
      <c r="F27" s="61">
        <f t="shared" si="1"/>
        <v>42</v>
      </c>
      <c r="G27" s="64">
        <f t="shared" si="2"/>
        <v>0.58988764044943809</v>
      </c>
      <c r="H27" s="44">
        <f t="shared" si="8"/>
        <v>29.432344969112751</v>
      </c>
      <c r="I27" s="42" t="s">
        <v>12</v>
      </c>
      <c r="J27" s="50">
        <f t="shared" si="6"/>
        <v>6</v>
      </c>
      <c r="K27" s="49">
        <f t="shared" si="6"/>
        <v>160</v>
      </c>
      <c r="L27" s="44">
        <f t="shared" si="3"/>
        <v>8</v>
      </c>
      <c r="M27" s="44">
        <f t="shared" si="4"/>
        <v>-8</v>
      </c>
      <c r="N27" s="45">
        <f t="shared" si="6"/>
        <v>0.2</v>
      </c>
      <c r="O27" s="49">
        <f t="shared" si="11"/>
        <v>60</v>
      </c>
      <c r="P27" s="53">
        <f t="shared" si="12"/>
        <v>60</v>
      </c>
      <c r="Q27" s="44">
        <f t="shared" si="10"/>
        <v>150</v>
      </c>
      <c r="R27" s="50">
        <f t="shared" si="10"/>
        <v>210</v>
      </c>
    </row>
    <row r="28" spans="1:18" x14ac:dyDescent="0.25">
      <c r="A28" s="41">
        <f t="shared" ref="A28:B43" si="13">A27+1</f>
        <v>876</v>
      </c>
      <c r="B28" s="42">
        <f t="shared" si="13"/>
        <v>18</v>
      </c>
      <c r="C28" s="41" t="s">
        <v>2819</v>
      </c>
      <c r="D28" s="43">
        <f t="shared" si="7"/>
        <v>25</v>
      </c>
      <c r="E28" s="61">
        <f t="shared" si="0"/>
        <v>3.4090000000000007</v>
      </c>
      <c r="F28" s="61">
        <f t="shared" si="1"/>
        <v>42</v>
      </c>
      <c r="G28" s="64">
        <f t="shared" si="2"/>
        <v>0.58988764044943809</v>
      </c>
      <c r="H28" s="44">
        <f t="shared" si="8"/>
        <v>29.432344969112751</v>
      </c>
      <c r="I28" s="42" t="str">
        <f>I27</f>
        <v>Half</v>
      </c>
      <c r="J28" s="50">
        <f t="shared" ref="J28:N43" si="14">J27</f>
        <v>6</v>
      </c>
      <c r="K28" s="49">
        <f t="shared" si="14"/>
        <v>160</v>
      </c>
      <c r="L28" s="44">
        <f t="shared" si="3"/>
        <v>8</v>
      </c>
      <c r="M28" s="44">
        <f t="shared" si="4"/>
        <v>-8</v>
      </c>
      <c r="N28" s="45">
        <f t="shared" si="14"/>
        <v>0.2</v>
      </c>
      <c r="O28" s="49">
        <f t="shared" si="11"/>
        <v>60</v>
      </c>
      <c r="P28" s="135">
        <f t="shared" si="12"/>
        <v>75</v>
      </c>
      <c r="Q28" s="44">
        <f t="shared" si="10"/>
        <v>150</v>
      </c>
      <c r="R28" s="50">
        <f t="shared" si="10"/>
        <v>210</v>
      </c>
    </row>
    <row r="29" spans="1:18" x14ac:dyDescent="0.25">
      <c r="A29" s="41">
        <f t="shared" si="13"/>
        <v>877</v>
      </c>
      <c r="B29" s="42">
        <f t="shared" si="13"/>
        <v>19</v>
      </c>
      <c r="C29" s="41" t="s">
        <v>2820</v>
      </c>
      <c r="D29" s="43">
        <f t="shared" si="7"/>
        <v>25</v>
      </c>
      <c r="E29" s="61">
        <f t="shared" si="0"/>
        <v>3.4090000000000007</v>
      </c>
      <c r="F29" s="61">
        <f t="shared" si="1"/>
        <v>42</v>
      </c>
      <c r="G29" s="64">
        <f t="shared" si="2"/>
        <v>0.58988764044943809</v>
      </c>
      <c r="H29" s="44">
        <f t="shared" si="8"/>
        <v>29.432344969112751</v>
      </c>
      <c r="I29" s="42" t="str">
        <f t="shared" ref="I29:N44" si="15">I28</f>
        <v>Half</v>
      </c>
      <c r="J29" s="50">
        <f t="shared" si="15"/>
        <v>6</v>
      </c>
      <c r="K29" s="49">
        <f t="shared" si="14"/>
        <v>160</v>
      </c>
      <c r="L29" s="44">
        <f t="shared" si="3"/>
        <v>8</v>
      </c>
      <c r="M29" s="44">
        <f t="shared" si="4"/>
        <v>-8</v>
      </c>
      <c r="N29" s="45">
        <f t="shared" si="14"/>
        <v>0.2</v>
      </c>
      <c r="O29" s="49">
        <f t="shared" si="11"/>
        <v>90</v>
      </c>
      <c r="P29" s="136">
        <v>0</v>
      </c>
      <c r="Q29" s="44">
        <f t="shared" ref="Q29:R44" si="16">Q28</f>
        <v>150</v>
      </c>
      <c r="R29" s="50">
        <f t="shared" si="16"/>
        <v>210</v>
      </c>
    </row>
    <row r="30" spans="1:18" x14ac:dyDescent="0.25">
      <c r="A30" s="41">
        <f t="shared" si="13"/>
        <v>878</v>
      </c>
      <c r="B30" s="42">
        <f t="shared" si="13"/>
        <v>20</v>
      </c>
      <c r="C30" s="41" t="s">
        <v>2821</v>
      </c>
      <c r="D30" s="43">
        <f t="shared" si="7"/>
        <v>25</v>
      </c>
      <c r="E30" s="61">
        <f t="shared" si="0"/>
        <v>3.4090000000000007</v>
      </c>
      <c r="F30" s="61">
        <f t="shared" si="1"/>
        <v>42</v>
      </c>
      <c r="G30" s="64">
        <f t="shared" si="2"/>
        <v>0.58988764044943809</v>
      </c>
      <c r="H30" s="44">
        <f t="shared" si="8"/>
        <v>29.432344969112751</v>
      </c>
      <c r="I30" s="42" t="str">
        <f t="shared" si="15"/>
        <v>Half</v>
      </c>
      <c r="J30" s="50">
        <f t="shared" si="15"/>
        <v>6</v>
      </c>
      <c r="K30" s="49">
        <f t="shared" si="14"/>
        <v>160</v>
      </c>
      <c r="L30" s="44">
        <f t="shared" si="3"/>
        <v>8</v>
      </c>
      <c r="M30" s="44">
        <f t="shared" si="4"/>
        <v>-8</v>
      </c>
      <c r="N30" s="45">
        <f t="shared" si="14"/>
        <v>0.2</v>
      </c>
      <c r="O30" s="49">
        <f t="shared" si="11"/>
        <v>90</v>
      </c>
      <c r="P30" s="53">
        <f>P29+15</f>
        <v>15</v>
      </c>
      <c r="Q30" s="44">
        <f t="shared" si="16"/>
        <v>150</v>
      </c>
      <c r="R30" s="50">
        <f t="shared" si="16"/>
        <v>210</v>
      </c>
    </row>
    <row r="31" spans="1:18" x14ac:dyDescent="0.25">
      <c r="A31" s="41">
        <f t="shared" si="13"/>
        <v>879</v>
      </c>
      <c r="B31" s="42">
        <f t="shared" si="13"/>
        <v>21</v>
      </c>
      <c r="C31" s="41" t="s">
        <v>2822</v>
      </c>
      <c r="D31" s="43">
        <f t="shared" si="7"/>
        <v>25</v>
      </c>
      <c r="E31" s="61">
        <f t="shared" si="0"/>
        <v>3.4090000000000007</v>
      </c>
      <c r="F31" s="61">
        <f t="shared" si="1"/>
        <v>42</v>
      </c>
      <c r="G31" s="64">
        <f t="shared" si="2"/>
        <v>0.58988764044943809</v>
      </c>
      <c r="H31" s="44">
        <f t="shared" si="8"/>
        <v>29.432344969112751</v>
      </c>
      <c r="I31" s="42" t="str">
        <f t="shared" si="15"/>
        <v>Half</v>
      </c>
      <c r="J31" s="50">
        <f t="shared" si="15"/>
        <v>6</v>
      </c>
      <c r="K31" s="49">
        <f t="shared" si="14"/>
        <v>160</v>
      </c>
      <c r="L31" s="44">
        <f t="shared" si="3"/>
        <v>8</v>
      </c>
      <c r="M31" s="44">
        <f t="shared" si="4"/>
        <v>-8</v>
      </c>
      <c r="N31" s="45">
        <f t="shared" si="14"/>
        <v>0.2</v>
      </c>
      <c r="O31" s="49">
        <f>O25+30</f>
        <v>90</v>
      </c>
      <c r="P31" s="53">
        <f t="shared" si="12"/>
        <v>30</v>
      </c>
      <c r="Q31" s="44">
        <f t="shared" si="16"/>
        <v>150</v>
      </c>
      <c r="R31" s="50">
        <f t="shared" si="16"/>
        <v>210</v>
      </c>
    </row>
    <row r="32" spans="1:18" x14ac:dyDescent="0.25">
      <c r="A32" s="41">
        <f t="shared" si="13"/>
        <v>880</v>
      </c>
      <c r="B32" s="42">
        <f t="shared" si="13"/>
        <v>22</v>
      </c>
      <c r="C32" s="41" t="s">
        <v>2823</v>
      </c>
      <c r="D32" s="43">
        <f t="shared" si="7"/>
        <v>25</v>
      </c>
      <c r="E32" s="61">
        <f t="shared" si="0"/>
        <v>3.4090000000000007</v>
      </c>
      <c r="F32" s="61">
        <f t="shared" si="1"/>
        <v>42</v>
      </c>
      <c r="G32" s="64">
        <f t="shared" si="2"/>
        <v>0.58988764044943809</v>
      </c>
      <c r="H32" s="44">
        <f t="shared" si="8"/>
        <v>29.432344969112751</v>
      </c>
      <c r="I32" s="42" t="str">
        <f t="shared" si="15"/>
        <v>Half</v>
      </c>
      <c r="J32" s="50">
        <f t="shared" si="15"/>
        <v>6</v>
      </c>
      <c r="K32" s="49">
        <f t="shared" si="14"/>
        <v>160</v>
      </c>
      <c r="L32" s="44">
        <f t="shared" si="3"/>
        <v>8</v>
      </c>
      <c r="M32" s="44">
        <f t="shared" si="4"/>
        <v>-8</v>
      </c>
      <c r="N32" s="45">
        <f t="shared" si="14"/>
        <v>0.2</v>
      </c>
      <c r="O32" s="49">
        <f t="shared" si="11"/>
        <v>90</v>
      </c>
      <c r="P32" s="53">
        <f t="shared" si="12"/>
        <v>45</v>
      </c>
      <c r="Q32" s="44">
        <f t="shared" si="16"/>
        <v>150</v>
      </c>
      <c r="R32" s="50">
        <f t="shared" si="16"/>
        <v>210</v>
      </c>
    </row>
    <row r="33" spans="1:18" x14ac:dyDescent="0.25">
      <c r="A33" s="41">
        <f t="shared" si="13"/>
        <v>881</v>
      </c>
      <c r="B33" s="42">
        <f t="shared" si="13"/>
        <v>23</v>
      </c>
      <c r="C33" s="41" t="s">
        <v>2824</v>
      </c>
      <c r="D33" s="43">
        <f t="shared" si="7"/>
        <v>25</v>
      </c>
      <c r="E33" s="61">
        <f t="shared" si="0"/>
        <v>3.4090000000000007</v>
      </c>
      <c r="F33" s="61">
        <f t="shared" si="1"/>
        <v>42</v>
      </c>
      <c r="G33" s="64">
        <f t="shared" si="2"/>
        <v>0.58988764044943809</v>
      </c>
      <c r="H33" s="44">
        <f t="shared" si="8"/>
        <v>29.432344969112751</v>
      </c>
      <c r="I33" s="42" t="str">
        <f t="shared" si="15"/>
        <v>Half</v>
      </c>
      <c r="J33" s="50">
        <f t="shared" si="15"/>
        <v>6</v>
      </c>
      <c r="K33" s="49">
        <f t="shared" si="14"/>
        <v>160</v>
      </c>
      <c r="L33" s="44">
        <f t="shared" si="3"/>
        <v>8</v>
      </c>
      <c r="M33" s="44">
        <f t="shared" si="4"/>
        <v>-8</v>
      </c>
      <c r="N33" s="45">
        <f t="shared" si="14"/>
        <v>0.2</v>
      </c>
      <c r="O33" s="49">
        <f t="shared" si="11"/>
        <v>90</v>
      </c>
      <c r="P33" s="53">
        <f t="shared" si="12"/>
        <v>60</v>
      </c>
      <c r="Q33" s="44">
        <f t="shared" si="16"/>
        <v>150</v>
      </c>
      <c r="R33" s="50">
        <f t="shared" si="16"/>
        <v>210</v>
      </c>
    </row>
    <row r="34" spans="1:18" x14ac:dyDescent="0.25">
      <c r="A34" s="41">
        <f t="shared" si="13"/>
        <v>882</v>
      </c>
      <c r="B34" s="42">
        <f t="shared" si="13"/>
        <v>24</v>
      </c>
      <c r="C34" s="127" t="s">
        <v>2825</v>
      </c>
      <c r="D34" s="43">
        <f t="shared" si="7"/>
        <v>25</v>
      </c>
      <c r="E34" s="61">
        <f t="shared" si="0"/>
        <v>3.4090000000000007</v>
      </c>
      <c r="F34" s="61">
        <f t="shared" si="1"/>
        <v>42</v>
      </c>
      <c r="G34" s="64">
        <f t="shared" si="2"/>
        <v>0.58988764044943809</v>
      </c>
      <c r="H34" s="44">
        <f t="shared" si="8"/>
        <v>29.432344969112751</v>
      </c>
      <c r="I34" s="42" t="str">
        <f t="shared" si="15"/>
        <v>Half</v>
      </c>
      <c r="J34" s="50">
        <f t="shared" si="15"/>
        <v>6</v>
      </c>
      <c r="K34" s="49">
        <f t="shared" si="14"/>
        <v>160</v>
      </c>
      <c r="L34" s="44">
        <f t="shared" si="3"/>
        <v>8</v>
      </c>
      <c r="M34" s="44">
        <f t="shared" si="4"/>
        <v>-8</v>
      </c>
      <c r="N34" s="45">
        <f t="shared" si="14"/>
        <v>0.2</v>
      </c>
      <c r="O34" s="49">
        <f t="shared" si="11"/>
        <v>90</v>
      </c>
      <c r="P34" s="53">
        <f t="shared" si="12"/>
        <v>75</v>
      </c>
      <c r="Q34" s="44">
        <f t="shared" si="16"/>
        <v>150</v>
      </c>
      <c r="R34" s="50">
        <f t="shared" si="16"/>
        <v>210</v>
      </c>
    </row>
    <row r="35" spans="1:18" x14ac:dyDescent="0.25">
      <c r="A35" s="41">
        <f t="shared" si="13"/>
        <v>883</v>
      </c>
      <c r="B35" s="42">
        <f t="shared" si="13"/>
        <v>25</v>
      </c>
      <c r="C35" s="41" t="s">
        <v>2826</v>
      </c>
      <c r="D35" s="43">
        <f t="shared" si="7"/>
        <v>25</v>
      </c>
      <c r="E35" s="61">
        <f t="shared" si="0"/>
        <v>3.4090000000000007</v>
      </c>
      <c r="F35" s="61">
        <f t="shared" si="1"/>
        <v>42</v>
      </c>
      <c r="G35" s="64">
        <f t="shared" si="2"/>
        <v>0.58988764044943809</v>
      </c>
      <c r="H35" s="44">
        <f t="shared" si="8"/>
        <v>29.432344969112751</v>
      </c>
      <c r="I35" s="42" t="str">
        <f t="shared" si="15"/>
        <v>Half</v>
      </c>
      <c r="J35" s="50">
        <f t="shared" si="15"/>
        <v>6</v>
      </c>
      <c r="K35" s="49">
        <f t="shared" si="14"/>
        <v>160</v>
      </c>
      <c r="L35" s="44">
        <f t="shared" si="3"/>
        <v>8</v>
      </c>
      <c r="M35" s="44">
        <f t="shared" ref="M35:M58" si="17">yaw_null</f>
        <v>0</v>
      </c>
      <c r="N35" s="45">
        <f t="shared" si="14"/>
        <v>0.2</v>
      </c>
      <c r="O35" s="49">
        <v>0</v>
      </c>
      <c r="P35" s="136">
        <v>0</v>
      </c>
      <c r="Q35" s="44">
        <f t="shared" si="16"/>
        <v>150</v>
      </c>
      <c r="R35" s="50">
        <f t="shared" si="16"/>
        <v>210</v>
      </c>
    </row>
    <row r="36" spans="1:18" x14ac:dyDescent="0.25">
      <c r="A36" s="41">
        <f t="shared" si="13"/>
        <v>884</v>
      </c>
      <c r="B36" s="42">
        <f t="shared" si="13"/>
        <v>26</v>
      </c>
      <c r="C36" s="41" t="s">
        <v>2827</v>
      </c>
      <c r="D36" s="43">
        <f t="shared" si="7"/>
        <v>25</v>
      </c>
      <c r="E36" s="61">
        <f t="shared" si="0"/>
        <v>3.4090000000000007</v>
      </c>
      <c r="F36" s="61">
        <f t="shared" si="1"/>
        <v>42</v>
      </c>
      <c r="G36" s="64">
        <f t="shared" si="2"/>
        <v>0.58988764044943809</v>
      </c>
      <c r="H36" s="44">
        <f t="shared" si="8"/>
        <v>29.432344969112751</v>
      </c>
      <c r="I36" s="42" t="str">
        <f t="shared" si="15"/>
        <v>Half</v>
      </c>
      <c r="J36" s="50">
        <f t="shared" si="15"/>
        <v>6</v>
      </c>
      <c r="K36" s="49">
        <f t="shared" si="14"/>
        <v>160</v>
      </c>
      <c r="L36" s="44">
        <f t="shared" si="3"/>
        <v>8</v>
      </c>
      <c r="M36" s="44">
        <f t="shared" si="17"/>
        <v>0</v>
      </c>
      <c r="N36" s="45">
        <f t="shared" si="14"/>
        <v>0.2</v>
      </c>
      <c r="O36" s="49">
        <v>0</v>
      </c>
      <c r="P36" s="53">
        <f>P35+15</f>
        <v>15</v>
      </c>
      <c r="Q36" s="44">
        <f t="shared" si="16"/>
        <v>150</v>
      </c>
      <c r="R36" s="50">
        <f t="shared" si="16"/>
        <v>210</v>
      </c>
    </row>
    <row r="37" spans="1:18" x14ac:dyDescent="0.25">
      <c r="A37" s="41">
        <f t="shared" si="13"/>
        <v>885</v>
      </c>
      <c r="B37" s="42">
        <f t="shared" si="13"/>
        <v>27</v>
      </c>
      <c r="C37" s="41" t="s">
        <v>2828</v>
      </c>
      <c r="D37" s="43">
        <f t="shared" si="7"/>
        <v>25</v>
      </c>
      <c r="E37" s="61">
        <f t="shared" si="0"/>
        <v>3.4090000000000007</v>
      </c>
      <c r="F37" s="61">
        <f t="shared" si="1"/>
        <v>42</v>
      </c>
      <c r="G37" s="64">
        <f t="shared" si="2"/>
        <v>0.58988764044943809</v>
      </c>
      <c r="H37" s="44">
        <f t="shared" si="8"/>
        <v>29.432344969112751</v>
      </c>
      <c r="I37" s="42" t="str">
        <f t="shared" si="15"/>
        <v>Half</v>
      </c>
      <c r="J37" s="50">
        <f t="shared" si="15"/>
        <v>6</v>
      </c>
      <c r="K37" s="49">
        <f t="shared" si="14"/>
        <v>160</v>
      </c>
      <c r="L37" s="44">
        <f t="shared" si="3"/>
        <v>8</v>
      </c>
      <c r="M37" s="44">
        <f t="shared" si="17"/>
        <v>0</v>
      </c>
      <c r="N37" s="45">
        <f t="shared" si="14"/>
        <v>0.2</v>
      </c>
      <c r="O37" s="49">
        <v>0</v>
      </c>
      <c r="P37" s="53">
        <f t="shared" ref="P37:P46" si="18">P36+15</f>
        <v>30</v>
      </c>
      <c r="Q37" s="44">
        <f t="shared" si="16"/>
        <v>150</v>
      </c>
      <c r="R37" s="50">
        <f t="shared" si="16"/>
        <v>210</v>
      </c>
    </row>
    <row r="38" spans="1:18" x14ac:dyDescent="0.25">
      <c r="A38" s="41">
        <f t="shared" si="13"/>
        <v>886</v>
      </c>
      <c r="B38" s="42">
        <f t="shared" si="13"/>
        <v>28</v>
      </c>
      <c r="C38" s="41" t="s">
        <v>2829</v>
      </c>
      <c r="D38" s="43">
        <f t="shared" si="7"/>
        <v>25</v>
      </c>
      <c r="E38" s="61">
        <f t="shared" si="0"/>
        <v>3.4090000000000007</v>
      </c>
      <c r="F38" s="61">
        <f t="shared" si="1"/>
        <v>42</v>
      </c>
      <c r="G38" s="64">
        <f t="shared" si="2"/>
        <v>0.58988764044943809</v>
      </c>
      <c r="H38" s="44">
        <f t="shared" si="8"/>
        <v>29.432344969112751</v>
      </c>
      <c r="I38" s="42" t="str">
        <f t="shared" si="15"/>
        <v>Half</v>
      </c>
      <c r="J38" s="50">
        <f t="shared" si="15"/>
        <v>6</v>
      </c>
      <c r="K38" s="49">
        <f t="shared" si="14"/>
        <v>160</v>
      </c>
      <c r="L38" s="44">
        <f t="shared" si="3"/>
        <v>8</v>
      </c>
      <c r="M38" s="44">
        <f t="shared" si="17"/>
        <v>0</v>
      </c>
      <c r="N38" s="45">
        <f t="shared" si="14"/>
        <v>0.2</v>
      </c>
      <c r="O38" s="49">
        <v>0</v>
      </c>
      <c r="P38" s="53">
        <f t="shared" si="18"/>
        <v>45</v>
      </c>
      <c r="Q38" s="44">
        <f t="shared" si="16"/>
        <v>150</v>
      </c>
      <c r="R38" s="50">
        <f t="shared" si="16"/>
        <v>210</v>
      </c>
    </row>
    <row r="39" spans="1:18" x14ac:dyDescent="0.25">
      <c r="A39" s="41">
        <f t="shared" si="13"/>
        <v>887</v>
      </c>
      <c r="B39" s="42">
        <f t="shared" si="13"/>
        <v>29</v>
      </c>
      <c r="C39" s="41" t="s">
        <v>2830</v>
      </c>
      <c r="D39" s="43">
        <f t="shared" si="7"/>
        <v>25</v>
      </c>
      <c r="E39" s="61">
        <f t="shared" si="0"/>
        <v>3.4090000000000007</v>
      </c>
      <c r="F39" s="61">
        <f t="shared" si="1"/>
        <v>42</v>
      </c>
      <c r="G39" s="64">
        <f t="shared" si="2"/>
        <v>0.58988764044943809</v>
      </c>
      <c r="H39" s="44">
        <f t="shared" si="8"/>
        <v>29.432344969112751</v>
      </c>
      <c r="I39" s="42" t="str">
        <f t="shared" si="15"/>
        <v>Half</v>
      </c>
      <c r="J39" s="50">
        <f t="shared" si="15"/>
        <v>6</v>
      </c>
      <c r="K39" s="49">
        <f t="shared" si="14"/>
        <v>160</v>
      </c>
      <c r="L39" s="44">
        <f t="shared" si="3"/>
        <v>8</v>
      </c>
      <c r="M39" s="44">
        <f t="shared" si="17"/>
        <v>0</v>
      </c>
      <c r="N39" s="45">
        <f t="shared" si="14"/>
        <v>0.2</v>
      </c>
      <c r="O39" s="49">
        <v>0</v>
      </c>
      <c r="P39" s="53">
        <f t="shared" si="18"/>
        <v>60</v>
      </c>
      <c r="Q39" s="44">
        <f t="shared" si="16"/>
        <v>150</v>
      </c>
      <c r="R39" s="50">
        <f t="shared" si="16"/>
        <v>210</v>
      </c>
    </row>
    <row r="40" spans="1:18" x14ac:dyDescent="0.25">
      <c r="A40" s="41">
        <f t="shared" si="13"/>
        <v>888</v>
      </c>
      <c r="B40" s="42">
        <f t="shared" si="13"/>
        <v>30</v>
      </c>
      <c r="C40" s="41" t="s">
        <v>2831</v>
      </c>
      <c r="D40" s="43">
        <f t="shared" si="7"/>
        <v>25</v>
      </c>
      <c r="E40" s="61">
        <f t="shared" si="0"/>
        <v>3.4090000000000007</v>
      </c>
      <c r="F40" s="61">
        <f t="shared" si="1"/>
        <v>42</v>
      </c>
      <c r="G40" s="64">
        <f t="shared" si="2"/>
        <v>0.58988764044943809</v>
      </c>
      <c r="H40" s="44">
        <f t="shared" si="8"/>
        <v>29.432344969112751</v>
      </c>
      <c r="I40" s="42" t="str">
        <f t="shared" si="15"/>
        <v>Half</v>
      </c>
      <c r="J40" s="50">
        <f t="shared" si="15"/>
        <v>6</v>
      </c>
      <c r="K40" s="49">
        <f t="shared" si="14"/>
        <v>160</v>
      </c>
      <c r="L40" s="44">
        <f t="shared" si="3"/>
        <v>8</v>
      </c>
      <c r="M40" s="44">
        <f t="shared" si="17"/>
        <v>0</v>
      </c>
      <c r="N40" s="45">
        <f t="shared" si="14"/>
        <v>0.2</v>
      </c>
      <c r="O40" s="49">
        <v>0</v>
      </c>
      <c r="P40" s="135">
        <f t="shared" si="18"/>
        <v>75</v>
      </c>
      <c r="Q40" s="44">
        <f t="shared" si="16"/>
        <v>150</v>
      </c>
      <c r="R40" s="50">
        <f t="shared" si="16"/>
        <v>210</v>
      </c>
    </row>
    <row r="41" spans="1:18" x14ac:dyDescent="0.25">
      <c r="A41" s="41">
        <f t="shared" si="13"/>
        <v>889</v>
      </c>
      <c r="B41" s="42">
        <f t="shared" si="13"/>
        <v>31</v>
      </c>
      <c r="C41" s="41" t="s">
        <v>2832</v>
      </c>
      <c r="D41" s="43">
        <f t="shared" si="7"/>
        <v>25</v>
      </c>
      <c r="E41" s="61">
        <f t="shared" si="0"/>
        <v>3.4090000000000007</v>
      </c>
      <c r="F41" s="61">
        <f t="shared" si="1"/>
        <v>42</v>
      </c>
      <c r="G41" s="64">
        <f t="shared" si="2"/>
        <v>0.58988764044943809</v>
      </c>
      <c r="H41" s="44">
        <f t="shared" si="8"/>
        <v>29.432344969112751</v>
      </c>
      <c r="I41" s="42" t="str">
        <f t="shared" si="15"/>
        <v>Half</v>
      </c>
      <c r="J41" s="50">
        <f t="shared" si="15"/>
        <v>6</v>
      </c>
      <c r="K41" s="49">
        <f t="shared" si="14"/>
        <v>160</v>
      </c>
      <c r="L41" s="44">
        <f t="shared" si="3"/>
        <v>8</v>
      </c>
      <c r="M41" s="44">
        <f t="shared" si="17"/>
        <v>0</v>
      </c>
      <c r="N41" s="45">
        <f t="shared" si="14"/>
        <v>0.2</v>
      </c>
      <c r="O41" s="49">
        <f>O35+30</f>
        <v>30</v>
      </c>
      <c r="P41" s="136">
        <v>0</v>
      </c>
      <c r="Q41" s="44">
        <f t="shared" si="16"/>
        <v>150</v>
      </c>
      <c r="R41" s="50">
        <f t="shared" si="16"/>
        <v>210</v>
      </c>
    </row>
    <row r="42" spans="1:18" x14ac:dyDescent="0.25">
      <c r="A42" s="41">
        <f t="shared" si="13"/>
        <v>890</v>
      </c>
      <c r="B42" s="42">
        <f t="shared" si="13"/>
        <v>32</v>
      </c>
      <c r="C42" s="41" t="s">
        <v>2833</v>
      </c>
      <c r="D42" s="43">
        <f t="shared" si="7"/>
        <v>25</v>
      </c>
      <c r="E42" s="61">
        <f t="shared" si="0"/>
        <v>3.4090000000000007</v>
      </c>
      <c r="F42" s="61">
        <f t="shared" si="1"/>
        <v>42</v>
      </c>
      <c r="G42" s="64">
        <f t="shared" si="2"/>
        <v>0.58988764044943809</v>
      </c>
      <c r="H42" s="44">
        <f t="shared" si="8"/>
        <v>29.432344969112751</v>
      </c>
      <c r="I42" s="42" t="str">
        <f t="shared" si="15"/>
        <v>Half</v>
      </c>
      <c r="J42" s="50">
        <f t="shared" si="15"/>
        <v>6</v>
      </c>
      <c r="K42" s="49">
        <f t="shared" si="14"/>
        <v>160</v>
      </c>
      <c r="L42" s="44">
        <f t="shared" si="3"/>
        <v>8</v>
      </c>
      <c r="M42" s="44">
        <f t="shared" si="17"/>
        <v>0</v>
      </c>
      <c r="N42" s="45">
        <f t="shared" si="14"/>
        <v>0.2</v>
      </c>
      <c r="O42" s="49">
        <f t="shared" ref="O42:O58" si="19">O36+30</f>
        <v>30</v>
      </c>
      <c r="P42" s="53">
        <f>P41+15</f>
        <v>15</v>
      </c>
      <c r="Q42" s="44">
        <f t="shared" si="16"/>
        <v>150</v>
      </c>
      <c r="R42" s="50">
        <f t="shared" si="16"/>
        <v>210</v>
      </c>
    </row>
    <row r="43" spans="1:18" x14ac:dyDescent="0.25">
      <c r="A43" s="41">
        <f t="shared" si="13"/>
        <v>891</v>
      </c>
      <c r="B43" s="42">
        <f t="shared" si="13"/>
        <v>33</v>
      </c>
      <c r="C43" s="41" t="s">
        <v>2834</v>
      </c>
      <c r="D43" s="43">
        <f t="shared" si="7"/>
        <v>25</v>
      </c>
      <c r="E43" s="61">
        <f t="shared" si="0"/>
        <v>3.4090000000000007</v>
      </c>
      <c r="F43" s="61">
        <f t="shared" si="1"/>
        <v>42</v>
      </c>
      <c r="G43" s="64">
        <f t="shared" si="2"/>
        <v>0.58988764044943809</v>
      </c>
      <c r="H43" s="44">
        <f t="shared" si="8"/>
        <v>29.432344969112751</v>
      </c>
      <c r="I43" s="42" t="s">
        <v>12</v>
      </c>
      <c r="J43" s="50">
        <f t="shared" si="15"/>
        <v>6</v>
      </c>
      <c r="K43" s="49">
        <f t="shared" si="14"/>
        <v>160</v>
      </c>
      <c r="L43" s="44">
        <f t="shared" si="3"/>
        <v>8</v>
      </c>
      <c r="M43" s="44">
        <f t="shared" si="17"/>
        <v>0</v>
      </c>
      <c r="N43" s="45">
        <f t="shared" si="14"/>
        <v>0.2</v>
      </c>
      <c r="O43" s="49">
        <f t="shared" si="19"/>
        <v>30</v>
      </c>
      <c r="P43" s="53">
        <f t="shared" si="18"/>
        <v>30</v>
      </c>
      <c r="Q43" s="44">
        <f t="shared" si="16"/>
        <v>150</v>
      </c>
      <c r="R43" s="50">
        <f t="shared" si="16"/>
        <v>210</v>
      </c>
    </row>
    <row r="44" spans="1:18" x14ac:dyDescent="0.25">
      <c r="A44" s="41">
        <f t="shared" ref="A44:B59" si="20">A43+1</f>
        <v>892</v>
      </c>
      <c r="B44" s="42">
        <f t="shared" si="20"/>
        <v>34</v>
      </c>
      <c r="C44" s="41" t="s">
        <v>2835</v>
      </c>
      <c r="D44" s="43">
        <f t="shared" si="7"/>
        <v>25</v>
      </c>
      <c r="E44" s="61">
        <f t="shared" si="0"/>
        <v>3.4090000000000007</v>
      </c>
      <c r="F44" s="61">
        <f t="shared" si="1"/>
        <v>42</v>
      </c>
      <c r="G44" s="64">
        <f t="shared" si="2"/>
        <v>0.58988764044943809</v>
      </c>
      <c r="H44" s="44">
        <f t="shared" si="8"/>
        <v>29.432344969112751</v>
      </c>
      <c r="I44" s="42" t="str">
        <f>I43</f>
        <v>Half</v>
      </c>
      <c r="J44" s="50">
        <f t="shared" si="15"/>
        <v>6</v>
      </c>
      <c r="K44" s="49">
        <f t="shared" si="15"/>
        <v>160</v>
      </c>
      <c r="L44" s="44">
        <f t="shared" si="3"/>
        <v>8</v>
      </c>
      <c r="M44" s="44">
        <f t="shared" si="17"/>
        <v>0</v>
      </c>
      <c r="N44" s="45">
        <f t="shared" si="15"/>
        <v>0.2</v>
      </c>
      <c r="O44" s="49">
        <f t="shared" si="19"/>
        <v>30</v>
      </c>
      <c r="P44" s="53">
        <f t="shared" si="18"/>
        <v>45</v>
      </c>
      <c r="Q44" s="44">
        <f t="shared" si="16"/>
        <v>150</v>
      </c>
      <c r="R44" s="50">
        <f t="shared" si="16"/>
        <v>210</v>
      </c>
    </row>
    <row r="45" spans="1:18" x14ac:dyDescent="0.25">
      <c r="A45" s="41">
        <f t="shared" si="20"/>
        <v>893</v>
      </c>
      <c r="B45" s="42">
        <f t="shared" si="20"/>
        <v>35</v>
      </c>
      <c r="C45" s="41" t="s">
        <v>2836</v>
      </c>
      <c r="D45" s="43">
        <f t="shared" si="7"/>
        <v>25</v>
      </c>
      <c r="E45" s="61">
        <f t="shared" si="0"/>
        <v>3.4090000000000007</v>
      </c>
      <c r="F45" s="61">
        <f t="shared" si="1"/>
        <v>42</v>
      </c>
      <c r="G45" s="64">
        <f t="shared" si="2"/>
        <v>0.58988764044943809</v>
      </c>
      <c r="H45" s="44">
        <f t="shared" si="8"/>
        <v>29.432344969112751</v>
      </c>
      <c r="I45" s="42" t="str">
        <f t="shared" ref="I45:N60" si="21">I44</f>
        <v>Half</v>
      </c>
      <c r="J45" s="50">
        <f t="shared" si="21"/>
        <v>6</v>
      </c>
      <c r="K45" s="49">
        <f t="shared" si="21"/>
        <v>160</v>
      </c>
      <c r="L45" s="44">
        <f t="shared" si="3"/>
        <v>8</v>
      </c>
      <c r="M45" s="44">
        <f t="shared" si="17"/>
        <v>0</v>
      </c>
      <c r="N45" s="45">
        <f t="shared" si="21"/>
        <v>0.2</v>
      </c>
      <c r="O45" s="49">
        <f t="shared" si="19"/>
        <v>30</v>
      </c>
      <c r="P45" s="53">
        <f t="shared" si="18"/>
        <v>60</v>
      </c>
      <c r="Q45" s="44">
        <f t="shared" ref="Q45:R60" si="22">Q44</f>
        <v>150</v>
      </c>
      <c r="R45" s="50">
        <f t="shared" si="22"/>
        <v>210</v>
      </c>
    </row>
    <row r="46" spans="1:18" x14ac:dyDescent="0.25">
      <c r="A46" s="41">
        <f t="shared" si="20"/>
        <v>894</v>
      </c>
      <c r="B46" s="42">
        <f t="shared" si="20"/>
        <v>36</v>
      </c>
      <c r="C46" s="41" t="s">
        <v>2837</v>
      </c>
      <c r="D46" s="43">
        <f t="shared" si="7"/>
        <v>25</v>
      </c>
      <c r="E46" s="61">
        <f t="shared" si="0"/>
        <v>3.4090000000000007</v>
      </c>
      <c r="F46" s="61">
        <f t="shared" si="1"/>
        <v>42</v>
      </c>
      <c r="G46" s="64">
        <f t="shared" si="2"/>
        <v>0.58988764044943809</v>
      </c>
      <c r="H46" s="44">
        <f t="shared" si="8"/>
        <v>29.432344969112751</v>
      </c>
      <c r="I46" s="42" t="str">
        <f t="shared" si="21"/>
        <v>Half</v>
      </c>
      <c r="J46" s="50">
        <f t="shared" si="21"/>
        <v>6</v>
      </c>
      <c r="K46" s="49">
        <f t="shared" si="21"/>
        <v>160</v>
      </c>
      <c r="L46" s="44">
        <f t="shared" si="3"/>
        <v>8</v>
      </c>
      <c r="M46" s="44">
        <f t="shared" si="17"/>
        <v>0</v>
      </c>
      <c r="N46" s="45">
        <f t="shared" si="21"/>
        <v>0.2</v>
      </c>
      <c r="O46" s="49">
        <f t="shared" si="19"/>
        <v>30</v>
      </c>
      <c r="P46" s="53">
        <f t="shared" si="18"/>
        <v>75</v>
      </c>
      <c r="Q46" s="44">
        <f t="shared" si="22"/>
        <v>150</v>
      </c>
      <c r="R46" s="50">
        <f t="shared" si="22"/>
        <v>210</v>
      </c>
    </row>
    <row r="47" spans="1:18" x14ac:dyDescent="0.25">
      <c r="A47" s="41">
        <f t="shared" si="20"/>
        <v>895</v>
      </c>
      <c r="B47" s="42">
        <f t="shared" si="20"/>
        <v>37</v>
      </c>
      <c r="C47" s="41" t="s">
        <v>2838</v>
      </c>
      <c r="D47" s="43">
        <f t="shared" si="7"/>
        <v>25</v>
      </c>
      <c r="E47" s="61">
        <f t="shared" si="0"/>
        <v>3.4090000000000007</v>
      </c>
      <c r="F47" s="61">
        <f t="shared" si="1"/>
        <v>42</v>
      </c>
      <c r="G47" s="64">
        <f t="shared" si="2"/>
        <v>0.58988764044943809</v>
      </c>
      <c r="H47" s="44">
        <f t="shared" si="8"/>
        <v>29.432344969112751</v>
      </c>
      <c r="I47" s="42" t="str">
        <f t="shared" si="21"/>
        <v>Half</v>
      </c>
      <c r="J47" s="50">
        <f t="shared" si="21"/>
        <v>6</v>
      </c>
      <c r="K47" s="49">
        <f t="shared" si="21"/>
        <v>160</v>
      </c>
      <c r="L47" s="44">
        <f t="shared" si="3"/>
        <v>8</v>
      </c>
      <c r="M47" s="44">
        <f t="shared" si="17"/>
        <v>0</v>
      </c>
      <c r="N47" s="45">
        <f t="shared" si="21"/>
        <v>0.2</v>
      </c>
      <c r="O47" s="49">
        <f t="shared" si="19"/>
        <v>60</v>
      </c>
      <c r="P47" s="136">
        <v>0</v>
      </c>
      <c r="Q47" s="44">
        <f t="shared" si="22"/>
        <v>150</v>
      </c>
      <c r="R47" s="50">
        <f t="shared" si="22"/>
        <v>210</v>
      </c>
    </row>
    <row r="48" spans="1:18" x14ac:dyDescent="0.25">
      <c r="A48" s="41">
        <f>A47+1</f>
        <v>896</v>
      </c>
      <c r="B48" s="42">
        <f>B47+1</f>
        <v>38</v>
      </c>
      <c r="C48" s="41" t="s">
        <v>2839</v>
      </c>
      <c r="D48" s="43">
        <f t="shared" si="7"/>
        <v>25</v>
      </c>
      <c r="E48" s="61">
        <f t="shared" si="0"/>
        <v>3.4090000000000007</v>
      </c>
      <c r="F48" s="61">
        <f t="shared" si="1"/>
        <v>42</v>
      </c>
      <c r="G48" s="64">
        <f t="shared" si="2"/>
        <v>0.58988764044943809</v>
      </c>
      <c r="H48" s="44">
        <f t="shared" si="8"/>
        <v>29.432344969112751</v>
      </c>
      <c r="I48" s="42" t="str">
        <f t="shared" si="21"/>
        <v>Half</v>
      </c>
      <c r="J48" s="50">
        <f t="shared" si="21"/>
        <v>6</v>
      </c>
      <c r="K48" s="49">
        <f t="shared" si="21"/>
        <v>160</v>
      </c>
      <c r="L48" s="44">
        <f t="shared" si="3"/>
        <v>8</v>
      </c>
      <c r="M48" s="44">
        <f t="shared" si="17"/>
        <v>0</v>
      </c>
      <c r="N48" s="45">
        <f t="shared" si="21"/>
        <v>0.2</v>
      </c>
      <c r="O48" s="49">
        <f t="shared" si="19"/>
        <v>60</v>
      </c>
      <c r="P48" s="53">
        <f>P47+15</f>
        <v>15</v>
      </c>
      <c r="Q48" s="44">
        <f t="shared" si="22"/>
        <v>150</v>
      </c>
      <c r="R48" s="50">
        <f t="shared" si="22"/>
        <v>210</v>
      </c>
    </row>
    <row r="49" spans="1:18" x14ac:dyDescent="0.25">
      <c r="A49" s="41">
        <f t="shared" si="20"/>
        <v>897</v>
      </c>
      <c r="B49" s="42">
        <f t="shared" si="20"/>
        <v>39</v>
      </c>
      <c r="C49" s="41" t="s">
        <v>2840</v>
      </c>
      <c r="D49" s="43">
        <f t="shared" si="7"/>
        <v>25</v>
      </c>
      <c r="E49" s="61">
        <f t="shared" si="0"/>
        <v>3.4090000000000007</v>
      </c>
      <c r="F49" s="61">
        <f t="shared" si="1"/>
        <v>42</v>
      </c>
      <c r="G49" s="64">
        <f t="shared" si="2"/>
        <v>0.58988764044943809</v>
      </c>
      <c r="H49" s="44">
        <f t="shared" si="8"/>
        <v>29.432344969112751</v>
      </c>
      <c r="I49" s="42" t="str">
        <f t="shared" si="21"/>
        <v>Half</v>
      </c>
      <c r="J49" s="50">
        <f t="shared" si="21"/>
        <v>6</v>
      </c>
      <c r="K49" s="49">
        <f t="shared" si="21"/>
        <v>160</v>
      </c>
      <c r="L49" s="44">
        <f t="shared" si="3"/>
        <v>8</v>
      </c>
      <c r="M49" s="44">
        <f t="shared" si="17"/>
        <v>0</v>
      </c>
      <c r="N49" s="45">
        <f t="shared" si="21"/>
        <v>0.2</v>
      </c>
      <c r="O49" s="49">
        <f t="shared" si="19"/>
        <v>60</v>
      </c>
      <c r="P49" s="53">
        <f t="shared" ref="P49:P58" si="23">P48+15</f>
        <v>30</v>
      </c>
      <c r="Q49" s="44">
        <f t="shared" si="22"/>
        <v>150</v>
      </c>
      <c r="R49" s="50">
        <f t="shared" si="22"/>
        <v>210</v>
      </c>
    </row>
    <row r="50" spans="1:18" x14ac:dyDescent="0.25">
      <c r="A50" s="41">
        <f t="shared" si="20"/>
        <v>898</v>
      </c>
      <c r="B50" s="42">
        <f t="shared" si="20"/>
        <v>40</v>
      </c>
      <c r="C50" s="41" t="s">
        <v>2841</v>
      </c>
      <c r="D50" s="43">
        <f t="shared" si="7"/>
        <v>25</v>
      </c>
      <c r="E50" s="61">
        <f t="shared" si="0"/>
        <v>3.4090000000000007</v>
      </c>
      <c r="F50" s="61">
        <f t="shared" si="1"/>
        <v>42</v>
      </c>
      <c r="G50" s="64">
        <f t="shared" si="2"/>
        <v>0.58988764044943809</v>
      </c>
      <c r="H50" s="44">
        <f t="shared" si="8"/>
        <v>29.432344969112751</v>
      </c>
      <c r="I50" s="42" t="str">
        <f t="shared" si="21"/>
        <v>Half</v>
      </c>
      <c r="J50" s="50">
        <f t="shared" si="21"/>
        <v>6</v>
      </c>
      <c r="K50" s="49">
        <f t="shared" si="21"/>
        <v>160</v>
      </c>
      <c r="L50" s="44">
        <f t="shared" si="3"/>
        <v>8</v>
      </c>
      <c r="M50" s="44">
        <f t="shared" si="17"/>
        <v>0</v>
      </c>
      <c r="N50" s="45">
        <f t="shared" si="21"/>
        <v>0.2</v>
      </c>
      <c r="O50" s="49">
        <f t="shared" si="19"/>
        <v>60</v>
      </c>
      <c r="P50" s="53">
        <f t="shared" si="23"/>
        <v>45</v>
      </c>
      <c r="Q50" s="44">
        <f t="shared" si="22"/>
        <v>150</v>
      </c>
      <c r="R50" s="50">
        <f t="shared" si="22"/>
        <v>210</v>
      </c>
    </row>
    <row r="51" spans="1:18" x14ac:dyDescent="0.25">
      <c r="A51" s="41">
        <f t="shared" si="20"/>
        <v>899</v>
      </c>
      <c r="B51" s="42">
        <f t="shared" si="20"/>
        <v>41</v>
      </c>
      <c r="C51" s="41" t="s">
        <v>2842</v>
      </c>
      <c r="D51" s="43">
        <f t="shared" si="7"/>
        <v>25</v>
      </c>
      <c r="E51" s="61">
        <f t="shared" si="0"/>
        <v>3.4090000000000007</v>
      </c>
      <c r="F51" s="61">
        <f t="shared" si="1"/>
        <v>42</v>
      </c>
      <c r="G51" s="64">
        <f t="shared" si="2"/>
        <v>0.58988764044943809</v>
      </c>
      <c r="H51" s="44">
        <f t="shared" si="8"/>
        <v>29.432344969112751</v>
      </c>
      <c r="I51" s="42" t="str">
        <f t="shared" si="21"/>
        <v>Half</v>
      </c>
      <c r="J51" s="50">
        <f t="shared" si="21"/>
        <v>6</v>
      </c>
      <c r="K51" s="49">
        <f t="shared" si="21"/>
        <v>160</v>
      </c>
      <c r="L51" s="44">
        <f t="shared" si="3"/>
        <v>8</v>
      </c>
      <c r="M51" s="44">
        <f t="shared" si="17"/>
        <v>0</v>
      </c>
      <c r="N51" s="45">
        <f t="shared" si="21"/>
        <v>0.2</v>
      </c>
      <c r="O51" s="49">
        <f t="shared" si="19"/>
        <v>60</v>
      </c>
      <c r="P51" s="53">
        <f t="shared" si="23"/>
        <v>60</v>
      </c>
      <c r="Q51" s="44">
        <f t="shared" si="22"/>
        <v>150</v>
      </c>
      <c r="R51" s="50">
        <f t="shared" si="22"/>
        <v>210</v>
      </c>
    </row>
    <row r="52" spans="1:18" x14ac:dyDescent="0.25">
      <c r="A52" s="41">
        <f t="shared" si="20"/>
        <v>900</v>
      </c>
      <c r="B52" s="42">
        <f t="shared" si="20"/>
        <v>42</v>
      </c>
      <c r="C52" s="41" t="s">
        <v>2843</v>
      </c>
      <c r="D52" s="43">
        <f t="shared" si="7"/>
        <v>25</v>
      </c>
      <c r="E52" s="61">
        <f t="shared" si="0"/>
        <v>3.4090000000000007</v>
      </c>
      <c r="F52" s="61">
        <f t="shared" si="1"/>
        <v>42</v>
      </c>
      <c r="G52" s="64">
        <f t="shared" si="2"/>
        <v>0.58988764044943809</v>
      </c>
      <c r="H52" s="44">
        <f t="shared" si="8"/>
        <v>29.432344969112751</v>
      </c>
      <c r="I52" s="42" t="str">
        <f t="shared" si="21"/>
        <v>Half</v>
      </c>
      <c r="J52" s="50">
        <f t="shared" si="21"/>
        <v>6</v>
      </c>
      <c r="K52" s="49">
        <f t="shared" si="21"/>
        <v>160</v>
      </c>
      <c r="L52" s="44">
        <f t="shared" si="3"/>
        <v>8</v>
      </c>
      <c r="M52" s="44">
        <f t="shared" si="17"/>
        <v>0</v>
      </c>
      <c r="N52" s="45">
        <f t="shared" si="21"/>
        <v>0.2</v>
      </c>
      <c r="O52" s="49">
        <f t="shared" si="19"/>
        <v>60</v>
      </c>
      <c r="P52" s="135">
        <f t="shared" si="23"/>
        <v>75</v>
      </c>
      <c r="Q52" s="44">
        <f t="shared" si="22"/>
        <v>150</v>
      </c>
      <c r="R52" s="50">
        <f t="shared" si="22"/>
        <v>210</v>
      </c>
    </row>
    <row r="53" spans="1:18" x14ac:dyDescent="0.25">
      <c r="A53" s="41">
        <f t="shared" si="20"/>
        <v>901</v>
      </c>
      <c r="B53" s="42">
        <f t="shared" si="20"/>
        <v>43</v>
      </c>
      <c r="C53" s="41" t="s">
        <v>2844</v>
      </c>
      <c r="D53" s="43">
        <f t="shared" si="7"/>
        <v>25</v>
      </c>
      <c r="E53" s="61">
        <f t="shared" si="0"/>
        <v>3.4090000000000007</v>
      </c>
      <c r="F53" s="61">
        <f t="shared" si="1"/>
        <v>42</v>
      </c>
      <c r="G53" s="64">
        <f t="shared" si="2"/>
        <v>0.58988764044943809</v>
      </c>
      <c r="H53" s="44">
        <f t="shared" si="8"/>
        <v>29.432344969112751</v>
      </c>
      <c r="I53" s="42" t="str">
        <f t="shared" si="21"/>
        <v>Half</v>
      </c>
      <c r="J53" s="50">
        <f t="shared" si="21"/>
        <v>6</v>
      </c>
      <c r="K53" s="49">
        <f t="shared" si="21"/>
        <v>160</v>
      </c>
      <c r="L53" s="44">
        <f t="shared" si="3"/>
        <v>8</v>
      </c>
      <c r="M53" s="44">
        <f t="shared" si="17"/>
        <v>0</v>
      </c>
      <c r="N53" s="45">
        <f t="shared" si="21"/>
        <v>0.2</v>
      </c>
      <c r="O53" s="49">
        <f t="shared" si="19"/>
        <v>90</v>
      </c>
      <c r="P53" s="136">
        <v>0</v>
      </c>
      <c r="Q53" s="44">
        <f t="shared" si="22"/>
        <v>150</v>
      </c>
      <c r="R53" s="50">
        <f t="shared" si="22"/>
        <v>210</v>
      </c>
    </row>
    <row r="54" spans="1:18" x14ac:dyDescent="0.25">
      <c r="A54" s="41">
        <f t="shared" si="20"/>
        <v>902</v>
      </c>
      <c r="B54" s="42">
        <f t="shared" si="20"/>
        <v>44</v>
      </c>
      <c r="C54" s="41" t="s">
        <v>2845</v>
      </c>
      <c r="D54" s="43">
        <f t="shared" si="7"/>
        <v>25</v>
      </c>
      <c r="E54" s="61">
        <f t="shared" si="0"/>
        <v>3.4090000000000007</v>
      </c>
      <c r="F54" s="61">
        <f t="shared" si="1"/>
        <v>42</v>
      </c>
      <c r="G54" s="64">
        <f t="shared" si="2"/>
        <v>0.58988764044943809</v>
      </c>
      <c r="H54" s="44">
        <f t="shared" si="8"/>
        <v>29.432344969112751</v>
      </c>
      <c r="I54" s="42" t="str">
        <f t="shared" si="21"/>
        <v>Half</v>
      </c>
      <c r="J54" s="50">
        <f t="shared" si="21"/>
        <v>6</v>
      </c>
      <c r="K54" s="49">
        <f t="shared" si="21"/>
        <v>160</v>
      </c>
      <c r="L54" s="44">
        <f t="shared" si="3"/>
        <v>8</v>
      </c>
      <c r="M54" s="44">
        <f t="shared" si="17"/>
        <v>0</v>
      </c>
      <c r="N54" s="45">
        <f t="shared" si="21"/>
        <v>0.2</v>
      </c>
      <c r="O54" s="49">
        <f t="shared" si="19"/>
        <v>90</v>
      </c>
      <c r="P54" s="53">
        <f>P53+15</f>
        <v>15</v>
      </c>
      <c r="Q54" s="44">
        <f t="shared" si="22"/>
        <v>150</v>
      </c>
      <c r="R54" s="50">
        <f t="shared" si="22"/>
        <v>210</v>
      </c>
    </row>
    <row r="55" spans="1:18" x14ac:dyDescent="0.25">
      <c r="A55" s="41">
        <f t="shared" si="20"/>
        <v>903</v>
      </c>
      <c r="B55" s="42">
        <f t="shared" si="20"/>
        <v>45</v>
      </c>
      <c r="C55" s="41" t="s">
        <v>2846</v>
      </c>
      <c r="D55" s="43">
        <f t="shared" si="7"/>
        <v>25</v>
      </c>
      <c r="E55" s="61">
        <f t="shared" si="0"/>
        <v>3.4090000000000007</v>
      </c>
      <c r="F55" s="61">
        <f t="shared" si="1"/>
        <v>42</v>
      </c>
      <c r="G55" s="64">
        <f t="shared" si="2"/>
        <v>0.58988764044943809</v>
      </c>
      <c r="H55" s="44">
        <f t="shared" si="8"/>
        <v>29.432344969112751</v>
      </c>
      <c r="I55" s="42" t="str">
        <f t="shared" si="21"/>
        <v>Half</v>
      </c>
      <c r="J55" s="50">
        <f t="shared" si="21"/>
        <v>6</v>
      </c>
      <c r="K55" s="49">
        <f t="shared" si="21"/>
        <v>160</v>
      </c>
      <c r="L55" s="44">
        <f t="shared" si="3"/>
        <v>8</v>
      </c>
      <c r="M55" s="44">
        <f t="shared" si="17"/>
        <v>0</v>
      </c>
      <c r="N55" s="45">
        <f t="shared" si="21"/>
        <v>0.2</v>
      </c>
      <c r="O55" s="49">
        <f>O49+30</f>
        <v>90</v>
      </c>
      <c r="P55" s="53">
        <f t="shared" si="23"/>
        <v>30</v>
      </c>
      <c r="Q55" s="44">
        <f t="shared" si="22"/>
        <v>150</v>
      </c>
      <c r="R55" s="50">
        <f t="shared" si="22"/>
        <v>210</v>
      </c>
    </row>
    <row r="56" spans="1:18" x14ac:dyDescent="0.25">
      <c r="A56" s="41">
        <f t="shared" si="20"/>
        <v>904</v>
      </c>
      <c r="B56" s="42">
        <f t="shared" si="20"/>
        <v>46</v>
      </c>
      <c r="C56" s="41" t="s">
        <v>2847</v>
      </c>
      <c r="D56" s="43">
        <f t="shared" si="7"/>
        <v>25</v>
      </c>
      <c r="E56" s="61">
        <f t="shared" si="0"/>
        <v>3.4090000000000007</v>
      </c>
      <c r="F56" s="61">
        <f t="shared" si="1"/>
        <v>42</v>
      </c>
      <c r="G56" s="64">
        <f t="shared" si="2"/>
        <v>0.58988764044943809</v>
      </c>
      <c r="H56" s="44">
        <f t="shared" si="8"/>
        <v>29.432344969112751</v>
      </c>
      <c r="I56" s="42" t="str">
        <f>I55</f>
        <v>Half</v>
      </c>
      <c r="J56" s="50">
        <f t="shared" si="21"/>
        <v>6</v>
      </c>
      <c r="K56" s="49">
        <f t="shared" si="21"/>
        <v>160</v>
      </c>
      <c r="L56" s="44">
        <f t="shared" si="3"/>
        <v>8</v>
      </c>
      <c r="M56" s="44">
        <f t="shared" si="17"/>
        <v>0</v>
      </c>
      <c r="N56" s="45">
        <f t="shared" si="21"/>
        <v>0.2</v>
      </c>
      <c r="O56" s="49">
        <f t="shared" si="19"/>
        <v>90</v>
      </c>
      <c r="P56" s="53">
        <f t="shared" si="23"/>
        <v>45</v>
      </c>
      <c r="Q56" s="44">
        <f t="shared" si="22"/>
        <v>150</v>
      </c>
      <c r="R56" s="50">
        <f t="shared" si="22"/>
        <v>210</v>
      </c>
    </row>
    <row r="57" spans="1:18" x14ac:dyDescent="0.25">
      <c r="A57" s="41">
        <f t="shared" si="20"/>
        <v>905</v>
      </c>
      <c r="B57" s="42">
        <f t="shared" si="20"/>
        <v>47</v>
      </c>
      <c r="C57" s="41" t="s">
        <v>2848</v>
      </c>
      <c r="D57" s="43">
        <f t="shared" si="7"/>
        <v>25</v>
      </c>
      <c r="E57" s="61">
        <f t="shared" si="0"/>
        <v>3.4090000000000007</v>
      </c>
      <c r="F57" s="61">
        <f t="shared" si="1"/>
        <v>42</v>
      </c>
      <c r="G57" s="64">
        <f t="shared" si="2"/>
        <v>0.58988764044943809</v>
      </c>
      <c r="H57" s="44">
        <f t="shared" si="8"/>
        <v>29.432344969112751</v>
      </c>
      <c r="I57" s="42" t="str">
        <f>I56</f>
        <v>Half</v>
      </c>
      <c r="J57" s="50">
        <f t="shared" si="21"/>
        <v>6</v>
      </c>
      <c r="K57" s="49">
        <f t="shared" si="21"/>
        <v>160</v>
      </c>
      <c r="L57" s="44">
        <f t="shared" si="3"/>
        <v>8</v>
      </c>
      <c r="M57" s="44">
        <f t="shared" si="17"/>
        <v>0</v>
      </c>
      <c r="N57" s="45">
        <f t="shared" si="21"/>
        <v>0.2</v>
      </c>
      <c r="O57" s="49">
        <f t="shared" si="19"/>
        <v>90</v>
      </c>
      <c r="P57" s="53">
        <f t="shared" si="23"/>
        <v>60</v>
      </c>
      <c r="Q57" s="44">
        <f t="shared" si="22"/>
        <v>150</v>
      </c>
      <c r="R57" s="50">
        <f t="shared" si="22"/>
        <v>210</v>
      </c>
    </row>
    <row r="58" spans="1:18" x14ac:dyDescent="0.25">
      <c r="A58" s="41">
        <f t="shared" si="20"/>
        <v>906</v>
      </c>
      <c r="B58" s="42">
        <f t="shared" si="20"/>
        <v>48</v>
      </c>
      <c r="C58" s="41" t="s">
        <v>2849</v>
      </c>
      <c r="D58" s="43">
        <f t="shared" si="7"/>
        <v>25</v>
      </c>
      <c r="E58" s="61">
        <f t="shared" si="0"/>
        <v>3.4090000000000007</v>
      </c>
      <c r="F58" s="61">
        <f t="shared" si="1"/>
        <v>42</v>
      </c>
      <c r="G58" s="64">
        <f t="shared" si="2"/>
        <v>0.58988764044943809</v>
      </c>
      <c r="H58" s="44">
        <f t="shared" si="8"/>
        <v>29.432344969112751</v>
      </c>
      <c r="I58" s="42" t="str">
        <f>I57</f>
        <v>Half</v>
      </c>
      <c r="J58" s="50">
        <f t="shared" si="21"/>
        <v>6</v>
      </c>
      <c r="K58" s="49">
        <f t="shared" si="21"/>
        <v>160</v>
      </c>
      <c r="L58" s="44">
        <f t="shared" si="3"/>
        <v>8</v>
      </c>
      <c r="M58" s="44">
        <f t="shared" si="17"/>
        <v>0</v>
      </c>
      <c r="N58" s="45">
        <f t="shared" si="21"/>
        <v>0.2</v>
      </c>
      <c r="O58" s="49">
        <f t="shared" si="19"/>
        <v>90</v>
      </c>
      <c r="P58" s="53">
        <f t="shared" si="23"/>
        <v>75</v>
      </c>
      <c r="Q58" s="44">
        <f t="shared" si="22"/>
        <v>150</v>
      </c>
      <c r="R58" s="50">
        <f t="shared" si="22"/>
        <v>210</v>
      </c>
    </row>
    <row r="59" spans="1:18" x14ac:dyDescent="0.25">
      <c r="A59" s="41">
        <f t="shared" si="20"/>
        <v>907</v>
      </c>
      <c r="B59" s="42">
        <f t="shared" si="20"/>
        <v>49</v>
      </c>
      <c r="C59" s="41" t="s">
        <v>2850</v>
      </c>
      <c r="D59" s="43">
        <f t="shared" si="7"/>
        <v>25</v>
      </c>
      <c r="E59" s="61">
        <f t="shared" si="0"/>
        <v>3.4090000000000007</v>
      </c>
      <c r="F59" s="61">
        <f t="shared" si="1"/>
        <v>42</v>
      </c>
      <c r="G59" s="64">
        <f t="shared" si="2"/>
        <v>0.58988764044943809</v>
      </c>
      <c r="H59" s="44">
        <f t="shared" si="8"/>
        <v>29.432344969112751</v>
      </c>
      <c r="I59" s="42" t="str">
        <f t="shared" si="21"/>
        <v>Half</v>
      </c>
      <c r="J59" s="50">
        <f t="shared" si="21"/>
        <v>6</v>
      </c>
      <c r="K59" s="49">
        <f t="shared" si="21"/>
        <v>160</v>
      </c>
      <c r="L59" s="44">
        <f t="shared" si="3"/>
        <v>8</v>
      </c>
      <c r="M59" s="44">
        <f t="shared" ref="M59:M82" si="24">yaw_max</f>
        <v>8</v>
      </c>
      <c r="N59" s="45">
        <f t="shared" si="21"/>
        <v>0.2</v>
      </c>
      <c r="O59" s="49">
        <v>0</v>
      </c>
      <c r="P59" s="136">
        <v>0</v>
      </c>
      <c r="Q59" s="44">
        <f t="shared" si="22"/>
        <v>150</v>
      </c>
      <c r="R59" s="50">
        <f t="shared" si="22"/>
        <v>210</v>
      </c>
    </row>
    <row r="60" spans="1:18" x14ac:dyDescent="0.25">
      <c r="A60" s="41">
        <f t="shared" ref="A60:B75" si="25">A59+1</f>
        <v>908</v>
      </c>
      <c r="B60" s="42">
        <f t="shared" si="25"/>
        <v>50</v>
      </c>
      <c r="C60" s="41" t="s">
        <v>2851</v>
      </c>
      <c r="D60" s="43">
        <f t="shared" si="7"/>
        <v>25</v>
      </c>
      <c r="E60" s="61">
        <f t="shared" si="0"/>
        <v>3.4090000000000007</v>
      </c>
      <c r="F60" s="61">
        <f t="shared" si="1"/>
        <v>42</v>
      </c>
      <c r="G60" s="64">
        <f t="shared" si="2"/>
        <v>0.58988764044943809</v>
      </c>
      <c r="H60" s="44">
        <f t="shared" si="8"/>
        <v>29.432344969112751</v>
      </c>
      <c r="I60" s="42" t="str">
        <f t="shared" si="21"/>
        <v>Half</v>
      </c>
      <c r="J60" s="50">
        <f t="shared" si="21"/>
        <v>6</v>
      </c>
      <c r="K60" s="49">
        <f t="shared" si="21"/>
        <v>160</v>
      </c>
      <c r="L60" s="44">
        <f t="shared" si="3"/>
        <v>8</v>
      </c>
      <c r="M60" s="44">
        <f t="shared" si="24"/>
        <v>8</v>
      </c>
      <c r="N60" s="45">
        <f t="shared" si="21"/>
        <v>0.2</v>
      </c>
      <c r="O60" s="49">
        <v>0</v>
      </c>
      <c r="P60" s="53">
        <f>P59+15</f>
        <v>15</v>
      </c>
      <c r="Q60" s="44">
        <f t="shared" si="22"/>
        <v>150</v>
      </c>
      <c r="R60" s="50">
        <f t="shared" si="22"/>
        <v>210</v>
      </c>
    </row>
    <row r="61" spans="1:18" x14ac:dyDescent="0.25">
      <c r="A61" s="41">
        <f t="shared" si="25"/>
        <v>909</v>
      </c>
      <c r="B61" s="42">
        <f t="shared" si="25"/>
        <v>51</v>
      </c>
      <c r="C61" s="41" t="s">
        <v>2852</v>
      </c>
      <c r="D61" s="43">
        <f t="shared" si="7"/>
        <v>25</v>
      </c>
      <c r="E61" s="61">
        <f t="shared" si="0"/>
        <v>3.4090000000000007</v>
      </c>
      <c r="F61" s="61">
        <f t="shared" si="1"/>
        <v>42</v>
      </c>
      <c r="G61" s="64">
        <f t="shared" si="2"/>
        <v>0.58988764044943809</v>
      </c>
      <c r="H61" s="44">
        <f t="shared" si="8"/>
        <v>29.432344969112751</v>
      </c>
      <c r="I61" s="42" t="str">
        <f t="shared" ref="I61:K76" si="26">I60</f>
        <v>Half</v>
      </c>
      <c r="J61" s="50">
        <f t="shared" si="26"/>
        <v>6</v>
      </c>
      <c r="K61" s="49">
        <f t="shared" si="26"/>
        <v>160</v>
      </c>
      <c r="L61" s="44">
        <f t="shared" si="3"/>
        <v>8</v>
      </c>
      <c r="M61" s="44">
        <f t="shared" si="24"/>
        <v>8</v>
      </c>
      <c r="N61" s="45">
        <f t="shared" ref="N61:N83" si="27">N60</f>
        <v>0.2</v>
      </c>
      <c r="O61" s="49">
        <v>0</v>
      </c>
      <c r="P61" s="53">
        <f t="shared" ref="P61:P64" si="28">P60+15</f>
        <v>30</v>
      </c>
      <c r="Q61" s="44">
        <f t="shared" ref="Q61:R76" si="29">Q60</f>
        <v>150</v>
      </c>
      <c r="R61" s="50">
        <f t="shared" si="29"/>
        <v>210</v>
      </c>
    </row>
    <row r="62" spans="1:18" x14ac:dyDescent="0.25">
      <c r="A62" s="41">
        <f t="shared" si="25"/>
        <v>910</v>
      </c>
      <c r="B62" s="42">
        <f t="shared" si="25"/>
        <v>52</v>
      </c>
      <c r="C62" s="41" t="s">
        <v>2853</v>
      </c>
      <c r="D62" s="43">
        <f t="shared" si="7"/>
        <v>25</v>
      </c>
      <c r="E62" s="61">
        <f t="shared" si="0"/>
        <v>3.4090000000000007</v>
      </c>
      <c r="F62" s="61">
        <f t="shared" si="1"/>
        <v>42</v>
      </c>
      <c r="G62" s="64">
        <f t="shared" si="2"/>
        <v>0.58988764044943809</v>
      </c>
      <c r="H62" s="44">
        <f t="shared" si="8"/>
        <v>29.432344969112751</v>
      </c>
      <c r="I62" s="42" t="str">
        <f t="shared" si="26"/>
        <v>Half</v>
      </c>
      <c r="J62" s="50">
        <f t="shared" si="26"/>
        <v>6</v>
      </c>
      <c r="K62" s="49">
        <f t="shared" si="26"/>
        <v>160</v>
      </c>
      <c r="L62" s="44">
        <f t="shared" si="3"/>
        <v>8</v>
      </c>
      <c r="M62" s="44">
        <f t="shared" si="24"/>
        <v>8</v>
      </c>
      <c r="N62" s="45">
        <f t="shared" si="27"/>
        <v>0.2</v>
      </c>
      <c r="O62" s="49">
        <v>0</v>
      </c>
      <c r="P62" s="53">
        <f t="shared" si="28"/>
        <v>45</v>
      </c>
      <c r="Q62" s="44">
        <f t="shared" si="29"/>
        <v>150</v>
      </c>
      <c r="R62" s="50">
        <f t="shared" si="29"/>
        <v>210</v>
      </c>
    </row>
    <row r="63" spans="1:18" x14ac:dyDescent="0.25">
      <c r="A63" s="41">
        <f t="shared" si="25"/>
        <v>911</v>
      </c>
      <c r="B63" s="42">
        <f t="shared" si="25"/>
        <v>53</v>
      </c>
      <c r="C63" s="41" t="s">
        <v>2854</v>
      </c>
      <c r="D63" s="43">
        <f t="shared" si="7"/>
        <v>25</v>
      </c>
      <c r="E63" s="61">
        <f t="shared" si="0"/>
        <v>3.4090000000000007</v>
      </c>
      <c r="F63" s="61">
        <f t="shared" si="1"/>
        <v>42</v>
      </c>
      <c r="G63" s="64">
        <f t="shared" si="2"/>
        <v>0.58988764044943809</v>
      </c>
      <c r="H63" s="44">
        <f t="shared" si="8"/>
        <v>29.432344969112751</v>
      </c>
      <c r="I63" s="42" t="s">
        <v>12</v>
      </c>
      <c r="J63" s="50">
        <f t="shared" si="26"/>
        <v>6</v>
      </c>
      <c r="K63" s="49">
        <f t="shared" si="26"/>
        <v>160</v>
      </c>
      <c r="L63" s="44">
        <f t="shared" si="3"/>
        <v>8</v>
      </c>
      <c r="M63" s="44">
        <f t="shared" si="24"/>
        <v>8</v>
      </c>
      <c r="N63" s="45">
        <f t="shared" si="27"/>
        <v>0.2</v>
      </c>
      <c r="O63" s="49">
        <v>0</v>
      </c>
      <c r="P63" s="53">
        <f t="shared" si="28"/>
        <v>60</v>
      </c>
      <c r="Q63" s="44">
        <f t="shared" si="29"/>
        <v>150</v>
      </c>
      <c r="R63" s="50">
        <f t="shared" si="29"/>
        <v>210</v>
      </c>
    </row>
    <row r="64" spans="1:18" x14ac:dyDescent="0.25">
      <c r="A64" s="41">
        <f t="shared" si="25"/>
        <v>912</v>
      </c>
      <c r="B64" s="42">
        <f t="shared" si="25"/>
        <v>54</v>
      </c>
      <c r="C64" s="41" t="s">
        <v>2855</v>
      </c>
      <c r="D64" s="43">
        <f t="shared" si="7"/>
        <v>25</v>
      </c>
      <c r="E64" s="61">
        <f t="shared" si="0"/>
        <v>3.4090000000000007</v>
      </c>
      <c r="F64" s="61">
        <f t="shared" si="1"/>
        <v>42</v>
      </c>
      <c r="G64" s="64">
        <f t="shared" si="2"/>
        <v>0.58988764044943809</v>
      </c>
      <c r="H64" s="44">
        <f t="shared" si="8"/>
        <v>29.432344969112751</v>
      </c>
      <c r="I64" s="42" t="str">
        <f>I63</f>
        <v>Half</v>
      </c>
      <c r="J64" s="50">
        <f t="shared" si="26"/>
        <v>6</v>
      </c>
      <c r="K64" s="49">
        <f t="shared" si="26"/>
        <v>160</v>
      </c>
      <c r="L64" s="44">
        <f t="shared" si="3"/>
        <v>8</v>
      </c>
      <c r="M64" s="44">
        <f t="shared" si="24"/>
        <v>8</v>
      </c>
      <c r="N64" s="45">
        <f t="shared" si="27"/>
        <v>0.2</v>
      </c>
      <c r="O64" s="49">
        <v>0</v>
      </c>
      <c r="P64" s="135">
        <f t="shared" si="28"/>
        <v>75</v>
      </c>
      <c r="Q64" s="44">
        <f t="shared" si="29"/>
        <v>150</v>
      </c>
      <c r="R64" s="50">
        <f t="shared" si="29"/>
        <v>210</v>
      </c>
    </row>
    <row r="65" spans="1:18" x14ac:dyDescent="0.25">
      <c r="A65" s="41">
        <f t="shared" si="25"/>
        <v>913</v>
      </c>
      <c r="B65" s="42">
        <f t="shared" si="25"/>
        <v>55</v>
      </c>
      <c r="C65" s="41" t="s">
        <v>2856</v>
      </c>
      <c r="D65" s="43">
        <f t="shared" si="7"/>
        <v>25</v>
      </c>
      <c r="E65" s="61">
        <f t="shared" si="0"/>
        <v>3.4090000000000007</v>
      </c>
      <c r="F65" s="61">
        <f t="shared" si="1"/>
        <v>42</v>
      </c>
      <c r="G65" s="64">
        <f t="shared" si="2"/>
        <v>0.58988764044943809</v>
      </c>
      <c r="H65" s="44">
        <f t="shared" si="8"/>
        <v>29.432344969112751</v>
      </c>
      <c r="I65" s="42" t="str">
        <f t="shared" si="26"/>
        <v>Half</v>
      </c>
      <c r="J65" s="50">
        <f t="shared" si="26"/>
        <v>6</v>
      </c>
      <c r="K65" s="49">
        <f t="shared" si="26"/>
        <v>160</v>
      </c>
      <c r="L65" s="44">
        <f t="shared" si="3"/>
        <v>8</v>
      </c>
      <c r="M65" s="44">
        <f t="shared" si="24"/>
        <v>8</v>
      </c>
      <c r="N65" s="45">
        <f t="shared" si="27"/>
        <v>0.2</v>
      </c>
      <c r="O65" s="49">
        <f>O59+30</f>
        <v>30</v>
      </c>
      <c r="P65" s="136">
        <v>0</v>
      </c>
      <c r="Q65" s="44">
        <f t="shared" si="29"/>
        <v>150</v>
      </c>
      <c r="R65" s="50">
        <f t="shared" si="29"/>
        <v>210</v>
      </c>
    </row>
    <row r="66" spans="1:18" x14ac:dyDescent="0.25">
      <c r="A66" s="41">
        <f t="shared" si="25"/>
        <v>914</v>
      </c>
      <c r="B66" s="42">
        <f t="shared" si="25"/>
        <v>56</v>
      </c>
      <c r="C66" s="41" t="s">
        <v>2857</v>
      </c>
      <c r="D66" s="43">
        <f t="shared" si="7"/>
        <v>25</v>
      </c>
      <c r="E66" s="61">
        <f t="shared" si="0"/>
        <v>3.4090000000000007</v>
      </c>
      <c r="F66" s="61">
        <f t="shared" si="1"/>
        <v>42</v>
      </c>
      <c r="G66" s="64">
        <f t="shared" si="2"/>
        <v>0.58988764044943809</v>
      </c>
      <c r="H66" s="44">
        <f t="shared" si="8"/>
        <v>29.432344969112751</v>
      </c>
      <c r="I66" s="42" t="str">
        <f t="shared" si="26"/>
        <v>Half</v>
      </c>
      <c r="J66" s="50">
        <f t="shared" si="26"/>
        <v>6</v>
      </c>
      <c r="K66" s="49">
        <f t="shared" si="26"/>
        <v>160</v>
      </c>
      <c r="L66" s="44">
        <f t="shared" si="3"/>
        <v>8</v>
      </c>
      <c r="M66" s="44">
        <f t="shared" si="24"/>
        <v>8</v>
      </c>
      <c r="N66" s="45">
        <f t="shared" si="27"/>
        <v>0.2</v>
      </c>
      <c r="O66" s="49">
        <f t="shared" ref="O66:O82" si="30">O60+30</f>
        <v>30</v>
      </c>
      <c r="P66" s="53">
        <f>P65+15</f>
        <v>15</v>
      </c>
      <c r="Q66" s="44">
        <f t="shared" si="29"/>
        <v>150</v>
      </c>
      <c r="R66" s="50">
        <f t="shared" si="29"/>
        <v>210</v>
      </c>
    </row>
    <row r="67" spans="1:18" x14ac:dyDescent="0.25">
      <c r="A67" s="41">
        <f t="shared" si="25"/>
        <v>915</v>
      </c>
      <c r="B67" s="42">
        <f t="shared" si="25"/>
        <v>57</v>
      </c>
      <c r="C67" s="41" t="s">
        <v>2858</v>
      </c>
      <c r="D67" s="43">
        <f t="shared" si="7"/>
        <v>25</v>
      </c>
      <c r="E67" s="61">
        <f t="shared" si="0"/>
        <v>3.4090000000000007</v>
      </c>
      <c r="F67" s="61">
        <f t="shared" si="1"/>
        <v>42</v>
      </c>
      <c r="G67" s="64">
        <f t="shared" si="2"/>
        <v>0.58988764044943809</v>
      </c>
      <c r="H67" s="44">
        <f t="shared" si="8"/>
        <v>29.432344969112751</v>
      </c>
      <c r="I67" s="42" t="str">
        <f t="shared" si="26"/>
        <v>Half</v>
      </c>
      <c r="J67" s="50">
        <f t="shared" si="26"/>
        <v>6</v>
      </c>
      <c r="K67" s="49">
        <f t="shared" si="26"/>
        <v>160</v>
      </c>
      <c r="L67" s="44">
        <f t="shared" si="3"/>
        <v>8</v>
      </c>
      <c r="M67" s="44">
        <f t="shared" si="24"/>
        <v>8</v>
      </c>
      <c r="N67" s="45">
        <f t="shared" si="27"/>
        <v>0.2</v>
      </c>
      <c r="O67" s="49">
        <f t="shared" si="30"/>
        <v>30</v>
      </c>
      <c r="P67" s="53">
        <f t="shared" ref="P67:P70" si="31">P66+15</f>
        <v>30</v>
      </c>
      <c r="Q67" s="44">
        <f t="shared" si="29"/>
        <v>150</v>
      </c>
      <c r="R67" s="50">
        <f t="shared" si="29"/>
        <v>210</v>
      </c>
    </row>
    <row r="68" spans="1:18" x14ac:dyDescent="0.25">
      <c r="A68" s="41">
        <f t="shared" si="25"/>
        <v>916</v>
      </c>
      <c r="B68" s="42">
        <f t="shared" si="25"/>
        <v>58</v>
      </c>
      <c r="C68" s="41" t="s">
        <v>2859</v>
      </c>
      <c r="D68" s="43">
        <f t="shared" si="7"/>
        <v>25</v>
      </c>
      <c r="E68" s="61">
        <f t="shared" si="0"/>
        <v>3.4090000000000007</v>
      </c>
      <c r="F68" s="61">
        <f t="shared" si="1"/>
        <v>42</v>
      </c>
      <c r="G68" s="64">
        <f t="shared" si="2"/>
        <v>0.58988764044943809</v>
      </c>
      <c r="H68" s="44">
        <f t="shared" si="8"/>
        <v>29.432344969112751</v>
      </c>
      <c r="I68" s="42" t="str">
        <f t="shared" si="26"/>
        <v>Half</v>
      </c>
      <c r="J68" s="50">
        <f t="shared" si="26"/>
        <v>6</v>
      </c>
      <c r="K68" s="49">
        <f t="shared" si="26"/>
        <v>160</v>
      </c>
      <c r="L68" s="44">
        <f t="shared" si="3"/>
        <v>8</v>
      </c>
      <c r="M68" s="44">
        <f t="shared" si="24"/>
        <v>8</v>
      </c>
      <c r="N68" s="45">
        <f t="shared" si="27"/>
        <v>0.2</v>
      </c>
      <c r="O68" s="49">
        <f t="shared" si="30"/>
        <v>30</v>
      </c>
      <c r="P68" s="53">
        <f t="shared" si="31"/>
        <v>45</v>
      </c>
      <c r="Q68" s="44">
        <f t="shared" si="29"/>
        <v>150</v>
      </c>
      <c r="R68" s="50">
        <f t="shared" si="29"/>
        <v>210</v>
      </c>
    </row>
    <row r="69" spans="1:18" x14ac:dyDescent="0.25">
      <c r="A69" s="41">
        <f t="shared" si="25"/>
        <v>917</v>
      </c>
      <c r="B69" s="42">
        <f t="shared" si="25"/>
        <v>59</v>
      </c>
      <c r="C69" s="41" t="s">
        <v>2860</v>
      </c>
      <c r="D69" s="43">
        <f t="shared" si="7"/>
        <v>25</v>
      </c>
      <c r="E69" s="61">
        <f t="shared" si="0"/>
        <v>3.4090000000000007</v>
      </c>
      <c r="F69" s="61">
        <f t="shared" si="1"/>
        <v>42</v>
      </c>
      <c r="G69" s="64">
        <f t="shared" si="2"/>
        <v>0.58988764044943809</v>
      </c>
      <c r="H69" s="44">
        <f t="shared" si="8"/>
        <v>29.432344969112751</v>
      </c>
      <c r="I69" s="42" t="str">
        <f t="shared" si="26"/>
        <v>Half</v>
      </c>
      <c r="J69" s="50">
        <f t="shared" si="26"/>
        <v>6</v>
      </c>
      <c r="K69" s="49">
        <f t="shared" si="26"/>
        <v>160</v>
      </c>
      <c r="L69" s="44">
        <f t="shared" si="3"/>
        <v>8</v>
      </c>
      <c r="M69" s="44">
        <f t="shared" si="24"/>
        <v>8</v>
      </c>
      <c r="N69" s="45">
        <f t="shared" si="27"/>
        <v>0.2</v>
      </c>
      <c r="O69" s="49">
        <f t="shared" si="30"/>
        <v>30</v>
      </c>
      <c r="P69" s="53">
        <f t="shared" si="31"/>
        <v>60</v>
      </c>
      <c r="Q69" s="44">
        <f t="shared" si="29"/>
        <v>150</v>
      </c>
      <c r="R69" s="50">
        <f t="shared" si="29"/>
        <v>210</v>
      </c>
    </row>
    <row r="70" spans="1:18" x14ac:dyDescent="0.25">
      <c r="A70" s="41">
        <f t="shared" si="25"/>
        <v>918</v>
      </c>
      <c r="B70" s="42">
        <f t="shared" si="25"/>
        <v>60</v>
      </c>
      <c r="C70" s="41" t="s">
        <v>2861</v>
      </c>
      <c r="D70" s="43">
        <f t="shared" si="7"/>
        <v>25</v>
      </c>
      <c r="E70" s="61">
        <f t="shared" si="0"/>
        <v>3.4090000000000007</v>
      </c>
      <c r="F70" s="61">
        <f t="shared" si="1"/>
        <v>42</v>
      </c>
      <c r="G70" s="64">
        <f t="shared" si="2"/>
        <v>0.58988764044943809</v>
      </c>
      <c r="H70" s="44">
        <f t="shared" si="8"/>
        <v>29.432344969112751</v>
      </c>
      <c r="I70" s="42" t="str">
        <f t="shared" si="26"/>
        <v>Half</v>
      </c>
      <c r="J70" s="50">
        <f t="shared" si="26"/>
        <v>6</v>
      </c>
      <c r="K70" s="49">
        <f t="shared" si="26"/>
        <v>160</v>
      </c>
      <c r="L70" s="44">
        <f t="shared" si="3"/>
        <v>8</v>
      </c>
      <c r="M70" s="44">
        <f t="shared" si="24"/>
        <v>8</v>
      </c>
      <c r="N70" s="45">
        <f t="shared" si="27"/>
        <v>0.2</v>
      </c>
      <c r="O70" s="49">
        <f t="shared" si="30"/>
        <v>30</v>
      </c>
      <c r="P70" s="53">
        <f t="shared" si="31"/>
        <v>75</v>
      </c>
      <c r="Q70" s="44">
        <f t="shared" si="29"/>
        <v>150</v>
      </c>
      <c r="R70" s="50">
        <f t="shared" si="29"/>
        <v>210</v>
      </c>
    </row>
    <row r="71" spans="1:18" x14ac:dyDescent="0.25">
      <c r="A71" s="41">
        <f t="shared" si="25"/>
        <v>919</v>
      </c>
      <c r="B71" s="42">
        <f t="shared" si="25"/>
        <v>61</v>
      </c>
      <c r="C71" s="41" t="s">
        <v>2862</v>
      </c>
      <c r="D71" s="43">
        <f t="shared" si="7"/>
        <v>25</v>
      </c>
      <c r="E71" s="61">
        <f t="shared" si="0"/>
        <v>3.4090000000000007</v>
      </c>
      <c r="F71" s="61">
        <f t="shared" si="1"/>
        <v>42</v>
      </c>
      <c r="G71" s="64">
        <f t="shared" si="2"/>
        <v>0.58988764044943809</v>
      </c>
      <c r="H71" s="44">
        <f t="shared" si="8"/>
        <v>29.432344969112751</v>
      </c>
      <c r="I71" s="42" t="str">
        <f t="shared" si="26"/>
        <v>Half</v>
      </c>
      <c r="J71" s="50">
        <f t="shared" si="26"/>
        <v>6</v>
      </c>
      <c r="K71" s="49">
        <f t="shared" si="26"/>
        <v>160</v>
      </c>
      <c r="L71" s="44">
        <f t="shared" si="3"/>
        <v>8</v>
      </c>
      <c r="M71" s="44">
        <f t="shared" si="24"/>
        <v>8</v>
      </c>
      <c r="N71" s="45">
        <f t="shared" si="27"/>
        <v>0.2</v>
      </c>
      <c r="O71" s="49">
        <f t="shared" si="30"/>
        <v>60</v>
      </c>
      <c r="P71" s="136">
        <v>0</v>
      </c>
      <c r="Q71" s="44">
        <f t="shared" si="29"/>
        <v>150</v>
      </c>
      <c r="R71" s="50">
        <f t="shared" si="29"/>
        <v>210</v>
      </c>
    </row>
    <row r="72" spans="1:18" x14ac:dyDescent="0.25">
      <c r="A72" s="41">
        <f t="shared" si="25"/>
        <v>920</v>
      </c>
      <c r="B72" s="42">
        <f t="shared" si="25"/>
        <v>62</v>
      </c>
      <c r="C72" s="41" t="s">
        <v>2863</v>
      </c>
      <c r="D72" s="43">
        <f t="shared" si="7"/>
        <v>25</v>
      </c>
      <c r="E72" s="61">
        <f t="shared" si="0"/>
        <v>3.4090000000000007</v>
      </c>
      <c r="F72" s="61">
        <f t="shared" si="1"/>
        <v>42</v>
      </c>
      <c r="G72" s="64">
        <f t="shared" si="2"/>
        <v>0.58988764044943809</v>
      </c>
      <c r="H72" s="44">
        <f t="shared" si="8"/>
        <v>29.432344969112751</v>
      </c>
      <c r="I72" s="42" t="str">
        <f t="shared" si="26"/>
        <v>Half</v>
      </c>
      <c r="J72" s="50">
        <f t="shared" si="26"/>
        <v>6</v>
      </c>
      <c r="K72" s="49">
        <f t="shared" si="26"/>
        <v>160</v>
      </c>
      <c r="L72" s="44">
        <f t="shared" si="3"/>
        <v>8</v>
      </c>
      <c r="M72" s="44">
        <f t="shared" si="24"/>
        <v>8</v>
      </c>
      <c r="N72" s="45">
        <f t="shared" si="27"/>
        <v>0.2</v>
      </c>
      <c r="O72" s="49">
        <f t="shared" si="30"/>
        <v>60</v>
      </c>
      <c r="P72" s="53">
        <f>P71+15</f>
        <v>15</v>
      </c>
      <c r="Q72" s="44">
        <f t="shared" si="29"/>
        <v>150</v>
      </c>
      <c r="R72" s="50">
        <f t="shared" si="29"/>
        <v>210</v>
      </c>
    </row>
    <row r="73" spans="1:18" x14ac:dyDescent="0.25">
      <c r="A73" s="41">
        <f t="shared" si="25"/>
        <v>921</v>
      </c>
      <c r="B73" s="42">
        <f t="shared" si="25"/>
        <v>63</v>
      </c>
      <c r="C73" s="41" t="s">
        <v>2864</v>
      </c>
      <c r="D73" s="43">
        <f t="shared" si="7"/>
        <v>25</v>
      </c>
      <c r="E73" s="61">
        <f t="shared" si="0"/>
        <v>3.4090000000000007</v>
      </c>
      <c r="F73" s="61">
        <f t="shared" si="1"/>
        <v>42</v>
      </c>
      <c r="G73" s="64">
        <f t="shared" si="2"/>
        <v>0.58988764044943809</v>
      </c>
      <c r="H73" s="44">
        <f t="shared" si="8"/>
        <v>29.432344969112751</v>
      </c>
      <c r="I73" s="42" t="str">
        <f t="shared" si="26"/>
        <v>Half</v>
      </c>
      <c r="J73" s="50">
        <f t="shared" si="26"/>
        <v>6</v>
      </c>
      <c r="K73" s="49">
        <f t="shared" si="26"/>
        <v>160</v>
      </c>
      <c r="L73" s="44">
        <f t="shared" si="3"/>
        <v>8</v>
      </c>
      <c r="M73" s="44">
        <f t="shared" si="24"/>
        <v>8</v>
      </c>
      <c r="N73" s="45">
        <f t="shared" si="27"/>
        <v>0.2</v>
      </c>
      <c r="O73" s="49">
        <f t="shared" si="30"/>
        <v>60</v>
      </c>
      <c r="P73" s="53">
        <f t="shared" ref="P73:P76" si="32">P72+15</f>
        <v>30</v>
      </c>
      <c r="Q73" s="44">
        <f t="shared" si="29"/>
        <v>150</v>
      </c>
      <c r="R73" s="50">
        <f t="shared" si="29"/>
        <v>210</v>
      </c>
    </row>
    <row r="74" spans="1:18" x14ac:dyDescent="0.25">
      <c r="A74" s="41">
        <f t="shared" si="25"/>
        <v>922</v>
      </c>
      <c r="B74" s="42">
        <f t="shared" si="25"/>
        <v>64</v>
      </c>
      <c r="C74" s="41" t="s">
        <v>2865</v>
      </c>
      <c r="D74" s="43">
        <f t="shared" si="7"/>
        <v>25</v>
      </c>
      <c r="E74" s="61">
        <f t="shared" si="0"/>
        <v>3.4090000000000007</v>
      </c>
      <c r="F74" s="61">
        <f t="shared" si="1"/>
        <v>42</v>
      </c>
      <c r="G74" s="64">
        <f t="shared" si="2"/>
        <v>0.58988764044943809</v>
      </c>
      <c r="H74" s="44">
        <f t="shared" si="8"/>
        <v>29.432344969112751</v>
      </c>
      <c r="I74" s="42" t="str">
        <f t="shared" si="26"/>
        <v>Half</v>
      </c>
      <c r="J74" s="50">
        <f t="shared" si="26"/>
        <v>6</v>
      </c>
      <c r="K74" s="49">
        <f t="shared" si="26"/>
        <v>160</v>
      </c>
      <c r="L74" s="44">
        <f t="shared" si="3"/>
        <v>8</v>
      </c>
      <c r="M74" s="44">
        <f t="shared" si="24"/>
        <v>8</v>
      </c>
      <c r="N74" s="45">
        <f t="shared" si="27"/>
        <v>0.2</v>
      </c>
      <c r="O74" s="49">
        <f t="shared" si="30"/>
        <v>60</v>
      </c>
      <c r="P74" s="53">
        <f t="shared" si="32"/>
        <v>45</v>
      </c>
      <c r="Q74" s="44">
        <f t="shared" si="29"/>
        <v>150</v>
      </c>
      <c r="R74" s="50">
        <f t="shared" si="29"/>
        <v>210</v>
      </c>
    </row>
    <row r="75" spans="1:18" x14ac:dyDescent="0.25">
      <c r="A75" s="41">
        <f t="shared" si="25"/>
        <v>923</v>
      </c>
      <c r="B75" s="42">
        <f t="shared" si="25"/>
        <v>65</v>
      </c>
      <c r="C75" s="41" t="s">
        <v>2866</v>
      </c>
      <c r="D75" s="43">
        <f t="shared" si="7"/>
        <v>25</v>
      </c>
      <c r="E75" s="61">
        <f t="shared" ref="E75:E138" si="33">I_ref*(0.75*D75+5.6)</f>
        <v>3.4090000000000007</v>
      </c>
      <c r="F75" s="61">
        <f t="shared" ref="F75:F138" si="34">tur_scale</f>
        <v>42</v>
      </c>
      <c r="G75" s="64">
        <f t="shared" ref="G75:G138" si="35">1/(1+0.2*(diameter/F75))</f>
        <v>0.58988764044943809</v>
      </c>
      <c r="H75" s="44">
        <f t="shared" si="8"/>
        <v>29.432344969112751</v>
      </c>
      <c r="I75" s="42" t="str">
        <f t="shared" si="26"/>
        <v>Half</v>
      </c>
      <c r="J75" s="50">
        <f t="shared" si="26"/>
        <v>6</v>
      </c>
      <c r="K75" s="49">
        <f t="shared" si="26"/>
        <v>160</v>
      </c>
      <c r="L75" s="44">
        <f t="shared" ref="L75:L138" si="36">inflow</f>
        <v>8</v>
      </c>
      <c r="M75" s="44">
        <f t="shared" si="24"/>
        <v>8</v>
      </c>
      <c r="N75" s="45">
        <f t="shared" si="27"/>
        <v>0.2</v>
      </c>
      <c r="O75" s="49">
        <f t="shared" si="30"/>
        <v>60</v>
      </c>
      <c r="P75" s="53">
        <f t="shared" si="32"/>
        <v>60</v>
      </c>
      <c r="Q75" s="44">
        <f t="shared" si="29"/>
        <v>150</v>
      </c>
      <c r="R75" s="50">
        <f t="shared" si="29"/>
        <v>210</v>
      </c>
    </row>
    <row r="76" spans="1:18" x14ac:dyDescent="0.25">
      <c r="A76" s="41">
        <f t="shared" ref="A76:B91" si="37">A75+1</f>
        <v>924</v>
      </c>
      <c r="B76" s="42">
        <f t="shared" si="37"/>
        <v>66</v>
      </c>
      <c r="C76" s="41" t="s">
        <v>2867</v>
      </c>
      <c r="D76" s="43">
        <f t="shared" si="7"/>
        <v>25</v>
      </c>
      <c r="E76" s="61">
        <f t="shared" si="33"/>
        <v>3.4090000000000007</v>
      </c>
      <c r="F76" s="61">
        <f t="shared" si="34"/>
        <v>42</v>
      </c>
      <c r="G76" s="64">
        <f t="shared" si="35"/>
        <v>0.58988764044943809</v>
      </c>
      <c r="H76" s="44">
        <f t="shared" si="8"/>
        <v>29.432344969112751</v>
      </c>
      <c r="I76" s="42" t="str">
        <f t="shared" si="26"/>
        <v>Half</v>
      </c>
      <c r="J76" s="50">
        <f t="shared" si="26"/>
        <v>6</v>
      </c>
      <c r="K76" s="49">
        <f t="shared" si="26"/>
        <v>160</v>
      </c>
      <c r="L76" s="44">
        <f t="shared" si="36"/>
        <v>8</v>
      </c>
      <c r="M76" s="44">
        <f t="shared" si="24"/>
        <v>8</v>
      </c>
      <c r="N76" s="45">
        <f t="shared" si="27"/>
        <v>0.2</v>
      </c>
      <c r="O76" s="49">
        <f t="shared" si="30"/>
        <v>60</v>
      </c>
      <c r="P76" s="135">
        <f t="shared" si="32"/>
        <v>75</v>
      </c>
      <c r="Q76" s="44">
        <f t="shared" si="29"/>
        <v>150</v>
      </c>
      <c r="R76" s="50">
        <f t="shared" si="29"/>
        <v>210</v>
      </c>
    </row>
    <row r="77" spans="1:18" x14ac:dyDescent="0.25">
      <c r="A77" s="41">
        <f t="shared" si="37"/>
        <v>925</v>
      </c>
      <c r="B77" s="42">
        <f t="shared" si="37"/>
        <v>67</v>
      </c>
      <c r="C77" s="41" t="s">
        <v>2868</v>
      </c>
      <c r="D77" s="43">
        <f t="shared" ref="D77:D140" si="38">D76</f>
        <v>25</v>
      </c>
      <c r="E77" s="61">
        <f t="shared" si="33"/>
        <v>3.4090000000000007</v>
      </c>
      <c r="F77" s="61">
        <f t="shared" si="34"/>
        <v>42</v>
      </c>
      <c r="G77" s="64">
        <f t="shared" si="35"/>
        <v>0.58988764044943809</v>
      </c>
      <c r="H77" s="44">
        <f t="shared" ref="H77:H82" si="39">6.4*ATAN(E77/D77*G77)/PI()*180</f>
        <v>29.432344969112751</v>
      </c>
      <c r="I77" s="42" t="str">
        <f t="shared" ref="I77:K83" si="40">I76</f>
        <v>Half</v>
      </c>
      <c r="J77" s="50">
        <f t="shared" si="40"/>
        <v>6</v>
      </c>
      <c r="K77" s="49">
        <f t="shared" si="40"/>
        <v>160</v>
      </c>
      <c r="L77" s="44">
        <f t="shared" si="36"/>
        <v>8</v>
      </c>
      <c r="M77" s="44">
        <f t="shared" si="24"/>
        <v>8</v>
      </c>
      <c r="N77" s="45">
        <f t="shared" si="27"/>
        <v>0.2</v>
      </c>
      <c r="O77" s="49">
        <f t="shared" si="30"/>
        <v>90</v>
      </c>
      <c r="P77" s="136">
        <v>0</v>
      </c>
      <c r="Q77" s="44">
        <f t="shared" ref="Q77:R92" si="41">Q76</f>
        <v>150</v>
      </c>
      <c r="R77" s="50">
        <f t="shared" si="41"/>
        <v>210</v>
      </c>
    </row>
    <row r="78" spans="1:18" x14ac:dyDescent="0.25">
      <c r="A78" s="41">
        <f t="shared" si="37"/>
        <v>926</v>
      </c>
      <c r="B78" s="42">
        <f t="shared" si="37"/>
        <v>68</v>
      </c>
      <c r="C78" s="41" t="s">
        <v>2869</v>
      </c>
      <c r="D78" s="43">
        <f t="shared" si="38"/>
        <v>25</v>
      </c>
      <c r="E78" s="61">
        <f t="shared" si="33"/>
        <v>3.4090000000000007</v>
      </c>
      <c r="F78" s="61">
        <f t="shared" si="34"/>
        <v>42</v>
      </c>
      <c r="G78" s="64">
        <f t="shared" si="35"/>
        <v>0.58988764044943809</v>
      </c>
      <c r="H78" s="44">
        <f t="shared" si="39"/>
        <v>29.432344969112751</v>
      </c>
      <c r="I78" s="42" t="str">
        <f t="shared" si="40"/>
        <v>Half</v>
      </c>
      <c r="J78" s="50">
        <f t="shared" si="40"/>
        <v>6</v>
      </c>
      <c r="K78" s="49">
        <f t="shared" si="40"/>
        <v>160</v>
      </c>
      <c r="L78" s="44">
        <f t="shared" si="36"/>
        <v>8</v>
      </c>
      <c r="M78" s="44">
        <f t="shared" si="24"/>
        <v>8</v>
      </c>
      <c r="N78" s="45">
        <f t="shared" si="27"/>
        <v>0.2</v>
      </c>
      <c r="O78" s="49">
        <f t="shared" si="30"/>
        <v>90</v>
      </c>
      <c r="P78" s="53">
        <f>P77+15</f>
        <v>15</v>
      </c>
      <c r="Q78" s="44">
        <f t="shared" si="41"/>
        <v>150</v>
      </c>
      <c r="R78" s="50">
        <f t="shared" si="41"/>
        <v>210</v>
      </c>
    </row>
    <row r="79" spans="1:18" x14ac:dyDescent="0.25">
      <c r="A79" s="41">
        <f t="shared" si="37"/>
        <v>927</v>
      </c>
      <c r="B79" s="42">
        <f t="shared" si="37"/>
        <v>69</v>
      </c>
      <c r="C79" s="41" t="s">
        <v>2870</v>
      </c>
      <c r="D79" s="43">
        <f t="shared" si="38"/>
        <v>25</v>
      </c>
      <c r="E79" s="61">
        <f t="shared" si="33"/>
        <v>3.4090000000000007</v>
      </c>
      <c r="F79" s="61">
        <f t="shared" si="34"/>
        <v>42</v>
      </c>
      <c r="G79" s="64">
        <f t="shared" si="35"/>
        <v>0.58988764044943809</v>
      </c>
      <c r="H79" s="44">
        <f t="shared" si="39"/>
        <v>29.432344969112751</v>
      </c>
      <c r="I79" s="42" t="s">
        <v>12</v>
      </c>
      <c r="J79" s="50">
        <f t="shared" si="40"/>
        <v>6</v>
      </c>
      <c r="K79" s="49">
        <f t="shared" si="40"/>
        <v>160</v>
      </c>
      <c r="L79" s="44">
        <f t="shared" si="36"/>
        <v>8</v>
      </c>
      <c r="M79" s="44">
        <f t="shared" si="24"/>
        <v>8</v>
      </c>
      <c r="N79" s="45">
        <f t="shared" si="27"/>
        <v>0.2</v>
      </c>
      <c r="O79" s="49">
        <f>O73+30</f>
        <v>90</v>
      </c>
      <c r="P79" s="53">
        <f t="shared" ref="P79:P82" si="42">P78+15</f>
        <v>30</v>
      </c>
      <c r="Q79" s="44">
        <f t="shared" si="41"/>
        <v>150</v>
      </c>
      <c r="R79" s="50">
        <f t="shared" si="41"/>
        <v>210</v>
      </c>
    </row>
    <row r="80" spans="1:18" x14ac:dyDescent="0.25">
      <c r="A80" s="41">
        <f t="shared" si="37"/>
        <v>928</v>
      </c>
      <c r="B80" s="42">
        <f t="shared" si="37"/>
        <v>70</v>
      </c>
      <c r="C80" s="41" t="s">
        <v>2871</v>
      </c>
      <c r="D80" s="43">
        <f t="shared" si="38"/>
        <v>25</v>
      </c>
      <c r="E80" s="61">
        <f t="shared" si="33"/>
        <v>3.4090000000000007</v>
      </c>
      <c r="F80" s="61">
        <f t="shared" si="34"/>
        <v>42</v>
      </c>
      <c r="G80" s="64">
        <f t="shared" si="35"/>
        <v>0.58988764044943809</v>
      </c>
      <c r="H80" s="44">
        <f t="shared" si="39"/>
        <v>29.432344969112751</v>
      </c>
      <c r="I80" s="42" t="str">
        <f>I79</f>
        <v>Half</v>
      </c>
      <c r="J80" s="50">
        <f t="shared" si="40"/>
        <v>6</v>
      </c>
      <c r="K80" s="49">
        <f t="shared" si="40"/>
        <v>160</v>
      </c>
      <c r="L80" s="44">
        <f t="shared" si="36"/>
        <v>8</v>
      </c>
      <c r="M80" s="44">
        <f t="shared" si="24"/>
        <v>8</v>
      </c>
      <c r="N80" s="45">
        <f t="shared" si="27"/>
        <v>0.2</v>
      </c>
      <c r="O80" s="49">
        <f t="shared" si="30"/>
        <v>90</v>
      </c>
      <c r="P80" s="53">
        <f t="shared" si="42"/>
        <v>45</v>
      </c>
      <c r="Q80" s="44">
        <f t="shared" si="41"/>
        <v>150</v>
      </c>
      <c r="R80" s="50">
        <f t="shared" si="41"/>
        <v>210</v>
      </c>
    </row>
    <row r="81" spans="1:18" x14ac:dyDescent="0.25">
      <c r="A81" s="41">
        <f t="shared" si="37"/>
        <v>929</v>
      </c>
      <c r="B81" s="42">
        <f t="shared" si="37"/>
        <v>71</v>
      </c>
      <c r="C81" s="41" t="s">
        <v>2872</v>
      </c>
      <c r="D81" s="43">
        <f t="shared" si="38"/>
        <v>25</v>
      </c>
      <c r="E81" s="61">
        <f t="shared" si="33"/>
        <v>3.4090000000000007</v>
      </c>
      <c r="F81" s="61">
        <f t="shared" si="34"/>
        <v>42</v>
      </c>
      <c r="G81" s="64">
        <f t="shared" si="35"/>
        <v>0.58988764044943809</v>
      </c>
      <c r="H81" s="44">
        <f t="shared" si="39"/>
        <v>29.432344969112751</v>
      </c>
      <c r="I81" s="42" t="str">
        <f t="shared" si="40"/>
        <v>Half</v>
      </c>
      <c r="J81" s="50">
        <f t="shared" si="40"/>
        <v>6</v>
      </c>
      <c r="K81" s="49">
        <f t="shared" si="40"/>
        <v>160</v>
      </c>
      <c r="L81" s="44">
        <f t="shared" si="36"/>
        <v>8</v>
      </c>
      <c r="M81" s="44">
        <f t="shared" si="24"/>
        <v>8</v>
      </c>
      <c r="N81" s="45">
        <f t="shared" si="27"/>
        <v>0.2</v>
      </c>
      <c r="O81" s="49">
        <f t="shared" si="30"/>
        <v>90</v>
      </c>
      <c r="P81" s="53">
        <f t="shared" si="42"/>
        <v>60</v>
      </c>
      <c r="Q81" s="44">
        <f t="shared" si="41"/>
        <v>150</v>
      </c>
      <c r="R81" s="50">
        <f t="shared" si="41"/>
        <v>210</v>
      </c>
    </row>
    <row r="82" spans="1:18" x14ac:dyDescent="0.25">
      <c r="A82" s="41">
        <f t="shared" si="37"/>
        <v>930</v>
      </c>
      <c r="B82" s="42">
        <f t="shared" si="37"/>
        <v>72</v>
      </c>
      <c r="C82" s="41" t="s">
        <v>2873</v>
      </c>
      <c r="D82" s="43">
        <f t="shared" si="38"/>
        <v>25</v>
      </c>
      <c r="E82" s="61">
        <f t="shared" si="33"/>
        <v>3.4090000000000007</v>
      </c>
      <c r="F82" s="61">
        <f t="shared" si="34"/>
        <v>42</v>
      </c>
      <c r="G82" s="64">
        <f t="shared" si="35"/>
        <v>0.58988764044943809</v>
      </c>
      <c r="H82" s="44">
        <f t="shared" si="39"/>
        <v>29.432344969112751</v>
      </c>
      <c r="I82" s="42" t="str">
        <f t="shared" si="40"/>
        <v>Half</v>
      </c>
      <c r="J82" s="50">
        <f t="shared" si="40"/>
        <v>6</v>
      </c>
      <c r="K82" s="49">
        <f t="shared" si="40"/>
        <v>160</v>
      </c>
      <c r="L82" s="44">
        <f t="shared" si="36"/>
        <v>8</v>
      </c>
      <c r="M82" s="128">
        <f t="shared" si="24"/>
        <v>8</v>
      </c>
      <c r="N82" s="137">
        <f t="shared" si="27"/>
        <v>0.2</v>
      </c>
      <c r="O82" s="138">
        <f t="shared" si="30"/>
        <v>90</v>
      </c>
      <c r="P82" s="135">
        <f t="shared" si="42"/>
        <v>75</v>
      </c>
      <c r="Q82" s="44">
        <f t="shared" si="41"/>
        <v>150</v>
      </c>
      <c r="R82" s="50">
        <f t="shared" si="41"/>
        <v>210</v>
      </c>
    </row>
    <row r="83" spans="1:18" x14ac:dyDescent="0.25">
      <c r="A83" s="41">
        <f t="shared" si="37"/>
        <v>931</v>
      </c>
      <c r="B83" s="42">
        <f t="shared" si="37"/>
        <v>73</v>
      </c>
      <c r="C83" s="41" t="s">
        <v>2874</v>
      </c>
      <c r="D83" s="43">
        <f t="shared" si="38"/>
        <v>25</v>
      </c>
      <c r="E83" s="61">
        <f t="shared" si="33"/>
        <v>3.4090000000000007</v>
      </c>
      <c r="F83" s="61">
        <f t="shared" si="34"/>
        <v>42</v>
      </c>
      <c r="G83" s="64">
        <f t="shared" si="35"/>
        <v>0.58988764044943809</v>
      </c>
      <c r="H83" s="44">
        <f>-6.4*ATAN(E82/D82*G82)/PI()*180</f>
        <v>-29.432344969112751</v>
      </c>
      <c r="I83" s="42" t="s">
        <v>12</v>
      </c>
      <c r="J83" s="50">
        <f t="shared" si="40"/>
        <v>6</v>
      </c>
      <c r="K83" s="49">
        <f t="shared" si="40"/>
        <v>160</v>
      </c>
      <c r="L83" s="44">
        <f t="shared" si="36"/>
        <v>8</v>
      </c>
      <c r="M83" s="44">
        <f t="shared" ref="M83:M106" si="43">yaw_min</f>
        <v>-8</v>
      </c>
      <c r="N83" s="137">
        <f t="shared" si="27"/>
        <v>0.2</v>
      </c>
      <c r="O83" s="49">
        <v>0</v>
      </c>
      <c r="P83" s="44">
        <v>0</v>
      </c>
      <c r="Q83" s="44">
        <f t="shared" si="41"/>
        <v>150</v>
      </c>
      <c r="R83" s="50">
        <f t="shared" si="41"/>
        <v>210</v>
      </c>
    </row>
    <row r="84" spans="1:18" x14ac:dyDescent="0.25">
      <c r="A84" s="41">
        <f t="shared" si="37"/>
        <v>932</v>
      </c>
      <c r="B84" s="42">
        <f t="shared" si="37"/>
        <v>74</v>
      </c>
      <c r="C84" s="41" t="s">
        <v>2875</v>
      </c>
      <c r="D84" s="43">
        <f t="shared" si="38"/>
        <v>25</v>
      </c>
      <c r="E84" s="61">
        <f t="shared" si="33"/>
        <v>3.4090000000000007</v>
      </c>
      <c r="F84" s="61">
        <f t="shared" si="34"/>
        <v>42</v>
      </c>
      <c r="G84" s="64">
        <f t="shared" si="35"/>
        <v>0.58988764044943809</v>
      </c>
      <c r="H84" s="44">
        <f t="shared" ref="H84:H147" si="44">-6.4*ATAN(E83/D83*G83)/PI()*180</f>
        <v>-29.432344969112751</v>
      </c>
      <c r="I84" s="42" t="str">
        <f t="shared" ref="I84:K95" si="45">I83</f>
        <v>Half</v>
      </c>
      <c r="J84" s="50">
        <f t="shared" si="45"/>
        <v>6</v>
      </c>
      <c r="K84" s="49">
        <f t="shared" si="45"/>
        <v>160</v>
      </c>
      <c r="L84" s="44">
        <f t="shared" si="36"/>
        <v>8</v>
      </c>
      <c r="M84" s="44">
        <f t="shared" si="43"/>
        <v>-8</v>
      </c>
      <c r="N84" s="45">
        <f t="shared" ref="N84" si="46">N83</f>
        <v>0.2</v>
      </c>
      <c r="O84" s="49">
        <v>0</v>
      </c>
      <c r="P84" s="53">
        <f>P83+15</f>
        <v>15</v>
      </c>
      <c r="Q84" s="44">
        <f t="shared" si="41"/>
        <v>150</v>
      </c>
      <c r="R84" s="50">
        <f t="shared" si="41"/>
        <v>210</v>
      </c>
    </row>
    <row r="85" spans="1:18" x14ac:dyDescent="0.25">
      <c r="A85" s="41">
        <f t="shared" si="37"/>
        <v>933</v>
      </c>
      <c r="B85" s="42">
        <f t="shared" si="37"/>
        <v>75</v>
      </c>
      <c r="C85" s="41" t="s">
        <v>2876</v>
      </c>
      <c r="D85" s="43">
        <f t="shared" si="38"/>
        <v>25</v>
      </c>
      <c r="E85" s="61">
        <f t="shared" si="33"/>
        <v>3.4090000000000007</v>
      </c>
      <c r="F85" s="61">
        <f t="shared" si="34"/>
        <v>42</v>
      </c>
      <c r="G85" s="64">
        <f t="shared" si="35"/>
        <v>0.58988764044943809</v>
      </c>
      <c r="H85" s="44">
        <f t="shared" si="44"/>
        <v>-29.432344969112751</v>
      </c>
      <c r="I85" s="42" t="str">
        <f t="shared" si="45"/>
        <v>Half</v>
      </c>
      <c r="J85" s="50">
        <f t="shared" si="45"/>
        <v>6</v>
      </c>
      <c r="K85" s="49">
        <f t="shared" si="45"/>
        <v>160</v>
      </c>
      <c r="L85" s="44">
        <f t="shared" si="36"/>
        <v>8</v>
      </c>
      <c r="M85" s="44">
        <f t="shared" si="43"/>
        <v>-8</v>
      </c>
      <c r="N85" s="45">
        <f t="shared" ref="N85" si="47">N84</f>
        <v>0.2</v>
      </c>
      <c r="O85" s="49">
        <v>0</v>
      </c>
      <c r="P85" s="53">
        <f t="shared" ref="P85:P88" si="48">P84+15</f>
        <v>30</v>
      </c>
      <c r="Q85" s="44">
        <f t="shared" si="41"/>
        <v>150</v>
      </c>
      <c r="R85" s="50">
        <f t="shared" si="41"/>
        <v>210</v>
      </c>
    </row>
    <row r="86" spans="1:18" x14ac:dyDescent="0.25">
      <c r="A86" s="41">
        <f t="shared" si="37"/>
        <v>934</v>
      </c>
      <c r="B86" s="42">
        <f t="shared" si="37"/>
        <v>76</v>
      </c>
      <c r="C86" s="41" t="s">
        <v>2877</v>
      </c>
      <c r="D86" s="43">
        <f t="shared" si="38"/>
        <v>25</v>
      </c>
      <c r="E86" s="61">
        <f t="shared" si="33"/>
        <v>3.4090000000000007</v>
      </c>
      <c r="F86" s="61">
        <f t="shared" si="34"/>
        <v>42</v>
      </c>
      <c r="G86" s="64">
        <f t="shared" si="35"/>
        <v>0.58988764044943809</v>
      </c>
      <c r="H86" s="44">
        <f t="shared" si="44"/>
        <v>-29.432344969112751</v>
      </c>
      <c r="I86" s="42" t="str">
        <f t="shared" si="45"/>
        <v>Half</v>
      </c>
      <c r="J86" s="50">
        <f t="shared" si="45"/>
        <v>6</v>
      </c>
      <c r="K86" s="49">
        <f t="shared" si="45"/>
        <v>160</v>
      </c>
      <c r="L86" s="44">
        <f t="shared" si="36"/>
        <v>8</v>
      </c>
      <c r="M86" s="44">
        <f t="shared" si="43"/>
        <v>-8</v>
      </c>
      <c r="N86" s="45">
        <f t="shared" ref="N86" si="49">N85</f>
        <v>0.2</v>
      </c>
      <c r="O86" s="49">
        <v>0</v>
      </c>
      <c r="P86" s="53">
        <f t="shared" si="48"/>
        <v>45</v>
      </c>
      <c r="Q86" s="44">
        <f t="shared" si="41"/>
        <v>150</v>
      </c>
      <c r="R86" s="50">
        <f t="shared" si="41"/>
        <v>210</v>
      </c>
    </row>
    <row r="87" spans="1:18" x14ac:dyDescent="0.25">
      <c r="A87" s="41">
        <f t="shared" si="37"/>
        <v>935</v>
      </c>
      <c r="B87" s="42">
        <f t="shared" si="37"/>
        <v>77</v>
      </c>
      <c r="C87" s="41" t="s">
        <v>2878</v>
      </c>
      <c r="D87" s="43">
        <f t="shared" si="38"/>
        <v>25</v>
      </c>
      <c r="E87" s="61">
        <f t="shared" si="33"/>
        <v>3.4090000000000007</v>
      </c>
      <c r="F87" s="61">
        <f t="shared" si="34"/>
        <v>42</v>
      </c>
      <c r="G87" s="64">
        <f t="shared" si="35"/>
        <v>0.58988764044943809</v>
      </c>
      <c r="H87" s="44">
        <f t="shared" si="44"/>
        <v>-29.432344969112751</v>
      </c>
      <c r="I87" s="42" t="str">
        <f t="shared" si="45"/>
        <v>Half</v>
      </c>
      <c r="J87" s="50">
        <f t="shared" si="45"/>
        <v>6</v>
      </c>
      <c r="K87" s="49">
        <f t="shared" si="45"/>
        <v>160</v>
      </c>
      <c r="L87" s="44">
        <f t="shared" si="36"/>
        <v>8</v>
      </c>
      <c r="M87" s="44">
        <f t="shared" si="43"/>
        <v>-8</v>
      </c>
      <c r="N87" s="45">
        <f t="shared" ref="N87" si="50">N86</f>
        <v>0.2</v>
      </c>
      <c r="O87" s="49">
        <v>0</v>
      </c>
      <c r="P87" s="53">
        <f t="shared" si="48"/>
        <v>60</v>
      </c>
      <c r="Q87" s="44">
        <f t="shared" si="41"/>
        <v>150</v>
      </c>
      <c r="R87" s="50">
        <f t="shared" si="41"/>
        <v>210</v>
      </c>
    </row>
    <row r="88" spans="1:18" x14ac:dyDescent="0.25">
      <c r="A88" s="41">
        <f t="shared" si="37"/>
        <v>936</v>
      </c>
      <c r="B88" s="42">
        <f t="shared" si="37"/>
        <v>78</v>
      </c>
      <c r="C88" s="41" t="s">
        <v>2879</v>
      </c>
      <c r="D88" s="43">
        <f t="shared" si="38"/>
        <v>25</v>
      </c>
      <c r="E88" s="61">
        <f t="shared" si="33"/>
        <v>3.4090000000000007</v>
      </c>
      <c r="F88" s="61">
        <f t="shared" si="34"/>
        <v>42</v>
      </c>
      <c r="G88" s="64">
        <f t="shared" si="35"/>
        <v>0.58988764044943809</v>
      </c>
      <c r="H88" s="44">
        <f t="shared" si="44"/>
        <v>-29.432344969112751</v>
      </c>
      <c r="I88" s="42" t="str">
        <f t="shared" si="45"/>
        <v>Half</v>
      </c>
      <c r="J88" s="50">
        <f t="shared" si="45"/>
        <v>6</v>
      </c>
      <c r="K88" s="49">
        <f t="shared" si="45"/>
        <v>160</v>
      </c>
      <c r="L88" s="44">
        <f t="shared" si="36"/>
        <v>8</v>
      </c>
      <c r="M88" s="44">
        <f t="shared" si="43"/>
        <v>-8</v>
      </c>
      <c r="N88" s="45">
        <f t="shared" ref="N88" si="51">N87</f>
        <v>0.2</v>
      </c>
      <c r="O88" s="49">
        <v>0</v>
      </c>
      <c r="P88" s="135">
        <f t="shared" si="48"/>
        <v>75</v>
      </c>
      <c r="Q88" s="44">
        <f t="shared" si="41"/>
        <v>150</v>
      </c>
      <c r="R88" s="50">
        <f t="shared" si="41"/>
        <v>210</v>
      </c>
    </row>
    <row r="89" spans="1:18" x14ac:dyDescent="0.25">
      <c r="A89" s="41">
        <f t="shared" si="37"/>
        <v>937</v>
      </c>
      <c r="B89" s="42">
        <f t="shared" si="37"/>
        <v>79</v>
      </c>
      <c r="C89" s="41" t="s">
        <v>2880</v>
      </c>
      <c r="D89" s="43">
        <f t="shared" si="38"/>
        <v>25</v>
      </c>
      <c r="E89" s="61">
        <f t="shared" si="33"/>
        <v>3.4090000000000007</v>
      </c>
      <c r="F89" s="61">
        <f t="shared" si="34"/>
        <v>42</v>
      </c>
      <c r="G89" s="64">
        <f t="shared" si="35"/>
        <v>0.58988764044943809</v>
      </c>
      <c r="H89" s="44">
        <f t="shared" si="44"/>
        <v>-29.432344969112751</v>
      </c>
      <c r="I89" s="42" t="str">
        <f t="shared" si="45"/>
        <v>Half</v>
      </c>
      <c r="J89" s="50">
        <f t="shared" si="45"/>
        <v>6</v>
      </c>
      <c r="K89" s="49">
        <f t="shared" si="45"/>
        <v>160</v>
      </c>
      <c r="L89" s="44">
        <f t="shared" si="36"/>
        <v>8</v>
      </c>
      <c r="M89" s="44">
        <f t="shared" si="43"/>
        <v>-8</v>
      </c>
      <c r="N89" s="45">
        <f t="shared" ref="N89" si="52">N88</f>
        <v>0.2</v>
      </c>
      <c r="O89" s="49">
        <f>O83+30</f>
        <v>30</v>
      </c>
      <c r="P89" s="136">
        <v>0</v>
      </c>
      <c r="Q89" s="44">
        <f t="shared" si="41"/>
        <v>150</v>
      </c>
      <c r="R89" s="50">
        <f t="shared" si="41"/>
        <v>210</v>
      </c>
    </row>
    <row r="90" spans="1:18" x14ac:dyDescent="0.25">
      <c r="A90" s="41">
        <f t="shared" si="37"/>
        <v>938</v>
      </c>
      <c r="B90" s="42">
        <f t="shared" si="37"/>
        <v>80</v>
      </c>
      <c r="C90" s="41" t="s">
        <v>2881</v>
      </c>
      <c r="D90" s="43">
        <f t="shared" si="38"/>
        <v>25</v>
      </c>
      <c r="E90" s="61">
        <f t="shared" si="33"/>
        <v>3.4090000000000007</v>
      </c>
      <c r="F90" s="61">
        <f t="shared" si="34"/>
        <v>42</v>
      </c>
      <c r="G90" s="64">
        <f t="shared" si="35"/>
        <v>0.58988764044943809</v>
      </c>
      <c r="H90" s="44">
        <f t="shared" si="44"/>
        <v>-29.432344969112751</v>
      </c>
      <c r="I90" s="42" t="str">
        <f t="shared" si="45"/>
        <v>Half</v>
      </c>
      <c r="J90" s="50">
        <f t="shared" si="45"/>
        <v>6</v>
      </c>
      <c r="K90" s="49">
        <f t="shared" si="45"/>
        <v>160</v>
      </c>
      <c r="L90" s="44">
        <f t="shared" si="36"/>
        <v>8</v>
      </c>
      <c r="M90" s="44">
        <f t="shared" si="43"/>
        <v>-8</v>
      </c>
      <c r="N90" s="45">
        <f t="shared" ref="N90" si="53">N89</f>
        <v>0.2</v>
      </c>
      <c r="O90" s="49">
        <f t="shared" ref="O90:O106" si="54">O84+30</f>
        <v>30</v>
      </c>
      <c r="P90" s="53">
        <f>P89+15</f>
        <v>15</v>
      </c>
      <c r="Q90" s="44">
        <f t="shared" si="41"/>
        <v>150</v>
      </c>
      <c r="R90" s="50">
        <f t="shared" si="41"/>
        <v>210</v>
      </c>
    </row>
    <row r="91" spans="1:18" x14ac:dyDescent="0.25">
      <c r="A91" s="41">
        <f t="shared" si="37"/>
        <v>939</v>
      </c>
      <c r="B91" s="42">
        <f t="shared" si="37"/>
        <v>81</v>
      </c>
      <c r="C91" s="41" t="s">
        <v>2882</v>
      </c>
      <c r="D91" s="43">
        <f t="shared" si="38"/>
        <v>25</v>
      </c>
      <c r="E91" s="61">
        <f t="shared" si="33"/>
        <v>3.4090000000000007</v>
      </c>
      <c r="F91" s="61">
        <f t="shared" si="34"/>
        <v>42</v>
      </c>
      <c r="G91" s="64">
        <f t="shared" si="35"/>
        <v>0.58988764044943809</v>
      </c>
      <c r="H91" s="44">
        <f t="shared" si="44"/>
        <v>-29.432344969112751</v>
      </c>
      <c r="I91" s="42" t="str">
        <f t="shared" si="45"/>
        <v>Half</v>
      </c>
      <c r="J91" s="50">
        <f t="shared" si="45"/>
        <v>6</v>
      </c>
      <c r="K91" s="49">
        <f t="shared" si="45"/>
        <v>160</v>
      </c>
      <c r="L91" s="44">
        <f t="shared" si="36"/>
        <v>8</v>
      </c>
      <c r="M91" s="44">
        <f t="shared" si="43"/>
        <v>-8</v>
      </c>
      <c r="N91" s="45">
        <f t="shared" ref="N91" si="55">N90</f>
        <v>0.2</v>
      </c>
      <c r="O91" s="49">
        <f t="shared" si="54"/>
        <v>30</v>
      </c>
      <c r="P91" s="53">
        <f t="shared" ref="P91:P94" si="56">P90+15</f>
        <v>30</v>
      </c>
      <c r="Q91" s="44">
        <f t="shared" si="41"/>
        <v>150</v>
      </c>
      <c r="R91" s="50">
        <f t="shared" si="41"/>
        <v>210</v>
      </c>
    </row>
    <row r="92" spans="1:18" x14ac:dyDescent="0.25">
      <c r="A92" s="41">
        <f t="shared" ref="A92:B107" si="57">A91+1</f>
        <v>940</v>
      </c>
      <c r="B92" s="42">
        <f t="shared" si="57"/>
        <v>82</v>
      </c>
      <c r="C92" s="41" t="s">
        <v>2883</v>
      </c>
      <c r="D92" s="43">
        <f t="shared" si="38"/>
        <v>25</v>
      </c>
      <c r="E92" s="61">
        <f t="shared" si="33"/>
        <v>3.4090000000000007</v>
      </c>
      <c r="F92" s="61">
        <f t="shared" si="34"/>
        <v>42</v>
      </c>
      <c r="G92" s="64">
        <f t="shared" si="35"/>
        <v>0.58988764044943809</v>
      </c>
      <c r="H92" s="44">
        <f t="shared" si="44"/>
        <v>-29.432344969112751</v>
      </c>
      <c r="I92" s="42" t="str">
        <f>I91</f>
        <v>Half</v>
      </c>
      <c r="J92" s="50">
        <f t="shared" si="45"/>
        <v>6</v>
      </c>
      <c r="K92" s="49">
        <f t="shared" si="45"/>
        <v>160</v>
      </c>
      <c r="L92" s="44">
        <f t="shared" si="36"/>
        <v>8</v>
      </c>
      <c r="M92" s="44">
        <f t="shared" si="43"/>
        <v>-8</v>
      </c>
      <c r="N92" s="45">
        <f t="shared" ref="N92" si="58">N91</f>
        <v>0.2</v>
      </c>
      <c r="O92" s="49">
        <f t="shared" si="54"/>
        <v>30</v>
      </c>
      <c r="P92" s="53">
        <f t="shared" si="56"/>
        <v>45</v>
      </c>
      <c r="Q92" s="44">
        <f t="shared" si="41"/>
        <v>150</v>
      </c>
      <c r="R92" s="50">
        <f t="shared" si="41"/>
        <v>210</v>
      </c>
    </row>
    <row r="93" spans="1:18" x14ac:dyDescent="0.25">
      <c r="A93" s="41">
        <f t="shared" si="57"/>
        <v>941</v>
      </c>
      <c r="B93" s="42">
        <f t="shared" si="57"/>
        <v>83</v>
      </c>
      <c r="C93" s="41" t="s">
        <v>2884</v>
      </c>
      <c r="D93" s="43">
        <f t="shared" si="38"/>
        <v>25</v>
      </c>
      <c r="E93" s="61">
        <f t="shared" si="33"/>
        <v>3.4090000000000007</v>
      </c>
      <c r="F93" s="61">
        <f t="shared" si="34"/>
        <v>42</v>
      </c>
      <c r="G93" s="64">
        <f t="shared" si="35"/>
        <v>0.58988764044943809</v>
      </c>
      <c r="H93" s="44">
        <f t="shared" si="44"/>
        <v>-29.432344969112751</v>
      </c>
      <c r="I93" s="42" t="str">
        <f>I92</f>
        <v>Half</v>
      </c>
      <c r="J93" s="50">
        <f t="shared" si="45"/>
        <v>6</v>
      </c>
      <c r="K93" s="49">
        <f t="shared" si="45"/>
        <v>160</v>
      </c>
      <c r="L93" s="44">
        <f t="shared" si="36"/>
        <v>8</v>
      </c>
      <c r="M93" s="44">
        <f t="shared" si="43"/>
        <v>-8</v>
      </c>
      <c r="N93" s="45">
        <f t="shared" ref="N93" si="59">N92</f>
        <v>0.2</v>
      </c>
      <c r="O93" s="49">
        <f t="shared" si="54"/>
        <v>30</v>
      </c>
      <c r="P93" s="53">
        <f t="shared" si="56"/>
        <v>60</v>
      </c>
      <c r="Q93" s="44">
        <f t="shared" ref="Q93:R108" si="60">Q92</f>
        <v>150</v>
      </c>
      <c r="R93" s="50">
        <f t="shared" si="60"/>
        <v>210</v>
      </c>
    </row>
    <row r="94" spans="1:18" x14ac:dyDescent="0.25">
      <c r="A94" s="41">
        <f t="shared" si="57"/>
        <v>942</v>
      </c>
      <c r="B94" s="42">
        <f t="shared" si="57"/>
        <v>84</v>
      </c>
      <c r="C94" s="41" t="s">
        <v>2885</v>
      </c>
      <c r="D94" s="43">
        <f t="shared" si="38"/>
        <v>25</v>
      </c>
      <c r="E94" s="61">
        <f t="shared" si="33"/>
        <v>3.4090000000000007</v>
      </c>
      <c r="F94" s="61">
        <f t="shared" si="34"/>
        <v>42</v>
      </c>
      <c r="G94" s="64">
        <f t="shared" si="35"/>
        <v>0.58988764044943809</v>
      </c>
      <c r="H94" s="44">
        <f t="shared" si="44"/>
        <v>-29.432344969112751</v>
      </c>
      <c r="I94" s="42" t="str">
        <f>I93</f>
        <v>Half</v>
      </c>
      <c r="J94" s="50">
        <f t="shared" si="45"/>
        <v>6</v>
      </c>
      <c r="K94" s="49">
        <f t="shared" si="45"/>
        <v>160</v>
      </c>
      <c r="L94" s="44">
        <f t="shared" si="36"/>
        <v>8</v>
      </c>
      <c r="M94" s="44">
        <f t="shared" si="43"/>
        <v>-8</v>
      </c>
      <c r="N94" s="45">
        <f t="shared" ref="N94" si="61">N93</f>
        <v>0.2</v>
      </c>
      <c r="O94" s="49">
        <f t="shared" si="54"/>
        <v>30</v>
      </c>
      <c r="P94" s="135">
        <f t="shared" si="56"/>
        <v>75</v>
      </c>
      <c r="Q94" s="44">
        <f t="shared" si="60"/>
        <v>150</v>
      </c>
      <c r="R94" s="50">
        <f t="shared" si="60"/>
        <v>210</v>
      </c>
    </row>
    <row r="95" spans="1:18" x14ac:dyDescent="0.25">
      <c r="A95" s="41">
        <f t="shared" si="57"/>
        <v>943</v>
      </c>
      <c r="B95" s="42">
        <f t="shared" si="57"/>
        <v>85</v>
      </c>
      <c r="C95" s="41" t="s">
        <v>2886</v>
      </c>
      <c r="D95" s="43">
        <f t="shared" si="38"/>
        <v>25</v>
      </c>
      <c r="E95" s="61">
        <f t="shared" si="33"/>
        <v>3.4090000000000007</v>
      </c>
      <c r="F95" s="61">
        <f t="shared" si="34"/>
        <v>42</v>
      </c>
      <c r="G95" s="64">
        <f t="shared" si="35"/>
        <v>0.58988764044943809</v>
      </c>
      <c r="H95" s="44">
        <f t="shared" si="44"/>
        <v>-29.432344969112751</v>
      </c>
      <c r="I95" s="42" t="str">
        <f t="shared" ref="I95:K100" si="62">I94</f>
        <v>Half</v>
      </c>
      <c r="J95" s="50">
        <f t="shared" si="62"/>
        <v>6</v>
      </c>
      <c r="K95" s="49">
        <f t="shared" si="45"/>
        <v>160</v>
      </c>
      <c r="L95" s="44">
        <f t="shared" si="36"/>
        <v>8</v>
      </c>
      <c r="M95" s="44">
        <f t="shared" si="43"/>
        <v>-8</v>
      </c>
      <c r="N95" s="45">
        <f t="shared" ref="N95" si="63">N94</f>
        <v>0.2</v>
      </c>
      <c r="O95" s="49">
        <f t="shared" si="54"/>
        <v>60</v>
      </c>
      <c r="P95" s="136">
        <v>0</v>
      </c>
      <c r="Q95" s="44">
        <f t="shared" si="60"/>
        <v>150</v>
      </c>
      <c r="R95" s="50">
        <f t="shared" si="60"/>
        <v>210</v>
      </c>
    </row>
    <row r="96" spans="1:18" x14ac:dyDescent="0.25">
      <c r="A96" s="41">
        <f t="shared" si="57"/>
        <v>944</v>
      </c>
      <c r="B96" s="42">
        <f t="shared" si="57"/>
        <v>86</v>
      </c>
      <c r="C96" s="41" t="s">
        <v>2887</v>
      </c>
      <c r="D96" s="43">
        <f t="shared" si="38"/>
        <v>25</v>
      </c>
      <c r="E96" s="61">
        <f t="shared" si="33"/>
        <v>3.4090000000000007</v>
      </c>
      <c r="F96" s="61">
        <f t="shared" si="34"/>
        <v>42</v>
      </c>
      <c r="G96" s="64">
        <f t="shared" si="35"/>
        <v>0.58988764044943809</v>
      </c>
      <c r="H96" s="44">
        <f t="shared" si="44"/>
        <v>-29.432344969112751</v>
      </c>
      <c r="I96" s="42" t="str">
        <f t="shared" si="62"/>
        <v>Half</v>
      </c>
      <c r="J96" s="50">
        <f t="shared" si="62"/>
        <v>6</v>
      </c>
      <c r="K96" s="49">
        <f t="shared" si="62"/>
        <v>160</v>
      </c>
      <c r="L96" s="44">
        <f t="shared" si="36"/>
        <v>8</v>
      </c>
      <c r="M96" s="44">
        <f t="shared" si="43"/>
        <v>-8</v>
      </c>
      <c r="N96" s="45">
        <f t="shared" ref="N96" si="64">N95</f>
        <v>0.2</v>
      </c>
      <c r="O96" s="49">
        <f t="shared" si="54"/>
        <v>60</v>
      </c>
      <c r="P96" s="53">
        <f>P95+15</f>
        <v>15</v>
      </c>
      <c r="Q96" s="44">
        <f t="shared" si="60"/>
        <v>150</v>
      </c>
      <c r="R96" s="50">
        <f t="shared" si="60"/>
        <v>210</v>
      </c>
    </row>
    <row r="97" spans="1:18" x14ac:dyDescent="0.25">
      <c r="A97" s="41">
        <f t="shared" si="57"/>
        <v>945</v>
      </c>
      <c r="B97" s="42">
        <f t="shared" si="57"/>
        <v>87</v>
      </c>
      <c r="C97" s="41" t="s">
        <v>2888</v>
      </c>
      <c r="D97" s="43">
        <f t="shared" si="38"/>
        <v>25</v>
      </c>
      <c r="E97" s="61">
        <f t="shared" si="33"/>
        <v>3.4090000000000007</v>
      </c>
      <c r="F97" s="61">
        <f t="shared" si="34"/>
        <v>42</v>
      </c>
      <c r="G97" s="64">
        <f t="shared" si="35"/>
        <v>0.58988764044943809</v>
      </c>
      <c r="H97" s="44">
        <f t="shared" si="44"/>
        <v>-29.432344969112751</v>
      </c>
      <c r="I97" s="42" t="str">
        <f t="shared" si="62"/>
        <v>Half</v>
      </c>
      <c r="J97" s="50">
        <f t="shared" si="62"/>
        <v>6</v>
      </c>
      <c r="K97" s="49">
        <f t="shared" si="62"/>
        <v>160</v>
      </c>
      <c r="L97" s="44">
        <f t="shared" si="36"/>
        <v>8</v>
      </c>
      <c r="M97" s="44">
        <f t="shared" si="43"/>
        <v>-8</v>
      </c>
      <c r="N97" s="45">
        <f t="shared" ref="N97" si="65">N96</f>
        <v>0.2</v>
      </c>
      <c r="O97" s="49">
        <f t="shared" si="54"/>
        <v>60</v>
      </c>
      <c r="P97" s="53">
        <f t="shared" ref="P97:P100" si="66">P96+15</f>
        <v>30</v>
      </c>
      <c r="Q97" s="44">
        <f t="shared" si="60"/>
        <v>150</v>
      </c>
      <c r="R97" s="50">
        <f t="shared" si="60"/>
        <v>210</v>
      </c>
    </row>
    <row r="98" spans="1:18" x14ac:dyDescent="0.25">
      <c r="A98" s="41">
        <f t="shared" si="57"/>
        <v>946</v>
      </c>
      <c r="B98" s="42">
        <f t="shared" si="57"/>
        <v>88</v>
      </c>
      <c r="C98" s="41" t="s">
        <v>2889</v>
      </c>
      <c r="D98" s="43">
        <f t="shared" si="38"/>
        <v>25</v>
      </c>
      <c r="E98" s="61">
        <f t="shared" si="33"/>
        <v>3.4090000000000007</v>
      </c>
      <c r="F98" s="61">
        <f t="shared" si="34"/>
        <v>42</v>
      </c>
      <c r="G98" s="64">
        <f t="shared" si="35"/>
        <v>0.58988764044943809</v>
      </c>
      <c r="H98" s="44">
        <f t="shared" si="44"/>
        <v>-29.432344969112751</v>
      </c>
      <c r="I98" s="42" t="str">
        <f t="shared" si="62"/>
        <v>Half</v>
      </c>
      <c r="J98" s="50">
        <f t="shared" si="62"/>
        <v>6</v>
      </c>
      <c r="K98" s="49">
        <f t="shared" si="62"/>
        <v>160</v>
      </c>
      <c r="L98" s="44">
        <f t="shared" si="36"/>
        <v>8</v>
      </c>
      <c r="M98" s="44">
        <f t="shared" si="43"/>
        <v>-8</v>
      </c>
      <c r="N98" s="45">
        <f t="shared" ref="N98" si="67">N97</f>
        <v>0.2</v>
      </c>
      <c r="O98" s="49">
        <f t="shared" si="54"/>
        <v>60</v>
      </c>
      <c r="P98" s="53">
        <f t="shared" si="66"/>
        <v>45</v>
      </c>
      <c r="Q98" s="44">
        <f t="shared" si="60"/>
        <v>150</v>
      </c>
      <c r="R98" s="50">
        <f t="shared" si="60"/>
        <v>210</v>
      </c>
    </row>
    <row r="99" spans="1:18" x14ac:dyDescent="0.25">
      <c r="A99" s="41">
        <f t="shared" si="57"/>
        <v>947</v>
      </c>
      <c r="B99" s="42">
        <f t="shared" si="57"/>
        <v>89</v>
      </c>
      <c r="C99" s="41" t="s">
        <v>2890</v>
      </c>
      <c r="D99" s="43">
        <f t="shared" si="38"/>
        <v>25</v>
      </c>
      <c r="E99" s="61">
        <f t="shared" si="33"/>
        <v>3.4090000000000007</v>
      </c>
      <c r="F99" s="61">
        <f t="shared" si="34"/>
        <v>42</v>
      </c>
      <c r="G99" s="64">
        <f t="shared" si="35"/>
        <v>0.58988764044943809</v>
      </c>
      <c r="H99" s="44">
        <f t="shared" si="44"/>
        <v>-29.432344969112751</v>
      </c>
      <c r="I99" s="42" t="s">
        <v>12</v>
      </c>
      <c r="J99" s="50">
        <f t="shared" si="62"/>
        <v>6</v>
      </c>
      <c r="K99" s="49">
        <f t="shared" si="62"/>
        <v>160</v>
      </c>
      <c r="L99" s="44">
        <f t="shared" si="36"/>
        <v>8</v>
      </c>
      <c r="M99" s="44">
        <f t="shared" si="43"/>
        <v>-8</v>
      </c>
      <c r="N99" s="45">
        <f t="shared" ref="N99" si="68">N98</f>
        <v>0.2</v>
      </c>
      <c r="O99" s="49">
        <f t="shared" si="54"/>
        <v>60</v>
      </c>
      <c r="P99" s="53">
        <f t="shared" si="66"/>
        <v>60</v>
      </c>
      <c r="Q99" s="44">
        <f t="shared" si="60"/>
        <v>150</v>
      </c>
      <c r="R99" s="50">
        <f t="shared" si="60"/>
        <v>210</v>
      </c>
    </row>
    <row r="100" spans="1:18" x14ac:dyDescent="0.25">
      <c r="A100" s="41">
        <f t="shared" si="57"/>
        <v>948</v>
      </c>
      <c r="B100" s="42">
        <f t="shared" si="57"/>
        <v>90</v>
      </c>
      <c r="C100" s="41" t="s">
        <v>2891</v>
      </c>
      <c r="D100" s="43">
        <f t="shared" si="38"/>
        <v>25</v>
      </c>
      <c r="E100" s="61">
        <f t="shared" si="33"/>
        <v>3.4090000000000007</v>
      </c>
      <c r="F100" s="61">
        <f t="shared" si="34"/>
        <v>42</v>
      </c>
      <c r="G100" s="64">
        <f t="shared" si="35"/>
        <v>0.58988764044943809</v>
      </c>
      <c r="H100" s="44">
        <f t="shared" si="44"/>
        <v>-29.432344969112751</v>
      </c>
      <c r="I100" s="42" t="str">
        <f>I99</f>
        <v>Half</v>
      </c>
      <c r="J100" s="50">
        <f t="shared" si="62"/>
        <v>6</v>
      </c>
      <c r="K100" s="49">
        <f t="shared" si="62"/>
        <v>160</v>
      </c>
      <c r="L100" s="44">
        <f t="shared" si="36"/>
        <v>8</v>
      </c>
      <c r="M100" s="44">
        <f t="shared" si="43"/>
        <v>-8</v>
      </c>
      <c r="N100" s="45">
        <f t="shared" ref="N100" si="69">N99</f>
        <v>0.2</v>
      </c>
      <c r="O100" s="49">
        <f t="shared" si="54"/>
        <v>60</v>
      </c>
      <c r="P100" s="135">
        <f t="shared" si="66"/>
        <v>75</v>
      </c>
      <c r="Q100" s="44">
        <f t="shared" si="60"/>
        <v>150</v>
      </c>
      <c r="R100" s="50">
        <f t="shared" si="60"/>
        <v>210</v>
      </c>
    </row>
    <row r="101" spans="1:18" x14ac:dyDescent="0.25">
      <c r="A101" s="41">
        <f t="shared" si="57"/>
        <v>949</v>
      </c>
      <c r="B101" s="42">
        <f t="shared" si="57"/>
        <v>91</v>
      </c>
      <c r="C101" s="41" t="s">
        <v>2892</v>
      </c>
      <c r="D101" s="43">
        <f t="shared" si="38"/>
        <v>25</v>
      </c>
      <c r="E101" s="61">
        <f t="shared" si="33"/>
        <v>3.4090000000000007</v>
      </c>
      <c r="F101" s="61">
        <f t="shared" si="34"/>
        <v>42</v>
      </c>
      <c r="G101" s="64">
        <f t="shared" si="35"/>
        <v>0.58988764044943809</v>
      </c>
      <c r="H101" s="44">
        <f t="shared" si="44"/>
        <v>-29.432344969112751</v>
      </c>
      <c r="I101" s="42" t="str">
        <f t="shared" ref="I101:K116" si="70">I100</f>
        <v>Half</v>
      </c>
      <c r="J101" s="50">
        <f t="shared" si="70"/>
        <v>6</v>
      </c>
      <c r="K101" s="49">
        <f t="shared" si="70"/>
        <v>160</v>
      </c>
      <c r="L101" s="44">
        <f t="shared" si="36"/>
        <v>8</v>
      </c>
      <c r="M101" s="44">
        <f t="shared" si="43"/>
        <v>-8</v>
      </c>
      <c r="N101" s="45">
        <f t="shared" ref="N101" si="71">N100</f>
        <v>0.2</v>
      </c>
      <c r="O101" s="49">
        <f t="shared" si="54"/>
        <v>90</v>
      </c>
      <c r="P101" s="136">
        <v>0</v>
      </c>
      <c r="Q101" s="44">
        <f t="shared" si="60"/>
        <v>150</v>
      </c>
      <c r="R101" s="50">
        <f t="shared" si="60"/>
        <v>210</v>
      </c>
    </row>
    <row r="102" spans="1:18" x14ac:dyDescent="0.25">
      <c r="A102" s="41">
        <f t="shared" si="57"/>
        <v>950</v>
      </c>
      <c r="B102" s="42">
        <f t="shared" si="57"/>
        <v>92</v>
      </c>
      <c r="C102" s="41" t="s">
        <v>2893</v>
      </c>
      <c r="D102" s="43">
        <f t="shared" si="38"/>
        <v>25</v>
      </c>
      <c r="E102" s="61">
        <f t="shared" si="33"/>
        <v>3.4090000000000007</v>
      </c>
      <c r="F102" s="61">
        <f t="shared" si="34"/>
        <v>42</v>
      </c>
      <c r="G102" s="64">
        <f t="shared" si="35"/>
        <v>0.58988764044943809</v>
      </c>
      <c r="H102" s="44">
        <f t="shared" si="44"/>
        <v>-29.432344969112751</v>
      </c>
      <c r="I102" s="42" t="str">
        <f t="shared" si="70"/>
        <v>Half</v>
      </c>
      <c r="J102" s="50">
        <f t="shared" si="70"/>
        <v>6</v>
      </c>
      <c r="K102" s="49">
        <f t="shared" si="70"/>
        <v>160</v>
      </c>
      <c r="L102" s="44">
        <f t="shared" si="36"/>
        <v>8</v>
      </c>
      <c r="M102" s="44">
        <f t="shared" si="43"/>
        <v>-8</v>
      </c>
      <c r="N102" s="45">
        <f t="shared" ref="N102" si="72">N101</f>
        <v>0.2</v>
      </c>
      <c r="O102" s="49">
        <f t="shared" si="54"/>
        <v>90</v>
      </c>
      <c r="P102" s="53">
        <f>P101+15</f>
        <v>15</v>
      </c>
      <c r="Q102" s="44">
        <f t="shared" si="60"/>
        <v>150</v>
      </c>
      <c r="R102" s="50">
        <f t="shared" si="60"/>
        <v>210</v>
      </c>
    </row>
    <row r="103" spans="1:18" x14ac:dyDescent="0.25">
      <c r="A103" s="41">
        <f t="shared" si="57"/>
        <v>951</v>
      </c>
      <c r="B103" s="42">
        <f t="shared" si="57"/>
        <v>93</v>
      </c>
      <c r="C103" s="41" t="s">
        <v>2894</v>
      </c>
      <c r="D103" s="43">
        <f t="shared" si="38"/>
        <v>25</v>
      </c>
      <c r="E103" s="61">
        <f t="shared" si="33"/>
        <v>3.4090000000000007</v>
      </c>
      <c r="F103" s="61">
        <f t="shared" si="34"/>
        <v>42</v>
      </c>
      <c r="G103" s="64">
        <f t="shared" si="35"/>
        <v>0.58988764044943809</v>
      </c>
      <c r="H103" s="44">
        <f t="shared" si="44"/>
        <v>-29.432344969112751</v>
      </c>
      <c r="I103" s="42" t="str">
        <f t="shared" si="70"/>
        <v>Half</v>
      </c>
      <c r="J103" s="50">
        <f t="shared" si="70"/>
        <v>6</v>
      </c>
      <c r="K103" s="49">
        <f t="shared" si="70"/>
        <v>160</v>
      </c>
      <c r="L103" s="44">
        <f t="shared" si="36"/>
        <v>8</v>
      </c>
      <c r="M103" s="44">
        <f t="shared" si="43"/>
        <v>-8</v>
      </c>
      <c r="N103" s="45">
        <f t="shared" ref="N103" si="73">N102</f>
        <v>0.2</v>
      </c>
      <c r="O103" s="49">
        <f>O97+30</f>
        <v>90</v>
      </c>
      <c r="P103" s="53">
        <f t="shared" ref="P103:P106" si="74">P102+15</f>
        <v>30</v>
      </c>
      <c r="Q103" s="44">
        <f t="shared" si="60"/>
        <v>150</v>
      </c>
      <c r="R103" s="50">
        <f t="shared" si="60"/>
        <v>210</v>
      </c>
    </row>
    <row r="104" spans="1:18" x14ac:dyDescent="0.25">
      <c r="A104" s="41">
        <f t="shared" si="57"/>
        <v>952</v>
      </c>
      <c r="B104" s="42">
        <f t="shared" si="57"/>
        <v>94</v>
      </c>
      <c r="C104" s="41" t="s">
        <v>2895</v>
      </c>
      <c r="D104" s="43">
        <f t="shared" si="38"/>
        <v>25</v>
      </c>
      <c r="E104" s="61">
        <f t="shared" si="33"/>
        <v>3.4090000000000007</v>
      </c>
      <c r="F104" s="61">
        <f t="shared" si="34"/>
        <v>42</v>
      </c>
      <c r="G104" s="64">
        <f t="shared" si="35"/>
        <v>0.58988764044943809</v>
      </c>
      <c r="H104" s="44">
        <f t="shared" si="44"/>
        <v>-29.432344969112751</v>
      </c>
      <c r="I104" s="42" t="str">
        <f t="shared" si="70"/>
        <v>Half</v>
      </c>
      <c r="J104" s="50">
        <f t="shared" si="70"/>
        <v>6</v>
      </c>
      <c r="K104" s="49">
        <f t="shared" si="70"/>
        <v>160</v>
      </c>
      <c r="L104" s="44">
        <f t="shared" si="36"/>
        <v>8</v>
      </c>
      <c r="M104" s="44">
        <f t="shared" si="43"/>
        <v>-8</v>
      </c>
      <c r="N104" s="45">
        <f t="shared" ref="N104" si="75">N103</f>
        <v>0.2</v>
      </c>
      <c r="O104" s="49">
        <f t="shared" si="54"/>
        <v>90</v>
      </c>
      <c r="P104" s="53">
        <f t="shared" si="74"/>
        <v>45</v>
      </c>
      <c r="Q104" s="44">
        <f t="shared" si="60"/>
        <v>150</v>
      </c>
      <c r="R104" s="50">
        <f t="shared" si="60"/>
        <v>210</v>
      </c>
    </row>
    <row r="105" spans="1:18" x14ac:dyDescent="0.25">
      <c r="A105" s="41">
        <f t="shared" si="57"/>
        <v>953</v>
      </c>
      <c r="B105" s="42">
        <f t="shared" si="57"/>
        <v>95</v>
      </c>
      <c r="C105" s="41" t="s">
        <v>2896</v>
      </c>
      <c r="D105" s="43">
        <f t="shared" si="38"/>
        <v>25</v>
      </c>
      <c r="E105" s="61">
        <f t="shared" si="33"/>
        <v>3.4090000000000007</v>
      </c>
      <c r="F105" s="61">
        <f t="shared" si="34"/>
        <v>42</v>
      </c>
      <c r="G105" s="64">
        <f t="shared" si="35"/>
        <v>0.58988764044943809</v>
      </c>
      <c r="H105" s="44">
        <f t="shared" si="44"/>
        <v>-29.432344969112751</v>
      </c>
      <c r="I105" s="42" t="str">
        <f t="shared" si="70"/>
        <v>Half</v>
      </c>
      <c r="J105" s="50">
        <f t="shared" si="70"/>
        <v>6</v>
      </c>
      <c r="K105" s="49">
        <f t="shared" si="70"/>
        <v>160</v>
      </c>
      <c r="L105" s="44">
        <f t="shared" si="36"/>
        <v>8</v>
      </c>
      <c r="M105" s="44">
        <f t="shared" si="43"/>
        <v>-8</v>
      </c>
      <c r="N105" s="45">
        <f t="shared" ref="N105" si="76">N104</f>
        <v>0.2</v>
      </c>
      <c r="O105" s="49">
        <f t="shared" si="54"/>
        <v>90</v>
      </c>
      <c r="P105" s="53">
        <f t="shared" si="74"/>
        <v>60</v>
      </c>
      <c r="Q105" s="44">
        <f t="shared" si="60"/>
        <v>150</v>
      </c>
      <c r="R105" s="50">
        <f t="shared" si="60"/>
        <v>210</v>
      </c>
    </row>
    <row r="106" spans="1:18" x14ac:dyDescent="0.25">
      <c r="A106" s="41">
        <f t="shared" si="57"/>
        <v>954</v>
      </c>
      <c r="B106" s="42">
        <f t="shared" si="57"/>
        <v>96</v>
      </c>
      <c r="C106" s="41" t="s">
        <v>2897</v>
      </c>
      <c r="D106" s="43">
        <f t="shared" si="38"/>
        <v>25</v>
      </c>
      <c r="E106" s="61">
        <f t="shared" si="33"/>
        <v>3.4090000000000007</v>
      </c>
      <c r="F106" s="61">
        <f t="shared" si="34"/>
        <v>42</v>
      </c>
      <c r="G106" s="64">
        <f t="shared" si="35"/>
        <v>0.58988764044943809</v>
      </c>
      <c r="H106" s="44">
        <f t="shared" si="44"/>
        <v>-29.432344969112751</v>
      </c>
      <c r="I106" s="42" t="str">
        <f t="shared" si="70"/>
        <v>Half</v>
      </c>
      <c r="J106" s="50">
        <f t="shared" si="70"/>
        <v>6</v>
      </c>
      <c r="K106" s="49">
        <f t="shared" si="70"/>
        <v>160</v>
      </c>
      <c r="L106" s="44">
        <f t="shared" si="36"/>
        <v>8</v>
      </c>
      <c r="M106" s="44">
        <f t="shared" si="43"/>
        <v>-8</v>
      </c>
      <c r="N106" s="45">
        <f t="shared" ref="N106" si="77">N105</f>
        <v>0.2</v>
      </c>
      <c r="O106" s="49">
        <f t="shared" si="54"/>
        <v>90</v>
      </c>
      <c r="P106" s="53">
        <f t="shared" si="74"/>
        <v>75</v>
      </c>
      <c r="Q106" s="44">
        <f t="shared" si="60"/>
        <v>150</v>
      </c>
      <c r="R106" s="50">
        <f t="shared" si="60"/>
        <v>210</v>
      </c>
    </row>
    <row r="107" spans="1:18" x14ac:dyDescent="0.25">
      <c r="A107" s="41">
        <f t="shared" si="57"/>
        <v>955</v>
      </c>
      <c r="B107" s="42">
        <f t="shared" si="57"/>
        <v>97</v>
      </c>
      <c r="C107" s="41" t="s">
        <v>2898</v>
      </c>
      <c r="D107" s="43">
        <f t="shared" si="38"/>
        <v>25</v>
      </c>
      <c r="E107" s="61">
        <f t="shared" si="33"/>
        <v>3.4090000000000007</v>
      </c>
      <c r="F107" s="61">
        <f t="shared" si="34"/>
        <v>42</v>
      </c>
      <c r="G107" s="64">
        <f t="shared" si="35"/>
        <v>0.58988764044943809</v>
      </c>
      <c r="H107" s="44">
        <f t="shared" si="44"/>
        <v>-29.432344969112751</v>
      </c>
      <c r="I107" s="42" t="str">
        <f t="shared" si="70"/>
        <v>Half</v>
      </c>
      <c r="J107" s="50">
        <f t="shared" si="70"/>
        <v>6</v>
      </c>
      <c r="K107" s="49">
        <f t="shared" si="70"/>
        <v>160</v>
      </c>
      <c r="L107" s="44">
        <f t="shared" si="36"/>
        <v>8</v>
      </c>
      <c r="M107" s="44">
        <f t="shared" ref="M107:M130" si="78">yaw_null</f>
        <v>0</v>
      </c>
      <c r="N107" s="45">
        <f t="shared" ref="N107" si="79">N106</f>
        <v>0.2</v>
      </c>
      <c r="O107" s="49">
        <v>0</v>
      </c>
      <c r="P107" s="136">
        <v>0</v>
      </c>
      <c r="Q107" s="44">
        <f t="shared" si="60"/>
        <v>150</v>
      </c>
      <c r="R107" s="50">
        <f t="shared" si="60"/>
        <v>210</v>
      </c>
    </row>
    <row r="108" spans="1:18" x14ac:dyDescent="0.25">
      <c r="A108" s="41">
        <f t="shared" ref="A108:B123" si="80">A107+1</f>
        <v>956</v>
      </c>
      <c r="B108" s="42">
        <f t="shared" si="80"/>
        <v>98</v>
      </c>
      <c r="C108" s="41" t="s">
        <v>2899</v>
      </c>
      <c r="D108" s="43">
        <f t="shared" si="38"/>
        <v>25</v>
      </c>
      <c r="E108" s="61">
        <f t="shared" si="33"/>
        <v>3.4090000000000007</v>
      </c>
      <c r="F108" s="61">
        <f t="shared" si="34"/>
        <v>42</v>
      </c>
      <c r="G108" s="64">
        <f t="shared" si="35"/>
        <v>0.58988764044943809</v>
      </c>
      <c r="H108" s="44">
        <f t="shared" si="44"/>
        <v>-29.432344969112751</v>
      </c>
      <c r="I108" s="42" t="str">
        <f t="shared" si="70"/>
        <v>Half</v>
      </c>
      <c r="J108" s="50">
        <f t="shared" si="70"/>
        <v>6</v>
      </c>
      <c r="K108" s="49">
        <f t="shared" si="70"/>
        <v>160</v>
      </c>
      <c r="L108" s="44">
        <f t="shared" si="36"/>
        <v>8</v>
      </c>
      <c r="M108" s="44">
        <f t="shared" si="78"/>
        <v>0</v>
      </c>
      <c r="N108" s="45">
        <f t="shared" ref="N108" si="81">N107</f>
        <v>0.2</v>
      </c>
      <c r="O108" s="49">
        <v>0</v>
      </c>
      <c r="P108" s="53">
        <f>P107+15</f>
        <v>15</v>
      </c>
      <c r="Q108" s="44">
        <f t="shared" si="60"/>
        <v>150</v>
      </c>
      <c r="R108" s="50">
        <f t="shared" si="60"/>
        <v>210</v>
      </c>
    </row>
    <row r="109" spans="1:18" x14ac:dyDescent="0.25">
      <c r="A109" s="41">
        <f t="shared" si="80"/>
        <v>957</v>
      </c>
      <c r="B109" s="42">
        <f t="shared" si="80"/>
        <v>99</v>
      </c>
      <c r="C109" s="41" t="s">
        <v>2900</v>
      </c>
      <c r="D109" s="43">
        <f t="shared" si="38"/>
        <v>25</v>
      </c>
      <c r="E109" s="61">
        <f t="shared" si="33"/>
        <v>3.4090000000000007</v>
      </c>
      <c r="F109" s="61">
        <f t="shared" si="34"/>
        <v>42</v>
      </c>
      <c r="G109" s="64">
        <f t="shared" si="35"/>
        <v>0.58988764044943809</v>
      </c>
      <c r="H109" s="44">
        <f t="shared" si="44"/>
        <v>-29.432344969112751</v>
      </c>
      <c r="I109" s="42" t="str">
        <f t="shared" si="70"/>
        <v>Half</v>
      </c>
      <c r="J109" s="50">
        <f t="shared" si="70"/>
        <v>6</v>
      </c>
      <c r="K109" s="49">
        <f t="shared" si="70"/>
        <v>160</v>
      </c>
      <c r="L109" s="44">
        <f t="shared" si="36"/>
        <v>8</v>
      </c>
      <c r="M109" s="44">
        <f t="shared" si="78"/>
        <v>0</v>
      </c>
      <c r="N109" s="45">
        <f t="shared" ref="N109" si="82">N108</f>
        <v>0.2</v>
      </c>
      <c r="O109" s="49">
        <v>0</v>
      </c>
      <c r="P109" s="53">
        <f t="shared" ref="P109:P112" si="83">P108+15</f>
        <v>30</v>
      </c>
      <c r="Q109" s="44">
        <f t="shared" ref="Q109:R124" si="84">Q108</f>
        <v>150</v>
      </c>
      <c r="R109" s="50">
        <f t="shared" si="84"/>
        <v>210</v>
      </c>
    </row>
    <row r="110" spans="1:18" x14ac:dyDescent="0.25">
      <c r="A110" s="41">
        <f t="shared" si="80"/>
        <v>958</v>
      </c>
      <c r="B110" s="42">
        <f t="shared" si="80"/>
        <v>100</v>
      </c>
      <c r="C110" s="41" t="s">
        <v>2901</v>
      </c>
      <c r="D110" s="43">
        <f t="shared" si="38"/>
        <v>25</v>
      </c>
      <c r="E110" s="61">
        <f t="shared" si="33"/>
        <v>3.4090000000000007</v>
      </c>
      <c r="F110" s="61">
        <f t="shared" si="34"/>
        <v>42</v>
      </c>
      <c r="G110" s="64">
        <f t="shared" si="35"/>
        <v>0.58988764044943809</v>
      </c>
      <c r="H110" s="44">
        <f t="shared" si="44"/>
        <v>-29.432344969112751</v>
      </c>
      <c r="I110" s="42" t="str">
        <f t="shared" si="70"/>
        <v>Half</v>
      </c>
      <c r="J110" s="50">
        <f t="shared" si="70"/>
        <v>6</v>
      </c>
      <c r="K110" s="49">
        <f t="shared" si="70"/>
        <v>160</v>
      </c>
      <c r="L110" s="44">
        <f t="shared" si="36"/>
        <v>8</v>
      </c>
      <c r="M110" s="44">
        <f t="shared" si="78"/>
        <v>0</v>
      </c>
      <c r="N110" s="45">
        <f t="shared" ref="N110" si="85">N109</f>
        <v>0.2</v>
      </c>
      <c r="O110" s="49">
        <v>0</v>
      </c>
      <c r="P110" s="53">
        <f t="shared" si="83"/>
        <v>45</v>
      </c>
      <c r="Q110" s="44">
        <f t="shared" si="84"/>
        <v>150</v>
      </c>
      <c r="R110" s="50">
        <f t="shared" si="84"/>
        <v>210</v>
      </c>
    </row>
    <row r="111" spans="1:18" x14ac:dyDescent="0.25">
      <c r="A111" s="41">
        <f t="shared" si="80"/>
        <v>959</v>
      </c>
      <c r="B111" s="42">
        <f t="shared" si="80"/>
        <v>101</v>
      </c>
      <c r="C111" s="41" t="s">
        <v>2902</v>
      </c>
      <c r="D111" s="43">
        <f t="shared" si="38"/>
        <v>25</v>
      </c>
      <c r="E111" s="61">
        <f t="shared" si="33"/>
        <v>3.4090000000000007</v>
      </c>
      <c r="F111" s="61">
        <f t="shared" si="34"/>
        <v>42</v>
      </c>
      <c r="G111" s="64">
        <f t="shared" si="35"/>
        <v>0.58988764044943809</v>
      </c>
      <c r="H111" s="44">
        <f t="shared" si="44"/>
        <v>-29.432344969112751</v>
      </c>
      <c r="I111" s="42" t="str">
        <f t="shared" si="70"/>
        <v>Half</v>
      </c>
      <c r="J111" s="50">
        <f t="shared" si="70"/>
        <v>6</v>
      </c>
      <c r="K111" s="49">
        <f t="shared" si="70"/>
        <v>160</v>
      </c>
      <c r="L111" s="44">
        <f t="shared" si="36"/>
        <v>8</v>
      </c>
      <c r="M111" s="44">
        <f t="shared" si="78"/>
        <v>0</v>
      </c>
      <c r="N111" s="45">
        <f t="shared" ref="N111" si="86">N110</f>
        <v>0.2</v>
      </c>
      <c r="O111" s="49">
        <v>0</v>
      </c>
      <c r="P111" s="53">
        <f t="shared" si="83"/>
        <v>60</v>
      </c>
      <c r="Q111" s="44">
        <f t="shared" si="84"/>
        <v>150</v>
      </c>
      <c r="R111" s="50">
        <f t="shared" si="84"/>
        <v>210</v>
      </c>
    </row>
    <row r="112" spans="1:18" x14ac:dyDescent="0.25">
      <c r="A112" s="41">
        <f t="shared" si="80"/>
        <v>960</v>
      </c>
      <c r="B112" s="42">
        <f t="shared" si="80"/>
        <v>102</v>
      </c>
      <c r="C112" s="41" t="s">
        <v>2903</v>
      </c>
      <c r="D112" s="43">
        <f t="shared" si="38"/>
        <v>25</v>
      </c>
      <c r="E112" s="61">
        <f t="shared" si="33"/>
        <v>3.4090000000000007</v>
      </c>
      <c r="F112" s="61">
        <f t="shared" si="34"/>
        <v>42</v>
      </c>
      <c r="G112" s="64">
        <f t="shared" si="35"/>
        <v>0.58988764044943809</v>
      </c>
      <c r="H112" s="44">
        <f t="shared" si="44"/>
        <v>-29.432344969112751</v>
      </c>
      <c r="I112" s="42" t="str">
        <f t="shared" si="70"/>
        <v>Half</v>
      </c>
      <c r="J112" s="50">
        <f t="shared" si="70"/>
        <v>6</v>
      </c>
      <c r="K112" s="49">
        <f t="shared" si="70"/>
        <v>160</v>
      </c>
      <c r="L112" s="44">
        <f t="shared" si="36"/>
        <v>8</v>
      </c>
      <c r="M112" s="44">
        <f t="shared" si="78"/>
        <v>0</v>
      </c>
      <c r="N112" s="45">
        <f t="shared" ref="N112" si="87">N111</f>
        <v>0.2</v>
      </c>
      <c r="O112" s="49">
        <v>0</v>
      </c>
      <c r="P112" s="135">
        <f t="shared" si="83"/>
        <v>75</v>
      </c>
      <c r="Q112" s="44">
        <f t="shared" si="84"/>
        <v>150</v>
      </c>
      <c r="R112" s="50">
        <f t="shared" si="84"/>
        <v>210</v>
      </c>
    </row>
    <row r="113" spans="1:18" x14ac:dyDescent="0.25">
      <c r="A113" s="41">
        <f t="shared" si="80"/>
        <v>961</v>
      </c>
      <c r="B113" s="42">
        <f t="shared" si="80"/>
        <v>103</v>
      </c>
      <c r="C113" s="41" t="s">
        <v>2904</v>
      </c>
      <c r="D113" s="43">
        <f t="shared" si="38"/>
        <v>25</v>
      </c>
      <c r="E113" s="61">
        <f t="shared" si="33"/>
        <v>3.4090000000000007</v>
      </c>
      <c r="F113" s="61">
        <f t="shared" si="34"/>
        <v>42</v>
      </c>
      <c r="G113" s="64">
        <f t="shared" si="35"/>
        <v>0.58988764044943809</v>
      </c>
      <c r="H113" s="44">
        <f t="shared" si="44"/>
        <v>-29.432344969112751</v>
      </c>
      <c r="I113" s="42" t="str">
        <f t="shared" si="70"/>
        <v>Half</v>
      </c>
      <c r="J113" s="50">
        <f t="shared" si="70"/>
        <v>6</v>
      </c>
      <c r="K113" s="49">
        <f t="shared" si="70"/>
        <v>160</v>
      </c>
      <c r="L113" s="44">
        <f t="shared" si="36"/>
        <v>8</v>
      </c>
      <c r="M113" s="44">
        <f t="shared" si="78"/>
        <v>0</v>
      </c>
      <c r="N113" s="45">
        <f t="shared" ref="N113" si="88">N112</f>
        <v>0.2</v>
      </c>
      <c r="O113" s="49">
        <f>O107+30</f>
        <v>30</v>
      </c>
      <c r="P113" s="136">
        <v>0</v>
      </c>
      <c r="Q113" s="44">
        <f t="shared" si="84"/>
        <v>150</v>
      </c>
      <c r="R113" s="50">
        <f t="shared" si="84"/>
        <v>210</v>
      </c>
    </row>
    <row r="114" spans="1:18" x14ac:dyDescent="0.25">
      <c r="A114" s="41">
        <f t="shared" si="80"/>
        <v>962</v>
      </c>
      <c r="B114" s="42">
        <f t="shared" si="80"/>
        <v>104</v>
      </c>
      <c r="C114" s="41" t="s">
        <v>2905</v>
      </c>
      <c r="D114" s="43">
        <f t="shared" si="38"/>
        <v>25</v>
      </c>
      <c r="E114" s="61">
        <f t="shared" si="33"/>
        <v>3.4090000000000007</v>
      </c>
      <c r="F114" s="61">
        <f t="shared" si="34"/>
        <v>42</v>
      </c>
      <c r="G114" s="64">
        <f t="shared" si="35"/>
        <v>0.58988764044943809</v>
      </c>
      <c r="H114" s="44">
        <f t="shared" si="44"/>
        <v>-29.432344969112751</v>
      </c>
      <c r="I114" s="42" t="str">
        <f t="shared" si="70"/>
        <v>Half</v>
      </c>
      <c r="J114" s="50">
        <f t="shared" si="70"/>
        <v>6</v>
      </c>
      <c r="K114" s="49">
        <f t="shared" si="70"/>
        <v>160</v>
      </c>
      <c r="L114" s="44">
        <f t="shared" si="36"/>
        <v>8</v>
      </c>
      <c r="M114" s="44">
        <f t="shared" si="78"/>
        <v>0</v>
      </c>
      <c r="N114" s="45">
        <f t="shared" ref="N114" si="89">N113</f>
        <v>0.2</v>
      </c>
      <c r="O114" s="49">
        <f t="shared" ref="O114:O130" si="90">O108+30</f>
        <v>30</v>
      </c>
      <c r="P114" s="53">
        <f>P113+15</f>
        <v>15</v>
      </c>
      <c r="Q114" s="44">
        <f t="shared" si="84"/>
        <v>150</v>
      </c>
      <c r="R114" s="50">
        <f t="shared" si="84"/>
        <v>210</v>
      </c>
    </row>
    <row r="115" spans="1:18" x14ac:dyDescent="0.25">
      <c r="A115" s="41">
        <f t="shared" si="80"/>
        <v>963</v>
      </c>
      <c r="B115" s="42">
        <f t="shared" si="80"/>
        <v>105</v>
      </c>
      <c r="C115" s="41" t="s">
        <v>2906</v>
      </c>
      <c r="D115" s="43">
        <f t="shared" si="38"/>
        <v>25</v>
      </c>
      <c r="E115" s="61">
        <f t="shared" si="33"/>
        <v>3.4090000000000007</v>
      </c>
      <c r="F115" s="61">
        <f t="shared" si="34"/>
        <v>42</v>
      </c>
      <c r="G115" s="64">
        <f t="shared" si="35"/>
        <v>0.58988764044943809</v>
      </c>
      <c r="H115" s="44">
        <f t="shared" si="44"/>
        <v>-29.432344969112751</v>
      </c>
      <c r="I115" s="42" t="s">
        <v>12</v>
      </c>
      <c r="J115" s="50">
        <f t="shared" si="70"/>
        <v>6</v>
      </c>
      <c r="K115" s="49">
        <f t="shared" si="70"/>
        <v>160</v>
      </c>
      <c r="L115" s="44">
        <f t="shared" si="36"/>
        <v>8</v>
      </c>
      <c r="M115" s="44">
        <f t="shared" si="78"/>
        <v>0</v>
      </c>
      <c r="N115" s="45">
        <f t="shared" ref="N115" si="91">N114</f>
        <v>0.2</v>
      </c>
      <c r="O115" s="49">
        <f t="shared" si="90"/>
        <v>30</v>
      </c>
      <c r="P115" s="53">
        <f t="shared" ref="P115:P118" si="92">P114+15</f>
        <v>30</v>
      </c>
      <c r="Q115" s="44">
        <f t="shared" si="84"/>
        <v>150</v>
      </c>
      <c r="R115" s="50">
        <f t="shared" si="84"/>
        <v>210</v>
      </c>
    </row>
    <row r="116" spans="1:18" x14ac:dyDescent="0.25">
      <c r="A116" s="41">
        <f t="shared" si="80"/>
        <v>964</v>
      </c>
      <c r="B116" s="42">
        <f t="shared" si="80"/>
        <v>106</v>
      </c>
      <c r="C116" s="41" t="s">
        <v>2907</v>
      </c>
      <c r="D116" s="43">
        <f t="shared" si="38"/>
        <v>25</v>
      </c>
      <c r="E116" s="61">
        <f t="shared" si="33"/>
        <v>3.4090000000000007</v>
      </c>
      <c r="F116" s="61">
        <f t="shared" si="34"/>
        <v>42</v>
      </c>
      <c r="G116" s="64">
        <f t="shared" si="35"/>
        <v>0.58988764044943809</v>
      </c>
      <c r="H116" s="44">
        <f t="shared" si="44"/>
        <v>-29.432344969112751</v>
      </c>
      <c r="I116" s="42" t="str">
        <f>I115</f>
        <v>Half</v>
      </c>
      <c r="J116" s="50">
        <f t="shared" si="70"/>
        <v>6</v>
      </c>
      <c r="K116" s="49">
        <f t="shared" si="70"/>
        <v>160</v>
      </c>
      <c r="L116" s="44">
        <f t="shared" si="36"/>
        <v>8</v>
      </c>
      <c r="M116" s="44">
        <f t="shared" si="78"/>
        <v>0</v>
      </c>
      <c r="N116" s="45">
        <f t="shared" ref="N116" si="93">N115</f>
        <v>0.2</v>
      </c>
      <c r="O116" s="49">
        <f t="shared" si="90"/>
        <v>30</v>
      </c>
      <c r="P116" s="53">
        <f t="shared" si="92"/>
        <v>45</v>
      </c>
      <c r="Q116" s="44">
        <f t="shared" si="84"/>
        <v>150</v>
      </c>
      <c r="R116" s="50">
        <f t="shared" si="84"/>
        <v>210</v>
      </c>
    </row>
    <row r="117" spans="1:18" x14ac:dyDescent="0.25">
      <c r="A117" s="41">
        <f t="shared" si="80"/>
        <v>965</v>
      </c>
      <c r="B117" s="42">
        <f t="shared" si="80"/>
        <v>107</v>
      </c>
      <c r="C117" s="41" t="s">
        <v>2908</v>
      </c>
      <c r="D117" s="43">
        <f t="shared" si="38"/>
        <v>25</v>
      </c>
      <c r="E117" s="61">
        <f t="shared" si="33"/>
        <v>3.4090000000000007</v>
      </c>
      <c r="F117" s="61">
        <f t="shared" si="34"/>
        <v>42</v>
      </c>
      <c r="G117" s="64">
        <f t="shared" si="35"/>
        <v>0.58988764044943809</v>
      </c>
      <c r="H117" s="44">
        <f t="shared" si="44"/>
        <v>-29.432344969112751</v>
      </c>
      <c r="I117" s="42" t="str">
        <f t="shared" ref="I117:K131" si="94">I116</f>
        <v>Half</v>
      </c>
      <c r="J117" s="50">
        <f t="shared" si="94"/>
        <v>6</v>
      </c>
      <c r="K117" s="49">
        <f t="shared" si="94"/>
        <v>160</v>
      </c>
      <c r="L117" s="44">
        <f t="shared" si="36"/>
        <v>8</v>
      </c>
      <c r="M117" s="44">
        <f t="shared" si="78"/>
        <v>0</v>
      </c>
      <c r="N117" s="45">
        <f t="shared" ref="N117" si="95">N116</f>
        <v>0.2</v>
      </c>
      <c r="O117" s="49">
        <f t="shared" si="90"/>
        <v>30</v>
      </c>
      <c r="P117" s="53">
        <f t="shared" si="92"/>
        <v>60</v>
      </c>
      <c r="Q117" s="44">
        <f t="shared" si="84"/>
        <v>150</v>
      </c>
      <c r="R117" s="50">
        <f t="shared" si="84"/>
        <v>210</v>
      </c>
    </row>
    <row r="118" spans="1:18" x14ac:dyDescent="0.25">
      <c r="A118" s="41">
        <f t="shared" si="80"/>
        <v>966</v>
      </c>
      <c r="B118" s="42">
        <f t="shared" si="80"/>
        <v>108</v>
      </c>
      <c r="C118" s="41" t="s">
        <v>2909</v>
      </c>
      <c r="D118" s="43">
        <f t="shared" si="38"/>
        <v>25</v>
      </c>
      <c r="E118" s="61">
        <f t="shared" si="33"/>
        <v>3.4090000000000007</v>
      </c>
      <c r="F118" s="61">
        <f t="shared" si="34"/>
        <v>42</v>
      </c>
      <c r="G118" s="64">
        <f t="shared" si="35"/>
        <v>0.58988764044943809</v>
      </c>
      <c r="H118" s="44">
        <f t="shared" si="44"/>
        <v>-29.432344969112751</v>
      </c>
      <c r="I118" s="42" t="str">
        <f t="shared" si="94"/>
        <v>Half</v>
      </c>
      <c r="J118" s="50">
        <f t="shared" si="94"/>
        <v>6</v>
      </c>
      <c r="K118" s="49">
        <f t="shared" si="94"/>
        <v>160</v>
      </c>
      <c r="L118" s="44">
        <f t="shared" si="36"/>
        <v>8</v>
      </c>
      <c r="M118" s="44">
        <f t="shared" si="78"/>
        <v>0</v>
      </c>
      <c r="N118" s="45">
        <f t="shared" ref="N118" si="96">N117</f>
        <v>0.2</v>
      </c>
      <c r="O118" s="49">
        <f t="shared" si="90"/>
        <v>30</v>
      </c>
      <c r="P118" s="53">
        <f t="shared" si="92"/>
        <v>75</v>
      </c>
      <c r="Q118" s="44">
        <f t="shared" si="84"/>
        <v>150</v>
      </c>
      <c r="R118" s="50">
        <f t="shared" si="84"/>
        <v>210</v>
      </c>
    </row>
    <row r="119" spans="1:18" x14ac:dyDescent="0.25">
      <c r="A119" s="41">
        <f t="shared" si="80"/>
        <v>967</v>
      </c>
      <c r="B119" s="42">
        <f t="shared" si="80"/>
        <v>109</v>
      </c>
      <c r="C119" s="41" t="s">
        <v>2910</v>
      </c>
      <c r="D119" s="43">
        <f t="shared" si="38"/>
        <v>25</v>
      </c>
      <c r="E119" s="61">
        <f t="shared" si="33"/>
        <v>3.4090000000000007</v>
      </c>
      <c r="F119" s="61">
        <f t="shared" si="34"/>
        <v>42</v>
      </c>
      <c r="G119" s="64">
        <f t="shared" si="35"/>
        <v>0.58988764044943809</v>
      </c>
      <c r="H119" s="44">
        <f t="shared" si="44"/>
        <v>-29.432344969112751</v>
      </c>
      <c r="I119" s="42" t="str">
        <f t="shared" si="94"/>
        <v>Half</v>
      </c>
      <c r="J119" s="50">
        <f t="shared" si="94"/>
        <v>6</v>
      </c>
      <c r="K119" s="49">
        <f t="shared" si="94"/>
        <v>160</v>
      </c>
      <c r="L119" s="44">
        <f t="shared" si="36"/>
        <v>8</v>
      </c>
      <c r="M119" s="44">
        <f t="shared" si="78"/>
        <v>0</v>
      </c>
      <c r="N119" s="45">
        <f t="shared" ref="N119" si="97">N118</f>
        <v>0.2</v>
      </c>
      <c r="O119" s="49">
        <f t="shared" si="90"/>
        <v>60</v>
      </c>
      <c r="P119" s="136">
        <v>0</v>
      </c>
      <c r="Q119" s="44">
        <f t="shared" si="84"/>
        <v>150</v>
      </c>
      <c r="R119" s="50">
        <f t="shared" si="84"/>
        <v>210</v>
      </c>
    </row>
    <row r="120" spans="1:18" x14ac:dyDescent="0.25">
      <c r="A120" s="41">
        <f t="shared" si="80"/>
        <v>968</v>
      </c>
      <c r="B120" s="42">
        <f t="shared" si="80"/>
        <v>110</v>
      </c>
      <c r="C120" s="41" t="s">
        <v>2911</v>
      </c>
      <c r="D120" s="43">
        <f t="shared" si="38"/>
        <v>25</v>
      </c>
      <c r="E120" s="61">
        <f t="shared" si="33"/>
        <v>3.4090000000000007</v>
      </c>
      <c r="F120" s="61">
        <f t="shared" si="34"/>
        <v>42</v>
      </c>
      <c r="G120" s="64">
        <f t="shared" si="35"/>
        <v>0.58988764044943809</v>
      </c>
      <c r="H120" s="44">
        <f t="shared" si="44"/>
        <v>-29.432344969112751</v>
      </c>
      <c r="I120" s="42" t="str">
        <f t="shared" si="94"/>
        <v>Half</v>
      </c>
      <c r="J120" s="50">
        <f t="shared" si="94"/>
        <v>6</v>
      </c>
      <c r="K120" s="49">
        <f t="shared" si="94"/>
        <v>160</v>
      </c>
      <c r="L120" s="44">
        <f t="shared" si="36"/>
        <v>8</v>
      </c>
      <c r="M120" s="44">
        <f t="shared" si="78"/>
        <v>0</v>
      </c>
      <c r="N120" s="45">
        <f t="shared" ref="N120" si="98">N119</f>
        <v>0.2</v>
      </c>
      <c r="O120" s="49">
        <f t="shared" si="90"/>
        <v>60</v>
      </c>
      <c r="P120" s="53">
        <f>P119+15</f>
        <v>15</v>
      </c>
      <c r="Q120" s="44">
        <f t="shared" si="84"/>
        <v>150</v>
      </c>
      <c r="R120" s="50">
        <f t="shared" si="84"/>
        <v>210</v>
      </c>
    </row>
    <row r="121" spans="1:18" x14ac:dyDescent="0.25">
      <c r="A121" s="41">
        <f t="shared" si="80"/>
        <v>969</v>
      </c>
      <c r="B121" s="42">
        <f t="shared" si="80"/>
        <v>111</v>
      </c>
      <c r="C121" s="41" t="s">
        <v>2912</v>
      </c>
      <c r="D121" s="43">
        <f t="shared" si="38"/>
        <v>25</v>
      </c>
      <c r="E121" s="61">
        <f t="shared" si="33"/>
        <v>3.4090000000000007</v>
      </c>
      <c r="F121" s="61">
        <f t="shared" si="34"/>
        <v>42</v>
      </c>
      <c r="G121" s="64">
        <f t="shared" si="35"/>
        <v>0.58988764044943809</v>
      </c>
      <c r="H121" s="44">
        <f t="shared" si="44"/>
        <v>-29.432344969112751</v>
      </c>
      <c r="I121" s="42" t="str">
        <f t="shared" si="94"/>
        <v>Half</v>
      </c>
      <c r="J121" s="50">
        <f t="shared" si="94"/>
        <v>6</v>
      </c>
      <c r="K121" s="49">
        <f t="shared" si="94"/>
        <v>160</v>
      </c>
      <c r="L121" s="44">
        <f t="shared" si="36"/>
        <v>8</v>
      </c>
      <c r="M121" s="44">
        <f t="shared" si="78"/>
        <v>0</v>
      </c>
      <c r="N121" s="45">
        <f t="shared" ref="N121" si="99">N120</f>
        <v>0.2</v>
      </c>
      <c r="O121" s="49">
        <f t="shared" si="90"/>
        <v>60</v>
      </c>
      <c r="P121" s="53">
        <f t="shared" ref="P121:P124" si="100">P120+15</f>
        <v>30</v>
      </c>
      <c r="Q121" s="44">
        <f t="shared" si="84"/>
        <v>150</v>
      </c>
      <c r="R121" s="50">
        <f t="shared" si="84"/>
        <v>210</v>
      </c>
    </row>
    <row r="122" spans="1:18" x14ac:dyDescent="0.25">
      <c r="A122" s="41">
        <f t="shared" si="80"/>
        <v>970</v>
      </c>
      <c r="B122" s="42">
        <f t="shared" si="80"/>
        <v>112</v>
      </c>
      <c r="C122" s="41" t="s">
        <v>2913</v>
      </c>
      <c r="D122" s="43">
        <f t="shared" si="38"/>
        <v>25</v>
      </c>
      <c r="E122" s="61">
        <f t="shared" si="33"/>
        <v>3.4090000000000007</v>
      </c>
      <c r="F122" s="61">
        <f t="shared" si="34"/>
        <v>42</v>
      </c>
      <c r="G122" s="64">
        <f t="shared" si="35"/>
        <v>0.58988764044943809</v>
      </c>
      <c r="H122" s="44">
        <f t="shared" si="44"/>
        <v>-29.432344969112751</v>
      </c>
      <c r="I122" s="42" t="str">
        <f t="shared" si="94"/>
        <v>Half</v>
      </c>
      <c r="J122" s="50">
        <f t="shared" si="94"/>
        <v>6</v>
      </c>
      <c r="K122" s="49">
        <f t="shared" si="94"/>
        <v>160</v>
      </c>
      <c r="L122" s="44">
        <f t="shared" si="36"/>
        <v>8</v>
      </c>
      <c r="M122" s="44">
        <f t="shared" si="78"/>
        <v>0</v>
      </c>
      <c r="N122" s="45">
        <f t="shared" ref="N122" si="101">N121</f>
        <v>0.2</v>
      </c>
      <c r="O122" s="49">
        <f t="shared" si="90"/>
        <v>60</v>
      </c>
      <c r="P122" s="53">
        <f t="shared" si="100"/>
        <v>45</v>
      </c>
      <c r="Q122" s="44">
        <f t="shared" si="84"/>
        <v>150</v>
      </c>
      <c r="R122" s="50">
        <f t="shared" si="84"/>
        <v>210</v>
      </c>
    </row>
    <row r="123" spans="1:18" x14ac:dyDescent="0.25">
      <c r="A123" s="41">
        <f t="shared" si="80"/>
        <v>971</v>
      </c>
      <c r="B123" s="42">
        <f t="shared" si="80"/>
        <v>113</v>
      </c>
      <c r="C123" s="41" t="s">
        <v>2914</v>
      </c>
      <c r="D123" s="43">
        <f t="shared" si="38"/>
        <v>25</v>
      </c>
      <c r="E123" s="61">
        <f t="shared" si="33"/>
        <v>3.4090000000000007</v>
      </c>
      <c r="F123" s="61">
        <f t="shared" si="34"/>
        <v>42</v>
      </c>
      <c r="G123" s="64">
        <f t="shared" si="35"/>
        <v>0.58988764044943809</v>
      </c>
      <c r="H123" s="44">
        <f t="shared" si="44"/>
        <v>-29.432344969112751</v>
      </c>
      <c r="I123" s="42" t="str">
        <f t="shared" si="94"/>
        <v>Half</v>
      </c>
      <c r="J123" s="50">
        <f t="shared" si="94"/>
        <v>6</v>
      </c>
      <c r="K123" s="49">
        <f t="shared" si="94"/>
        <v>160</v>
      </c>
      <c r="L123" s="44">
        <f t="shared" si="36"/>
        <v>8</v>
      </c>
      <c r="M123" s="44">
        <f t="shared" si="78"/>
        <v>0</v>
      </c>
      <c r="N123" s="45">
        <f t="shared" ref="N123" si="102">N122</f>
        <v>0.2</v>
      </c>
      <c r="O123" s="49">
        <f t="shared" si="90"/>
        <v>60</v>
      </c>
      <c r="P123" s="53">
        <f t="shared" si="100"/>
        <v>60</v>
      </c>
      <c r="Q123" s="44">
        <f t="shared" si="84"/>
        <v>150</v>
      </c>
      <c r="R123" s="50">
        <f t="shared" si="84"/>
        <v>210</v>
      </c>
    </row>
    <row r="124" spans="1:18" x14ac:dyDescent="0.25">
      <c r="A124" s="41">
        <f t="shared" ref="A124:B139" si="103">A123+1</f>
        <v>972</v>
      </c>
      <c r="B124" s="42">
        <f t="shared" si="103"/>
        <v>114</v>
      </c>
      <c r="C124" s="41" t="s">
        <v>2915</v>
      </c>
      <c r="D124" s="43">
        <f t="shared" si="38"/>
        <v>25</v>
      </c>
      <c r="E124" s="61">
        <f t="shared" si="33"/>
        <v>3.4090000000000007</v>
      </c>
      <c r="F124" s="61">
        <f t="shared" si="34"/>
        <v>42</v>
      </c>
      <c r="G124" s="64">
        <f t="shared" si="35"/>
        <v>0.58988764044943809</v>
      </c>
      <c r="H124" s="44">
        <f t="shared" si="44"/>
        <v>-29.432344969112751</v>
      </c>
      <c r="I124" s="42" t="str">
        <f t="shared" si="94"/>
        <v>Half</v>
      </c>
      <c r="J124" s="50">
        <f t="shared" si="94"/>
        <v>6</v>
      </c>
      <c r="K124" s="49">
        <f t="shared" si="94"/>
        <v>160</v>
      </c>
      <c r="L124" s="44">
        <f t="shared" si="36"/>
        <v>8</v>
      </c>
      <c r="M124" s="44">
        <f t="shared" si="78"/>
        <v>0</v>
      </c>
      <c r="N124" s="45">
        <f t="shared" ref="N124" si="104">N123</f>
        <v>0.2</v>
      </c>
      <c r="O124" s="49">
        <f t="shared" si="90"/>
        <v>60</v>
      </c>
      <c r="P124" s="135">
        <f t="shared" si="100"/>
        <v>75</v>
      </c>
      <c r="Q124" s="44">
        <f t="shared" si="84"/>
        <v>150</v>
      </c>
      <c r="R124" s="50">
        <f t="shared" si="84"/>
        <v>210</v>
      </c>
    </row>
    <row r="125" spans="1:18" x14ac:dyDescent="0.25">
      <c r="A125" s="41">
        <f t="shared" si="103"/>
        <v>973</v>
      </c>
      <c r="B125" s="42">
        <f t="shared" si="103"/>
        <v>115</v>
      </c>
      <c r="C125" s="41" t="s">
        <v>2916</v>
      </c>
      <c r="D125" s="43">
        <f t="shared" si="38"/>
        <v>25</v>
      </c>
      <c r="E125" s="61">
        <f t="shared" si="33"/>
        <v>3.4090000000000007</v>
      </c>
      <c r="F125" s="61">
        <f t="shared" si="34"/>
        <v>42</v>
      </c>
      <c r="G125" s="64">
        <f t="shared" si="35"/>
        <v>0.58988764044943809</v>
      </c>
      <c r="H125" s="44">
        <f t="shared" si="44"/>
        <v>-29.432344969112751</v>
      </c>
      <c r="I125" s="42" t="str">
        <f t="shared" si="94"/>
        <v>Half</v>
      </c>
      <c r="J125" s="50">
        <f t="shared" si="94"/>
        <v>6</v>
      </c>
      <c r="K125" s="49">
        <f t="shared" si="94"/>
        <v>160</v>
      </c>
      <c r="L125" s="44">
        <f t="shared" si="36"/>
        <v>8</v>
      </c>
      <c r="M125" s="44">
        <f t="shared" si="78"/>
        <v>0</v>
      </c>
      <c r="N125" s="45">
        <f t="shared" ref="N125" si="105">N124</f>
        <v>0.2</v>
      </c>
      <c r="O125" s="49">
        <f t="shared" si="90"/>
        <v>90</v>
      </c>
      <c r="P125" s="136">
        <v>0</v>
      </c>
      <c r="Q125" s="44">
        <f t="shared" ref="Q125:R140" si="106">Q124</f>
        <v>150</v>
      </c>
      <c r="R125" s="50">
        <f t="shared" si="106"/>
        <v>210</v>
      </c>
    </row>
    <row r="126" spans="1:18" x14ac:dyDescent="0.25">
      <c r="A126" s="41">
        <f t="shared" si="103"/>
        <v>974</v>
      </c>
      <c r="B126" s="42">
        <f t="shared" si="103"/>
        <v>116</v>
      </c>
      <c r="C126" s="41" t="s">
        <v>2917</v>
      </c>
      <c r="D126" s="43">
        <f t="shared" si="38"/>
        <v>25</v>
      </c>
      <c r="E126" s="61">
        <f t="shared" si="33"/>
        <v>3.4090000000000007</v>
      </c>
      <c r="F126" s="61">
        <f t="shared" si="34"/>
        <v>42</v>
      </c>
      <c r="G126" s="64">
        <f t="shared" si="35"/>
        <v>0.58988764044943809</v>
      </c>
      <c r="H126" s="44">
        <f t="shared" si="44"/>
        <v>-29.432344969112751</v>
      </c>
      <c r="I126" s="42" t="str">
        <f t="shared" si="94"/>
        <v>Half</v>
      </c>
      <c r="J126" s="50">
        <f t="shared" si="94"/>
        <v>6</v>
      </c>
      <c r="K126" s="49">
        <f t="shared" si="94"/>
        <v>160</v>
      </c>
      <c r="L126" s="44">
        <f t="shared" si="36"/>
        <v>8</v>
      </c>
      <c r="M126" s="44">
        <f t="shared" si="78"/>
        <v>0</v>
      </c>
      <c r="N126" s="45">
        <f t="shared" ref="N126" si="107">N125</f>
        <v>0.2</v>
      </c>
      <c r="O126" s="49">
        <f t="shared" si="90"/>
        <v>90</v>
      </c>
      <c r="P126" s="53">
        <f>P125+15</f>
        <v>15</v>
      </c>
      <c r="Q126" s="44">
        <f t="shared" si="106"/>
        <v>150</v>
      </c>
      <c r="R126" s="50">
        <f t="shared" si="106"/>
        <v>210</v>
      </c>
    </row>
    <row r="127" spans="1:18" x14ac:dyDescent="0.25">
      <c r="A127" s="41">
        <f t="shared" si="103"/>
        <v>975</v>
      </c>
      <c r="B127" s="42">
        <f t="shared" si="103"/>
        <v>117</v>
      </c>
      <c r="C127" s="41" t="s">
        <v>2918</v>
      </c>
      <c r="D127" s="43">
        <f t="shared" si="38"/>
        <v>25</v>
      </c>
      <c r="E127" s="61">
        <f t="shared" si="33"/>
        <v>3.4090000000000007</v>
      </c>
      <c r="F127" s="61">
        <f t="shared" si="34"/>
        <v>42</v>
      </c>
      <c r="G127" s="64">
        <f t="shared" si="35"/>
        <v>0.58988764044943809</v>
      </c>
      <c r="H127" s="44">
        <f t="shared" si="44"/>
        <v>-29.432344969112751</v>
      </c>
      <c r="I127" s="42" t="str">
        <f t="shared" si="94"/>
        <v>Half</v>
      </c>
      <c r="J127" s="50">
        <f t="shared" si="94"/>
        <v>6</v>
      </c>
      <c r="K127" s="49">
        <f t="shared" si="94"/>
        <v>160</v>
      </c>
      <c r="L127" s="44">
        <f t="shared" si="36"/>
        <v>8</v>
      </c>
      <c r="M127" s="44">
        <f t="shared" si="78"/>
        <v>0</v>
      </c>
      <c r="N127" s="45">
        <f t="shared" ref="N127" si="108">N126</f>
        <v>0.2</v>
      </c>
      <c r="O127" s="49">
        <f>O121+30</f>
        <v>90</v>
      </c>
      <c r="P127" s="53">
        <f t="shared" ref="P127:P130" si="109">P126+15</f>
        <v>30</v>
      </c>
      <c r="Q127" s="44">
        <f t="shared" si="106"/>
        <v>150</v>
      </c>
      <c r="R127" s="50">
        <f t="shared" si="106"/>
        <v>210</v>
      </c>
    </row>
    <row r="128" spans="1:18" x14ac:dyDescent="0.25">
      <c r="A128" s="41">
        <f t="shared" si="103"/>
        <v>976</v>
      </c>
      <c r="B128" s="42">
        <f t="shared" si="103"/>
        <v>118</v>
      </c>
      <c r="C128" s="41" t="s">
        <v>2919</v>
      </c>
      <c r="D128" s="43">
        <f t="shared" si="38"/>
        <v>25</v>
      </c>
      <c r="E128" s="61">
        <f t="shared" si="33"/>
        <v>3.4090000000000007</v>
      </c>
      <c r="F128" s="61">
        <f t="shared" si="34"/>
        <v>42</v>
      </c>
      <c r="G128" s="64">
        <f t="shared" si="35"/>
        <v>0.58988764044943809</v>
      </c>
      <c r="H128" s="44">
        <f t="shared" si="44"/>
        <v>-29.432344969112751</v>
      </c>
      <c r="I128" s="42" t="str">
        <f>I127</f>
        <v>Half</v>
      </c>
      <c r="J128" s="50">
        <f t="shared" si="94"/>
        <v>6</v>
      </c>
      <c r="K128" s="49">
        <f t="shared" si="94"/>
        <v>160</v>
      </c>
      <c r="L128" s="44">
        <f t="shared" si="36"/>
        <v>8</v>
      </c>
      <c r="M128" s="44">
        <f t="shared" si="78"/>
        <v>0</v>
      </c>
      <c r="N128" s="45">
        <f t="shared" ref="N128" si="110">N127</f>
        <v>0.2</v>
      </c>
      <c r="O128" s="49">
        <f t="shared" si="90"/>
        <v>90</v>
      </c>
      <c r="P128" s="53">
        <f t="shared" si="109"/>
        <v>45</v>
      </c>
      <c r="Q128" s="44">
        <f t="shared" si="106"/>
        <v>150</v>
      </c>
      <c r="R128" s="50">
        <f t="shared" si="106"/>
        <v>210</v>
      </c>
    </row>
    <row r="129" spans="1:18" x14ac:dyDescent="0.25">
      <c r="A129" s="41">
        <f t="shared" si="103"/>
        <v>977</v>
      </c>
      <c r="B129" s="42">
        <f t="shared" si="103"/>
        <v>119</v>
      </c>
      <c r="C129" s="41" t="s">
        <v>2920</v>
      </c>
      <c r="D129" s="43">
        <f t="shared" si="38"/>
        <v>25</v>
      </c>
      <c r="E129" s="61">
        <f t="shared" si="33"/>
        <v>3.4090000000000007</v>
      </c>
      <c r="F129" s="61">
        <f t="shared" si="34"/>
        <v>42</v>
      </c>
      <c r="G129" s="64">
        <f t="shared" si="35"/>
        <v>0.58988764044943809</v>
      </c>
      <c r="H129" s="44">
        <f t="shared" si="44"/>
        <v>-29.432344969112751</v>
      </c>
      <c r="I129" s="42" t="str">
        <f>I128</f>
        <v>Half</v>
      </c>
      <c r="J129" s="50">
        <f t="shared" si="94"/>
        <v>6</v>
      </c>
      <c r="K129" s="49">
        <f t="shared" si="94"/>
        <v>160</v>
      </c>
      <c r="L129" s="44">
        <f t="shared" si="36"/>
        <v>8</v>
      </c>
      <c r="M129" s="44">
        <f t="shared" si="78"/>
        <v>0</v>
      </c>
      <c r="N129" s="45">
        <f t="shared" ref="N129" si="111">N128</f>
        <v>0.2</v>
      </c>
      <c r="O129" s="49">
        <f t="shared" si="90"/>
        <v>90</v>
      </c>
      <c r="P129" s="53">
        <f t="shared" si="109"/>
        <v>60</v>
      </c>
      <c r="Q129" s="44">
        <f t="shared" si="106"/>
        <v>150</v>
      </c>
      <c r="R129" s="50">
        <f t="shared" si="106"/>
        <v>210</v>
      </c>
    </row>
    <row r="130" spans="1:18" x14ac:dyDescent="0.25">
      <c r="A130" s="41">
        <f t="shared" si="103"/>
        <v>978</v>
      </c>
      <c r="B130" s="42">
        <f t="shared" si="103"/>
        <v>120</v>
      </c>
      <c r="C130" s="41" t="s">
        <v>2921</v>
      </c>
      <c r="D130" s="43">
        <f t="shared" si="38"/>
        <v>25</v>
      </c>
      <c r="E130" s="61">
        <f t="shared" si="33"/>
        <v>3.4090000000000007</v>
      </c>
      <c r="F130" s="61">
        <f t="shared" si="34"/>
        <v>42</v>
      </c>
      <c r="G130" s="64">
        <f t="shared" si="35"/>
        <v>0.58988764044943809</v>
      </c>
      <c r="H130" s="44">
        <f t="shared" si="44"/>
        <v>-29.432344969112751</v>
      </c>
      <c r="I130" s="42" t="str">
        <f>I129</f>
        <v>Half</v>
      </c>
      <c r="J130" s="50">
        <f t="shared" si="94"/>
        <v>6</v>
      </c>
      <c r="K130" s="49">
        <f t="shared" si="94"/>
        <v>160</v>
      </c>
      <c r="L130" s="44">
        <f t="shared" si="36"/>
        <v>8</v>
      </c>
      <c r="M130" s="44">
        <f t="shared" si="78"/>
        <v>0</v>
      </c>
      <c r="N130" s="45">
        <f t="shared" ref="N130" si="112">N129</f>
        <v>0.2</v>
      </c>
      <c r="O130" s="49">
        <f t="shared" si="90"/>
        <v>90</v>
      </c>
      <c r="P130" s="53">
        <f t="shared" si="109"/>
        <v>75</v>
      </c>
      <c r="Q130" s="44">
        <f t="shared" si="106"/>
        <v>150</v>
      </c>
      <c r="R130" s="50">
        <f t="shared" si="106"/>
        <v>210</v>
      </c>
    </row>
    <row r="131" spans="1:18" x14ac:dyDescent="0.25">
      <c r="A131" s="41">
        <f t="shared" si="103"/>
        <v>979</v>
      </c>
      <c r="B131" s="42">
        <f t="shared" si="103"/>
        <v>121</v>
      </c>
      <c r="C131" s="41" t="s">
        <v>2922</v>
      </c>
      <c r="D131" s="43">
        <f t="shared" si="38"/>
        <v>25</v>
      </c>
      <c r="E131" s="61">
        <f t="shared" si="33"/>
        <v>3.4090000000000007</v>
      </c>
      <c r="F131" s="61">
        <f t="shared" si="34"/>
        <v>42</v>
      </c>
      <c r="G131" s="64">
        <f t="shared" si="35"/>
        <v>0.58988764044943809</v>
      </c>
      <c r="H131" s="44">
        <f t="shared" si="44"/>
        <v>-29.432344969112751</v>
      </c>
      <c r="I131" s="42" t="str">
        <f t="shared" ref="I131:K136" si="113">I130</f>
        <v>Half</v>
      </c>
      <c r="J131" s="50">
        <f t="shared" si="113"/>
        <v>6</v>
      </c>
      <c r="K131" s="49">
        <f t="shared" si="94"/>
        <v>160</v>
      </c>
      <c r="L131" s="44">
        <f t="shared" si="36"/>
        <v>8</v>
      </c>
      <c r="M131" s="44">
        <f t="shared" ref="M131:M154" si="114">yaw_max</f>
        <v>8</v>
      </c>
      <c r="N131" s="45">
        <f t="shared" ref="N131" si="115">N130</f>
        <v>0.2</v>
      </c>
      <c r="O131" s="49">
        <v>0</v>
      </c>
      <c r="P131" s="136">
        <v>0</v>
      </c>
      <c r="Q131" s="44">
        <f t="shared" si="106"/>
        <v>150</v>
      </c>
      <c r="R131" s="50">
        <f t="shared" si="106"/>
        <v>210</v>
      </c>
    </row>
    <row r="132" spans="1:18" x14ac:dyDescent="0.25">
      <c r="A132" s="41">
        <f t="shared" si="103"/>
        <v>980</v>
      </c>
      <c r="B132" s="42">
        <f t="shared" si="103"/>
        <v>122</v>
      </c>
      <c r="C132" s="41" t="s">
        <v>2923</v>
      </c>
      <c r="D132" s="43">
        <f t="shared" si="38"/>
        <v>25</v>
      </c>
      <c r="E132" s="61">
        <f t="shared" si="33"/>
        <v>3.4090000000000007</v>
      </c>
      <c r="F132" s="61">
        <f t="shared" si="34"/>
        <v>42</v>
      </c>
      <c r="G132" s="64">
        <f t="shared" si="35"/>
        <v>0.58988764044943809</v>
      </c>
      <c r="H132" s="44">
        <f t="shared" si="44"/>
        <v>-29.432344969112751</v>
      </c>
      <c r="I132" s="42" t="str">
        <f t="shared" si="113"/>
        <v>Half</v>
      </c>
      <c r="J132" s="50">
        <f t="shared" si="113"/>
        <v>6</v>
      </c>
      <c r="K132" s="49">
        <f t="shared" si="113"/>
        <v>160</v>
      </c>
      <c r="L132" s="44">
        <f t="shared" si="36"/>
        <v>8</v>
      </c>
      <c r="M132" s="44">
        <f t="shared" si="114"/>
        <v>8</v>
      </c>
      <c r="N132" s="45">
        <f t="shared" ref="N132:N147" si="116">N131</f>
        <v>0.2</v>
      </c>
      <c r="O132" s="49">
        <v>0</v>
      </c>
      <c r="P132" s="53">
        <f>P131+15</f>
        <v>15</v>
      </c>
      <c r="Q132" s="44">
        <f t="shared" si="106"/>
        <v>150</v>
      </c>
      <c r="R132" s="50">
        <f t="shared" si="106"/>
        <v>210</v>
      </c>
    </row>
    <row r="133" spans="1:18" x14ac:dyDescent="0.25">
      <c r="A133" s="41">
        <f t="shared" si="103"/>
        <v>981</v>
      </c>
      <c r="B133" s="42">
        <f t="shared" si="103"/>
        <v>123</v>
      </c>
      <c r="C133" s="41" t="s">
        <v>2924</v>
      </c>
      <c r="D133" s="43">
        <f t="shared" si="38"/>
        <v>25</v>
      </c>
      <c r="E133" s="61">
        <f t="shared" si="33"/>
        <v>3.4090000000000007</v>
      </c>
      <c r="F133" s="61">
        <f t="shared" si="34"/>
        <v>42</v>
      </c>
      <c r="G133" s="64">
        <f t="shared" si="35"/>
        <v>0.58988764044943809</v>
      </c>
      <c r="H133" s="44">
        <f t="shared" si="44"/>
        <v>-29.432344969112751</v>
      </c>
      <c r="I133" s="42" t="str">
        <f t="shared" si="113"/>
        <v>Half</v>
      </c>
      <c r="J133" s="50">
        <f t="shared" si="113"/>
        <v>6</v>
      </c>
      <c r="K133" s="49">
        <f t="shared" si="113"/>
        <v>160</v>
      </c>
      <c r="L133" s="44">
        <f t="shared" si="36"/>
        <v>8</v>
      </c>
      <c r="M133" s="44">
        <f t="shared" si="114"/>
        <v>8</v>
      </c>
      <c r="N133" s="45">
        <f t="shared" si="116"/>
        <v>0.2</v>
      </c>
      <c r="O133" s="49">
        <v>0</v>
      </c>
      <c r="P133" s="53">
        <f t="shared" ref="P133:P136" si="117">P132+15</f>
        <v>30</v>
      </c>
      <c r="Q133" s="44">
        <f t="shared" si="106"/>
        <v>150</v>
      </c>
      <c r="R133" s="50">
        <f t="shared" si="106"/>
        <v>210</v>
      </c>
    </row>
    <row r="134" spans="1:18" x14ac:dyDescent="0.25">
      <c r="A134" s="41">
        <f t="shared" si="103"/>
        <v>982</v>
      </c>
      <c r="B134" s="42">
        <f t="shared" si="103"/>
        <v>124</v>
      </c>
      <c r="C134" s="41" t="s">
        <v>2925</v>
      </c>
      <c r="D134" s="43">
        <f t="shared" si="38"/>
        <v>25</v>
      </c>
      <c r="E134" s="61">
        <f t="shared" si="33"/>
        <v>3.4090000000000007</v>
      </c>
      <c r="F134" s="61">
        <f t="shared" si="34"/>
        <v>42</v>
      </c>
      <c r="G134" s="64">
        <f t="shared" si="35"/>
        <v>0.58988764044943809</v>
      </c>
      <c r="H134" s="44">
        <f t="shared" si="44"/>
        <v>-29.432344969112751</v>
      </c>
      <c r="I134" s="42" t="str">
        <f t="shared" si="113"/>
        <v>Half</v>
      </c>
      <c r="J134" s="50">
        <f t="shared" si="113"/>
        <v>6</v>
      </c>
      <c r="K134" s="49">
        <f t="shared" si="113"/>
        <v>160</v>
      </c>
      <c r="L134" s="44">
        <f t="shared" si="36"/>
        <v>8</v>
      </c>
      <c r="M134" s="44">
        <f t="shared" si="114"/>
        <v>8</v>
      </c>
      <c r="N134" s="45">
        <f t="shared" si="116"/>
        <v>0.2</v>
      </c>
      <c r="O134" s="49">
        <v>0</v>
      </c>
      <c r="P134" s="53">
        <f t="shared" si="117"/>
        <v>45</v>
      </c>
      <c r="Q134" s="44">
        <f t="shared" si="106"/>
        <v>150</v>
      </c>
      <c r="R134" s="50">
        <f t="shared" si="106"/>
        <v>210</v>
      </c>
    </row>
    <row r="135" spans="1:18" x14ac:dyDescent="0.25">
      <c r="A135" s="41">
        <f t="shared" si="103"/>
        <v>983</v>
      </c>
      <c r="B135" s="42">
        <f t="shared" si="103"/>
        <v>125</v>
      </c>
      <c r="C135" s="41" t="s">
        <v>2926</v>
      </c>
      <c r="D135" s="43">
        <f t="shared" si="38"/>
        <v>25</v>
      </c>
      <c r="E135" s="61">
        <f t="shared" si="33"/>
        <v>3.4090000000000007</v>
      </c>
      <c r="F135" s="61">
        <f t="shared" si="34"/>
        <v>42</v>
      </c>
      <c r="G135" s="64">
        <f t="shared" si="35"/>
        <v>0.58988764044943809</v>
      </c>
      <c r="H135" s="44">
        <f t="shared" si="44"/>
        <v>-29.432344969112751</v>
      </c>
      <c r="I135" s="42" t="s">
        <v>12</v>
      </c>
      <c r="J135" s="50">
        <f t="shared" si="113"/>
        <v>6</v>
      </c>
      <c r="K135" s="49">
        <f t="shared" si="113"/>
        <v>160</v>
      </c>
      <c r="L135" s="44">
        <f t="shared" si="36"/>
        <v>8</v>
      </c>
      <c r="M135" s="44">
        <f t="shared" si="114"/>
        <v>8</v>
      </c>
      <c r="N135" s="45">
        <f t="shared" si="116"/>
        <v>0.2</v>
      </c>
      <c r="O135" s="49">
        <v>0</v>
      </c>
      <c r="P135" s="53">
        <f t="shared" si="117"/>
        <v>60</v>
      </c>
      <c r="Q135" s="44">
        <f t="shared" si="106"/>
        <v>150</v>
      </c>
      <c r="R135" s="50">
        <f t="shared" si="106"/>
        <v>210</v>
      </c>
    </row>
    <row r="136" spans="1:18" x14ac:dyDescent="0.25">
      <c r="A136" s="41">
        <f t="shared" si="103"/>
        <v>984</v>
      </c>
      <c r="B136" s="42">
        <f t="shared" si="103"/>
        <v>126</v>
      </c>
      <c r="C136" s="41" t="s">
        <v>2927</v>
      </c>
      <c r="D136" s="43">
        <f t="shared" si="38"/>
        <v>25</v>
      </c>
      <c r="E136" s="61">
        <f t="shared" si="33"/>
        <v>3.4090000000000007</v>
      </c>
      <c r="F136" s="61">
        <f t="shared" si="34"/>
        <v>42</v>
      </c>
      <c r="G136" s="64">
        <f t="shared" si="35"/>
        <v>0.58988764044943809</v>
      </c>
      <c r="H136" s="44">
        <f t="shared" si="44"/>
        <v>-29.432344969112751</v>
      </c>
      <c r="I136" s="42" t="str">
        <f>I135</f>
        <v>Half</v>
      </c>
      <c r="J136" s="50">
        <f t="shared" si="113"/>
        <v>6</v>
      </c>
      <c r="K136" s="49">
        <f t="shared" si="113"/>
        <v>160</v>
      </c>
      <c r="L136" s="44">
        <f t="shared" si="36"/>
        <v>8</v>
      </c>
      <c r="M136" s="44">
        <f t="shared" si="114"/>
        <v>8</v>
      </c>
      <c r="N136" s="45">
        <f t="shared" si="116"/>
        <v>0.2</v>
      </c>
      <c r="O136" s="49">
        <v>0</v>
      </c>
      <c r="P136" s="135">
        <f t="shared" si="117"/>
        <v>75</v>
      </c>
      <c r="Q136" s="44">
        <f t="shared" si="106"/>
        <v>150</v>
      </c>
      <c r="R136" s="50">
        <f t="shared" si="106"/>
        <v>210</v>
      </c>
    </row>
    <row r="137" spans="1:18" x14ac:dyDescent="0.25">
      <c r="A137" s="41">
        <f t="shared" si="103"/>
        <v>985</v>
      </c>
      <c r="B137" s="42">
        <f t="shared" si="103"/>
        <v>127</v>
      </c>
      <c r="C137" s="41" t="s">
        <v>2928</v>
      </c>
      <c r="D137" s="43">
        <f t="shared" si="38"/>
        <v>25</v>
      </c>
      <c r="E137" s="61">
        <f t="shared" si="33"/>
        <v>3.4090000000000007</v>
      </c>
      <c r="F137" s="61">
        <f t="shared" si="34"/>
        <v>42</v>
      </c>
      <c r="G137" s="64">
        <f t="shared" si="35"/>
        <v>0.58988764044943809</v>
      </c>
      <c r="H137" s="44">
        <f t="shared" si="44"/>
        <v>-29.432344969112751</v>
      </c>
      <c r="I137" s="42" t="str">
        <f t="shared" ref="I137:K152" si="118">I136</f>
        <v>Half</v>
      </c>
      <c r="J137" s="50">
        <f t="shared" si="118"/>
        <v>6</v>
      </c>
      <c r="K137" s="49">
        <f t="shared" si="118"/>
        <v>160</v>
      </c>
      <c r="L137" s="44">
        <f t="shared" si="36"/>
        <v>8</v>
      </c>
      <c r="M137" s="44">
        <f t="shared" si="114"/>
        <v>8</v>
      </c>
      <c r="N137" s="45">
        <f t="shared" si="116"/>
        <v>0.2</v>
      </c>
      <c r="O137" s="49">
        <f>O131+30</f>
        <v>30</v>
      </c>
      <c r="P137" s="136">
        <v>0</v>
      </c>
      <c r="Q137" s="44">
        <f t="shared" si="106"/>
        <v>150</v>
      </c>
      <c r="R137" s="50">
        <f t="shared" si="106"/>
        <v>210</v>
      </c>
    </row>
    <row r="138" spans="1:18" x14ac:dyDescent="0.25">
      <c r="A138" s="41">
        <f t="shared" si="103"/>
        <v>986</v>
      </c>
      <c r="B138" s="42">
        <f t="shared" si="103"/>
        <v>128</v>
      </c>
      <c r="C138" s="41" t="s">
        <v>2929</v>
      </c>
      <c r="D138" s="43">
        <f t="shared" si="38"/>
        <v>25</v>
      </c>
      <c r="E138" s="61">
        <f t="shared" si="33"/>
        <v>3.4090000000000007</v>
      </c>
      <c r="F138" s="61">
        <f t="shared" si="34"/>
        <v>42</v>
      </c>
      <c r="G138" s="64">
        <f t="shared" si="35"/>
        <v>0.58988764044943809</v>
      </c>
      <c r="H138" s="44">
        <f t="shared" si="44"/>
        <v>-29.432344969112751</v>
      </c>
      <c r="I138" s="42" t="str">
        <f t="shared" si="118"/>
        <v>Half</v>
      </c>
      <c r="J138" s="50">
        <f t="shared" si="118"/>
        <v>6</v>
      </c>
      <c r="K138" s="49">
        <f t="shared" si="118"/>
        <v>160</v>
      </c>
      <c r="L138" s="44">
        <f t="shared" si="36"/>
        <v>8</v>
      </c>
      <c r="M138" s="44">
        <f t="shared" si="114"/>
        <v>8</v>
      </c>
      <c r="N138" s="45">
        <f t="shared" si="116"/>
        <v>0.2</v>
      </c>
      <c r="O138" s="49">
        <f t="shared" ref="O138:O154" si="119">O132+30</f>
        <v>30</v>
      </c>
      <c r="P138" s="53">
        <f>P137+15</f>
        <v>15</v>
      </c>
      <c r="Q138" s="44">
        <f t="shared" si="106"/>
        <v>150</v>
      </c>
      <c r="R138" s="50">
        <f t="shared" si="106"/>
        <v>210</v>
      </c>
    </row>
    <row r="139" spans="1:18" x14ac:dyDescent="0.25">
      <c r="A139" s="41">
        <f t="shared" si="103"/>
        <v>987</v>
      </c>
      <c r="B139" s="42">
        <f t="shared" si="103"/>
        <v>129</v>
      </c>
      <c r="C139" s="41" t="s">
        <v>2930</v>
      </c>
      <c r="D139" s="43">
        <f t="shared" si="38"/>
        <v>25</v>
      </c>
      <c r="E139" s="61">
        <f t="shared" ref="E139:E202" si="120">I_ref*(0.75*D139+5.6)</f>
        <v>3.4090000000000007</v>
      </c>
      <c r="F139" s="61">
        <f t="shared" ref="F139:F202" si="121">tur_scale</f>
        <v>42</v>
      </c>
      <c r="G139" s="64">
        <f t="shared" ref="G139:G202" si="122">1/(1+0.2*(diameter/F139))</f>
        <v>0.58988764044943809</v>
      </c>
      <c r="H139" s="44">
        <f t="shared" si="44"/>
        <v>-29.432344969112751</v>
      </c>
      <c r="I139" s="42" t="str">
        <f t="shared" si="118"/>
        <v>Half</v>
      </c>
      <c r="J139" s="50">
        <f t="shared" si="118"/>
        <v>6</v>
      </c>
      <c r="K139" s="49">
        <f t="shared" si="118"/>
        <v>160</v>
      </c>
      <c r="L139" s="44">
        <f t="shared" ref="L139:L202" si="123">inflow</f>
        <v>8</v>
      </c>
      <c r="M139" s="44">
        <f t="shared" si="114"/>
        <v>8</v>
      </c>
      <c r="N139" s="45">
        <f t="shared" si="116"/>
        <v>0.2</v>
      </c>
      <c r="O139" s="49">
        <f t="shared" si="119"/>
        <v>30</v>
      </c>
      <c r="P139" s="53">
        <f t="shared" ref="P139:P142" si="124">P138+15</f>
        <v>30</v>
      </c>
      <c r="Q139" s="44">
        <f t="shared" si="106"/>
        <v>150</v>
      </c>
      <c r="R139" s="50">
        <f t="shared" si="106"/>
        <v>210</v>
      </c>
    </row>
    <row r="140" spans="1:18" x14ac:dyDescent="0.25">
      <c r="A140" s="41">
        <f t="shared" ref="A140:B155" si="125">A139+1</f>
        <v>988</v>
      </c>
      <c r="B140" s="42">
        <f t="shared" si="125"/>
        <v>130</v>
      </c>
      <c r="C140" s="41" t="s">
        <v>2931</v>
      </c>
      <c r="D140" s="43">
        <f t="shared" si="38"/>
        <v>25</v>
      </c>
      <c r="E140" s="61">
        <f t="shared" si="120"/>
        <v>3.4090000000000007</v>
      </c>
      <c r="F140" s="61">
        <f t="shared" si="121"/>
        <v>42</v>
      </c>
      <c r="G140" s="64">
        <f t="shared" si="122"/>
        <v>0.58988764044943809</v>
      </c>
      <c r="H140" s="44">
        <f t="shared" si="44"/>
        <v>-29.432344969112751</v>
      </c>
      <c r="I140" s="42" t="str">
        <f t="shared" si="118"/>
        <v>Half</v>
      </c>
      <c r="J140" s="50">
        <f t="shared" si="118"/>
        <v>6</v>
      </c>
      <c r="K140" s="49">
        <f t="shared" si="118"/>
        <v>160</v>
      </c>
      <c r="L140" s="44">
        <f t="shared" si="123"/>
        <v>8</v>
      </c>
      <c r="M140" s="44">
        <f t="shared" si="114"/>
        <v>8</v>
      </c>
      <c r="N140" s="45">
        <f t="shared" si="116"/>
        <v>0.2</v>
      </c>
      <c r="O140" s="49">
        <f t="shared" si="119"/>
        <v>30</v>
      </c>
      <c r="P140" s="53">
        <f t="shared" si="124"/>
        <v>45</v>
      </c>
      <c r="Q140" s="44">
        <f t="shared" si="106"/>
        <v>150</v>
      </c>
      <c r="R140" s="50">
        <f t="shared" si="106"/>
        <v>210</v>
      </c>
    </row>
    <row r="141" spans="1:18" x14ac:dyDescent="0.25">
      <c r="A141" s="41">
        <f t="shared" si="125"/>
        <v>989</v>
      </c>
      <c r="B141" s="42">
        <f t="shared" si="125"/>
        <v>131</v>
      </c>
      <c r="C141" s="41" t="s">
        <v>2932</v>
      </c>
      <c r="D141" s="43">
        <f t="shared" ref="D141:D154" si="126">D140</f>
        <v>25</v>
      </c>
      <c r="E141" s="61">
        <f t="shared" si="120"/>
        <v>3.4090000000000007</v>
      </c>
      <c r="F141" s="61">
        <f t="shared" si="121"/>
        <v>42</v>
      </c>
      <c r="G141" s="64">
        <f t="shared" si="122"/>
        <v>0.58988764044943809</v>
      </c>
      <c r="H141" s="44">
        <f t="shared" si="44"/>
        <v>-29.432344969112751</v>
      </c>
      <c r="I141" s="42" t="str">
        <f t="shared" si="118"/>
        <v>Half</v>
      </c>
      <c r="J141" s="50">
        <f t="shared" si="118"/>
        <v>6</v>
      </c>
      <c r="K141" s="49">
        <f t="shared" si="118"/>
        <v>160</v>
      </c>
      <c r="L141" s="44">
        <f t="shared" si="123"/>
        <v>8</v>
      </c>
      <c r="M141" s="44">
        <f t="shared" si="114"/>
        <v>8</v>
      </c>
      <c r="N141" s="45">
        <f t="shared" si="116"/>
        <v>0.2</v>
      </c>
      <c r="O141" s="49">
        <f t="shared" si="119"/>
        <v>30</v>
      </c>
      <c r="P141" s="53">
        <f t="shared" si="124"/>
        <v>60</v>
      </c>
      <c r="Q141" s="44">
        <f t="shared" ref="Q141:R155" si="127">Q140</f>
        <v>150</v>
      </c>
      <c r="R141" s="50">
        <f t="shared" si="127"/>
        <v>210</v>
      </c>
    </row>
    <row r="142" spans="1:18" x14ac:dyDescent="0.25">
      <c r="A142" s="41">
        <f t="shared" si="125"/>
        <v>990</v>
      </c>
      <c r="B142" s="42">
        <f t="shared" si="125"/>
        <v>132</v>
      </c>
      <c r="C142" s="41" t="s">
        <v>2933</v>
      </c>
      <c r="D142" s="43">
        <f t="shared" si="126"/>
        <v>25</v>
      </c>
      <c r="E142" s="61">
        <f t="shared" si="120"/>
        <v>3.4090000000000007</v>
      </c>
      <c r="F142" s="61">
        <f t="shared" si="121"/>
        <v>42</v>
      </c>
      <c r="G142" s="64">
        <f t="shared" si="122"/>
        <v>0.58988764044943809</v>
      </c>
      <c r="H142" s="44">
        <f t="shared" si="44"/>
        <v>-29.432344969112751</v>
      </c>
      <c r="I142" s="42" t="str">
        <f t="shared" si="118"/>
        <v>Half</v>
      </c>
      <c r="J142" s="50">
        <f t="shared" si="118"/>
        <v>6</v>
      </c>
      <c r="K142" s="49">
        <f t="shared" si="118"/>
        <v>160</v>
      </c>
      <c r="L142" s="44">
        <f t="shared" si="123"/>
        <v>8</v>
      </c>
      <c r="M142" s="44">
        <f t="shared" si="114"/>
        <v>8</v>
      </c>
      <c r="N142" s="45">
        <f t="shared" si="116"/>
        <v>0.2</v>
      </c>
      <c r="O142" s="49">
        <f t="shared" si="119"/>
        <v>30</v>
      </c>
      <c r="P142" s="53">
        <f t="shared" si="124"/>
        <v>75</v>
      </c>
      <c r="Q142" s="44">
        <f t="shared" si="127"/>
        <v>150</v>
      </c>
      <c r="R142" s="50">
        <f t="shared" si="127"/>
        <v>210</v>
      </c>
    </row>
    <row r="143" spans="1:18" x14ac:dyDescent="0.25">
      <c r="A143" s="41">
        <f t="shared" si="125"/>
        <v>991</v>
      </c>
      <c r="B143" s="42">
        <f t="shared" si="125"/>
        <v>133</v>
      </c>
      <c r="C143" s="41" t="s">
        <v>2934</v>
      </c>
      <c r="D143" s="43">
        <f t="shared" si="126"/>
        <v>25</v>
      </c>
      <c r="E143" s="61">
        <f t="shared" si="120"/>
        <v>3.4090000000000007</v>
      </c>
      <c r="F143" s="61">
        <f t="shared" si="121"/>
        <v>42</v>
      </c>
      <c r="G143" s="64">
        <f t="shared" si="122"/>
        <v>0.58988764044943809</v>
      </c>
      <c r="H143" s="44">
        <f t="shared" si="44"/>
        <v>-29.432344969112751</v>
      </c>
      <c r="I143" s="42" t="str">
        <f t="shared" si="118"/>
        <v>Half</v>
      </c>
      <c r="J143" s="50">
        <f t="shared" si="118"/>
        <v>6</v>
      </c>
      <c r="K143" s="49">
        <f t="shared" si="118"/>
        <v>160</v>
      </c>
      <c r="L143" s="44">
        <f t="shared" si="123"/>
        <v>8</v>
      </c>
      <c r="M143" s="44">
        <f t="shared" si="114"/>
        <v>8</v>
      </c>
      <c r="N143" s="45">
        <f t="shared" si="116"/>
        <v>0.2</v>
      </c>
      <c r="O143" s="49">
        <f t="shared" si="119"/>
        <v>60</v>
      </c>
      <c r="P143" s="136">
        <v>0</v>
      </c>
      <c r="Q143" s="44">
        <f t="shared" si="127"/>
        <v>150</v>
      </c>
      <c r="R143" s="50">
        <f t="shared" si="127"/>
        <v>210</v>
      </c>
    </row>
    <row r="144" spans="1:18" x14ac:dyDescent="0.25">
      <c r="A144" s="41">
        <f t="shared" si="125"/>
        <v>992</v>
      </c>
      <c r="B144" s="42">
        <f t="shared" si="125"/>
        <v>134</v>
      </c>
      <c r="C144" s="41" t="s">
        <v>2935</v>
      </c>
      <c r="D144" s="43">
        <f t="shared" si="126"/>
        <v>25</v>
      </c>
      <c r="E144" s="61">
        <f t="shared" si="120"/>
        <v>3.4090000000000007</v>
      </c>
      <c r="F144" s="61">
        <f t="shared" si="121"/>
        <v>42</v>
      </c>
      <c r="G144" s="64">
        <f t="shared" si="122"/>
        <v>0.58988764044943809</v>
      </c>
      <c r="H144" s="44">
        <f t="shared" si="44"/>
        <v>-29.432344969112751</v>
      </c>
      <c r="I144" s="42" t="str">
        <f t="shared" si="118"/>
        <v>Half</v>
      </c>
      <c r="J144" s="50">
        <f t="shared" si="118"/>
        <v>6</v>
      </c>
      <c r="K144" s="49">
        <f t="shared" si="118"/>
        <v>160</v>
      </c>
      <c r="L144" s="44">
        <f t="shared" si="123"/>
        <v>8</v>
      </c>
      <c r="M144" s="44">
        <f t="shared" si="114"/>
        <v>8</v>
      </c>
      <c r="N144" s="45">
        <f t="shared" si="116"/>
        <v>0.2</v>
      </c>
      <c r="O144" s="49">
        <f t="shared" si="119"/>
        <v>60</v>
      </c>
      <c r="P144" s="53">
        <f>P143+15</f>
        <v>15</v>
      </c>
      <c r="Q144" s="44">
        <f t="shared" si="127"/>
        <v>150</v>
      </c>
      <c r="R144" s="50">
        <f t="shared" si="127"/>
        <v>210</v>
      </c>
    </row>
    <row r="145" spans="1:18" x14ac:dyDescent="0.25">
      <c r="A145" s="41">
        <f t="shared" si="125"/>
        <v>993</v>
      </c>
      <c r="B145" s="42">
        <f t="shared" si="125"/>
        <v>135</v>
      </c>
      <c r="C145" s="41" t="s">
        <v>2936</v>
      </c>
      <c r="D145" s="43">
        <f t="shared" si="126"/>
        <v>25</v>
      </c>
      <c r="E145" s="61">
        <f t="shared" si="120"/>
        <v>3.4090000000000007</v>
      </c>
      <c r="F145" s="61">
        <f t="shared" si="121"/>
        <v>42</v>
      </c>
      <c r="G145" s="64">
        <f t="shared" si="122"/>
        <v>0.58988764044943809</v>
      </c>
      <c r="H145" s="44">
        <f t="shared" si="44"/>
        <v>-29.432344969112751</v>
      </c>
      <c r="I145" s="42" t="str">
        <f t="shared" si="118"/>
        <v>Half</v>
      </c>
      <c r="J145" s="50">
        <f t="shared" si="118"/>
        <v>6</v>
      </c>
      <c r="K145" s="49">
        <f t="shared" si="118"/>
        <v>160</v>
      </c>
      <c r="L145" s="44">
        <f t="shared" si="123"/>
        <v>8</v>
      </c>
      <c r="M145" s="44">
        <f t="shared" si="114"/>
        <v>8</v>
      </c>
      <c r="N145" s="45">
        <f t="shared" si="116"/>
        <v>0.2</v>
      </c>
      <c r="O145" s="49">
        <f t="shared" si="119"/>
        <v>60</v>
      </c>
      <c r="P145" s="53">
        <f t="shared" ref="P145:P148" si="128">P144+15</f>
        <v>30</v>
      </c>
      <c r="Q145" s="44">
        <f t="shared" si="127"/>
        <v>150</v>
      </c>
      <c r="R145" s="50">
        <f t="shared" si="127"/>
        <v>210</v>
      </c>
    </row>
    <row r="146" spans="1:18" x14ac:dyDescent="0.25">
      <c r="A146" s="41">
        <f t="shared" si="125"/>
        <v>994</v>
      </c>
      <c r="B146" s="42">
        <f t="shared" si="125"/>
        <v>136</v>
      </c>
      <c r="C146" s="41" t="s">
        <v>2937</v>
      </c>
      <c r="D146" s="43">
        <f t="shared" si="126"/>
        <v>25</v>
      </c>
      <c r="E146" s="61">
        <f t="shared" si="120"/>
        <v>3.4090000000000007</v>
      </c>
      <c r="F146" s="61">
        <f t="shared" si="121"/>
        <v>42</v>
      </c>
      <c r="G146" s="64">
        <f t="shared" si="122"/>
        <v>0.58988764044943809</v>
      </c>
      <c r="H146" s="44">
        <f t="shared" si="44"/>
        <v>-29.432344969112751</v>
      </c>
      <c r="I146" s="42" t="str">
        <f t="shared" si="118"/>
        <v>Half</v>
      </c>
      <c r="J146" s="50">
        <f t="shared" si="118"/>
        <v>6</v>
      </c>
      <c r="K146" s="49">
        <f t="shared" si="118"/>
        <v>160</v>
      </c>
      <c r="L146" s="44">
        <f t="shared" si="123"/>
        <v>8</v>
      </c>
      <c r="M146" s="44">
        <f t="shared" si="114"/>
        <v>8</v>
      </c>
      <c r="N146" s="45">
        <f t="shared" si="116"/>
        <v>0.2</v>
      </c>
      <c r="O146" s="49">
        <f t="shared" si="119"/>
        <v>60</v>
      </c>
      <c r="P146" s="53">
        <f t="shared" si="128"/>
        <v>45</v>
      </c>
      <c r="Q146" s="44">
        <f t="shared" si="127"/>
        <v>150</v>
      </c>
      <c r="R146" s="50">
        <f t="shared" si="127"/>
        <v>210</v>
      </c>
    </row>
    <row r="147" spans="1:18" x14ac:dyDescent="0.25">
      <c r="A147" s="41">
        <f t="shared" si="125"/>
        <v>995</v>
      </c>
      <c r="B147" s="42">
        <f t="shared" si="125"/>
        <v>137</v>
      </c>
      <c r="C147" s="41" t="s">
        <v>2938</v>
      </c>
      <c r="D147" s="43">
        <f t="shared" si="126"/>
        <v>25</v>
      </c>
      <c r="E147" s="61">
        <f t="shared" si="120"/>
        <v>3.4090000000000007</v>
      </c>
      <c r="F147" s="61">
        <f t="shared" si="121"/>
        <v>42</v>
      </c>
      <c r="G147" s="64">
        <f t="shared" si="122"/>
        <v>0.58988764044943809</v>
      </c>
      <c r="H147" s="44">
        <f t="shared" si="44"/>
        <v>-29.432344969112751</v>
      </c>
      <c r="I147" s="42" t="str">
        <f t="shared" si="118"/>
        <v>Half</v>
      </c>
      <c r="J147" s="50">
        <f t="shared" si="118"/>
        <v>6</v>
      </c>
      <c r="K147" s="49">
        <f t="shared" si="118"/>
        <v>160</v>
      </c>
      <c r="L147" s="44">
        <f t="shared" si="123"/>
        <v>8</v>
      </c>
      <c r="M147" s="44">
        <f t="shared" si="114"/>
        <v>8</v>
      </c>
      <c r="N147" s="45">
        <f t="shared" si="116"/>
        <v>0.2</v>
      </c>
      <c r="O147" s="49">
        <f t="shared" si="119"/>
        <v>60</v>
      </c>
      <c r="P147" s="53">
        <f t="shared" si="128"/>
        <v>60</v>
      </c>
      <c r="Q147" s="44">
        <f t="shared" si="127"/>
        <v>150</v>
      </c>
      <c r="R147" s="50">
        <f t="shared" si="127"/>
        <v>210</v>
      </c>
    </row>
    <row r="148" spans="1:18" x14ac:dyDescent="0.25">
      <c r="A148" s="41">
        <f t="shared" si="125"/>
        <v>996</v>
      </c>
      <c r="B148" s="42">
        <f t="shared" si="125"/>
        <v>138</v>
      </c>
      <c r="C148" s="41" t="s">
        <v>2939</v>
      </c>
      <c r="D148" s="43">
        <f t="shared" si="126"/>
        <v>25</v>
      </c>
      <c r="E148" s="61">
        <f t="shared" si="120"/>
        <v>3.4090000000000007</v>
      </c>
      <c r="F148" s="61">
        <f t="shared" si="121"/>
        <v>42</v>
      </c>
      <c r="G148" s="64">
        <f t="shared" si="122"/>
        <v>0.58988764044943809</v>
      </c>
      <c r="H148" s="44">
        <f t="shared" ref="H148:H154" si="129">-6.4*ATAN(E147/D147*G147)/PI()*180</f>
        <v>-29.432344969112751</v>
      </c>
      <c r="I148" s="42" t="str">
        <f t="shared" si="118"/>
        <v>Half</v>
      </c>
      <c r="J148" s="50">
        <f t="shared" si="118"/>
        <v>6</v>
      </c>
      <c r="K148" s="49">
        <f t="shared" si="118"/>
        <v>160</v>
      </c>
      <c r="L148" s="44">
        <f t="shared" si="123"/>
        <v>8</v>
      </c>
      <c r="M148" s="44">
        <f t="shared" si="114"/>
        <v>8</v>
      </c>
      <c r="N148" s="45">
        <f t="shared" ref="N148:N154" si="130">N147</f>
        <v>0.2</v>
      </c>
      <c r="O148" s="49">
        <f t="shared" si="119"/>
        <v>60</v>
      </c>
      <c r="P148" s="135">
        <f t="shared" si="128"/>
        <v>75</v>
      </c>
      <c r="Q148" s="44">
        <f t="shared" si="127"/>
        <v>150</v>
      </c>
      <c r="R148" s="50">
        <f t="shared" si="127"/>
        <v>210</v>
      </c>
    </row>
    <row r="149" spans="1:18" x14ac:dyDescent="0.25">
      <c r="A149" s="41">
        <f t="shared" si="125"/>
        <v>997</v>
      </c>
      <c r="B149" s="42">
        <f t="shared" si="125"/>
        <v>139</v>
      </c>
      <c r="C149" s="41" t="s">
        <v>2940</v>
      </c>
      <c r="D149" s="43">
        <f t="shared" si="126"/>
        <v>25</v>
      </c>
      <c r="E149" s="61">
        <f t="shared" si="120"/>
        <v>3.4090000000000007</v>
      </c>
      <c r="F149" s="61">
        <f t="shared" si="121"/>
        <v>42</v>
      </c>
      <c r="G149" s="64">
        <f t="shared" si="122"/>
        <v>0.58988764044943809</v>
      </c>
      <c r="H149" s="44">
        <f t="shared" si="129"/>
        <v>-29.432344969112751</v>
      </c>
      <c r="I149" s="42" t="str">
        <f t="shared" si="118"/>
        <v>Half</v>
      </c>
      <c r="J149" s="50">
        <f t="shared" si="118"/>
        <v>6</v>
      </c>
      <c r="K149" s="49">
        <f t="shared" si="118"/>
        <v>160</v>
      </c>
      <c r="L149" s="44">
        <f t="shared" si="123"/>
        <v>8</v>
      </c>
      <c r="M149" s="44">
        <f t="shared" si="114"/>
        <v>8</v>
      </c>
      <c r="N149" s="45">
        <f t="shared" si="130"/>
        <v>0.2</v>
      </c>
      <c r="O149" s="49">
        <f t="shared" si="119"/>
        <v>90</v>
      </c>
      <c r="P149" s="136">
        <v>0</v>
      </c>
      <c r="Q149" s="44">
        <f t="shared" si="127"/>
        <v>150</v>
      </c>
      <c r="R149" s="50">
        <f t="shared" si="127"/>
        <v>210</v>
      </c>
    </row>
    <row r="150" spans="1:18" x14ac:dyDescent="0.25">
      <c r="A150" s="41">
        <f t="shared" si="125"/>
        <v>998</v>
      </c>
      <c r="B150" s="42">
        <f t="shared" si="125"/>
        <v>140</v>
      </c>
      <c r="C150" s="41" t="s">
        <v>2941</v>
      </c>
      <c r="D150" s="43">
        <f t="shared" si="126"/>
        <v>25</v>
      </c>
      <c r="E150" s="61">
        <f t="shared" si="120"/>
        <v>3.4090000000000007</v>
      </c>
      <c r="F150" s="61">
        <f t="shared" si="121"/>
        <v>42</v>
      </c>
      <c r="G150" s="64">
        <f t="shared" si="122"/>
        <v>0.58988764044943809</v>
      </c>
      <c r="H150" s="44">
        <f t="shared" si="129"/>
        <v>-29.432344969112751</v>
      </c>
      <c r="I150" s="42" t="str">
        <f t="shared" si="118"/>
        <v>Half</v>
      </c>
      <c r="J150" s="50">
        <f t="shared" si="118"/>
        <v>6</v>
      </c>
      <c r="K150" s="49">
        <f t="shared" si="118"/>
        <v>160</v>
      </c>
      <c r="L150" s="44">
        <f t="shared" si="123"/>
        <v>8</v>
      </c>
      <c r="M150" s="44">
        <f t="shared" si="114"/>
        <v>8</v>
      </c>
      <c r="N150" s="45">
        <f t="shared" si="130"/>
        <v>0.2</v>
      </c>
      <c r="O150" s="49">
        <f t="shared" si="119"/>
        <v>90</v>
      </c>
      <c r="P150" s="53">
        <f>P149+15</f>
        <v>15</v>
      </c>
      <c r="Q150" s="44">
        <f t="shared" si="127"/>
        <v>150</v>
      </c>
      <c r="R150" s="50">
        <f t="shared" si="127"/>
        <v>210</v>
      </c>
    </row>
    <row r="151" spans="1:18" x14ac:dyDescent="0.25">
      <c r="A151" s="41">
        <f t="shared" si="125"/>
        <v>999</v>
      </c>
      <c r="B151" s="42">
        <f t="shared" si="125"/>
        <v>141</v>
      </c>
      <c r="C151" s="41" t="s">
        <v>2942</v>
      </c>
      <c r="D151" s="43">
        <f t="shared" si="126"/>
        <v>25</v>
      </c>
      <c r="E151" s="61">
        <f t="shared" si="120"/>
        <v>3.4090000000000007</v>
      </c>
      <c r="F151" s="61">
        <f t="shared" si="121"/>
        <v>42</v>
      </c>
      <c r="G151" s="64">
        <f t="shared" si="122"/>
        <v>0.58988764044943809</v>
      </c>
      <c r="H151" s="44">
        <f t="shared" si="129"/>
        <v>-29.432344969112751</v>
      </c>
      <c r="I151" s="42" t="s">
        <v>12</v>
      </c>
      <c r="J151" s="50">
        <f t="shared" si="118"/>
        <v>6</v>
      </c>
      <c r="K151" s="49">
        <f t="shared" si="118"/>
        <v>160</v>
      </c>
      <c r="L151" s="44">
        <f t="shared" si="123"/>
        <v>8</v>
      </c>
      <c r="M151" s="44">
        <f t="shared" si="114"/>
        <v>8</v>
      </c>
      <c r="N151" s="45">
        <f t="shared" si="130"/>
        <v>0.2</v>
      </c>
      <c r="O151" s="49">
        <f>O145+30</f>
        <v>90</v>
      </c>
      <c r="P151" s="53">
        <f t="shared" ref="P151:P154" si="131">P150+15</f>
        <v>30</v>
      </c>
      <c r="Q151" s="44">
        <f t="shared" si="127"/>
        <v>150</v>
      </c>
      <c r="R151" s="50">
        <f t="shared" si="127"/>
        <v>210</v>
      </c>
    </row>
    <row r="152" spans="1:18" x14ac:dyDescent="0.25">
      <c r="A152" s="41">
        <f t="shared" si="125"/>
        <v>1000</v>
      </c>
      <c r="B152" s="42">
        <f t="shared" si="125"/>
        <v>142</v>
      </c>
      <c r="C152" s="41" t="s">
        <v>2943</v>
      </c>
      <c r="D152" s="43">
        <f t="shared" si="126"/>
        <v>25</v>
      </c>
      <c r="E152" s="61">
        <f t="shared" si="120"/>
        <v>3.4090000000000007</v>
      </c>
      <c r="F152" s="61">
        <f t="shared" si="121"/>
        <v>42</v>
      </c>
      <c r="G152" s="64">
        <f t="shared" si="122"/>
        <v>0.58988764044943809</v>
      </c>
      <c r="H152" s="44">
        <f t="shared" si="129"/>
        <v>-29.432344969112751</v>
      </c>
      <c r="I152" s="42" t="str">
        <f>I151</f>
        <v>Half</v>
      </c>
      <c r="J152" s="50">
        <f t="shared" si="118"/>
        <v>6</v>
      </c>
      <c r="K152" s="49">
        <f t="shared" si="118"/>
        <v>160</v>
      </c>
      <c r="L152" s="44">
        <f t="shared" si="123"/>
        <v>8</v>
      </c>
      <c r="M152" s="44">
        <f t="shared" si="114"/>
        <v>8</v>
      </c>
      <c r="N152" s="45">
        <f t="shared" si="130"/>
        <v>0.2</v>
      </c>
      <c r="O152" s="49">
        <f t="shared" si="119"/>
        <v>90</v>
      </c>
      <c r="P152" s="53">
        <f t="shared" si="131"/>
        <v>45</v>
      </c>
      <c r="Q152" s="44">
        <f t="shared" si="127"/>
        <v>150</v>
      </c>
      <c r="R152" s="50">
        <f t="shared" si="127"/>
        <v>210</v>
      </c>
    </row>
    <row r="153" spans="1:18" x14ac:dyDescent="0.25">
      <c r="A153" s="41">
        <f t="shared" si="125"/>
        <v>1001</v>
      </c>
      <c r="B153" s="42">
        <f t="shared" si="125"/>
        <v>143</v>
      </c>
      <c r="C153" s="41" t="s">
        <v>2944</v>
      </c>
      <c r="D153" s="43">
        <f t="shared" si="126"/>
        <v>25</v>
      </c>
      <c r="E153" s="61">
        <f t="shared" si="120"/>
        <v>3.4090000000000007</v>
      </c>
      <c r="F153" s="61">
        <f t="shared" si="121"/>
        <v>42</v>
      </c>
      <c r="G153" s="64">
        <f t="shared" si="122"/>
        <v>0.58988764044943809</v>
      </c>
      <c r="H153" s="44">
        <f t="shared" si="129"/>
        <v>-29.432344969112751</v>
      </c>
      <c r="I153" s="42" t="str">
        <f t="shared" ref="I153:K155" si="132">I152</f>
        <v>Half</v>
      </c>
      <c r="J153" s="50">
        <f t="shared" si="132"/>
        <v>6</v>
      </c>
      <c r="K153" s="49">
        <f t="shared" si="132"/>
        <v>160</v>
      </c>
      <c r="L153" s="44">
        <f t="shared" si="123"/>
        <v>8</v>
      </c>
      <c r="M153" s="44">
        <f t="shared" si="114"/>
        <v>8</v>
      </c>
      <c r="N153" s="45">
        <f t="shared" si="130"/>
        <v>0.2</v>
      </c>
      <c r="O153" s="49">
        <f t="shared" si="119"/>
        <v>90</v>
      </c>
      <c r="P153" s="53">
        <f t="shared" si="131"/>
        <v>60</v>
      </c>
      <c r="Q153" s="44">
        <f t="shared" si="127"/>
        <v>150</v>
      </c>
      <c r="R153" s="50">
        <f t="shared" si="127"/>
        <v>210</v>
      </c>
    </row>
    <row r="154" spans="1:18" x14ac:dyDescent="0.25">
      <c r="A154" s="41">
        <f t="shared" si="125"/>
        <v>1002</v>
      </c>
      <c r="B154" s="42">
        <f t="shared" si="125"/>
        <v>144</v>
      </c>
      <c r="C154" s="127" t="s">
        <v>2945</v>
      </c>
      <c r="D154" s="43">
        <f t="shared" si="126"/>
        <v>25</v>
      </c>
      <c r="E154" s="61">
        <f t="shared" si="120"/>
        <v>3.4090000000000007</v>
      </c>
      <c r="F154" s="61">
        <f t="shared" si="121"/>
        <v>42</v>
      </c>
      <c r="G154" s="64">
        <f t="shared" si="122"/>
        <v>0.58988764044943809</v>
      </c>
      <c r="H154" s="44">
        <f t="shared" si="129"/>
        <v>-29.432344969112751</v>
      </c>
      <c r="I154" s="42" t="str">
        <f t="shared" si="132"/>
        <v>Half</v>
      </c>
      <c r="J154" s="50">
        <f t="shared" si="132"/>
        <v>6</v>
      </c>
      <c r="K154" s="49">
        <f t="shared" si="132"/>
        <v>160</v>
      </c>
      <c r="L154" s="44">
        <f t="shared" si="123"/>
        <v>8</v>
      </c>
      <c r="M154" s="44">
        <f t="shared" si="114"/>
        <v>8</v>
      </c>
      <c r="N154" s="45">
        <f t="shared" si="130"/>
        <v>0.2</v>
      </c>
      <c r="O154" s="49">
        <f t="shared" si="119"/>
        <v>90</v>
      </c>
      <c r="P154" s="53">
        <f t="shared" si="131"/>
        <v>75</v>
      </c>
      <c r="Q154" s="44">
        <f t="shared" si="127"/>
        <v>150</v>
      </c>
      <c r="R154" s="50">
        <f t="shared" si="127"/>
        <v>210</v>
      </c>
    </row>
    <row r="155" spans="1:18" x14ac:dyDescent="0.25">
      <c r="A155" s="41">
        <f t="shared" si="125"/>
        <v>1003</v>
      </c>
      <c r="B155" s="42">
        <f t="shared" si="125"/>
        <v>145</v>
      </c>
      <c r="C155" s="41" t="s">
        <v>2946</v>
      </c>
      <c r="D155" s="43">
        <f>0.6*v_tref</f>
        <v>34.199999999999996</v>
      </c>
      <c r="E155" s="61">
        <f t="shared" si="120"/>
        <v>4.375</v>
      </c>
      <c r="F155" s="61">
        <f t="shared" si="121"/>
        <v>42</v>
      </c>
      <c r="G155" s="64">
        <f t="shared" si="122"/>
        <v>0.58988764044943809</v>
      </c>
      <c r="H155" s="44">
        <f>6.4*ATAN(E155/D155*G155)/PI()*180</f>
        <v>27.618592548519779</v>
      </c>
      <c r="I155" s="42" t="str">
        <f t="shared" si="132"/>
        <v>Half</v>
      </c>
      <c r="J155" s="50">
        <f t="shared" si="132"/>
        <v>6</v>
      </c>
      <c r="K155" s="49">
        <f t="shared" si="132"/>
        <v>160</v>
      </c>
      <c r="L155" s="44">
        <f t="shared" si="123"/>
        <v>8</v>
      </c>
      <c r="M155" s="44">
        <f t="shared" ref="M155:M178" si="133">yaw_min</f>
        <v>-8</v>
      </c>
      <c r="N155" s="45">
        <f t="shared" ref="N155" si="134">N154</f>
        <v>0.2</v>
      </c>
      <c r="O155" s="49">
        <v>0</v>
      </c>
      <c r="P155" s="23">
        <v>0</v>
      </c>
      <c r="Q155" s="44">
        <f t="shared" si="127"/>
        <v>150</v>
      </c>
      <c r="R155" s="50">
        <f t="shared" si="127"/>
        <v>210</v>
      </c>
    </row>
    <row r="156" spans="1:18" x14ac:dyDescent="0.25">
      <c r="A156" s="41">
        <f t="shared" ref="A156:B171" si="135">A155+1</f>
        <v>1004</v>
      </c>
      <c r="B156" s="42">
        <f t="shared" si="135"/>
        <v>146</v>
      </c>
      <c r="C156" s="41" t="s">
        <v>2947</v>
      </c>
      <c r="D156" s="43">
        <f>D155</f>
        <v>34.199999999999996</v>
      </c>
      <c r="E156" s="61">
        <f t="shared" si="120"/>
        <v>4.375</v>
      </c>
      <c r="F156" s="61">
        <f t="shared" si="121"/>
        <v>42</v>
      </c>
      <c r="G156" s="64">
        <f t="shared" si="122"/>
        <v>0.58988764044943809</v>
      </c>
      <c r="H156" s="44">
        <f>6.4*ATAN(E156/D156*G156)/PI()*180</f>
        <v>27.618592548519779</v>
      </c>
      <c r="I156" s="42" t="str">
        <f t="shared" ref="I156:K156" si="136">I155</f>
        <v>Half</v>
      </c>
      <c r="J156" s="50">
        <f t="shared" si="136"/>
        <v>6</v>
      </c>
      <c r="K156" s="49">
        <f t="shared" si="136"/>
        <v>160</v>
      </c>
      <c r="L156" s="44">
        <f t="shared" si="123"/>
        <v>8</v>
      </c>
      <c r="M156" s="44">
        <f t="shared" si="133"/>
        <v>-8</v>
      </c>
      <c r="N156" s="45">
        <f t="shared" ref="N156" si="137">N155</f>
        <v>0.2</v>
      </c>
      <c r="O156" s="49">
        <v>0</v>
      </c>
      <c r="P156" s="53">
        <f>P155+15</f>
        <v>15</v>
      </c>
      <c r="Q156" s="44">
        <f>Q155</f>
        <v>150</v>
      </c>
      <c r="R156" s="50">
        <f>R155</f>
        <v>210</v>
      </c>
    </row>
    <row r="157" spans="1:18" x14ac:dyDescent="0.25">
      <c r="A157" s="41">
        <f t="shared" si="135"/>
        <v>1005</v>
      </c>
      <c r="B157" s="42">
        <f t="shared" si="135"/>
        <v>147</v>
      </c>
      <c r="C157" s="41" t="s">
        <v>2948</v>
      </c>
      <c r="D157" s="43">
        <f t="shared" ref="D157:D220" si="138">D156</f>
        <v>34.199999999999996</v>
      </c>
      <c r="E157" s="61">
        <f t="shared" si="120"/>
        <v>4.375</v>
      </c>
      <c r="F157" s="61">
        <f t="shared" si="121"/>
        <v>42</v>
      </c>
      <c r="G157" s="64">
        <f t="shared" si="122"/>
        <v>0.58988764044943809</v>
      </c>
      <c r="H157" s="44">
        <f t="shared" ref="H157:H220" si="139">6.4*ATAN(E157/D157*G157)/PI()*180</f>
        <v>27.618592548519779</v>
      </c>
      <c r="I157" s="42" t="str">
        <f t="shared" ref="I157:K157" si="140">I156</f>
        <v>Half</v>
      </c>
      <c r="J157" s="50">
        <f t="shared" si="140"/>
        <v>6</v>
      </c>
      <c r="K157" s="49">
        <f t="shared" si="140"/>
        <v>160</v>
      </c>
      <c r="L157" s="44">
        <f t="shared" si="123"/>
        <v>8</v>
      </c>
      <c r="M157" s="44">
        <f t="shared" si="133"/>
        <v>-8</v>
      </c>
      <c r="N157" s="45">
        <f t="shared" ref="N157" si="141">N156</f>
        <v>0.2</v>
      </c>
      <c r="O157" s="49">
        <v>0</v>
      </c>
      <c r="P157" s="53">
        <f t="shared" ref="P157:P160" si="142">P156+15</f>
        <v>30</v>
      </c>
      <c r="Q157" s="44">
        <f t="shared" ref="Q157:R157" si="143">Q156</f>
        <v>150</v>
      </c>
      <c r="R157" s="50">
        <f t="shared" si="143"/>
        <v>210</v>
      </c>
    </row>
    <row r="158" spans="1:18" x14ac:dyDescent="0.25">
      <c r="A158" s="41">
        <f t="shared" si="135"/>
        <v>1006</v>
      </c>
      <c r="B158" s="42">
        <f t="shared" si="135"/>
        <v>148</v>
      </c>
      <c r="C158" s="41" t="s">
        <v>2949</v>
      </c>
      <c r="D158" s="43">
        <f t="shared" si="138"/>
        <v>34.199999999999996</v>
      </c>
      <c r="E158" s="61">
        <f t="shared" si="120"/>
        <v>4.375</v>
      </c>
      <c r="F158" s="61">
        <f t="shared" si="121"/>
        <v>42</v>
      </c>
      <c r="G158" s="64">
        <f t="shared" si="122"/>
        <v>0.58988764044943809</v>
      </c>
      <c r="H158" s="44">
        <f t="shared" si="139"/>
        <v>27.618592548519779</v>
      </c>
      <c r="I158" s="42" t="str">
        <f t="shared" ref="I158:K158" si="144">I157</f>
        <v>Half</v>
      </c>
      <c r="J158" s="50">
        <f t="shared" si="144"/>
        <v>6</v>
      </c>
      <c r="K158" s="49">
        <f t="shared" si="144"/>
        <v>160</v>
      </c>
      <c r="L158" s="44">
        <f t="shared" si="123"/>
        <v>8</v>
      </c>
      <c r="M158" s="44">
        <f t="shared" si="133"/>
        <v>-8</v>
      </c>
      <c r="N158" s="45">
        <f t="shared" ref="N158" si="145">N157</f>
        <v>0.2</v>
      </c>
      <c r="O158" s="49">
        <v>0</v>
      </c>
      <c r="P158" s="53">
        <f t="shared" si="142"/>
        <v>45</v>
      </c>
      <c r="Q158" s="44">
        <f t="shared" ref="Q158:R158" si="146">Q157</f>
        <v>150</v>
      </c>
      <c r="R158" s="50">
        <f t="shared" si="146"/>
        <v>210</v>
      </c>
    </row>
    <row r="159" spans="1:18" x14ac:dyDescent="0.25">
      <c r="A159" s="41">
        <f t="shared" si="135"/>
        <v>1007</v>
      </c>
      <c r="B159" s="42">
        <f t="shared" si="135"/>
        <v>149</v>
      </c>
      <c r="C159" s="41" t="s">
        <v>2950</v>
      </c>
      <c r="D159" s="43">
        <f t="shared" si="138"/>
        <v>34.199999999999996</v>
      </c>
      <c r="E159" s="61">
        <f t="shared" si="120"/>
        <v>4.375</v>
      </c>
      <c r="F159" s="61">
        <f t="shared" si="121"/>
        <v>42</v>
      </c>
      <c r="G159" s="64">
        <f t="shared" si="122"/>
        <v>0.58988764044943809</v>
      </c>
      <c r="H159" s="44">
        <f t="shared" si="139"/>
        <v>27.618592548519779</v>
      </c>
      <c r="I159" s="42" t="str">
        <f t="shared" ref="I159:K159" si="147">I158</f>
        <v>Half</v>
      </c>
      <c r="J159" s="50">
        <f t="shared" si="147"/>
        <v>6</v>
      </c>
      <c r="K159" s="49">
        <f t="shared" si="147"/>
        <v>160</v>
      </c>
      <c r="L159" s="44">
        <f t="shared" si="123"/>
        <v>8</v>
      </c>
      <c r="M159" s="44">
        <f t="shared" si="133"/>
        <v>-8</v>
      </c>
      <c r="N159" s="45">
        <f t="shared" ref="N159" si="148">N158</f>
        <v>0.2</v>
      </c>
      <c r="O159" s="49">
        <v>0</v>
      </c>
      <c r="P159" s="53">
        <f t="shared" si="142"/>
        <v>60</v>
      </c>
      <c r="Q159" s="44">
        <f t="shared" ref="Q159:R159" si="149">Q158</f>
        <v>150</v>
      </c>
      <c r="R159" s="50">
        <f t="shared" si="149"/>
        <v>210</v>
      </c>
    </row>
    <row r="160" spans="1:18" x14ac:dyDescent="0.25">
      <c r="A160" s="41">
        <f t="shared" si="135"/>
        <v>1008</v>
      </c>
      <c r="B160" s="42">
        <f t="shared" si="135"/>
        <v>150</v>
      </c>
      <c r="C160" s="41" t="s">
        <v>2951</v>
      </c>
      <c r="D160" s="43">
        <f t="shared" si="138"/>
        <v>34.199999999999996</v>
      </c>
      <c r="E160" s="61">
        <f t="shared" si="120"/>
        <v>4.375</v>
      </c>
      <c r="F160" s="61">
        <f t="shared" si="121"/>
        <v>42</v>
      </c>
      <c r="G160" s="64">
        <f t="shared" si="122"/>
        <v>0.58988764044943809</v>
      </c>
      <c r="H160" s="44">
        <f t="shared" si="139"/>
        <v>27.618592548519779</v>
      </c>
      <c r="I160" s="42" t="str">
        <f t="shared" ref="I160:K160" si="150">I159</f>
        <v>Half</v>
      </c>
      <c r="J160" s="50">
        <f t="shared" si="150"/>
        <v>6</v>
      </c>
      <c r="K160" s="49">
        <f t="shared" si="150"/>
        <v>160</v>
      </c>
      <c r="L160" s="44">
        <f t="shared" si="123"/>
        <v>8</v>
      </c>
      <c r="M160" s="44">
        <f t="shared" si="133"/>
        <v>-8</v>
      </c>
      <c r="N160" s="45">
        <f t="shared" ref="N160" si="151">N159</f>
        <v>0.2</v>
      </c>
      <c r="O160" s="49">
        <v>0</v>
      </c>
      <c r="P160" s="135">
        <f t="shared" si="142"/>
        <v>75</v>
      </c>
      <c r="Q160" s="44">
        <f t="shared" ref="Q160:R160" si="152">Q159</f>
        <v>150</v>
      </c>
      <c r="R160" s="50">
        <f t="shared" si="152"/>
        <v>210</v>
      </c>
    </row>
    <row r="161" spans="1:18" x14ac:dyDescent="0.25">
      <c r="A161" s="41">
        <f t="shared" si="135"/>
        <v>1009</v>
      </c>
      <c r="B161" s="42">
        <f t="shared" si="135"/>
        <v>151</v>
      </c>
      <c r="C161" s="41" t="s">
        <v>2952</v>
      </c>
      <c r="D161" s="43">
        <f t="shared" si="138"/>
        <v>34.199999999999996</v>
      </c>
      <c r="E161" s="61">
        <f t="shared" si="120"/>
        <v>4.375</v>
      </c>
      <c r="F161" s="61">
        <f t="shared" si="121"/>
        <v>42</v>
      </c>
      <c r="G161" s="64">
        <f t="shared" si="122"/>
        <v>0.58988764044943809</v>
      </c>
      <c r="H161" s="44">
        <f t="shared" si="139"/>
        <v>27.618592548519779</v>
      </c>
      <c r="I161" s="42" t="str">
        <f t="shared" ref="I161:K161" si="153">I160</f>
        <v>Half</v>
      </c>
      <c r="J161" s="50">
        <f t="shared" si="153"/>
        <v>6</v>
      </c>
      <c r="K161" s="49">
        <f t="shared" si="153"/>
        <v>160</v>
      </c>
      <c r="L161" s="44">
        <f t="shared" si="123"/>
        <v>8</v>
      </c>
      <c r="M161" s="44">
        <f t="shared" si="133"/>
        <v>-8</v>
      </c>
      <c r="N161" s="45">
        <f t="shared" ref="N161" si="154">N160</f>
        <v>0.2</v>
      </c>
      <c r="O161" s="49">
        <f>O155+30</f>
        <v>30</v>
      </c>
      <c r="P161" s="136">
        <v>0</v>
      </c>
      <c r="Q161" s="44">
        <f t="shared" ref="Q161:R161" si="155">Q160</f>
        <v>150</v>
      </c>
      <c r="R161" s="50">
        <f t="shared" si="155"/>
        <v>210</v>
      </c>
    </row>
    <row r="162" spans="1:18" x14ac:dyDescent="0.25">
      <c r="A162" s="41">
        <f t="shared" si="135"/>
        <v>1010</v>
      </c>
      <c r="B162" s="42">
        <f t="shared" si="135"/>
        <v>152</v>
      </c>
      <c r="C162" s="41" t="s">
        <v>2953</v>
      </c>
      <c r="D162" s="43">
        <f t="shared" si="138"/>
        <v>34.199999999999996</v>
      </c>
      <c r="E162" s="61">
        <f t="shared" si="120"/>
        <v>4.375</v>
      </c>
      <c r="F162" s="61">
        <f t="shared" si="121"/>
        <v>42</v>
      </c>
      <c r="G162" s="64">
        <f t="shared" si="122"/>
        <v>0.58988764044943809</v>
      </c>
      <c r="H162" s="44">
        <f t="shared" si="139"/>
        <v>27.618592548519779</v>
      </c>
      <c r="I162" s="42" t="str">
        <f t="shared" ref="I162:K162" si="156">I161</f>
        <v>Half</v>
      </c>
      <c r="J162" s="50">
        <f t="shared" si="156"/>
        <v>6</v>
      </c>
      <c r="K162" s="49">
        <f t="shared" si="156"/>
        <v>160</v>
      </c>
      <c r="L162" s="44">
        <f t="shared" si="123"/>
        <v>8</v>
      </c>
      <c r="M162" s="44">
        <f t="shared" si="133"/>
        <v>-8</v>
      </c>
      <c r="N162" s="45">
        <f t="shared" ref="N162" si="157">N161</f>
        <v>0.2</v>
      </c>
      <c r="O162" s="49">
        <f t="shared" ref="O162:O178" si="158">O156+30</f>
        <v>30</v>
      </c>
      <c r="P162" s="53">
        <f>P161+15</f>
        <v>15</v>
      </c>
      <c r="Q162" s="44">
        <f t="shared" ref="Q162:R162" si="159">Q161</f>
        <v>150</v>
      </c>
      <c r="R162" s="50">
        <f t="shared" si="159"/>
        <v>210</v>
      </c>
    </row>
    <row r="163" spans="1:18" x14ac:dyDescent="0.25">
      <c r="A163" s="41">
        <f t="shared" si="135"/>
        <v>1011</v>
      </c>
      <c r="B163" s="42">
        <f t="shared" si="135"/>
        <v>153</v>
      </c>
      <c r="C163" s="41" t="s">
        <v>2954</v>
      </c>
      <c r="D163" s="43">
        <f t="shared" si="138"/>
        <v>34.199999999999996</v>
      </c>
      <c r="E163" s="61">
        <f t="shared" si="120"/>
        <v>4.375</v>
      </c>
      <c r="F163" s="61">
        <f t="shared" si="121"/>
        <v>42</v>
      </c>
      <c r="G163" s="64">
        <f t="shared" si="122"/>
        <v>0.58988764044943809</v>
      </c>
      <c r="H163" s="44">
        <f t="shared" si="139"/>
        <v>27.618592548519779</v>
      </c>
      <c r="I163" s="42" t="str">
        <f t="shared" ref="I163:K163" si="160">I162</f>
        <v>Half</v>
      </c>
      <c r="J163" s="50">
        <f t="shared" si="160"/>
        <v>6</v>
      </c>
      <c r="K163" s="49">
        <f t="shared" si="160"/>
        <v>160</v>
      </c>
      <c r="L163" s="44">
        <f t="shared" si="123"/>
        <v>8</v>
      </c>
      <c r="M163" s="44">
        <f t="shared" si="133"/>
        <v>-8</v>
      </c>
      <c r="N163" s="45">
        <f t="shared" ref="N163" si="161">N162</f>
        <v>0.2</v>
      </c>
      <c r="O163" s="49">
        <f t="shared" si="158"/>
        <v>30</v>
      </c>
      <c r="P163" s="53">
        <f t="shared" ref="P163:P166" si="162">P162+15</f>
        <v>30</v>
      </c>
      <c r="Q163" s="44">
        <f t="shared" ref="Q163:R163" si="163">Q162</f>
        <v>150</v>
      </c>
      <c r="R163" s="50">
        <f t="shared" si="163"/>
        <v>210</v>
      </c>
    </row>
    <row r="164" spans="1:18" x14ac:dyDescent="0.25">
      <c r="A164" s="41">
        <f t="shared" si="135"/>
        <v>1012</v>
      </c>
      <c r="B164" s="42">
        <f t="shared" si="135"/>
        <v>154</v>
      </c>
      <c r="C164" s="41" t="s">
        <v>2955</v>
      </c>
      <c r="D164" s="43">
        <f t="shared" si="138"/>
        <v>34.199999999999996</v>
      </c>
      <c r="E164" s="61">
        <f t="shared" si="120"/>
        <v>4.375</v>
      </c>
      <c r="F164" s="61">
        <f t="shared" si="121"/>
        <v>42</v>
      </c>
      <c r="G164" s="64">
        <f t="shared" si="122"/>
        <v>0.58988764044943809</v>
      </c>
      <c r="H164" s="44">
        <f t="shared" si="139"/>
        <v>27.618592548519779</v>
      </c>
      <c r="I164" s="42" t="str">
        <f>I163</f>
        <v>Half</v>
      </c>
      <c r="J164" s="50">
        <f t="shared" ref="J164:K164" si="164">J163</f>
        <v>6</v>
      </c>
      <c r="K164" s="49">
        <f t="shared" si="164"/>
        <v>160</v>
      </c>
      <c r="L164" s="44">
        <f t="shared" si="123"/>
        <v>8</v>
      </c>
      <c r="M164" s="44">
        <f t="shared" si="133"/>
        <v>-8</v>
      </c>
      <c r="N164" s="45">
        <f t="shared" ref="N164" si="165">N163</f>
        <v>0.2</v>
      </c>
      <c r="O164" s="49">
        <f t="shared" si="158"/>
        <v>30</v>
      </c>
      <c r="P164" s="53">
        <f t="shared" si="162"/>
        <v>45</v>
      </c>
      <c r="Q164" s="44">
        <f t="shared" ref="Q164:R164" si="166">Q163</f>
        <v>150</v>
      </c>
      <c r="R164" s="50">
        <f t="shared" si="166"/>
        <v>210</v>
      </c>
    </row>
    <row r="165" spans="1:18" x14ac:dyDescent="0.25">
      <c r="A165" s="41">
        <f t="shared" si="135"/>
        <v>1013</v>
      </c>
      <c r="B165" s="42">
        <f t="shared" si="135"/>
        <v>155</v>
      </c>
      <c r="C165" s="41" t="s">
        <v>2956</v>
      </c>
      <c r="D165" s="43">
        <f t="shared" si="138"/>
        <v>34.199999999999996</v>
      </c>
      <c r="E165" s="61">
        <f t="shared" si="120"/>
        <v>4.375</v>
      </c>
      <c r="F165" s="61">
        <f t="shared" si="121"/>
        <v>42</v>
      </c>
      <c r="G165" s="64">
        <f t="shared" si="122"/>
        <v>0.58988764044943809</v>
      </c>
      <c r="H165" s="44">
        <f t="shared" si="139"/>
        <v>27.618592548519779</v>
      </c>
      <c r="I165" s="42" t="str">
        <f>I164</f>
        <v>Half</v>
      </c>
      <c r="J165" s="50">
        <f t="shared" ref="J165:K165" si="167">J164</f>
        <v>6</v>
      </c>
      <c r="K165" s="49">
        <f t="shared" si="167"/>
        <v>160</v>
      </c>
      <c r="L165" s="44">
        <f t="shared" si="123"/>
        <v>8</v>
      </c>
      <c r="M165" s="44">
        <f t="shared" si="133"/>
        <v>-8</v>
      </c>
      <c r="N165" s="45">
        <f t="shared" ref="N165" si="168">N164</f>
        <v>0.2</v>
      </c>
      <c r="O165" s="49">
        <f t="shared" si="158"/>
        <v>30</v>
      </c>
      <c r="P165" s="53">
        <f t="shared" si="162"/>
        <v>60</v>
      </c>
      <c r="Q165" s="44">
        <f t="shared" ref="Q165:R165" si="169">Q164</f>
        <v>150</v>
      </c>
      <c r="R165" s="50">
        <f t="shared" si="169"/>
        <v>210</v>
      </c>
    </row>
    <row r="166" spans="1:18" x14ac:dyDescent="0.25">
      <c r="A166" s="41">
        <f t="shared" si="135"/>
        <v>1014</v>
      </c>
      <c r="B166" s="42">
        <f t="shared" si="135"/>
        <v>156</v>
      </c>
      <c r="C166" s="41" t="s">
        <v>2957</v>
      </c>
      <c r="D166" s="43">
        <f t="shared" si="138"/>
        <v>34.199999999999996</v>
      </c>
      <c r="E166" s="61">
        <f t="shared" si="120"/>
        <v>4.375</v>
      </c>
      <c r="F166" s="61">
        <f t="shared" si="121"/>
        <v>42</v>
      </c>
      <c r="G166" s="64">
        <f t="shared" si="122"/>
        <v>0.58988764044943809</v>
      </c>
      <c r="H166" s="44">
        <f t="shared" si="139"/>
        <v>27.618592548519779</v>
      </c>
      <c r="I166" s="42" t="str">
        <f>I165</f>
        <v>Half</v>
      </c>
      <c r="J166" s="50">
        <f t="shared" ref="J166:K166" si="170">J165</f>
        <v>6</v>
      </c>
      <c r="K166" s="49">
        <f t="shared" si="170"/>
        <v>160</v>
      </c>
      <c r="L166" s="44">
        <f t="shared" si="123"/>
        <v>8</v>
      </c>
      <c r="M166" s="44">
        <f t="shared" si="133"/>
        <v>-8</v>
      </c>
      <c r="N166" s="45">
        <f t="shared" ref="N166" si="171">N165</f>
        <v>0.2</v>
      </c>
      <c r="O166" s="49">
        <f t="shared" si="158"/>
        <v>30</v>
      </c>
      <c r="P166" s="135">
        <f t="shared" si="162"/>
        <v>75</v>
      </c>
      <c r="Q166" s="44">
        <f t="shared" ref="Q166:R166" si="172">Q165</f>
        <v>150</v>
      </c>
      <c r="R166" s="50">
        <f t="shared" si="172"/>
        <v>210</v>
      </c>
    </row>
    <row r="167" spans="1:18" x14ac:dyDescent="0.25">
      <c r="A167" s="41">
        <f t="shared" si="135"/>
        <v>1015</v>
      </c>
      <c r="B167" s="42">
        <f t="shared" si="135"/>
        <v>157</v>
      </c>
      <c r="C167" s="41" t="s">
        <v>2958</v>
      </c>
      <c r="D167" s="43">
        <f t="shared" si="138"/>
        <v>34.199999999999996</v>
      </c>
      <c r="E167" s="61">
        <f t="shared" si="120"/>
        <v>4.375</v>
      </c>
      <c r="F167" s="61">
        <f t="shared" si="121"/>
        <v>42</v>
      </c>
      <c r="G167" s="64">
        <f t="shared" si="122"/>
        <v>0.58988764044943809</v>
      </c>
      <c r="H167" s="44">
        <f t="shared" si="139"/>
        <v>27.618592548519779</v>
      </c>
      <c r="I167" s="42" t="str">
        <f t="shared" ref="I167:K167" si="173">I166</f>
        <v>Half</v>
      </c>
      <c r="J167" s="50">
        <f t="shared" si="173"/>
        <v>6</v>
      </c>
      <c r="K167" s="49">
        <f t="shared" si="173"/>
        <v>160</v>
      </c>
      <c r="L167" s="44">
        <f t="shared" si="123"/>
        <v>8</v>
      </c>
      <c r="M167" s="44">
        <f t="shared" si="133"/>
        <v>-8</v>
      </c>
      <c r="N167" s="45">
        <f t="shared" ref="N167" si="174">N166</f>
        <v>0.2</v>
      </c>
      <c r="O167" s="49">
        <f t="shared" si="158"/>
        <v>60</v>
      </c>
      <c r="P167" s="136">
        <v>0</v>
      </c>
      <c r="Q167" s="44">
        <f t="shared" ref="Q167:R167" si="175">Q166</f>
        <v>150</v>
      </c>
      <c r="R167" s="50">
        <f t="shared" si="175"/>
        <v>210</v>
      </c>
    </row>
    <row r="168" spans="1:18" x14ac:dyDescent="0.25">
      <c r="A168" s="41">
        <f t="shared" si="135"/>
        <v>1016</v>
      </c>
      <c r="B168" s="42">
        <f t="shared" si="135"/>
        <v>158</v>
      </c>
      <c r="C168" s="41" t="s">
        <v>2959</v>
      </c>
      <c r="D168" s="43">
        <f t="shared" si="138"/>
        <v>34.199999999999996</v>
      </c>
      <c r="E168" s="61">
        <f t="shared" si="120"/>
        <v>4.375</v>
      </c>
      <c r="F168" s="61">
        <f t="shared" si="121"/>
        <v>42</v>
      </c>
      <c r="G168" s="64">
        <f t="shared" si="122"/>
        <v>0.58988764044943809</v>
      </c>
      <c r="H168" s="44">
        <f t="shared" si="139"/>
        <v>27.618592548519779</v>
      </c>
      <c r="I168" s="42" t="str">
        <f t="shared" ref="I168:K168" si="176">I167</f>
        <v>Half</v>
      </c>
      <c r="J168" s="50">
        <f t="shared" si="176"/>
        <v>6</v>
      </c>
      <c r="K168" s="49">
        <f t="shared" si="176"/>
        <v>160</v>
      </c>
      <c r="L168" s="44">
        <f t="shared" si="123"/>
        <v>8</v>
      </c>
      <c r="M168" s="44">
        <f t="shared" si="133"/>
        <v>-8</v>
      </c>
      <c r="N168" s="45">
        <f t="shared" ref="N168" si="177">N167</f>
        <v>0.2</v>
      </c>
      <c r="O168" s="49">
        <f t="shared" si="158"/>
        <v>60</v>
      </c>
      <c r="P168" s="53">
        <f>P167+15</f>
        <v>15</v>
      </c>
      <c r="Q168" s="44">
        <f t="shared" ref="Q168:R168" si="178">Q167</f>
        <v>150</v>
      </c>
      <c r="R168" s="50">
        <f t="shared" si="178"/>
        <v>210</v>
      </c>
    </row>
    <row r="169" spans="1:18" x14ac:dyDescent="0.25">
      <c r="A169" s="41">
        <f t="shared" si="135"/>
        <v>1017</v>
      </c>
      <c r="B169" s="42">
        <f t="shared" si="135"/>
        <v>159</v>
      </c>
      <c r="C169" s="41" t="s">
        <v>2960</v>
      </c>
      <c r="D169" s="43">
        <f t="shared" si="138"/>
        <v>34.199999999999996</v>
      </c>
      <c r="E169" s="61">
        <f t="shared" si="120"/>
        <v>4.375</v>
      </c>
      <c r="F169" s="61">
        <f t="shared" si="121"/>
        <v>42</v>
      </c>
      <c r="G169" s="64">
        <f t="shared" si="122"/>
        <v>0.58988764044943809</v>
      </c>
      <c r="H169" s="44">
        <f t="shared" si="139"/>
        <v>27.618592548519779</v>
      </c>
      <c r="I169" s="42" t="str">
        <f t="shared" ref="I169:K169" si="179">I168</f>
        <v>Half</v>
      </c>
      <c r="J169" s="50">
        <f t="shared" si="179"/>
        <v>6</v>
      </c>
      <c r="K169" s="49">
        <f t="shared" si="179"/>
        <v>160</v>
      </c>
      <c r="L169" s="44">
        <f t="shared" si="123"/>
        <v>8</v>
      </c>
      <c r="M169" s="44">
        <f t="shared" si="133"/>
        <v>-8</v>
      </c>
      <c r="N169" s="45">
        <f t="shared" ref="N169" si="180">N168</f>
        <v>0.2</v>
      </c>
      <c r="O169" s="49">
        <f t="shared" si="158"/>
        <v>60</v>
      </c>
      <c r="P169" s="53">
        <f t="shared" ref="P169:P172" si="181">P168+15</f>
        <v>30</v>
      </c>
      <c r="Q169" s="44">
        <f t="shared" ref="Q169:R169" si="182">Q168</f>
        <v>150</v>
      </c>
      <c r="R169" s="50">
        <f t="shared" si="182"/>
        <v>210</v>
      </c>
    </row>
    <row r="170" spans="1:18" x14ac:dyDescent="0.25">
      <c r="A170" s="41">
        <f t="shared" si="135"/>
        <v>1018</v>
      </c>
      <c r="B170" s="42">
        <f t="shared" si="135"/>
        <v>160</v>
      </c>
      <c r="C170" s="41" t="s">
        <v>2961</v>
      </c>
      <c r="D170" s="43">
        <f t="shared" si="138"/>
        <v>34.199999999999996</v>
      </c>
      <c r="E170" s="61">
        <f t="shared" si="120"/>
        <v>4.375</v>
      </c>
      <c r="F170" s="61">
        <f t="shared" si="121"/>
        <v>42</v>
      </c>
      <c r="G170" s="64">
        <f t="shared" si="122"/>
        <v>0.58988764044943809</v>
      </c>
      <c r="H170" s="44">
        <f t="shared" si="139"/>
        <v>27.618592548519779</v>
      </c>
      <c r="I170" s="42" t="str">
        <f t="shared" ref="I170:K170" si="183">I169</f>
        <v>Half</v>
      </c>
      <c r="J170" s="50">
        <f t="shared" si="183"/>
        <v>6</v>
      </c>
      <c r="K170" s="49">
        <f t="shared" si="183"/>
        <v>160</v>
      </c>
      <c r="L170" s="44">
        <f t="shared" si="123"/>
        <v>8</v>
      </c>
      <c r="M170" s="44">
        <f t="shared" si="133"/>
        <v>-8</v>
      </c>
      <c r="N170" s="45">
        <f t="shared" ref="N170" si="184">N169</f>
        <v>0.2</v>
      </c>
      <c r="O170" s="49">
        <f t="shared" si="158"/>
        <v>60</v>
      </c>
      <c r="P170" s="53">
        <f t="shared" si="181"/>
        <v>45</v>
      </c>
      <c r="Q170" s="44">
        <f t="shared" ref="Q170:R170" si="185">Q169</f>
        <v>150</v>
      </c>
      <c r="R170" s="50">
        <f t="shared" si="185"/>
        <v>210</v>
      </c>
    </row>
    <row r="171" spans="1:18" x14ac:dyDescent="0.25">
      <c r="A171" s="41">
        <f t="shared" si="135"/>
        <v>1019</v>
      </c>
      <c r="B171" s="42">
        <f t="shared" si="135"/>
        <v>161</v>
      </c>
      <c r="C171" s="41" t="s">
        <v>2962</v>
      </c>
      <c r="D171" s="43">
        <f t="shared" si="138"/>
        <v>34.199999999999996</v>
      </c>
      <c r="E171" s="61">
        <f t="shared" si="120"/>
        <v>4.375</v>
      </c>
      <c r="F171" s="61">
        <f t="shared" si="121"/>
        <v>42</v>
      </c>
      <c r="G171" s="64">
        <f t="shared" si="122"/>
        <v>0.58988764044943809</v>
      </c>
      <c r="H171" s="44">
        <f t="shared" si="139"/>
        <v>27.618592548519779</v>
      </c>
      <c r="I171" s="42" t="s">
        <v>12</v>
      </c>
      <c r="J171" s="50">
        <f t="shared" ref="J171:K171" si="186">J170</f>
        <v>6</v>
      </c>
      <c r="K171" s="49">
        <f t="shared" si="186"/>
        <v>160</v>
      </c>
      <c r="L171" s="44">
        <f t="shared" si="123"/>
        <v>8</v>
      </c>
      <c r="M171" s="44">
        <f t="shared" si="133"/>
        <v>-8</v>
      </c>
      <c r="N171" s="45">
        <f t="shared" ref="N171" si="187">N170</f>
        <v>0.2</v>
      </c>
      <c r="O171" s="49">
        <f t="shared" si="158"/>
        <v>60</v>
      </c>
      <c r="P171" s="53">
        <f t="shared" si="181"/>
        <v>60</v>
      </c>
      <c r="Q171" s="44">
        <f t="shared" ref="Q171:R171" si="188">Q170</f>
        <v>150</v>
      </c>
      <c r="R171" s="50">
        <f t="shared" si="188"/>
        <v>210</v>
      </c>
    </row>
    <row r="172" spans="1:18" x14ac:dyDescent="0.25">
      <c r="A172" s="41">
        <f t="shared" ref="A172:B187" si="189">A171+1</f>
        <v>1020</v>
      </c>
      <c r="B172" s="42">
        <f t="shared" si="189"/>
        <v>162</v>
      </c>
      <c r="C172" s="41" t="s">
        <v>2963</v>
      </c>
      <c r="D172" s="43">
        <f t="shared" si="138"/>
        <v>34.199999999999996</v>
      </c>
      <c r="E172" s="61">
        <f t="shared" si="120"/>
        <v>4.375</v>
      </c>
      <c r="F172" s="61">
        <f t="shared" si="121"/>
        <v>42</v>
      </c>
      <c r="G172" s="64">
        <f t="shared" si="122"/>
        <v>0.58988764044943809</v>
      </c>
      <c r="H172" s="44">
        <f t="shared" si="139"/>
        <v>27.618592548519779</v>
      </c>
      <c r="I172" s="42" t="str">
        <f>I171</f>
        <v>Half</v>
      </c>
      <c r="J172" s="50">
        <f t="shared" ref="J172:K172" si="190">J171</f>
        <v>6</v>
      </c>
      <c r="K172" s="49">
        <f t="shared" si="190"/>
        <v>160</v>
      </c>
      <c r="L172" s="44">
        <f t="shared" si="123"/>
        <v>8</v>
      </c>
      <c r="M172" s="44">
        <f t="shared" si="133"/>
        <v>-8</v>
      </c>
      <c r="N172" s="45">
        <f t="shared" ref="N172" si="191">N171</f>
        <v>0.2</v>
      </c>
      <c r="O172" s="49">
        <f t="shared" si="158"/>
        <v>60</v>
      </c>
      <c r="P172" s="135">
        <f t="shared" si="181"/>
        <v>75</v>
      </c>
      <c r="Q172" s="44">
        <f t="shared" ref="Q172:R172" si="192">Q171</f>
        <v>150</v>
      </c>
      <c r="R172" s="50">
        <f t="shared" si="192"/>
        <v>210</v>
      </c>
    </row>
    <row r="173" spans="1:18" x14ac:dyDescent="0.25">
      <c r="A173" s="41">
        <f t="shared" si="189"/>
        <v>1021</v>
      </c>
      <c r="B173" s="42">
        <f t="shared" si="189"/>
        <v>163</v>
      </c>
      <c r="C173" s="41" t="s">
        <v>2964</v>
      </c>
      <c r="D173" s="43">
        <f t="shared" si="138"/>
        <v>34.199999999999996</v>
      </c>
      <c r="E173" s="61">
        <f t="shared" si="120"/>
        <v>4.375</v>
      </c>
      <c r="F173" s="61">
        <f t="shared" si="121"/>
        <v>42</v>
      </c>
      <c r="G173" s="64">
        <f t="shared" si="122"/>
        <v>0.58988764044943809</v>
      </c>
      <c r="H173" s="44">
        <f t="shared" si="139"/>
        <v>27.618592548519779</v>
      </c>
      <c r="I173" s="42" t="str">
        <f t="shared" ref="I173:K173" si="193">I172</f>
        <v>Half</v>
      </c>
      <c r="J173" s="50">
        <f t="shared" si="193"/>
        <v>6</v>
      </c>
      <c r="K173" s="49">
        <f t="shared" si="193"/>
        <v>160</v>
      </c>
      <c r="L173" s="44">
        <f t="shared" si="123"/>
        <v>8</v>
      </c>
      <c r="M173" s="44">
        <f t="shared" si="133"/>
        <v>-8</v>
      </c>
      <c r="N173" s="45">
        <f t="shared" ref="N173" si="194">N172</f>
        <v>0.2</v>
      </c>
      <c r="O173" s="49">
        <f t="shared" si="158"/>
        <v>90</v>
      </c>
      <c r="P173" s="136">
        <v>0</v>
      </c>
      <c r="Q173" s="44">
        <f t="shared" ref="Q173:R173" si="195">Q172</f>
        <v>150</v>
      </c>
      <c r="R173" s="50">
        <f t="shared" si="195"/>
        <v>210</v>
      </c>
    </row>
    <row r="174" spans="1:18" x14ac:dyDescent="0.25">
      <c r="A174" s="41">
        <f t="shared" si="189"/>
        <v>1022</v>
      </c>
      <c r="B174" s="42">
        <f t="shared" si="189"/>
        <v>164</v>
      </c>
      <c r="C174" s="41" t="s">
        <v>2965</v>
      </c>
      <c r="D174" s="43">
        <f t="shared" si="138"/>
        <v>34.199999999999996</v>
      </c>
      <c r="E174" s="61">
        <f t="shared" si="120"/>
        <v>4.375</v>
      </c>
      <c r="F174" s="61">
        <f t="shared" si="121"/>
        <v>42</v>
      </c>
      <c r="G174" s="64">
        <f t="shared" si="122"/>
        <v>0.58988764044943809</v>
      </c>
      <c r="H174" s="44">
        <f t="shared" si="139"/>
        <v>27.618592548519779</v>
      </c>
      <c r="I174" s="42" t="str">
        <f t="shared" ref="I174:K174" si="196">I173</f>
        <v>Half</v>
      </c>
      <c r="J174" s="50">
        <f t="shared" si="196"/>
        <v>6</v>
      </c>
      <c r="K174" s="49">
        <f t="shared" si="196"/>
        <v>160</v>
      </c>
      <c r="L174" s="44">
        <f t="shared" si="123"/>
        <v>8</v>
      </c>
      <c r="M174" s="44">
        <f t="shared" si="133"/>
        <v>-8</v>
      </c>
      <c r="N174" s="45">
        <f t="shared" ref="N174" si="197">N173</f>
        <v>0.2</v>
      </c>
      <c r="O174" s="49">
        <f t="shared" si="158"/>
        <v>90</v>
      </c>
      <c r="P174" s="53">
        <f>P173+15</f>
        <v>15</v>
      </c>
      <c r="Q174" s="44">
        <f t="shared" ref="Q174:R174" si="198">Q173</f>
        <v>150</v>
      </c>
      <c r="R174" s="50">
        <f t="shared" si="198"/>
        <v>210</v>
      </c>
    </row>
    <row r="175" spans="1:18" x14ac:dyDescent="0.25">
      <c r="A175" s="41">
        <f t="shared" si="189"/>
        <v>1023</v>
      </c>
      <c r="B175" s="42">
        <f t="shared" si="189"/>
        <v>165</v>
      </c>
      <c r="C175" s="41" t="s">
        <v>2966</v>
      </c>
      <c r="D175" s="43">
        <f t="shared" si="138"/>
        <v>34.199999999999996</v>
      </c>
      <c r="E175" s="61">
        <f t="shared" si="120"/>
        <v>4.375</v>
      </c>
      <c r="F175" s="61">
        <f t="shared" si="121"/>
        <v>42</v>
      </c>
      <c r="G175" s="64">
        <f t="shared" si="122"/>
        <v>0.58988764044943809</v>
      </c>
      <c r="H175" s="44">
        <f t="shared" si="139"/>
        <v>27.618592548519779</v>
      </c>
      <c r="I175" s="42" t="str">
        <f t="shared" ref="I175:K175" si="199">I174</f>
        <v>Half</v>
      </c>
      <c r="J175" s="50">
        <f t="shared" si="199"/>
        <v>6</v>
      </c>
      <c r="K175" s="49">
        <f t="shared" si="199"/>
        <v>160</v>
      </c>
      <c r="L175" s="44">
        <f t="shared" si="123"/>
        <v>8</v>
      </c>
      <c r="M175" s="44">
        <f t="shared" si="133"/>
        <v>-8</v>
      </c>
      <c r="N175" s="45">
        <f t="shared" ref="N175" si="200">N174</f>
        <v>0.2</v>
      </c>
      <c r="O175" s="49">
        <f>O169+30</f>
        <v>90</v>
      </c>
      <c r="P175" s="53">
        <f t="shared" ref="P175:P178" si="201">P174+15</f>
        <v>30</v>
      </c>
      <c r="Q175" s="44">
        <f t="shared" ref="Q175:R175" si="202">Q174</f>
        <v>150</v>
      </c>
      <c r="R175" s="50">
        <f t="shared" si="202"/>
        <v>210</v>
      </c>
    </row>
    <row r="176" spans="1:18" x14ac:dyDescent="0.25">
      <c r="A176" s="41">
        <f t="shared" si="189"/>
        <v>1024</v>
      </c>
      <c r="B176" s="42">
        <f t="shared" si="189"/>
        <v>166</v>
      </c>
      <c r="C176" s="41" t="s">
        <v>2967</v>
      </c>
      <c r="D176" s="43">
        <f t="shared" si="138"/>
        <v>34.199999999999996</v>
      </c>
      <c r="E176" s="61">
        <f t="shared" si="120"/>
        <v>4.375</v>
      </c>
      <c r="F176" s="61">
        <f t="shared" si="121"/>
        <v>42</v>
      </c>
      <c r="G176" s="64">
        <f t="shared" si="122"/>
        <v>0.58988764044943809</v>
      </c>
      <c r="H176" s="44">
        <f t="shared" si="139"/>
        <v>27.618592548519779</v>
      </c>
      <c r="I176" s="42" t="str">
        <f t="shared" ref="I176:K176" si="203">I175</f>
        <v>Half</v>
      </c>
      <c r="J176" s="50">
        <f t="shared" si="203"/>
        <v>6</v>
      </c>
      <c r="K176" s="49">
        <f t="shared" si="203"/>
        <v>160</v>
      </c>
      <c r="L176" s="44">
        <f t="shared" si="123"/>
        <v>8</v>
      </c>
      <c r="M176" s="44">
        <f t="shared" si="133"/>
        <v>-8</v>
      </c>
      <c r="N176" s="45">
        <f t="shared" ref="N176" si="204">N175</f>
        <v>0.2</v>
      </c>
      <c r="O176" s="49">
        <f t="shared" si="158"/>
        <v>90</v>
      </c>
      <c r="P176" s="53">
        <f t="shared" si="201"/>
        <v>45</v>
      </c>
      <c r="Q176" s="44">
        <f t="shared" ref="Q176:R176" si="205">Q175</f>
        <v>150</v>
      </c>
      <c r="R176" s="50">
        <f t="shared" si="205"/>
        <v>210</v>
      </c>
    </row>
    <row r="177" spans="1:18" x14ac:dyDescent="0.25">
      <c r="A177" s="41">
        <f t="shared" si="189"/>
        <v>1025</v>
      </c>
      <c r="B177" s="42">
        <f t="shared" si="189"/>
        <v>167</v>
      </c>
      <c r="C177" s="41" t="s">
        <v>2968</v>
      </c>
      <c r="D177" s="43">
        <f t="shared" si="138"/>
        <v>34.199999999999996</v>
      </c>
      <c r="E177" s="61">
        <f t="shared" si="120"/>
        <v>4.375</v>
      </c>
      <c r="F177" s="61">
        <f t="shared" si="121"/>
        <v>42</v>
      </c>
      <c r="G177" s="64">
        <f t="shared" si="122"/>
        <v>0.58988764044943809</v>
      </c>
      <c r="H177" s="44">
        <f t="shared" si="139"/>
        <v>27.618592548519779</v>
      </c>
      <c r="I177" s="42" t="str">
        <f t="shared" ref="I177:K177" si="206">I176</f>
        <v>Half</v>
      </c>
      <c r="J177" s="50">
        <f t="shared" si="206"/>
        <v>6</v>
      </c>
      <c r="K177" s="49">
        <f t="shared" si="206"/>
        <v>160</v>
      </c>
      <c r="L177" s="44">
        <f t="shared" si="123"/>
        <v>8</v>
      </c>
      <c r="M177" s="44">
        <f t="shared" si="133"/>
        <v>-8</v>
      </c>
      <c r="N177" s="45">
        <f t="shared" ref="N177" si="207">N176</f>
        <v>0.2</v>
      </c>
      <c r="O177" s="49">
        <f t="shared" si="158"/>
        <v>90</v>
      </c>
      <c r="P177" s="53">
        <f t="shared" si="201"/>
        <v>60</v>
      </c>
      <c r="Q177" s="44">
        <f t="shared" ref="Q177:R177" si="208">Q176</f>
        <v>150</v>
      </c>
      <c r="R177" s="50">
        <f t="shared" si="208"/>
        <v>210</v>
      </c>
    </row>
    <row r="178" spans="1:18" x14ac:dyDescent="0.25">
      <c r="A178" s="41">
        <f t="shared" si="189"/>
        <v>1026</v>
      </c>
      <c r="B178" s="42">
        <f t="shared" si="189"/>
        <v>168</v>
      </c>
      <c r="C178" s="127" t="s">
        <v>2969</v>
      </c>
      <c r="D178" s="43">
        <f t="shared" si="138"/>
        <v>34.199999999999996</v>
      </c>
      <c r="E178" s="61">
        <f t="shared" si="120"/>
        <v>4.375</v>
      </c>
      <c r="F178" s="61">
        <f t="shared" si="121"/>
        <v>42</v>
      </c>
      <c r="G178" s="64">
        <f t="shared" si="122"/>
        <v>0.58988764044943809</v>
      </c>
      <c r="H178" s="44">
        <f t="shared" si="139"/>
        <v>27.618592548519779</v>
      </c>
      <c r="I178" s="42" t="str">
        <f t="shared" ref="I178:K178" si="209">I177</f>
        <v>Half</v>
      </c>
      <c r="J178" s="50">
        <f t="shared" si="209"/>
        <v>6</v>
      </c>
      <c r="K178" s="49">
        <f t="shared" si="209"/>
        <v>160</v>
      </c>
      <c r="L178" s="44">
        <f t="shared" si="123"/>
        <v>8</v>
      </c>
      <c r="M178" s="44">
        <f t="shared" si="133"/>
        <v>-8</v>
      </c>
      <c r="N178" s="45">
        <f t="shared" ref="N178" si="210">N177</f>
        <v>0.2</v>
      </c>
      <c r="O178" s="49">
        <f t="shared" si="158"/>
        <v>90</v>
      </c>
      <c r="P178" s="53">
        <f t="shared" si="201"/>
        <v>75</v>
      </c>
      <c r="Q178" s="44">
        <f t="shared" ref="Q178:R178" si="211">Q177</f>
        <v>150</v>
      </c>
      <c r="R178" s="50">
        <f t="shared" si="211"/>
        <v>210</v>
      </c>
    </row>
    <row r="179" spans="1:18" x14ac:dyDescent="0.25">
      <c r="A179" s="41">
        <f t="shared" si="189"/>
        <v>1027</v>
      </c>
      <c r="B179" s="42">
        <f t="shared" si="189"/>
        <v>169</v>
      </c>
      <c r="C179" s="41" t="s">
        <v>2970</v>
      </c>
      <c r="D179" s="43">
        <f t="shared" si="138"/>
        <v>34.199999999999996</v>
      </c>
      <c r="E179" s="61">
        <f t="shared" si="120"/>
        <v>4.375</v>
      </c>
      <c r="F179" s="61">
        <f t="shared" si="121"/>
        <v>42</v>
      </c>
      <c r="G179" s="64">
        <f t="shared" si="122"/>
        <v>0.58988764044943809</v>
      </c>
      <c r="H179" s="44">
        <f t="shared" si="139"/>
        <v>27.618592548519779</v>
      </c>
      <c r="I179" s="42" t="str">
        <f t="shared" ref="I179:K179" si="212">I178</f>
        <v>Half</v>
      </c>
      <c r="J179" s="50">
        <f t="shared" si="212"/>
        <v>6</v>
      </c>
      <c r="K179" s="49">
        <f t="shared" si="212"/>
        <v>160</v>
      </c>
      <c r="L179" s="44">
        <f t="shared" si="123"/>
        <v>8</v>
      </c>
      <c r="M179" s="44">
        <f t="shared" ref="M179:M202" si="213">yaw_null</f>
        <v>0</v>
      </c>
      <c r="N179" s="45">
        <f t="shared" ref="N179" si="214">N178</f>
        <v>0.2</v>
      </c>
      <c r="O179" s="49">
        <v>0</v>
      </c>
      <c r="P179" s="136">
        <v>0</v>
      </c>
      <c r="Q179" s="44">
        <f t="shared" ref="Q179:R179" si="215">Q178</f>
        <v>150</v>
      </c>
      <c r="R179" s="50">
        <f t="shared" si="215"/>
        <v>210</v>
      </c>
    </row>
    <row r="180" spans="1:18" x14ac:dyDescent="0.25">
      <c r="A180" s="41">
        <f t="shared" si="189"/>
        <v>1028</v>
      </c>
      <c r="B180" s="42">
        <f t="shared" si="189"/>
        <v>170</v>
      </c>
      <c r="C180" s="41" t="s">
        <v>2971</v>
      </c>
      <c r="D180" s="43">
        <f t="shared" si="138"/>
        <v>34.199999999999996</v>
      </c>
      <c r="E180" s="61">
        <f t="shared" si="120"/>
        <v>4.375</v>
      </c>
      <c r="F180" s="61">
        <f t="shared" si="121"/>
        <v>42</v>
      </c>
      <c r="G180" s="64">
        <f t="shared" si="122"/>
        <v>0.58988764044943809</v>
      </c>
      <c r="H180" s="44">
        <f t="shared" si="139"/>
        <v>27.618592548519779</v>
      </c>
      <c r="I180" s="42" t="str">
        <f t="shared" ref="I180:K180" si="216">I179</f>
        <v>Half</v>
      </c>
      <c r="J180" s="50">
        <f t="shared" si="216"/>
        <v>6</v>
      </c>
      <c r="K180" s="49">
        <f t="shared" si="216"/>
        <v>160</v>
      </c>
      <c r="L180" s="44">
        <f t="shared" si="123"/>
        <v>8</v>
      </c>
      <c r="M180" s="44">
        <f t="shared" si="213"/>
        <v>0</v>
      </c>
      <c r="N180" s="45">
        <f t="shared" ref="N180" si="217">N179</f>
        <v>0.2</v>
      </c>
      <c r="O180" s="49">
        <v>0</v>
      </c>
      <c r="P180" s="53">
        <f>P179+15</f>
        <v>15</v>
      </c>
      <c r="Q180" s="44">
        <f t="shared" ref="Q180:R180" si="218">Q179</f>
        <v>150</v>
      </c>
      <c r="R180" s="50">
        <f t="shared" si="218"/>
        <v>210</v>
      </c>
    </row>
    <row r="181" spans="1:18" x14ac:dyDescent="0.25">
      <c r="A181" s="41">
        <f t="shared" si="189"/>
        <v>1029</v>
      </c>
      <c r="B181" s="42">
        <f t="shared" si="189"/>
        <v>171</v>
      </c>
      <c r="C181" s="41" t="s">
        <v>2972</v>
      </c>
      <c r="D181" s="43">
        <f t="shared" si="138"/>
        <v>34.199999999999996</v>
      </c>
      <c r="E181" s="61">
        <f t="shared" si="120"/>
        <v>4.375</v>
      </c>
      <c r="F181" s="61">
        <f t="shared" si="121"/>
        <v>42</v>
      </c>
      <c r="G181" s="64">
        <f t="shared" si="122"/>
        <v>0.58988764044943809</v>
      </c>
      <c r="H181" s="44">
        <f t="shared" si="139"/>
        <v>27.618592548519779</v>
      </c>
      <c r="I181" s="42" t="str">
        <f t="shared" ref="I181:K181" si="219">I180</f>
        <v>Half</v>
      </c>
      <c r="J181" s="50">
        <f t="shared" si="219"/>
        <v>6</v>
      </c>
      <c r="K181" s="49">
        <f t="shared" si="219"/>
        <v>160</v>
      </c>
      <c r="L181" s="44">
        <f t="shared" si="123"/>
        <v>8</v>
      </c>
      <c r="M181" s="44">
        <f t="shared" si="213"/>
        <v>0</v>
      </c>
      <c r="N181" s="45">
        <f t="shared" ref="N181" si="220">N180</f>
        <v>0.2</v>
      </c>
      <c r="O181" s="49">
        <v>0</v>
      </c>
      <c r="P181" s="53">
        <f t="shared" ref="P181:P184" si="221">P180+15</f>
        <v>30</v>
      </c>
      <c r="Q181" s="44">
        <f t="shared" ref="Q181:R181" si="222">Q180</f>
        <v>150</v>
      </c>
      <c r="R181" s="50">
        <f t="shared" si="222"/>
        <v>210</v>
      </c>
    </row>
    <row r="182" spans="1:18" x14ac:dyDescent="0.25">
      <c r="A182" s="41">
        <f t="shared" si="189"/>
        <v>1030</v>
      </c>
      <c r="B182" s="42">
        <f t="shared" si="189"/>
        <v>172</v>
      </c>
      <c r="C182" s="41" t="s">
        <v>2973</v>
      </c>
      <c r="D182" s="43">
        <f t="shared" si="138"/>
        <v>34.199999999999996</v>
      </c>
      <c r="E182" s="61">
        <f t="shared" si="120"/>
        <v>4.375</v>
      </c>
      <c r="F182" s="61">
        <f t="shared" si="121"/>
        <v>42</v>
      </c>
      <c r="G182" s="64">
        <f t="shared" si="122"/>
        <v>0.58988764044943809</v>
      </c>
      <c r="H182" s="44">
        <f t="shared" si="139"/>
        <v>27.618592548519779</v>
      </c>
      <c r="I182" s="42" t="str">
        <f t="shared" ref="I182:K182" si="223">I181</f>
        <v>Half</v>
      </c>
      <c r="J182" s="50">
        <f t="shared" si="223"/>
        <v>6</v>
      </c>
      <c r="K182" s="49">
        <f t="shared" si="223"/>
        <v>160</v>
      </c>
      <c r="L182" s="44">
        <f t="shared" si="123"/>
        <v>8</v>
      </c>
      <c r="M182" s="44">
        <f t="shared" si="213"/>
        <v>0</v>
      </c>
      <c r="N182" s="45">
        <f t="shared" ref="N182" si="224">N181</f>
        <v>0.2</v>
      </c>
      <c r="O182" s="49">
        <v>0</v>
      </c>
      <c r="P182" s="53">
        <f t="shared" si="221"/>
        <v>45</v>
      </c>
      <c r="Q182" s="44">
        <f t="shared" ref="Q182:R182" si="225">Q181</f>
        <v>150</v>
      </c>
      <c r="R182" s="50">
        <f t="shared" si="225"/>
        <v>210</v>
      </c>
    </row>
    <row r="183" spans="1:18" x14ac:dyDescent="0.25">
      <c r="A183" s="41">
        <f t="shared" si="189"/>
        <v>1031</v>
      </c>
      <c r="B183" s="42">
        <f t="shared" si="189"/>
        <v>173</v>
      </c>
      <c r="C183" s="41" t="s">
        <v>2974</v>
      </c>
      <c r="D183" s="43">
        <f t="shared" si="138"/>
        <v>34.199999999999996</v>
      </c>
      <c r="E183" s="61">
        <f t="shared" si="120"/>
        <v>4.375</v>
      </c>
      <c r="F183" s="61">
        <f t="shared" si="121"/>
        <v>42</v>
      </c>
      <c r="G183" s="64">
        <f t="shared" si="122"/>
        <v>0.58988764044943809</v>
      </c>
      <c r="H183" s="44">
        <f t="shared" si="139"/>
        <v>27.618592548519779</v>
      </c>
      <c r="I183" s="42" t="str">
        <f t="shared" ref="I183:K183" si="226">I182</f>
        <v>Half</v>
      </c>
      <c r="J183" s="50">
        <f t="shared" si="226"/>
        <v>6</v>
      </c>
      <c r="K183" s="49">
        <f t="shared" si="226"/>
        <v>160</v>
      </c>
      <c r="L183" s="44">
        <f t="shared" si="123"/>
        <v>8</v>
      </c>
      <c r="M183" s="44">
        <f t="shared" si="213"/>
        <v>0</v>
      </c>
      <c r="N183" s="45">
        <f t="shared" ref="N183" si="227">N182</f>
        <v>0.2</v>
      </c>
      <c r="O183" s="49">
        <v>0</v>
      </c>
      <c r="P183" s="53">
        <f t="shared" si="221"/>
        <v>60</v>
      </c>
      <c r="Q183" s="44">
        <f t="shared" ref="Q183:R183" si="228">Q182</f>
        <v>150</v>
      </c>
      <c r="R183" s="50">
        <f t="shared" si="228"/>
        <v>210</v>
      </c>
    </row>
    <row r="184" spans="1:18" x14ac:dyDescent="0.25">
      <c r="A184" s="41">
        <f t="shared" si="189"/>
        <v>1032</v>
      </c>
      <c r="B184" s="42">
        <f t="shared" si="189"/>
        <v>174</v>
      </c>
      <c r="C184" s="41" t="s">
        <v>2975</v>
      </c>
      <c r="D184" s="43">
        <f t="shared" si="138"/>
        <v>34.199999999999996</v>
      </c>
      <c r="E184" s="61">
        <f t="shared" si="120"/>
        <v>4.375</v>
      </c>
      <c r="F184" s="61">
        <f t="shared" si="121"/>
        <v>42</v>
      </c>
      <c r="G184" s="64">
        <f t="shared" si="122"/>
        <v>0.58988764044943809</v>
      </c>
      <c r="H184" s="44">
        <f t="shared" si="139"/>
        <v>27.618592548519779</v>
      </c>
      <c r="I184" s="42" t="str">
        <f t="shared" ref="I184:K184" si="229">I183</f>
        <v>Half</v>
      </c>
      <c r="J184" s="50">
        <f t="shared" si="229"/>
        <v>6</v>
      </c>
      <c r="K184" s="49">
        <f t="shared" si="229"/>
        <v>160</v>
      </c>
      <c r="L184" s="44">
        <f t="shared" si="123"/>
        <v>8</v>
      </c>
      <c r="M184" s="44">
        <f t="shared" si="213"/>
        <v>0</v>
      </c>
      <c r="N184" s="45">
        <f t="shared" ref="N184" si="230">N183</f>
        <v>0.2</v>
      </c>
      <c r="O184" s="49">
        <v>0</v>
      </c>
      <c r="P184" s="135">
        <f t="shared" si="221"/>
        <v>75</v>
      </c>
      <c r="Q184" s="44">
        <f t="shared" ref="Q184:R184" si="231">Q183</f>
        <v>150</v>
      </c>
      <c r="R184" s="50">
        <f t="shared" si="231"/>
        <v>210</v>
      </c>
    </row>
    <row r="185" spans="1:18" x14ac:dyDescent="0.25">
      <c r="A185" s="41">
        <f t="shared" si="189"/>
        <v>1033</v>
      </c>
      <c r="B185" s="42">
        <f t="shared" si="189"/>
        <v>175</v>
      </c>
      <c r="C185" s="41" t="s">
        <v>2976</v>
      </c>
      <c r="D185" s="43">
        <f t="shared" si="138"/>
        <v>34.199999999999996</v>
      </c>
      <c r="E185" s="61">
        <f t="shared" si="120"/>
        <v>4.375</v>
      </c>
      <c r="F185" s="61">
        <f t="shared" si="121"/>
        <v>42</v>
      </c>
      <c r="G185" s="64">
        <f t="shared" si="122"/>
        <v>0.58988764044943809</v>
      </c>
      <c r="H185" s="44">
        <f t="shared" si="139"/>
        <v>27.618592548519779</v>
      </c>
      <c r="I185" s="42" t="str">
        <f t="shared" ref="I185:K185" si="232">I184</f>
        <v>Half</v>
      </c>
      <c r="J185" s="50">
        <f t="shared" si="232"/>
        <v>6</v>
      </c>
      <c r="K185" s="49">
        <f t="shared" si="232"/>
        <v>160</v>
      </c>
      <c r="L185" s="44">
        <f t="shared" si="123"/>
        <v>8</v>
      </c>
      <c r="M185" s="44">
        <f t="shared" si="213"/>
        <v>0</v>
      </c>
      <c r="N185" s="45">
        <f t="shared" ref="N185" si="233">N184</f>
        <v>0.2</v>
      </c>
      <c r="O185" s="49">
        <f>O179+30</f>
        <v>30</v>
      </c>
      <c r="P185" s="136">
        <v>0</v>
      </c>
      <c r="Q185" s="44">
        <f t="shared" ref="Q185:R185" si="234">Q184</f>
        <v>150</v>
      </c>
      <c r="R185" s="50">
        <f t="shared" si="234"/>
        <v>210</v>
      </c>
    </row>
    <row r="186" spans="1:18" x14ac:dyDescent="0.25">
      <c r="A186" s="41">
        <f t="shared" si="189"/>
        <v>1034</v>
      </c>
      <c r="B186" s="42">
        <f t="shared" si="189"/>
        <v>176</v>
      </c>
      <c r="C186" s="41" t="s">
        <v>2977</v>
      </c>
      <c r="D186" s="43">
        <f t="shared" si="138"/>
        <v>34.199999999999996</v>
      </c>
      <c r="E186" s="61">
        <f t="shared" si="120"/>
        <v>4.375</v>
      </c>
      <c r="F186" s="61">
        <f t="shared" si="121"/>
        <v>42</v>
      </c>
      <c r="G186" s="64">
        <f t="shared" si="122"/>
        <v>0.58988764044943809</v>
      </c>
      <c r="H186" s="44">
        <f t="shared" si="139"/>
        <v>27.618592548519779</v>
      </c>
      <c r="I186" s="42" t="str">
        <f t="shared" ref="I186:K186" si="235">I185</f>
        <v>Half</v>
      </c>
      <c r="J186" s="50">
        <f t="shared" si="235"/>
        <v>6</v>
      </c>
      <c r="K186" s="49">
        <f t="shared" si="235"/>
        <v>160</v>
      </c>
      <c r="L186" s="44">
        <f t="shared" si="123"/>
        <v>8</v>
      </c>
      <c r="M186" s="44">
        <f t="shared" si="213"/>
        <v>0</v>
      </c>
      <c r="N186" s="45">
        <f t="shared" ref="N186" si="236">N185</f>
        <v>0.2</v>
      </c>
      <c r="O186" s="49">
        <f t="shared" ref="O186:O202" si="237">O180+30</f>
        <v>30</v>
      </c>
      <c r="P186" s="53">
        <f>P185+15</f>
        <v>15</v>
      </c>
      <c r="Q186" s="44">
        <f t="shared" ref="Q186:R186" si="238">Q185</f>
        <v>150</v>
      </c>
      <c r="R186" s="50">
        <f t="shared" si="238"/>
        <v>210</v>
      </c>
    </row>
    <row r="187" spans="1:18" x14ac:dyDescent="0.25">
      <c r="A187" s="41">
        <f t="shared" si="189"/>
        <v>1035</v>
      </c>
      <c r="B187" s="42">
        <f t="shared" si="189"/>
        <v>177</v>
      </c>
      <c r="C187" s="41" t="s">
        <v>2978</v>
      </c>
      <c r="D187" s="43">
        <f t="shared" si="138"/>
        <v>34.199999999999996</v>
      </c>
      <c r="E187" s="61">
        <f t="shared" si="120"/>
        <v>4.375</v>
      </c>
      <c r="F187" s="61">
        <f t="shared" si="121"/>
        <v>42</v>
      </c>
      <c r="G187" s="64">
        <f t="shared" si="122"/>
        <v>0.58988764044943809</v>
      </c>
      <c r="H187" s="44">
        <f t="shared" si="139"/>
        <v>27.618592548519779</v>
      </c>
      <c r="I187" s="42" t="s">
        <v>12</v>
      </c>
      <c r="J187" s="50">
        <f t="shared" ref="J187:K187" si="239">J186</f>
        <v>6</v>
      </c>
      <c r="K187" s="49">
        <f t="shared" si="239"/>
        <v>160</v>
      </c>
      <c r="L187" s="44">
        <f t="shared" si="123"/>
        <v>8</v>
      </c>
      <c r="M187" s="44">
        <f t="shared" si="213"/>
        <v>0</v>
      </c>
      <c r="N187" s="45">
        <f t="shared" ref="N187" si="240">N186</f>
        <v>0.2</v>
      </c>
      <c r="O187" s="49">
        <f t="shared" si="237"/>
        <v>30</v>
      </c>
      <c r="P187" s="53">
        <f t="shared" ref="P187:P190" si="241">P186+15</f>
        <v>30</v>
      </c>
      <c r="Q187" s="44">
        <f t="shared" ref="Q187:R187" si="242">Q186</f>
        <v>150</v>
      </c>
      <c r="R187" s="50">
        <f t="shared" si="242"/>
        <v>210</v>
      </c>
    </row>
    <row r="188" spans="1:18" x14ac:dyDescent="0.25">
      <c r="A188" s="41">
        <f t="shared" ref="A188:B203" si="243">A187+1</f>
        <v>1036</v>
      </c>
      <c r="B188" s="42">
        <f t="shared" si="243"/>
        <v>178</v>
      </c>
      <c r="C188" s="41" t="s">
        <v>2979</v>
      </c>
      <c r="D188" s="43">
        <f t="shared" si="138"/>
        <v>34.199999999999996</v>
      </c>
      <c r="E188" s="61">
        <f t="shared" si="120"/>
        <v>4.375</v>
      </c>
      <c r="F188" s="61">
        <f t="shared" si="121"/>
        <v>42</v>
      </c>
      <c r="G188" s="64">
        <f t="shared" si="122"/>
        <v>0.58988764044943809</v>
      </c>
      <c r="H188" s="44">
        <f t="shared" si="139"/>
        <v>27.618592548519779</v>
      </c>
      <c r="I188" s="42" t="str">
        <f>I187</f>
        <v>Half</v>
      </c>
      <c r="J188" s="50">
        <f t="shared" ref="J188:K188" si="244">J187</f>
        <v>6</v>
      </c>
      <c r="K188" s="49">
        <f t="shared" si="244"/>
        <v>160</v>
      </c>
      <c r="L188" s="44">
        <f t="shared" si="123"/>
        <v>8</v>
      </c>
      <c r="M188" s="44">
        <f t="shared" si="213"/>
        <v>0</v>
      </c>
      <c r="N188" s="45">
        <f t="shared" ref="N188" si="245">N187</f>
        <v>0.2</v>
      </c>
      <c r="O188" s="49">
        <f t="shared" si="237"/>
        <v>30</v>
      </c>
      <c r="P188" s="53">
        <f t="shared" si="241"/>
        <v>45</v>
      </c>
      <c r="Q188" s="44">
        <f t="shared" ref="Q188:R188" si="246">Q187</f>
        <v>150</v>
      </c>
      <c r="R188" s="50">
        <f t="shared" si="246"/>
        <v>210</v>
      </c>
    </row>
    <row r="189" spans="1:18" x14ac:dyDescent="0.25">
      <c r="A189" s="41">
        <f t="shared" si="243"/>
        <v>1037</v>
      </c>
      <c r="B189" s="42">
        <f t="shared" si="243"/>
        <v>179</v>
      </c>
      <c r="C189" s="41" t="s">
        <v>2980</v>
      </c>
      <c r="D189" s="43">
        <f t="shared" si="138"/>
        <v>34.199999999999996</v>
      </c>
      <c r="E189" s="61">
        <f t="shared" si="120"/>
        <v>4.375</v>
      </c>
      <c r="F189" s="61">
        <f t="shared" si="121"/>
        <v>42</v>
      </c>
      <c r="G189" s="64">
        <f t="shared" si="122"/>
        <v>0.58988764044943809</v>
      </c>
      <c r="H189" s="44">
        <f t="shared" si="139"/>
        <v>27.618592548519779</v>
      </c>
      <c r="I189" s="42" t="str">
        <f t="shared" ref="I189:K189" si="247">I188</f>
        <v>Half</v>
      </c>
      <c r="J189" s="50">
        <f t="shared" si="247"/>
        <v>6</v>
      </c>
      <c r="K189" s="49">
        <f t="shared" si="247"/>
        <v>160</v>
      </c>
      <c r="L189" s="44">
        <f t="shared" si="123"/>
        <v>8</v>
      </c>
      <c r="M189" s="44">
        <f t="shared" si="213"/>
        <v>0</v>
      </c>
      <c r="N189" s="45">
        <f t="shared" ref="N189" si="248">N188</f>
        <v>0.2</v>
      </c>
      <c r="O189" s="49">
        <f t="shared" si="237"/>
        <v>30</v>
      </c>
      <c r="P189" s="53">
        <f t="shared" si="241"/>
        <v>60</v>
      </c>
      <c r="Q189" s="44">
        <f t="shared" ref="Q189:R189" si="249">Q188</f>
        <v>150</v>
      </c>
      <c r="R189" s="50">
        <f t="shared" si="249"/>
        <v>210</v>
      </c>
    </row>
    <row r="190" spans="1:18" x14ac:dyDescent="0.25">
      <c r="A190" s="41">
        <f t="shared" si="243"/>
        <v>1038</v>
      </c>
      <c r="B190" s="42">
        <f t="shared" si="243"/>
        <v>180</v>
      </c>
      <c r="C190" s="41" t="s">
        <v>2981</v>
      </c>
      <c r="D190" s="43">
        <f t="shared" si="138"/>
        <v>34.199999999999996</v>
      </c>
      <c r="E190" s="61">
        <f t="shared" si="120"/>
        <v>4.375</v>
      </c>
      <c r="F190" s="61">
        <f t="shared" si="121"/>
        <v>42</v>
      </c>
      <c r="G190" s="64">
        <f t="shared" si="122"/>
        <v>0.58988764044943809</v>
      </c>
      <c r="H190" s="44">
        <f t="shared" si="139"/>
        <v>27.618592548519779</v>
      </c>
      <c r="I190" s="42" t="str">
        <f t="shared" ref="I190:K190" si="250">I189</f>
        <v>Half</v>
      </c>
      <c r="J190" s="50">
        <f t="shared" si="250"/>
        <v>6</v>
      </c>
      <c r="K190" s="49">
        <f t="shared" si="250"/>
        <v>160</v>
      </c>
      <c r="L190" s="44">
        <f t="shared" si="123"/>
        <v>8</v>
      </c>
      <c r="M190" s="44">
        <f t="shared" si="213"/>
        <v>0</v>
      </c>
      <c r="N190" s="45">
        <f t="shared" ref="N190" si="251">N189</f>
        <v>0.2</v>
      </c>
      <c r="O190" s="49">
        <f t="shared" si="237"/>
        <v>30</v>
      </c>
      <c r="P190" s="53">
        <f t="shared" si="241"/>
        <v>75</v>
      </c>
      <c r="Q190" s="44">
        <f t="shared" ref="Q190:R190" si="252">Q189</f>
        <v>150</v>
      </c>
      <c r="R190" s="50">
        <f t="shared" si="252"/>
        <v>210</v>
      </c>
    </row>
    <row r="191" spans="1:18" x14ac:dyDescent="0.25">
      <c r="A191" s="41">
        <f t="shared" si="243"/>
        <v>1039</v>
      </c>
      <c r="B191" s="42">
        <f t="shared" si="243"/>
        <v>181</v>
      </c>
      <c r="C191" s="41" t="s">
        <v>2982</v>
      </c>
      <c r="D191" s="43">
        <f t="shared" si="138"/>
        <v>34.199999999999996</v>
      </c>
      <c r="E191" s="61">
        <f t="shared" si="120"/>
        <v>4.375</v>
      </c>
      <c r="F191" s="61">
        <f t="shared" si="121"/>
        <v>42</v>
      </c>
      <c r="G191" s="64">
        <f t="shared" si="122"/>
        <v>0.58988764044943809</v>
      </c>
      <c r="H191" s="44">
        <f t="shared" si="139"/>
        <v>27.618592548519779</v>
      </c>
      <c r="I191" s="42" t="str">
        <f t="shared" ref="I191:K191" si="253">I190</f>
        <v>Half</v>
      </c>
      <c r="J191" s="50">
        <f t="shared" si="253"/>
        <v>6</v>
      </c>
      <c r="K191" s="49">
        <f t="shared" si="253"/>
        <v>160</v>
      </c>
      <c r="L191" s="44">
        <f t="shared" si="123"/>
        <v>8</v>
      </c>
      <c r="M191" s="44">
        <f t="shared" si="213"/>
        <v>0</v>
      </c>
      <c r="N191" s="45">
        <f t="shared" ref="N191" si="254">N190</f>
        <v>0.2</v>
      </c>
      <c r="O191" s="49">
        <f t="shared" si="237"/>
        <v>60</v>
      </c>
      <c r="P191" s="136">
        <v>0</v>
      </c>
      <c r="Q191" s="44">
        <f t="shared" ref="Q191:R191" si="255">Q190</f>
        <v>150</v>
      </c>
      <c r="R191" s="50">
        <f t="shared" si="255"/>
        <v>210</v>
      </c>
    </row>
    <row r="192" spans="1:18" x14ac:dyDescent="0.25">
      <c r="A192" s="41">
        <f t="shared" si="243"/>
        <v>1040</v>
      </c>
      <c r="B192" s="42">
        <f t="shared" si="243"/>
        <v>182</v>
      </c>
      <c r="C192" s="41" t="s">
        <v>2983</v>
      </c>
      <c r="D192" s="43">
        <f t="shared" si="138"/>
        <v>34.199999999999996</v>
      </c>
      <c r="E192" s="61">
        <f t="shared" si="120"/>
        <v>4.375</v>
      </c>
      <c r="F192" s="61">
        <f t="shared" si="121"/>
        <v>42</v>
      </c>
      <c r="G192" s="64">
        <f t="shared" si="122"/>
        <v>0.58988764044943809</v>
      </c>
      <c r="H192" s="44">
        <f t="shared" si="139"/>
        <v>27.618592548519779</v>
      </c>
      <c r="I192" s="42" t="str">
        <f t="shared" ref="I192:K192" si="256">I191</f>
        <v>Half</v>
      </c>
      <c r="J192" s="50">
        <f t="shared" si="256"/>
        <v>6</v>
      </c>
      <c r="K192" s="49">
        <f t="shared" si="256"/>
        <v>160</v>
      </c>
      <c r="L192" s="44">
        <f t="shared" si="123"/>
        <v>8</v>
      </c>
      <c r="M192" s="44">
        <f t="shared" si="213"/>
        <v>0</v>
      </c>
      <c r="N192" s="45">
        <f t="shared" ref="N192" si="257">N191</f>
        <v>0.2</v>
      </c>
      <c r="O192" s="49">
        <f t="shared" si="237"/>
        <v>60</v>
      </c>
      <c r="P192" s="53">
        <f>P191+15</f>
        <v>15</v>
      </c>
      <c r="Q192" s="44">
        <f t="shared" ref="Q192:R192" si="258">Q191</f>
        <v>150</v>
      </c>
      <c r="R192" s="50">
        <f t="shared" si="258"/>
        <v>210</v>
      </c>
    </row>
    <row r="193" spans="1:18" x14ac:dyDescent="0.25">
      <c r="A193" s="41">
        <f t="shared" si="243"/>
        <v>1041</v>
      </c>
      <c r="B193" s="42">
        <f t="shared" si="243"/>
        <v>183</v>
      </c>
      <c r="C193" s="41" t="s">
        <v>2984</v>
      </c>
      <c r="D193" s="43">
        <f t="shared" si="138"/>
        <v>34.199999999999996</v>
      </c>
      <c r="E193" s="61">
        <f t="shared" si="120"/>
        <v>4.375</v>
      </c>
      <c r="F193" s="61">
        <f t="shared" si="121"/>
        <v>42</v>
      </c>
      <c r="G193" s="64">
        <f t="shared" si="122"/>
        <v>0.58988764044943809</v>
      </c>
      <c r="H193" s="44">
        <f t="shared" si="139"/>
        <v>27.618592548519779</v>
      </c>
      <c r="I193" s="42" t="str">
        <f t="shared" ref="I193:K193" si="259">I192</f>
        <v>Half</v>
      </c>
      <c r="J193" s="50">
        <f t="shared" si="259"/>
        <v>6</v>
      </c>
      <c r="K193" s="49">
        <f t="shared" si="259"/>
        <v>160</v>
      </c>
      <c r="L193" s="44">
        <f t="shared" si="123"/>
        <v>8</v>
      </c>
      <c r="M193" s="44">
        <f t="shared" si="213"/>
        <v>0</v>
      </c>
      <c r="N193" s="45">
        <f t="shared" ref="N193" si="260">N192</f>
        <v>0.2</v>
      </c>
      <c r="O193" s="49">
        <f t="shared" si="237"/>
        <v>60</v>
      </c>
      <c r="P193" s="53">
        <f t="shared" ref="P193:P196" si="261">P192+15</f>
        <v>30</v>
      </c>
      <c r="Q193" s="44">
        <f t="shared" ref="Q193:R193" si="262">Q192</f>
        <v>150</v>
      </c>
      <c r="R193" s="50">
        <f t="shared" si="262"/>
        <v>210</v>
      </c>
    </row>
    <row r="194" spans="1:18" x14ac:dyDescent="0.25">
      <c r="A194" s="41">
        <f t="shared" si="243"/>
        <v>1042</v>
      </c>
      <c r="B194" s="42">
        <f t="shared" si="243"/>
        <v>184</v>
      </c>
      <c r="C194" s="41" t="s">
        <v>2985</v>
      </c>
      <c r="D194" s="43">
        <f t="shared" si="138"/>
        <v>34.199999999999996</v>
      </c>
      <c r="E194" s="61">
        <f t="shared" si="120"/>
        <v>4.375</v>
      </c>
      <c r="F194" s="61">
        <f t="shared" si="121"/>
        <v>42</v>
      </c>
      <c r="G194" s="64">
        <f t="shared" si="122"/>
        <v>0.58988764044943809</v>
      </c>
      <c r="H194" s="44">
        <f t="shared" si="139"/>
        <v>27.618592548519779</v>
      </c>
      <c r="I194" s="42" t="str">
        <f t="shared" ref="I194:K194" si="263">I193</f>
        <v>Half</v>
      </c>
      <c r="J194" s="50">
        <f t="shared" si="263"/>
        <v>6</v>
      </c>
      <c r="K194" s="49">
        <f t="shared" si="263"/>
        <v>160</v>
      </c>
      <c r="L194" s="44">
        <f t="shared" si="123"/>
        <v>8</v>
      </c>
      <c r="M194" s="44">
        <f t="shared" si="213"/>
        <v>0</v>
      </c>
      <c r="N194" s="45">
        <f t="shared" ref="N194" si="264">N193</f>
        <v>0.2</v>
      </c>
      <c r="O194" s="49">
        <f t="shared" si="237"/>
        <v>60</v>
      </c>
      <c r="P194" s="53">
        <f t="shared" si="261"/>
        <v>45</v>
      </c>
      <c r="Q194" s="44">
        <f t="shared" ref="Q194:R194" si="265">Q193</f>
        <v>150</v>
      </c>
      <c r="R194" s="50">
        <f t="shared" si="265"/>
        <v>210</v>
      </c>
    </row>
    <row r="195" spans="1:18" x14ac:dyDescent="0.25">
      <c r="A195" s="41">
        <f t="shared" si="243"/>
        <v>1043</v>
      </c>
      <c r="B195" s="42">
        <f t="shared" si="243"/>
        <v>185</v>
      </c>
      <c r="C195" s="41" t="s">
        <v>2986</v>
      </c>
      <c r="D195" s="43">
        <f t="shared" si="138"/>
        <v>34.199999999999996</v>
      </c>
      <c r="E195" s="61">
        <f t="shared" si="120"/>
        <v>4.375</v>
      </c>
      <c r="F195" s="61">
        <f t="shared" si="121"/>
        <v>42</v>
      </c>
      <c r="G195" s="64">
        <f t="shared" si="122"/>
        <v>0.58988764044943809</v>
      </c>
      <c r="H195" s="44">
        <f t="shared" si="139"/>
        <v>27.618592548519779</v>
      </c>
      <c r="I195" s="42" t="str">
        <f t="shared" ref="I195:K195" si="266">I194</f>
        <v>Half</v>
      </c>
      <c r="J195" s="50">
        <f t="shared" si="266"/>
        <v>6</v>
      </c>
      <c r="K195" s="49">
        <f t="shared" si="266"/>
        <v>160</v>
      </c>
      <c r="L195" s="44">
        <f t="shared" si="123"/>
        <v>8</v>
      </c>
      <c r="M195" s="44">
        <f t="shared" si="213"/>
        <v>0</v>
      </c>
      <c r="N195" s="45">
        <f t="shared" ref="N195" si="267">N194</f>
        <v>0.2</v>
      </c>
      <c r="O195" s="49">
        <f t="shared" si="237"/>
        <v>60</v>
      </c>
      <c r="P195" s="53">
        <f t="shared" si="261"/>
        <v>60</v>
      </c>
      <c r="Q195" s="44">
        <f t="shared" ref="Q195:R195" si="268">Q194</f>
        <v>150</v>
      </c>
      <c r="R195" s="50">
        <f t="shared" si="268"/>
        <v>210</v>
      </c>
    </row>
    <row r="196" spans="1:18" x14ac:dyDescent="0.25">
      <c r="A196" s="41">
        <f t="shared" si="243"/>
        <v>1044</v>
      </c>
      <c r="B196" s="42">
        <f t="shared" si="243"/>
        <v>186</v>
      </c>
      <c r="C196" s="41" t="s">
        <v>2987</v>
      </c>
      <c r="D196" s="43">
        <f t="shared" si="138"/>
        <v>34.199999999999996</v>
      </c>
      <c r="E196" s="61">
        <f t="shared" si="120"/>
        <v>4.375</v>
      </c>
      <c r="F196" s="61">
        <f t="shared" si="121"/>
        <v>42</v>
      </c>
      <c r="G196" s="64">
        <f t="shared" si="122"/>
        <v>0.58988764044943809</v>
      </c>
      <c r="H196" s="44">
        <f t="shared" si="139"/>
        <v>27.618592548519779</v>
      </c>
      <c r="I196" s="42" t="str">
        <f t="shared" ref="I196:K196" si="269">I195</f>
        <v>Half</v>
      </c>
      <c r="J196" s="50">
        <f t="shared" si="269"/>
        <v>6</v>
      </c>
      <c r="K196" s="49">
        <f t="shared" si="269"/>
        <v>160</v>
      </c>
      <c r="L196" s="44">
        <f t="shared" si="123"/>
        <v>8</v>
      </c>
      <c r="M196" s="44">
        <f t="shared" si="213"/>
        <v>0</v>
      </c>
      <c r="N196" s="45">
        <f t="shared" ref="N196" si="270">N195</f>
        <v>0.2</v>
      </c>
      <c r="O196" s="49">
        <f t="shared" si="237"/>
        <v>60</v>
      </c>
      <c r="P196" s="135">
        <f t="shared" si="261"/>
        <v>75</v>
      </c>
      <c r="Q196" s="44">
        <f t="shared" ref="Q196:R196" si="271">Q195</f>
        <v>150</v>
      </c>
      <c r="R196" s="50">
        <f t="shared" si="271"/>
        <v>210</v>
      </c>
    </row>
    <row r="197" spans="1:18" x14ac:dyDescent="0.25">
      <c r="A197" s="41">
        <f t="shared" si="243"/>
        <v>1045</v>
      </c>
      <c r="B197" s="42">
        <f t="shared" si="243"/>
        <v>187</v>
      </c>
      <c r="C197" s="41" t="s">
        <v>2988</v>
      </c>
      <c r="D197" s="43">
        <f t="shared" si="138"/>
        <v>34.199999999999996</v>
      </c>
      <c r="E197" s="61">
        <f t="shared" si="120"/>
        <v>4.375</v>
      </c>
      <c r="F197" s="61">
        <f t="shared" si="121"/>
        <v>42</v>
      </c>
      <c r="G197" s="64">
        <f t="shared" si="122"/>
        <v>0.58988764044943809</v>
      </c>
      <c r="H197" s="44">
        <f t="shared" si="139"/>
        <v>27.618592548519779</v>
      </c>
      <c r="I197" s="42" t="str">
        <f t="shared" ref="I197:K197" si="272">I196</f>
        <v>Half</v>
      </c>
      <c r="J197" s="50">
        <f t="shared" si="272"/>
        <v>6</v>
      </c>
      <c r="K197" s="49">
        <f t="shared" si="272"/>
        <v>160</v>
      </c>
      <c r="L197" s="44">
        <f t="shared" si="123"/>
        <v>8</v>
      </c>
      <c r="M197" s="44">
        <f t="shared" si="213"/>
        <v>0</v>
      </c>
      <c r="N197" s="45">
        <f t="shared" ref="N197" si="273">N196</f>
        <v>0.2</v>
      </c>
      <c r="O197" s="49">
        <f t="shared" si="237"/>
        <v>90</v>
      </c>
      <c r="P197" s="136">
        <v>0</v>
      </c>
      <c r="Q197" s="44">
        <f t="shared" ref="Q197:R197" si="274">Q196</f>
        <v>150</v>
      </c>
      <c r="R197" s="50">
        <f t="shared" si="274"/>
        <v>210</v>
      </c>
    </row>
    <row r="198" spans="1:18" x14ac:dyDescent="0.25">
      <c r="A198" s="41">
        <f t="shared" si="243"/>
        <v>1046</v>
      </c>
      <c r="B198" s="42">
        <f t="shared" si="243"/>
        <v>188</v>
      </c>
      <c r="C198" s="41" t="s">
        <v>2989</v>
      </c>
      <c r="D198" s="43">
        <f t="shared" si="138"/>
        <v>34.199999999999996</v>
      </c>
      <c r="E198" s="61">
        <f t="shared" si="120"/>
        <v>4.375</v>
      </c>
      <c r="F198" s="61">
        <f t="shared" si="121"/>
        <v>42</v>
      </c>
      <c r="G198" s="64">
        <f t="shared" si="122"/>
        <v>0.58988764044943809</v>
      </c>
      <c r="H198" s="44">
        <f t="shared" si="139"/>
        <v>27.618592548519779</v>
      </c>
      <c r="I198" s="42" t="str">
        <f t="shared" ref="I198:K198" si="275">I197</f>
        <v>Half</v>
      </c>
      <c r="J198" s="50">
        <f t="shared" si="275"/>
        <v>6</v>
      </c>
      <c r="K198" s="49">
        <f t="shared" si="275"/>
        <v>160</v>
      </c>
      <c r="L198" s="44">
        <f t="shared" si="123"/>
        <v>8</v>
      </c>
      <c r="M198" s="44">
        <f t="shared" si="213"/>
        <v>0</v>
      </c>
      <c r="N198" s="45">
        <f t="shared" ref="N198" si="276">N197</f>
        <v>0.2</v>
      </c>
      <c r="O198" s="49">
        <f t="shared" si="237"/>
        <v>90</v>
      </c>
      <c r="P198" s="53">
        <f>P197+15</f>
        <v>15</v>
      </c>
      <c r="Q198" s="44">
        <f t="shared" ref="Q198:R198" si="277">Q197</f>
        <v>150</v>
      </c>
      <c r="R198" s="50">
        <f t="shared" si="277"/>
        <v>210</v>
      </c>
    </row>
    <row r="199" spans="1:18" x14ac:dyDescent="0.25">
      <c r="A199" s="41">
        <f t="shared" si="243"/>
        <v>1047</v>
      </c>
      <c r="B199" s="42">
        <f t="shared" si="243"/>
        <v>189</v>
      </c>
      <c r="C199" s="41" t="s">
        <v>2990</v>
      </c>
      <c r="D199" s="43">
        <f t="shared" si="138"/>
        <v>34.199999999999996</v>
      </c>
      <c r="E199" s="61">
        <f t="shared" si="120"/>
        <v>4.375</v>
      </c>
      <c r="F199" s="61">
        <f t="shared" si="121"/>
        <v>42</v>
      </c>
      <c r="G199" s="64">
        <f t="shared" si="122"/>
        <v>0.58988764044943809</v>
      </c>
      <c r="H199" s="44">
        <f t="shared" si="139"/>
        <v>27.618592548519779</v>
      </c>
      <c r="I199" s="42" t="str">
        <f t="shared" ref="I199:K199" si="278">I198</f>
        <v>Half</v>
      </c>
      <c r="J199" s="50">
        <f t="shared" si="278"/>
        <v>6</v>
      </c>
      <c r="K199" s="49">
        <f t="shared" si="278"/>
        <v>160</v>
      </c>
      <c r="L199" s="44">
        <f t="shared" si="123"/>
        <v>8</v>
      </c>
      <c r="M199" s="44">
        <f t="shared" si="213"/>
        <v>0</v>
      </c>
      <c r="N199" s="45">
        <f t="shared" ref="N199" si="279">N198</f>
        <v>0.2</v>
      </c>
      <c r="O199" s="49">
        <f>O193+30</f>
        <v>90</v>
      </c>
      <c r="P199" s="53">
        <f t="shared" ref="P199:P202" si="280">P198+15</f>
        <v>30</v>
      </c>
      <c r="Q199" s="44">
        <f t="shared" ref="Q199:R199" si="281">Q198</f>
        <v>150</v>
      </c>
      <c r="R199" s="50">
        <f t="shared" si="281"/>
        <v>210</v>
      </c>
    </row>
    <row r="200" spans="1:18" x14ac:dyDescent="0.25">
      <c r="A200" s="41">
        <f t="shared" si="243"/>
        <v>1048</v>
      </c>
      <c r="B200" s="42">
        <f t="shared" si="243"/>
        <v>190</v>
      </c>
      <c r="C200" s="41" t="s">
        <v>2991</v>
      </c>
      <c r="D200" s="43">
        <f t="shared" si="138"/>
        <v>34.199999999999996</v>
      </c>
      <c r="E200" s="61">
        <f t="shared" si="120"/>
        <v>4.375</v>
      </c>
      <c r="F200" s="61">
        <f t="shared" si="121"/>
        <v>42</v>
      </c>
      <c r="G200" s="64">
        <f t="shared" si="122"/>
        <v>0.58988764044943809</v>
      </c>
      <c r="H200" s="44">
        <f t="shared" si="139"/>
        <v>27.618592548519779</v>
      </c>
      <c r="I200" s="42" t="str">
        <f>I199</f>
        <v>Half</v>
      </c>
      <c r="J200" s="50">
        <f t="shared" ref="J200:K200" si="282">J199</f>
        <v>6</v>
      </c>
      <c r="K200" s="49">
        <f t="shared" si="282"/>
        <v>160</v>
      </c>
      <c r="L200" s="44">
        <f t="shared" si="123"/>
        <v>8</v>
      </c>
      <c r="M200" s="44">
        <f t="shared" si="213"/>
        <v>0</v>
      </c>
      <c r="N200" s="45">
        <f t="shared" ref="N200" si="283">N199</f>
        <v>0.2</v>
      </c>
      <c r="O200" s="49">
        <f t="shared" si="237"/>
        <v>90</v>
      </c>
      <c r="P200" s="53">
        <f t="shared" si="280"/>
        <v>45</v>
      </c>
      <c r="Q200" s="44">
        <f t="shared" ref="Q200:R200" si="284">Q199</f>
        <v>150</v>
      </c>
      <c r="R200" s="50">
        <f t="shared" si="284"/>
        <v>210</v>
      </c>
    </row>
    <row r="201" spans="1:18" x14ac:dyDescent="0.25">
      <c r="A201" s="41">
        <f t="shared" si="243"/>
        <v>1049</v>
      </c>
      <c r="B201" s="42">
        <f t="shared" si="243"/>
        <v>191</v>
      </c>
      <c r="C201" s="41" t="s">
        <v>2992</v>
      </c>
      <c r="D201" s="43">
        <f t="shared" si="138"/>
        <v>34.199999999999996</v>
      </c>
      <c r="E201" s="61">
        <f t="shared" si="120"/>
        <v>4.375</v>
      </c>
      <c r="F201" s="61">
        <f t="shared" si="121"/>
        <v>42</v>
      </c>
      <c r="G201" s="64">
        <f t="shared" si="122"/>
        <v>0.58988764044943809</v>
      </c>
      <c r="H201" s="44">
        <f t="shared" si="139"/>
        <v>27.618592548519779</v>
      </c>
      <c r="I201" s="42" t="str">
        <f>I200</f>
        <v>Half</v>
      </c>
      <c r="J201" s="50">
        <f t="shared" ref="J201:K201" si="285">J200</f>
        <v>6</v>
      </c>
      <c r="K201" s="49">
        <f t="shared" si="285"/>
        <v>160</v>
      </c>
      <c r="L201" s="44">
        <f t="shared" si="123"/>
        <v>8</v>
      </c>
      <c r="M201" s="44">
        <f t="shared" si="213"/>
        <v>0</v>
      </c>
      <c r="N201" s="45">
        <f t="shared" ref="N201" si="286">N200</f>
        <v>0.2</v>
      </c>
      <c r="O201" s="49">
        <f t="shared" si="237"/>
        <v>90</v>
      </c>
      <c r="P201" s="53">
        <f t="shared" si="280"/>
        <v>60</v>
      </c>
      <c r="Q201" s="44">
        <f t="shared" ref="Q201:R201" si="287">Q200</f>
        <v>150</v>
      </c>
      <c r="R201" s="50">
        <f t="shared" si="287"/>
        <v>210</v>
      </c>
    </row>
    <row r="202" spans="1:18" x14ac:dyDescent="0.25">
      <c r="A202" s="41">
        <f t="shared" si="243"/>
        <v>1050</v>
      </c>
      <c r="B202" s="42">
        <f t="shared" si="243"/>
        <v>192</v>
      </c>
      <c r="C202" s="41" t="s">
        <v>2993</v>
      </c>
      <c r="D202" s="43">
        <f t="shared" si="138"/>
        <v>34.199999999999996</v>
      </c>
      <c r="E202" s="61">
        <f t="shared" si="120"/>
        <v>4.375</v>
      </c>
      <c r="F202" s="61">
        <f t="shared" si="121"/>
        <v>42</v>
      </c>
      <c r="G202" s="64">
        <f t="shared" si="122"/>
        <v>0.58988764044943809</v>
      </c>
      <c r="H202" s="44">
        <f t="shared" si="139"/>
        <v>27.618592548519779</v>
      </c>
      <c r="I202" s="42" t="str">
        <f>I201</f>
        <v>Half</v>
      </c>
      <c r="J202" s="50">
        <f t="shared" ref="J202:K202" si="288">J201</f>
        <v>6</v>
      </c>
      <c r="K202" s="49">
        <f t="shared" si="288"/>
        <v>160</v>
      </c>
      <c r="L202" s="44">
        <f t="shared" si="123"/>
        <v>8</v>
      </c>
      <c r="M202" s="44">
        <f t="shared" si="213"/>
        <v>0</v>
      </c>
      <c r="N202" s="45">
        <f t="shared" ref="N202" si="289">N201</f>
        <v>0.2</v>
      </c>
      <c r="O202" s="49">
        <f t="shared" si="237"/>
        <v>90</v>
      </c>
      <c r="P202" s="53">
        <f t="shared" si="280"/>
        <v>75</v>
      </c>
      <c r="Q202" s="44">
        <f t="shared" ref="Q202:R202" si="290">Q201</f>
        <v>150</v>
      </c>
      <c r="R202" s="50">
        <f t="shared" si="290"/>
        <v>210</v>
      </c>
    </row>
    <row r="203" spans="1:18" x14ac:dyDescent="0.25">
      <c r="A203" s="41">
        <f t="shared" si="243"/>
        <v>1051</v>
      </c>
      <c r="B203" s="42">
        <f t="shared" si="243"/>
        <v>193</v>
      </c>
      <c r="C203" s="41" t="s">
        <v>2994</v>
      </c>
      <c r="D203" s="43">
        <f t="shared" si="138"/>
        <v>34.199999999999996</v>
      </c>
      <c r="E203" s="61">
        <f t="shared" ref="E203:E266" si="291">I_ref*(0.75*D203+5.6)</f>
        <v>4.375</v>
      </c>
      <c r="F203" s="61">
        <f t="shared" ref="F203:F266" si="292">tur_scale</f>
        <v>42</v>
      </c>
      <c r="G203" s="64">
        <f t="shared" ref="G203:G266" si="293">1/(1+0.2*(diameter/F203))</f>
        <v>0.58988764044943809</v>
      </c>
      <c r="H203" s="44">
        <f t="shared" si="139"/>
        <v>27.618592548519779</v>
      </c>
      <c r="I203" s="42" t="str">
        <f t="shared" ref="I203:K203" si="294">I202</f>
        <v>Half</v>
      </c>
      <c r="J203" s="50">
        <f t="shared" si="294"/>
        <v>6</v>
      </c>
      <c r="K203" s="49">
        <f t="shared" si="294"/>
        <v>160</v>
      </c>
      <c r="L203" s="44">
        <f t="shared" ref="L203:L266" si="295">inflow</f>
        <v>8</v>
      </c>
      <c r="M203" s="44">
        <f t="shared" ref="M203:M226" si="296">yaw_max</f>
        <v>8</v>
      </c>
      <c r="N203" s="45">
        <f t="shared" ref="N203" si="297">N202</f>
        <v>0.2</v>
      </c>
      <c r="O203" s="49">
        <v>0</v>
      </c>
      <c r="P203" s="136">
        <v>0</v>
      </c>
      <c r="Q203" s="44">
        <f t="shared" ref="Q203:R203" si="298">Q202</f>
        <v>150</v>
      </c>
      <c r="R203" s="50">
        <f t="shared" si="298"/>
        <v>210</v>
      </c>
    </row>
    <row r="204" spans="1:18" x14ac:dyDescent="0.25">
      <c r="A204" s="41">
        <f t="shared" ref="A204:B219" si="299">A203+1</f>
        <v>1052</v>
      </c>
      <c r="B204" s="42">
        <f t="shared" si="299"/>
        <v>194</v>
      </c>
      <c r="C204" s="41" t="s">
        <v>2995</v>
      </c>
      <c r="D204" s="43">
        <f t="shared" si="138"/>
        <v>34.199999999999996</v>
      </c>
      <c r="E204" s="61">
        <f t="shared" si="291"/>
        <v>4.375</v>
      </c>
      <c r="F204" s="61">
        <f t="shared" si="292"/>
        <v>42</v>
      </c>
      <c r="G204" s="64">
        <f t="shared" si="293"/>
        <v>0.58988764044943809</v>
      </c>
      <c r="H204" s="44">
        <f t="shared" si="139"/>
        <v>27.618592548519779</v>
      </c>
      <c r="I204" s="42" t="str">
        <f t="shared" ref="I204:K204" si="300">I203</f>
        <v>Half</v>
      </c>
      <c r="J204" s="50">
        <f t="shared" si="300"/>
        <v>6</v>
      </c>
      <c r="K204" s="49">
        <f t="shared" si="300"/>
        <v>160</v>
      </c>
      <c r="L204" s="44">
        <f t="shared" si="295"/>
        <v>8</v>
      </c>
      <c r="M204" s="44">
        <f t="shared" si="296"/>
        <v>8</v>
      </c>
      <c r="N204" s="45">
        <f t="shared" ref="N204:N219" si="301">N203</f>
        <v>0.2</v>
      </c>
      <c r="O204" s="49">
        <v>0</v>
      </c>
      <c r="P204" s="53">
        <f>P203+15</f>
        <v>15</v>
      </c>
      <c r="Q204" s="44">
        <f t="shared" ref="Q204:R204" si="302">Q203</f>
        <v>150</v>
      </c>
      <c r="R204" s="50">
        <f t="shared" si="302"/>
        <v>210</v>
      </c>
    </row>
    <row r="205" spans="1:18" x14ac:dyDescent="0.25">
      <c r="A205" s="41">
        <f t="shared" si="299"/>
        <v>1053</v>
      </c>
      <c r="B205" s="42">
        <f t="shared" si="299"/>
        <v>195</v>
      </c>
      <c r="C205" s="41" t="s">
        <v>2996</v>
      </c>
      <c r="D205" s="43">
        <f t="shared" si="138"/>
        <v>34.199999999999996</v>
      </c>
      <c r="E205" s="61">
        <f t="shared" si="291"/>
        <v>4.375</v>
      </c>
      <c r="F205" s="61">
        <f t="shared" si="292"/>
        <v>42</v>
      </c>
      <c r="G205" s="64">
        <f t="shared" si="293"/>
        <v>0.58988764044943809</v>
      </c>
      <c r="H205" s="44">
        <f t="shared" si="139"/>
        <v>27.618592548519779</v>
      </c>
      <c r="I205" s="42" t="str">
        <f t="shared" ref="I205:K205" si="303">I204</f>
        <v>Half</v>
      </c>
      <c r="J205" s="50">
        <f t="shared" si="303"/>
        <v>6</v>
      </c>
      <c r="K205" s="49">
        <f t="shared" si="303"/>
        <v>160</v>
      </c>
      <c r="L205" s="44">
        <f t="shared" si="295"/>
        <v>8</v>
      </c>
      <c r="M205" s="44">
        <f t="shared" si="296"/>
        <v>8</v>
      </c>
      <c r="N205" s="45">
        <f t="shared" si="301"/>
        <v>0.2</v>
      </c>
      <c r="O205" s="49">
        <v>0</v>
      </c>
      <c r="P205" s="53">
        <f t="shared" ref="P205:P208" si="304">P204+15</f>
        <v>30</v>
      </c>
      <c r="Q205" s="44">
        <f t="shared" ref="Q205:R205" si="305">Q204</f>
        <v>150</v>
      </c>
      <c r="R205" s="50">
        <f t="shared" si="305"/>
        <v>210</v>
      </c>
    </row>
    <row r="206" spans="1:18" x14ac:dyDescent="0.25">
      <c r="A206" s="41">
        <f t="shared" si="299"/>
        <v>1054</v>
      </c>
      <c r="B206" s="42">
        <f t="shared" si="299"/>
        <v>196</v>
      </c>
      <c r="C206" s="41" t="s">
        <v>2997</v>
      </c>
      <c r="D206" s="43">
        <f t="shared" si="138"/>
        <v>34.199999999999996</v>
      </c>
      <c r="E206" s="61">
        <f t="shared" si="291"/>
        <v>4.375</v>
      </c>
      <c r="F206" s="61">
        <f t="shared" si="292"/>
        <v>42</v>
      </c>
      <c r="G206" s="64">
        <f t="shared" si="293"/>
        <v>0.58988764044943809</v>
      </c>
      <c r="H206" s="44">
        <f t="shared" si="139"/>
        <v>27.618592548519779</v>
      </c>
      <c r="I206" s="42" t="str">
        <f t="shared" ref="I206:K206" si="306">I205</f>
        <v>Half</v>
      </c>
      <c r="J206" s="50">
        <f t="shared" si="306"/>
        <v>6</v>
      </c>
      <c r="K206" s="49">
        <f t="shared" si="306"/>
        <v>160</v>
      </c>
      <c r="L206" s="44">
        <f t="shared" si="295"/>
        <v>8</v>
      </c>
      <c r="M206" s="44">
        <f t="shared" si="296"/>
        <v>8</v>
      </c>
      <c r="N206" s="45">
        <f t="shared" si="301"/>
        <v>0.2</v>
      </c>
      <c r="O206" s="49">
        <v>0</v>
      </c>
      <c r="P206" s="53">
        <f t="shared" si="304"/>
        <v>45</v>
      </c>
      <c r="Q206" s="44">
        <f t="shared" ref="Q206:R206" si="307">Q205</f>
        <v>150</v>
      </c>
      <c r="R206" s="50">
        <f t="shared" si="307"/>
        <v>210</v>
      </c>
    </row>
    <row r="207" spans="1:18" x14ac:dyDescent="0.25">
      <c r="A207" s="41">
        <f t="shared" si="299"/>
        <v>1055</v>
      </c>
      <c r="B207" s="42">
        <f t="shared" si="299"/>
        <v>197</v>
      </c>
      <c r="C207" s="41" t="s">
        <v>2998</v>
      </c>
      <c r="D207" s="43">
        <f t="shared" si="138"/>
        <v>34.199999999999996</v>
      </c>
      <c r="E207" s="61">
        <f t="shared" si="291"/>
        <v>4.375</v>
      </c>
      <c r="F207" s="61">
        <f t="shared" si="292"/>
        <v>42</v>
      </c>
      <c r="G207" s="64">
        <f t="shared" si="293"/>
        <v>0.58988764044943809</v>
      </c>
      <c r="H207" s="44">
        <f t="shared" si="139"/>
        <v>27.618592548519779</v>
      </c>
      <c r="I207" s="42" t="s">
        <v>12</v>
      </c>
      <c r="J207" s="50">
        <f t="shared" ref="J207:K207" si="308">J206</f>
        <v>6</v>
      </c>
      <c r="K207" s="49">
        <f t="shared" si="308"/>
        <v>160</v>
      </c>
      <c r="L207" s="44">
        <f t="shared" si="295"/>
        <v>8</v>
      </c>
      <c r="M207" s="44">
        <f t="shared" si="296"/>
        <v>8</v>
      </c>
      <c r="N207" s="45">
        <f t="shared" si="301"/>
        <v>0.2</v>
      </c>
      <c r="O207" s="49">
        <v>0</v>
      </c>
      <c r="P207" s="53">
        <f t="shared" si="304"/>
        <v>60</v>
      </c>
      <c r="Q207" s="44">
        <f t="shared" ref="Q207:R207" si="309">Q206</f>
        <v>150</v>
      </c>
      <c r="R207" s="50">
        <f t="shared" si="309"/>
        <v>210</v>
      </c>
    </row>
    <row r="208" spans="1:18" x14ac:dyDescent="0.25">
      <c r="A208" s="41">
        <f t="shared" si="299"/>
        <v>1056</v>
      </c>
      <c r="B208" s="42">
        <f t="shared" si="299"/>
        <v>198</v>
      </c>
      <c r="C208" s="41" t="s">
        <v>2999</v>
      </c>
      <c r="D208" s="43">
        <f t="shared" si="138"/>
        <v>34.199999999999996</v>
      </c>
      <c r="E208" s="61">
        <f t="shared" si="291"/>
        <v>4.375</v>
      </c>
      <c r="F208" s="61">
        <f t="shared" si="292"/>
        <v>42</v>
      </c>
      <c r="G208" s="64">
        <f t="shared" si="293"/>
        <v>0.58988764044943809</v>
      </c>
      <c r="H208" s="44">
        <f t="shared" si="139"/>
        <v>27.618592548519779</v>
      </c>
      <c r="I208" s="42" t="str">
        <f>I207</f>
        <v>Half</v>
      </c>
      <c r="J208" s="50">
        <f t="shared" ref="J208:K208" si="310">J207</f>
        <v>6</v>
      </c>
      <c r="K208" s="49">
        <f t="shared" si="310"/>
        <v>160</v>
      </c>
      <c r="L208" s="44">
        <f t="shared" si="295"/>
        <v>8</v>
      </c>
      <c r="M208" s="44">
        <f t="shared" si="296"/>
        <v>8</v>
      </c>
      <c r="N208" s="45">
        <f t="shared" si="301"/>
        <v>0.2</v>
      </c>
      <c r="O208" s="49">
        <v>0</v>
      </c>
      <c r="P208" s="135">
        <f t="shared" si="304"/>
        <v>75</v>
      </c>
      <c r="Q208" s="44">
        <f t="shared" ref="Q208:R208" si="311">Q207</f>
        <v>150</v>
      </c>
      <c r="R208" s="50">
        <f t="shared" si="311"/>
        <v>210</v>
      </c>
    </row>
    <row r="209" spans="1:18" x14ac:dyDescent="0.25">
      <c r="A209" s="41">
        <f t="shared" si="299"/>
        <v>1057</v>
      </c>
      <c r="B209" s="42">
        <f t="shared" si="299"/>
        <v>199</v>
      </c>
      <c r="C209" s="41" t="s">
        <v>3000</v>
      </c>
      <c r="D209" s="43">
        <f t="shared" si="138"/>
        <v>34.199999999999996</v>
      </c>
      <c r="E209" s="61">
        <f t="shared" si="291"/>
        <v>4.375</v>
      </c>
      <c r="F209" s="61">
        <f t="shared" si="292"/>
        <v>42</v>
      </c>
      <c r="G209" s="64">
        <f t="shared" si="293"/>
        <v>0.58988764044943809</v>
      </c>
      <c r="H209" s="44">
        <f t="shared" si="139"/>
        <v>27.618592548519779</v>
      </c>
      <c r="I209" s="42" t="str">
        <f t="shared" ref="I209:K209" si="312">I208</f>
        <v>Half</v>
      </c>
      <c r="J209" s="50">
        <f t="shared" si="312"/>
        <v>6</v>
      </c>
      <c r="K209" s="49">
        <f t="shared" si="312"/>
        <v>160</v>
      </c>
      <c r="L209" s="44">
        <f t="shared" si="295"/>
        <v>8</v>
      </c>
      <c r="M209" s="44">
        <f t="shared" si="296"/>
        <v>8</v>
      </c>
      <c r="N209" s="45">
        <f t="shared" si="301"/>
        <v>0.2</v>
      </c>
      <c r="O209" s="49">
        <f>O203+30</f>
        <v>30</v>
      </c>
      <c r="P209" s="136">
        <v>0</v>
      </c>
      <c r="Q209" s="44">
        <f t="shared" ref="Q209:R209" si="313">Q208</f>
        <v>150</v>
      </c>
      <c r="R209" s="50">
        <f t="shared" si="313"/>
        <v>210</v>
      </c>
    </row>
    <row r="210" spans="1:18" x14ac:dyDescent="0.25">
      <c r="A210" s="41">
        <f t="shared" si="299"/>
        <v>1058</v>
      </c>
      <c r="B210" s="42">
        <f t="shared" si="299"/>
        <v>200</v>
      </c>
      <c r="C210" s="41" t="s">
        <v>3001</v>
      </c>
      <c r="D210" s="43">
        <f t="shared" si="138"/>
        <v>34.199999999999996</v>
      </c>
      <c r="E210" s="61">
        <f t="shared" si="291"/>
        <v>4.375</v>
      </c>
      <c r="F210" s="61">
        <f t="shared" si="292"/>
        <v>42</v>
      </c>
      <c r="G210" s="64">
        <f t="shared" si="293"/>
        <v>0.58988764044943809</v>
      </c>
      <c r="H210" s="44">
        <f t="shared" si="139"/>
        <v>27.618592548519779</v>
      </c>
      <c r="I210" s="42" t="str">
        <f t="shared" ref="I210:K210" si="314">I209</f>
        <v>Half</v>
      </c>
      <c r="J210" s="50">
        <f t="shared" si="314"/>
        <v>6</v>
      </c>
      <c r="K210" s="49">
        <f t="shared" si="314"/>
        <v>160</v>
      </c>
      <c r="L210" s="44">
        <f t="shared" si="295"/>
        <v>8</v>
      </c>
      <c r="M210" s="44">
        <f t="shared" si="296"/>
        <v>8</v>
      </c>
      <c r="N210" s="45">
        <f t="shared" si="301"/>
        <v>0.2</v>
      </c>
      <c r="O210" s="49">
        <f t="shared" ref="O210:O226" si="315">O204+30</f>
        <v>30</v>
      </c>
      <c r="P210" s="53">
        <f>P209+15</f>
        <v>15</v>
      </c>
      <c r="Q210" s="44">
        <f t="shared" ref="Q210:R210" si="316">Q209</f>
        <v>150</v>
      </c>
      <c r="R210" s="50">
        <f t="shared" si="316"/>
        <v>210</v>
      </c>
    </row>
    <row r="211" spans="1:18" x14ac:dyDescent="0.25">
      <c r="A211" s="41">
        <f t="shared" si="299"/>
        <v>1059</v>
      </c>
      <c r="B211" s="42">
        <f t="shared" si="299"/>
        <v>201</v>
      </c>
      <c r="C211" s="41" t="s">
        <v>3002</v>
      </c>
      <c r="D211" s="43">
        <f t="shared" si="138"/>
        <v>34.199999999999996</v>
      </c>
      <c r="E211" s="61">
        <f t="shared" si="291"/>
        <v>4.375</v>
      </c>
      <c r="F211" s="61">
        <f t="shared" si="292"/>
        <v>42</v>
      </c>
      <c r="G211" s="64">
        <f t="shared" si="293"/>
        <v>0.58988764044943809</v>
      </c>
      <c r="H211" s="44">
        <f t="shared" si="139"/>
        <v>27.618592548519779</v>
      </c>
      <c r="I211" s="42" t="str">
        <f t="shared" ref="I211:K211" si="317">I210</f>
        <v>Half</v>
      </c>
      <c r="J211" s="50">
        <f t="shared" si="317"/>
        <v>6</v>
      </c>
      <c r="K211" s="49">
        <f t="shared" si="317"/>
        <v>160</v>
      </c>
      <c r="L211" s="44">
        <f t="shared" si="295"/>
        <v>8</v>
      </c>
      <c r="M211" s="44">
        <f t="shared" si="296"/>
        <v>8</v>
      </c>
      <c r="N211" s="45">
        <f t="shared" si="301"/>
        <v>0.2</v>
      </c>
      <c r="O211" s="49">
        <f t="shared" si="315"/>
        <v>30</v>
      </c>
      <c r="P211" s="53">
        <f t="shared" ref="P211:P214" si="318">P210+15</f>
        <v>30</v>
      </c>
      <c r="Q211" s="44">
        <f t="shared" ref="Q211:R211" si="319">Q210</f>
        <v>150</v>
      </c>
      <c r="R211" s="50">
        <f t="shared" si="319"/>
        <v>210</v>
      </c>
    </row>
    <row r="212" spans="1:18" x14ac:dyDescent="0.25">
      <c r="A212" s="41">
        <f t="shared" si="299"/>
        <v>1060</v>
      </c>
      <c r="B212" s="42">
        <f t="shared" si="299"/>
        <v>202</v>
      </c>
      <c r="C212" s="41" t="s">
        <v>3003</v>
      </c>
      <c r="D212" s="43">
        <f t="shared" si="138"/>
        <v>34.199999999999996</v>
      </c>
      <c r="E212" s="61">
        <f t="shared" si="291"/>
        <v>4.375</v>
      </c>
      <c r="F212" s="61">
        <f t="shared" si="292"/>
        <v>42</v>
      </c>
      <c r="G212" s="64">
        <f t="shared" si="293"/>
        <v>0.58988764044943809</v>
      </c>
      <c r="H212" s="44">
        <f t="shared" si="139"/>
        <v>27.618592548519779</v>
      </c>
      <c r="I212" s="42" t="str">
        <f t="shared" ref="I212:K212" si="320">I211</f>
        <v>Half</v>
      </c>
      <c r="J212" s="50">
        <f t="shared" si="320"/>
        <v>6</v>
      </c>
      <c r="K212" s="49">
        <f t="shared" si="320"/>
        <v>160</v>
      </c>
      <c r="L212" s="44">
        <f t="shared" si="295"/>
        <v>8</v>
      </c>
      <c r="M212" s="44">
        <f t="shared" si="296"/>
        <v>8</v>
      </c>
      <c r="N212" s="45">
        <f t="shared" si="301"/>
        <v>0.2</v>
      </c>
      <c r="O212" s="49">
        <f t="shared" si="315"/>
        <v>30</v>
      </c>
      <c r="P212" s="53">
        <f t="shared" si="318"/>
        <v>45</v>
      </c>
      <c r="Q212" s="44">
        <f t="shared" ref="Q212:R212" si="321">Q211</f>
        <v>150</v>
      </c>
      <c r="R212" s="50">
        <f t="shared" si="321"/>
        <v>210</v>
      </c>
    </row>
    <row r="213" spans="1:18" x14ac:dyDescent="0.25">
      <c r="A213" s="41">
        <f t="shared" si="299"/>
        <v>1061</v>
      </c>
      <c r="B213" s="42">
        <f t="shared" si="299"/>
        <v>203</v>
      </c>
      <c r="C213" s="41" t="s">
        <v>3004</v>
      </c>
      <c r="D213" s="43">
        <f t="shared" si="138"/>
        <v>34.199999999999996</v>
      </c>
      <c r="E213" s="61">
        <f t="shared" si="291"/>
        <v>4.375</v>
      </c>
      <c r="F213" s="61">
        <f t="shared" si="292"/>
        <v>42</v>
      </c>
      <c r="G213" s="64">
        <f t="shared" si="293"/>
        <v>0.58988764044943809</v>
      </c>
      <c r="H213" s="44">
        <f t="shared" si="139"/>
        <v>27.618592548519779</v>
      </c>
      <c r="I213" s="42" t="str">
        <f t="shared" ref="I213:K213" si="322">I212</f>
        <v>Half</v>
      </c>
      <c r="J213" s="50">
        <f t="shared" si="322"/>
        <v>6</v>
      </c>
      <c r="K213" s="49">
        <f t="shared" si="322"/>
        <v>160</v>
      </c>
      <c r="L213" s="44">
        <f t="shared" si="295"/>
        <v>8</v>
      </c>
      <c r="M213" s="44">
        <f t="shared" si="296"/>
        <v>8</v>
      </c>
      <c r="N213" s="45">
        <f t="shared" si="301"/>
        <v>0.2</v>
      </c>
      <c r="O213" s="49">
        <f t="shared" si="315"/>
        <v>30</v>
      </c>
      <c r="P213" s="53">
        <f t="shared" si="318"/>
        <v>60</v>
      </c>
      <c r="Q213" s="44">
        <f t="shared" ref="Q213:R213" si="323">Q212</f>
        <v>150</v>
      </c>
      <c r="R213" s="50">
        <f t="shared" si="323"/>
        <v>210</v>
      </c>
    </row>
    <row r="214" spans="1:18" x14ac:dyDescent="0.25">
      <c r="A214" s="41">
        <f t="shared" si="299"/>
        <v>1062</v>
      </c>
      <c r="B214" s="42">
        <f t="shared" si="299"/>
        <v>204</v>
      </c>
      <c r="C214" s="41" t="s">
        <v>3005</v>
      </c>
      <c r="D214" s="43">
        <f t="shared" si="138"/>
        <v>34.199999999999996</v>
      </c>
      <c r="E214" s="61">
        <f t="shared" si="291"/>
        <v>4.375</v>
      </c>
      <c r="F214" s="61">
        <f t="shared" si="292"/>
        <v>42</v>
      </c>
      <c r="G214" s="64">
        <f t="shared" si="293"/>
        <v>0.58988764044943809</v>
      </c>
      <c r="H214" s="44">
        <f t="shared" si="139"/>
        <v>27.618592548519779</v>
      </c>
      <c r="I214" s="42" t="str">
        <f t="shared" ref="I214:K214" si="324">I213</f>
        <v>Half</v>
      </c>
      <c r="J214" s="50">
        <f t="shared" si="324"/>
        <v>6</v>
      </c>
      <c r="K214" s="49">
        <f t="shared" si="324"/>
        <v>160</v>
      </c>
      <c r="L214" s="44">
        <f t="shared" si="295"/>
        <v>8</v>
      </c>
      <c r="M214" s="44">
        <f t="shared" si="296"/>
        <v>8</v>
      </c>
      <c r="N214" s="45">
        <f t="shared" si="301"/>
        <v>0.2</v>
      </c>
      <c r="O214" s="49">
        <f t="shared" si="315"/>
        <v>30</v>
      </c>
      <c r="P214" s="53">
        <f t="shared" si="318"/>
        <v>75</v>
      </c>
      <c r="Q214" s="44">
        <f t="shared" ref="Q214:R214" si="325">Q213</f>
        <v>150</v>
      </c>
      <c r="R214" s="50">
        <f t="shared" si="325"/>
        <v>210</v>
      </c>
    </row>
    <row r="215" spans="1:18" x14ac:dyDescent="0.25">
      <c r="A215" s="41">
        <f t="shared" si="299"/>
        <v>1063</v>
      </c>
      <c r="B215" s="42">
        <f t="shared" si="299"/>
        <v>205</v>
      </c>
      <c r="C215" s="41" t="s">
        <v>3006</v>
      </c>
      <c r="D215" s="43">
        <f t="shared" si="138"/>
        <v>34.199999999999996</v>
      </c>
      <c r="E215" s="61">
        <f t="shared" si="291"/>
        <v>4.375</v>
      </c>
      <c r="F215" s="61">
        <f t="shared" si="292"/>
        <v>42</v>
      </c>
      <c r="G215" s="64">
        <f t="shared" si="293"/>
        <v>0.58988764044943809</v>
      </c>
      <c r="H215" s="44">
        <f t="shared" si="139"/>
        <v>27.618592548519779</v>
      </c>
      <c r="I215" s="42" t="str">
        <f t="shared" ref="I215:K215" si="326">I214</f>
        <v>Half</v>
      </c>
      <c r="J215" s="50">
        <f t="shared" si="326"/>
        <v>6</v>
      </c>
      <c r="K215" s="49">
        <f t="shared" si="326"/>
        <v>160</v>
      </c>
      <c r="L215" s="44">
        <f t="shared" si="295"/>
        <v>8</v>
      </c>
      <c r="M215" s="44">
        <f t="shared" si="296"/>
        <v>8</v>
      </c>
      <c r="N215" s="45">
        <f t="shared" si="301"/>
        <v>0.2</v>
      </c>
      <c r="O215" s="49">
        <f t="shared" si="315"/>
        <v>60</v>
      </c>
      <c r="P215" s="136">
        <v>0</v>
      </c>
      <c r="Q215" s="44">
        <f t="shared" ref="Q215:R215" si="327">Q214</f>
        <v>150</v>
      </c>
      <c r="R215" s="50">
        <f t="shared" si="327"/>
        <v>210</v>
      </c>
    </row>
    <row r="216" spans="1:18" x14ac:dyDescent="0.25">
      <c r="A216" s="41">
        <f t="shared" si="299"/>
        <v>1064</v>
      </c>
      <c r="B216" s="42">
        <f t="shared" si="299"/>
        <v>206</v>
      </c>
      <c r="C216" s="41" t="s">
        <v>3007</v>
      </c>
      <c r="D216" s="43">
        <f t="shared" si="138"/>
        <v>34.199999999999996</v>
      </c>
      <c r="E216" s="61">
        <f t="shared" si="291"/>
        <v>4.375</v>
      </c>
      <c r="F216" s="61">
        <f t="shared" si="292"/>
        <v>42</v>
      </c>
      <c r="G216" s="64">
        <f t="shared" si="293"/>
        <v>0.58988764044943809</v>
      </c>
      <c r="H216" s="44">
        <f t="shared" si="139"/>
        <v>27.618592548519779</v>
      </c>
      <c r="I216" s="42" t="str">
        <f t="shared" ref="I216:K216" si="328">I215</f>
        <v>Half</v>
      </c>
      <c r="J216" s="50">
        <f t="shared" si="328"/>
        <v>6</v>
      </c>
      <c r="K216" s="49">
        <f t="shared" si="328"/>
        <v>160</v>
      </c>
      <c r="L216" s="44">
        <f t="shared" si="295"/>
        <v>8</v>
      </c>
      <c r="M216" s="44">
        <f t="shared" si="296"/>
        <v>8</v>
      </c>
      <c r="N216" s="45">
        <f t="shared" si="301"/>
        <v>0.2</v>
      </c>
      <c r="O216" s="49">
        <f t="shared" si="315"/>
        <v>60</v>
      </c>
      <c r="P216" s="53">
        <f>P215+15</f>
        <v>15</v>
      </c>
      <c r="Q216" s="44">
        <f t="shared" ref="Q216:R216" si="329">Q215</f>
        <v>150</v>
      </c>
      <c r="R216" s="50">
        <f t="shared" si="329"/>
        <v>210</v>
      </c>
    </row>
    <row r="217" spans="1:18" x14ac:dyDescent="0.25">
      <c r="A217" s="41">
        <f t="shared" si="299"/>
        <v>1065</v>
      </c>
      <c r="B217" s="42">
        <f t="shared" si="299"/>
        <v>207</v>
      </c>
      <c r="C217" s="41" t="s">
        <v>3008</v>
      </c>
      <c r="D217" s="43">
        <f t="shared" si="138"/>
        <v>34.199999999999996</v>
      </c>
      <c r="E217" s="61">
        <f t="shared" si="291"/>
        <v>4.375</v>
      </c>
      <c r="F217" s="61">
        <f t="shared" si="292"/>
        <v>42</v>
      </c>
      <c r="G217" s="64">
        <f t="shared" si="293"/>
        <v>0.58988764044943809</v>
      </c>
      <c r="H217" s="44">
        <f t="shared" si="139"/>
        <v>27.618592548519779</v>
      </c>
      <c r="I217" s="42" t="str">
        <f t="shared" ref="I217:K217" si="330">I216</f>
        <v>Half</v>
      </c>
      <c r="J217" s="50">
        <f t="shared" si="330"/>
        <v>6</v>
      </c>
      <c r="K217" s="49">
        <f t="shared" si="330"/>
        <v>160</v>
      </c>
      <c r="L217" s="44">
        <f t="shared" si="295"/>
        <v>8</v>
      </c>
      <c r="M217" s="44">
        <f t="shared" si="296"/>
        <v>8</v>
      </c>
      <c r="N217" s="45">
        <f t="shared" si="301"/>
        <v>0.2</v>
      </c>
      <c r="O217" s="49">
        <f t="shared" si="315"/>
        <v>60</v>
      </c>
      <c r="P217" s="53">
        <f t="shared" ref="P217:P220" si="331">P216+15</f>
        <v>30</v>
      </c>
      <c r="Q217" s="44">
        <f t="shared" ref="Q217:R217" si="332">Q216</f>
        <v>150</v>
      </c>
      <c r="R217" s="50">
        <f t="shared" si="332"/>
        <v>210</v>
      </c>
    </row>
    <row r="218" spans="1:18" x14ac:dyDescent="0.25">
      <c r="A218" s="41">
        <f t="shared" si="299"/>
        <v>1066</v>
      </c>
      <c r="B218" s="42">
        <f t="shared" si="299"/>
        <v>208</v>
      </c>
      <c r="C218" s="41" t="s">
        <v>3009</v>
      </c>
      <c r="D218" s="43">
        <f t="shared" si="138"/>
        <v>34.199999999999996</v>
      </c>
      <c r="E218" s="61">
        <f t="shared" si="291"/>
        <v>4.375</v>
      </c>
      <c r="F218" s="61">
        <f t="shared" si="292"/>
        <v>42</v>
      </c>
      <c r="G218" s="64">
        <f t="shared" si="293"/>
        <v>0.58988764044943809</v>
      </c>
      <c r="H218" s="44">
        <f t="shared" si="139"/>
        <v>27.618592548519779</v>
      </c>
      <c r="I218" s="42" t="str">
        <f t="shared" ref="I218:K218" si="333">I217</f>
        <v>Half</v>
      </c>
      <c r="J218" s="50">
        <f t="shared" si="333"/>
        <v>6</v>
      </c>
      <c r="K218" s="49">
        <f t="shared" si="333"/>
        <v>160</v>
      </c>
      <c r="L218" s="44">
        <f t="shared" si="295"/>
        <v>8</v>
      </c>
      <c r="M218" s="44">
        <f t="shared" si="296"/>
        <v>8</v>
      </c>
      <c r="N218" s="45">
        <f t="shared" si="301"/>
        <v>0.2</v>
      </c>
      <c r="O218" s="49">
        <f t="shared" si="315"/>
        <v>60</v>
      </c>
      <c r="P218" s="53">
        <f t="shared" si="331"/>
        <v>45</v>
      </c>
      <c r="Q218" s="44">
        <f t="shared" ref="Q218:R218" si="334">Q217</f>
        <v>150</v>
      </c>
      <c r="R218" s="50">
        <f t="shared" si="334"/>
        <v>210</v>
      </c>
    </row>
    <row r="219" spans="1:18" x14ac:dyDescent="0.25">
      <c r="A219" s="41">
        <f t="shared" si="299"/>
        <v>1067</v>
      </c>
      <c r="B219" s="42">
        <f t="shared" si="299"/>
        <v>209</v>
      </c>
      <c r="C219" s="41" t="s">
        <v>3010</v>
      </c>
      <c r="D219" s="43">
        <f t="shared" si="138"/>
        <v>34.199999999999996</v>
      </c>
      <c r="E219" s="61">
        <f t="shared" si="291"/>
        <v>4.375</v>
      </c>
      <c r="F219" s="61">
        <f t="shared" si="292"/>
        <v>42</v>
      </c>
      <c r="G219" s="64">
        <f t="shared" si="293"/>
        <v>0.58988764044943809</v>
      </c>
      <c r="H219" s="44">
        <f t="shared" si="139"/>
        <v>27.618592548519779</v>
      </c>
      <c r="I219" s="42" t="str">
        <f t="shared" ref="I219:K219" si="335">I218</f>
        <v>Half</v>
      </c>
      <c r="J219" s="50">
        <f t="shared" si="335"/>
        <v>6</v>
      </c>
      <c r="K219" s="49">
        <f t="shared" si="335"/>
        <v>160</v>
      </c>
      <c r="L219" s="44">
        <f t="shared" si="295"/>
        <v>8</v>
      </c>
      <c r="M219" s="44">
        <f t="shared" si="296"/>
        <v>8</v>
      </c>
      <c r="N219" s="45">
        <f t="shared" si="301"/>
        <v>0.2</v>
      </c>
      <c r="O219" s="49">
        <f t="shared" si="315"/>
        <v>60</v>
      </c>
      <c r="P219" s="53">
        <f t="shared" si="331"/>
        <v>60</v>
      </c>
      <c r="Q219" s="44">
        <f t="shared" ref="Q219:R219" si="336">Q218</f>
        <v>150</v>
      </c>
      <c r="R219" s="50">
        <f t="shared" si="336"/>
        <v>210</v>
      </c>
    </row>
    <row r="220" spans="1:18" x14ac:dyDescent="0.25">
      <c r="A220" s="41">
        <f t="shared" ref="A220:B235" si="337">A219+1</f>
        <v>1068</v>
      </c>
      <c r="B220" s="42">
        <f t="shared" si="337"/>
        <v>210</v>
      </c>
      <c r="C220" s="41" t="s">
        <v>3011</v>
      </c>
      <c r="D220" s="43">
        <f t="shared" si="138"/>
        <v>34.199999999999996</v>
      </c>
      <c r="E220" s="61">
        <f t="shared" si="291"/>
        <v>4.375</v>
      </c>
      <c r="F220" s="61">
        <f t="shared" si="292"/>
        <v>42</v>
      </c>
      <c r="G220" s="64">
        <f t="shared" si="293"/>
        <v>0.58988764044943809</v>
      </c>
      <c r="H220" s="44">
        <f t="shared" si="139"/>
        <v>27.618592548519779</v>
      </c>
      <c r="I220" s="42" t="str">
        <f t="shared" ref="I220:K220" si="338">I219</f>
        <v>Half</v>
      </c>
      <c r="J220" s="50">
        <f t="shared" si="338"/>
        <v>6</v>
      </c>
      <c r="K220" s="49">
        <f t="shared" si="338"/>
        <v>160</v>
      </c>
      <c r="L220" s="44">
        <f t="shared" si="295"/>
        <v>8</v>
      </c>
      <c r="M220" s="44">
        <f t="shared" si="296"/>
        <v>8</v>
      </c>
      <c r="N220" s="45">
        <f t="shared" ref="N220:N227" si="339">N219</f>
        <v>0.2</v>
      </c>
      <c r="O220" s="49">
        <f t="shared" si="315"/>
        <v>60</v>
      </c>
      <c r="P220" s="135">
        <f t="shared" si="331"/>
        <v>75</v>
      </c>
      <c r="Q220" s="44">
        <f t="shared" ref="Q220:R220" si="340">Q219</f>
        <v>150</v>
      </c>
      <c r="R220" s="50">
        <f t="shared" si="340"/>
        <v>210</v>
      </c>
    </row>
    <row r="221" spans="1:18" x14ac:dyDescent="0.25">
      <c r="A221" s="41">
        <f t="shared" si="337"/>
        <v>1069</v>
      </c>
      <c r="B221" s="42">
        <f t="shared" si="337"/>
        <v>211</v>
      </c>
      <c r="C221" s="41" t="s">
        <v>3012</v>
      </c>
      <c r="D221" s="43">
        <f t="shared" ref="D221:D284" si="341">D220</f>
        <v>34.199999999999996</v>
      </c>
      <c r="E221" s="61">
        <f t="shared" si="291"/>
        <v>4.375</v>
      </c>
      <c r="F221" s="61">
        <f t="shared" si="292"/>
        <v>42</v>
      </c>
      <c r="G221" s="64">
        <f t="shared" si="293"/>
        <v>0.58988764044943809</v>
      </c>
      <c r="H221" s="44">
        <f t="shared" ref="H221:H226" si="342">6.4*ATAN(E221/D221*G221)/PI()*180</f>
        <v>27.618592548519779</v>
      </c>
      <c r="I221" s="42" t="str">
        <f t="shared" ref="I221:K221" si="343">I220</f>
        <v>Half</v>
      </c>
      <c r="J221" s="50">
        <f t="shared" si="343"/>
        <v>6</v>
      </c>
      <c r="K221" s="49">
        <f t="shared" si="343"/>
        <v>160</v>
      </c>
      <c r="L221" s="44">
        <f t="shared" si="295"/>
        <v>8</v>
      </c>
      <c r="M221" s="44">
        <f t="shared" si="296"/>
        <v>8</v>
      </c>
      <c r="N221" s="45">
        <f t="shared" si="339"/>
        <v>0.2</v>
      </c>
      <c r="O221" s="49">
        <f t="shared" si="315"/>
        <v>90</v>
      </c>
      <c r="P221" s="136">
        <v>0</v>
      </c>
      <c r="Q221" s="44">
        <f t="shared" ref="Q221:R221" si="344">Q220</f>
        <v>150</v>
      </c>
      <c r="R221" s="50">
        <f t="shared" si="344"/>
        <v>210</v>
      </c>
    </row>
    <row r="222" spans="1:18" x14ac:dyDescent="0.25">
      <c r="A222" s="41">
        <f t="shared" si="337"/>
        <v>1070</v>
      </c>
      <c r="B222" s="42">
        <f t="shared" si="337"/>
        <v>212</v>
      </c>
      <c r="C222" s="41" t="s">
        <v>3013</v>
      </c>
      <c r="D222" s="43">
        <f t="shared" si="341"/>
        <v>34.199999999999996</v>
      </c>
      <c r="E222" s="61">
        <f t="shared" si="291"/>
        <v>4.375</v>
      </c>
      <c r="F222" s="61">
        <f t="shared" si="292"/>
        <v>42</v>
      </c>
      <c r="G222" s="64">
        <f t="shared" si="293"/>
        <v>0.58988764044943809</v>
      </c>
      <c r="H222" s="44">
        <f t="shared" si="342"/>
        <v>27.618592548519779</v>
      </c>
      <c r="I222" s="42" t="str">
        <f t="shared" ref="I222:K222" si="345">I221</f>
        <v>Half</v>
      </c>
      <c r="J222" s="50">
        <f t="shared" si="345"/>
        <v>6</v>
      </c>
      <c r="K222" s="49">
        <f t="shared" si="345"/>
        <v>160</v>
      </c>
      <c r="L222" s="44">
        <f t="shared" si="295"/>
        <v>8</v>
      </c>
      <c r="M222" s="44">
        <f t="shared" si="296"/>
        <v>8</v>
      </c>
      <c r="N222" s="45">
        <f t="shared" si="339"/>
        <v>0.2</v>
      </c>
      <c r="O222" s="49">
        <f t="shared" si="315"/>
        <v>90</v>
      </c>
      <c r="P222" s="53">
        <f>P221+15</f>
        <v>15</v>
      </c>
      <c r="Q222" s="44">
        <f t="shared" ref="Q222:R222" si="346">Q221</f>
        <v>150</v>
      </c>
      <c r="R222" s="50">
        <f t="shared" si="346"/>
        <v>210</v>
      </c>
    </row>
    <row r="223" spans="1:18" x14ac:dyDescent="0.25">
      <c r="A223" s="41">
        <f t="shared" si="337"/>
        <v>1071</v>
      </c>
      <c r="B223" s="42">
        <f t="shared" si="337"/>
        <v>213</v>
      </c>
      <c r="C223" s="41" t="s">
        <v>3014</v>
      </c>
      <c r="D223" s="43">
        <f t="shared" si="341"/>
        <v>34.199999999999996</v>
      </c>
      <c r="E223" s="61">
        <f t="shared" si="291"/>
        <v>4.375</v>
      </c>
      <c r="F223" s="61">
        <f t="shared" si="292"/>
        <v>42</v>
      </c>
      <c r="G223" s="64">
        <f t="shared" si="293"/>
        <v>0.58988764044943809</v>
      </c>
      <c r="H223" s="44">
        <f t="shared" si="342"/>
        <v>27.618592548519779</v>
      </c>
      <c r="I223" s="42" t="s">
        <v>12</v>
      </c>
      <c r="J223" s="50">
        <f t="shared" ref="J223:K223" si="347">J222</f>
        <v>6</v>
      </c>
      <c r="K223" s="49">
        <f t="shared" si="347"/>
        <v>160</v>
      </c>
      <c r="L223" s="44">
        <f t="shared" si="295"/>
        <v>8</v>
      </c>
      <c r="M223" s="44">
        <f t="shared" si="296"/>
        <v>8</v>
      </c>
      <c r="N223" s="45">
        <f t="shared" si="339"/>
        <v>0.2</v>
      </c>
      <c r="O223" s="49">
        <f>O217+30</f>
        <v>90</v>
      </c>
      <c r="P223" s="53">
        <f t="shared" ref="P223:P226" si="348">P222+15</f>
        <v>30</v>
      </c>
      <c r="Q223" s="44">
        <f t="shared" ref="Q223:R223" si="349">Q222</f>
        <v>150</v>
      </c>
      <c r="R223" s="50">
        <f t="shared" si="349"/>
        <v>210</v>
      </c>
    </row>
    <row r="224" spans="1:18" x14ac:dyDescent="0.25">
      <c r="A224" s="41">
        <f t="shared" si="337"/>
        <v>1072</v>
      </c>
      <c r="B224" s="42">
        <f t="shared" si="337"/>
        <v>214</v>
      </c>
      <c r="C224" s="41" t="s">
        <v>3015</v>
      </c>
      <c r="D224" s="43">
        <f t="shared" si="341"/>
        <v>34.199999999999996</v>
      </c>
      <c r="E224" s="61">
        <f t="shared" si="291"/>
        <v>4.375</v>
      </c>
      <c r="F224" s="61">
        <f t="shared" si="292"/>
        <v>42</v>
      </c>
      <c r="G224" s="64">
        <f t="shared" si="293"/>
        <v>0.58988764044943809</v>
      </c>
      <c r="H224" s="44">
        <f t="shared" si="342"/>
        <v>27.618592548519779</v>
      </c>
      <c r="I224" s="42" t="str">
        <f>I223</f>
        <v>Half</v>
      </c>
      <c r="J224" s="50">
        <f t="shared" ref="J224:K224" si="350">J223</f>
        <v>6</v>
      </c>
      <c r="K224" s="49">
        <f t="shared" si="350"/>
        <v>160</v>
      </c>
      <c r="L224" s="44">
        <f t="shared" si="295"/>
        <v>8</v>
      </c>
      <c r="M224" s="44">
        <f t="shared" si="296"/>
        <v>8</v>
      </c>
      <c r="N224" s="45">
        <f t="shared" si="339"/>
        <v>0.2</v>
      </c>
      <c r="O224" s="49">
        <f t="shared" si="315"/>
        <v>90</v>
      </c>
      <c r="P224" s="53">
        <f t="shared" si="348"/>
        <v>45</v>
      </c>
      <c r="Q224" s="44">
        <f t="shared" ref="Q224:R224" si="351">Q223</f>
        <v>150</v>
      </c>
      <c r="R224" s="50">
        <f t="shared" si="351"/>
        <v>210</v>
      </c>
    </row>
    <row r="225" spans="1:18" x14ac:dyDescent="0.25">
      <c r="A225" s="41">
        <f t="shared" si="337"/>
        <v>1073</v>
      </c>
      <c r="B225" s="42">
        <f t="shared" si="337"/>
        <v>215</v>
      </c>
      <c r="C225" s="41" t="s">
        <v>3016</v>
      </c>
      <c r="D225" s="43">
        <f t="shared" si="341"/>
        <v>34.199999999999996</v>
      </c>
      <c r="E225" s="61">
        <f t="shared" si="291"/>
        <v>4.375</v>
      </c>
      <c r="F225" s="61">
        <f t="shared" si="292"/>
        <v>42</v>
      </c>
      <c r="G225" s="64">
        <f t="shared" si="293"/>
        <v>0.58988764044943809</v>
      </c>
      <c r="H225" s="44">
        <f t="shared" si="342"/>
        <v>27.618592548519779</v>
      </c>
      <c r="I225" s="42" t="str">
        <f t="shared" ref="I225:K225" si="352">I224</f>
        <v>Half</v>
      </c>
      <c r="J225" s="50">
        <f t="shared" si="352"/>
        <v>6</v>
      </c>
      <c r="K225" s="49">
        <f t="shared" si="352"/>
        <v>160</v>
      </c>
      <c r="L225" s="44">
        <f t="shared" si="295"/>
        <v>8</v>
      </c>
      <c r="M225" s="44">
        <f t="shared" si="296"/>
        <v>8</v>
      </c>
      <c r="N225" s="45">
        <f t="shared" si="339"/>
        <v>0.2</v>
      </c>
      <c r="O225" s="49">
        <f t="shared" si="315"/>
        <v>90</v>
      </c>
      <c r="P225" s="53">
        <f t="shared" si="348"/>
        <v>60</v>
      </c>
      <c r="Q225" s="44">
        <f t="shared" ref="Q225:R225" si="353">Q224</f>
        <v>150</v>
      </c>
      <c r="R225" s="50">
        <f t="shared" si="353"/>
        <v>210</v>
      </c>
    </row>
    <row r="226" spans="1:18" x14ac:dyDescent="0.25">
      <c r="A226" s="41">
        <f t="shared" si="337"/>
        <v>1074</v>
      </c>
      <c r="B226" s="42">
        <f t="shared" si="337"/>
        <v>216</v>
      </c>
      <c r="C226" s="41" t="s">
        <v>3017</v>
      </c>
      <c r="D226" s="43">
        <f t="shared" si="341"/>
        <v>34.199999999999996</v>
      </c>
      <c r="E226" s="61">
        <f t="shared" si="291"/>
        <v>4.375</v>
      </c>
      <c r="F226" s="61">
        <f t="shared" si="292"/>
        <v>42</v>
      </c>
      <c r="G226" s="64">
        <f t="shared" si="293"/>
        <v>0.58988764044943809</v>
      </c>
      <c r="H226" s="44">
        <f t="shared" si="342"/>
        <v>27.618592548519779</v>
      </c>
      <c r="I226" s="42" t="str">
        <f t="shared" ref="I226:K226" si="354">I225</f>
        <v>Half</v>
      </c>
      <c r="J226" s="50">
        <f t="shared" si="354"/>
        <v>6</v>
      </c>
      <c r="K226" s="49">
        <f t="shared" si="354"/>
        <v>160</v>
      </c>
      <c r="L226" s="44">
        <f t="shared" si="295"/>
        <v>8</v>
      </c>
      <c r="M226" s="128">
        <f t="shared" si="296"/>
        <v>8</v>
      </c>
      <c r="N226" s="137">
        <f t="shared" si="339"/>
        <v>0.2</v>
      </c>
      <c r="O226" s="138">
        <f t="shared" si="315"/>
        <v>90</v>
      </c>
      <c r="P226" s="135">
        <f t="shared" si="348"/>
        <v>75</v>
      </c>
      <c r="Q226" s="44">
        <f t="shared" ref="Q226:R226" si="355">Q225</f>
        <v>150</v>
      </c>
      <c r="R226" s="50">
        <f t="shared" si="355"/>
        <v>210</v>
      </c>
    </row>
    <row r="227" spans="1:18" x14ac:dyDescent="0.25">
      <c r="A227" s="41">
        <f t="shared" si="337"/>
        <v>1075</v>
      </c>
      <c r="B227" s="42">
        <f t="shared" si="337"/>
        <v>217</v>
      </c>
      <c r="C227" s="41" t="s">
        <v>3018</v>
      </c>
      <c r="D227" s="43">
        <f t="shared" si="341"/>
        <v>34.199999999999996</v>
      </c>
      <c r="E227" s="61">
        <f t="shared" si="291"/>
        <v>4.375</v>
      </c>
      <c r="F227" s="61">
        <f t="shared" si="292"/>
        <v>42</v>
      </c>
      <c r="G227" s="64">
        <f t="shared" si="293"/>
        <v>0.58988764044943809</v>
      </c>
      <c r="H227" s="44">
        <f>-6.4*ATAN(E226/D226*G226)/PI()*180</f>
        <v>-27.618592548519779</v>
      </c>
      <c r="I227" s="42" t="s">
        <v>12</v>
      </c>
      <c r="J227" s="50">
        <f t="shared" ref="J227:K227" si="356">J226</f>
        <v>6</v>
      </c>
      <c r="K227" s="49">
        <f t="shared" si="356"/>
        <v>160</v>
      </c>
      <c r="L227" s="44">
        <f t="shared" si="295"/>
        <v>8</v>
      </c>
      <c r="M227" s="44">
        <f t="shared" ref="M227:M250" si="357">yaw_min</f>
        <v>-8</v>
      </c>
      <c r="N227" s="137">
        <f t="shared" si="339"/>
        <v>0.2</v>
      </c>
      <c r="O227" s="49">
        <v>0</v>
      </c>
      <c r="P227" s="44">
        <v>0</v>
      </c>
      <c r="Q227" s="44">
        <f t="shared" ref="Q227:R227" si="358">Q226</f>
        <v>150</v>
      </c>
      <c r="R227" s="50">
        <f t="shared" si="358"/>
        <v>210</v>
      </c>
    </row>
    <row r="228" spans="1:18" x14ac:dyDescent="0.25">
      <c r="A228" s="41">
        <f t="shared" si="337"/>
        <v>1076</v>
      </c>
      <c r="B228" s="42">
        <f t="shared" si="337"/>
        <v>218</v>
      </c>
      <c r="C228" s="41" t="s">
        <v>3019</v>
      </c>
      <c r="D228" s="43">
        <f t="shared" si="341"/>
        <v>34.199999999999996</v>
      </c>
      <c r="E228" s="61">
        <f t="shared" si="291"/>
        <v>4.375</v>
      </c>
      <c r="F228" s="61">
        <f t="shared" si="292"/>
        <v>42</v>
      </c>
      <c r="G228" s="64">
        <f t="shared" si="293"/>
        <v>0.58988764044943809</v>
      </c>
      <c r="H228" s="44">
        <f t="shared" ref="H228:H291" si="359">-6.4*ATAN(E227/D227*G227)/PI()*180</f>
        <v>-27.618592548519779</v>
      </c>
      <c r="I228" s="42" t="str">
        <f t="shared" ref="I228:K228" si="360">I227</f>
        <v>Half</v>
      </c>
      <c r="J228" s="50">
        <f t="shared" si="360"/>
        <v>6</v>
      </c>
      <c r="K228" s="49">
        <f t="shared" si="360"/>
        <v>160</v>
      </c>
      <c r="L228" s="44">
        <f t="shared" si="295"/>
        <v>8</v>
      </c>
      <c r="M228" s="44">
        <f t="shared" si="357"/>
        <v>-8</v>
      </c>
      <c r="N228" s="45">
        <f t="shared" ref="N228" si="361">N227</f>
        <v>0.2</v>
      </c>
      <c r="O228" s="49">
        <v>0</v>
      </c>
      <c r="P228" s="53">
        <f>P227+15</f>
        <v>15</v>
      </c>
      <c r="Q228" s="44">
        <f t="shared" ref="Q228:R228" si="362">Q227</f>
        <v>150</v>
      </c>
      <c r="R228" s="50">
        <f t="shared" si="362"/>
        <v>210</v>
      </c>
    </row>
    <row r="229" spans="1:18" x14ac:dyDescent="0.25">
      <c r="A229" s="41">
        <f t="shared" si="337"/>
        <v>1077</v>
      </c>
      <c r="B229" s="42">
        <f t="shared" si="337"/>
        <v>219</v>
      </c>
      <c r="C229" s="41" t="s">
        <v>3020</v>
      </c>
      <c r="D229" s="43">
        <f t="shared" si="341"/>
        <v>34.199999999999996</v>
      </c>
      <c r="E229" s="61">
        <f t="shared" si="291"/>
        <v>4.375</v>
      </c>
      <c r="F229" s="61">
        <f t="shared" si="292"/>
        <v>42</v>
      </c>
      <c r="G229" s="64">
        <f t="shared" si="293"/>
        <v>0.58988764044943809</v>
      </c>
      <c r="H229" s="44">
        <f t="shared" si="359"/>
        <v>-27.618592548519779</v>
      </c>
      <c r="I229" s="42" t="str">
        <f t="shared" ref="I229:K229" si="363">I228</f>
        <v>Half</v>
      </c>
      <c r="J229" s="50">
        <f t="shared" si="363"/>
        <v>6</v>
      </c>
      <c r="K229" s="49">
        <f t="shared" si="363"/>
        <v>160</v>
      </c>
      <c r="L229" s="44">
        <f t="shared" si="295"/>
        <v>8</v>
      </c>
      <c r="M229" s="44">
        <f t="shared" si="357"/>
        <v>-8</v>
      </c>
      <c r="N229" s="45">
        <f t="shared" ref="N229" si="364">N228</f>
        <v>0.2</v>
      </c>
      <c r="O229" s="49">
        <v>0</v>
      </c>
      <c r="P229" s="53">
        <f t="shared" ref="P229:P232" si="365">P228+15</f>
        <v>30</v>
      </c>
      <c r="Q229" s="44">
        <f t="shared" ref="Q229:R229" si="366">Q228</f>
        <v>150</v>
      </c>
      <c r="R229" s="50">
        <f t="shared" si="366"/>
        <v>210</v>
      </c>
    </row>
    <row r="230" spans="1:18" x14ac:dyDescent="0.25">
      <c r="A230" s="41">
        <f t="shared" si="337"/>
        <v>1078</v>
      </c>
      <c r="B230" s="42">
        <f t="shared" si="337"/>
        <v>220</v>
      </c>
      <c r="C230" s="41" t="s">
        <v>3021</v>
      </c>
      <c r="D230" s="43">
        <f t="shared" si="341"/>
        <v>34.199999999999996</v>
      </c>
      <c r="E230" s="61">
        <f t="shared" si="291"/>
        <v>4.375</v>
      </c>
      <c r="F230" s="61">
        <f t="shared" si="292"/>
        <v>42</v>
      </c>
      <c r="G230" s="64">
        <f t="shared" si="293"/>
        <v>0.58988764044943809</v>
      </c>
      <c r="H230" s="44">
        <f t="shared" si="359"/>
        <v>-27.618592548519779</v>
      </c>
      <c r="I230" s="42" t="str">
        <f t="shared" ref="I230:K230" si="367">I229</f>
        <v>Half</v>
      </c>
      <c r="J230" s="50">
        <f t="shared" si="367"/>
        <v>6</v>
      </c>
      <c r="K230" s="49">
        <f t="shared" si="367"/>
        <v>160</v>
      </c>
      <c r="L230" s="44">
        <f t="shared" si="295"/>
        <v>8</v>
      </c>
      <c r="M230" s="44">
        <f t="shared" si="357"/>
        <v>-8</v>
      </c>
      <c r="N230" s="45">
        <f t="shared" ref="N230" si="368">N229</f>
        <v>0.2</v>
      </c>
      <c r="O230" s="49">
        <v>0</v>
      </c>
      <c r="P230" s="53">
        <f t="shared" si="365"/>
        <v>45</v>
      </c>
      <c r="Q230" s="44">
        <f t="shared" ref="Q230:R230" si="369">Q229</f>
        <v>150</v>
      </c>
      <c r="R230" s="50">
        <f t="shared" si="369"/>
        <v>210</v>
      </c>
    </row>
    <row r="231" spans="1:18" x14ac:dyDescent="0.25">
      <c r="A231" s="41">
        <f t="shared" si="337"/>
        <v>1079</v>
      </c>
      <c r="B231" s="42">
        <f t="shared" si="337"/>
        <v>221</v>
      </c>
      <c r="C231" s="41" t="s">
        <v>3022</v>
      </c>
      <c r="D231" s="43">
        <f t="shared" si="341"/>
        <v>34.199999999999996</v>
      </c>
      <c r="E231" s="61">
        <f t="shared" si="291"/>
        <v>4.375</v>
      </c>
      <c r="F231" s="61">
        <f t="shared" si="292"/>
        <v>42</v>
      </c>
      <c r="G231" s="64">
        <f t="shared" si="293"/>
        <v>0.58988764044943809</v>
      </c>
      <c r="H231" s="44">
        <f t="shared" si="359"/>
        <v>-27.618592548519779</v>
      </c>
      <c r="I231" s="42" t="str">
        <f t="shared" ref="I231:K231" si="370">I230</f>
        <v>Half</v>
      </c>
      <c r="J231" s="50">
        <f t="shared" si="370"/>
        <v>6</v>
      </c>
      <c r="K231" s="49">
        <f t="shared" si="370"/>
        <v>160</v>
      </c>
      <c r="L231" s="44">
        <f t="shared" si="295"/>
        <v>8</v>
      </c>
      <c r="M231" s="44">
        <f t="shared" si="357"/>
        <v>-8</v>
      </c>
      <c r="N231" s="45">
        <f t="shared" ref="N231" si="371">N230</f>
        <v>0.2</v>
      </c>
      <c r="O231" s="49">
        <v>0</v>
      </c>
      <c r="P231" s="53">
        <f t="shared" si="365"/>
        <v>60</v>
      </c>
      <c r="Q231" s="44">
        <f t="shared" ref="Q231:R231" si="372">Q230</f>
        <v>150</v>
      </c>
      <c r="R231" s="50">
        <f t="shared" si="372"/>
        <v>210</v>
      </c>
    </row>
    <row r="232" spans="1:18" x14ac:dyDescent="0.25">
      <c r="A232" s="41">
        <f t="shared" si="337"/>
        <v>1080</v>
      </c>
      <c r="B232" s="42">
        <f t="shared" si="337"/>
        <v>222</v>
      </c>
      <c r="C232" s="41" t="s">
        <v>3023</v>
      </c>
      <c r="D232" s="43">
        <f t="shared" si="341"/>
        <v>34.199999999999996</v>
      </c>
      <c r="E232" s="61">
        <f t="shared" si="291"/>
        <v>4.375</v>
      </c>
      <c r="F232" s="61">
        <f t="shared" si="292"/>
        <v>42</v>
      </c>
      <c r="G232" s="64">
        <f t="shared" si="293"/>
        <v>0.58988764044943809</v>
      </c>
      <c r="H232" s="44">
        <f t="shared" si="359"/>
        <v>-27.618592548519779</v>
      </c>
      <c r="I232" s="42" t="str">
        <f t="shared" ref="I232:K232" si="373">I231</f>
        <v>Half</v>
      </c>
      <c r="J232" s="50">
        <f t="shared" si="373"/>
        <v>6</v>
      </c>
      <c r="K232" s="49">
        <f t="shared" si="373"/>
        <v>160</v>
      </c>
      <c r="L232" s="44">
        <f t="shared" si="295"/>
        <v>8</v>
      </c>
      <c r="M232" s="44">
        <f t="shared" si="357"/>
        <v>-8</v>
      </c>
      <c r="N232" s="45">
        <f t="shared" ref="N232" si="374">N231</f>
        <v>0.2</v>
      </c>
      <c r="O232" s="49">
        <v>0</v>
      </c>
      <c r="P232" s="135">
        <f t="shared" si="365"/>
        <v>75</v>
      </c>
      <c r="Q232" s="44">
        <f t="shared" ref="Q232:R232" si="375">Q231</f>
        <v>150</v>
      </c>
      <c r="R232" s="50">
        <f t="shared" si="375"/>
        <v>210</v>
      </c>
    </row>
    <row r="233" spans="1:18" x14ac:dyDescent="0.25">
      <c r="A233" s="41">
        <f t="shared" si="337"/>
        <v>1081</v>
      </c>
      <c r="B233" s="42">
        <f t="shared" si="337"/>
        <v>223</v>
      </c>
      <c r="C233" s="41" t="s">
        <v>3024</v>
      </c>
      <c r="D233" s="43">
        <f t="shared" si="341"/>
        <v>34.199999999999996</v>
      </c>
      <c r="E233" s="61">
        <f t="shared" si="291"/>
        <v>4.375</v>
      </c>
      <c r="F233" s="61">
        <f t="shared" si="292"/>
        <v>42</v>
      </c>
      <c r="G233" s="64">
        <f t="shared" si="293"/>
        <v>0.58988764044943809</v>
      </c>
      <c r="H233" s="44">
        <f t="shared" si="359"/>
        <v>-27.618592548519779</v>
      </c>
      <c r="I233" s="42" t="str">
        <f t="shared" ref="I233:K233" si="376">I232</f>
        <v>Half</v>
      </c>
      <c r="J233" s="50">
        <f t="shared" si="376"/>
        <v>6</v>
      </c>
      <c r="K233" s="49">
        <f t="shared" si="376"/>
        <v>160</v>
      </c>
      <c r="L233" s="44">
        <f t="shared" si="295"/>
        <v>8</v>
      </c>
      <c r="M233" s="44">
        <f t="shared" si="357"/>
        <v>-8</v>
      </c>
      <c r="N233" s="45">
        <f t="shared" ref="N233" si="377">N232</f>
        <v>0.2</v>
      </c>
      <c r="O233" s="49">
        <f>O227+30</f>
        <v>30</v>
      </c>
      <c r="P233" s="136">
        <v>0</v>
      </c>
      <c r="Q233" s="44">
        <f t="shared" ref="Q233:R233" si="378">Q232</f>
        <v>150</v>
      </c>
      <c r="R233" s="50">
        <f t="shared" si="378"/>
        <v>210</v>
      </c>
    </row>
    <row r="234" spans="1:18" x14ac:dyDescent="0.25">
      <c r="A234" s="41">
        <f t="shared" si="337"/>
        <v>1082</v>
      </c>
      <c r="B234" s="42">
        <f t="shared" si="337"/>
        <v>224</v>
      </c>
      <c r="C234" s="41" t="s">
        <v>3025</v>
      </c>
      <c r="D234" s="43">
        <f t="shared" si="341"/>
        <v>34.199999999999996</v>
      </c>
      <c r="E234" s="61">
        <f t="shared" si="291"/>
        <v>4.375</v>
      </c>
      <c r="F234" s="61">
        <f t="shared" si="292"/>
        <v>42</v>
      </c>
      <c r="G234" s="64">
        <f t="shared" si="293"/>
        <v>0.58988764044943809</v>
      </c>
      <c r="H234" s="44">
        <f t="shared" si="359"/>
        <v>-27.618592548519779</v>
      </c>
      <c r="I234" s="42" t="str">
        <f t="shared" ref="I234:K234" si="379">I233</f>
        <v>Half</v>
      </c>
      <c r="J234" s="50">
        <f t="shared" si="379"/>
        <v>6</v>
      </c>
      <c r="K234" s="49">
        <f t="shared" si="379"/>
        <v>160</v>
      </c>
      <c r="L234" s="44">
        <f t="shared" si="295"/>
        <v>8</v>
      </c>
      <c r="M234" s="44">
        <f t="shared" si="357"/>
        <v>-8</v>
      </c>
      <c r="N234" s="45">
        <f t="shared" ref="N234" si="380">N233</f>
        <v>0.2</v>
      </c>
      <c r="O234" s="49">
        <f t="shared" ref="O234:O250" si="381">O228+30</f>
        <v>30</v>
      </c>
      <c r="P234" s="53">
        <f>P233+15</f>
        <v>15</v>
      </c>
      <c r="Q234" s="44">
        <f t="shared" ref="Q234:R234" si="382">Q233</f>
        <v>150</v>
      </c>
      <c r="R234" s="50">
        <f t="shared" si="382"/>
        <v>210</v>
      </c>
    </row>
    <row r="235" spans="1:18" x14ac:dyDescent="0.25">
      <c r="A235" s="41">
        <f t="shared" si="337"/>
        <v>1083</v>
      </c>
      <c r="B235" s="42">
        <f t="shared" si="337"/>
        <v>225</v>
      </c>
      <c r="C235" s="41" t="s">
        <v>3026</v>
      </c>
      <c r="D235" s="43">
        <f t="shared" si="341"/>
        <v>34.199999999999996</v>
      </c>
      <c r="E235" s="61">
        <f t="shared" si="291"/>
        <v>4.375</v>
      </c>
      <c r="F235" s="61">
        <f t="shared" si="292"/>
        <v>42</v>
      </c>
      <c r="G235" s="64">
        <f t="shared" si="293"/>
        <v>0.58988764044943809</v>
      </c>
      <c r="H235" s="44">
        <f t="shared" si="359"/>
        <v>-27.618592548519779</v>
      </c>
      <c r="I235" s="42" t="str">
        <f t="shared" ref="I235:K235" si="383">I234</f>
        <v>Half</v>
      </c>
      <c r="J235" s="50">
        <f t="shared" si="383"/>
        <v>6</v>
      </c>
      <c r="K235" s="49">
        <f t="shared" si="383"/>
        <v>160</v>
      </c>
      <c r="L235" s="44">
        <f t="shared" si="295"/>
        <v>8</v>
      </c>
      <c r="M235" s="44">
        <f t="shared" si="357"/>
        <v>-8</v>
      </c>
      <c r="N235" s="45">
        <f t="shared" ref="N235" si="384">N234</f>
        <v>0.2</v>
      </c>
      <c r="O235" s="49">
        <f t="shared" si="381"/>
        <v>30</v>
      </c>
      <c r="P235" s="53">
        <f t="shared" ref="P235:P238" si="385">P234+15</f>
        <v>30</v>
      </c>
      <c r="Q235" s="44">
        <f t="shared" ref="Q235:R235" si="386">Q234</f>
        <v>150</v>
      </c>
      <c r="R235" s="50">
        <f t="shared" si="386"/>
        <v>210</v>
      </c>
    </row>
    <row r="236" spans="1:18" x14ac:dyDescent="0.25">
      <c r="A236" s="41">
        <f t="shared" ref="A236:B251" si="387">A235+1</f>
        <v>1084</v>
      </c>
      <c r="B236" s="42">
        <f t="shared" si="387"/>
        <v>226</v>
      </c>
      <c r="C236" s="41" t="s">
        <v>3027</v>
      </c>
      <c r="D236" s="43">
        <f t="shared" si="341"/>
        <v>34.199999999999996</v>
      </c>
      <c r="E236" s="61">
        <f t="shared" si="291"/>
        <v>4.375</v>
      </c>
      <c r="F236" s="61">
        <f t="shared" si="292"/>
        <v>42</v>
      </c>
      <c r="G236" s="64">
        <f t="shared" si="293"/>
        <v>0.58988764044943809</v>
      </c>
      <c r="H236" s="44">
        <f t="shared" si="359"/>
        <v>-27.618592548519779</v>
      </c>
      <c r="I236" s="42" t="str">
        <f>I235</f>
        <v>Half</v>
      </c>
      <c r="J236" s="50">
        <f t="shared" ref="J236:K236" si="388">J235</f>
        <v>6</v>
      </c>
      <c r="K236" s="49">
        <f t="shared" si="388"/>
        <v>160</v>
      </c>
      <c r="L236" s="44">
        <f t="shared" si="295"/>
        <v>8</v>
      </c>
      <c r="M236" s="44">
        <f t="shared" si="357"/>
        <v>-8</v>
      </c>
      <c r="N236" s="45">
        <f t="shared" ref="N236" si="389">N235</f>
        <v>0.2</v>
      </c>
      <c r="O236" s="49">
        <f t="shared" si="381"/>
        <v>30</v>
      </c>
      <c r="P236" s="53">
        <f t="shared" si="385"/>
        <v>45</v>
      </c>
      <c r="Q236" s="44">
        <f t="shared" ref="Q236:R236" si="390">Q235</f>
        <v>150</v>
      </c>
      <c r="R236" s="50">
        <f t="shared" si="390"/>
        <v>210</v>
      </c>
    </row>
    <row r="237" spans="1:18" x14ac:dyDescent="0.25">
      <c r="A237" s="41">
        <f t="shared" si="387"/>
        <v>1085</v>
      </c>
      <c r="B237" s="42">
        <f t="shared" si="387"/>
        <v>227</v>
      </c>
      <c r="C237" s="41" t="s">
        <v>3028</v>
      </c>
      <c r="D237" s="43">
        <f t="shared" si="341"/>
        <v>34.199999999999996</v>
      </c>
      <c r="E237" s="61">
        <f t="shared" si="291"/>
        <v>4.375</v>
      </c>
      <c r="F237" s="61">
        <f t="shared" si="292"/>
        <v>42</v>
      </c>
      <c r="G237" s="64">
        <f t="shared" si="293"/>
        <v>0.58988764044943809</v>
      </c>
      <c r="H237" s="44">
        <f t="shared" si="359"/>
        <v>-27.618592548519779</v>
      </c>
      <c r="I237" s="42" t="str">
        <f>I236</f>
        <v>Half</v>
      </c>
      <c r="J237" s="50">
        <f t="shared" ref="J237:K237" si="391">J236</f>
        <v>6</v>
      </c>
      <c r="K237" s="49">
        <f t="shared" si="391"/>
        <v>160</v>
      </c>
      <c r="L237" s="44">
        <f t="shared" si="295"/>
        <v>8</v>
      </c>
      <c r="M237" s="44">
        <f t="shared" si="357"/>
        <v>-8</v>
      </c>
      <c r="N237" s="45">
        <f t="shared" ref="N237" si="392">N236</f>
        <v>0.2</v>
      </c>
      <c r="O237" s="49">
        <f t="shared" si="381"/>
        <v>30</v>
      </c>
      <c r="P237" s="53">
        <f t="shared" si="385"/>
        <v>60</v>
      </c>
      <c r="Q237" s="44">
        <f t="shared" ref="Q237:R237" si="393">Q236</f>
        <v>150</v>
      </c>
      <c r="R237" s="50">
        <f t="shared" si="393"/>
        <v>210</v>
      </c>
    </row>
    <row r="238" spans="1:18" x14ac:dyDescent="0.25">
      <c r="A238" s="41">
        <f t="shared" si="387"/>
        <v>1086</v>
      </c>
      <c r="B238" s="42">
        <f t="shared" si="387"/>
        <v>228</v>
      </c>
      <c r="C238" s="41" t="s">
        <v>3029</v>
      </c>
      <c r="D238" s="43">
        <f t="shared" si="341"/>
        <v>34.199999999999996</v>
      </c>
      <c r="E238" s="61">
        <f t="shared" si="291"/>
        <v>4.375</v>
      </c>
      <c r="F238" s="61">
        <f t="shared" si="292"/>
        <v>42</v>
      </c>
      <c r="G238" s="64">
        <f t="shared" si="293"/>
        <v>0.58988764044943809</v>
      </c>
      <c r="H238" s="44">
        <f t="shared" si="359"/>
        <v>-27.618592548519779</v>
      </c>
      <c r="I238" s="42" t="str">
        <f>I237</f>
        <v>Half</v>
      </c>
      <c r="J238" s="50">
        <f t="shared" ref="J238:K238" si="394">J237</f>
        <v>6</v>
      </c>
      <c r="K238" s="49">
        <f t="shared" si="394"/>
        <v>160</v>
      </c>
      <c r="L238" s="44">
        <f t="shared" si="295"/>
        <v>8</v>
      </c>
      <c r="M238" s="44">
        <f t="shared" si="357"/>
        <v>-8</v>
      </c>
      <c r="N238" s="45">
        <f t="shared" ref="N238" si="395">N237</f>
        <v>0.2</v>
      </c>
      <c r="O238" s="49">
        <f t="shared" si="381"/>
        <v>30</v>
      </c>
      <c r="P238" s="135">
        <f t="shared" si="385"/>
        <v>75</v>
      </c>
      <c r="Q238" s="44">
        <f t="shared" ref="Q238:R238" si="396">Q237</f>
        <v>150</v>
      </c>
      <c r="R238" s="50">
        <f t="shared" si="396"/>
        <v>210</v>
      </c>
    </row>
    <row r="239" spans="1:18" x14ac:dyDescent="0.25">
      <c r="A239" s="41">
        <f t="shared" si="387"/>
        <v>1087</v>
      </c>
      <c r="B239" s="42">
        <f t="shared" si="387"/>
        <v>229</v>
      </c>
      <c r="C239" s="41" t="s">
        <v>3030</v>
      </c>
      <c r="D239" s="43">
        <f t="shared" si="341"/>
        <v>34.199999999999996</v>
      </c>
      <c r="E239" s="61">
        <f t="shared" si="291"/>
        <v>4.375</v>
      </c>
      <c r="F239" s="61">
        <f t="shared" si="292"/>
        <v>42</v>
      </c>
      <c r="G239" s="64">
        <f t="shared" si="293"/>
        <v>0.58988764044943809</v>
      </c>
      <c r="H239" s="44">
        <f t="shared" si="359"/>
        <v>-27.618592548519779</v>
      </c>
      <c r="I239" s="42" t="str">
        <f t="shared" ref="I239:K239" si="397">I238</f>
        <v>Half</v>
      </c>
      <c r="J239" s="50">
        <f t="shared" si="397"/>
        <v>6</v>
      </c>
      <c r="K239" s="49">
        <f t="shared" si="397"/>
        <v>160</v>
      </c>
      <c r="L239" s="44">
        <f t="shared" si="295"/>
        <v>8</v>
      </c>
      <c r="M239" s="44">
        <f t="shared" si="357"/>
        <v>-8</v>
      </c>
      <c r="N239" s="45">
        <f t="shared" ref="N239" si="398">N238</f>
        <v>0.2</v>
      </c>
      <c r="O239" s="49">
        <f t="shared" si="381"/>
        <v>60</v>
      </c>
      <c r="P239" s="136">
        <v>0</v>
      </c>
      <c r="Q239" s="44">
        <f t="shared" ref="Q239:R239" si="399">Q238</f>
        <v>150</v>
      </c>
      <c r="R239" s="50">
        <f t="shared" si="399"/>
        <v>210</v>
      </c>
    </row>
    <row r="240" spans="1:18" x14ac:dyDescent="0.25">
      <c r="A240" s="41">
        <f t="shared" si="387"/>
        <v>1088</v>
      </c>
      <c r="B240" s="42">
        <f t="shared" si="387"/>
        <v>230</v>
      </c>
      <c r="C240" s="41" t="s">
        <v>3031</v>
      </c>
      <c r="D240" s="43">
        <f t="shared" si="341"/>
        <v>34.199999999999996</v>
      </c>
      <c r="E240" s="61">
        <f t="shared" si="291"/>
        <v>4.375</v>
      </c>
      <c r="F240" s="61">
        <f t="shared" si="292"/>
        <v>42</v>
      </c>
      <c r="G240" s="64">
        <f t="shared" si="293"/>
        <v>0.58988764044943809</v>
      </c>
      <c r="H240" s="44">
        <f t="shared" si="359"/>
        <v>-27.618592548519779</v>
      </c>
      <c r="I240" s="42" t="str">
        <f t="shared" ref="I240:K240" si="400">I239</f>
        <v>Half</v>
      </c>
      <c r="J240" s="50">
        <f t="shared" si="400"/>
        <v>6</v>
      </c>
      <c r="K240" s="49">
        <f t="shared" si="400"/>
        <v>160</v>
      </c>
      <c r="L240" s="44">
        <f t="shared" si="295"/>
        <v>8</v>
      </c>
      <c r="M240" s="44">
        <f t="shared" si="357"/>
        <v>-8</v>
      </c>
      <c r="N240" s="45">
        <f t="shared" ref="N240" si="401">N239</f>
        <v>0.2</v>
      </c>
      <c r="O240" s="49">
        <f t="shared" si="381"/>
        <v>60</v>
      </c>
      <c r="P240" s="53">
        <f>P239+15</f>
        <v>15</v>
      </c>
      <c r="Q240" s="44">
        <f t="shared" ref="Q240:R240" si="402">Q239</f>
        <v>150</v>
      </c>
      <c r="R240" s="50">
        <f t="shared" si="402"/>
        <v>210</v>
      </c>
    </row>
    <row r="241" spans="1:18" x14ac:dyDescent="0.25">
      <c r="A241" s="41">
        <f t="shared" si="387"/>
        <v>1089</v>
      </c>
      <c r="B241" s="42">
        <f t="shared" si="387"/>
        <v>231</v>
      </c>
      <c r="C241" s="41" t="s">
        <v>3032</v>
      </c>
      <c r="D241" s="43">
        <f t="shared" si="341"/>
        <v>34.199999999999996</v>
      </c>
      <c r="E241" s="61">
        <f t="shared" si="291"/>
        <v>4.375</v>
      </c>
      <c r="F241" s="61">
        <f t="shared" si="292"/>
        <v>42</v>
      </c>
      <c r="G241" s="64">
        <f t="shared" si="293"/>
        <v>0.58988764044943809</v>
      </c>
      <c r="H241" s="44">
        <f t="shared" si="359"/>
        <v>-27.618592548519779</v>
      </c>
      <c r="I241" s="42" t="str">
        <f t="shared" ref="I241:K241" si="403">I240</f>
        <v>Half</v>
      </c>
      <c r="J241" s="50">
        <f t="shared" si="403"/>
        <v>6</v>
      </c>
      <c r="K241" s="49">
        <f t="shared" si="403"/>
        <v>160</v>
      </c>
      <c r="L241" s="44">
        <f t="shared" si="295"/>
        <v>8</v>
      </c>
      <c r="M241" s="44">
        <f t="shared" si="357"/>
        <v>-8</v>
      </c>
      <c r="N241" s="45">
        <f t="shared" ref="N241" si="404">N240</f>
        <v>0.2</v>
      </c>
      <c r="O241" s="49">
        <f t="shared" si="381"/>
        <v>60</v>
      </c>
      <c r="P241" s="53">
        <f t="shared" ref="P241:P244" si="405">P240+15</f>
        <v>30</v>
      </c>
      <c r="Q241" s="44">
        <f t="shared" ref="Q241:R241" si="406">Q240</f>
        <v>150</v>
      </c>
      <c r="R241" s="50">
        <f t="shared" si="406"/>
        <v>210</v>
      </c>
    </row>
    <row r="242" spans="1:18" x14ac:dyDescent="0.25">
      <c r="A242" s="41">
        <f t="shared" si="387"/>
        <v>1090</v>
      </c>
      <c r="B242" s="42">
        <f t="shared" si="387"/>
        <v>232</v>
      </c>
      <c r="C242" s="41" t="s">
        <v>3033</v>
      </c>
      <c r="D242" s="43">
        <f t="shared" si="341"/>
        <v>34.199999999999996</v>
      </c>
      <c r="E242" s="61">
        <f t="shared" si="291"/>
        <v>4.375</v>
      </c>
      <c r="F242" s="61">
        <f t="shared" si="292"/>
        <v>42</v>
      </c>
      <c r="G242" s="64">
        <f t="shared" si="293"/>
        <v>0.58988764044943809</v>
      </c>
      <c r="H242" s="44">
        <f t="shared" si="359"/>
        <v>-27.618592548519779</v>
      </c>
      <c r="I242" s="42" t="str">
        <f t="shared" ref="I242:K242" si="407">I241</f>
        <v>Half</v>
      </c>
      <c r="J242" s="50">
        <f t="shared" si="407"/>
        <v>6</v>
      </c>
      <c r="K242" s="49">
        <f t="shared" si="407"/>
        <v>160</v>
      </c>
      <c r="L242" s="44">
        <f t="shared" si="295"/>
        <v>8</v>
      </c>
      <c r="M242" s="44">
        <f t="shared" si="357"/>
        <v>-8</v>
      </c>
      <c r="N242" s="45">
        <f t="shared" ref="N242" si="408">N241</f>
        <v>0.2</v>
      </c>
      <c r="O242" s="49">
        <f t="shared" si="381"/>
        <v>60</v>
      </c>
      <c r="P242" s="53">
        <f t="shared" si="405"/>
        <v>45</v>
      </c>
      <c r="Q242" s="44">
        <f t="shared" ref="Q242:R242" si="409">Q241</f>
        <v>150</v>
      </c>
      <c r="R242" s="50">
        <f t="shared" si="409"/>
        <v>210</v>
      </c>
    </row>
    <row r="243" spans="1:18" x14ac:dyDescent="0.25">
      <c r="A243" s="41">
        <f t="shared" si="387"/>
        <v>1091</v>
      </c>
      <c r="B243" s="42">
        <f t="shared" si="387"/>
        <v>233</v>
      </c>
      <c r="C243" s="41" t="s">
        <v>3034</v>
      </c>
      <c r="D243" s="43">
        <f t="shared" si="341"/>
        <v>34.199999999999996</v>
      </c>
      <c r="E243" s="61">
        <f t="shared" si="291"/>
        <v>4.375</v>
      </c>
      <c r="F243" s="61">
        <f t="shared" si="292"/>
        <v>42</v>
      </c>
      <c r="G243" s="64">
        <f t="shared" si="293"/>
        <v>0.58988764044943809</v>
      </c>
      <c r="H243" s="44">
        <f t="shared" si="359"/>
        <v>-27.618592548519779</v>
      </c>
      <c r="I243" s="42" t="s">
        <v>12</v>
      </c>
      <c r="J243" s="50">
        <f t="shared" ref="J243:K243" si="410">J242</f>
        <v>6</v>
      </c>
      <c r="K243" s="49">
        <f t="shared" si="410"/>
        <v>160</v>
      </c>
      <c r="L243" s="44">
        <f t="shared" si="295"/>
        <v>8</v>
      </c>
      <c r="M243" s="44">
        <f t="shared" si="357"/>
        <v>-8</v>
      </c>
      <c r="N243" s="45">
        <f t="shared" ref="N243" si="411">N242</f>
        <v>0.2</v>
      </c>
      <c r="O243" s="49">
        <f t="shared" si="381"/>
        <v>60</v>
      </c>
      <c r="P243" s="53">
        <f t="shared" si="405"/>
        <v>60</v>
      </c>
      <c r="Q243" s="44">
        <f t="shared" ref="Q243:R243" si="412">Q242</f>
        <v>150</v>
      </c>
      <c r="R243" s="50">
        <f t="shared" si="412"/>
        <v>210</v>
      </c>
    </row>
    <row r="244" spans="1:18" x14ac:dyDescent="0.25">
      <c r="A244" s="41">
        <f t="shared" si="387"/>
        <v>1092</v>
      </c>
      <c r="B244" s="42">
        <f t="shared" si="387"/>
        <v>234</v>
      </c>
      <c r="C244" s="41" t="s">
        <v>3035</v>
      </c>
      <c r="D244" s="43">
        <f t="shared" si="341"/>
        <v>34.199999999999996</v>
      </c>
      <c r="E244" s="61">
        <f t="shared" si="291"/>
        <v>4.375</v>
      </c>
      <c r="F244" s="61">
        <f t="shared" si="292"/>
        <v>42</v>
      </c>
      <c r="G244" s="64">
        <f t="shared" si="293"/>
        <v>0.58988764044943809</v>
      </c>
      <c r="H244" s="44">
        <f t="shared" si="359"/>
        <v>-27.618592548519779</v>
      </c>
      <c r="I244" s="42" t="str">
        <f>I243</f>
        <v>Half</v>
      </c>
      <c r="J244" s="50">
        <f t="shared" ref="J244:K244" si="413">J243</f>
        <v>6</v>
      </c>
      <c r="K244" s="49">
        <f t="shared" si="413"/>
        <v>160</v>
      </c>
      <c r="L244" s="44">
        <f t="shared" si="295"/>
        <v>8</v>
      </c>
      <c r="M244" s="44">
        <f t="shared" si="357"/>
        <v>-8</v>
      </c>
      <c r="N244" s="45">
        <f t="shared" ref="N244" si="414">N243</f>
        <v>0.2</v>
      </c>
      <c r="O244" s="49">
        <f t="shared" si="381"/>
        <v>60</v>
      </c>
      <c r="P244" s="135">
        <f t="shared" si="405"/>
        <v>75</v>
      </c>
      <c r="Q244" s="44">
        <f t="shared" ref="Q244:R244" si="415">Q243</f>
        <v>150</v>
      </c>
      <c r="R244" s="50">
        <f t="shared" si="415"/>
        <v>210</v>
      </c>
    </row>
    <row r="245" spans="1:18" x14ac:dyDescent="0.25">
      <c r="A245" s="41">
        <f t="shared" si="387"/>
        <v>1093</v>
      </c>
      <c r="B245" s="42">
        <f t="shared" si="387"/>
        <v>235</v>
      </c>
      <c r="C245" s="41" t="s">
        <v>3036</v>
      </c>
      <c r="D245" s="43">
        <f t="shared" si="341"/>
        <v>34.199999999999996</v>
      </c>
      <c r="E245" s="61">
        <f t="shared" si="291"/>
        <v>4.375</v>
      </c>
      <c r="F245" s="61">
        <f t="shared" si="292"/>
        <v>42</v>
      </c>
      <c r="G245" s="64">
        <f t="shared" si="293"/>
        <v>0.58988764044943809</v>
      </c>
      <c r="H245" s="44">
        <f t="shared" si="359"/>
        <v>-27.618592548519779</v>
      </c>
      <c r="I245" s="42" t="str">
        <f t="shared" ref="I245:K245" si="416">I244</f>
        <v>Half</v>
      </c>
      <c r="J245" s="50">
        <f t="shared" si="416"/>
        <v>6</v>
      </c>
      <c r="K245" s="49">
        <f t="shared" si="416"/>
        <v>160</v>
      </c>
      <c r="L245" s="44">
        <f t="shared" si="295"/>
        <v>8</v>
      </c>
      <c r="M245" s="44">
        <f t="shared" si="357"/>
        <v>-8</v>
      </c>
      <c r="N245" s="45">
        <f t="shared" ref="N245" si="417">N244</f>
        <v>0.2</v>
      </c>
      <c r="O245" s="49">
        <f t="shared" si="381"/>
        <v>90</v>
      </c>
      <c r="P245" s="136">
        <v>0</v>
      </c>
      <c r="Q245" s="44">
        <f t="shared" ref="Q245:R245" si="418">Q244</f>
        <v>150</v>
      </c>
      <c r="R245" s="50">
        <f t="shared" si="418"/>
        <v>210</v>
      </c>
    </row>
    <row r="246" spans="1:18" x14ac:dyDescent="0.25">
      <c r="A246" s="41">
        <f t="shared" si="387"/>
        <v>1094</v>
      </c>
      <c r="B246" s="42">
        <f t="shared" si="387"/>
        <v>236</v>
      </c>
      <c r="C246" s="41" t="s">
        <v>3037</v>
      </c>
      <c r="D246" s="43">
        <f t="shared" si="341"/>
        <v>34.199999999999996</v>
      </c>
      <c r="E246" s="61">
        <f t="shared" si="291"/>
        <v>4.375</v>
      </c>
      <c r="F246" s="61">
        <f t="shared" si="292"/>
        <v>42</v>
      </c>
      <c r="G246" s="64">
        <f t="shared" si="293"/>
        <v>0.58988764044943809</v>
      </c>
      <c r="H246" s="44">
        <f t="shared" si="359"/>
        <v>-27.618592548519779</v>
      </c>
      <c r="I246" s="42" t="str">
        <f t="shared" ref="I246:K246" si="419">I245</f>
        <v>Half</v>
      </c>
      <c r="J246" s="50">
        <f t="shared" si="419"/>
        <v>6</v>
      </c>
      <c r="K246" s="49">
        <f t="shared" si="419"/>
        <v>160</v>
      </c>
      <c r="L246" s="44">
        <f t="shared" si="295"/>
        <v>8</v>
      </c>
      <c r="M246" s="44">
        <f t="shared" si="357"/>
        <v>-8</v>
      </c>
      <c r="N246" s="45">
        <f t="shared" ref="N246" si="420">N245</f>
        <v>0.2</v>
      </c>
      <c r="O246" s="49">
        <f t="shared" si="381"/>
        <v>90</v>
      </c>
      <c r="P246" s="53">
        <f>P245+15</f>
        <v>15</v>
      </c>
      <c r="Q246" s="44">
        <f t="shared" ref="Q246:R246" si="421">Q245</f>
        <v>150</v>
      </c>
      <c r="R246" s="50">
        <f t="shared" si="421"/>
        <v>210</v>
      </c>
    </row>
    <row r="247" spans="1:18" x14ac:dyDescent="0.25">
      <c r="A247" s="41">
        <f t="shared" si="387"/>
        <v>1095</v>
      </c>
      <c r="B247" s="42">
        <f t="shared" si="387"/>
        <v>237</v>
      </c>
      <c r="C247" s="41" t="s">
        <v>3038</v>
      </c>
      <c r="D247" s="43">
        <f t="shared" si="341"/>
        <v>34.199999999999996</v>
      </c>
      <c r="E247" s="61">
        <f t="shared" si="291"/>
        <v>4.375</v>
      </c>
      <c r="F247" s="61">
        <f t="shared" si="292"/>
        <v>42</v>
      </c>
      <c r="G247" s="64">
        <f t="shared" si="293"/>
        <v>0.58988764044943809</v>
      </c>
      <c r="H247" s="44">
        <f t="shared" si="359"/>
        <v>-27.618592548519779</v>
      </c>
      <c r="I247" s="42" t="str">
        <f t="shared" ref="I247:K247" si="422">I246</f>
        <v>Half</v>
      </c>
      <c r="J247" s="50">
        <f t="shared" si="422"/>
        <v>6</v>
      </c>
      <c r="K247" s="49">
        <f t="shared" si="422"/>
        <v>160</v>
      </c>
      <c r="L247" s="44">
        <f t="shared" si="295"/>
        <v>8</v>
      </c>
      <c r="M247" s="44">
        <f t="shared" si="357"/>
        <v>-8</v>
      </c>
      <c r="N247" s="45">
        <f t="shared" ref="N247" si="423">N246</f>
        <v>0.2</v>
      </c>
      <c r="O247" s="49">
        <f>O241+30</f>
        <v>90</v>
      </c>
      <c r="P247" s="53">
        <f t="shared" ref="P247:P250" si="424">P246+15</f>
        <v>30</v>
      </c>
      <c r="Q247" s="44">
        <f t="shared" ref="Q247:R247" si="425">Q246</f>
        <v>150</v>
      </c>
      <c r="R247" s="50">
        <f t="shared" si="425"/>
        <v>210</v>
      </c>
    </row>
    <row r="248" spans="1:18" x14ac:dyDescent="0.25">
      <c r="A248" s="41">
        <f t="shared" si="387"/>
        <v>1096</v>
      </c>
      <c r="B248" s="42">
        <f t="shared" si="387"/>
        <v>238</v>
      </c>
      <c r="C248" s="41" t="s">
        <v>3039</v>
      </c>
      <c r="D248" s="43">
        <f t="shared" si="341"/>
        <v>34.199999999999996</v>
      </c>
      <c r="E248" s="61">
        <f t="shared" si="291"/>
        <v>4.375</v>
      </c>
      <c r="F248" s="61">
        <f t="shared" si="292"/>
        <v>42</v>
      </c>
      <c r="G248" s="64">
        <f t="shared" si="293"/>
        <v>0.58988764044943809</v>
      </c>
      <c r="H248" s="44">
        <f t="shared" si="359"/>
        <v>-27.618592548519779</v>
      </c>
      <c r="I248" s="42" t="str">
        <f t="shared" ref="I248:K248" si="426">I247</f>
        <v>Half</v>
      </c>
      <c r="J248" s="50">
        <f t="shared" si="426"/>
        <v>6</v>
      </c>
      <c r="K248" s="49">
        <f t="shared" si="426"/>
        <v>160</v>
      </c>
      <c r="L248" s="44">
        <f t="shared" si="295"/>
        <v>8</v>
      </c>
      <c r="M248" s="44">
        <f t="shared" si="357"/>
        <v>-8</v>
      </c>
      <c r="N248" s="45">
        <f t="shared" ref="N248" si="427">N247</f>
        <v>0.2</v>
      </c>
      <c r="O248" s="49">
        <f t="shared" si="381"/>
        <v>90</v>
      </c>
      <c r="P248" s="53">
        <f t="shared" si="424"/>
        <v>45</v>
      </c>
      <c r="Q248" s="44">
        <f t="shared" ref="Q248:R248" si="428">Q247</f>
        <v>150</v>
      </c>
      <c r="R248" s="50">
        <f t="shared" si="428"/>
        <v>210</v>
      </c>
    </row>
    <row r="249" spans="1:18" x14ac:dyDescent="0.25">
      <c r="A249" s="41">
        <f t="shared" si="387"/>
        <v>1097</v>
      </c>
      <c r="B249" s="42">
        <f t="shared" si="387"/>
        <v>239</v>
      </c>
      <c r="C249" s="41" t="s">
        <v>3040</v>
      </c>
      <c r="D249" s="43">
        <f t="shared" si="341"/>
        <v>34.199999999999996</v>
      </c>
      <c r="E249" s="61">
        <f t="shared" si="291"/>
        <v>4.375</v>
      </c>
      <c r="F249" s="61">
        <f t="shared" si="292"/>
        <v>42</v>
      </c>
      <c r="G249" s="64">
        <f t="shared" si="293"/>
        <v>0.58988764044943809</v>
      </c>
      <c r="H249" s="44">
        <f t="shared" si="359"/>
        <v>-27.618592548519779</v>
      </c>
      <c r="I249" s="42" t="str">
        <f t="shared" ref="I249:K249" si="429">I248</f>
        <v>Half</v>
      </c>
      <c r="J249" s="50">
        <f t="shared" si="429"/>
        <v>6</v>
      </c>
      <c r="K249" s="49">
        <f t="shared" si="429"/>
        <v>160</v>
      </c>
      <c r="L249" s="44">
        <f t="shared" si="295"/>
        <v>8</v>
      </c>
      <c r="M249" s="44">
        <f t="shared" si="357"/>
        <v>-8</v>
      </c>
      <c r="N249" s="45">
        <f t="shared" ref="N249" si="430">N248</f>
        <v>0.2</v>
      </c>
      <c r="O249" s="49">
        <f t="shared" si="381"/>
        <v>90</v>
      </c>
      <c r="P249" s="53">
        <f t="shared" si="424"/>
        <v>60</v>
      </c>
      <c r="Q249" s="44">
        <f t="shared" ref="Q249:R249" si="431">Q248</f>
        <v>150</v>
      </c>
      <c r="R249" s="50">
        <f t="shared" si="431"/>
        <v>210</v>
      </c>
    </row>
    <row r="250" spans="1:18" x14ac:dyDescent="0.25">
      <c r="A250" s="41">
        <f t="shared" si="387"/>
        <v>1098</v>
      </c>
      <c r="B250" s="42">
        <f t="shared" si="387"/>
        <v>240</v>
      </c>
      <c r="C250" s="41" t="s">
        <v>3041</v>
      </c>
      <c r="D250" s="43">
        <f t="shared" si="341"/>
        <v>34.199999999999996</v>
      </c>
      <c r="E250" s="61">
        <f t="shared" si="291"/>
        <v>4.375</v>
      </c>
      <c r="F250" s="61">
        <f t="shared" si="292"/>
        <v>42</v>
      </c>
      <c r="G250" s="64">
        <f t="shared" si="293"/>
        <v>0.58988764044943809</v>
      </c>
      <c r="H250" s="44">
        <f t="shared" si="359"/>
        <v>-27.618592548519779</v>
      </c>
      <c r="I250" s="42" t="str">
        <f t="shared" ref="I250:K250" si="432">I249</f>
        <v>Half</v>
      </c>
      <c r="J250" s="50">
        <f t="shared" si="432"/>
        <v>6</v>
      </c>
      <c r="K250" s="49">
        <f t="shared" si="432"/>
        <v>160</v>
      </c>
      <c r="L250" s="44">
        <f t="shared" si="295"/>
        <v>8</v>
      </c>
      <c r="M250" s="44">
        <f t="shared" si="357"/>
        <v>-8</v>
      </c>
      <c r="N250" s="45">
        <f t="shared" ref="N250" si="433">N249</f>
        <v>0.2</v>
      </c>
      <c r="O250" s="49">
        <f t="shared" si="381"/>
        <v>90</v>
      </c>
      <c r="P250" s="53">
        <f t="shared" si="424"/>
        <v>75</v>
      </c>
      <c r="Q250" s="44">
        <f t="shared" ref="Q250:R250" si="434">Q249</f>
        <v>150</v>
      </c>
      <c r="R250" s="50">
        <f t="shared" si="434"/>
        <v>210</v>
      </c>
    </row>
    <row r="251" spans="1:18" x14ac:dyDescent="0.25">
      <c r="A251" s="41">
        <f t="shared" si="387"/>
        <v>1099</v>
      </c>
      <c r="B251" s="42">
        <f t="shared" si="387"/>
        <v>241</v>
      </c>
      <c r="C251" s="41" t="s">
        <v>3042</v>
      </c>
      <c r="D251" s="43">
        <f t="shared" si="341"/>
        <v>34.199999999999996</v>
      </c>
      <c r="E251" s="61">
        <f t="shared" si="291"/>
        <v>4.375</v>
      </c>
      <c r="F251" s="61">
        <f t="shared" si="292"/>
        <v>42</v>
      </c>
      <c r="G251" s="64">
        <f t="shared" si="293"/>
        <v>0.58988764044943809</v>
      </c>
      <c r="H251" s="44">
        <f t="shared" si="359"/>
        <v>-27.618592548519779</v>
      </c>
      <c r="I251" s="42" t="str">
        <f t="shared" ref="I251:K251" si="435">I250</f>
        <v>Half</v>
      </c>
      <c r="J251" s="50">
        <f t="shared" si="435"/>
        <v>6</v>
      </c>
      <c r="K251" s="49">
        <f t="shared" si="435"/>
        <v>160</v>
      </c>
      <c r="L251" s="44">
        <f t="shared" si="295"/>
        <v>8</v>
      </c>
      <c r="M251" s="44">
        <f t="shared" ref="M251:M274" si="436">yaw_null</f>
        <v>0</v>
      </c>
      <c r="N251" s="45">
        <f t="shared" ref="N251" si="437">N250</f>
        <v>0.2</v>
      </c>
      <c r="O251" s="49">
        <v>0</v>
      </c>
      <c r="P251" s="136">
        <v>0</v>
      </c>
      <c r="Q251" s="44">
        <f t="shared" ref="Q251:R251" si="438">Q250</f>
        <v>150</v>
      </c>
      <c r="R251" s="50">
        <f t="shared" si="438"/>
        <v>210</v>
      </c>
    </row>
    <row r="252" spans="1:18" x14ac:dyDescent="0.25">
      <c r="A252" s="41">
        <f t="shared" ref="A252:B267" si="439">A251+1</f>
        <v>1100</v>
      </c>
      <c r="B252" s="42">
        <f t="shared" si="439"/>
        <v>242</v>
      </c>
      <c r="C252" s="41" t="s">
        <v>3043</v>
      </c>
      <c r="D252" s="43">
        <f t="shared" si="341"/>
        <v>34.199999999999996</v>
      </c>
      <c r="E252" s="61">
        <f t="shared" si="291"/>
        <v>4.375</v>
      </c>
      <c r="F252" s="61">
        <f t="shared" si="292"/>
        <v>42</v>
      </c>
      <c r="G252" s="64">
        <f t="shared" si="293"/>
        <v>0.58988764044943809</v>
      </c>
      <c r="H252" s="44">
        <f t="shared" si="359"/>
        <v>-27.618592548519779</v>
      </c>
      <c r="I252" s="42" t="str">
        <f t="shared" ref="I252:K252" si="440">I251</f>
        <v>Half</v>
      </c>
      <c r="J252" s="50">
        <f t="shared" si="440"/>
        <v>6</v>
      </c>
      <c r="K252" s="49">
        <f t="shared" si="440"/>
        <v>160</v>
      </c>
      <c r="L252" s="44">
        <f t="shared" si="295"/>
        <v>8</v>
      </c>
      <c r="M252" s="44">
        <f t="shared" si="436"/>
        <v>0</v>
      </c>
      <c r="N252" s="45">
        <f t="shared" ref="N252" si="441">N251</f>
        <v>0.2</v>
      </c>
      <c r="O252" s="49">
        <v>0</v>
      </c>
      <c r="P252" s="53">
        <f>P251+15</f>
        <v>15</v>
      </c>
      <c r="Q252" s="44">
        <f t="shared" ref="Q252:R252" si="442">Q251</f>
        <v>150</v>
      </c>
      <c r="R252" s="50">
        <f t="shared" si="442"/>
        <v>210</v>
      </c>
    </row>
    <row r="253" spans="1:18" x14ac:dyDescent="0.25">
      <c r="A253" s="41">
        <f t="shared" si="439"/>
        <v>1101</v>
      </c>
      <c r="B253" s="42">
        <f t="shared" si="439"/>
        <v>243</v>
      </c>
      <c r="C253" s="41" t="s">
        <v>3044</v>
      </c>
      <c r="D253" s="43">
        <f t="shared" si="341"/>
        <v>34.199999999999996</v>
      </c>
      <c r="E253" s="61">
        <f t="shared" si="291"/>
        <v>4.375</v>
      </c>
      <c r="F253" s="61">
        <f t="shared" si="292"/>
        <v>42</v>
      </c>
      <c r="G253" s="64">
        <f t="shared" si="293"/>
        <v>0.58988764044943809</v>
      </c>
      <c r="H253" s="44">
        <f t="shared" si="359"/>
        <v>-27.618592548519779</v>
      </c>
      <c r="I253" s="42" t="str">
        <f t="shared" ref="I253:K253" si="443">I252</f>
        <v>Half</v>
      </c>
      <c r="J253" s="50">
        <f t="shared" si="443"/>
        <v>6</v>
      </c>
      <c r="K253" s="49">
        <f t="shared" si="443"/>
        <v>160</v>
      </c>
      <c r="L253" s="44">
        <f t="shared" si="295"/>
        <v>8</v>
      </c>
      <c r="M253" s="44">
        <f t="shared" si="436"/>
        <v>0</v>
      </c>
      <c r="N253" s="45">
        <f t="shared" ref="N253" si="444">N252</f>
        <v>0.2</v>
      </c>
      <c r="O253" s="49">
        <v>0</v>
      </c>
      <c r="P253" s="53">
        <f t="shared" ref="P253:P256" si="445">P252+15</f>
        <v>30</v>
      </c>
      <c r="Q253" s="44">
        <f t="shared" ref="Q253:R253" si="446">Q252</f>
        <v>150</v>
      </c>
      <c r="R253" s="50">
        <f t="shared" si="446"/>
        <v>210</v>
      </c>
    </row>
    <row r="254" spans="1:18" x14ac:dyDescent="0.25">
      <c r="A254" s="41">
        <f t="shared" si="439"/>
        <v>1102</v>
      </c>
      <c r="B254" s="42">
        <f t="shared" si="439"/>
        <v>244</v>
      </c>
      <c r="C254" s="41" t="s">
        <v>3045</v>
      </c>
      <c r="D254" s="43">
        <f t="shared" si="341"/>
        <v>34.199999999999996</v>
      </c>
      <c r="E254" s="61">
        <f t="shared" si="291"/>
        <v>4.375</v>
      </c>
      <c r="F254" s="61">
        <f t="shared" si="292"/>
        <v>42</v>
      </c>
      <c r="G254" s="64">
        <f t="shared" si="293"/>
        <v>0.58988764044943809</v>
      </c>
      <c r="H254" s="44">
        <f t="shared" si="359"/>
        <v>-27.618592548519779</v>
      </c>
      <c r="I254" s="42" t="str">
        <f t="shared" ref="I254:K254" si="447">I253</f>
        <v>Half</v>
      </c>
      <c r="J254" s="50">
        <f t="shared" si="447"/>
        <v>6</v>
      </c>
      <c r="K254" s="49">
        <f t="shared" si="447"/>
        <v>160</v>
      </c>
      <c r="L254" s="44">
        <f t="shared" si="295"/>
        <v>8</v>
      </c>
      <c r="M254" s="44">
        <f t="shared" si="436"/>
        <v>0</v>
      </c>
      <c r="N254" s="45">
        <f t="shared" ref="N254" si="448">N253</f>
        <v>0.2</v>
      </c>
      <c r="O254" s="49">
        <v>0</v>
      </c>
      <c r="P254" s="53">
        <f t="shared" si="445"/>
        <v>45</v>
      </c>
      <c r="Q254" s="44">
        <f t="shared" ref="Q254:R254" si="449">Q253</f>
        <v>150</v>
      </c>
      <c r="R254" s="50">
        <f t="shared" si="449"/>
        <v>210</v>
      </c>
    </row>
    <row r="255" spans="1:18" x14ac:dyDescent="0.25">
      <c r="A255" s="41">
        <f t="shared" si="439"/>
        <v>1103</v>
      </c>
      <c r="B255" s="42">
        <f t="shared" si="439"/>
        <v>245</v>
      </c>
      <c r="C255" s="41" t="s">
        <v>3046</v>
      </c>
      <c r="D255" s="43">
        <f t="shared" si="341"/>
        <v>34.199999999999996</v>
      </c>
      <c r="E255" s="61">
        <f t="shared" si="291"/>
        <v>4.375</v>
      </c>
      <c r="F255" s="61">
        <f t="shared" si="292"/>
        <v>42</v>
      </c>
      <c r="G255" s="64">
        <f t="shared" si="293"/>
        <v>0.58988764044943809</v>
      </c>
      <c r="H255" s="44">
        <f t="shared" si="359"/>
        <v>-27.618592548519779</v>
      </c>
      <c r="I255" s="42" t="str">
        <f t="shared" ref="I255:K255" si="450">I254</f>
        <v>Half</v>
      </c>
      <c r="J255" s="50">
        <f t="shared" si="450"/>
        <v>6</v>
      </c>
      <c r="K255" s="49">
        <f t="shared" si="450"/>
        <v>160</v>
      </c>
      <c r="L255" s="44">
        <f t="shared" si="295"/>
        <v>8</v>
      </c>
      <c r="M255" s="44">
        <f t="shared" si="436"/>
        <v>0</v>
      </c>
      <c r="N255" s="45">
        <f t="shared" ref="N255" si="451">N254</f>
        <v>0.2</v>
      </c>
      <c r="O255" s="49">
        <v>0</v>
      </c>
      <c r="P255" s="53">
        <f t="shared" si="445"/>
        <v>60</v>
      </c>
      <c r="Q255" s="44">
        <f t="shared" ref="Q255:R255" si="452">Q254</f>
        <v>150</v>
      </c>
      <c r="R255" s="50">
        <f t="shared" si="452"/>
        <v>210</v>
      </c>
    </row>
    <row r="256" spans="1:18" x14ac:dyDescent="0.25">
      <c r="A256" s="41">
        <f t="shared" si="439"/>
        <v>1104</v>
      </c>
      <c r="B256" s="42">
        <f t="shared" si="439"/>
        <v>246</v>
      </c>
      <c r="C256" s="41" t="s">
        <v>3047</v>
      </c>
      <c r="D256" s="43">
        <f t="shared" si="341"/>
        <v>34.199999999999996</v>
      </c>
      <c r="E256" s="61">
        <f t="shared" si="291"/>
        <v>4.375</v>
      </c>
      <c r="F256" s="61">
        <f t="shared" si="292"/>
        <v>42</v>
      </c>
      <c r="G256" s="64">
        <f t="shared" si="293"/>
        <v>0.58988764044943809</v>
      </c>
      <c r="H256" s="44">
        <f t="shared" si="359"/>
        <v>-27.618592548519779</v>
      </c>
      <c r="I256" s="42" t="str">
        <f t="shared" ref="I256:K256" si="453">I255</f>
        <v>Half</v>
      </c>
      <c r="J256" s="50">
        <f t="shared" si="453"/>
        <v>6</v>
      </c>
      <c r="K256" s="49">
        <f t="shared" si="453"/>
        <v>160</v>
      </c>
      <c r="L256" s="44">
        <f t="shared" si="295"/>
        <v>8</v>
      </c>
      <c r="M256" s="44">
        <f t="shared" si="436"/>
        <v>0</v>
      </c>
      <c r="N256" s="45">
        <f t="shared" ref="N256" si="454">N255</f>
        <v>0.2</v>
      </c>
      <c r="O256" s="49">
        <v>0</v>
      </c>
      <c r="P256" s="135">
        <f t="shared" si="445"/>
        <v>75</v>
      </c>
      <c r="Q256" s="44">
        <f t="shared" ref="Q256:R256" si="455">Q255</f>
        <v>150</v>
      </c>
      <c r="R256" s="50">
        <f t="shared" si="455"/>
        <v>210</v>
      </c>
    </row>
    <row r="257" spans="1:18" x14ac:dyDescent="0.25">
      <c r="A257" s="41">
        <f t="shared" si="439"/>
        <v>1105</v>
      </c>
      <c r="B257" s="42">
        <f t="shared" si="439"/>
        <v>247</v>
      </c>
      <c r="C257" s="41" t="s">
        <v>3048</v>
      </c>
      <c r="D257" s="43">
        <f t="shared" si="341"/>
        <v>34.199999999999996</v>
      </c>
      <c r="E257" s="61">
        <f t="shared" si="291"/>
        <v>4.375</v>
      </c>
      <c r="F257" s="61">
        <f t="shared" si="292"/>
        <v>42</v>
      </c>
      <c r="G257" s="64">
        <f t="shared" si="293"/>
        <v>0.58988764044943809</v>
      </c>
      <c r="H257" s="44">
        <f t="shared" si="359"/>
        <v>-27.618592548519779</v>
      </c>
      <c r="I257" s="42" t="str">
        <f t="shared" ref="I257:K257" si="456">I256</f>
        <v>Half</v>
      </c>
      <c r="J257" s="50">
        <f t="shared" si="456"/>
        <v>6</v>
      </c>
      <c r="K257" s="49">
        <f t="shared" si="456"/>
        <v>160</v>
      </c>
      <c r="L257" s="44">
        <f t="shared" si="295"/>
        <v>8</v>
      </c>
      <c r="M257" s="44">
        <f t="shared" si="436"/>
        <v>0</v>
      </c>
      <c r="N257" s="45">
        <f t="shared" ref="N257" si="457">N256</f>
        <v>0.2</v>
      </c>
      <c r="O257" s="49">
        <f>O251+30</f>
        <v>30</v>
      </c>
      <c r="P257" s="136">
        <v>0</v>
      </c>
      <c r="Q257" s="44">
        <f t="shared" ref="Q257:R257" si="458">Q256</f>
        <v>150</v>
      </c>
      <c r="R257" s="50">
        <f t="shared" si="458"/>
        <v>210</v>
      </c>
    </row>
    <row r="258" spans="1:18" x14ac:dyDescent="0.25">
      <c r="A258" s="41">
        <f t="shared" si="439"/>
        <v>1106</v>
      </c>
      <c r="B258" s="42">
        <f t="shared" si="439"/>
        <v>248</v>
      </c>
      <c r="C258" s="41" t="s">
        <v>3049</v>
      </c>
      <c r="D258" s="43">
        <f t="shared" si="341"/>
        <v>34.199999999999996</v>
      </c>
      <c r="E258" s="61">
        <f t="shared" si="291"/>
        <v>4.375</v>
      </c>
      <c r="F258" s="61">
        <f t="shared" si="292"/>
        <v>42</v>
      </c>
      <c r="G258" s="64">
        <f t="shared" si="293"/>
        <v>0.58988764044943809</v>
      </c>
      <c r="H258" s="44">
        <f t="shared" si="359"/>
        <v>-27.618592548519779</v>
      </c>
      <c r="I258" s="42" t="str">
        <f t="shared" ref="I258:K258" si="459">I257</f>
        <v>Half</v>
      </c>
      <c r="J258" s="50">
        <f t="shared" si="459"/>
        <v>6</v>
      </c>
      <c r="K258" s="49">
        <f t="shared" si="459"/>
        <v>160</v>
      </c>
      <c r="L258" s="44">
        <f t="shared" si="295"/>
        <v>8</v>
      </c>
      <c r="M258" s="44">
        <f t="shared" si="436"/>
        <v>0</v>
      </c>
      <c r="N258" s="45">
        <f t="shared" ref="N258" si="460">N257</f>
        <v>0.2</v>
      </c>
      <c r="O258" s="49">
        <f t="shared" ref="O258:O274" si="461">O252+30</f>
        <v>30</v>
      </c>
      <c r="P258" s="53">
        <f>P257+15</f>
        <v>15</v>
      </c>
      <c r="Q258" s="44">
        <f t="shared" ref="Q258:R258" si="462">Q257</f>
        <v>150</v>
      </c>
      <c r="R258" s="50">
        <f t="shared" si="462"/>
        <v>210</v>
      </c>
    </row>
    <row r="259" spans="1:18" x14ac:dyDescent="0.25">
      <c r="A259" s="41">
        <f t="shared" si="439"/>
        <v>1107</v>
      </c>
      <c r="B259" s="42">
        <f t="shared" si="439"/>
        <v>249</v>
      </c>
      <c r="C259" s="41" t="s">
        <v>3050</v>
      </c>
      <c r="D259" s="43">
        <f t="shared" si="341"/>
        <v>34.199999999999996</v>
      </c>
      <c r="E259" s="61">
        <f t="shared" si="291"/>
        <v>4.375</v>
      </c>
      <c r="F259" s="61">
        <f t="shared" si="292"/>
        <v>42</v>
      </c>
      <c r="G259" s="64">
        <f t="shared" si="293"/>
        <v>0.58988764044943809</v>
      </c>
      <c r="H259" s="44">
        <f t="shared" si="359"/>
        <v>-27.618592548519779</v>
      </c>
      <c r="I259" s="42" t="s">
        <v>12</v>
      </c>
      <c r="J259" s="50">
        <f t="shared" ref="J259:K259" si="463">J258</f>
        <v>6</v>
      </c>
      <c r="K259" s="49">
        <f t="shared" si="463"/>
        <v>160</v>
      </c>
      <c r="L259" s="44">
        <f t="shared" si="295"/>
        <v>8</v>
      </c>
      <c r="M259" s="44">
        <f t="shared" si="436"/>
        <v>0</v>
      </c>
      <c r="N259" s="45">
        <f t="shared" ref="N259" si="464">N258</f>
        <v>0.2</v>
      </c>
      <c r="O259" s="49">
        <f t="shared" si="461"/>
        <v>30</v>
      </c>
      <c r="P259" s="53">
        <f t="shared" ref="P259:P262" si="465">P258+15</f>
        <v>30</v>
      </c>
      <c r="Q259" s="44">
        <f t="shared" ref="Q259:R259" si="466">Q258</f>
        <v>150</v>
      </c>
      <c r="R259" s="50">
        <f t="shared" si="466"/>
        <v>210</v>
      </c>
    </row>
    <row r="260" spans="1:18" x14ac:dyDescent="0.25">
      <c r="A260" s="41">
        <f t="shared" si="439"/>
        <v>1108</v>
      </c>
      <c r="B260" s="42">
        <f t="shared" si="439"/>
        <v>250</v>
      </c>
      <c r="C260" s="41" t="s">
        <v>3051</v>
      </c>
      <c r="D260" s="43">
        <f t="shared" si="341"/>
        <v>34.199999999999996</v>
      </c>
      <c r="E260" s="61">
        <f t="shared" si="291"/>
        <v>4.375</v>
      </c>
      <c r="F260" s="61">
        <f t="shared" si="292"/>
        <v>42</v>
      </c>
      <c r="G260" s="64">
        <f t="shared" si="293"/>
        <v>0.58988764044943809</v>
      </c>
      <c r="H260" s="44">
        <f t="shared" si="359"/>
        <v>-27.618592548519779</v>
      </c>
      <c r="I260" s="42" t="str">
        <f>I259</f>
        <v>Half</v>
      </c>
      <c r="J260" s="50">
        <f t="shared" ref="J260:K260" si="467">J259</f>
        <v>6</v>
      </c>
      <c r="K260" s="49">
        <f t="shared" si="467"/>
        <v>160</v>
      </c>
      <c r="L260" s="44">
        <f t="shared" si="295"/>
        <v>8</v>
      </c>
      <c r="M260" s="44">
        <f t="shared" si="436"/>
        <v>0</v>
      </c>
      <c r="N260" s="45">
        <f t="shared" ref="N260" si="468">N259</f>
        <v>0.2</v>
      </c>
      <c r="O260" s="49">
        <f t="shared" si="461"/>
        <v>30</v>
      </c>
      <c r="P260" s="53">
        <f t="shared" si="465"/>
        <v>45</v>
      </c>
      <c r="Q260" s="44">
        <f t="shared" ref="Q260:R260" si="469">Q259</f>
        <v>150</v>
      </c>
      <c r="R260" s="50">
        <f t="shared" si="469"/>
        <v>210</v>
      </c>
    </row>
    <row r="261" spans="1:18" x14ac:dyDescent="0.25">
      <c r="A261" s="41">
        <f t="shared" si="439"/>
        <v>1109</v>
      </c>
      <c r="B261" s="42">
        <f t="shared" si="439"/>
        <v>251</v>
      </c>
      <c r="C261" s="41" t="s">
        <v>3052</v>
      </c>
      <c r="D261" s="43">
        <f t="shared" si="341"/>
        <v>34.199999999999996</v>
      </c>
      <c r="E261" s="61">
        <f t="shared" si="291"/>
        <v>4.375</v>
      </c>
      <c r="F261" s="61">
        <f t="shared" si="292"/>
        <v>42</v>
      </c>
      <c r="G261" s="64">
        <f t="shared" si="293"/>
        <v>0.58988764044943809</v>
      </c>
      <c r="H261" s="44">
        <f t="shared" si="359"/>
        <v>-27.618592548519779</v>
      </c>
      <c r="I261" s="42" t="str">
        <f t="shared" ref="I261:K261" si="470">I260</f>
        <v>Half</v>
      </c>
      <c r="J261" s="50">
        <f t="shared" si="470"/>
        <v>6</v>
      </c>
      <c r="K261" s="49">
        <f t="shared" si="470"/>
        <v>160</v>
      </c>
      <c r="L261" s="44">
        <f t="shared" si="295"/>
        <v>8</v>
      </c>
      <c r="M261" s="44">
        <f t="shared" si="436"/>
        <v>0</v>
      </c>
      <c r="N261" s="45">
        <f t="shared" ref="N261" si="471">N260</f>
        <v>0.2</v>
      </c>
      <c r="O261" s="49">
        <f t="shared" si="461"/>
        <v>30</v>
      </c>
      <c r="P261" s="53">
        <f t="shared" si="465"/>
        <v>60</v>
      </c>
      <c r="Q261" s="44">
        <f t="shared" ref="Q261:R261" si="472">Q260</f>
        <v>150</v>
      </c>
      <c r="R261" s="50">
        <f t="shared" si="472"/>
        <v>210</v>
      </c>
    </row>
    <row r="262" spans="1:18" x14ac:dyDescent="0.25">
      <c r="A262" s="41">
        <f t="shared" si="439"/>
        <v>1110</v>
      </c>
      <c r="B262" s="42">
        <f t="shared" si="439"/>
        <v>252</v>
      </c>
      <c r="C262" s="41" t="s">
        <v>3053</v>
      </c>
      <c r="D262" s="43">
        <f t="shared" si="341"/>
        <v>34.199999999999996</v>
      </c>
      <c r="E262" s="61">
        <f t="shared" si="291"/>
        <v>4.375</v>
      </c>
      <c r="F262" s="61">
        <f t="shared" si="292"/>
        <v>42</v>
      </c>
      <c r="G262" s="64">
        <f t="shared" si="293"/>
        <v>0.58988764044943809</v>
      </c>
      <c r="H262" s="44">
        <f t="shared" si="359"/>
        <v>-27.618592548519779</v>
      </c>
      <c r="I262" s="42" t="str">
        <f t="shared" ref="I262:K262" si="473">I261</f>
        <v>Half</v>
      </c>
      <c r="J262" s="50">
        <f t="shared" si="473"/>
        <v>6</v>
      </c>
      <c r="K262" s="49">
        <f t="shared" si="473"/>
        <v>160</v>
      </c>
      <c r="L262" s="44">
        <f t="shared" si="295"/>
        <v>8</v>
      </c>
      <c r="M262" s="44">
        <f t="shared" si="436"/>
        <v>0</v>
      </c>
      <c r="N262" s="45">
        <f t="shared" ref="N262" si="474">N261</f>
        <v>0.2</v>
      </c>
      <c r="O262" s="49">
        <f t="shared" si="461"/>
        <v>30</v>
      </c>
      <c r="P262" s="53">
        <f t="shared" si="465"/>
        <v>75</v>
      </c>
      <c r="Q262" s="44">
        <f t="shared" ref="Q262:R262" si="475">Q261</f>
        <v>150</v>
      </c>
      <c r="R262" s="50">
        <f t="shared" si="475"/>
        <v>210</v>
      </c>
    </row>
    <row r="263" spans="1:18" x14ac:dyDescent="0.25">
      <c r="A263" s="41">
        <f t="shared" si="439"/>
        <v>1111</v>
      </c>
      <c r="B263" s="42">
        <f t="shared" si="439"/>
        <v>253</v>
      </c>
      <c r="C263" s="41" t="s">
        <v>3054</v>
      </c>
      <c r="D263" s="43">
        <f t="shared" si="341"/>
        <v>34.199999999999996</v>
      </c>
      <c r="E263" s="61">
        <f t="shared" si="291"/>
        <v>4.375</v>
      </c>
      <c r="F263" s="61">
        <f t="shared" si="292"/>
        <v>42</v>
      </c>
      <c r="G263" s="64">
        <f t="shared" si="293"/>
        <v>0.58988764044943809</v>
      </c>
      <c r="H263" s="44">
        <f t="shared" si="359"/>
        <v>-27.618592548519779</v>
      </c>
      <c r="I263" s="42" t="str">
        <f t="shared" ref="I263:K263" si="476">I262</f>
        <v>Half</v>
      </c>
      <c r="J263" s="50">
        <f t="shared" si="476"/>
        <v>6</v>
      </c>
      <c r="K263" s="49">
        <f t="shared" si="476"/>
        <v>160</v>
      </c>
      <c r="L263" s="44">
        <f t="shared" si="295"/>
        <v>8</v>
      </c>
      <c r="M263" s="44">
        <f t="shared" si="436"/>
        <v>0</v>
      </c>
      <c r="N263" s="45">
        <f t="shared" ref="N263" si="477">N262</f>
        <v>0.2</v>
      </c>
      <c r="O263" s="49">
        <f t="shared" si="461"/>
        <v>60</v>
      </c>
      <c r="P263" s="136">
        <v>0</v>
      </c>
      <c r="Q263" s="44">
        <f t="shared" ref="Q263:R263" si="478">Q262</f>
        <v>150</v>
      </c>
      <c r="R263" s="50">
        <f t="shared" si="478"/>
        <v>210</v>
      </c>
    </row>
    <row r="264" spans="1:18" x14ac:dyDescent="0.25">
      <c r="A264" s="41">
        <f t="shared" si="439"/>
        <v>1112</v>
      </c>
      <c r="B264" s="42">
        <f t="shared" si="439"/>
        <v>254</v>
      </c>
      <c r="C264" s="41" t="s">
        <v>3055</v>
      </c>
      <c r="D264" s="43">
        <f t="shared" si="341"/>
        <v>34.199999999999996</v>
      </c>
      <c r="E264" s="61">
        <f t="shared" si="291"/>
        <v>4.375</v>
      </c>
      <c r="F264" s="61">
        <f t="shared" si="292"/>
        <v>42</v>
      </c>
      <c r="G264" s="64">
        <f t="shared" si="293"/>
        <v>0.58988764044943809</v>
      </c>
      <c r="H264" s="44">
        <f t="shared" si="359"/>
        <v>-27.618592548519779</v>
      </c>
      <c r="I264" s="42" t="str">
        <f t="shared" ref="I264:K264" si="479">I263</f>
        <v>Half</v>
      </c>
      <c r="J264" s="50">
        <f t="shared" si="479"/>
        <v>6</v>
      </c>
      <c r="K264" s="49">
        <f t="shared" si="479"/>
        <v>160</v>
      </c>
      <c r="L264" s="44">
        <f t="shared" si="295"/>
        <v>8</v>
      </c>
      <c r="M264" s="44">
        <f t="shared" si="436"/>
        <v>0</v>
      </c>
      <c r="N264" s="45">
        <f t="shared" ref="N264" si="480">N263</f>
        <v>0.2</v>
      </c>
      <c r="O264" s="49">
        <f t="shared" si="461"/>
        <v>60</v>
      </c>
      <c r="P264" s="53">
        <f>P263+15</f>
        <v>15</v>
      </c>
      <c r="Q264" s="44">
        <f t="shared" ref="Q264:R264" si="481">Q263</f>
        <v>150</v>
      </c>
      <c r="R264" s="50">
        <f t="shared" si="481"/>
        <v>210</v>
      </c>
    </row>
    <row r="265" spans="1:18" x14ac:dyDescent="0.25">
      <c r="A265" s="41">
        <f t="shared" si="439"/>
        <v>1113</v>
      </c>
      <c r="B265" s="42">
        <f t="shared" si="439"/>
        <v>255</v>
      </c>
      <c r="C265" s="41" t="s">
        <v>3056</v>
      </c>
      <c r="D265" s="43">
        <f t="shared" si="341"/>
        <v>34.199999999999996</v>
      </c>
      <c r="E265" s="61">
        <f t="shared" si="291"/>
        <v>4.375</v>
      </c>
      <c r="F265" s="61">
        <f t="shared" si="292"/>
        <v>42</v>
      </c>
      <c r="G265" s="64">
        <f t="shared" si="293"/>
        <v>0.58988764044943809</v>
      </c>
      <c r="H265" s="44">
        <f t="shared" si="359"/>
        <v>-27.618592548519779</v>
      </c>
      <c r="I265" s="42" t="str">
        <f t="shared" ref="I265:K265" si="482">I264</f>
        <v>Half</v>
      </c>
      <c r="J265" s="50">
        <f t="shared" si="482"/>
        <v>6</v>
      </c>
      <c r="K265" s="49">
        <f t="shared" si="482"/>
        <v>160</v>
      </c>
      <c r="L265" s="44">
        <f t="shared" si="295"/>
        <v>8</v>
      </c>
      <c r="M265" s="44">
        <f t="shared" si="436"/>
        <v>0</v>
      </c>
      <c r="N265" s="45">
        <f t="shared" ref="N265" si="483">N264</f>
        <v>0.2</v>
      </c>
      <c r="O265" s="49">
        <f t="shared" si="461"/>
        <v>60</v>
      </c>
      <c r="P265" s="53">
        <f t="shared" ref="P265:P268" si="484">P264+15</f>
        <v>30</v>
      </c>
      <c r="Q265" s="44">
        <f t="shared" ref="Q265:R265" si="485">Q264</f>
        <v>150</v>
      </c>
      <c r="R265" s="50">
        <f t="shared" si="485"/>
        <v>210</v>
      </c>
    </row>
    <row r="266" spans="1:18" x14ac:dyDescent="0.25">
      <c r="A266" s="41">
        <f t="shared" si="439"/>
        <v>1114</v>
      </c>
      <c r="B266" s="42">
        <f t="shared" si="439"/>
        <v>256</v>
      </c>
      <c r="C266" s="41" t="s">
        <v>3057</v>
      </c>
      <c r="D266" s="43">
        <f t="shared" si="341"/>
        <v>34.199999999999996</v>
      </c>
      <c r="E266" s="61">
        <f t="shared" si="291"/>
        <v>4.375</v>
      </c>
      <c r="F266" s="61">
        <f t="shared" si="292"/>
        <v>42</v>
      </c>
      <c r="G266" s="64">
        <f t="shared" si="293"/>
        <v>0.58988764044943809</v>
      </c>
      <c r="H266" s="44">
        <f t="shared" si="359"/>
        <v>-27.618592548519779</v>
      </c>
      <c r="I266" s="42" t="str">
        <f t="shared" ref="I266:K266" si="486">I265</f>
        <v>Half</v>
      </c>
      <c r="J266" s="50">
        <f t="shared" si="486"/>
        <v>6</v>
      </c>
      <c r="K266" s="49">
        <f t="shared" si="486"/>
        <v>160</v>
      </c>
      <c r="L266" s="44">
        <f t="shared" si="295"/>
        <v>8</v>
      </c>
      <c r="M266" s="44">
        <f t="shared" si="436"/>
        <v>0</v>
      </c>
      <c r="N266" s="45">
        <f t="shared" ref="N266" si="487">N265</f>
        <v>0.2</v>
      </c>
      <c r="O266" s="49">
        <f t="shared" si="461"/>
        <v>60</v>
      </c>
      <c r="P266" s="53">
        <f t="shared" si="484"/>
        <v>45</v>
      </c>
      <c r="Q266" s="44">
        <f t="shared" ref="Q266:R266" si="488">Q265</f>
        <v>150</v>
      </c>
      <c r="R266" s="50">
        <f t="shared" si="488"/>
        <v>210</v>
      </c>
    </row>
    <row r="267" spans="1:18" x14ac:dyDescent="0.25">
      <c r="A267" s="41">
        <f t="shared" si="439"/>
        <v>1115</v>
      </c>
      <c r="B267" s="42">
        <f t="shared" si="439"/>
        <v>257</v>
      </c>
      <c r="C267" s="41" t="s">
        <v>3058</v>
      </c>
      <c r="D267" s="43">
        <f t="shared" si="341"/>
        <v>34.199999999999996</v>
      </c>
      <c r="E267" s="61">
        <f t="shared" ref="E267:E330" si="489">I_ref*(0.75*D267+5.6)</f>
        <v>4.375</v>
      </c>
      <c r="F267" s="61">
        <f t="shared" ref="F267:F330" si="490">tur_scale</f>
        <v>42</v>
      </c>
      <c r="G267" s="64">
        <f t="shared" ref="G267:G330" si="491">1/(1+0.2*(diameter/F267))</f>
        <v>0.58988764044943809</v>
      </c>
      <c r="H267" s="44">
        <f t="shared" si="359"/>
        <v>-27.618592548519779</v>
      </c>
      <c r="I267" s="42" t="str">
        <f t="shared" ref="I267:K267" si="492">I266</f>
        <v>Half</v>
      </c>
      <c r="J267" s="50">
        <f t="shared" si="492"/>
        <v>6</v>
      </c>
      <c r="K267" s="49">
        <f t="shared" si="492"/>
        <v>160</v>
      </c>
      <c r="L267" s="44">
        <f t="shared" ref="L267:L330" si="493">inflow</f>
        <v>8</v>
      </c>
      <c r="M267" s="44">
        <f t="shared" si="436"/>
        <v>0</v>
      </c>
      <c r="N267" s="45">
        <f t="shared" ref="N267" si="494">N266</f>
        <v>0.2</v>
      </c>
      <c r="O267" s="49">
        <f t="shared" si="461"/>
        <v>60</v>
      </c>
      <c r="P267" s="53">
        <f t="shared" si="484"/>
        <v>60</v>
      </c>
      <c r="Q267" s="44">
        <f t="shared" ref="Q267:R267" si="495">Q266</f>
        <v>150</v>
      </c>
      <c r="R267" s="50">
        <f t="shared" si="495"/>
        <v>210</v>
      </c>
    </row>
    <row r="268" spans="1:18" x14ac:dyDescent="0.25">
      <c r="A268" s="41">
        <f t="shared" ref="A268:B283" si="496">A267+1</f>
        <v>1116</v>
      </c>
      <c r="B268" s="42">
        <f t="shared" si="496"/>
        <v>258</v>
      </c>
      <c r="C268" s="41" t="s">
        <v>3059</v>
      </c>
      <c r="D268" s="43">
        <f t="shared" si="341"/>
        <v>34.199999999999996</v>
      </c>
      <c r="E268" s="61">
        <f t="shared" si="489"/>
        <v>4.375</v>
      </c>
      <c r="F268" s="61">
        <f t="shared" si="490"/>
        <v>42</v>
      </c>
      <c r="G268" s="64">
        <f t="shared" si="491"/>
        <v>0.58988764044943809</v>
      </c>
      <c r="H268" s="44">
        <f t="shared" si="359"/>
        <v>-27.618592548519779</v>
      </c>
      <c r="I268" s="42" t="str">
        <f t="shared" ref="I268:K268" si="497">I267</f>
        <v>Half</v>
      </c>
      <c r="J268" s="50">
        <f t="shared" si="497"/>
        <v>6</v>
      </c>
      <c r="K268" s="49">
        <f t="shared" si="497"/>
        <v>160</v>
      </c>
      <c r="L268" s="44">
        <f t="shared" si="493"/>
        <v>8</v>
      </c>
      <c r="M268" s="44">
        <f t="shared" si="436"/>
        <v>0</v>
      </c>
      <c r="N268" s="45">
        <f t="shared" ref="N268" si="498">N267</f>
        <v>0.2</v>
      </c>
      <c r="O268" s="49">
        <f t="shared" si="461"/>
        <v>60</v>
      </c>
      <c r="P268" s="135">
        <f t="shared" si="484"/>
        <v>75</v>
      </c>
      <c r="Q268" s="44">
        <f t="shared" ref="Q268:R268" si="499">Q267</f>
        <v>150</v>
      </c>
      <c r="R268" s="50">
        <f t="shared" si="499"/>
        <v>210</v>
      </c>
    </row>
    <row r="269" spans="1:18" x14ac:dyDescent="0.25">
      <c r="A269" s="41">
        <f t="shared" si="496"/>
        <v>1117</v>
      </c>
      <c r="B269" s="42">
        <f t="shared" si="496"/>
        <v>259</v>
      </c>
      <c r="C269" s="41" t="s">
        <v>3060</v>
      </c>
      <c r="D269" s="43">
        <f t="shared" si="341"/>
        <v>34.199999999999996</v>
      </c>
      <c r="E269" s="61">
        <f t="shared" si="489"/>
        <v>4.375</v>
      </c>
      <c r="F269" s="61">
        <f t="shared" si="490"/>
        <v>42</v>
      </c>
      <c r="G269" s="64">
        <f t="shared" si="491"/>
        <v>0.58988764044943809</v>
      </c>
      <c r="H269" s="44">
        <f t="shared" si="359"/>
        <v>-27.618592548519779</v>
      </c>
      <c r="I269" s="42" t="str">
        <f t="shared" ref="I269:K269" si="500">I268</f>
        <v>Half</v>
      </c>
      <c r="J269" s="50">
        <f t="shared" si="500"/>
        <v>6</v>
      </c>
      <c r="K269" s="49">
        <f t="shared" si="500"/>
        <v>160</v>
      </c>
      <c r="L269" s="44">
        <f t="shared" si="493"/>
        <v>8</v>
      </c>
      <c r="M269" s="44">
        <f t="shared" si="436"/>
        <v>0</v>
      </c>
      <c r="N269" s="45">
        <f t="shared" ref="N269" si="501">N268</f>
        <v>0.2</v>
      </c>
      <c r="O269" s="49">
        <f t="shared" si="461"/>
        <v>90</v>
      </c>
      <c r="P269" s="136">
        <v>0</v>
      </c>
      <c r="Q269" s="44">
        <f t="shared" ref="Q269:R269" si="502">Q268</f>
        <v>150</v>
      </c>
      <c r="R269" s="50">
        <f t="shared" si="502"/>
        <v>210</v>
      </c>
    </row>
    <row r="270" spans="1:18" x14ac:dyDescent="0.25">
      <c r="A270" s="41">
        <f t="shared" si="496"/>
        <v>1118</v>
      </c>
      <c r="B270" s="42">
        <f t="shared" si="496"/>
        <v>260</v>
      </c>
      <c r="C270" s="41" t="s">
        <v>3061</v>
      </c>
      <c r="D270" s="43">
        <f t="shared" si="341"/>
        <v>34.199999999999996</v>
      </c>
      <c r="E270" s="61">
        <f t="shared" si="489"/>
        <v>4.375</v>
      </c>
      <c r="F270" s="61">
        <f t="shared" si="490"/>
        <v>42</v>
      </c>
      <c r="G270" s="64">
        <f t="shared" si="491"/>
        <v>0.58988764044943809</v>
      </c>
      <c r="H270" s="44">
        <f t="shared" si="359"/>
        <v>-27.618592548519779</v>
      </c>
      <c r="I270" s="42" t="str">
        <f t="shared" ref="I270:K270" si="503">I269</f>
        <v>Half</v>
      </c>
      <c r="J270" s="50">
        <f t="shared" si="503"/>
        <v>6</v>
      </c>
      <c r="K270" s="49">
        <f t="shared" si="503"/>
        <v>160</v>
      </c>
      <c r="L270" s="44">
        <f t="shared" si="493"/>
        <v>8</v>
      </c>
      <c r="M270" s="44">
        <f t="shared" si="436"/>
        <v>0</v>
      </c>
      <c r="N270" s="45">
        <f t="shared" ref="N270" si="504">N269</f>
        <v>0.2</v>
      </c>
      <c r="O270" s="49">
        <f t="shared" si="461"/>
        <v>90</v>
      </c>
      <c r="P270" s="53">
        <f>P269+15</f>
        <v>15</v>
      </c>
      <c r="Q270" s="44">
        <f t="shared" ref="Q270:R270" si="505">Q269</f>
        <v>150</v>
      </c>
      <c r="R270" s="50">
        <f t="shared" si="505"/>
        <v>210</v>
      </c>
    </row>
    <row r="271" spans="1:18" x14ac:dyDescent="0.25">
      <c r="A271" s="41">
        <f t="shared" si="496"/>
        <v>1119</v>
      </c>
      <c r="B271" s="42">
        <f t="shared" si="496"/>
        <v>261</v>
      </c>
      <c r="C271" s="41" t="s">
        <v>3062</v>
      </c>
      <c r="D271" s="43">
        <f t="shared" si="341"/>
        <v>34.199999999999996</v>
      </c>
      <c r="E271" s="61">
        <f t="shared" si="489"/>
        <v>4.375</v>
      </c>
      <c r="F271" s="61">
        <f t="shared" si="490"/>
        <v>42</v>
      </c>
      <c r="G271" s="64">
        <f t="shared" si="491"/>
        <v>0.58988764044943809</v>
      </c>
      <c r="H271" s="44">
        <f t="shared" si="359"/>
        <v>-27.618592548519779</v>
      </c>
      <c r="I271" s="42" t="str">
        <f t="shared" ref="I271:K271" si="506">I270</f>
        <v>Half</v>
      </c>
      <c r="J271" s="50">
        <f t="shared" si="506"/>
        <v>6</v>
      </c>
      <c r="K271" s="49">
        <f t="shared" si="506"/>
        <v>160</v>
      </c>
      <c r="L271" s="44">
        <f t="shared" si="493"/>
        <v>8</v>
      </c>
      <c r="M271" s="44">
        <f t="shared" si="436"/>
        <v>0</v>
      </c>
      <c r="N271" s="45">
        <f t="shared" ref="N271" si="507">N270</f>
        <v>0.2</v>
      </c>
      <c r="O271" s="49">
        <f>O265+30</f>
        <v>90</v>
      </c>
      <c r="P271" s="53">
        <f t="shared" ref="P271:P274" si="508">P270+15</f>
        <v>30</v>
      </c>
      <c r="Q271" s="44">
        <f t="shared" ref="Q271:R271" si="509">Q270</f>
        <v>150</v>
      </c>
      <c r="R271" s="50">
        <f t="shared" si="509"/>
        <v>210</v>
      </c>
    </row>
    <row r="272" spans="1:18" x14ac:dyDescent="0.25">
      <c r="A272" s="41">
        <f t="shared" si="496"/>
        <v>1120</v>
      </c>
      <c r="B272" s="42">
        <f t="shared" si="496"/>
        <v>262</v>
      </c>
      <c r="C272" s="41" t="s">
        <v>3063</v>
      </c>
      <c r="D272" s="43">
        <f t="shared" si="341"/>
        <v>34.199999999999996</v>
      </c>
      <c r="E272" s="61">
        <f t="shared" si="489"/>
        <v>4.375</v>
      </c>
      <c r="F272" s="61">
        <f t="shared" si="490"/>
        <v>42</v>
      </c>
      <c r="G272" s="64">
        <f t="shared" si="491"/>
        <v>0.58988764044943809</v>
      </c>
      <c r="H272" s="44">
        <f t="shared" si="359"/>
        <v>-27.618592548519779</v>
      </c>
      <c r="I272" s="42" t="str">
        <f>I271</f>
        <v>Half</v>
      </c>
      <c r="J272" s="50">
        <f t="shared" ref="J272:K272" si="510">J271</f>
        <v>6</v>
      </c>
      <c r="K272" s="49">
        <f t="shared" si="510"/>
        <v>160</v>
      </c>
      <c r="L272" s="44">
        <f t="shared" si="493"/>
        <v>8</v>
      </c>
      <c r="M272" s="44">
        <f t="shared" si="436"/>
        <v>0</v>
      </c>
      <c r="N272" s="45">
        <f t="shared" ref="N272" si="511">N271</f>
        <v>0.2</v>
      </c>
      <c r="O272" s="49">
        <f t="shared" si="461"/>
        <v>90</v>
      </c>
      <c r="P272" s="53">
        <f t="shared" si="508"/>
        <v>45</v>
      </c>
      <c r="Q272" s="44">
        <f t="shared" ref="Q272:R272" si="512">Q271</f>
        <v>150</v>
      </c>
      <c r="R272" s="50">
        <f t="shared" si="512"/>
        <v>210</v>
      </c>
    </row>
    <row r="273" spans="1:18" x14ac:dyDescent="0.25">
      <c r="A273" s="41">
        <f t="shared" si="496"/>
        <v>1121</v>
      </c>
      <c r="B273" s="42">
        <f t="shared" si="496"/>
        <v>263</v>
      </c>
      <c r="C273" s="41" t="s">
        <v>3064</v>
      </c>
      <c r="D273" s="43">
        <f t="shared" si="341"/>
        <v>34.199999999999996</v>
      </c>
      <c r="E273" s="61">
        <f t="shared" si="489"/>
        <v>4.375</v>
      </c>
      <c r="F273" s="61">
        <f t="shared" si="490"/>
        <v>42</v>
      </c>
      <c r="G273" s="64">
        <f t="shared" si="491"/>
        <v>0.58988764044943809</v>
      </c>
      <c r="H273" s="44">
        <f t="shared" si="359"/>
        <v>-27.618592548519779</v>
      </c>
      <c r="I273" s="42" t="str">
        <f>I272</f>
        <v>Half</v>
      </c>
      <c r="J273" s="50">
        <f t="shared" ref="J273:K273" si="513">J272</f>
        <v>6</v>
      </c>
      <c r="K273" s="49">
        <f t="shared" si="513"/>
        <v>160</v>
      </c>
      <c r="L273" s="44">
        <f t="shared" si="493"/>
        <v>8</v>
      </c>
      <c r="M273" s="44">
        <f t="shared" si="436"/>
        <v>0</v>
      </c>
      <c r="N273" s="45">
        <f t="shared" ref="N273" si="514">N272</f>
        <v>0.2</v>
      </c>
      <c r="O273" s="49">
        <f t="shared" si="461"/>
        <v>90</v>
      </c>
      <c r="P273" s="53">
        <f t="shared" si="508"/>
        <v>60</v>
      </c>
      <c r="Q273" s="44">
        <f t="shared" ref="Q273:R273" si="515">Q272</f>
        <v>150</v>
      </c>
      <c r="R273" s="50">
        <f t="shared" si="515"/>
        <v>210</v>
      </c>
    </row>
    <row r="274" spans="1:18" x14ac:dyDescent="0.25">
      <c r="A274" s="41">
        <f t="shared" si="496"/>
        <v>1122</v>
      </c>
      <c r="B274" s="42">
        <f t="shared" si="496"/>
        <v>264</v>
      </c>
      <c r="C274" s="41" t="s">
        <v>3065</v>
      </c>
      <c r="D274" s="43">
        <f t="shared" si="341"/>
        <v>34.199999999999996</v>
      </c>
      <c r="E274" s="61">
        <f t="shared" si="489"/>
        <v>4.375</v>
      </c>
      <c r="F274" s="61">
        <f t="shared" si="490"/>
        <v>42</v>
      </c>
      <c r="G274" s="64">
        <f t="shared" si="491"/>
        <v>0.58988764044943809</v>
      </c>
      <c r="H274" s="44">
        <f t="shared" si="359"/>
        <v>-27.618592548519779</v>
      </c>
      <c r="I274" s="42" t="str">
        <f>I273</f>
        <v>Half</v>
      </c>
      <c r="J274" s="50">
        <f t="shared" ref="J274:K274" si="516">J273</f>
        <v>6</v>
      </c>
      <c r="K274" s="49">
        <f t="shared" si="516"/>
        <v>160</v>
      </c>
      <c r="L274" s="44">
        <f t="shared" si="493"/>
        <v>8</v>
      </c>
      <c r="M274" s="44">
        <f t="shared" si="436"/>
        <v>0</v>
      </c>
      <c r="N274" s="45">
        <f t="shared" ref="N274" si="517">N273</f>
        <v>0.2</v>
      </c>
      <c r="O274" s="49">
        <f t="shared" si="461"/>
        <v>90</v>
      </c>
      <c r="P274" s="53">
        <f t="shared" si="508"/>
        <v>75</v>
      </c>
      <c r="Q274" s="44">
        <f t="shared" ref="Q274:R274" si="518">Q273</f>
        <v>150</v>
      </c>
      <c r="R274" s="50">
        <f t="shared" si="518"/>
        <v>210</v>
      </c>
    </row>
    <row r="275" spans="1:18" x14ac:dyDescent="0.25">
      <c r="A275" s="41">
        <f t="shared" si="496"/>
        <v>1123</v>
      </c>
      <c r="B275" s="42">
        <f t="shared" si="496"/>
        <v>265</v>
      </c>
      <c r="C275" s="41" t="s">
        <v>3066</v>
      </c>
      <c r="D275" s="43">
        <f t="shared" si="341"/>
        <v>34.199999999999996</v>
      </c>
      <c r="E275" s="61">
        <f t="shared" si="489"/>
        <v>4.375</v>
      </c>
      <c r="F275" s="61">
        <f t="shared" si="490"/>
        <v>42</v>
      </c>
      <c r="G275" s="64">
        <f t="shared" si="491"/>
        <v>0.58988764044943809</v>
      </c>
      <c r="H275" s="44">
        <f t="shared" si="359"/>
        <v>-27.618592548519779</v>
      </c>
      <c r="I275" s="42" t="str">
        <f t="shared" ref="I275:K275" si="519">I274</f>
        <v>Half</v>
      </c>
      <c r="J275" s="50">
        <f t="shared" si="519"/>
        <v>6</v>
      </c>
      <c r="K275" s="49">
        <f t="shared" si="519"/>
        <v>160</v>
      </c>
      <c r="L275" s="44">
        <f t="shared" si="493"/>
        <v>8</v>
      </c>
      <c r="M275" s="44">
        <f t="shared" ref="M275:M298" si="520">yaw_max</f>
        <v>8</v>
      </c>
      <c r="N275" s="45">
        <f t="shared" ref="N275" si="521">N274</f>
        <v>0.2</v>
      </c>
      <c r="O275" s="49">
        <v>0</v>
      </c>
      <c r="P275" s="136">
        <v>0</v>
      </c>
      <c r="Q275" s="44">
        <f t="shared" ref="Q275:R275" si="522">Q274</f>
        <v>150</v>
      </c>
      <c r="R275" s="50">
        <f t="shared" si="522"/>
        <v>210</v>
      </c>
    </row>
    <row r="276" spans="1:18" x14ac:dyDescent="0.25">
      <c r="A276" s="41">
        <f t="shared" si="496"/>
        <v>1124</v>
      </c>
      <c r="B276" s="42">
        <f t="shared" si="496"/>
        <v>266</v>
      </c>
      <c r="C276" s="41" t="s">
        <v>3067</v>
      </c>
      <c r="D276" s="43">
        <f t="shared" si="341"/>
        <v>34.199999999999996</v>
      </c>
      <c r="E276" s="61">
        <f t="shared" si="489"/>
        <v>4.375</v>
      </c>
      <c r="F276" s="61">
        <f t="shared" si="490"/>
        <v>42</v>
      </c>
      <c r="G276" s="64">
        <f t="shared" si="491"/>
        <v>0.58988764044943809</v>
      </c>
      <c r="H276" s="44">
        <f t="shared" si="359"/>
        <v>-27.618592548519779</v>
      </c>
      <c r="I276" s="42" t="str">
        <f t="shared" ref="I276:K276" si="523">I275</f>
        <v>Half</v>
      </c>
      <c r="J276" s="50">
        <f t="shared" si="523"/>
        <v>6</v>
      </c>
      <c r="K276" s="49">
        <f t="shared" si="523"/>
        <v>160</v>
      </c>
      <c r="L276" s="44">
        <f t="shared" si="493"/>
        <v>8</v>
      </c>
      <c r="M276" s="44">
        <f t="shared" si="520"/>
        <v>8</v>
      </c>
      <c r="N276" s="45">
        <f t="shared" ref="N276" si="524">N275</f>
        <v>0.2</v>
      </c>
      <c r="O276" s="49">
        <v>0</v>
      </c>
      <c r="P276" s="53">
        <f>P275+15</f>
        <v>15</v>
      </c>
      <c r="Q276" s="44">
        <f t="shared" ref="Q276:R276" si="525">Q275</f>
        <v>150</v>
      </c>
      <c r="R276" s="50">
        <f t="shared" si="525"/>
        <v>210</v>
      </c>
    </row>
    <row r="277" spans="1:18" x14ac:dyDescent="0.25">
      <c r="A277" s="41">
        <f t="shared" si="496"/>
        <v>1125</v>
      </c>
      <c r="B277" s="42">
        <f t="shared" si="496"/>
        <v>267</v>
      </c>
      <c r="C277" s="41" t="s">
        <v>3068</v>
      </c>
      <c r="D277" s="43">
        <f t="shared" si="341"/>
        <v>34.199999999999996</v>
      </c>
      <c r="E277" s="61">
        <f t="shared" si="489"/>
        <v>4.375</v>
      </c>
      <c r="F277" s="61">
        <f t="shared" si="490"/>
        <v>42</v>
      </c>
      <c r="G277" s="64">
        <f t="shared" si="491"/>
        <v>0.58988764044943809</v>
      </c>
      <c r="H277" s="44">
        <f t="shared" si="359"/>
        <v>-27.618592548519779</v>
      </c>
      <c r="I277" s="42" t="str">
        <f t="shared" ref="I277:K277" si="526">I276</f>
        <v>Half</v>
      </c>
      <c r="J277" s="50">
        <f t="shared" si="526"/>
        <v>6</v>
      </c>
      <c r="K277" s="49">
        <f t="shared" si="526"/>
        <v>160</v>
      </c>
      <c r="L277" s="44">
        <f t="shared" si="493"/>
        <v>8</v>
      </c>
      <c r="M277" s="44">
        <f t="shared" si="520"/>
        <v>8</v>
      </c>
      <c r="N277" s="45">
        <f t="shared" ref="N277" si="527">N276</f>
        <v>0.2</v>
      </c>
      <c r="O277" s="49">
        <v>0</v>
      </c>
      <c r="P277" s="53">
        <f t="shared" ref="P277:P280" si="528">P276+15</f>
        <v>30</v>
      </c>
      <c r="Q277" s="44">
        <f t="shared" ref="Q277:R277" si="529">Q276</f>
        <v>150</v>
      </c>
      <c r="R277" s="50">
        <f t="shared" si="529"/>
        <v>210</v>
      </c>
    </row>
    <row r="278" spans="1:18" x14ac:dyDescent="0.25">
      <c r="A278" s="41">
        <f t="shared" si="496"/>
        <v>1126</v>
      </c>
      <c r="B278" s="42">
        <f t="shared" si="496"/>
        <v>268</v>
      </c>
      <c r="C278" s="41" t="s">
        <v>3069</v>
      </c>
      <c r="D278" s="43">
        <f t="shared" si="341"/>
        <v>34.199999999999996</v>
      </c>
      <c r="E278" s="61">
        <f t="shared" si="489"/>
        <v>4.375</v>
      </c>
      <c r="F278" s="61">
        <f t="shared" si="490"/>
        <v>42</v>
      </c>
      <c r="G278" s="64">
        <f t="shared" si="491"/>
        <v>0.58988764044943809</v>
      </c>
      <c r="H278" s="44">
        <f t="shared" si="359"/>
        <v>-27.618592548519779</v>
      </c>
      <c r="I278" s="42" t="str">
        <f t="shared" ref="I278:K278" si="530">I277</f>
        <v>Half</v>
      </c>
      <c r="J278" s="50">
        <f t="shared" si="530"/>
        <v>6</v>
      </c>
      <c r="K278" s="49">
        <f t="shared" si="530"/>
        <v>160</v>
      </c>
      <c r="L278" s="44">
        <f t="shared" si="493"/>
        <v>8</v>
      </c>
      <c r="M278" s="44">
        <f t="shared" si="520"/>
        <v>8</v>
      </c>
      <c r="N278" s="45">
        <f t="shared" ref="N278" si="531">N277</f>
        <v>0.2</v>
      </c>
      <c r="O278" s="49">
        <v>0</v>
      </c>
      <c r="P278" s="53">
        <f t="shared" si="528"/>
        <v>45</v>
      </c>
      <c r="Q278" s="44">
        <f t="shared" ref="Q278:R278" si="532">Q277</f>
        <v>150</v>
      </c>
      <c r="R278" s="50">
        <f t="shared" si="532"/>
        <v>210</v>
      </c>
    </row>
    <row r="279" spans="1:18" x14ac:dyDescent="0.25">
      <c r="A279" s="41">
        <f t="shared" si="496"/>
        <v>1127</v>
      </c>
      <c r="B279" s="42">
        <f t="shared" si="496"/>
        <v>269</v>
      </c>
      <c r="C279" s="41" t="s">
        <v>3070</v>
      </c>
      <c r="D279" s="43">
        <f t="shared" si="341"/>
        <v>34.199999999999996</v>
      </c>
      <c r="E279" s="61">
        <f t="shared" si="489"/>
        <v>4.375</v>
      </c>
      <c r="F279" s="61">
        <f t="shared" si="490"/>
        <v>42</v>
      </c>
      <c r="G279" s="64">
        <f t="shared" si="491"/>
        <v>0.58988764044943809</v>
      </c>
      <c r="H279" s="44">
        <f t="shared" si="359"/>
        <v>-27.618592548519779</v>
      </c>
      <c r="I279" s="42" t="s">
        <v>12</v>
      </c>
      <c r="J279" s="50">
        <f t="shared" ref="J279:K279" si="533">J278</f>
        <v>6</v>
      </c>
      <c r="K279" s="49">
        <f t="shared" si="533"/>
        <v>160</v>
      </c>
      <c r="L279" s="44">
        <f t="shared" si="493"/>
        <v>8</v>
      </c>
      <c r="M279" s="44">
        <f t="shared" si="520"/>
        <v>8</v>
      </c>
      <c r="N279" s="45">
        <f t="shared" ref="N279" si="534">N278</f>
        <v>0.2</v>
      </c>
      <c r="O279" s="49">
        <v>0</v>
      </c>
      <c r="P279" s="53">
        <f t="shared" si="528"/>
        <v>60</v>
      </c>
      <c r="Q279" s="44">
        <f t="shared" ref="Q279:R279" si="535">Q278</f>
        <v>150</v>
      </c>
      <c r="R279" s="50">
        <f t="shared" si="535"/>
        <v>210</v>
      </c>
    </row>
    <row r="280" spans="1:18" x14ac:dyDescent="0.25">
      <c r="A280" s="41">
        <f t="shared" si="496"/>
        <v>1128</v>
      </c>
      <c r="B280" s="42">
        <f t="shared" si="496"/>
        <v>270</v>
      </c>
      <c r="C280" s="41" t="s">
        <v>3071</v>
      </c>
      <c r="D280" s="43">
        <f t="shared" si="341"/>
        <v>34.199999999999996</v>
      </c>
      <c r="E280" s="61">
        <f t="shared" si="489"/>
        <v>4.375</v>
      </c>
      <c r="F280" s="61">
        <f t="shared" si="490"/>
        <v>42</v>
      </c>
      <c r="G280" s="64">
        <f t="shared" si="491"/>
        <v>0.58988764044943809</v>
      </c>
      <c r="H280" s="44">
        <f t="shared" si="359"/>
        <v>-27.618592548519779</v>
      </c>
      <c r="I280" s="42" t="str">
        <f>I279</f>
        <v>Half</v>
      </c>
      <c r="J280" s="50">
        <f t="shared" ref="J280:K280" si="536">J279</f>
        <v>6</v>
      </c>
      <c r="K280" s="49">
        <f t="shared" si="536"/>
        <v>160</v>
      </c>
      <c r="L280" s="44">
        <f t="shared" si="493"/>
        <v>8</v>
      </c>
      <c r="M280" s="44">
        <f t="shared" si="520"/>
        <v>8</v>
      </c>
      <c r="N280" s="45">
        <f t="shared" ref="N280" si="537">N279</f>
        <v>0.2</v>
      </c>
      <c r="O280" s="49">
        <v>0</v>
      </c>
      <c r="P280" s="135">
        <f t="shared" si="528"/>
        <v>75</v>
      </c>
      <c r="Q280" s="44">
        <f t="shared" ref="Q280:R280" si="538">Q279</f>
        <v>150</v>
      </c>
      <c r="R280" s="50">
        <f t="shared" si="538"/>
        <v>210</v>
      </c>
    </row>
    <row r="281" spans="1:18" x14ac:dyDescent="0.25">
      <c r="A281" s="41">
        <f t="shared" si="496"/>
        <v>1129</v>
      </c>
      <c r="B281" s="42">
        <f t="shared" si="496"/>
        <v>271</v>
      </c>
      <c r="C281" s="41" t="s">
        <v>3072</v>
      </c>
      <c r="D281" s="43">
        <f t="shared" si="341"/>
        <v>34.199999999999996</v>
      </c>
      <c r="E281" s="61">
        <f t="shared" si="489"/>
        <v>4.375</v>
      </c>
      <c r="F281" s="61">
        <f t="shared" si="490"/>
        <v>42</v>
      </c>
      <c r="G281" s="64">
        <f t="shared" si="491"/>
        <v>0.58988764044943809</v>
      </c>
      <c r="H281" s="44">
        <f t="shared" si="359"/>
        <v>-27.618592548519779</v>
      </c>
      <c r="I281" s="42" t="str">
        <f t="shared" ref="I281:K281" si="539">I280</f>
        <v>Half</v>
      </c>
      <c r="J281" s="50">
        <f t="shared" si="539"/>
        <v>6</v>
      </c>
      <c r="K281" s="49">
        <f t="shared" si="539"/>
        <v>160</v>
      </c>
      <c r="L281" s="44">
        <f t="shared" si="493"/>
        <v>8</v>
      </c>
      <c r="M281" s="44">
        <f t="shared" si="520"/>
        <v>8</v>
      </c>
      <c r="N281" s="45">
        <f t="shared" ref="N281" si="540">N280</f>
        <v>0.2</v>
      </c>
      <c r="O281" s="49">
        <f>O275+30</f>
        <v>30</v>
      </c>
      <c r="P281" s="136">
        <v>0</v>
      </c>
      <c r="Q281" s="44">
        <f t="shared" ref="Q281:R281" si="541">Q280</f>
        <v>150</v>
      </c>
      <c r="R281" s="50">
        <f t="shared" si="541"/>
        <v>210</v>
      </c>
    </row>
    <row r="282" spans="1:18" x14ac:dyDescent="0.25">
      <c r="A282" s="41">
        <f t="shared" si="496"/>
        <v>1130</v>
      </c>
      <c r="B282" s="42">
        <f t="shared" si="496"/>
        <v>272</v>
      </c>
      <c r="C282" s="41" t="s">
        <v>3073</v>
      </c>
      <c r="D282" s="43">
        <f t="shared" si="341"/>
        <v>34.199999999999996</v>
      </c>
      <c r="E282" s="61">
        <f t="shared" si="489"/>
        <v>4.375</v>
      </c>
      <c r="F282" s="61">
        <f t="shared" si="490"/>
        <v>42</v>
      </c>
      <c r="G282" s="64">
        <f t="shared" si="491"/>
        <v>0.58988764044943809</v>
      </c>
      <c r="H282" s="44">
        <f t="shared" si="359"/>
        <v>-27.618592548519779</v>
      </c>
      <c r="I282" s="42" t="str">
        <f t="shared" ref="I282:K282" si="542">I281</f>
        <v>Half</v>
      </c>
      <c r="J282" s="50">
        <f t="shared" si="542"/>
        <v>6</v>
      </c>
      <c r="K282" s="49">
        <f t="shared" si="542"/>
        <v>160</v>
      </c>
      <c r="L282" s="44">
        <f t="shared" si="493"/>
        <v>8</v>
      </c>
      <c r="M282" s="44">
        <f t="shared" si="520"/>
        <v>8</v>
      </c>
      <c r="N282" s="45">
        <f t="shared" ref="N282" si="543">N281</f>
        <v>0.2</v>
      </c>
      <c r="O282" s="49">
        <f t="shared" ref="O282:O298" si="544">O276+30</f>
        <v>30</v>
      </c>
      <c r="P282" s="53">
        <f>P281+15</f>
        <v>15</v>
      </c>
      <c r="Q282" s="44">
        <f t="shared" ref="Q282:R282" si="545">Q281</f>
        <v>150</v>
      </c>
      <c r="R282" s="50">
        <f t="shared" si="545"/>
        <v>210</v>
      </c>
    </row>
    <row r="283" spans="1:18" x14ac:dyDescent="0.25">
      <c r="A283" s="41">
        <f t="shared" si="496"/>
        <v>1131</v>
      </c>
      <c r="B283" s="42">
        <f t="shared" si="496"/>
        <v>273</v>
      </c>
      <c r="C283" s="41" t="s">
        <v>3074</v>
      </c>
      <c r="D283" s="43">
        <f t="shared" si="341"/>
        <v>34.199999999999996</v>
      </c>
      <c r="E283" s="61">
        <f t="shared" si="489"/>
        <v>4.375</v>
      </c>
      <c r="F283" s="61">
        <f t="shared" si="490"/>
        <v>42</v>
      </c>
      <c r="G283" s="64">
        <f t="shared" si="491"/>
        <v>0.58988764044943809</v>
      </c>
      <c r="H283" s="44">
        <f t="shared" si="359"/>
        <v>-27.618592548519779</v>
      </c>
      <c r="I283" s="42" t="str">
        <f t="shared" ref="I283:K283" si="546">I282</f>
        <v>Half</v>
      </c>
      <c r="J283" s="50">
        <f t="shared" si="546"/>
        <v>6</v>
      </c>
      <c r="K283" s="49">
        <f t="shared" si="546"/>
        <v>160</v>
      </c>
      <c r="L283" s="44">
        <f t="shared" si="493"/>
        <v>8</v>
      </c>
      <c r="M283" s="44">
        <f t="shared" si="520"/>
        <v>8</v>
      </c>
      <c r="N283" s="45">
        <f t="shared" ref="N283" si="547">N282</f>
        <v>0.2</v>
      </c>
      <c r="O283" s="49">
        <f t="shared" si="544"/>
        <v>30</v>
      </c>
      <c r="P283" s="53">
        <f t="shared" ref="P283:P286" si="548">P282+15</f>
        <v>30</v>
      </c>
      <c r="Q283" s="44">
        <f t="shared" ref="Q283:R283" si="549">Q282</f>
        <v>150</v>
      </c>
      <c r="R283" s="50">
        <f t="shared" si="549"/>
        <v>210</v>
      </c>
    </row>
    <row r="284" spans="1:18" x14ac:dyDescent="0.25">
      <c r="A284" s="41">
        <f t="shared" ref="A284:B298" si="550">A283+1</f>
        <v>1132</v>
      </c>
      <c r="B284" s="42">
        <f t="shared" si="550"/>
        <v>274</v>
      </c>
      <c r="C284" s="41" t="s">
        <v>3075</v>
      </c>
      <c r="D284" s="43">
        <f t="shared" si="341"/>
        <v>34.199999999999996</v>
      </c>
      <c r="E284" s="61">
        <f t="shared" si="489"/>
        <v>4.375</v>
      </c>
      <c r="F284" s="61">
        <f t="shared" si="490"/>
        <v>42</v>
      </c>
      <c r="G284" s="64">
        <f t="shared" si="491"/>
        <v>0.58988764044943809</v>
      </c>
      <c r="H284" s="44">
        <f t="shared" si="359"/>
        <v>-27.618592548519779</v>
      </c>
      <c r="I284" s="42" t="str">
        <f t="shared" ref="I284:K284" si="551">I283</f>
        <v>Half</v>
      </c>
      <c r="J284" s="50">
        <f t="shared" si="551"/>
        <v>6</v>
      </c>
      <c r="K284" s="49">
        <f t="shared" si="551"/>
        <v>160</v>
      </c>
      <c r="L284" s="44">
        <f t="shared" si="493"/>
        <v>8</v>
      </c>
      <c r="M284" s="44">
        <f t="shared" si="520"/>
        <v>8</v>
      </c>
      <c r="N284" s="45">
        <f t="shared" ref="N284" si="552">N283</f>
        <v>0.2</v>
      </c>
      <c r="O284" s="49">
        <f t="shared" si="544"/>
        <v>30</v>
      </c>
      <c r="P284" s="53">
        <f t="shared" si="548"/>
        <v>45</v>
      </c>
      <c r="Q284" s="44">
        <f t="shared" ref="Q284:R284" si="553">Q283</f>
        <v>150</v>
      </c>
      <c r="R284" s="50">
        <f t="shared" si="553"/>
        <v>210</v>
      </c>
    </row>
    <row r="285" spans="1:18" x14ac:dyDescent="0.25">
      <c r="A285" s="41">
        <f t="shared" si="550"/>
        <v>1133</v>
      </c>
      <c r="B285" s="42">
        <f t="shared" si="550"/>
        <v>275</v>
      </c>
      <c r="C285" s="41" t="s">
        <v>3076</v>
      </c>
      <c r="D285" s="43">
        <f t="shared" ref="D285:D298" si="554">D284</f>
        <v>34.199999999999996</v>
      </c>
      <c r="E285" s="61">
        <f t="shared" si="489"/>
        <v>4.375</v>
      </c>
      <c r="F285" s="61">
        <f t="shared" si="490"/>
        <v>42</v>
      </c>
      <c r="G285" s="64">
        <f t="shared" si="491"/>
        <v>0.58988764044943809</v>
      </c>
      <c r="H285" s="44">
        <f t="shared" si="359"/>
        <v>-27.618592548519779</v>
      </c>
      <c r="I285" s="42" t="str">
        <f t="shared" ref="I285:K285" si="555">I284</f>
        <v>Half</v>
      </c>
      <c r="J285" s="50">
        <f t="shared" si="555"/>
        <v>6</v>
      </c>
      <c r="K285" s="49">
        <f t="shared" si="555"/>
        <v>160</v>
      </c>
      <c r="L285" s="44">
        <f t="shared" si="493"/>
        <v>8</v>
      </c>
      <c r="M285" s="44">
        <f t="shared" si="520"/>
        <v>8</v>
      </c>
      <c r="N285" s="45">
        <f t="shared" ref="N285" si="556">N284</f>
        <v>0.2</v>
      </c>
      <c r="O285" s="49">
        <f t="shared" si="544"/>
        <v>30</v>
      </c>
      <c r="P285" s="53">
        <f t="shared" si="548"/>
        <v>60</v>
      </c>
      <c r="Q285" s="44">
        <f t="shared" ref="Q285:R285" si="557">Q284</f>
        <v>150</v>
      </c>
      <c r="R285" s="50">
        <f t="shared" si="557"/>
        <v>210</v>
      </c>
    </row>
    <row r="286" spans="1:18" x14ac:dyDescent="0.25">
      <c r="A286" s="41">
        <f t="shared" si="550"/>
        <v>1134</v>
      </c>
      <c r="B286" s="42">
        <f t="shared" si="550"/>
        <v>276</v>
      </c>
      <c r="C286" s="41" t="s">
        <v>3077</v>
      </c>
      <c r="D286" s="43">
        <f t="shared" si="554"/>
        <v>34.199999999999996</v>
      </c>
      <c r="E286" s="61">
        <f t="shared" si="489"/>
        <v>4.375</v>
      </c>
      <c r="F286" s="61">
        <f t="shared" si="490"/>
        <v>42</v>
      </c>
      <c r="G286" s="64">
        <f t="shared" si="491"/>
        <v>0.58988764044943809</v>
      </c>
      <c r="H286" s="44">
        <f t="shared" si="359"/>
        <v>-27.618592548519779</v>
      </c>
      <c r="I286" s="42" t="str">
        <f t="shared" ref="I286:K286" si="558">I285</f>
        <v>Half</v>
      </c>
      <c r="J286" s="50">
        <f t="shared" si="558"/>
        <v>6</v>
      </c>
      <c r="K286" s="49">
        <f t="shared" si="558"/>
        <v>160</v>
      </c>
      <c r="L286" s="44">
        <f t="shared" si="493"/>
        <v>8</v>
      </c>
      <c r="M286" s="44">
        <f t="shared" si="520"/>
        <v>8</v>
      </c>
      <c r="N286" s="45">
        <f t="shared" ref="N286" si="559">N285</f>
        <v>0.2</v>
      </c>
      <c r="O286" s="49">
        <f t="shared" si="544"/>
        <v>30</v>
      </c>
      <c r="P286" s="53">
        <f t="shared" si="548"/>
        <v>75</v>
      </c>
      <c r="Q286" s="44">
        <f t="shared" ref="Q286:R286" si="560">Q285</f>
        <v>150</v>
      </c>
      <c r="R286" s="50">
        <f t="shared" si="560"/>
        <v>210</v>
      </c>
    </row>
    <row r="287" spans="1:18" x14ac:dyDescent="0.25">
      <c r="A287" s="41">
        <f t="shared" si="550"/>
        <v>1135</v>
      </c>
      <c r="B287" s="42">
        <f t="shared" si="550"/>
        <v>277</v>
      </c>
      <c r="C287" s="41" t="s">
        <v>3078</v>
      </c>
      <c r="D287" s="43">
        <f t="shared" si="554"/>
        <v>34.199999999999996</v>
      </c>
      <c r="E287" s="61">
        <f t="shared" si="489"/>
        <v>4.375</v>
      </c>
      <c r="F287" s="61">
        <f t="shared" si="490"/>
        <v>42</v>
      </c>
      <c r="G287" s="64">
        <f t="shared" si="491"/>
        <v>0.58988764044943809</v>
      </c>
      <c r="H287" s="44">
        <f t="shared" si="359"/>
        <v>-27.618592548519779</v>
      </c>
      <c r="I287" s="42" t="str">
        <f t="shared" ref="I287:K287" si="561">I286</f>
        <v>Half</v>
      </c>
      <c r="J287" s="50">
        <f t="shared" si="561"/>
        <v>6</v>
      </c>
      <c r="K287" s="49">
        <f t="shared" si="561"/>
        <v>160</v>
      </c>
      <c r="L287" s="44">
        <f t="shared" si="493"/>
        <v>8</v>
      </c>
      <c r="M287" s="44">
        <f t="shared" si="520"/>
        <v>8</v>
      </c>
      <c r="N287" s="45">
        <f t="shared" ref="N287" si="562">N286</f>
        <v>0.2</v>
      </c>
      <c r="O287" s="49">
        <f t="shared" si="544"/>
        <v>60</v>
      </c>
      <c r="P287" s="136">
        <v>0</v>
      </c>
      <c r="Q287" s="44">
        <f t="shared" ref="Q287:R287" si="563">Q286</f>
        <v>150</v>
      </c>
      <c r="R287" s="50">
        <f t="shared" si="563"/>
        <v>210</v>
      </c>
    </row>
    <row r="288" spans="1:18" x14ac:dyDescent="0.25">
      <c r="A288" s="41">
        <f t="shared" si="550"/>
        <v>1136</v>
      </c>
      <c r="B288" s="42">
        <f t="shared" si="550"/>
        <v>278</v>
      </c>
      <c r="C288" s="41" t="s">
        <v>3079</v>
      </c>
      <c r="D288" s="43">
        <f t="shared" si="554"/>
        <v>34.199999999999996</v>
      </c>
      <c r="E288" s="61">
        <f t="shared" si="489"/>
        <v>4.375</v>
      </c>
      <c r="F288" s="61">
        <f t="shared" si="490"/>
        <v>42</v>
      </c>
      <c r="G288" s="64">
        <f t="shared" si="491"/>
        <v>0.58988764044943809</v>
      </c>
      <c r="H288" s="44">
        <f t="shared" si="359"/>
        <v>-27.618592548519779</v>
      </c>
      <c r="I288" s="42" t="str">
        <f t="shared" ref="I288:K288" si="564">I287</f>
        <v>Half</v>
      </c>
      <c r="J288" s="50">
        <f t="shared" si="564"/>
        <v>6</v>
      </c>
      <c r="K288" s="49">
        <f t="shared" si="564"/>
        <v>160</v>
      </c>
      <c r="L288" s="44">
        <f t="shared" si="493"/>
        <v>8</v>
      </c>
      <c r="M288" s="44">
        <f t="shared" si="520"/>
        <v>8</v>
      </c>
      <c r="N288" s="45">
        <f t="shared" ref="N288" si="565">N287</f>
        <v>0.2</v>
      </c>
      <c r="O288" s="49">
        <f t="shared" si="544"/>
        <v>60</v>
      </c>
      <c r="P288" s="53">
        <f>P287+15</f>
        <v>15</v>
      </c>
      <c r="Q288" s="44">
        <f t="shared" ref="Q288:R288" si="566">Q287</f>
        <v>150</v>
      </c>
      <c r="R288" s="50">
        <f t="shared" si="566"/>
        <v>210</v>
      </c>
    </row>
    <row r="289" spans="1:18" x14ac:dyDescent="0.25">
      <c r="A289" s="41">
        <f t="shared" si="550"/>
        <v>1137</v>
      </c>
      <c r="B289" s="42">
        <f t="shared" si="550"/>
        <v>279</v>
      </c>
      <c r="C289" s="41" t="s">
        <v>3080</v>
      </c>
      <c r="D289" s="43">
        <f t="shared" si="554"/>
        <v>34.199999999999996</v>
      </c>
      <c r="E289" s="61">
        <f t="shared" si="489"/>
        <v>4.375</v>
      </c>
      <c r="F289" s="61">
        <f t="shared" si="490"/>
        <v>42</v>
      </c>
      <c r="G289" s="64">
        <f t="shared" si="491"/>
        <v>0.58988764044943809</v>
      </c>
      <c r="H289" s="44">
        <f t="shared" si="359"/>
        <v>-27.618592548519779</v>
      </c>
      <c r="I289" s="42" t="str">
        <f t="shared" ref="I289:K289" si="567">I288</f>
        <v>Half</v>
      </c>
      <c r="J289" s="50">
        <f t="shared" si="567"/>
        <v>6</v>
      </c>
      <c r="K289" s="49">
        <f t="shared" si="567"/>
        <v>160</v>
      </c>
      <c r="L289" s="44">
        <f t="shared" si="493"/>
        <v>8</v>
      </c>
      <c r="M289" s="44">
        <f t="shared" si="520"/>
        <v>8</v>
      </c>
      <c r="N289" s="45">
        <f t="shared" ref="N289" si="568">N288</f>
        <v>0.2</v>
      </c>
      <c r="O289" s="49">
        <f t="shared" si="544"/>
        <v>60</v>
      </c>
      <c r="P289" s="53">
        <f t="shared" ref="P289:P292" si="569">P288+15</f>
        <v>30</v>
      </c>
      <c r="Q289" s="44">
        <f t="shared" ref="Q289:R289" si="570">Q288</f>
        <v>150</v>
      </c>
      <c r="R289" s="50">
        <f t="shared" si="570"/>
        <v>210</v>
      </c>
    </row>
    <row r="290" spans="1:18" x14ac:dyDescent="0.25">
      <c r="A290" s="41">
        <f t="shared" si="550"/>
        <v>1138</v>
      </c>
      <c r="B290" s="42">
        <f t="shared" si="550"/>
        <v>280</v>
      </c>
      <c r="C290" s="41" t="s">
        <v>3081</v>
      </c>
      <c r="D290" s="43">
        <f t="shared" si="554"/>
        <v>34.199999999999996</v>
      </c>
      <c r="E290" s="61">
        <f t="shared" si="489"/>
        <v>4.375</v>
      </c>
      <c r="F290" s="61">
        <f t="shared" si="490"/>
        <v>42</v>
      </c>
      <c r="G290" s="64">
        <f t="shared" si="491"/>
        <v>0.58988764044943809</v>
      </c>
      <c r="H290" s="44">
        <f t="shared" si="359"/>
        <v>-27.618592548519779</v>
      </c>
      <c r="I290" s="42" t="str">
        <f t="shared" ref="I290:K290" si="571">I289</f>
        <v>Half</v>
      </c>
      <c r="J290" s="50">
        <f t="shared" si="571"/>
        <v>6</v>
      </c>
      <c r="K290" s="49">
        <f t="shared" si="571"/>
        <v>160</v>
      </c>
      <c r="L290" s="44">
        <f t="shared" si="493"/>
        <v>8</v>
      </c>
      <c r="M290" s="44">
        <f t="shared" si="520"/>
        <v>8</v>
      </c>
      <c r="N290" s="45">
        <f t="shared" ref="N290" si="572">N289</f>
        <v>0.2</v>
      </c>
      <c r="O290" s="49">
        <f t="shared" si="544"/>
        <v>60</v>
      </c>
      <c r="P290" s="53">
        <f t="shared" si="569"/>
        <v>45</v>
      </c>
      <c r="Q290" s="44">
        <f t="shared" ref="Q290:R290" si="573">Q289</f>
        <v>150</v>
      </c>
      <c r="R290" s="50">
        <f t="shared" si="573"/>
        <v>210</v>
      </c>
    </row>
    <row r="291" spans="1:18" x14ac:dyDescent="0.25">
      <c r="A291" s="41">
        <f t="shared" si="550"/>
        <v>1139</v>
      </c>
      <c r="B291" s="42">
        <f t="shared" si="550"/>
        <v>281</v>
      </c>
      <c r="C291" s="41" t="s">
        <v>3082</v>
      </c>
      <c r="D291" s="43">
        <f t="shared" si="554"/>
        <v>34.199999999999996</v>
      </c>
      <c r="E291" s="61">
        <f t="shared" si="489"/>
        <v>4.375</v>
      </c>
      <c r="F291" s="61">
        <f t="shared" si="490"/>
        <v>42</v>
      </c>
      <c r="G291" s="64">
        <f t="shared" si="491"/>
        <v>0.58988764044943809</v>
      </c>
      <c r="H291" s="44">
        <f t="shared" si="359"/>
        <v>-27.618592548519779</v>
      </c>
      <c r="I291" s="42" t="str">
        <f t="shared" ref="I291:K291" si="574">I290</f>
        <v>Half</v>
      </c>
      <c r="J291" s="50">
        <f t="shared" si="574"/>
        <v>6</v>
      </c>
      <c r="K291" s="49">
        <f t="shared" si="574"/>
        <v>160</v>
      </c>
      <c r="L291" s="44">
        <f t="shared" si="493"/>
        <v>8</v>
      </c>
      <c r="M291" s="44">
        <f t="shared" si="520"/>
        <v>8</v>
      </c>
      <c r="N291" s="45">
        <f t="shared" ref="N291:N299" si="575">N290</f>
        <v>0.2</v>
      </c>
      <c r="O291" s="49">
        <f t="shared" si="544"/>
        <v>60</v>
      </c>
      <c r="P291" s="53">
        <f t="shared" si="569"/>
        <v>60</v>
      </c>
      <c r="Q291" s="44">
        <f t="shared" ref="Q291:R291" si="576">Q290</f>
        <v>150</v>
      </c>
      <c r="R291" s="50">
        <f t="shared" si="576"/>
        <v>210</v>
      </c>
    </row>
    <row r="292" spans="1:18" x14ac:dyDescent="0.25">
      <c r="A292" s="41">
        <f t="shared" si="550"/>
        <v>1140</v>
      </c>
      <c r="B292" s="42">
        <f t="shared" si="550"/>
        <v>282</v>
      </c>
      <c r="C292" s="41" t="s">
        <v>3083</v>
      </c>
      <c r="D292" s="43">
        <f t="shared" si="554"/>
        <v>34.199999999999996</v>
      </c>
      <c r="E292" s="61">
        <f t="shared" si="489"/>
        <v>4.375</v>
      </c>
      <c r="F292" s="61">
        <f t="shared" si="490"/>
        <v>42</v>
      </c>
      <c r="G292" s="64">
        <f t="shared" si="491"/>
        <v>0.58988764044943809</v>
      </c>
      <c r="H292" s="44">
        <f t="shared" ref="H292:H298" si="577">-6.4*ATAN(E291/D291*G291)/PI()*180</f>
        <v>-27.618592548519779</v>
      </c>
      <c r="I292" s="42" t="str">
        <f t="shared" ref="I292:K292" si="578">I291</f>
        <v>Half</v>
      </c>
      <c r="J292" s="50">
        <f t="shared" si="578"/>
        <v>6</v>
      </c>
      <c r="K292" s="49">
        <f t="shared" si="578"/>
        <v>160</v>
      </c>
      <c r="L292" s="44">
        <f t="shared" si="493"/>
        <v>8</v>
      </c>
      <c r="M292" s="44">
        <f t="shared" si="520"/>
        <v>8</v>
      </c>
      <c r="N292" s="45">
        <f t="shared" si="575"/>
        <v>0.2</v>
      </c>
      <c r="O292" s="49">
        <f t="shared" si="544"/>
        <v>60</v>
      </c>
      <c r="P292" s="135">
        <f t="shared" si="569"/>
        <v>75</v>
      </c>
      <c r="Q292" s="44">
        <f t="shared" ref="Q292:R292" si="579">Q291</f>
        <v>150</v>
      </c>
      <c r="R292" s="50">
        <f t="shared" si="579"/>
        <v>210</v>
      </c>
    </row>
    <row r="293" spans="1:18" x14ac:dyDescent="0.25">
      <c r="A293" s="41">
        <f t="shared" si="550"/>
        <v>1141</v>
      </c>
      <c r="B293" s="42">
        <f t="shared" si="550"/>
        <v>283</v>
      </c>
      <c r="C293" s="41" t="s">
        <v>3084</v>
      </c>
      <c r="D293" s="43">
        <f t="shared" si="554"/>
        <v>34.199999999999996</v>
      </c>
      <c r="E293" s="61">
        <f t="shared" si="489"/>
        <v>4.375</v>
      </c>
      <c r="F293" s="61">
        <f t="shared" si="490"/>
        <v>42</v>
      </c>
      <c r="G293" s="64">
        <f t="shared" si="491"/>
        <v>0.58988764044943809</v>
      </c>
      <c r="H293" s="44">
        <f t="shared" si="577"/>
        <v>-27.618592548519779</v>
      </c>
      <c r="I293" s="42" t="str">
        <f t="shared" ref="I293:K293" si="580">I292</f>
        <v>Half</v>
      </c>
      <c r="J293" s="50">
        <f t="shared" si="580"/>
        <v>6</v>
      </c>
      <c r="K293" s="49">
        <f t="shared" si="580"/>
        <v>160</v>
      </c>
      <c r="L293" s="44">
        <f t="shared" si="493"/>
        <v>8</v>
      </c>
      <c r="M293" s="44">
        <f t="shared" si="520"/>
        <v>8</v>
      </c>
      <c r="N293" s="45">
        <f t="shared" si="575"/>
        <v>0.2</v>
      </c>
      <c r="O293" s="49">
        <f t="shared" si="544"/>
        <v>90</v>
      </c>
      <c r="P293" s="136">
        <v>0</v>
      </c>
      <c r="Q293" s="44">
        <f t="shared" ref="Q293:R293" si="581">Q292</f>
        <v>150</v>
      </c>
      <c r="R293" s="50">
        <f t="shared" si="581"/>
        <v>210</v>
      </c>
    </row>
    <row r="294" spans="1:18" x14ac:dyDescent="0.25">
      <c r="A294" s="41">
        <f t="shared" si="550"/>
        <v>1142</v>
      </c>
      <c r="B294" s="42">
        <f t="shared" si="550"/>
        <v>284</v>
      </c>
      <c r="C294" s="41" t="s">
        <v>3085</v>
      </c>
      <c r="D294" s="43">
        <f t="shared" si="554"/>
        <v>34.199999999999996</v>
      </c>
      <c r="E294" s="61">
        <f t="shared" si="489"/>
        <v>4.375</v>
      </c>
      <c r="F294" s="61">
        <f t="shared" si="490"/>
        <v>42</v>
      </c>
      <c r="G294" s="64">
        <f t="shared" si="491"/>
        <v>0.58988764044943809</v>
      </c>
      <c r="H294" s="44">
        <f t="shared" si="577"/>
        <v>-27.618592548519779</v>
      </c>
      <c r="I294" s="42" t="str">
        <f t="shared" ref="I294:K294" si="582">I293</f>
        <v>Half</v>
      </c>
      <c r="J294" s="50">
        <f t="shared" si="582"/>
        <v>6</v>
      </c>
      <c r="K294" s="49">
        <f t="shared" si="582"/>
        <v>160</v>
      </c>
      <c r="L294" s="44">
        <f t="shared" si="493"/>
        <v>8</v>
      </c>
      <c r="M294" s="44">
        <f t="shared" si="520"/>
        <v>8</v>
      </c>
      <c r="N294" s="45">
        <f t="shared" si="575"/>
        <v>0.2</v>
      </c>
      <c r="O294" s="49">
        <f t="shared" si="544"/>
        <v>90</v>
      </c>
      <c r="P294" s="53">
        <f>P293+15</f>
        <v>15</v>
      </c>
      <c r="Q294" s="44">
        <f t="shared" ref="Q294:R294" si="583">Q293</f>
        <v>150</v>
      </c>
      <c r="R294" s="50">
        <f t="shared" si="583"/>
        <v>210</v>
      </c>
    </row>
    <row r="295" spans="1:18" x14ac:dyDescent="0.25">
      <c r="A295" s="41">
        <f t="shared" si="550"/>
        <v>1143</v>
      </c>
      <c r="B295" s="42">
        <f t="shared" si="550"/>
        <v>285</v>
      </c>
      <c r="C295" s="41" t="s">
        <v>3086</v>
      </c>
      <c r="D295" s="43">
        <f t="shared" si="554"/>
        <v>34.199999999999996</v>
      </c>
      <c r="E295" s="61">
        <f t="shared" si="489"/>
        <v>4.375</v>
      </c>
      <c r="F295" s="61">
        <f t="shared" si="490"/>
        <v>42</v>
      </c>
      <c r="G295" s="64">
        <f t="shared" si="491"/>
        <v>0.58988764044943809</v>
      </c>
      <c r="H295" s="44">
        <f t="shared" si="577"/>
        <v>-27.618592548519779</v>
      </c>
      <c r="I295" s="42" t="s">
        <v>12</v>
      </c>
      <c r="J295" s="50">
        <f t="shared" ref="J295:K295" si="584">J294</f>
        <v>6</v>
      </c>
      <c r="K295" s="49">
        <f t="shared" si="584"/>
        <v>160</v>
      </c>
      <c r="L295" s="44">
        <f t="shared" si="493"/>
        <v>8</v>
      </c>
      <c r="M295" s="44">
        <f t="shared" si="520"/>
        <v>8</v>
      </c>
      <c r="N295" s="45">
        <f t="shared" si="575"/>
        <v>0.2</v>
      </c>
      <c r="O295" s="49">
        <f>O289+30</f>
        <v>90</v>
      </c>
      <c r="P295" s="53">
        <f t="shared" ref="P295:P298" si="585">P294+15</f>
        <v>30</v>
      </c>
      <c r="Q295" s="44">
        <f t="shared" ref="Q295:R295" si="586">Q294</f>
        <v>150</v>
      </c>
      <c r="R295" s="50">
        <f t="shared" si="586"/>
        <v>210</v>
      </c>
    </row>
    <row r="296" spans="1:18" x14ac:dyDescent="0.25">
      <c r="A296" s="41">
        <f t="shared" si="550"/>
        <v>1144</v>
      </c>
      <c r="B296" s="42">
        <f t="shared" si="550"/>
        <v>286</v>
      </c>
      <c r="C296" s="41" t="s">
        <v>3087</v>
      </c>
      <c r="D296" s="43">
        <f t="shared" si="554"/>
        <v>34.199999999999996</v>
      </c>
      <c r="E296" s="61">
        <f t="shared" si="489"/>
        <v>4.375</v>
      </c>
      <c r="F296" s="61">
        <f t="shared" si="490"/>
        <v>42</v>
      </c>
      <c r="G296" s="64">
        <f t="shared" si="491"/>
        <v>0.58988764044943809</v>
      </c>
      <c r="H296" s="44">
        <f t="shared" si="577"/>
        <v>-27.618592548519779</v>
      </c>
      <c r="I296" s="42" t="str">
        <f>I295</f>
        <v>Half</v>
      </c>
      <c r="J296" s="50">
        <f t="shared" ref="J296:K296" si="587">J295</f>
        <v>6</v>
      </c>
      <c r="K296" s="49">
        <f t="shared" si="587"/>
        <v>160</v>
      </c>
      <c r="L296" s="44">
        <f t="shared" si="493"/>
        <v>8</v>
      </c>
      <c r="M296" s="44">
        <f t="shared" si="520"/>
        <v>8</v>
      </c>
      <c r="N296" s="45">
        <f t="shared" si="575"/>
        <v>0.2</v>
      </c>
      <c r="O296" s="49">
        <f t="shared" si="544"/>
        <v>90</v>
      </c>
      <c r="P296" s="53">
        <f t="shared" si="585"/>
        <v>45</v>
      </c>
      <c r="Q296" s="44">
        <f t="shared" ref="Q296:R296" si="588">Q295</f>
        <v>150</v>
      </c>
      <c r="R296" s="50">
        <f t="shared" si="588"/>
        <v>210</v>
      </c>
    </row>
    <row r="297" spans="1:18" x14ac:dyDescent="0.25">
      <c r="A297" s="41">
        <f t="shared" si="550"/>
        <v>1145</v>
      </c>
      <c r="B297" s="42">
        <f t="shared" si="550"/>
        <v>287</v>
      </c>
      <c r="C297" s="41" t="s">
        <v>3088</v>
      </c>
      <c r="D297" s="43">
        <f t="shared" si="554"/>
        <v>34.199999999999996</v>
      </c>
      <c r="E297" s="61">
        <f t="shared" si="489"/>
        <v>4.375</v>
      </c>
      <c r="F297" s="61">
        <f t="shared" si="490"/>
        <v>42</v>
      </c>
      <c r="G297" s="64">
        <f t="shared" si="491"/>
        <v>0.58988764044943809</v>
      </c>
      <c r="H297" s="44">
        <f t="shared" si="577"/>
        <v>-27.618592548519779</v>
      </c>
      <c r="I297" s="42" t="str">
        <f t="shared" ref="I297:K297" si="589">I296</f>
        <v>Half</v>
      </c>
      <c r="J297" s="50">
        <f t="shared" si="589"/>
        <v>6</v>
      </c>
      <c r="K297" s="49">
        <f t="shared" si="589"/>
        <v>160</v>
      </c>
      <c r="L297" s="44">
        <f t="shared" si="493"/>
        <v>8</v>
      </c>
      <c r="M297" s="44">
        <f t="shared" si="520"/>
        <v>8</v>
      </c>
      <c r="N297" s="45">
        <f t="shared" si="575"/>
        <v>0.2</v>
      </c>
      <c r="O297" s="49">
        <f t="shared" si="544"/>
        <v>90</v>
      </c>
      <c r="P297" s="53">
        <f t="shared" si="585"/>
        <v>60</v>
      </c>
      <c r="Q297" s="44">
        <f t="shared" ref="Q297:R297" si="590">Q296</f>
        <v>150</v>
      </c>
      <c r="R297" s="50">
        <f t="shared" si="590"/>
        <v>210</v>
      </c>
    </row>
    <row r="298" spans="1:18" x14ac:dyDescent="0.25">
      <c r="A298" s="41">
        <f t="shared" si="550"/>
        <v>1146</v>
      </c>
      <c r="B298" s="42">
        <f t="shared" si="550"/>
        <v>288</v>
      </c>
      <c r="C298" s="41" t="s">
        <v>3089</v>
      </c>
      <c r="D298" s="43">
        <f t="shared" si="554"/>
        <v>34.199999999999996</v>
      </c>
      <c r="E298" s="61">
        <f t="shared" si="489"/>
        <v>4.375</v>
      </c>
      <c r="F298" s="61">
        <f t="shared" si="490"/>
        <v>42</v>
      </c>
      <c r="G298" s="64">
        <f t="shared" si="491"/>
        <v>0.58988764044943809</v>
      </c>
      <c r="H298" s="44">
        <f t="shared" si="577"/>
        <v>-27.618592548519779</v>
      </c>
      <c r="I298" s="42" t="str">
        <f t="shared" ref="I298:K298" si="591">I297</f>
        <v>Half</v>
      </c>
      <c r="J298" s="50">
        <f t="shared" si="591"/>
        <v>6</v>
      </c>
      <c r="K298" s="49">
        <f t="shared" si="591"/>
        <v>160</v>
      </c>
      <c r="L298" s="44">
        <f t="shared" si="493"/>
        <v>8</v>
      </c>
      <c r="M298" s="44">
        <f t="shared" si="520"/>
        <v>8</v>
      </c>
      <c r="N298" s="45">
        <f t="shared" si="575"/>
        <v>0.2</v>
      </c>
      <c r="O298" s="49">
        <f t="shared" si="544"/>
        <v>90</v>
      </c>
      <c r="P298" s="53">
        <f t="shared" si="585"/>
        <v>75</v>
      </c>
      <c r="Q298" s="44">
        <f t="shared" ref="Q298:R298" si="592">Q297</f>
        <v>150</v>
      </c>
      <c r="R298" s="50">
        <f t="shared" si="592"/>
        <v>210</v>
      </c>
    </row>
    <row r="299" spans="1:18" x14ac:dyDescent="0.25">
      <c r="A299" s="41">
        <f t="shared" ref="A299:B299" si="593">A298+1</f>
        <v>1147</v>
      </c>
      <c r="B299" s="42">
        <f t="shared" si="593"/>
        <v>289</v>
      </c>
      <c r="C299" s="41" t="s">
        <v>3090</v>
      </c>
      <c r="D299" s="43">
        <f>0.7*v_tref</f>
        <v>39.9</v>
      </c>
      <c r="E299" s="61">
        <f t="shared" si="489"/>
        <v>4.9735000000000005</v>
      </c>
      <c r="F299" s="61">
        <f t="shared" si="490"/>
        <v>42</v>
      </c>
      <c r="G299" s="64">
        <f t="shared" si="491"/>
        <v>0.58988764044943809</v>
      </c>
      <c r="H299" s="44">
        <f>6.4*ATAN(E299/D299*G299)/PI()*180</f>
        <v>26.914126219991235</v>
      </c>
      <c r="I299" s="42" t="str">
        <f t="shared" ref="I299:K299" si="594">I298</f>
        <v>Half</v>
      </c>
      <c r="J299" s="50">
        <f t="shared" si="594"/>
        <v>6</v>
      </c>
      <c r="K299" s="49">
        <f t="shared" si="594"/>
        <v>160</v>
      </c>
      <c r="L299" s="44">
        <f t="shared" si="493"/>
        <v>8</v>
      </c>
      <c r="M299" s="44">
        <f t="shared" ref="M299:M322" si="595">yaw_min</f>
        <v>-8</v>
      </c>
      <c r="N299" s="45">
        <f t="shared" si="575"/>
        <v>0.2</v>
      </c>
      <c r="O299" s="49">
        <v>0</v>
      </c>
      <c r="P299" s="23">
        <v>0</v>
      </c>
      <c r="Q299" s="44">
        <f t="shared" ref="Q299:R299" si="596">Q298</f>
        <v>150</v>
      </c>
      <c r="R299" s="50">
        <f t="shared" si="596"/>
        <v>210</v>
      </c>
    </row>
    <row r="300" spans="1:18" x14ac:dyDescent="0.25">
      <c r="A300" s="41">
        <f t="shared" ref="A300:B300" si="597">A299+1</f>
        <v>1148</v>
      </c>
      <c r="B300" s="42">
        <f t="shared" si="597"/>
        <v>290</v>
      </c>
      <c r="C300" s="41" t="s">
        <v>3091</v>
      </c>
      <c r="D300" s="43">
        <f>D299</f>
        <v>39.9</v>
      </c>
      <c r="E300" s="61">
        <f t="shared" si="489"/>
        <v>4.9735000000000005</v>
      </c>
      <c r="F300" s="61">
        <f t="shared" si="490"/>
        <v>42</v>
      </c>
      <c r="G300" s="64">
        <f t="shared" si="491"/>
        <v>0.58988764044943809</v>
      </c>
      <c r="H300" s="44">
        <f>6.4*ATAN(E300/D300*G300)/PI()*180</f>
        <v>26.914126219991235</v>
      </c>
      <c r="I300" s="42" t="str">
        <f t="shared" ref="I300:K300" si="598">I299</f>
        <v>Half</v>
      </c>
      <c r="J300" s="50">
        <f t="shared" si="598"/>
        <v>6</v>
      </c>
      <c r="K300" s="49">
        <f t="shared" si="598"/>
        <v>160</v>
      </c>
      <c r="L300" s="44">
        <f t="shared" si="493"/>
        <v>8</v>
      </c>
      <c r="M300" s="44">
        <f t="shared" si="595"/>
        <v>-8</v>
      </c>
      <c r="N300" s="45">
        <f t="shared" ref="N300" si="599">N299</f>
        <v>0.2</v>
      </c>
      <c r="O300" s="49">
        <v>0</v>
      </c>
      <c r="P300" s="53">
        <f>P299+15</f>
        <v>15</v>
      </c>
      <c r="Q300" s="44">
        <f>Q299</f>
        <v>150</v>
      </c>
      <c r="R300" s="50">
        <f>R299</f>
        <v>210</v>
      </c>
    </row>
    <row r="301" spans="1:18" x14ac:dyDescent="0.25">
      <c r="A301" s="41">
        <f t="shared" ref="A301:B301" si="600">A300+1</f>
        <v>1149</v>
      </c>
      <c r="B301" s="42">
        <f t="shared" si="600"/>
        <v>291</v>
      </c>
      <c r="C301" s="41" t="s">
        <v>3092</v>
      </c>
      <c r="D301" s="43">
        <f t="shared" ref="D301:D364" si="601">D300</f>
        <v>39.9</v>
      </c>
      <c r="E301" s="61">
        <f t="shared" si="489"/>
        <v>4.9735000000000005</v>
      </c>
      <c r="F301" s="61">
        <f t="shared" si="490"/>
        <v>42</v>
      </c>
      <c r="G301" s="64">
        <f t="shared" si="491"/>
        <v>0.58988764044943809</v>
      </c>
      <c r="H301" s="44">
        <f t="shared" ref="H301:H364" si="602">6.4*ATAN(E301/D301*G301)/PI()*180</f>
        <v>26.914126219991235</v>
      </c>
      <c r="I301" s="42" t="str">
        <f t="shared" ref="I301:K301" si="603">I300</f>
        <v>Half</v>
      </c>
      <c r="J301" s="50">
        <f t="shared" si="603"/>
        <v>6</v>
      </c>
      <c r="K301" s="49">
        <f t="shared" si="603"/>
        <v>160</v>
      </c>
      <c r="L301" s="44">
        <f t="shared" si="493"/>
        <v>8</v>
      </c>
      <c r="M301" s="44">
        <f t="shared" si="595"/>
        <v>-8</v>
      </c>
      <c r="N301" s="45">
        <f t="shared" ref="N301" si="604">N300</f>
        <v>0.2</v>
      </c>
      <c r="O301" s="49">
        <v>0</v>
      </c>
      <c r="P301" s="53">
        <f t="shared" ref="P301:P304" si="605">P300+15</f>
        <v>30</v>
      </c>
      <c r="Q301" s="44">
        <f t="shared" ref="Q301:R301" si="606">Q300</f>
        <v>150</v>
      </c>
      <c r="R301" s="50">
        <f t="shared" si="606"/>
        <v>210</v>
      </c>
    </row>
    <row r="302" spans="1:18" x14ac:dyDescent="0.25">
      <c r="A302" s="41">
        <f t="shared" ref="A302:B302" si="607">A301+1</f>
        <v>1150</v>
      </c>
      <c r="B302" s="42">
        <f t="shared" si="607"/>
        <v>292</v>
      </c>
      <c r="C302" s="41" t="s">
        <v>3093</v>
      </c>
      <c r="D302" s="43">
        <f t="shared" si="601"/>
        <v>39.9</v>
      </c>
      <c r="E302" s="61">
        <f t="shared" si="489"/>
        <v>4.9735000000000005</v>
      </c>
      <c r="F302" s="61">
        <f t="shared" si="490"/>
        <v>42</v>
      </c>
      <c r="G302" s="64">
        <f t="shared" si="491"/>
        <v>0.58988764044943809</v>
      </c>
      <c r="H302" s="44">
        <f t="shared" si="602"/>
        <v>26.914126219991235</v>
      </c>
      <c r="I302" s="42" t="str">
        <f t="shared" ref="I302:K302" si="608">I301</f>
        <v>Half</v>
      </c>
      <c r="J302" s="50">
        <f t="shared" si="608"/>
        <v>6</v>
      </c>
      <c r="K302" s="49">
        <f t="shared" si="608"/>
        <v>160</v>
      </c>
      <c r="L302" s="44">
        <f t="shared" si="493"/>
        <v>8</v>
      </c>
      <c r="M302" s="44">
        <f t="shared" si="595"/>
        <v>-8</v>
      </c>
      <c r="N302" s="45">
        <f t="shared" ref="N302" si="609">N301</f>
        <v>0.2</v>
      </c>
      <c r="O302" s="49">
        <v>0</v>
      </c>
      <c r="P302" s="53">
        <f t="shared" si="605"/>
        <v>45</v>
      </c>
      <c r="Q302" s="44">
        <f t="shared" ref="Q302:R302" si="610">Q301</f>
        <v>150</v>
      </c>
      <c r="R302" s="50">
        <f t="shared" si="610"/>
        <v>210</v>
      </c>
    </row>
    <row r="303" spans="1:18" x14ac:dyDescent="0.25">
      <c r="A303" s="41">
        <f t="shared" ref="A303:B303" si="611">A302+1</f>
        <v>1151</v>
      </c>
      <c r="B303" s="42">
        <f t="shared" si="611"/>
        <v>293</v>
      </c>
      <c r="C303" s="41" t="s">
        <v>3094</v>
      </c>
      <c r="D303" s="43">
        <f t="shared" si="601"/>
        <v>39.9</v>
      </c>
      <c r="E303" s="61">
        <f t="shared" si="489"/>
        <v>4.9735000000000005</v>
      </c>
      <c r="F303" s="61">
        <f t="shared" si="490"/>
        <v>42</v>
      </c>
      <c r="G303" s="64">
        <f t="shared" si="491"/>
        <v>0.58988764044943809</v>
      </c>
      <c r="H303" s="44">
        <f t="shared" si="602"/>
        <v>26.914126219991235</v>
      </c>
      <c r="I303" s="42" t="str">
        <f t="shared" ref="I303:K303" si="612">I302</f>
        <v>Half</v>
      </c>
      <c r="J303" s="50">
        <f t="shared" si="612"/>
        <v>6</v>
      </c>
      <c r="K303" s="49">
        <f t="shared" si="612"/>
        <v>160</v>
      </c>
      <c r="L303" s="44">
        <f t="shared" si="493"/>
        <v>8</v>
      </c>
      <c r="M303" s="44">
        <f t="shared" si="595"/>
        <v>-8</v>
      </c>
      <c r="N303" s="45">
        <f t="shared" ref="N303" si="613">N302</f>
        <v>0.2</v>
      </c>
      <c r="O303" s="49">
        <v>0</v>
      </c>
      <c r="P303" s="53">
        <f t="shared" si="605"/>
        <v>60</v>
      </c>
      <c r="Q303" s="44">
        <f t="shared" ref="Q303:R303" si="614">Q302</f>
        <v>150</v>
      </c>
      <c r="R303" s="50">
        <f t="shared" si="614"/>
        <v>210</v>
      </c>
    </row>
    <row r="304" spans="1:18" x14ac:dyDescent="0.25">
      <c r="A304" s="41">
        <f t="shared" ref="A304:B304" si="615">A303+1</f>
        <v>1152</v>
      </c>
      <c r="B304" s="42">
        <f t="shared" si="615"/>
        <v>294</v>
      </c>
      <c r="C304" s="41" t="s">
        <v>3095</v>
      </c>
      <c r="D304" s="43">
        <f t="shared" si="601"/>
        <v>39.9</v>
      </c>
      <c r="E304" s="61">
        <f t="shared" si="489"/>
        <v>4.9735000000000005</v>
      </c>
      <c r="F304" s="61">
        <f t="shared" si="490"/>
        <v>42</v>
      </c>
      <c r="G304" s="64">
        <f t="shared" si="491"/>
        <v>0.58988764044943809</v>
      </c>
      <c r="H304" s="44">
        <f t="shared" si="602"/>
        <v>26.914126219991235</v>
      </c>
      <c r="I304" s="42" t="str">
        <f t="shared" ref="I304:K304" si="616">I303</f>
        <v>Half</v>
      </c>
      <c r="J304" s="50">
        <f t="shared" si="616"/>
        <v>6</v>
      </c>
      <c r="K304" s="49">
        <f t="shared" si="616"/>
        <v>160</v>
      </c>
      <c r="L304" s="44">
        <f t="shared" si="493"/>
        <v>8</v>
      </c>
      <c r="M304" s="44">
        <f t="shared" si="595"/>
        <v>-8</v>
      </c>
      <c r="N304" s="45">
        <f t="shared" ref="N304" si="617">N303</f>
        <v>0.2</v>
      </c>
      <c r="O304" s="49">
        <v>0</v>
      </c>
      <c r="P304" s="135">
        <f t="shared" si="605"/>
        <v>75</v>
      </c>
      <c r="Q304" s="44">
        <f t="shared" ref="Q304:R304" si="618">Q303</f>
        <v>150</v>
      </c>
      <c r="R304" s="50">
        <f t="shared" si="618"/>
        <v>210</v>
      </c>
    </row>
    <row r="305" spans="1:18" x14ac:dyDescent="0.25">
      <c r="A305" s="41">
        <f t="shared" ref="A305:B305" si="619">A304+1</f>
        <v>1153</v>
      </c>
      <c r="B305" s="42">
        <f t="shared" si="619"/>
        <v>295</v>
      </c>
      <c r="C305" s="41" t="s">
        <v>3096</v>
      </c>
      <c r="D305" s="43">
        <f t="shared" si="601"/>
        <v>39.9</v>
      </c>
      <c r="E305" s="61">
        <f t="shared" si="489"/>
        <v>4.9735000000000005</v>
      </c>
      <c r="F305" s="61">
        <f t="shared" si="490"/>
        <v>42</v>
      </c>
      <c r="G305" s="64">
        <f t="shared" si="491"/>
        <v>0.58988764044943809</v>
      </c>
      <c r="H305" s="44">
        <f t="shared" si="602"/>
        <v>26.914126219991235</v>
      </c>
      <c r="I305" s="42" t="str">
        <f t="shared" ref="I305:K305" si="620">I304</f>
        <v>Half</v>
      </c>
      <c r="J305" s="50">
        <f t="shared" si="620"/>
        <v>6</v>
      </c>
      <c r="K305" s="49">
        <f t="shared" si="620"/>
        <v>160</v>
      </c>
      <c r="L305" s="44">
        <f t="shared" si="493"/>
        <v>8</v>
      </c>
      <c r="M305" s="44">
        <f t="shared" si="595"/>
        <v>-8</v>
      </c>
      <c r="N305" s="45">
        <f t="shared" ref="N305" si="621">N304</f>
        <v>0.2</v>
      </c>
      <c r="O305" s="49">
        <f>O299+30</f>
        <v>30</v>
      </c>
      <c r="P305" s="136">
        <v>0</v>
      </c>
      <c r="Q305" s="44">
        <f t="shared" ref="Q305:R305" si="622">Q304</f>
        <v>150</v>
      </c>
      <c r="R305" s="50">
        <f t="shared" si="622"/>
        <v>210</v>
      </c>
    </row>
    <row r="306" spans="1:18" x14ac:dyDescent="0.25">
      <c r="A306" s="41">
        <f t="shared" ref="A306:B306" si="623">A305+1</f>
        <v>1154</v>
      </c>
      <c r="B306" s="42">
        <f t="shared" si="623"/>
        <v>296</v>
      </c>
      <c r="C306" s="41" t="s">
        <v>3097</v>
      </c>
      <c r="D306" s="43">
        <f t="shared" si="601"/>
        <v>39.9</v>
      </c>
      <c r="E306" s="61">
        <f t="shared" si="489"/>
        <v>4.9735000000000005</v>
      </c>
      <c r="F306" s="61">
        <f t="shared" si="490"/>
        <v>42</v>
      </c>
      <c r="G306" s="64">
        <f t="shared" si="491"/>
        <v>0.58988764044943809</v>
      </c>
      <c r="H306" s="44">
        <f t="shared" si="602"/>
        <v>26.914126219991235</v>
      </c>
      <c r="I306" s="42" t="str">
        <f t="shared" ref="I306:K306" si="624">I305</f>
        <v>Half</v>
      </c>
      <c r="J306" s="50">
        <f t="shared" si="624"/>
        <v>6</v>
      </c>
      <c r="K306" s="49">
        <f t="shared" si="624"/>
        <v>160</v>
      </c>
      <c r="L306" s="44">
        <f t="shared" si="493"/>
        <v>8</v>
      </c>
      <c r="M306" s="44">
        <f t="shared" si="595"/>
        <v>-8</v>
      </c>
      <c r="N306" s="45">
        <f t="shared" ref="N306" si="625">N305</f>
        <v>0.2</v>
      </c>
      <c r="O306" s="49">
        <f t="shared" ref="O306:O322" si="626">O300+30</f>
        <v>30</v>
      </c>
      <c r="P306" s="53">
        <f>P305+15</f>
        <v>15</v>
      </c>
      <c r="Q306" s="44">
        <f t="shared" ref="Q306:R306" si="627">Q305</f>
        <v>150</v>
      </c>
      <c r="R306" s="50">
        <f t="shared" si="627"/>
        <v>210</v>
      </c>
    </row>
    <row r="307" spans="1:18" x14ac:dyDescent="0.25">
      <c r="A307" s="41">
        <f t="shared" ref="A307:B307" si="628">A306+1</f>
        <v>1155</v>
      </c>
      <c r="B307" s="42">
        <f t="shared" si="628"/>
        <v>297</v>
      </c>
      <c r="C307" s="41" t="s">
        <v>3098</v>
      </c>
      <c r="D307" s="43">
        <f t="shared" si="601"/>
        <v>39.9</v>
      </c>
      <c r="E307" s="61">
        <f t="shared" si="489"/>
        <v>4.9735000000000005</v>
      </c>
      <c r="F307" s="61">
        <f t="shared" si="490"/>
        <v>42</v>
      </c>
      <c r="G307" s="64">
        <f t="shared" si="491"/>
        <v>0.58988764044943809</v>
      </c>
      <c r="H307" s="44">
        <f t="shared" si="602"/>
        <v>26.914126219991235</v>
      </c>
      <c r="I307" s="42" t="str">
        <f t="shared" ref="I307:K307" si="629">I306</f>
        <v>Half</v>
      </c>
      <c r="J307" s="50">
        <f t="shared" si="629"/>
        <v>6</v>
      </c>
      <c r="K307" s="49">
        <f t="shared" si="629"/>
        <v>160</v>
      </c>
      <c r="L307" s="44">
        <f t="shared" si="493"/>
        <v>8</v>
      </c>
      <c r="M307" s="44">
        <f t="shared" si="595"/>
        <v>-8</v>
      </c>
      <c r="N307" s="45">
        <f t="shared" ref="N307" si="630">N306</f>
        <v>0.2</v>
      </c>
      <c r="O307" s="49">
        <f t="shared" si="626"/>
        <v>30</v>
      </c>
      <c r="P307" s="53">
        <f t="shared" ref="P307:P310" si="631">P306+15</f>
        <v>30</v>
      </c>
      <c r="Q307" s="44">
        <f t="shared" ref="Q307:R307" si="632">Q306</f>
        <v>150</v>
      </c>
      <c r="R307" s="50">
        <f t="shared" si="632"/>
        <v>210</v>
      </c>
    </row>
    <row r="308" spans="1:18" x14ac:dyDescent="0.25">
      <c r="A308" s="41">
        <f t="shared" ref="A308:B308" si="633">A307+1</f>
        <v>1156</v>
      </c>
      <c r="B308" s="42">
        <f t="shared" si="633"/>
        <v>298</v>
      </c>
      <c r="C308" s="41" t="s">
        <v>3099</v>
      </c>
      <c r="D308" s="43">
        <f t="shared" si="601"/>
        <v>39.9</v>
      </c>
      <c r="E308" s="61">
        <f t="shared" si="489"/>
        <v>4.9735000000000005</v>
      </c>
      <c r="F308" s="61">
        <f t="shared" si="490"/>
        <v>42</v>
      </c>
      <c r="G308" s="64">
        <f t="shared" si="491"/>
        <v>0.58988764044943809</v>
      </c>
      <c r="H308" s="44">
        <f t="shared" si="602"/>
        <v>26.914126219991235</v>
      </c>
      <c r="I308" s="42" t="str">
        <f>I307</f>
        <v>Half</v>
      </c>
      <c r="J308" s="50">
        <f t="shared" ref="J308:K308" si="634">J307</f>
        <v>6</v>
      </c>
      <c r="K308" s="49">
        <f t="shared" si="634"/>
        <v>160</v>
      </c>
      <c r="L308" s="44">
        <f t="shared" si="493"/>
        <v>8</v>
      </c>
      <c r="M308" s="44">
        <f t="shared" si="595"/>
        <v>-8</v>
      </c>
      <c r="N308" s="45">
        <f t="shared" ref="N308" si="635">N307</f>
        <v>0.2</v>
      </c>
      <c r="O308" s="49">
        <f t="shared" si="626"/>
        <v>30</v>
      </c>
      <c r="P308" s="53">
        <f t="shared" si="631"/>
        <v>45</v>
      </c>
      <c r="Q308" s="44">
        <f t="shared" ref="Q308:R308" si="636">Q307</f>
        <v>150</v>
      </c>
      <c r="R308" s="50">
        <f t="shared" si="636"/>
        <v>210</v>
      </c>
    </row>
    <row r="309" spans="1:18" x14ac:dyDescent="0.25">
      <c r="A309" s="41">
        <f t="shared" ref="A309:B309" si="637">A308+1</f>
        <v>1157</v>
      </c>
      <c r="B309" s="42">
        <f t="shared" si="637"/>
        <v>299</v>
      </c>
      <c r="C309" s="41" t="s">
        <v>3100</v>
      </c>
      <c r="D309" s="43">
        <f t="shared" si="601"/>
        <v>39.9</v>
      </c>
      <c r="E309" s="61">
        <f t="shared" si="489"/>
        <v>4.9735000000000005</v>
      </c>
      <c r="F309" s="61">
        <f t="shared" si="490"/>
        <v>42</v>
      </c>
      <c r="G309" s="64">
        <f t="shared" si="491"/>
        <v>0.58988764044943809</v>
      </c>
      <c r="H309" s="44">
        <f t="shared" si="602"/>
        <v>26.914126219991235</v>
      </c>
      <c r="I309" s="42" t="str">
        <f>I308</f>
        <v>Half</v>
      </c>
      <c r="J309" s="50">
        <f t="shared" ref="J309:K309" si="638">J308</f>
        <v>6</v>
      </c>
      <c r="K309" s="49">
        <f t="shared" si="638"/>
        <v>160</v>
      </c>
      <c r="L309" s="44">
        <f t="shared" si="493"/>
        <v>8</v>
      </c>
      <c r="M309" s="44">
        <f t="shared" si="595"/>
        <v>-8</v>
      </c>
      <c r="N309" s="45">
        <f t="shared" ref="N309" si="639">N308</f>
        <v>0.2</v>
      </c>
      <c r="O309" s="49">
        <f t="shared" si="626"/>
        <v>30</v>
      </c>
      <c r="P309" s="53">
        <f t="shared" si="631"/>
        <v>60</v>
      </c>
      <c r="Q309" s="44">
        <f t="shared" ref="Q309:R309" si="640">Q308</f>
        <v>150</v>
      </c>
      <c r="R309" s="50">
        <f t="shared" si="640"/>
        <v>210</v>
      </c>
    </row>
    <row r="310" spans="1:18" x14ac:dyDescent="0.25">
      <c r="A310" s="41">
        <f t="shared" ref="A310:B310" si="641">A309+1</f>
        <v>1158</v>
      </c>
      <c r="B310" s="42">
        <f t="shared" si="641"/>
        <v>300</v>
      </c>
      <c r="C310" s="41" t="s">
        <v>3101</v>
      </c>
      <c r="D310" s="43">
        <f t="shared" si="601"/>
        <v>39.9</v>
      </c>
      <c r="E310" s="61">
        <f t="shared" si="489"/>
        <v>4.9735000000000005</v>
      </c>
      <c r="F310" s="61">
        <f t="shared" si="490"/>
        <v>42</v>
      </c>
      <c r="G310" s="64">
        <f t="shared" si="491"/>
        <v>0.58988764044943809</v>
      </c>
      <c r="H310" s="44">
        <f t="shared" si="602"/>
        <v>26.914126219991235</v>
      </c>
      <c r="I310" s="42" t="str">
        <f>I309</f>
        <v>Half</v>
      </c>
      <c r="J310" s="50">
        <f t="shared" ref="J310:K310" si="642">J309</f>
        <v>6</v>
      </c>
      <c r="K310" s="49">
        <f t="shared" si="642"/>
        <v>160</v>
      </c>
      <c r="L310" s="44">
        <f t="shared" si="493"/>
        <v>8</v>
      </c>
      <c r="M310" s="44">
        <f t="shared" si="595"/>
        <v>-8</v>
      </c>
      <c r="N310" s="45">
        <f t="shared" ref="N310" si="643">N309</f>
        <v>0.2</v>
      </c>
      <c r="O310" s="49">
        <f t="shared" si="626"/>
        <v>30</v>
      </c>
      <c r="P310" s="135">
        <f t="shared" si="631"/>
        <v>75</v>
      </c>
      <c r="Q310" s="44">
        <f t="shared" ref="Q310:R310" si="644">Q309</f>
        <v>150</v>
      </c>
      <c r="R310" s="50">
        <f t="shared" si="644"/>
        <v>210</v>
      </c>
    </row>
    <row r="311" spans="1:18" x14ac:dyDescent="0.25">
      <c r="A311" s="41">
        <f t="shared" ref="A311:B311" si="645">A310+1</f>
        <v>1159</v>
      </c>
      <c r="B311" s="42">
        <f t="shared" si="645"/>
        <v>301</v>
      </c>
      <c r="C311" s="41" t="s">
        <v>3102</v>
      </c>
      <c r="D311" s="43">
        <f t="shared" si="601"/>
        <v>39.9</v>
      </c>
      <c r="E311" s="61">
        <f t="shared" si="489"/>
        <v>4.9735000000000005</v>
      </c>
      <c r="F311" s="61">
        <f t="shared" si="490"/>
        <v>42</v>
      </c>
      <c r="G311" s="64">
        <f t="shared" si="491"/>
        <v>0.58988764044943809</v>
      </c>
      <c r="H311" s="44">
        <f t="shared" si="602"/>
        <v>26.914126219991235</v>
      </c>
      <c r="I311" s="42" t="str">
        <f t="shared" ref="I311:K311" si="646">I310</f>
        <v>Half</v>
      </c>
      <c r="J311" s="50">
        <f t="shared" si="646"/>
        <v>6</v>
      </c>
      <c r="K311" s="49">
        <f t="shared" si="646"/>
        <v>160</v>
      </c>
      <c r="L311" s="44">
        <f t="shared" si="493"/>
        <v>8</v>
      </c>
      <c r="M311" s="44">
        <f t="shared" si="595"/>
        <v>-8</v>
      </c>
      <c r="N311" s="45">
        <f t="shared" ref="N311" si="647">N310</f>
        <v>0.2</v>
      </c>
      <c r="O311" s="49">
        <f t="shared" si="626"/>
        <v>60</v>
      </c>
      <c r="P311" s="136">
        <v>0</v>
      </c>
      <c r="Q311" s="44">
        <f t="shared" ref="Q311:R311" si="648">Q310</f>
        <v>150</v>
      </c>
      <c r="R311" s="50">
        <f t="shared" si="648"/>
        <v>210</v>
      </c>
    </row>
    <row r="312" spans="1:18" x14ac:dyDescent="0.25">
      <c r="A312" s="41">
        <f t="shared" ref="A312:B312" si="649">A311+1</f>
        <v>1160</v>
      </c>
      <c r="B312" s="42">
        <f t="shared" si="649"/>
        <v>302</v>
      </c>
      <c r="C312" s="41" t="s">
        <v>3103</v>
      </c>
      <c r="D312" s="43">
        <f t="shared" si="601"/>
        <v>39.9</v>
      </c>
      <c r="E312" s="61">
        <f t="shared" si="489"/>
        <v>4.9735000000000005</v>
      </c>
      <c r="F312" s="61">
        <f t="shared" si="490"/>
        <v>42</v>
      </c>
      <c r="G312" s="64">
        <f t="shared" si="491"/>
        <v>0.58988764044943809</v>
      </c>
      <c r="H312" s="44">
        <f t="shared" si="602"/>
        <v>26.914126219991235</v>
      </c>
      <c r="I312" s="42" t="str">
        <f t="shared" ref="I312:K312" si="650">I311</f>
        <v>Half</v>
      </c>
      <c r="J312" s="50">
        <f t="shared" si="650"/>
        <v>6</v>
      </c>
      <c r="K312" s="49">
        <f t="shared" si="650"/>
        <v>160</v>
      </c>
      <c r="L312" s="44">
        <f t="shared" si="493"/>
        <v>8</v>
      </c>
      <c r="M312" s="44">
        <f t="shared" si="595"/>
        <v>-8</v>
      </c>
      <c r="N312" s="45">
        <f t="shared" ref="N312" si="651">N311</f>
        <v>0.2</v>
      </c>
      <c r="O312" s="49">
        <f t="shared" si="626"/>
        <v>60</v>
      </c>
      <c r="P312" s="53">
        <f>P311+15</f>
        <v>15</v>
      </c>
      <c r="Q312" s="44">
        <f t="shared" ref="Q312:R312" si="652">Q311</f>
        <v>150</v>
      </c>
      <c r="R312" s="50">
        <f t="shared" si="652"/>
        <v>210</v>
      </c>
    </row>
    <row r="313" spans="1:18" x14ac:dyDescent="0.25">
      <c r="A313" s="41">
        <f t="shared" ref="A313:B313" si="653">A312+1</f>
        <v>1161</v>
      </c>
      <c r="B313" s="42">
        <f t="shared" si="653"/>
        <v>303</v>
      </c>
      <c r="C313" s="41" t="s">
        <v>3104</v>
      </c>
      <c r="D313" s="43">
        <f t="shared" si="601"/>
        <v>39.9</v>
      </c>
      <c r="E313" s="61">
        <f t="shared" si="489"/>
        <v>4.9735000000000005</v>
      </c>
      <c r="F313" s="61">
        <f t="shared" si="490"/>
        <v>42</v>
      </c>
      <c r="G313" s="64">
        <f t="shared" si="491"/>
        <v>0.58988764044943809</v>
      </c>
      <c r="H313" s="44">
        <f t="shared" si="602"/>
        <v>26.914126219991235</v>
      </c>
      <c r="I313" s="42" t="str">
        <f t="shared" ref="I313:K313" si="654">I312</f>
        <v>Half</v>
      </c>
      <c r="J313" s="50">
        <f t="shared" si="654"/>
        <v>6</v>
      </c>
      <c r="K313" s="49">
        <f t="shared" si="654"/>
        <v>160</v>
      </c>
      <c r="L313" s="44">
        <f t="shared" si="493"/>
        <v>8</v>
      </c>
      <c r="M313" s="44">
        <f t="shared" si="595"/>
        <v>-8</v>
      </c>
      <c r="N313" s="45">
        <f t="shared" ref="N313" si="655">N312</f>
        <v>0.2</v>
      </c>
      <c r="O313" s="49">
        <f t="shared" si="626"/>
        <v>60</v>
      </c>
      <c r="P313" s="53">
        <f t="shared" ref="P313:P316" si="656">P312+15</f>
        <v>30</v>
      </c>
      <c r="Q313" s="44">
        <f t="shared" ref="Q313:R313" si="657">Q312</f>
        <v>150</v>
      </c>
      <c r="R313" s="50">
        <f t="shared" si="657"/>
        <v>210</v>
      </c>
    </row>
    <row r="314" spans="1:18" x14ac:dyDescent="0.25">
      <c r="A314" s="41">
        <f t="shared" ref="A314:B314" si="658">A313+1</f>
        <v>1162</v>
      </c>
      <c r="B314" s="42">
        <f t="shared" si="658"/>
        <v>304</v>
      </c>
      <c r="C314" s="41" t="s">
        <v>3105</v>
      </c>
      <c r="D314" s="43">
        <f t="shared" si="601"/>
        <v>39.9</v>
      </c>
      <c r="E314" s="61">
        <f t="shared" si="489"/>
        <v>4.9735000000000005</v>
      </c>
      <c r="F314" s="61">
        <f t="shared" si="490"/>
        <v>42</v>
      </c>
      <c r="G314" s="64">
        <f t="shared" si="491"/>
        <v>0.58988764044943809</v>
      </c>
      <c r="H314" s="44">
        <f t="shared" si="602"/>
        <v>26.914126219991235</v>
      </c>
      <c r="I314" s="42" t="str">
        <f t="shared" ref="I314:K314" si="659">I313</f>
        <v>Half</v>
      </c>
      <c r="J314" s="50">
        <f t="shared" si="659"/>
        <v>6</v>
      </c>
      <c r="K314" s="49">
        <f t="shared" si="659"/>
        <v>160</v>
      </c>
      <c r="L314" s="44">
        <f t="shared" si="493"/>
        <v>8</v>
      </c>
      <c r="M314" s="44">
        <f t="shared" si="595"/>
        <v>-8</v>
      </c>
      <c r="N314" s="45">
        <f t="shared" ref="N314" si="660">N313</f>
        <v>0.2</v>
      </c>
      <c r="O314" s="49">
        <f t="shared" si="626"/>
        <v>60</v>
      </c>
      <c r="P314" s="53">
        <f t="shared" si="656"/>
        <v>45</v>
      </c>
      <c r="Q314" s="44">
        <f t="shared" ref="Q314:R314" si="661">Q313</f>
        <v>150</v>
      </c>
      <c r="R314" s="50">
        <f t="shared" si="661"/>
        <v>210</v>
      </c>
    </row>
    <row r="315" spans="1:18" x14ac:dyDescent="0.25">
      <c r="A315" s="41">
        <f t="shared" ref="A315:B315" si="662">A314+1</f>
        <v>1163</v>
      </c>
      <c r="B315" s="42">
        <f t="shared" si="662"/>
        <v>305</v>
      </c>
      <c r="C315" s="41" t="s">
        <v>3106</v>
      </c>
      <c r="D315" s="43">
        <f t="shared" si="601"/>
        <v>39.9</v>
      </c>
      <c r="E315" s="61">
        <f t="shared" si="489"/>
        <v>4.9735000000000005</v>
      </c>
      <c r="F315" s="61">
        <f t="shared" si="490"/>
        <v>42</v>
      </c>
      <c r="G315" s="64">
        <f t="shared" si="491"/>
        <v>0.58988764044943809</v>
      </c>
      <c r="H315" s="44">
        <f t="shared" si="602"/>
        <v>26.914126219991235</v>
      </c>
      <c r="I315" s="42" t="s">
        <v>12</v>
      </c>
      <c r="J315" s="50">
        <f t="shared" ref="J315:K315" si="663">J314</f>
        <v>6</v>
      </c>
      <c r="K315" s="49">
        <f t="shared" si="663"/>
        <v>160</v>
      </c>
      <c r="L315" s="44">
        <f t="shared" si="493"/>
        <v>8</v>
      </c>
      <c r="M315" s="44">
        <f t="shared" si="595"/>
        <v>-8</v>
      </c>
      <c r="N315" s="45">
        <f t="shared" ref="N315" si="664">N314</f>
        <v>0.2</v>
      </c>
      <c r="O315" s="49">
        <f t="shared" si="626"/>
        <v>60</v>
      </c>
      <c r="P315" s="53">
        <f t="shared" si="656"/>
        <v>60</v>
      </c>
      <c r="Q315" s="44">
        <f t="shared" ref="Q315:R315" si="665">Q314</f>
        <v>150</v>
      </c>
      <c r="R315" s="50">
        <f t="shared" si="665"/>
        <v>210</v>
      </c>
    </row>
    <row r="316" spans="1:18" x14ac:dyDescent="0.25">
      <c r="A316" s="41">
        <f t="shared" ref="A316:B316" si="666">A315+1</f>
        <v>1164</v>
      </c>
      <c r="B316" s="42">
        <f t="shared" si="666"/>
        <v>306</v>
      </c>
      <c r="C316" s="41" t="s">
        <v>3107</v>
      </c>
      <c r="D316" s="43">
        <f t="shared" si="601"/>
        <v>39.9</v>
      </c>
      <c r="E316" s="61">
        <f t="shared" si="489"/>
        <v>4.9735000000000005</v>
      </c>
      <c r="F316" s="61">
        <f t="shared" si="490"/>
        <v>42</v>
      </c>
      <c r="G316" s="64">
        <f t="shared" si="491"/>
        <v>0.58988764044943809</v>
      </c>
      <c r="H316" s="44">
        <f t="shared" si="602"/>
        <v>26.914126219991235</v>
      </c>
      <c r="I316" s="42" t="str">
        <f>I315</f>
        <v>Half</v>
      </c>
      <c r="J316" s="50">
        <f t="shared" ref="J316:K316" si="667">J315</f>
        <v>6</v>
      </c>
      <c r="K316" s="49">
        <f t="shared" si="667"/>
        <v>160</v>
      </c>
      <c r="L316" s="44">
        <f t="shared" si="493"/>
        <v>8</v>
      </c>
      <c r="M316" s="44">
        <f t="shared" si="595"/>
        <v>-8</v>
      </c>
      <c r="N316" s="45">
        <f t="shared" ref="N316" si="668">N315</f>
        <v>0.2</v>
      </c>
      <c r="O316" s="49">
        <f t="shared" si="626"/>
        <v>60</v>
      </c>
      <c r="P316" s="135">
        <f t="shared" si="656"/>
        <v>75</v>
      </c>
      <c r="Q316" s="44">
        <f t="shared" ref="Q316:R316" si="669">Q315</f>
        <v>150</v>
      </c>
      <c r="R316" s="50">
        <f t="shared" si="669"/>
        <v>210</v>
      </c>
    </row>
    <row r="317" spans="1:18" x14ac:dyDescent="0.25">
      <c r="A317" s="41">
        <f t="shared" ref="A317:B317" si="670">A316+1</f>
        <v>1165</v>
      </c>
      <c r="B317" s="42">
        <f t="shared" si="670"/>
        <v>307</v>
      </c>
      <c r="C317" s="41" t="s">
        <v>3108</v>
      </c>
      <c r="D317" s="43">
        <f t="shared" si="601"/>
        <v>39.9</v>
      </c>
      <c r="E317" s="61">
        <f t="shared" si="489"/>
        <v>4.9735000000000005</v>
      </c>
      <c r="F317" s="61">
        <f t="shared" si="490"/>
        <v>42</v>
      </c>
      <c r="G317" s="64">
        <f t="shared" si="491"/>
        <v>0.58988764044943809</v>
      </c>
      <c r="H317" s="44">
        <f t="shared" si="602"/>
        <v>26.914126219991235</v>
      </c>
      <c r="I317" s="42" t="str">
        <f t="shared" ref="I317:K317" si="671">I316</f>
        <v>Half</v>
      </c>
      <c r="J317" s="50">
        <f t="shared" si="671"/>
        <v>6</v>
      </c>
      <c r="K317" s="49">
        <f t="shared" si="671"/>
        <v>160</v>
      </c>
      <c r="L317" s="44">
        <f t="shared" si="493"/>
        <v>8</v>
      </c>
      <c r="M317" s="44">
        <f t="shared" si="595"/>
        <v>-8</v>
      </c>
      <c r="N317" s="45">
        <f t="shared" ref="N317" si="672">N316</f>
        <v>0.2</v>
      </c>
      <c r="O317" s="49">
        <f t="shared" si="626"/>
        <v>90</v>
      </c>
      <c r="P317" s="136">
        <v>0</v>
      </c>
      <c r="Q317" s="44">
        <f t="shared" ref="Q317:R317" si="673">Q316</f>
        <v>150</v>
      </c>
      <c r="R317" s="50">
        <f t="shared" si="673"/>
        <v>210</v>
      </c>
    </row>
    <row r="318" spans="1:18" x14ac:dyDescent="0.25">
      <c r="A318" s="41">
        <f t="shared" ref="A318:B318" si="674">A317+1</f>
        <v>1166</v>
      </c>
      <c r="B318" s="42">
        <f t="shared" si="674"/>
        <v>308</v>
      </c>
      <c r="C318" s="41" t="s">
        <v>3109</v>
      </c>
      <c r="D318" s="43">
        <f t="shared" si="601"/>
        <v>39.9</v>
      </c>
      <c r="E318" s="61">
        <f t="shared" si="489"/>
        <v>4.9735000000000005</v>
      </c>
      <c r="F318" s="61">
        <f t="shared" si="490"/>
        <v>42</v>
      </c>
      <c r="G318" s="64">
        <f t="shared" si="491"/>
        <v>0.58988764044943809</v>
      </c>
      <c r="H318" s="44">
        <f t="shared" si="602"/>
        <v>26.914126219991235</v>
      </c>
      <c r="I318" s="42" t="str">
        <f t="shared" ref="I318:K318" si="675">I317</f>
        <v>Half</v>
      </c>
      <c r="J318" s="50">
        <f t="shared" si="675"/>
        <v>6</v>
      </c>
      <c r="K318" s="49">
        <f t="shared" si="675"/>
        <v>160</v>
      </c>
      <c r="L318" s="44">
        <f t="shared" si="493"/>
        <v>8</v>
      </c>
      <c r="M318" s="44">
        <f t="shared" si="595"/>
        <v>-8</v>
      </c>
      <c r="N318" s="45">
        <f t="shared" ref="N318" si="676">N317</f>
        <v>0.2</v>
      </c>
      <c r="O318" s="49">
        <f t="shared" si="626"/>
        <v>90</v>
      </c>
      <c r="P318" s="53">
        <f>P317+15</f>
        <v>15</v>
      </c>
      <c r="Q318" s="44">
        <f t="shared" ref="Q318:R318" si="677">Q317</f>
        <v>150</v>
      </c>
      <c r="R318" s="50">
        <f t="shared" si="677"/>
        <v>210</v>
      </c>
    </row>
    <row r="319" spans="1:18" x14ac:dyDescent="0.25">
      <c r="A319" s="41">
        <f t="shared" ref="A319:B319" si="678">A318+1</f>
        <v>1167</v>
      </c>
      <c r="B319" s="42">
        <f t="shared" si="678"/>
        <v>309</v>
      </c>
      <c r="C319" s="41" t="s">
        <v>3110</v>
      </c>
      <c r="D319" s="43">
        <f t="shared" si="601"/>
        <v>39.9</v>
      </c>
      <c r="E319" s="61">
        <f t="shared" si="489"/>
        <v>4.9735000000000005</v>
      </c>
      <c r="F319" s="61">
        <f t="shared" si="490"/>
        <v>42</v>
      </c>
      <c r="G319" s="64">
        <f t="shared" si="491"/>
        <v>0.58988764044943809</v>
      </c>
      <c r="H319" s="44">
        <f t="shared" si="602"/>
        <v>26.914126219991235</v>
      </c>
      <c r="I319" s="42" t="str">
        <f t="shared" ref="I319:K319" si="679">I318</f>
        <v>Half</v>
      </c>
      <c r="J319" s="50">
        <f t="shared" si="679"/>
        <v>6</v>
      </c>
      <c r="K319" s="49">
        <f t="shared" si="679"/>
        <v>160</v>
      </c>
      <c r="L319" s="44">
        <f t="shared" si="493"/>
        <v>8</v>
      </c>
      <c r="M319" s="44">
        <f t="shared" si="595"/>
        <v>-8</v>
      </c>
      <c r="N319" s="45">
        <f t="shared" ref="N319" si="680">N318</f>
        <v>0.2</v>
      </c>
      <c r="O319" s="49">
        <f>O313+30</f>
        <v>90</v>
      </c>
      <c r="P319" s="53">
        <f t="shared" ref="P319:P322" si="681">P318+15</f>
        <v>30</v>
      </c>
      <c r="Q319" s="44">
        <f t="shared" ref="Q319:R319" si="682">Q318</f>
        <v>150</v>
      </c>
      <c r="R319" s="50">
        <f t="shared" si="682"/>
        <v>210</v>
      </c>
    </row>
    <row r="320" spans="1:18" x14ac:dyDescent="0.25">
      <c r="A320" s="41">
        <f t="shared" ref="A320:B320" si="683">A319+1</f>
        <v>1168</v>
      </c>
      <c r="B320" s="42">
        <f t="shared" si="683"/>
        <v>310</v>
      </c>
      <c r="C320" s="41" t="s">
        <v>3111</v>
      </c>
      <c r="D320" s="43">
        <f t="shared" si="601"/>
        <v>39.9</v>
      </c>
      <c r="E320" s="61">
        <f t="shared" si="489"/>
        <v>4.9735000000000005</v>
      </c>
      <c r="F320" s="61">
        <f t="shared" si="490"/>
        <v>42</v>
      </c>
      <c r="G320" s="64">
        <f t="shared" si="491"/>
        <v>0.58988764044943809</v>
      </c>
      <c r="H320" s="44">
        <f t="shared" si="602"/>
        <v>26.914126219991235</v>
      </c>
      <c r="I320" s="42" t="str">
        <f t="shared" ref="I320:K320" si="684">I319</f>
        <v>Half</v>
      </c>
      <c r="J320" s="50">
        <f t="shared" si="684"/>
        <v>6</v>
      </c>
      <c r="K320" s="49">
        <f t="shared" si="684"/>
        <v>160</v>
      </c>
      <c r="L320" s="44">
        <f t="shared" si="493"/>
        <v>8</v>
      </c>
      <c r="M320" s="44">
        <f t="shared" si="595"/>
        <v>-8</v>
      </c>
      <c r="N320" s="45">
        <f t="shared" ref="N320" si="685">N319</f>
        <v>0.2</v>
      </c>
      <c r="O320" s="49">
        <f t="shared" si="626"/>
        <v>90</v>
      </c>
      <c r="P320" s="53">
        <f t="shared" si="681"/>
        <v>45</v>
      </c>
      <c r="Q320" s="44">
        <f t="shared" ref="Q320:R320" si="686">Q319</f>
        <v>150</v>
      </c>
      <c r="R320" s="50">
        <f t="shared" si="686"/>
        <v>210</v>
      </c>
    </row>
    <row r="321" spans="1:18" x14ac:dyDescent="0.25">
      <c r="A321" s="41">
        <f t="shared" ref="A321:B321" si="687">A320+1</f>
        <v>1169</v>
      </c>
      <c r="B321" s="42">
        <f t="shared" si="687"/>
        <v>311</v>
      </c>
      <c r="C321" s="41" t="s">
        <v>3112</v>
      </c>
      <c r="D321" s="43">
        <f t="shared" si="601"/>
        <v>39.9</v>
      </c>
      <c r="E321" s="61">
        <f t="shared" si="489"/>
        <v>4.9735000000000005</v>
      </c>
      <c r="F321" s="61">
        <f t="shared" si="490"/>
        <v>42</v>
      </c>
      <c r="G321" s="64">
        <f t="shared" si="491"/>
        <v>0.58988764044943809</v>
      </c>
      <c r="H321" s="44">
        <f t="shared" si="602"/>
        <v>26.914126219991235</v>
      </c>
      <c r="I321" s="42" t="str">
        <f t="shared" ref="I321:K321" si="688">I320</f>
        <v>Half</v>
      </c>
      <c r="J321" s="50">
        <f t="shared" si="688"/>
        <v>6</v>
      </c>
      <c r="K321" s="49">
        <f t="shared" si="688"/>
        <v>160</v>
      </c>
      <c r="L321" s="44">
        <f t="shared" si="493"/>
        <v>8</v>
      </c>
      <c r="M321" s="44">
        <f t="shared" si="595"/>
        <v>-8</v>
      </c>
      <c r="N321" s="45">
        <f t="shared" ref="N321" si="689">N320</f>
        <v>0.2</v>
      </c>
      <c r="O321" s="49">
        <f t="shared" si="626"/>
        <v>90</v>
      </c>
      <c r="P321" s="53">
        <f t="shared" si="681"/>
        <v>60</v>
      </c>
      <c r="Q321" s="44">
        <f t="shared" ref="Q321:R321" si="690">Q320</f>
        <v>150</v>
      </c>
      <c r="R321" s="50">
        <f t="shared" si="690"/>
        <v>210</v>
      </c>
    </row>
    <row r="322" spans="1:18" x14ac:dyDescent="0.25">
      <c r="A322" s="41">
        <f t="shared" ref="A322:B322" si="691">A321+1</f>
        <v>1170</v>
      </c>
      <c r="B322" s="42">
        <f t="shared" si="691"/>
        <v>312</v>
      </c>
      <c r="C322" s="127" t="s">
        <v>3113</v>
      </c>
      <c r="D322" s="43">
        <f t="shared" si="601"/>
        <v>39.9</v>
      </c>
      <c r="E322" s="61">
        <f t="shared" si="489"/>
        <v>4.9735000000000005</v>
      </c>
      <c r="F322" s="61">
        <f t="shared" si="490"/>
        <v>42</v>
      </c>
      <c r="G322" s="64">
        <f t="shared" si="491"/>
        <v>0.58988764044943809</v>
      </c>
      <c r="H322" s="44">
        <f t="shared" si="602"/>
        <v>26.914126219991235</v>
      </c>
      <c r="I322" s="42" t="str">
        <f t="shared" ref="I322:K322" si="692">I321</f>
        <v>Half</v>
      </c>
      <c r="J322" s="50">
        <f t="shared" si="692"/>
        <v>6</v>
      </c>
      <c r="K322" s="49">
        <f t="shared" si="692"/>
        <v>160</v>
      </c>
      <c r="L322" s="44">
        <f t="shared" si="493"/>
        <v>8</v>
      </c>
      <c r="M322" s="44">
        <f t="shared" si="595"/>
        <v>-8</v>
      </c>
      <c r="N322" s="45">
        <f t="shared" ref="N322" si="693">N321</f>
        <v>0.2</v>
      </c>
      <c r="O322" s="49">
        <f t="shared" si="626"/>
        <v>90</v>
      </c>
      <c r="P322" s="53">
        <f t="shared" si="681"/>
        <v>75</v>
      </c>
      <c r="Q322" s="44">
        <f t="shared" ref="Q322:R322" si="694">Q321</f>
        <v>150</v>
      </c>
      <c r="R322" s="50">
        <f t="shared" si="694"/>
        <v>210</v>
      </c>
    </row>
    <row r="323" spans="1:18" x14ac:dyDescent="0.25">
      <c r="A323" s="41">
        <f t="shared" ref="A323:B323" si="695">A322+1</f>
        <v>1171</v>
      </c>
      <c r="B323" s="42">
        <f t="shared" si="695"/>
        <v>313</v>
      </c>
      <c r="C323" s="41" t="s">
        <v>3114</v>
      </c>
      <c r="D323" s="43">
        <f t="shared" si="601"/>
        <v>39.9</v>
      </c>
      <c r="E323" s="61">
        <f t="shared" si="489"/>
        <v>4.9735000000000005</v>
      </c>
      <c r="F323" s="61">
        <f t="shared" si="490"/>
        <v>42</v>
      </c>
      <c r="G323" s="64">
        <f t="shared" si="491"/>
        <v>0.58988764044943809</v>
      </c>
      <c r="H323" s="44">
        <f t="shared" si="602"/>
        <v>26.914126219991235</v>
      </c>
      <c r="I323" s="42" t="str">
        <f t="shared" ref="I323:K323" si="696">I322</f>
        <v>Half</v>
      </c>
      <c r="J323" s="50">
        <f t="shared" si="696"/>
        <v>6</v>
      </c>
      <c r="K323" s="49">
        <f t="shared" si="696"/>
        <v>160</v>
      </c>
      <c r="L323" s="44">
        <f t="shared" si="493"/>
        <v>8</v>
      </c>
      <c r="M323" s="44">
        <f t="shared" ref="M323:M346" si="697">yaw_null</f>
        <v>0</v>
      </c>
      <c r="N323" s="45">
        <f t="shared" ref="N323" si="698">N322</f>
        <v>0.2</v>
      </c>
      <c r="O323" s="49">
        <v>0</v>
      </c>
      <c r="P323" s="136">
        <v>0</v>
      </c>
      <c r="Q323" s="44">
        <f t="shared" ref="Q323:R323" si="699">Q322</f>
        <v>150</v>
      </c>
      <c r="R323" s="50">
        <f t="shared" si="699"/>
        <v>210</v>
      </c>
    </row>
    <row r="324" spans="1:18" x14ac:dyDescent="0.25">
      <c r="A324" s="41">
        <f t="shared" ref="A324:B324" si="700">A323+1</f>
        <v>1172</v>
      </c>
      <c r="B324" s="42">
        <f t="shared" si="700"/>
        <v>314</v>
      </c>
      <c r="C324" s="41" t="s">
        <v>3115</v>
      </c>
      <c r="D324" s="43">
        <f t="shared" si="601"/>
        <v>39.9</v>
      </c>
      <c r="E324" s="61">
        <f t="shared" si="489"/>
        <v>4.9735000000000005</v>
      </c>
      <c r="F324" s="61">
        <f t="shared" si="490"/>
        <v>42</v>
      </c>
      <c r="G324" s="64">
        <f t="shared" si="491"/>
        <v>0.58988764044943809</v>
      </c>
      <c r="H324" s="44">
        <f t="shared" si="602"/>
        <v>26.914126219991235</v>
      </c>
      <c r="I324" s="42" t="str">
        <f t="shared" ref="I324:K324" si="701">I323</f>
        <v>Half</v>
      </c>
      <c r="J324" s="50">
        <f t="shared" si="701"/>
        <v>6</v>
      </c>
      <c r="K324" s="49">
        <f t="shared" si="701"/>
        <v>160</v>
      </c>
      <c r="L324" s="44">
        <f t="shared" si="493"/>
        <v>8</v>
      </c>
      <c r="M324" s="44">
        <f t="shared" si="697"/>
        <v>0</v>
      </c>
      <c r="N324" s="45">
        <f t="shared" ref="N324" si="702">N323</f>
        <v>0.2</v>
      </c>
      <c r="O324" s="49">
        <v>0</v>
      </c>
      <c r="P324" s="53">
        <f>P323+15</f>
        <v>15</v>
      </c>
      <c r="Q324" s="44">
        <f t="shared" ref="Q324:R324" si="703">Q323</f>
        <v>150</v>
      </c>
      <c r="R324" s="50">
        <f t="shared" si="703"/>
        <v>210</v>
      </c>
    </row>
    <row r="325" spans="1:18" x14ac:dyDescent="0.25">
      <c r="A325" s="41">
        <f t="shared" ref="A325:B325" si="704">A324+1</f>
        <v>1173</v>
      </c>
      <c r="B325" s="42">
        <f t="shared" si="704"/>
        <v>315</v>
      </c>
      <c r="C325" s="41" t="s">
        <v>3116</v>
      </c>
      <c r="D325" s="43">
        <f t="shared" si="601"/>
        <v>39.9</v>
      </c>
      <c r="E325" s="61">
        <f t="shared" si="489"/>
        <v>4.9735000000000005</v>
      </c>
      <c r="F325" s="61">
        <f t="shared" si="490"/>
        <v>42</v>
      </c>
      <c r="G325" s="64">
        <f t="shared" si="491"/>
        <v>0.58988764044943809</v>
      </c>
      <c r="H325" s="44">
        <f t="shared" si="602"/>
        <v>26.914126219991235</v>
      </c>
      <c r="I325" s="42" t="str">
        <f t="shared" ref="I325:K325" si="705">I324</f>
        <v>Half</v>
      </c>
      <c r="J325" s="50">
        <f t="shared" si="705"/>
        <v>6</v>
      </c>
      <c r="K325" s="49">
        <f t="shared" si="705"/>
        <v>160</v>
      </c>
      <c r="L325" s="44">
        <f t="shared" si="493"/>
        <v>8</v>
      </c>
      <c r="M325" s="44">
        <f t="shared" si="697"/>
        <v>0</v>
      </c>
      <c r="N325" s="45">
        <f t="shared" ref="N325" si="706">N324</f>
        <v>0.2</v>
      </c>
      <c r="O325" s="49">
        <v>0</v>
      </c>
      <c r="P325" s="53">
        <f t="shared" ref="P325:P328" si="707">P324+15</f>
        <v>30</v>
      </c>
      <c r="Q325" s="44">
        <f t="shared" ref="Q325:R325" si="708">Q324</f>
        <v>150</v>
      </c>
      <c r="R325" s="50">
        <f t="shared" si="708"/>
        <v>210</v>
      </c>
    </row>
    <row r="326" spans="1:18" x14ac:dyDescent="0.25">
      <c r="A326" s="41">
        <f t="shared" ref="A326:B326" si="709">A325+1</f>
        <v>1174</v>
      </c>
      <c r="B326" s="42">
        <f t="shared" si="709"/>
        <v>316</v>
      </c>
      <c r="C326" s="41" t="s">
        <v>3117</v>
      </c>
      <c r="D326" s="43">
        <f t="shared" si="601"/>
        <v>39.9</v>
      </c>
      <c r="E326" s="61">
        <f t="shared" si="489"/>
        <v>4.9735000000000005</v>
      </c>
      <c r="F326" s="61">
        <f t="shared" si="490"/>
        <v>42</v>
      </c>
      <c r="G326" s="64">
        <f t="shared" si="491"/>
        <v>0.58988764044943809</v>
      </c>
      <c r="H326" s="44">
        <f t="shared" si="602"/>
        <v>26.914126219991235</v>
      </c>
      <c r="I326" s="42" t="str">
        <f t="shared" ref="I326:K326" si="710">I325</f>
        <v>Half</v>
      </c>
      <c r="J326" s="50">
        <f t="shared" si="710"/>
        <v>6</v>
      </c>
      <c r="K326" s="49">
        <f t="shared" si="710"/>
        <v>160</v>
      </c>
      <c r="L326" s="44">
        <f t="shared" si="493"/>
        <v>8</v>
      </c>
      <c r="M326" s="44">
        <f t="shared" si="697"/>
        <v>0</v>
      </c>
      <c r="N326" s="45">
        <f t="shared" ref="N326" si="711">N325</f>
        <v>0.2</v>
      </c>
      <c r="O326" s="49">
        <v>0</v>
      </c>
      <c r="P326" s="53">
        <f t="shared" si="707"/>
        <v>45</v>
      </c>
      <c r="Q326" s="44">
        <f t="shared" ref="Q326:R326" si="712">Q325</f>
        <v>150</v>
      </c>
      <c r="R326" s="50">
        <f t="shared" si="712"/>
        <v>210</v>
      </c>
    </row>
    <row r="327" spans="1:18" x14ac:dyDescent="0.25">
      <c r="A327" s="41">
        <f t="shared" ref="A327:B327" si="713">A326+1</f>
        <v>1175</v>
      </c>
      <c r="B327" s="42">
        <f t="shared" si="713"/>
        <v>317</v>
      </c>
      <c r="C327" s="41" t="s">
        <v>3118</v>
      </c>
      <c r="D327" s="43">
        <f t="shared" si="601"/>
        <v>39.9</v>
      </c>
      <c r="E327" s="61">
        <f t="shared" si="489"/>
        <v>4.9735000000000005</v>
      </c>
      <c r="F327" s="61">
        <f t="shared" si="490"/>
        <v>42</v>
      </c>
      <c r="G327" s="64">
        <f t="shared" si="491"/>
        <v>0.58988764044943809</v>
      </c>
      <c r="H327" s="44">
        <f t="shared" si="602"/>
        <v>26.914126219991235</v>
      </c>
      <c r="I327" s="42" t="str">
        <f t="shared" ref="I327:K327" si="714">I326</f>
        <v>Half</v>
      </c>
      <c r="J327" s="50">
        <f t="shared" si="714"/>
        <v>6</v>
      </c>
      <c r="K327" s="49">
        <f t="shared" si="714"/>
        <v>160</v>
      </c>
      <c r="L327" s="44">
        <f t="shared" si="493"/>
        <v>8</v>
      </c>
      <c r="M327" s="44">
        <f t="shared" si="697"/>
        <v>0</v>
      </c>
      <c r="N327" s="45">
        <f t="shared" ref="N327" si="715">N326</f>
        <v>0.2</v>
      </c>
      <c r="O327" s="49">
        <v>0</v>
      </c>
      <c r="P327" s="53">
        <f t="shared" si="707"/>
        <v>60</v>
      </c>
      <c r="Q327" s="44">
        <f t="shared" ref="Q327:R327" si="716">Q326</f>
        <v>150</v>
      </c>
      <c r="R327" s="50">
        <f t="shared" si="716"/>
        <v>210</v>
      </c>
    </row>
    <row r="328" spans="1:18" x14ac:dyDescent="0.25">
      <c r="A328" s="41">
        <f t="shared" ref="A328:B328" si="717">A327+1</f>
        <v>1176</v>
      </c>
      <c r="B328" s="42">
        <f t="shared" si="717"/>
        <v>318</v>
      </c>
      <c r="C328" s="41" t="s">
        <v>3119</v>
      </c>
      <c r="D328" s="43">
        <f t="shared" si="601"/>
        <v>39.9</v>
      </c>
      <c r="E328" s="61">
        <f t="shared" si="489"/>
        <v>4.9735000000000005</v>
      </c>
      <c r="F328" s="61">
        <f t="shared" si="490"/>
        <v>42</v>
      </c>
      <c r="G328" s="64">
        <f t="shared" si="491"/>
        <v>0.58988764044943809</v>
      </c>
      <c r="H328" s="44">
        <f t="shared" si="602"/>
        <v>26.914126219991235</v>
      </c>
      <c r="I328" s="42" t="str">
        <f t="shared" ref="I328:K328" si="718">I327</f>
        <v>Half</v>
      </c>
      <c r="J328" s="50">
        <f t="shared" si="718"/>
        <v>6</v>
      </c>
      <c r="K328" s="49">
        <f t="shared" si="718"/>
        <v>160</v>
      </c>
      <c r="L328" s="44">
        <f t="shared" si="493"/>
        <v>8</v>
      </c>
      <c r="M328" s="44">
        <f t="shared" si="697"/>
        <v>0</v>
      </c>
      <c r="N328" s="45">
        <f t="shared" ref="N328" si="719">N327</f>
        <v>0.2</v>
      </c>
      <c r="O328" s="49">
        <v>0</v>
      </c>
      <c r="P328" s="135">
        <f t="shared" si="707"/>
        <v>75</v>
      </c>
      <c r="Q328" s="44">
        <f t="shared" ref="Q328:R328" si="720">Q327</f>
        <v>150</v>
      </c>
      <c r="R328" s="50">
        <f t="shared" si="720"/>
        <v>210</v>
      </c>
    </row>
    <row r="329" spans="1:18" x14ac:dyDescent="0.25">
      <c r="A329" s="41">
        <f t="shared" ref="A329:B329" si="721">A328+1</f>
        <v>1177</v>
      </c>
      <c r="B329" s="42">
        <f t="shared" si="721"/>
        <v>319</v>
      </c>
      <c r="C329" s="41" t="s">
        <v>3120</v>
      </c>
      <c r="D329" s="43">
        <f t="shared" si="601"/>
        <v>39.9</v>
      </c>
      <c r="E329" s="61">
        <f t="shared" si="489"/>
        <v>4.9735000000000005</v>
      </c>
      <c r="F329" s="61">
        <f t="shared" si="490"/>
        <v>42</v>
      </c>
      <c r="G329" s="64">
        <f t="shared" si="491"/>
        <v>0.58988764044943809</v>
      </c>
      <c r="H329" s="44">
        <f t="shared" si="602"/>
        <v>26.914126219991235</v>
      </c>
      <c r="I329" s="42" t="str">
        <f t="shared" ref="I329:K329" si="722">I328</f>
        <v>Half</v>
      </c>
      <c r="J329" s="50">
        <f t="shared" si="722"/>
        <v>6</v>
      </c>
      <c r="K329" s="49">
        <f t="shared" si="722"/>
        <v>160</v>
      </c>
      <c r="L329" s="44">
        <f t="shared" si="493"/>
        <v>8</v>
      </c>
      <c r="M329" s="44">
        <f t="shared" si="697"/>
        <v>0</v>
      </c>
      <c r="N329" s="45">
        <f t="shared" ref="N329" si="723">N328</f>
        <v>0.2</v>
      </c>
      <c r="O329" s="49">
        <f>O323+30</f>
        <v>30</v>
      </c>
      <c r="P329" s="136">
        <v>0</v>
      </c>
      <c r="Q329" s="44">
        <f t="shared" ref="Q329:R329" si="724">Q328</f>
        <v>150</v>
      </c>
      <c r="R329" s="50">
        <f t="shared" si="724"/>
        <v>210</v>
      </c>
    </row>
    <row r="330" spans="1:18" x14ac:dyDescent="0.25">
      <c r="A330" s="41">
        <f t="shared" ref="A330:B330" si="725">A329+1</f>
        <v>1178</v>
      </c>
      <c r="B330" s="42">
        <f t="shared" si="725"/>
        <v>320</v>
      </c>
      <c r="C330" s="41" t="s">
        <v>3121</v>
      </c>
      <c r="D330" s="43">
        <f t="shared" si="601"/>
        <v>39.9</v>
      </c>
      <c r="E330" s="61">
        <f t="shared" si="489"/>
        <v>4.9735000000000005</v>
      </c>
      <c r="F330" s="61">
        <f t="shared" si="490"/>
        <v>42</v>
      </c>
      <c r="G330" s="64">
        <f t="shared" si="491"/>
        <v>0.58988764044943809</v>
      </c>
      <c r="H330" s="44">
        <f t="shared" si="602"/>
        <v>26.914126219991235</v>
      </c>
      <c r="I330" s="42" t="str">
        <f t="shared" ref="I330:K330" si="726">I329</f>
        <v>Half</v>
      </c>
      <c r="J330" s="50">
        <f t="shared" si="726"/>
        <v>6</v>
      </c>
      <c r="K330" s="49">
        <f t="shared" si="726"/>
        <v>160</v>
      </c>
      <c r="L330" s="44">
        <f t="shared" si="493"/>
        <v>8</v>
      </c>
      <c r="M330" s="44">
        <f t="shared" si="697"/>
        <v>0</v>
      </c>
      <c r="N330" s="45">
        <f t="shared" ref="N330" si="727">N329</f>
        <v>0.2</v>
      </c>
      <c r="O330" s="49">
        <f t="shared" ref="O330:O346" si="728">O324+30</f>
        <v>30</v>
      </c>
      <c r="P330" s="53">
        <f>P329+15</f>
        <v>15</v>
      </c>
      <c r="Q330" s="44">
        <f t="shared" ref="Q330:R330" si="729">Q329</f>
        <v>150</v>
      </c>
      <c r="R330" s="50">
        <f t="shared" si="729"/>
        <v>210</v>
      </c>
    </row>
    <row r="331" spans="1:18" x14ac:dyDescent="0.25">
      <c r="A331" s="41">
        <f t="shared" ref="A331:B331" si="730">A330+1</f>
        <v>1179</v>
      </c>
      <c r="B331" s="42">
        <f t="shared" si="730"/>
        <v>321</v>
      </c>
      <c r="C331" s="41" t="s">
        <v>3122</v>
      </c>
      <c r="D331" s="43">
        <f t="shared" si="601"/>
        <v>39.9</v>
      </c>
      <c r="E331" s="61">
        <f t="shared" ref="E331:E394" si="731">I_ref*(0.75*D331+5.6)</f>
        <v>4.9735000000000005</v>
      </c>
      <c r="F331" s="61">
        <f t="shared" ref="F331:F394" si="732">tur_scale</f>
        <v>42</v>
      </c>
      <c r="G331" s="64">
        <f t="shared" ref="G331:G394" si="733">1/(1+0.2*(diameter/F331))</f>
        <v>0.58988764044943809</v>
      </c>
      <c r="H331" s="44">
        <f t="shared" si="602"/>
        <v>26.914126219991235</v>
      </c>
      <c r="I331" s="42" t="s">
        <v>12</v>
      </c>
      <c r="J331" s="50">
        <f t="shared" ref="J331:K331" si="734">J330</f>
        <v>6</v>
      </c>
      <c r="K331" s="49">
        <f t="shared" si="734"/>
        <v>160</v>
      </c>
      <c r="L331" s="44">
        <f t="shared" ref="L331:L394" si="735">inflow</f>
        <v>8</v>
      </c>
      <c r="M331" s="44">
        <f t="shared" si="697"/>
        <v>0</v>
      </c>
      <c r="N331" s="45">
        <f t="shared" ref="N331" si="736">N330</f>
        <v>0.2</v>
      </c>
      <c r="O331" s="49">
        <f t="shared" si="728"/>
        <v>30</v>
      </c>
      <c r="P331" s="53">
        <f t="shared" ref="P331:P334" si="737">P330+15</f>
        <v>30</v>
      </c>
      <c r="Q331" s="44">
        <f t="shared" ref="Q331:R331" si="738">Q330</f>
        <v>150</v>
      </c>
      <c r="R331" s="50">
        <f t="shared" si="738"/>
        <v>210</v>
      </c>
    </row>
    <row r="332" spans="1:18" x14ac:dyDescent="0.25">
      <c r="A332" s="41">
        <f t="shared" ref="A332:B332" si="739">A331+1</f>
        <v>1180</v>
      </c>
      <c r="B332" s="42">
        <f t="shared" si="739"/>
        <v>322</v>
      </c>
      <c r="C332" s="41" t="s">
        <v>3123</v>
      </c>
      <c r="D332" s="43">
        <f t="shared" si="601"/>
        <v>39.9</v>
      </c>
      <c r="E332" s="61">
        <f t="shared" si="731"/>
        <v>4.9735000000000005</v>
      </c>
      <c r="F332" s="61">
        <f t="shared" si="732"/>
        <v>42</v>
      </c>
      <c r="G332" s="64">
        <f t="shared" si="733"/>
        <v>0.58988764044943809</v>
      </c>
      <c r="H332" s="44">
        <f t="shared" si="602"/>
        <v>26.914126219991235</v>
      </c>
      <c r="I332" s="42" t="str">
        <f>I331</f>
        <v>Half</v>
      </c>
      <c r="J332" s="50">
        <f t="shared" ref="J332:K332" si="740">J331</f>
        <v>6</v>
      </c>
      <c r="K332" s="49">
        <f t="shared" si="740"/>
        <v>160</v>
      </c>
      <c r="L332" s="44">
        <f t="shared" si="735"/>
        <v>8</v>
      </c>
      <c r="M332" s="44">
        <f t="shared" si="697"/>
        <v>0</v>
      </c>
      <c r="N332" s="45">
        <f t="shared" ref="N332" si="741">N331</f>
        <v>0.2</v>
      </c>
      <c r="O332" s="49">
        <f t="shared" si="728"/>
        <v>30</v>
      </c>
      <c r="P332" s="53">
        <f t="shared" si="737"/>
        <v>45</v>
      </c>
      <c r="Q332" s="44">
        <f t="shared" ref="Q332:R332" si="742">Q331</f>
        <v>150</v>
      </c>
      <c r="R332" s="50">
        <f t="shared" si="742"/>
        <v>210</v>
      </c>
    </row>
    <row r="333" spans="1:18" x14ac:dyDescent="0.25">
      <c r="A333" s="41">
        <f t="shared" ref="A333:B333" si="743">A332+1</f>
        <v>1181</v>
      </c>
      <c r="B333" s="42">
        <f t="shared" si="743"/>
        <v>323</v>
      </c>
      <c r="C333" s="41" t="s">
        <v>3124</v>
      </c>
      <c r="D333" s="43">
        <f t="shared" si="601"/>
        <v>39.9</v>
      </c>
      <c r="E333" s="61">
        <f t="shared" si="731"/>
        <v>4.9735000000000005</v>
      </c>
      <c r="F333" s="61">
        <f t="shared" si="732"/>
        <v>42</v>
      </c>
      <c r="G333" s="64">
        <f t="shared" si="733"/>
        <v>0.58988764044943809</v>
      </c>
      <c r="H333" s="44">
        <f t="shared" si="602"/>
        <v>26.914126219991235</v>
      </c>
      <c r="I333" s="42" t="str">
        <f t="shared" ref="I333:K333" si="744">I332</f>
        <v>Half</v>
      </c>
      <c r="J333" s="50">
        <f t="shared" si="744"/>
        <v>6</v>
      </c>
      <c r="K333" s="49">
        <f t="shared" si="744"/>
        <v>160</v>
      </c>
      <c r="L333" s="44">
        <f t="shared" si="735"/>
        <v>8</v>
      </c>
      <c r="M333" s="44">
        <f t="shared" si="697"/>
        <v>0</v>
      </c>
      <c r="N333" s="45">
        <f t="shared" ref="N333" si="745">N332</f>
        <v>0.2</v>
      </c>
      <c r="O333" s="49">
        <f t="shared" si="728"/>
        <v>30</v>
      </c>
      <c r="P333" s="53">
        <f t="shared" si="737"/>
        <v>60</v>
      </c>
      <c r="Q333" s="44">
        <f t="shared" ref="Q333:R333" si="746">Q332</f>
        <v>150</v>
      </c>
      <c r="R333" s="50">
        <f t="shared" si="746"/>
        <v>210</v>
      </c>
    </row>
    <row r="334" spans="1:18" x14ac:dyDescent="0.25">
      <c r="A334" s="41">
        <f t="shared" ref="A334:B334" si="747">A333+1</f>
        <v>1182</v>
      </c>
      <c r="B334" s="42">
        <f t="shared" si="747"/>
        <v>324</v>
      </c>
      <c r="C334" s="41" t="s">
        <v>3125</v>
      </c>
      <c r="D334" s="43">
        <f t="shared" si="601"/>
        <v>39.9</v>
      </c>
      <c r="E334" s="61">
        <f t="shared" si="731"/>
        <v>4.9735000000000005</v>
      </c>
      <c r="F334" s="61">
        <f t="shared" si="732"/>
        <v>42</v>
      </c>
      <c r="G334" s="64">
        <f t="shared" si="733"/>
        <v>0.58988764044943809</v>
      </c>
      <c r="H334" s="44">
        <f t="shared" si="602"/>
        <v>26.914126219991235</v>
      </c>
      <c r="I334" s="42" t="str">
        <f t="shared" ref="I334:K334" si="748">I333</f>
        <v>Half</v>
      </c>
      <c r="J334" s="50">
        <f t="shared" si="748"/>
        <v>6</v>
      </c>
      <c r="K334" s="49">
        <f t="shared" si="748"/>
        <v>160</v>
      </c>
      <c r="L334" s="44">
        <f t="shared" si="735"/>
        <v>8</v>
      </c>
      <c r="M334" s="44">
        <f t="shared" si="697"/>
        <v>0</v>
      </c>
      <c r="N334" s="45">
        <f t="shared" ref="N334" si="749">N333</f>
        <v>0.2</v>
      </c>
      <c r="O334" s="49">
        <f t="shared" si="728"/>
        <v>30</v>
      </c>
      <c r="P334" s="53">
        <f t="shared" si="737"/>
        <v>75</v>
      </c>
      <c r="Q334" s="44">
        <f t="shared" ref="Q334:R334" si="750">Q333</f>
        <v>150</v>
      </c>
      <c r="R334" s="50">
        <f t="shared" si="750"/>
        <v>210</v>
      </c>
    </row>
    <row r="335" spans="1:18" x14ac:dyDescent="0.25">
      <c r="A335" s="41">
        <f t="shared" ref="A335:B335" si="751">A334+1</f>
        <v>1183</v>
      </c>
      <c r="B335" s="42">
        <f t="shared" si="751"/>
        <v>325</v>
      </c>
      <c r="C335" s="41" t="s">
        <v>3126</v>
      </c>
      <c r="D335" s="43">
        <f t="shared" si="601"/>
        <v>39.9</v>
      </c>
      <c r="E335" s="61">
        <f t="shared" si="731"/>
        <v>4.9735000000000005</v>
      </c>
      <c r="F335" s="61">
        <f t="shared" si="732"/>
        <v>42</v>
      </c>
      <c r="G335" s="64">
        <f t="shared" si="733"/>
        <v>0.58988764044943809</v>
      </c>
      <c r="H335" s="44">
        <f t="shared" si="602"/>
        <v>26.914126219991235</v>
      </c>
      <c r="I335" s="42" t="str">
        <f t="shared" ref="I335:K335" si="752">I334</f>
        <v>Half</v>
      </c>
      <c r="J335" s="50">
        <f t="shared" si="752"/>
        <v>6</v>
      </c>
      <c r="K335" s="49">
        <f t="shared" si="752"/>
        <v>160</v>
      </c>
      <c r="L335" s="44">
        <f t="shared" si="735"/>
        <v>8</v>
      </c>
      <c r="M335" s="44">
        <f t="shared" si="697"/>
        <v>0</v>
      </c>
      <c r="N335" s="45">
        <f t="shared" ref="N335" si="753">N334</f>
        <v>0.2</v>
      </c>
      <c r="O335" s="49">
        <f t="shared" si="728"/>
        <v>60</v>
      </c>
      <c r="P335" s="136">
        <v>0</v>
      </c>
      <c r="Q335" s="44">
        <f t="shared" ref="Q335:R335" si="754">Q334</f>
        <v>150</v>
      </c>
      <c r="R335" s="50">
        <f t="shared" si="754"/>
        <v>210</v>
      </c>
    </row>
    <row r="336" spans="1:18" x14ac:dyDescent="0.25">
      <c r="A336" s="41">
        <f t="shared" ref="A336:B336" si="755">A335+1</f>
        <v>1184</v>
      </c>
      <c r="B336" s="42">
        <f t="shared" si="755"/>
        <v>326</v>
      </c>
      <c r="C336" s="41" t="s">
        <v>3127</v>
      </c>
      <c r="D336" s="43">
        <f t="shared" si="601"/>
        <v>39.9</v>
      </c>
      <c r="E336" s="61">
        <f t="shared" si="731"/>
        <v>4.9735000000000005</v>
      </c>
      <c r="F336" s="61">
        <f t="shared" si="732"/>
        <v>42</v>
      </c>
      <c r="G336" s="64">
        <f t="shared" si="733"/>
        <v>0.58988764044943809</v>
      </c>
      <c r="H336" s="44">
        <f t="shared" si="602"/>
        <v>26.914126219991235</v>
      </c>
      <c r="I336" s="42" t="str">
        <f t="shared" ref="I336:K336" si="756">I335</f>
        <v>Half</v>
      </c>
      <c r="J336" s="50">
        <f t="shared" si="756"/>
        <v>6</v>
      </c>
      <c r="K336" s="49">
        <f t="shared" si="756"/>
        <v>160</v>
      </c>
      <c r="L336" s="44">
        <f t="shared" si="735"/>
        <v>8</v>
      </c>
      <c r="M336" s="44">
        <f t="shared" si="697"/>
        <v>0</v>
      </c>
      <c r="N336" s="45">
        <f t="shared" ref="N336" si="757">N335</f>
        <v>0.2</v>
      </c>
      <c r="O336" s="49">
        <f t="shared" si="728"/>
        <v>60</v>
      </c>
      <c r="P336" s="53">
        <f>P335+15</f>
        <v>15</v>
      </c>
      <c r="Q336" s="44">
        <f t="shared" ref="Q336:R336" si="758">Q335</f>
        <v>150</v>
      </c>
      <c r="R336" s="50">
        <f t="shared" si="758"/>
        <v>210</v>
      </c>
    </row>
    <row r="337" spans="1:18" x14ac:dyDescent="0.25">
      <c r="A337" s="41">
        <f t="shared" ref="A337:B337" si="759">A336+1</f>
        <v>1185</v>
      </c>
      <c r="B337" s="42">
        <f t="shared" si="759"/>
        <v>327</v>
      </c>
      <c r="C337" s="41" t="s">
        <v>3128</v>
      </c>
      <c r="D337" s="43">
        <f t="shared" si="601"/>
        <v>39.9</v>
      </c>
      <c r="E337" s="61">
        <f t="shared" si="731"/>
        <v>4.9735000000000005</v>
      </c>
      <c r="F337" s="61">
        <f t="shared" si="732"/>
        <v>42</v>
      </c>
      <c r="G337" s="64">
        <f t="shared" si="733"/>
        <v>0.58988764044943809</v>
      </c>
      <c r="H337" s="44">
        <f t="shared" si="602"/>
        <v>26.914126219991235</v>
      </c>
      <c r="I337" s="42" t="str">
        <f t="shared" ref="I337:K337" si="760">I336</f>
        <v>Half</v>
      </c>
      <c r="J337" s="50">
        <f t="shared" si="760"/>
        <v>6</v>
      </c>
      <c r="K337" s="49">
        <f t="shared" si="760"/>
        <v>160</v>
      </c>
      <c r="L337" s="44">
        <f t="shared" si="735"/>
        <v>8</v>
      </c>
      <c r="M337" s="44">
        <f t="shared" si="697"/>
        <v>0</v>
      </c>
      <c r="N337" s="45">
        <f t="shared" ref="N337" si="761">N336</f>
        <v>0.2</v>
      </c>
      <c r="O337" s="49">
        <f t="shared" si="728"/>
        <v>60</v>
      </c>
      <c r="P337" s="53">
        <f t="shared" ref="P337:P340" si="762">P336+15</f>
        <v>30</v>
      </c>
      <c r="Q337" s="44">
        <f t="shared" ref="Q337:R337" si="763">Q336</f>
        <v>150</v>
      </c>
      <c r="R337" s="50">
        <f t="shared" si="763"/>
        <v>210</v>
      </c>
    </row>
    <row r="338" spans="1:18" x14ac:dyDescent="0.25">
      <c r="A338" s="41">
        <f t="shared" ref="A338:B338" si="764">A337+1</f>
        <v>1186</v>
      </c>
      <c r="B338" s="42">
        <f t="shared" si="764"/>
        <v>328</v>
      </c>
      <c r="C338" s="41" t="s">
        <v>3129</v>
      </c>
      <c r="D338" s="43">
        <f t="shared" si="601"/>
        <v>39.9</v>
      </c>
      <c r="E338" s="61">
        <f t="shared" si="731"/>
        <v>4.9735000000000005</v>
      </c>
      <c r="F338" s="61">
        <f t="shared" si="732"/>
        <v>42</v>
      </c>
      <c r="G338" s="64">
        <f t="shared" si="733"/>
        <v>0.58988764044943809</v>
      </c>
      <c r="H338" s="44">
        <f t="shared" si="602"/>
        <v>26.914126219991235</v>
      </c>
      <c r="I338" s="42" t="str">
        <f t="shared" ref="I338:K338" si="765">I337</f>
        <v>Half</v>
      </c>
      <c r="J338" s="50">
        <f t="shared" si="765"/>
        <v>6</v>
      </c>
      <c r="K338" s="49">
        <f t="shared" si="765"/>
        <v>160</v>
      </c>
      <c r="L338" s="44">
        <f t="shared" si="735"/>
        <v>8</v>
      </c>
      <c r="M338" s="44">
        <f t="shared" si="697"/>
        <v>0</v>
      </c>
      <c r="N338" s="45">
        <f t="shared" ref="N338" si="766">N337</f>
        <v>0.2</v>
      </c>
      <c r="O338" s="49">
        <f t="shared" si="728"/>
        <v>60</v>
      </c>
      <c r="P338" s="53">
        <f t="shared" si="762"/>
        <v>45</v>
      </c>
      <c r="Q338" s="44">
        <f t="shared" ref="Q338:R338" si="767">Q337</f>
        <v>150</v>
      </c>
      <c r="R338" s="50">
        <f t="shared" si="767"/>
        <v>210</v>
      </c>
    </row>
    <row r="339" spans="1:18" x14ac:dyDescent="0.25">
      <c r="A339" s="41">
        <f t="shared" ref="A339:B339" si="768">A338+1</f>
        <v>1187</v>
      </c>
      <c r="B339" s="42">
        <f t="shared" si="768"/>
        <v>329</v>
      </c>
      <c r="C339" s="41" t="s">
        <v>3130</v>
      </c>
      <c r="D339" s="43">
        <f t="shared" si="601"/>
        <v>39.9</v>
      </c>
      <c r="E339" s="61">
        <f t="shared" si="731"/>
        <v>4.9735000000000005</v>
      </c>
      <c r="F339" s="61">
        <f t="shared" si="732"/>
        <v>42</v>
      </c>
      <c r="G339" s="64">
        <f t="shared" si="733"/>
        <v>0.58988764044943809</v>
      </c>
      <c r="H339" s="44">
        <f t="shared" si="602"/>
        <v>26.914126219991235</v>
      </c>
      <c r="I339" s="42" t="str">
        <f t="shared" ref="I339:K339" si="769">I338</f>
        <v>Half</v>
      </c>
      <c r="J339" s="50">
        <f t="shared" si="769"/>
        <v>6</v>
      </c>
      <c r="K339" s="49">
        <f t="shared" si="769"/>
        <v>160</v>
      </c>
      <c r="L339" s="44">
        <f t="shared" si="735"/>
        <v>8</v>
      </c>
      <c r="M339" s="44">
        <f t="shared" si="697"/>
        <v>0</v>
      </c>
      <c r="N339" s="45">
        <f t="shared" ref="N339" si="770">N338</f>
        <v>0.2</v>
      </c>
      <c r="O339" s="49">
        <f t="shared" si="728"/>
        <v>60</v>
      </c>
      <c r="P339" s="53">
        <f t="shared" si="762"/>
        <v>60</v>
      </c>
      <c r="Q339" s="44">
        <f t="shared" ref="Q339:R339" si="771">Q338</f>
        <v>150</v>
      </c>
      <c r="R339" s="50">
        <f t="shared" si="771"/>
        <v>210</v>
      </c>
    </row>
    <row r="340" spans="1:18" x14ac:dyDescent="0.25">
      <c r="A340" s="41">
        <f t="shared" ref="A340:B340" si="772">A339+1</f>
        <v>1188</v>
      </c>
      <c r="B340" s="42">
        <f t="shared" si="772"/>
        <v>330</v>
      </c>
      <c r="C340" s="41" t="s">
        <v>3131</v>
      </c>
      <c r="D340" s="43">
        <f t="shared" si="601"/>
        <v>39.9</v>
      </c>
      <c r="E340" s="61">
        <f t="shared" si="731"/>
        <v>4.9735000000000005</v>
      </c>
      <c r="F340" s="61">
        <f t="shared" si="732"/>
        <v>42</v>
      </c>
      <c r="G340" s="64">
        <f t="shared" si="733"/>
        <v>0.58988764044943809</v>
      </c>
      <c r="H340" s="44">
        <f t="shared" si="602"/>
        <v>26.914126219991235</v>
      </c>
      <c r="I340" s="42" t="str">
        <f t="shared" ref="I340:K340" si="773">I339</f>
        <v>Half</v>
      </c>
      <c r="J340" s="50">
        <f t="shared" si="773"/>
        <v>6</v>
      </c>
      <c r="K340" s="49">
        <f t="shared" si="773"/>
        <v>160</v>
      </c>
      <c r="L340" s="44">
        <f t="shared" si="735"/>
        <v>8</v>
      </c>
      <c r="M340" s="44">
        <f t="shared" si="697"/>
        <v>0</v>
      </c>
      <c r="N340" s="45">
        <f t="shared" ref="N340" si="774">N339</f>
        <v>0.2</v>
      </c>
      <c r="O340" s="49">
        <f t="shared" si="728"/>
        <v>60</v>
      </c>
      <c r="P340" s="135">
        <f t="shared" si="762"/>
        <v>75</v>
      </c>
      <c r="Q340" s="44">
        <f t="shared" ref="Q340:R340" si="775">Q339</f>
        <v>150</v>
      </c>
      <c r="R340" s="50">
        <f t="shared" si="775"/>
        <v>210</v>
      </c>
    </row>
    <row r="341" spans="1:18" x14ac:dyDescent="0.25">
      <c r="A341" s="41">
        <f t="shared" ref="A341:B341" si="776">A340+1</f>
        <v>1189</v>
      </c>
      <c r="B341" s="42">
        <f t="shared" si="776"/>
        <v>331</v>
      </c>
      <c r="C341" s="41" t="s">
        <v>3132</v>
      </c>
      <c r="D341" s="43">
        <f t="shared" si="601"/>
        <v>39.9</v>
      </c>
      <c r="E341" s="61">
        <f t="shared" si="731"/>
        <v>4.9735000000000005</v>
      </c>
      <c r="F341" s="61">
        <f t="shared" si="732"/>
        <v>42</v>
      </c>
      <c r="G341" s="64">
        <f t="shared" si="733"/>
        <v>0.58988764044943809</v>
      </c>
      <c r="H341" s="44">
        <f t="shared" si="602"/>
        <v>26.914126219991235</v>
      </c>
      <c r="I341" s="42" t="str">
        <f t="shared" ref="I341:K341" si="777">I340</f>
        <v>Half</v>
      </c>
      <c r="J341" s="50">
        <f t="shared" si="777"/>
        <v>6</v>
      </c>
      <c r="K341" s="49">
        <f t="shared" si="777"/>
        <v>160</v>
      </c>
      <c r="L341" s="44">
        <f t="shared" si="735"/>
        <v>8</v>
      </c>
      <c r="M341" s="44">
        <f t="shared" si="697"/>
        <v>0</v>
      </c>
      <c r="N341" s="45">
        <f t="shared" ref="N341" si="778">N340</f>
        <v>0.2</v>
      </c>
      <c r="O341" s="49">
        <f t="shared" si="728"/>
        <v>90</v>
      </c>
      <c r="P341" s="136">
        <v>0</v>
      </c>
      <c r="Q341" s="44">
        <f t="shared" ref="Q341:R341" si="779">Q340</f>
        <v>150</v>
      </c>
      <c r="R341" s="50">
        <f t="shared" si="779"/>
        <v>210</v>
      </c>
    </row>
    <row r="342" spans="1:18" x14ac:dyDescent="0.25">
      <c r="A342" s="41">
        <f t="shared" ref="A342:B342" si="780">A341+1</f>
        <v>1190</v>
      </c>
      <c r="B342" s="42">
        <f t="shared" si="780"/>
        <v>332</v>
      </c>
      <c r="C342" s="41" t="s">
        <v>3133</v>
      </c>
      <c r="D342" s="43">
        <f t="shared" si="601"/>
        <v>39.9</v>
      </c>
      <c r="E342" s="61">
        <f t="shared" si="731"/>
        <v>4.9735000000000005</v>
      </c>
      <c r="F342" s="61">
        <f t="shared" si="732"/>
        <v>42</v>
      </c>
      <c r="G342" s="64">
        <f t="shared" si="733"/>
        <v>0.58988764044943809</v>
      </c>
      <c r="H342" s="44">
        <f t="shared" si="602"/>
        <v>26.914126219991235</v>
      </c>
      <c r="I342" s="42" t="str">
        <f t="shared" ref="I342:K342" si="781">I341</f>
        <v>Half</v>
      </c>
      <c r="J342" s="50">
        <f t="shared" si="781"/>
        <v>6</v>
      </c>
      <c r="K342" s="49">
        <f t="shared" si="781"/>
        <v>160</v>
      </c>
      <c r="L342" s="44">
        <f t="shared" si="735"/>
        <v>8</v>
      </c>
      <c r="M342" s="44">
        <f t="shared" si="697"/>
        <v>0</v>
      </c>
      <c r="N342" s="45">
        <f t="shared" ref="N342" si="782">N341</f>
        <v>0.2</v>
      </c>
      <c r="O342" s="49">
        <f t="shared" si="728"/>
        <v>90</v>
      </c>
      <c r="P342" s="53">
        <f>P341+15</f>
        <v>15</v>
      </c>
      <c r="Q342" s="44">
        <f t="shared" ref="Q342:R342" si="783">Q341</f>
        <v>150</v>
      </c>
      <c r="R342" s="50">
        <f t="shared" si="783"/>
        <v>210</v>
      </c>
    </row>
    <row r="343" spans="1:18" x14ac:dyDescent="0.25">
      <c r="A343" s="41">
        <f t="shared" ref="A343:B343" si="784">A342+1</f>
        <v>1191</v>
      </c>
      <c r="B343" s="42">
        <f t="shared" si="784"/>
        <v>333</v>
      </c>
      <c r="C343" s="41" t="s">
        <v>3134</v>
      </c>
      <c r="D343" s="43">
        <f t="shared" si="601"/>
        <v>39.9</v>
      </c>
      <c r="E343" s="61">
        <f t="shared" si="731"/>
        <v>4.9735000000000005</v>
      </c>
      <c r="F343" s="61">
        <f t="shared" si="732"/>
        <v>42</v>
      </c>
      <c r="G343" s="64">
        <f t="shared" si="733"/>
        <v>0.58988764044943809</v>
      </c>
      <c r="H343" s="44">
        <f t="shared" si="602"/>
        <v>26.914126219991235</v>
      </c>
      <c r="I343" s="42" t="str">
        <f t="shared" ref="I343:K343" si="785">I342</f>
        <v>Half</v>
      </c>
      <c r="J343" s="50">
        <f t="shared" si="785"/>
        <v>6</v>
      </c>
      <c r="K343" s="49">
        <f t="shared" si="785"/>
        <v>160</v>
      </c>
      <c r="L343" s="44">
        <f t="shared" si="735"/>
        <v>8</v>
      </c>
      <c r="M343" s="44">
        <f t="shared" si="697"/>
        <v>0</v>
      </c>
      <c r="N343" s="45">
        <f t="shared" ref="N343" si="786">N342</f>
        <v>0.2</v>
      </c>
      <c r="O343" s="49">
        <f>O337+30</f>
        <v>90</v>
      </c>
      <c r="P343" s="53">
        <f t="shared" ref="P343:P346" si="787">P342+15</f>
        <v>30</v>
      </c>
      <c r="Q343" s="44">
        <f t="shared" ref="Q343:R343" si="788">Q342</f>
        <v>150</v>
      </c>
      <c r="R343" s="50">
        <f t="shared" si="788"/>
        <v>210</v>
      </c>
    </row>
    <row r="344" spans="1:18" x14ac:dyDescent="0.25">
      <c r="A344" s="41">
        <f t="shared" ref="A344:B344" si="789">A343+1</f>
        <v>1192</v>
      </c>
      <c r="B344" s="42">
        <f t="shared" si="789"/>
        <v>334</v>
      </c>
      <c r="C344" s="41" t="s">
        <v>3135</v>
      </c>
      <c r="D344" s="43">
        <f t="shared" si="601"/>
        <v>39.9</v>
      </c>
      <c r="E344" s="61">
        <f t="shared" si="731"/>
        <v>4.9735000000000005</v>
      </c>
      <c r="F344" s="61">
        <f t="shared" si="732"/>
        <v>42</v>
      </c>
      <c r="G344" s="64">
        <f t="shared" si="733"/>
        <v>0.58988764044943809</v>
      </c>
      <c r="H344" s="44">
        <f t="shared" si="602"/>
        <v>26.914126219991235</v>
      </c>
      <c r="I344" s="42" t="str">
        <f>I343</f>
        <v>Half</v>
      </c>
      <c r="J344" s="50">
        <f t="shared" ref="J344:K344" si="790">J343</f>
        <v>6</v>
      </c>
      <c r="K344" s="49">
        <f t="shared" si="790"/>
        <v>160</v>
      </c>
      <c r="L344" s="44">
        <f t="shared" si="735"/>
        <v>8</v>
      </c>
      <c r="M344" s="44">
        <f t="shared" si="697"/>
        <v>0</v>
      </c>
      <c r="N344" s="45">
        <f t="shared" ref="N344" si="791">N343</f>
        <v>0.2</v>
      </c>
      <c r="O344" s="49">
        <f t="shared" si="728"/>
        <v>90</v>
      </c>
      <c r="P344" s="53">
        <f t="shared" si="787"/>
        <v>45</v>
      </c>
      <c r="Q344" s="44">
        <f t="shared" ref="Q344:R344" si="792">Q343</f>
        <v>150</v>
      </c>
      <c r="R344" s="50">
        <f t="shared" si="792"/>
        <v>210</v>
      </c>
    </row>
    <row r="345" spans="1:18" x14ac:dyDescent="0.25">
      <c r="A345" s="41">
        <f t="shared" ref="A345:B345" si="793">A344+1</f>
        <v>1193</v>
      </c>
      <c r="B345" s="42">
        <f t="shared" si="793"/>
        <v>335</v>
      </c>
      <c r="C345" s="41" t="s">
        <v>3136</v>
      </c>
      <c r="D345" s="43">
        <f t="shared" si="601"/>
        <v>39.9</v>
      </c>
      <c r="E345" s="61">
        <f t="shared" si="731"/>
        <v>4.9735000000000005</v>
      </c>
      <c r="F345" s="61">
        <f t="shared" si="732"/>
        <v>42</v>
      </c>
      <c r="G345" s="64">
        <f t="shared" si="733"/>
        <v>0.58988764044943809</v>
      </c>
      <c r="H345" s="44">
        <f t="shared" si="602"/>
        <v>26.914126219991235</v>
      </c>
      <c r="I345" s="42" t="str">
        <f>I344</f>
        <v>Half</v>
      </c>
      <c r="J345" s="50">
        <f t="shared" ref="J345:K345" si="794">J344</f>
        <v>6</v>
      </c>
      <c r="K345" s="49">
        <f t="shared" si="794"/>
        <v>160</v>
      </c>
      <c r="L345" s="44">
        <f t="shared" si="735"/>
        <v>8</v>
      </c>
      <c r="M345" s="44">
        <f t="shared" si="697"/>
        <v>0</v>
      </c>
      <c r="N345" s="45">
        <f t="shared" ref="N345" si="795">N344</f>
        <v>0.2</v>
      </c>
      <c r="O345" s="49">
        <f t="shared" si="728"/>
        <v>90</v>
      </c>
      <c r="P345" s="53">
        <f t="shared" si="787"/>
        <v>60</v>
      </c>
      <c r="Q345" s="44">
        <f t="shared" ref="Q345:R345" si="796">Q344</f>
        <v>150</v>
      </c>
      <c r="R345" s="50">
        <f t="shared" si="796"/>
        <v>210</v>
      </c>
    </row>
    <row r="346" spans="1:18" x14ac:dyDescent="0.25">
      <c r="A346" s="41">
        <f t="shared" ref="A346:B346" si="797">A345+1</f>
        <v>1194</v>
      </c>
      <c r="B346" s="42">
        <f t="shared" si="797"/>
        <v>336</v>
      </c>
      <c r="C346" s="41" t="s">
        <v>3137</v>
      </c>
      <c r="D346" s="43">
        <f t="shared" si="601"/>
        <v>39.9</v>
      </c>
      <c r="E346" s="61">
        <f t="shared" si="731"/>
        <v>4.9735000000000005</v>
      </c>
      <c r="F346" s="61">
        <f t="shared" si="732"/>
        <v>42</v>
      </c>
      <c r="G346" s="64">
        <f t="shared" si="733"/>
        <v>0.58988764044943809</v>
      </c>
      <c r="H346" s="44">
        <f t="shared" si="602"/>
        <v>26.914126219991235</v>
      </c>
      <c r="I346" s="42" t="str">
        <f>I345</f>
        <v>Half</v>
      </c>
      <c r="J346" s="50">
        <f t="shared" ref="J346:K346" si="798">J345</f>
        <v>6</v>
      </c>
      <c r="K346" s="49">
        <f t="shared" si="798"/>
        <v>160</v>
      </c>
      <c r="L346" s="44">
        <f t="shared" si="735"/>
        <v>8</v>
      </c>
      <c r="M346" s="44">
        <f t="shared" si="697"/>
        <v>0</v>
      </c>
      <c r="N346" s="45">
        <f t="shared" ref="N346" si="799">N345</f>
        <v>0.2</v>
      </c>
      <c r="O346" s="49">
        <f t="shared" si="728"/>
        <v>90</v>
      </c>
      <c r="P346" s="53">
        <f t="shared" si="787"/>
        <v>75</v>
      </c>
      <c r="Q346" s="44">
        <f t="shared" ref="Q346:R346" si="800">Q345</f>
        <v>150</v>
      </c>
      <c r="R346" s="50">
        <f t="shared" si="800"/>
        <v>210</v>
      </c>
    </row>
    <row r="347" spans="1:18" x14ac:dyDescent="0.25">
      <c r="A347" s="41">
        <f t="shared" ref="A347:B347" si="801">A346+1</f>
        <v>1195</v>
      </c>
      <c r="B347" s="42">
        <f t="shared" si="801"/>
        <v>337</v>
      </c>
      <c r="C347" s="41" t="s">
        <v>3138</v>
      </c>
      <c r="D347" s="43">
        <f t="shared" si="601"/>
        <v>39.9</v>
      </c>
      <c r="E347" s="61">
        <f t="shared" si="731"/>
        <v>4.9735000000000005</v>
      </c>
      <c r="F347" s="61">
        <f t="shared" si="732"/>
        <v>42</v>
      </c>
      <c r="G347" s="64">
        <f t="shared" si="733"/>
        <v>0.58988764044943809</v>
      </c>
      <c r="H347" s="44">
        <f t="shared" si="602"/>
        <v>26.914126219991235</v>
      </c>
      <c r="I347" s="42" t="str">
        <f t="shared" ref="I347:K347" si="802">I346</f>
        <v>Half</v>
      </c>
      <c r="J347" s="50">
        <f t="shared" si="802"/>
        <v>6</v>
      </c>
      <c r="K347" s="49">
        <f t="shared" si="802"/>
        <v>160</v>
      </c>
      <c r="L347" s="44">
        <f t="shared" si="735"/>
        <v>8</v>
      </c>
      <c r="M347" s="44">
        <f t="shared" ref="M347:M370" si="803">yaw_max</f>
        <v>8</v>
      </c>
      <c r="N347" s="45">
        <f t="shared" ref="N347" si="804">N346</f>
        <v>0.2</v>
      </c>
      <c r="O347" s="49">
        <v>0</v>
      </c>
      <c r="P347" s="136">
        <v>0</v>
      </c>
      <c r="Q347" s="44">
        <f t="shared" ref="Q347:R347" si="805">Q346</f>
        <v>150</v>
      </c>
      <c r="R347" s="50">
        <f t="shared" si="805"/>
        <v>210</v>
      </c>
    </row>
    <row r="348" spans="1:18" x14ac:dyDescent="0.25">
      <c r="A348" s="41">
        <f t="shared" ref="A348:B348" si="806">A347+1</f>
        <v>1196</v>
      </c>
      <c r="B348" s="42">
        <f t="shared" si="806"/>
        <v>338</v>
      </c>
      <c r="C348" s="41" t="s">
        <v>3139</v>
      </c>
      <c r="D348" s="43">
        <f t="shared" si="601"/>
        <v>39.9</v>
      </c>
      <c r="E348" s="61">
        <f t="shared" si="731"/>
        <v>4.9735000000000005</v>
      </c>
      <c r="F348" s="61">
        <f t="shared" si="732"/>
        <v>42</v>
      </c>
      <c r="G348" s="64">
        <f t="shared" si="733"/>
        <v>0.58988764044943809</v>
      </c>
      <c r="H348" s="44">
        <f t="shared" si="602"/>
        <v>26.914126219991235</v>
      </c>
      <c r="I348" s="42" t="str">
        <f t="shared" ref="I348:K348" si="807">I347</f>
        <v>Half</v>
      </c>
      <c r="J348" s="50">
        <f t="shared" si="807"/>
        <v>6</v>
      </c>
      <c r="K348" s="49">
        <f t="shared" si="807"/>
        <v>160</v>
      </c>
      <c r="L348" s="44">
        <f t="shared" si="735"/>
        <v>8</v>
      </c>
      <c r="M348" s="44">
        <f t="shared" si="803"/>
        <v>8</v>
      </c>
      <c r="N348" s="45">
        <f t="shared" ref="N348" si="808">N347</f>
        <v>0.2</v>
      </c>
      <c r="O348" s="49">
        <v>0</v>
      </c>
      <c r="P348" s="53">
        <f>P347+15</f>
        <v>15</v>
      </c>
      <c r="Q348" s="44">
        <f t="shared" ref="Q348:R348" si="809">Q347</f>
        <v>150</v>
      </c>
      <c r="R348" s="50">
        <f t="shared" si="809"/>
        <v>210</v>
      </c>
    </row>
    <row r="349" spans="1:18" x14ac:dyDescent="0.25">
      <c r="A349" s="41">
        <f t="shared" ref="A349:B349" si="810">A348+1</f>
        <v>1197</v>
      </c>
      <c r="B349" s="42">
        <f t="shared" si="810"/>
        <v>339</v>
      </c>
      <c r="C349" s="41" t="s">
        <v>3140</v>
      </c>
      <c r="D349" s="43">
        <f t="shared" si="601"/>
        <v>39.9</v>
      </c>
      <c r="E349" s="61">
        <f t="shared" si="731"/>
        <v>4.9735000000000005</v>
      </c>
      <c r="F349" s="61">
        <f t="shared" si="732"/>
        <v>42</v>
      </c>
      <c r="G349" s="64">
        <f t="shared" si="733"/>
        <v>0.58988764044943809</v>
      </c>
      <c r="H349" s="44">
        <f t="shared" si="602"/>
        <v>26.914126219991235</v>
      </c>
      <c r="I349" s="42" t="str">
        <f t="shared" ref="I349:K349" si="811">I348</f>
        <v>Half</v>
      </c>
      <c r="J349" s="50">
        <f t="shared" si="811"/>
        <v>6</v>
      </c>
      <c r="K349" s="49">
        <f t="shared" si="811"/>
        <v>160</v>
      </c>
      <c r="L349" s="44">
        <f t="shared" si="735"/>
        <v>8</v>
      </c>
      <c r="M349" s="44">
        <f t="shared" si="803"/>
        <v>8</v>
      </c>
      <c r="N349" s="45">
        <f t="shared" ref="N349" si="812">N348</f>
        <v>0.2</v>
      </c>
      <c r="O349" s="49">
        <v>0</v>
      </c>
      <c r="P349" s="53">
        <f t="shared" ref="P349:P352" si="813">P348+15</f>
        <v>30</v>
      </c>
      <c r="Q349" s="44">
        <f t="shared" ref="Q349:R349" si="814">Q348</f>
        <v>150</v>
      </c>
      <c r="R349" s="50">
        <f t="shared" si="814"/>
        <v>210</v>
      </c>
    </row>
    <row r="350" spans="1:18" x14ac:dyDescent="0.25">
      <c r="A350" s="41">
        <f t="shared" ref="A350:B350" si="815">A349+1</f>
        <v>1198</v>
      </c>
      <c r="B350" s="42">
        <f t="shared" si="815"/>
        <v>340</v>
      </c>
      <c r="C350" s="41" t="s">
        <v>3141</v>
      </c>
      <c r="D350" s="43">
        <f t="shared" si="601"/>
        <v>39.9</v>
      </c>
      <c r="E350" s="61">
        <f t="shared" si="731"/>
        <v>4.9735000000000005</v>
      </c>
      <c r="F350" s="61">
        <f t="shared" si="732"/>
        <v>42</v>
      </c>
      <c r="G350" s="64">
        <f t="shared" si="733"/>
        <v>0.58988764044943809</v>
      </c>
      <c r="H350" s="44">
        <f t="shared" si="602"/>
        <v>26.914126219991235</v>
      </c>
      <c r="I350" s="42" t="str">
        <f t="shared" ref="I350:K350" si="816">I349</f>
        <v>Half</v>
      </c>
      <c r="J350" s="50">
        <f t="shared" si="816"/>
        <v>6</v>
      </c>
      <c r="K350" s="49">
        <f t="shared" si="816"/>
        <v>160</v>
      </c>
      <c r="L350" s="44">
        <f t="shared" si="735"/>
        <v>8</v>
      </c>
      <c r="M350" s="44">
        <f t="shared" si="803"/>
        <v>8</v>
      </c>
      <c r="N350" s="45">
        <f t="shared" ref="N350" si="817">N349</f>
        <v>0.2</v>
      </c>
      <c r="O350" s="49">
        <v>0</v>
      </c>
      <c r="P350" s="53">
        <f t="shared" si="813"/>
        <v>45</v>
      </c>
      <c r="Q350" s="44">
        <f t="shared" ref="Q350:R350" si="818">Q349</f>
        <v>150</v>
      </c>
      <c r="R350" s="50">
        <f t="shared" si="818"/>
        <v>210</v>
      </c>
    </row>
    <row r="351" spans="1:18" x14ac:dyDescent="0.25">
      <c r="A351" s="41">
        <f t="shared" ref="A351:B351" si="819">A350+1</f>
        <v>1199</v>
      </c>
      <c r="B351" s="42">
        <f t="shared" si="819"/>
        <v>341</v>
      </c>
      <c r="C351" s="41" t="s">
        <v>3142</v>
      </c>
      <c r="D351" s="43">
        <f t="shared" si="601"/>
        <v>39.9</v>
      </c>
      <c r="E351" s="61">
        <f t="shared" si="731"/>
        <v>4.9735000000000005</v>
      </c>
      <c r="F351" s="61">
        <f t="shared" si="732"/>
        <v>42</v>
      </c>
      <c r="G351" s="64">
        <f t="shared" si="733"/>
        <v>0.58988764044943809</v>
      </c>
      <c r="H351" s="44">
        <f t="shared" si="602"/>
        <v>26.914126219991235</v>
      </c>
      <c r="I351" s="42" t="s">
        <v>12</v>
      </c>
      <c r="J351" s="50">
        <f t="shared" ref="J351:K351" si="820">J350</f>
        <v>6</v>
      </c>
      <c r="K351" s="49">
        <f t="shared" si="820"/>
        <v>160</v>
      </c>
      <c r="L351" s="44">
        <f t="shared" si="735"/>
        <v>8</v>
      </c>
      <c r="M351" s="44">
        <f t="shared" si="803"/>
        <v>8</v>
      </c>
      <c r="N351" s="45">
        <f t="shared" ref="N351" si="821">N350</f>
        <v>0.2</v>
      </c>
      <c r="O351" s="49">
        <v>0</v>
      </c>
      <c r="P351" s="53">
        <f t="shared" si="813"/>
        <v>60</v>
      </c>
      <c r="Q351" s="44">
        <f t="shared" ref="Q351:R351" si="822">Q350</f>
        <v>150</v>
      </c>
      <c r="R351" s="50">
        <f t="shared" si="822"/>
        <v>210</v>
      </c>
    </row>
    <row r="352" spans="1:18" x14ac:dyDescent="0.25">
      <c r="A352" s="41">
        <f t="shared" ref="A352:B352" si="823">A351+1</f>
        <v>1200</v>
      </c>
      <c r="B352" s="42">
        <f t="shared" si="823"/>
        <v>342</v>
      </c>
      <c r="C352" s="41" t="s">
        <v>3143</v>
      </c>
      <c r="D352" s="43">
        <f t="shared" si="601"/>
        <v>39.9</v>
      </c>
      <c r="E352" s="61">
        <f t="shared" si="731"/>
        <v>4.9735000000000005</v>
      </c>
      <c r="F352" s="61">
        <f t="shared" si="732"/>
        <v>42</v>
      </c>
      <c r="G352" s="64">
        <f t="shared" si="733"/>
        <v>0.58988764044943809</v>
      </c>
      <c r="H352" s="44">
        <f t="shared" si="602"/>
        <v>26.914126219991235</v>
      </c>
      <c r="I352" s="42" t="str">
        <f>I351</f>
        <v>Half</v>
      </c>
      <c r="J352" s="50">
        <f t="shared" ref="J352:K352" si="824">J351</f>
        <v>6</v>
      </c>
      <c r="K352" s="49">
        <f t="shared" si="824"/>
        <v>160</v>
      </c>
      <c r="L352" s="44">
        <f t="shared" si="735"/>
        <v>8</v>
      </c>
      <c r="M352" s="44">
        <f t="shared" si="803"/>
        <v>8</v>
      </c>
      <c r="N352" s="45">
        <f t="shared" ref="N352" si="825">N351</f>
        <v>0.2</v>
      </c>
      <c r="O352" s="49">
        <v>0</v>
      </c>
      <c r="P352" s="135">
        <f t="shared" si="813"/>
        <v>75</v>
      </c>
      <c r="Q352" s="44">
        <f t="shared" ref="Q352:R352" si="826">Q351</f>
        <v>150</v>
      </c>
      <c r="R352" s="50">
        <f t="shared" si="826"/>
        <v>210</v>
      </c>
    </row>
    <row r="353" spans="1:18" x14ac:dyDescent="0.25">
      <c r="A353" s="41">
        <f t="shared" ref="A353:B353" si="827">A352+1</f>
        <v>1201</v>
      </c>
      <c r="B353" s="42">
        <f t="shared" si="827"/>
        <v>343</v>
      </c>
      <c r="C353" s="41" t="s">
        <v>3144</v>
      </c>
      <c r="D353" s="43">
        <f t="shared" si="601"/>
        <v>39.9</v>
      </c>
      <c r="E353" s="61">
        <f t="shared" si="731"/>
        <v>4.9735000000000005</v>
      </c>
      <c r="F353" s="61">
        <f t="shared" si="732"/>
        <v>42</v>
      </c>
      <c r="G353" s="64">
        <f t="shared" si="733"/>
        <v>0.58988764044943809</v>
      </c>
      <c r="H353" s="44">
        <f t="shared" si="602"/>
        <v>26.914126219991235</v>
      </c>
      <c r="I353" s="42" t="str">
        <f t="shared" ref="I353:K353" si="828">I352</f>
        <v>Half</v>
      </c>
      <c r="J353" s="50">
        <f t="shared" si="828"/>
        <v>6</v>
      </c>
      <c r="K353" s="49">
        <f t="shared" si="828"/>
        <v>160</v>
      </c>
      <c r="L353" s="44">
        <f t="shared" si="735"/>
        <v>8</v>
      </c>
      <c r="M353" s="44">
        <f t="shared" si="803"/>
        <v>8</v>
      </c>
      <c r="N353" s="45">
        <f t="shared" ref="N353" si="829">N352</f>
        <v>0.2</v>
      </c>
      <c r="O353" s="49">
        <f>O347+30</f>
        <v>30</v>
      </c>
      <c r="P353" s="136">
        <v>0</v>
      </c>
      <c r="Q353" s="44">
        <f t="shared" ref="Q353:R353" si="830">Q352</f>
        <v>150</v>
      </c>
      <c r="R353" s="50">
        <f t="shared" si="830"/>
        <v>210</v>
      </c>
    </row>
    <row r="354" spans="1:18" x14ac:dyDescent="0.25">
      <c r="A354" s="41">
        <f t="shared" ref="A354:B354" si="831">A353+1</f>
        <v>1202</v>
      </c>
      <c r="B354" s="42">
        <f t="shared" si="831"/>
        <v>344</v>
      </c>
      <c r="C354" s="41" t="s">
        <v>3145</v>
      </c>
      <c r="D354" s="43">
        <f t="shared" si="601"/>
        <v>39.9</v>
      </c>
      <c r="E354" s="61">
        <f t="shared" si="731"/>
        <v>4.9735000000000005</v>
      </c>
      <c r="F354" s="61">
        <f t="shared" si="732"/>
        <v>42</v>
      </c>
      <c r="G354" s="64">
        <f t="shared" si="733"/>
        <v>0.58988764044943809</v>
      </c>
      <c r="H354" s="44">
        <f t="shared" si="602"/>
        <v>26.914126219991235</v>
      </c>
      <c r="I354" s="42" t="str">
        <f t="shared" ref="I354:K354" si="832">I353</f>
        <v>Half</v>
      </c>
      <c r="J354" s="50">
        <f t="shared" si="832"/>
        <v>6</v>
      </c>
      <c r="K354" s="49">
        <f t="shared" si="832"/>
        <v>160</v>
      </c>
      <c r="L354" s="44">
        <f t="shared" si="735"/>
        <v>8</v>
      </c>
      <c r="M354" s="44">
        <f t="shared" si="803"/>
        <v>8</v>
      </c>
      <c r="N354" s="45">
        <f t="shared" ref="N354" si="833">N353</f>
        <v>0.2</v>
      </c>
      <c r="O354" s="49">
        <f t="shared" ref="O354:O370" si="834">O348+30</f>
        <v>30</v>
      </c>
      <c r="P354" s="53">
        <f>P353+15</f>
        <v>15</v>
      </c>
      <c r="Q354" s="44">
        <f t="shared" ref="Q354:R354" si="835">Q353</f>
        <v>150</v>
      </c>
      <c r="R354" s="50">
        <f t="shared" si="835"/>
        <v>210</v>
      </c>
    </row>
    <row r="355" spans="1:18" x14ac:dyDescent="0.25">
      <c r="A355" s="41">
        <f t="shared" ref="A355:B355" si="836">A354+1</f>
        <v>1203</v>
      </c>
      <c r="B355" s="42">
        <f t="shared" si="836"/>
        <v>345</v>
      </c>
      <c r="C355" s="41" t="s">
        <v>3146</v>
      </c>
      <c r="D355" s="43">
        <f t="shared" si="601"/>
        <v>39.9</v>
      </c>
      <c r="E355" s="61">
        <f t="shared" si="731"/>
        <v>4.9735000000000005</v>
      </c>
      <c r="F355" s="61">
        <f t="shared" si="732"/>
        <v>42</v>
      </c>
      <c r="G355" s="64">
        <f t="shared" si="733"/>
        <v>0.58988764044943809</v>
      </c>
      <c r="H355" s="44">
        <f t="shared" si="602"/>
        <v>26.914126219991235</v>
      </c>
      <c r="I355" s="42" t="str">
        <f t="shared" ref="I355:K355" si="837">I354</f>
        <v>Half</v>
      </c>
      <c r="J355" s="50">
        <f t="shared" si="837"/>
        <v>6</v>
      </c>
      <c r="K355" s="49">
        <f t="shared" si="837"/>
        <v>160</v>
      </c>
      <c r="L355" s="44">
        <f t="shared" si="735"/>
        <v>8</v>
      </c>
      <c r="M355" s="44">
        <f t="shared" si="803"/>
        <v>8</v>
      </c>
      <c r="N355" s="45">
        <f t="shared" ref="N355" si="838">N354</f>
        <v>0.2</v>
      </c>
      <c r="O355" s="49">
        <f t="shared" si="834"/>
        <v>30</v>
      </c>
      <c r="P355" s="53">
        <f t="shared" ref="P355:P358" si="839">P354+15</f>
        <v>30</v>
      </c>
      <c r="Q355" s="44">
        <f t="shared" ref="Q355:R355" si="840">Q354</f>
        <v>150</v>
      </c>
      <c r="R355" s="50">
        <f t="shared" si="840"/>
        <v>210</v>
      </c>
    </row>
    <row r="356" spans="1:18" x14ac:dyDescent="0.25">
      <c r="A356" s="41">
        <f t="shared" ref="A356:B356" si="841">A355+1</f>
        <v>1204</v>
      </c>
      <c r="B356" s="42">
        <f t="shared" si="841"/>
        <v>346</v>
      </c>
      <c r="C356" s="41" t="s">
        <v>3147</v>
      </c>
      <c r="D356" s="43">
        <f t="shared" si="601"/>
        <v>39.9</v>
      </c>
      <c r="E356" s="61">
        <f t="shared" si="731"/>
        <v>4.9735000000000005</v>
      </c>
      <c r="F356" s="61">
        <f t="shared" si="732"/>
        <v>42</v>
      </c>
      <c r="G356" s="64">
        <f t="shared" si="733"/>
        <v>0.58988764044943809</v>
      </c>
      <c r="H356" s="44">
        <f t="shared" si="602"/>
        <v>26.914126219991235</v>
      </c>
      <c r="I356" s="42" t="str">
        <f t="shared" ref="I356:K356" si="842">I355</f>
        <v>Half</v>
      </c>
      <c r="J356" s="50">
        <f t="shared" si="842"/>
        <v>6</v>
      </c>
      <c r="K356" s="49">
        <f t="shared" si="842"/>
        <v>160</v>
      </c>
      <c r="L356" s="44">
        <f t="shared" si="735"/>
        <v>8</v>
      </c>
      <c r="M356" s="44">
        <f t="shared" si="803"/>
        <v>8</v>
      </c>
      <c r="N356" s="45">
        <f t="shared" ref="N356" si="843">N355</f>
        <v>0.2</v>
      </c>
      <c r="O356" s="49">
        <f t="shared" si="834"/>
        <v>30</v>
      </c>
      <c r="P356" s="53">
        <f t="shared" si="839"/>
        <v>45</v>
      </c>
      <c r="Q356" s="44">
        <f t="shared" ref="Q356:R356" si="844">Q355</f>
        <v>150</v>
      </c>
      <c r="R356" s="50">
        <f t="shared" si="844"/>
        <v>210</v>
      </c>
    </row>
    <row r="357" spans="1:18" x14ac:dyDescent="0.25">
      <c r="A357" s="41">
        <f t="shared" ref="A357:B357" si="845">A356+1</f>
        <v>1205</v>
      </c>
      <c r="B357" s="42">
        <f t="shared" si="845"/>
        <v>347</v>
      </c>
      <c r="C357" s="41" t="s">
        <v>3148</v>
      </c>
      <c r="D357" s="43">
        <f t="shared" si="601"/>
        <v>39.9</v>
      </c>
      <c r="E357" s="61">
        <f t="shared" si="731"/>
        <v>4.9735000000000005</v>
      </c>
      <c r="F357" s="61">
        <f t="shared" si="732"/>
        <v>42</v>
      </c>
      <c r="G357" s="64">
        <f t="shared" si="733"/>
        <v>0.58988764044943809</v>
      </c>
      <c r="H357" s="44">
        <f t="shared" si="602"/>
        <v>26.914126219991235</v>
      </c>
      <c r="I357" s="42" t="str">
        <f t="shared" ref="I357:K357" si="846">I356</f>
        <v>Half</v>
      </c>
      <c r="J357" s="50">
        <f t="shared" si="846"/>
        <v>6</v>
      </c>
      <c r="K357" s="49">
        <f t="shared" si="846"/>
        <v>160</v>
      </c>
      <c r="L357" s="44">
        <f t="shared" si="735"/>
        <v>8</v>
      </c>
      <c r="M357" s="44">
        <f t="shared" si="803"/>
        <v>8</v>
      </c>
      <c r="N357" s="45">
        <f t="shared" ref="N357" si="847">N356</f>
        <v>0.2</v>
      </c>
      <c r="O357" s="49">
        <f t="shared" si="834"/>
        <v>30</v>
      </c>
      <c r="P357" s="53">
        <f t="shared" si="839"/>
        <v>60</v>
      </c>
      <c r="Q357" s="44">
        <f t="shared" ref="Q357:R357" si="848">Q356</f>
        <v>150</v>
      </c>
      <c r="R357" s="50">
        <f t="shared" si="848"/>
        <v>210</v>
      </c>
    </row>
    <row r="358" spans="1:18" x14ac:dyDescent="0.25">
      <c r="A358" s="41">
        <f t="shared" ref="A358:B358" si="849">A357+1</f>
        <v>1206</v>
      </c>
      <c r="B358" s="42">
        <f t="shared" si="849"/>
        <v>348</v>
      </c>
      <c r="C358" s="41" t="s">
        <v>3149</v>
      </c>
      <c r="D358" s="43">
        <f t="shared" si="601"/>
        <v>39.9</v>
      </c>
      <c r="E358" s="61">
        <f t="shared" si="731"/>
        <v>4.9735000000000005</v>
      </c>
      <c r="F358" s="61">
        <f t="shared" si="732"/>
        <v>42</v>
      </c>
      <c r="G358" s="64">
        <f t="shared" si="733"/>
        <v>0.58988764044943809</v>
      </c>
      <c r="H358" s="44">
        <f t="shared" si="602"/>
        <v>26.914126219991235</v>
      </c>
      <c r="I358" s="42" t="str">
        <f t="shared" ref="I358:K358" si="850">I357</f>
        <v>Half</v>
      </c>
      <c r="J358" s="50">
        <f t="shared" si="850"/>
        <v>6</v>
      </c>
      <c r="K358" s="49">
        <f t="shared" si="850"/>
        <v>160</v>
      </c>
      <c r="L358" s="44">
        <f t="shared" si="735"/>
        <v>8</v>
      </c>
      <c r="M358" s="44">
        <f t="shared" si="803"/>
        <v>8</v>
      </c>
      <c r="N358" s="45">
        <f t="shared" ref="N358" si="851">N357</f>
        <v>0.2</v>
      </c>
      <c r="O358" s="49">
        <f t="shared" si="834"/>
        <v>30</v>
      </c>
      <c r="P358" s="53">
        <f t="shared" si="839"/>
        <v>75</v>
      </c>
      <c r="Q358" s="44">
        <f t="shared" ref="Q358:R358" si="852">Q357</f>
        <v>150</v>
      </c>
      <c r="R358" s="50">
        <f t="shared" si="852"/>
        <v>210</v>
      </c>
    </row>
    <row r="359" spans="1:18" x14ac:dyDescent="0.25">
      <c r="A359" s="41">
        <f t="shared" ref="A359:B359" si="853">A358+1</f>
        <v>1207</v>
      </c>
      <c r="B359" s="42">
        <f t="shared" si="853"/>
        <v>349</v>
      </c>
      <c r="C359" s="41" t="s">
        <v>3150</v>
      </c>
      <c r="D359" s="43">
        <f t="shared" si="601"/>
        <v>39.9</v>
      </c>
      <c r="E359" s="61">
        <f t="shared" si="731"/>
        <v>4.9735000000000005</v>
      </c>
      <c r="F359" s="61">
        <f t="shared" si="732"/>
        <v>42</v>
      </c>
      <c r="G359" s="64">
        <f t="shared" si="733"/>
        <v>0.58988764044943809</v>
      </c>
      <c r="H359" s="44">
        <f t="shared" si="602"/>
        <v>26.914126219991235</v>
      </c>
      <c r="I359" s="42" t="str">
        <f t="shared" ref="I359:K359" si="854">I358</f>
        <v>Half</v>
      </c>
      <c r="J359" s="50">
        <f t="shared" si="854"/>
        <v>6</v>
      </c>
      <c r="K359" s="49">
        <f t="shared" si="854"/>
        <v>160</v>
      </c>
      <c r="L359" s="44">
        <f t="shared" si="735"/>
        <v>8</v>
      </c>
      <c r="M359" s="44">
        <f t="shared" si="803"/>
        <v>8</v>
      </c>
      <c r="N359" s="45">
        <f t="shared" ref="N359" si="855">N358</f>
        <v>0.2</v>
      </c>
      <c r="O359" s="49">
        <f t="shared" si="834"/>
        <v>60</v>
      </c>
      <c r="P359" s="136">
        <v>0</v>
      </c>
      <c r="Q359" s="44">
        <f t="shared" ref="Q359:R359" si="856">Q358</f>
        <v>150</v>
      </c>
      <c r="R359" s="50">
        <f t="shared" si="856"/>
        <v>210</v>
      </c>
    </row>
    <row r="360" spans="1:18" x14ac:dyDescent="0.25">
      <c r="A360" s="41">
        <f t="shared" ref="A360:B360" si="857">A359+1</f>
        <v>1208</v>
      </c>
      <c r="B360" s="42">
        <f t="shared" si="857"/>
        <v>350</v>
      </c>
      <c r="C360" s="41" t="s">
        <v>3151</v>
      </c>
      <c r="D360" s="43">
        <f t="shared" si="601"/>
        <v>39.9</v>
      </c>
      <c r="E360" s="61">
        <f t="shared" si="731"/>
        <v>4.9735000000000005</v>
      </c>
      <c r="F360" s="61">
        <f t="shared" si="732"/>
        <v>42</v>
      </c>
      <c r="G360" s="64">
        <f t="shared" si="733"/>
        <v>0.58988764044943809</v>
      </c>
      <c r="H360" s="44">
        <f t="shared" si="602"/>
        <v>26.914126219991235</v>
      </c>
      <c r="I360" s="42" t="str">
        <f t="shared" ref="I360:K360" si="858">I359</f>
        <v>Half</v>
      </c>
      <c r="J360" s="50">
        <f t="shared" si="858"/>
        <v>6</v>
      </c>
      <c r="K360" s="49">
        <f t="shared" si="858"/>
        <v>160</v>
      </c>
      <c r="L360" s="44">
        <f t="shared" si="735"/>
        <v>8</v>
      </c>
      <c r="M360" s="44">
        <f t="shared" si="803"/>
        <v>8</v>
      </c>
      <c r="N360" s="45">
        <f t="shared" ref="N360" si="859">N359</f>
        <v>0.2</v>
      </c>
      <c r="O360" s="49">
        <f t="shared" si="834"/>
        <v>60</v>
      </c>
      <c r="P360" s="53">
        <f>P359+15</f>
        <v>15</v>
      </c>
      <c r="Q360" s="44">
        <f t="shared" ref="Q360:R360" si="860">Q359</f>
        <v>150</v>
      </c>
      <c r="R360" s="50">
        <f t="shared" si="860"/>
        <v>210</v>
      </c>
    </row>
    <row r="361" spans="1:18" x14ac:dyDescent="0.25">
      <c r="A361" s="41">
        <f t="shared" ref="A361:B361" si="861">A360+1</f>
        <v>1209</v>
      </c>
      <c r="B361" s="42">
        <f t="shared" si="861"/>
        <v>351</v>
      </c>
      <c r="C361" s="41" t="s">
        <v>3152</v>
      </c>
      <c r="D361" s="43">
        <f t="shared" si="601"/>
        <v>39.9</v>
      </c>
      <c r="E361" s="61">
        <f t="shared" si="731"/>
        <v>4.9735000000000005</v>
      </c>
      <c r="F361" s="61">
        <f t="shared" si="732"/>
        <v>42</v>
      </c>
      <c r="G361" s="64">
        <f t="shared" si="733"/>
        <v>0.58988764044943809</v>
      </c>
      <c r="H361" s="44">
        <f t="shared" si="602"/>
        <v>26.914126219991235</v>
      </c>
      <c r="I361" s="42" t="str">
        <f t="shared" ref="I361:K361" si="862">I360</f>
        <v>Half</v>
      </c>
      <c r="J361" s="50">
        <f t="shared" si="862"/>
        <v>6</v>
      </c>
      <c r="K361" s="49">
        <f t="shared" si="862"/>
        <v>160</v>
      </c>
      <c r="L361" s="44">
        <f t="shared" si="735"/>
        <v>8</v>
      </c>
      <c r="M361" s="44">
        <f t="shared" si="803"/>
        <v>8</v>
      </c>
      <c r="N361" s="45">
        <f t="shared" ref="N361" si="863">N360</f>
        <v>0.2</v>
      </c>
      <c r="O361" s="49">
        <f t="shared" si="834"/>
        <v>60</v>
      </c>
      <c r="P361" s="53">
        <f t="shared" ref="P361:P364" si="864">P360+15</f>
        <v>30</v>
      </c>
      <c r="Q361" s="44">
        <f t="shared" ref="Q361:R361" si="865">Q360</f>
        <v>150</v>
      </c>
      <c r="R361" s="50">
        <f t="shared" si="865"/>
        <v>210</v>
      </c>
    </row>
    <row r="362" spans="1:18" x14ac:dyDescent="0.25">
      <c r="A362" s="41">
        <f t="shared" ref="A362:B362" si="866">A361+1</f>
        <v>1210</v>
      </c>
      <c r="B362" s="42">
        <f t="shared" si="866"/>
        <v>352</v>
      </c>
      <c r="C362" s="41" t="s">
        <v>3153</v>
      </c>
      <c r="D362" s="43">
        <f t="shared" si="601"/>
        <v>39.9</v>
      </c>
      <c r="E362" s="61">
        <f t="shared" si="731"/>
        <v>4.9735000000000005</v>
      </c>
      <c r="F362" s="61">
        <f t="shared" si="732"/>
        <v>42</v>
      </c>
      <c r="G362" s="64">
        <f t="shared" si="733"/>
        <v>0.58988764044943809</v>
      </c>
      <c r="H362" s="44">
        <f t="shared" si="602"/>
        <v>26.914126219991235</v>
      </c>
      <c r="I362" s="42" t="str">
        <f t="shared" ref="I362:K362" si="867">I361</f>
        <v>Half</v>
      </c>
      <c r="J362" s="50">
        <f t="shared" si="867"/>
        <v>6</v>
      </c>
      <c r="K362" s="49">
        <f t="shared" si="867"/>
        <v>160</v>
      </c>
      <c r="L362" s="44">
        <f t="shared" si="735"/>
        <v>8</v>
      </c>
      <c r="M362" s="44">
        <f t="shared" si="803"/>
        <v>8</v>
      </c>
      <c r="N362" s="45">
        <f t="shared" ref="N362" si="868">N361</f>
        <v>0.2</v>
      </c>
      <c r="O362" s="49">
        <f t="shared" si="834"/>
        <v>60</v>
      </c>
      <c r="P362" s="53">
        <f t="shared" si="864"/>
        <v>45</v>
      </c>
      <c r="Q362" s="44">
        <f t="shared" ref="Q362:R362" si="869">Q361</f>
        <v>150</v>
      </c>
      <c r="R362" s="50">
        <f t="shared" si="869"/>
        <v>210</v>
      </c>
    </row>
    <row r="363" spans="1:18" x14ac:dyDescent="0.25">
      <c r="A363" s="41">
        <f t="shared" ref="A363:B363" si="870">A362+1</f>
        <v>1211</v>
      </c>
      <c r="B363" s="42">
        <f t="shared" si="870"/>
        <v>353</v>
      </c>
      <c r="C363" s="41" t="s">
        <v>3154</v>
      </c>
      <c r="D363" s="43">
        <f t="shared" si="601"/>
        <v>39.9</v>
      </c>
      <c r="E363" s="61">
        <f t="shared" si="731"/>
        <v>4.9735000000000005</v>
      </c>
      <c r="F363" s="61">
        <f t="shared" si="732"/>
        <v>42</v>
      </c>
      <c r="G363" s="64">
        <f t="shared" si="733"/>
        <v>0.58988764044943809</v>
      </c>
      <c r="H363" s="44">
        <f t="shared" si="602"/>
        <v>26.914126219991235</v>
      </c>
      <c r="I363" s="42" t="str">
        <f t="shared" ref="I363:K363" si="871">I362</f>
        <v>Half</v>
      </c>
      <c r="J363" s="50">
        <f t="shared" si="871"/>
        <v>6</v>
      </c>
      <c r="K363" s="49">
        <f t="shared" si="871"/>
        <v>160</v>
      </c>
      <c r="L363" s="44">
        <f t="shared" si="735"/>
        <v>8</v>
      </c>
      <c r="M363" s="44">
        <f t="shared" si="803"/>
        <v>8</v>
      </c>
      <c r="N363" s="45">
        <f t="shared" ref="N363:N371" si="872">N362</f>
        <v>0.2</v>
      </c>
      <c r="O363" s="49">
        <f t="shared" si="834"/>
        <v>60</v>
      </c>
      <c r="P363" s="53">
        <f t="shared" si="864"/>
        <v>60</v>
      </c>
      <c r="Q363" s="44">
        <f t="shared" ref="Q363:R363" si="873">Q362</f>
        <v>150</v>
      </c>
      <c r="R363" s="50">
        <f t="shared" si="873"/>
        <v>210</v>
      </c>
    </row>
    <row r="364" spans="1:18" x14ac:dyDescent="0.25">
      <c r="A364" s="41">
        <f t="shared" ref="A364:B364" si="874">A363+1</f>
        <v>1212</v>
      </c>
      <c r="B364" s="42">
        <f t="shared" si="874"/>
        <v>354</v>
      </c>
      <c r="C364" s="41" t="s">
        <v>3155</v>
      </c>
      <c r="D364" s="43">
        <f t="shared" si="601"/>
        <v>39.9</v>
      </c>
      <c r="E364" s="61">
        <f t="shared" si="731"/>
        <v>4.9735000000000005</v>
      </c>
      <c r="F364" s="61">
        <f t="shared" si="732"/>
        <v>42</v>
      </c>
      <c r="G364" s="64">
        <f t="shared" si="733"/>
        <v>0.58988764044943809</v>
      </c>
      <c r="H364" s="44">
        <f t="shared" si="602"/>
        <v>26.914126219991235</v>
      </c>
      <c r="I364" s="42" t="str">
        <f t="shared" ref="I364:K364" si="875">I363</f>
        <v>Half</v>
      </c>
      <c r="J364" s="50">
        <f t="shared" si="875"/>
        <v>6</v>
      </c>
      <c r="K364" s="49">
        <f t="shared" si="875"/>
        <v>160</v>
      </c>
      <c r="L364" s="44">
        <f t="shared" si="735"/>
        <v>8</v>
      </c>
      <c r="M364" s="44">
        <f t="shared" si="803"/>
        <v>8</v>
      </c>
      <c r="N364" s="45">
        <f t="shared" si="872"/>
        <v>0.2</v>
      </c>
      <c r="O364" s="49">
        <f t="shared" si="834"/>
        <v>60</v>
      </c>
      <c r="P364" s="135">
        <f t="shared" si="864"/>
        <v>75</v>
      </c>
      <c r="Q364" s="44">
        <f t="shared" ref="Q364:R364" si="876">Q363</f>
        <v>150</v>
      </c>
      <c r="R364" s="50">
        <f t="shared" si="876"/>
        <v>210</v>
      </c>
    </row>
    <row r="365" spans="1:18" x14ac:dyDescent="0.25">
      <c r="A365" s="41">
        <f t="shared" ref="A365:B365" si="877">A364+1</f>
        <v>1213</v>
      </c>
      <c r="B365" s="42">
        <f t="shared" si="877"/>
        <v>355</v>
      </c>
      <c r="C365" s="41" t="s">
        <v>3156</v>
      </c>
      <c r="D365" s="43">
        <f t="shared" ref="D365:D428" si="878">D364</f>
        <v>39.9</v>
      </c>
      <c r="E365" s="61">
        <f t="shared" si="731"/>
        <v>4.9735000000000005</v>
      </c>
      <c r="F365" s="61">
        <f t="shared" si="732"/>
        <v>42</v>
      </c>
      <c r="G365" s="64">
        <f t="shared" si="733"/>
        <v>0.58988764044943809</v>
      </c>
      <c r="H365" s="44">
        <f t="shared" ref="H365:H370" si="879">6.4*ATAN(E365/D365*G365)/PI()*180</f>
        <v>26.914126219991235</v>
      </c>
      <c r="I365" s="42" t="str">
        <f t="shared" ref="I365:K365" si="880">I364</f>
        <v>Half</v>
      </c>
      <c r="J365" s="50">
        <f t="shared" si="880"/>
        <v>6</v>
      </c>
      <c r="K365" s="49">
        <f t="shared" si="880"/>
        <v>160</v>
      </c>
      <c r="L365" s="44">
        <f t="shared" si="735"/>
        <v>8</v>
      </c>
      <c r="M365" s="44">
        <f t="shared" si="803"/>
        <v>8</v>
      </c>
      <c r="N365" s="45">
        <f t="shared" si="872"/>
        <v>0.2</v>
      </c>
      <c r="O365" s="49">
        <f t="shared" si="834"/>
        <v>90</v>
      </c>
      <c r="P365" s="136">
        <v>0</v>
      </c>
      <c r="Q365" s="44">
        <f t="shared" ref="Q365:R365" si="881">Q364</f>
        <v>150</v>
      </c>
      <c r="R365" s="50">
        <f t="shared" si="881"/>
        <v>210</v>
      </c>
    </row>
    <row r="366" spans="1:18" x14ac:dyDescent="0.25">
      <c r="A366" s="41">
        <f t="shared" ref="A366:B366" si="882">A365+1</f>
        <v>1214</v>
      </c>
      <c r="B366" s="42">
        <f t="shared" si="882"/>
        <v>356</v>
      </c>
      <c r="C366" s="41" t="s">
        <v>3157</v>
      </c>
      <c r="D366" s="43">
        <f t="shared" si="878"/>
        <v>39.9</v>
      </c>
      <c r="E366" s="61">
        <f t="shared" si="731"/>
        <v>4.9735000000000005</v>
      </c>
      <c r="F366" s="61">
        <f t="shared" si="732"/>
        <v>42</v>
      </c>
      <c r="G366" s="64">
        <f t="shared" si="733"/>
        <v>0.58988764044943809</v>
      </c>
      <c r="H366" s="44">
        <f t="shared" si="879"/>
        <v>26.914126219991235</v>
      </c>
      <c r="I366" s="42" t="str">
        <f t="shared" ref="I366:K366" si="883">I365</f>
        <v>Half</v>
      </c>
      <c r="J366" s="50">
        <f t="shared" si="883"/>
        <v>6</v>
      </c>
      <c r="K366" s="49">
        <f t="shared" si="883"/>
        <v>160</v>
      </c>
      <c r="L366" s="44">
        <f t="shared" si="735"/>
        <v>8</v>
      </c>
      <c r="M366" s="44">
        <f t="shared" si="803"/>
        <v>8</v>
      </c>
      <c r="N366" s="45">
        <f t="shared" si="872"/>
        <v>0.2</v>
      </c>
      <c r="O366" s="49">
        <f t="shared" si="834"/>
        <v>90</v>
      </c>
      <c r="P366" s="53">
        <f>P365+15</f>
        <v>15</v>
      </c>
      <c r="Q366" s="44">
        <f t="shared" ref="Q366:R366" si="884">Q365</f>
        <v>150</v>
      </c>
      <c r="R366" s="50">
        <f t="shared" si="884"/>
        <v>210</v>
      </c>
    </row>
    <row r="367" spans="1:18" x14ac:dyDescent="0.25">
      <c r="A367" s="41">
        <f t="shared" ref="A367:B367" si="885">A366+1</f>
        <v>1215</v>
      </c>
      <c r="B367" s="42">
        <f t="shared" si="885"/>
        <v>357</v>
      </c>
      <c r="C367" s="41" t="s">
        <v>3158</v>
      </c>
      <c r="D367" s="43">
        <f t="shared" si="878"/>
        <v>39.9</v>
      </c>
      <c r="E367" s="61">
        <f t="shared" si="731"/>
        <v>4.9735000000000005</v>
      </c>
      <c r="F367" s="61">
        <f t="shared" si="732"/>
        <v>42</v>
      </c>
      <c r="G367" s="64">
        <f t="shared" si="733"/>
        <v>0.58988764044943809</v>
      </c>
      <c r="H367" s="44">
        <f t="shared" si="879"/>
        <v>26.914126219991235</v>
      </c>
      <c r="I367" s="42" t="s">
        <v>12</v>
      </c>
      <c r="J367" s="50">
        <f t="shared" ref="J367:K367" si="886">J366</f>
        <v>6</v>
      </c>
      <c r="K367" s="49">
        <f t="shared" si="886"/>
        <v>160</v>
      </c>
      <c r="L367" s="44">
        <f t="shared" si="735"/>
        <v>8</v>
      </c>
      <c r="M367" s="44">
        <f t="shared" si="803"/>
        <v>8</v>
      </c>
      <c r="N367" s="45">
        <f t="shared" si="872"/>
        <v>0.2</v>
      </c>
      <c r="O367" s="49">
        <f>O361+30</f>
        <v>90</v>
      </c>
      <c r="P367" s="53">
        <f t="shared" ref="P367:P370" si="887">P366+15</f>
        <v>30</v>
      </c>
      <c r="Q367" s="44">
        <f t="shared" ref="Q367:R367" si="888">Q366</f>
        <v>150</v>
      </c>
      <c r="R367" s="50">
        <f t="shared" si="888"/>
        <v>210</v>
      </c>
    </row>
    <row r="368" spans="1:18" x14ac:dyDescent="0.25">
      <c r="A368" s="41">
        <f t="shared" ref="A368:B368" si="889">A367+1</f>
        <v>1216</v>
      </c>
      <c r="B368" s="42">
        <f t="shared" si="889"/>
        <v>358</v>
      </c>
      <c r="C368" s="41" t="s">
        <v>3159</v>
      </c>
      <c r="D368" s="43">
        <f t="shared" si="878"/>
        <v>39.9</v>
      </c>
      <c r="E368" s="61">
        <f t="shared" si="731"/>
        <v>4.9735000000000005</v>
      </c>
      <c r="F368" s="61">
        <f t="shared" si="732"/>
        <v>42</v>
      </c>
      <c r="G368" s="64">
        <f t="shared" si="733"/>
        <v>0.58988764044943809</v>
      </c>
      <c r="H368" s="44">
        <f t="shared" si="879"/>
        <v>26.914126219991235</v>
      </c>
      <c r="I368" s="42" t="str">
        <f>I367</f>
        <v>Half</v>
      </c>
      <c r="J368" s="50">
        <f t="shared" ref="J368:K368" si="890">J367</f>
        <v>6</v>
      </c>
      <c r="K368" s="49">
        <f t="shared" si="890"/>
        <v>160</v>
      </c>
      <c r="L368" s="44">
        <f t="shared" si="735"/>
        <v>8</v>
      </c>
      <c r="M368" s="44">
        <f t="shared" si="803"/>
        <v>8</v>
      </c>
      <c r="N368" s="45">
        <f t="shared" si="872"/>
        <v>0.2</v>
      </c>
      <c r="O368" s="49">
        <f t="shared" si="834"/>
        <v>90</v>
      </c>
      <c r="P368" s="53">
        <f t="shared" si="887"/>
        <v>45</v>
      </c>
      <c r="Q368" s="44">
        <f t="shared" ref="Q368:R368" si="891">Q367</f>
        <v>150</v>
      </c>
      <c r="R368" s="50">
        <f t="shared" si="891"/>
        <v>210</v>
      </c>
    </row>
    <row r="369" spans="1:18" x14ac:dyDescent="0.25">
      <c r="A369" s="41">
        <f t="shared" ref="A369:B369" si="892">A368+1</f>
        <v>1217</v>
      </c>
      <c r="B369" s="42">
        <f t="shared" si="892"/>
        <v>359</v>
      </c>
      <c r="C369" s="41" t="s">
        <v>3160</v>
      </c>
      <c r="D369" s="43">
        <f t="shared" si="878"/>
        <v>39.9</v>
      </c>
      <c r="E369" s="61">
        <f t="shared" si="731"/>
        <v>4.9735000000000005</v>
      </c>
      <c r="F369" s="61">
        <f t="shared" si="732"/>
        <v>42</v>
      </c>
      <c r="G369" s="64">
        <f t="shared" si="733"/>
        <v>0.58988764044943809</v>
      </c>
      <c r="H369" s="44">
        <f t="shared" si="879"/>
        <v>26.914126219991235</v>
      </c>
      <c r="I369" s="42" t="str">
        <f t="shared" ref="I369:K369" si="893">I368</f>
        <v>Half</v>
      </c>
      <c r="J369" s="50">
        <f t="shared" si="893"/>
        <v>6</v>
      </c>
      <c r="K369" s="49">
        <f t="shared" si="893"/>
        <v>160</v>
      </c>
      <c r="L369" s="44">
        <f t="shared" si="735"/>
        <v>8</v>
      </c>
      <c r="M369" s="44">
        <f t="shared" si="803"/>
        <v>8</v>
      </c>
      <c r="N369" s="45">
        <f t="shared" si="872"/>
        <v>0.2</v>
      </c>
      <c r="O369" s="49">
        <f t="shared" si="834"/>
        <v>90</v>
      </c>
      <c r="P369" s="53">
        <f t="shared" si="887"/>
        <v>60</v>
      </c>
      <c r="Q369" s="44">
        <f t="shared" ref="Q369:R369" si="894">Q368</f>
        <v>150</v>
      </c>
      <c r="R369" s="50">
        <f t="shared" si="894"/>
        <v>210</v>
      </c>
    </row>
    <row r="370" spans="1:18" x14ac:dyDescent="0.25">
      <c r="A370" s="41">
        <f t="shared" ref="A370:B370" si="895">A369+1</f>
        <v>1218</v>
      </c>
      <c r="B370" s="42">
        <f t="shared" si="895"/>
        <v>360</v>
      </c>
      <c r="C370" s="41" t="s">
        <v>3161</v>
      </c>
      <c r="D370" s="43">
        <f t="shared" si="878"/>
        <v>39.9</v>
      </c>
      <c r="E370" s="61">
        <f t="shared" si="731"/>
        <v>4.9735000000000005</v>
      </c>
      <c r="F370" s="61">
        <f t="shared" si="732"/>
        <v>42</v>
      </c>
      <c r="G370" s="64">
        <f t="shared" si="733"/>
        <v>0.58988764044943809</v>
      </c>
      <c r="H370" s="44">
        <f t="shared" si="879"/>
        <v>26.914126219991235</v>
      </c>
      <c r="I370" s="42" t="str">
        <f t="shared" ref="I370:K370" si="896">I369</f>
        <v>Half</v>
      </c>
      <c r="J370" s="50">
        <f t="shared" si="896"/>
        <v>6</v>
      </c>
      <c r="K370" s="49">
        <f t="shared" si="896"/>
        <v>160</v>
      </c>
      <c r="L370" s="44">
        <f t="shared" si="735"/>
        <v>8</v>
      </c>
      <c r="M370" s="128">
        <f t="shared" si="803"/>
        <v>8</v>
      </c>
      <c r="N370" s="137">
        <f t="shared" si="872"/>
        <v>0.2</v>
      </c>
      <c r="O370" s="138">
        <f t="shared" si="834"/>
        <v>90</v>
      </c>
      <c r="P370" s="135">
        <f t="shared" si="887"/>
        <v>75</v>
      </c>
      <c r="Q370" s="44">
        <f t="shared" ref="Q370:R370" si="897">Q369</f>
        <v>150</v>
      </c>
      <c r="R370" s="50">
        <f t="shared" si="897"/>
        <v>210</v>
      </c>
    </row>
    <row r="371" spans="1:18" x14ac:dyDescent="0.25">
      <c r="A371" s="41">
        <f t="shared" ref="A371:B371" si="898">A370+1</f>
        <v>1219</v>
      </c>
      <c r="B371" s="42">
        <f t="shared" si="898"/>
        <v>361</v>
      </c>
      <c r="C371" s="41" t="s">
        <v>3162</v>
      </c>
      <c r="D371" s="43">
        <f t="shared" si="878"/>
        <v>39.9</v>
      </c>
      <c r="E371" s="61">
        <f t="shared" si="731"/>
        <v>4.9735000000000005</v>
      </c>
      <c r="F371" s="61">
        <f t="shared" si="732"/>
        <v>42</v>
      </c>
      <c r="G371" s="64">
        <f t="shared" si="733"/>
        <v>0.58988764044943809</v>
      </c>
      <c r="H371" s="44">
        <f>-6.4*ATAN(E370/D370*G370)/PI()*180</f>
        <v>-26.914126219991235</v>
      </c>
      <c r="I371" s="42" t="s">
        <v>12</v>
      </c>
      <c r="J371" s="50">
        <f t="shared" ref="J371:K371" si="899">J370</f>
        <v>6</v>
      </c>
      <c r="K371" s="49">
        <f t="shared" si="899"/>
        <v>160</v>
      </c>
      <c r="L371" s="44">
        <f t="shared" si="735"/>
        <v>8</v>
      </c>
      <c r="M371" s="44">
        <f t="shared" ref="M371:M394" si="900">yaw_min</f>
        <v>-8</v>
      </c>
      <c r="N371" s="137">
        <f t="shared" si="872"/>
        <v>0.2</v>
      </c>
      <c r="O371" s="49">
        <v>0</v>
      </c>
      <c r="P371" s="44">
        <v>0</v>
      </c>
      <c r="Q371" s="44">
        <f t="shared" ref="Q371:R371" si="901">Q370</f>
        <v>150</v>
      </c>
      <c r="R371" s="50">
        <f t="shared" si="901"/>
        <v>210</v>
      </c>
    </row>
    <row r="372" spans="1:18" x14ac:dyDescent="0.25">
      <c r="A372" s="41">
        <f t="shared" ref="A372:B372" si="902">A371+1</f>
        <v>1220</v>
      </c>
      <c r="B372" s="42">
        <f t="shared" si="902"/>
        <v>362</v>
      </c>
      <c r="C372" s="41" t="s">
        <v>3163</v>
      </c>
      <c r="D372" s="43">
        <f t="shared" si="878"/>
        <v>39.9</v>
      </c>
      <c r="E372" s="61">
        <f t="shared" si="731"/>
        <v>4.9735000000000005</v>
      </c>
      <c r="F372" s="61">
        <f t="shared" si="732"/>
        <v>42</v>
      </c>
      <c r="G372" s="64">
        <f t="shared" si="733"/>
        <v>0.58988764044943809</v>
      </c>
      <c r="H372" s="44">
        <f t="shared" ref="H372:H435" si="903">-6.4*ATAN(E371/D371*G371)/PI()*180</f>
        <v>-26.914126219991235</v>
      </c>
      <c r="I372" s="42" t="str">
        <f t="shared" ref="I372:K372" si="904">I371</f>
        <v>Half</v>
      </c>
      <c r="J372" s="50">
        <f t="shared" si="904"/>
        <v>6</v>
      </c>
      <c r="K372" s="49">
        <f t="shared" si="904"/>
        <v>160</v>
      </c>
      <c r="L372" s="44">
        <f t="shared" si="735"/>
        <v>8</v>
      </c>
      <c r="M372" s="44">
        <f t="shared" si="900"/>
        <v>-8</v>
      </c>
      <c r="N372" s="45">
        <f t="shared" ref="N372" si="905">N371</f>
        <v>0.2</v>
      </c>
      <c r="O372" s="49">
        <v>0</v>
      </c>
      <c r="P372" s="53">
        <f>P371+15</f>
        <v>15</v>
      </c>
      <c r="Q372" s="44">
        <f t="shared" ref="Q372:R372" si="906">Q371</f>
        <v>150</v>
      </c>
      <c r="R372" s="50">
        <f t="shared" si="906"/>
        <v>210</v>
      </c>
    </row>
    <row r="373" spans="1:18" x14ac:dyDescent="0.25">
      <c r="A373" s="41">
        <f t="shared" ref="A373:B373" si="907">A372+1</f>
        <v>1221</v>
      </c>
      <c r="B373" s="42">
        <f t="shared" si="907"/>
        <v>363</v>
      </c>
      <c r="C373" s="41" t="s">
        <v>3164</v>
      </c>
      <c r="D373" s="43">
        <f t="shared" si="878"/>
        <v>39.9</v>
      </c>
      <c r="E373" s="61">
        <f t="shared" si="731"/>
        <v>4.9735000000000005</v>
      </c>
      <c r="F373" s="61">
        <f t="shared" si="732"/>
        <v>42</v>
      </c>
      <c r="G373" s="64">
        <f t="shared" si="733"/>
        <v>0.58988764044943809</v>
      </c>
      <c r="H373" s="44">
        <f t="shared" si="903"/>
        <v>-26.914126219991235</v>
      </c>
      <c r="I373" s="42" t="str">
        <f t="shared" ref="I373:K373" si="908">I372</f>
        <v>Half</v>
      </c>
      <c r="J373" s="50">
        <f t="shared" si="908"/>
        <v>6</v>
      </c>
      <c r="K373" s="49">
        <f t="shared" si="908"/>
        <v>160</v>
      </c>
      <c r="L373" s="44">
        <f t="shared" si="735"/>
        <v>8</v>
      </c>
      <c r="M373" s="44">
        <f t="shared" si="900"/>
        <v>-8</v>
      </c>
      <c r="N373" s="45">
        <f t="shared" ref="N373" si="909">N372</f>
        <v>0.2</v>
      </c>
      <c r="O373" s="49">
        <v>0</v>
      </c>
      <c r="P373" s="53">
        <f t="shared" ref="P373:P376" si="910">P372+15</f>
        <v>30</v>
      </c>
      <c r="Q373" s="44">
        <f t="shared" ref="Q373:R373" si="911">Q372</f>
        <v>150</v>
      </c>
      <c r="R373" s="50">
        <f t="shared" si="911"/>
        <v>210</v>
      </c>
    </row>
    <row r="374" spans="1:18" x14ac:dyDescent="0.25">
      <c r="A374" s="41">
        <f t="shared" ref="A374:B374" si="912">A373+1</f>
        <v>1222</v>
      </c>
      <c r="B374" s="42">
        <f t="shared" si="912"/>
        <v>364</v>
      </c>
      <c r="C374" s="41" t="s">
        <v>3165</v>
      </c>
      <c r="D374" s="43">
        <f t="shared" si="878"/>
        <v>39.9</v>
      </c>
      <c r="E374" s="61">
        <f t="shared" si="731"/>
        <v>4.9735000000000005</v>
      </c>
      <c r="F374" s="61">
        <f t="shared" si="732"/>
        <v>42</v>
      </c>
      <c r="G374" s="64">
        <f t="shared" si="733"/>
        <v>0.58988764044943809</v>
      </c>
      <c r="H374" s="44">
        <f t="shared" si="903"/>
        <v>-26.914126219991235</v>
      </c>
      <c r="I374" s="42" t="str">
        <f t="shared" ref="I374:K374" si="913">I373</f>
        <v>Half</v>
      </c>
      <c r="J374" s="50">
        <f t="shared" si="913"/>
        <v>6</v>
      </c>
      <c r="K374" s="49">
        <f t="shared" si="913"/>
        <v>160</v>
      </c>
      <c r="L374" s="44">
        <f t="shared" si="735"/>
        <v>8</v>
      </c>
      <c r="M374" s="44">
        <f t="shared" si="900"/>
        <v>-8</v>
      </c>
      <c r="N374" s="45">
        <f t="shared" ref="N374" si="914">N373</f>
        <v>0.2</v>
      </c>
      <c r="O374" s="49">
        <v>0</v>
      </c>
      <c r="P374" s="53">
        <f t="shared" si="910"/>
        <v>45</v>
      </c>
      <c r="Q374" s="44">
        <f t="shared" ref="Q374:R374" si="915">Q373</f>
        <v>150</v>
      </c>
      <c r="R374" s="50">
        <f t="shared" si="915"/>
        <v>210</v>
      </c>
    </row>
    <row r="375" spans="1:18" x14ac:dyDescent="0.25">
      <c r="A375" s="41">
        <f t="shared" ref="A375:B375" si="916">A374+1</f>
        <v>1223</v>
      </c>
      <c r="B375" s="42">
        <f t="shared" si="916"/>
        <v>365</v>
      </c>
      <c r="C375" s="41" t="s">
        <v>3166</v>
      </c>
      <c r="D375" s="43">
        <f t="shared" si="878"/>
        <v>39.9</v>
      </c>
      <c r="E375" s="61">
        <f t="shared" si="731"/>
        <v>4.9735000000000005</v>
      </c>
      <c r="F375" s="61">
        <f t="shared" si="732"/>
        <v>42</v>
      </c>
      <c r="G375" s="64">
        <f t="shared" si="733"/>
        <v>0.58988764044943809</v>
      </c>
      <c r="H375" s="44">
        <f t="shared" si="903"/>
        <v>-26.914126219991235</v>
      </c>
      <c r="I375" s="42" t="str">
        <f t="shared" ref="I375:K375" si="917">I374</f>
        <v>Half</v>
      </c>
      <c r="J375" s="50">
        <f t="shared" si="917"/>
        <v>6</v>
      </c>
      <c r="K375" s="49">
        <f t="shared" si="917"/>
        <v>160</v>
      </c>
      <c r="L375" s="44">
        <f t="shared" si="735"/>
        <v>8</v>
      </c>
      <c r="M375" s="44">
        <f t="shared" si="900"/>
        <v>-8</v>
      </c>
      <c r="N375" s="45">
        <f t="shared" ref="N375" si="918">N374</f>
        <v>0.2</v>
      </c>
      <c r="O375" s="49">
        <v>0</v>
      </c>
      <c r="P375" s="53">
        <f t="shared" si="910"/>
        <v>60</v>
      </c>
      <c r="Q375" s="44">
        <f t="shared" ref="Q375:R375" si="919">Q374</f>
        <v>150</v>
      </c>
      <c r="R375" s="50">
        <f t="shared" si="919"/>
        <v>210</v>
      </c>
    </row>
    <row r="376" spans="1:18" x14ac:dyDescent="0.25">
      <c r="A376" s="41">
        <f t="shared" ref="A376:B376" si="920">A375+1</f>
        <v>1224</v>
      </c>
      <c r="B376" s="42">
        <f t="shared" si="920"/>
        <v>366</v>
      </c>
      <c r="C376" s="41" t="s">
        <v>3167</v>
      </c>
      <c r="D376" s="43">
        <f t="shared" si="878"/>
        <v>39.9</v>
      </c>
      <c r="E376" s="61">
        <f t="shared" si="731"/>
        <v>4.9735000000000005</v>
      </c>
      <c r="F376" s="61">
        <f t="shared" si="732"/>
        <v>42</v>
      </c>
      <c r="G376" s="64">
        <f t="shared" si="733"/>
        <v>0.58988764044943809</v>
      </c>
      <c r="H376" s="44">
        <f t="shared" si="903"/>
        <v>-26.914126219991235</v>
      </c>
      <c r="I376" s="42" t="str">
        <f t="shared" ref="I376:K376" si="921">I375</f>
        <v>Half</v>
      </c>
      <c r="J376" s="50">
        <f t="shared" si="921"/>
        <v>6</v>
      </c>
      <c r="K376" s="49">
        <f t="shared" si="921"/>
        <v>160</v>
      </c>
      <c r="L376" s="44">
        <f t="shared" si="735"/>
        <v>8</v>
      </c>
      <c r="M376" s="44">
        <f t="shared" si="900"/>
        <v>-8</v>
      </c>
      <c r="N376" s="45">
        <f t="shared" ref="N376" si="922">N375</f>
        <v>0.2</v>
      </c>
      <c r="O376" s="49">
        <v>0</v>
      </c>
      <c r="P376" s="135">
        <f t="shared" si="910"/>
        <v>75</v>
      </c>
      <c r="Q376" s="44">
        <f t="shared" ref="Q376:R376" si="923">Q375</f>
        <v>150</v>
      </c>
      <c r="R376" s="50">
        <f t="shared" si="923"/>
        <v>210</v>
      </c>
    </row>
    <row r="377" spans="1:18" x14ac:dyDescent="0.25">
      <c r="A377" s="41">
        <f t="shared" ref="A377:B377" si="924">A376+1</f>
        <v>1225</v>
      </c>
      <c r="B377" s="42">
        <f t="shared" si="924"/>
        <v>367</v>
      </c>
      <c r="C377" s="41" t="s">
        <v>3168</v>
      </c>
      <c r="D377" s="43">
        <f t="shared" si="878"/>
        <v>39.9</v>
      </c>
      <c r="E377" s="61">
        <f t="shared" si="731"/>
        <v>4.9735000000000005</v>
      </c>
      <c r="F377" s="61">
        <f t="shared" si="732"/>
        <v>42</v>
      </c>
      <c r="G377" s="64">
        <f t="shared" si="733"/>
        <v>0.58988764044943809</v>
      </c>
      <c r="H377" s="44">
        <f t="shared" si="903"/>
        <v>-26.914126219991235</v>
      </c>
      <c r="I377" s="42" t="str">
        <f t="shared" ref="I377:K377" si="925">I376</f>
        <v>Half</v>
      </c>
      <c r="J377" s="50">
        <f t="shared" si="925"/>
        <v>6</v>
      </c>
      <c r="K377" s="49">
        <f t="shared" si="925"/>
        <v>160</v>
      </c>
      <c r="L377" s="44">
        <f t="shared" si="735"/>
        <v>8</v>
      </c>
      <c r="M377" s="44">
        <f t="shared" si="900"/>
        <v>-8</v>
      </c>
      <c r="N377" s="45">
        <f t="shared" ref="N377" si="926">N376</f>
        <v>0.2</v>
      </c>
      <c r="O377" s="49">
        <f>O371+30</f>
        <v>30</v>
      </c>
      <c r="P377" s="136">
        <v>0</v>
      </c>
      <c r="Q377" s="44">
        <f t="shared" ref="Q377:R377" si="927">Q376</f>
        <v>150</v>
      </c>
      <c r="R377" s="50">
        <f t="shared" si="927"/>
        <v>210</v>
      </c>
    </row>
    <row r="378" spans="1:18" x14ac:dyDescent="0.25">
      <c r="A378" s="41">
        <f t="shared" ref="A378:B378" si="928">A377+1</f>
        <v>1226</v>
      </c>
      <c r="B378" s="42">
        <f t="shared" si="928"/>
        <v>368</v>
      </c>
      <c r="C378" s="41" t="s">
        <v>3169</v>
      </c>
      <c r="D378" s="43">
        <f t="shared" si="878"/>
        <v>39.9</v>
      </c>
      <c r="E378" s="61">
        <f t="shared" si="731"/>
        <v>4.9735000000000005</v>
      </c>
      <c r="F378" s="61">
        <f t="shared" si="732"/>
        <v>42</v>
      </c>
      <c r="G378" s="64">
        <f t="shared" si="733"/>
        <v>0.58988764044943809</v>
      </c>
      <c r="H378" s="44">
        <f t="shared" si="903"/>
        <v>-26.914126219991235</v>
      </c>
      <c r="I378" s="42" t="str">
        <f t="shared" ref="I378:K378" si="929">I377</f>
        <v>Half</v>
      </c>
      <c r="J378" s="50">
        <f t="shared" si="929"/>
        <v>6</v>
      </c>
      <c r="K378" s="49">
        <f t="shared" si="929"/>
        <v>160</v>
      </c>
      <c r="L378" s="44">
        <f t="shared" si="735"/>
        <v>8</v>
      </c>
      <c r="M378" s="44">
        <f t="shared" si="900"/>
        <v>-8</v>
      </c>
      <c r="N378" s="45">
        <f t="shared" ref="N378" si="930">N377</f>
        <v>0.2</v>
      </c>
      <c r="O378" s="49">
        <f t="shared" ref="O378:O394" si="931">O372+30</f>
        <v>30</v>
      </c>
      <c r="P378" s="53">
        <f>P377+15</f>
        <v>15</v>
      </c>
      <c r="Q378" s="44">
        <f t="shared" ref="Q378:R378" si="932">Q377</f>
        <v>150</v>
      </c>
      <c r="R378" s="50">
        <f t="shared" si="932"/>
        <v>210</v>
      </c>
    </row>
    <row r="379" spans="1:18" x14ac:dyDescent="0.25">
      <c r="A379" s="41">
        <f t="shared" ref="A379:B379" si="933">A378+1</f>
        <v>1227</v>
      </c>
      <c r="B379" s="42">
        <f t="shared" si="933"/>
        <v>369</v>
      </c>
      <c r="C379" s="41" t="s">
        <v>3170</v>
      </c>
      <c r="D379" s="43">
        <f t="shared" si="878"/>
        <v>39.9</v>
      </c>
      <c r="E379" s="61">
        <f t="shared" si="731"/>
        <v>4.9735000000000005</v>
      </c>
      <c r="F379" s="61">
        <f t="shared" si="732"/>
        <v>42</v>
      </c>
      <c r="G379" s="64">
        <f t="shared" si="733"/>
        <v>0.58988764044943809</v>
      </c>
      <c r="H379" s="44">
        <f t="shared" si="903"/>
        <v>-26.914126219991235</v>
      </c>
      <c r="I379" s="42" t="str">
        <f t="shared" ref="I379:K379" si="934">I378</f>
        <v>Half</v>
      </c>
      <c r="J379" s="50">
        <f t="shared" si="934"/>
        <v>6</v>
      </c>
      <c r="K379" s="49">
        <f t="shared" si="934"/>
        <v>160</v>
      </c>
      <c r="L379" s="44">
        <f t="shared" si="735"/>
        <v>8</v>
      </c>
      <c r="M379" s="44">
        <f t="shared" si="900"/>
        <v>-8</v>
      </c>
      <c r="N379" s="45">
        <f t="shared" ref="N379" si="935">N378</f>
        <v>0.2</v>
      </c>
      <c r="O379" s="49">
        <f t="shared" si="931"/>
        <v>30</v>
      </c>
      <c r="P379" s="53">
        <f t="shared" ref="P379:P382" si="936">P378+15</f>
        <v>30</v>
      </c>
      <c r="Q379" s="44">
        <f t="shared" ref="Q379:R379" si="937">Q378</f>
        <v>150</v>
      </c>
      <c r="R379" s="50">
        <f t="shared" si="937"/>
        <v>210</v>
      </c>
    </row>
    <row r="380" spans="1:18" x14ac:dyDescent="0.25">
      <c r="A380" s="41">
        <f t="shared" ref="A380:B380" si="938">A379+1</f>
        <v>1228</v>
      </c>
      <c r="B380" s="42">
        <f t="shared" si="938"/>
        <v>370</v>
      </c>
      <c r="C380" s="41" t="s">
        <v>3171</v>
      </c>
      <c r="D380" s="43">
        <f t="shared" si="878"/>
        <v>39.9</v>
      </c>
      <c r="E380" s="61">
        <f t="shared" si="731"/>
        <v>4.9735000000000005</v>
      </c>
      <c r="F380" s="61">
        <f t="shared" si="732"/>
        <v>42</v>
      </c>
      <c r="G380" s="64">
        <f t="shared" si="733"/>
        <v>0.58988764044943809</v>
      </c>
      <c r="H380" s="44">
        <f t="shared" si="903"/>
        <v>-26.914126219991235</v>
      </c>
      <c r="I380" s="42" t="str">
        <f>I379</f>
        <v>Half</v>
      </c>
      <c r="J380" s="50">
        <f t="shared" ref="J380:K380" si="939">J379</f>
        <v>6</v>
      </c>
      <c r="K380" s="49">
        <f t="shared" si="939"/>
        <v>160</v>
      </c>
      <c r="L380" s="44">
        <f t="shared" si="735"/>
        <v>8</v>
      </c>
      <c r="M380" s="44">
        <f t="shared" si="900"/>
        <v>-8</v>
      </c>
      <c r="N380" s="45">
        <f t="shared" ref="N380" si="940">N379</f>
        <v>0.2</v>
      </c>
      <c r="O380" s="49">
        <f t="shared" si="931"/>
        <v>30</v>
      </c>
      <c r="P380" s="53">
        <f t="shared" si="936"/>
        <v>45</v>
      </c>
      <c r="Q380" s="44">
        <f t="shared" ref="Q380:R380" si="941">Q379</f>
        <v>150</v>
      </c>
      <c r="R380" s="50">
        <f t="shared" si="941"/>
        <v>210</v>
      </c>
    </row>
    <row r="381" spans="1:18" x14ac:dyDescent="0.25">
      <c r="A381" s="41">
        <f t="shared" ref="A381:B381" si="942">A380+1</f>
        <v>1229</v>
      </c>
      <c r="B381" s="42">
        <f t="shared" si="942"/>
        <v>371</v>
      </c>
      <c r="C381" s="41" t="s">
        <v>3172</v>
      </c>
      <c r="D381" s="43">
        <f t="shared" si="878"/>
        <v>39.9</v>
      </c>
      <c r="E381" s="61">
        <f t="shared" si="731"/>
        <v>4.9735000000000005</v>
      </c>
      <c r="F381" s="61">
        <f t="shared" si="732"/>
        <v>42</v>
      </c>
      <c r="G381" s="64">
        <f t="shared" si="733"/>
        <v>0.58988764044943809</v>
      </c>
      <c r="H381" s="44">
        <f t="shared" si="903"/>
        <v>-26.914126219991235</v>
      </c>
      <c r="I381" s="42" t="str">
        <f>I380</f>
        <v>Half</v>
      </c>
      <c r="J381" s="50">
        <f t="shared" ref="J381:K381" si="943">J380</f>
        <v>6</v>
      </c>
      <c r="K381" s="49">
        <f t="shared" si="943"/>
        <v>160</v>
      </c>
      <c r="L381" s="44">
        <f t="shared" si="735"/>
        <v>8</v>
      </c>
      <c r="M381" s="44">
        <f t="shared" si="900"/>
        <v>-8</v>
      </c>
      <c r="N381" s="45">
        <f t="shared" ref="N381" si="944">N380</f>
        <v>0.2</v>
      </c>
      <c r="O381" s="49">
        <f t="shared" si="931"/>
        <v>30</v>
      </c>
      <c r="P381" s="53">
        <f t="shared" si="936"/>
        <v>60</v>
      </c>
      <c r="Q381" s="44">
        <f t="shared" ref="Q381:R381" si="945">Q380</f>
        <v>150</v>
      </c>
      <c r="R381" s="50">
        <f t="shared" si="945"/>
        <v>210</v>
      </c>
    </row>
    <row r="382" spans="1:18" x14ac:dyDescent="0.25">
      <c r="A382" s="41">
        <f t="shared" ref="A382:B382" si="946">A381+1</f>
        <v>1230</v>
      </c>
      <c r="B382" s="42">
        <f t="shared" si="946"/>
        <v>372</v>
      </c>
      <c r="C382" s="41" t="s">
        <v>3173</v>
      </c>
      <c r="D382" s="43">
        <f t="shared" si="878"/>
        <v>39.9</v>
      </c>
      <c r="E382" s="61">
        <f t="shared" si="731"/>
        <v>4.9735000000000005</v>
      </c>
      <c r="F382" s="61">
        <f t="shared" si="732"/>
        <v>42</v>
      </c>
      <c r="G382" s="64">
        <f t="shared" si="733"/>
        <v>0.58988764044943809</v>
      </c>
      <c r="H382" s="44">
        <f t="shared" si="903"/>
        <v>-26.914126219991235</v>
      </c>
      <c r="I382" s="42" t="str">
        <f>I381</f>
        <v>Half</v>
      </c>
      <c r="J382" s="50">
        <f t="shared" ref="J382:K382" si="947">J381</f>
        <v>6</v>
      </c>
      <c r="K382" s="49">
        <f t="shared" si="947"/>
        <v>160</v>
      </c>
      <c r="L382" s="44">
        <f t="shared" si="735"/>
        <v>8</v>
      </c>
      <c r="M382" s="44">
        <f t="shared" si="900"/>
        <v>-8</v>
      </c>
      <c r="N382" s="45">
        <f t="shared" ref="N382" si="948">N381</f>
        <v>0.2</v>
      </c>
      <c r="O382" s="49">
        <f t="shared" si="931"/>
        <v>30</v>
      </c>
      <c r="P382" s="135">
        <f t="shared" si="936"/>
        <v>75</v>
      </c>
      <c r="Q382" s="44">
        <f t="shared" ref="Q382:R382" si="949">Q381</f>
        <v>150</v>
      </c>
      <c r="R382" s="50">
        <f t="shared" si="949"/>
        <v>210</v>
      </c>
    </row>
    <row r="383" spans="1:18" x14ac:dyDescent="0.25">
      <c r="A383" s="41">
        <f t="shared" ref="A383:B383" si="950">A382+1</f>
        <v>1231</v>
      </c>
      <c r="B383" s="42">
        <f t="shared" si="950"/>
        <v>373</v>
      </c>
      <c r="C383" s="41" t="s">
        <v>3174</v>
      </c>
      <c r="D383" s="43">
        <f t="shared" si="878"/>
        <v>39.9</v>
      </c>
      <c r="E383" s="61">
        <f t="shared" si="731"/>
        <v>4.9735000000000005</v>
      </c>
      <c r="F383" s="61">
        <f t="shared" si="732"/>
        <v>42</v>
      </c>
      <c r="G383" s="64">
        <f t="shared" si="733"/>
        <v>0.58988764044943809</v>
      </c>
      <c r="H383" s="44">
        <f t="shared" si="903"/>
        <v>-26.914126219991235</v>
      </c>
      <c r="I383" s="42" t="str">
        <f t="shared" ref="I383:K383" si="951">I382</f>
        <v>Half</v>
      </c>
      <c r="J383" s="50">
        <f t="shared" si="951"/>
        <v>6</v>
      </c>
      <c r="K383" s="49">
        <f t="shared" si="951"/>
        <v>160</v>
      </c>
      <c r="L383" s="44">
        <f t="shared" si="735"/>
        <v>8</v>
      </c>
      <c r="M383" s="44">
        <f t="shared" si="900"/>
        <v>-8</v>
      </c>
      <c r="N383" s="45">
        <f t="shared" ref="N383" si="952">N382</f>
        <v>0.2</v>
      </c>
      <c r="O383" s="49">
        <f t="shared" si="931"/>
        <v>60</v>
      </c>
      <c r="P383" s="136">
        <v>0</v>
      </c>
      <c r="Q383" s="44">
        <f t="shared" ref="Q383:R383" si="953">Q382</f>
        <v>150</v>
      </c>
      <c r="R383" s="50">
        <f t="shared" si="953"/>
        <v>210</v>
      </c>
    </row>
    <row r="384" spans="1:18" x14ac:dyDescent="0.25">
      <c r="A384" s="41">
        <f t="shared" ref="A384:B384" si="954">A383+1</f>
        <v>1232</v>
      </c>
      <c r="B384" s="42">
        <f t="shared" si="954"/>
        <v>374</v>
      </c>
      <c r="C384" s="41" t="s">
        <v>3175</v>
      </c>
      <c r="D384" s="43">
        <f t="shared" si="878"/>
        <v>39.9</v>
      </c>
      <c r="E384" s="61">
        <f t="shared" si="731"/>
        <v>4.9735000000000005</v>
      </c>
      <c r="F384" s="61">
        <f t="shared" si="732"/>
        <v>42</v>
      </c>
      <c r="G384" s="64">
        <f t="shared" si="733"/>
        <v>0.58988764044943809</v>
      </c>
      <c r="H384" s="44">
        <f t="shared" si="903"/>
        <v>-26.914126219991235</v>
      </c>
      <c r="I384" s="42" t="str">
        <f t="shared" ref="I384:K384" si="955">I383</f>
        <v>Half</v>
      </c>
      <c r="J384" s="50">
        <f t="shared" si="955"/>
        <v>6</v>
      </c>
      <c r="K384" s="49">
        <f t="shared" si="955"/>
        <v>160</v>
      </c>
      <c r="L384" s="44">
        <f t="shared" si="735"/>
        <v>8</v>
      </c>
      <c r="M384" s="44">
        <f t="shared" si="900"/>
        <v>-8</v>
      </c>
      <c r="N384" s="45">
        <f t="shared" ref="N384" si="956">N383</f>
        <v>0.2</v>
      </c>
      <c r="O384" s="49">
        <f t="shared" si="931"/>
        <v>60</v>
      </c>
      <c r="P384" s="53">
        <f>P383+15</f>
        <v>15</v>
      </c>
      <c r="Q384" s="44">
        <f t="shared" ref="Q384:R384" si="957">Q383</f>
        <v>150</v>
      </c>
      <c r="R384" s="50">
        <f t="shared" si="957"/>
        <v>210</v>
      </c>
    </row>
    <row r="385" spans="1:18" x14ac:dyDescent="0.25">
      <c r="A385" s="41">
        <f t="shared" ref="A385:B385" si="958">A384+1</f>
        <v>1233</v>
      </c>
      <c r="B385" s="42">
        <f t="shared" si="958"/>
        <v>375</v>
      </c>
      <c r="C385" s="41" t="s">
        <v>3176</v>
      </c>
      <c r="D385" s="43">
        <f t="shared" si="878"/>
        <v>39.9</v>
      </c>
      <c r="E385" s="61">
        <f t="shared" si="731"/>
        <v>4.9735000000000005</v>
      </c>
      <c r="F385" s="61">
        <f t="shared" si="732"/>
        <v>42</v>
      </c>
      <c r="G385" s="64">
        <f t="shared" si="733"/>
        <v>0.58988764044943809</v>
      </c>
      <c r="H385" s="44">
        <f t="shared" si="903"/>
        <v>-26.914126219991235</v>
      </c>
      <c r="I385" s="42" t="str">
        <f t="shared" ref="I385:K385" si="959">I384</f>
        <v>Half</v>
      </c>
      <c r="J385" s="50">
        <f t="shared" si="959"/>
        <v>6</v>
      </c>
      <c r="K385" s="49">
        <f t="shared" si="959"/>
        <v>160</v>
      </c>
      <c r="L385" s="44">
        <f t="shared" si="735"/>
        <v>8</v>
      </c>
      <c r="M385" s="44">
        <f t="shared" si="900"/>
        <v>-8</v>
      </c>
      <c r="N385" s="45">
        <f t="shared" ref="N385" si="960">N384</f>
        <v>0.2</v>
      </c>
      <c r="O385" s="49">
        <f t="shared" si="931"/>
        <v>60</v>
      </c>
      <c r="P385" s="53">
        <f t="shared" ref="P385:P388" si="961">P384+15</f>
        <v>30</v>
      </c>
      <c r="Q385" s="44">
        <f t="shared" ref="Q385:R385" si="962">Q384</f>
        <v>150</v>
      </c>
      <c r="R385" s="50">
        <f t="shared" si="962"/>
        <v>210</v>
      </c>
    </row>
    <row r="386" spans="1:18" x14ac:dyDescent="0.25">
      <c r="A386" s="41">
        <f t="shared" ref="A386:B386" si="963">A385+1</f>
        <v>1234</v>
      </c>
      <c r="B386" s="42">
        <f t="shared" si="963"/>
        <v>376</v>
      </c>
      <c r="C386" s="41" t="s">
        <v>3177</v>
      </c>
      <c r="D386" s="43">
        <f t="shared" si="878"/>
        <v>39.9</v>
      </c>
      <c r="E386" s="61">
        <f t="shared" si="731"/>
        <v>4.9735000000000005</v>
      </c>
      <c r="F386" s="61">
        <f t="shared" si="732"/>
        <v>42</v>
      </c>
      <c r="G386" s="64">
        <f t="shared" si="733"/>
        <v>0.58988764044943809</v>
      </c>
      <c r="H386" s="44">
        <f t="shared" si="903"/>
        <v>-26.914126219991235</v>
      </c>
      <c r="I386" s="42" t="str">
        <f t="shared" ref="I386:K386" si="964">I385</f>
        <v>Half</v>
      </c>
      <c r="J386" s="50">
        <f t="shared" si="964"/>
        <v>6</v>
      </c>
      <c r="K386" s="49">
        <f t="shared" si="964"/>
        <v>160</v>
      </c>
      <c r="L386" s="44">
        <f t="shared" si="735"/>
        <v>8</v>
      </c>
      <c r="M386" s="44">
        <f t="shared" si="900"/>
        <v>-8</v>
      </c>
      <c r="N386" s="45">
        <f t="shared" ref="N386" si="965">N385</f>
        <v>0.2</v>
      </c>
      <c r="O386" s="49">
        <f t="shared" si="931"/>
        <v>60</v>
      </c>
      <c r="P386" s="53">
        <f t="shared" si="961"/>
        <v>45</v>
      </c>
      <c r="Q386" s="44">
        <f t="shared" ref="Q386:R386" si="966">Q385</f>
        <v>150</v>
      </c>
      <c r="R386" s="50">
        <f t="shared" si="966"/>
        <v>210</v>
      </c>
    </row>
    <row r="387" spans="1:18" x14ac:dyDescent="0.25">
      <c r="A387" s="41">
        <f t="shared" ref="A387:B387" si="967">A386+1</f>
        <v>1235</v>
      </c>
      <c r="B387" s="42">
        <f t="shared" si="967"/>
        <v>377</v>
      </c>
      <c r="C387" s="41" t="s">
        <v>3178</v>
      </c>
      <c r="D387" s="43">
        <f t="shared" si="878"/>
        <v>39.9</v>
      </c>
      <c r="E387" s="61">
        <f t="shared" si="731"/>
        <v>4.9735000000000005</v>
      </c>
      <c r="F387" s="61">
        <f t="shared" si="732"/>
        <v>42</v>
      </c>
      <c r="G387" s="64">
        <f t="shared" si="733"/>
        <v>0.58988764044943809</v>
      </c>
      <c r="H387" s="44">
        <f t="shared" si="903"/>
        <v>-26.914126219991235</v>
      </c>
      <c r="I387" s="42" t="s">
        <v>12</v>
      </c>
      <c r="J387" s="50">
        <f t="shared" ref="J387:K387" si="968">J386</f>
        <v>6</v>
      </c>
      <c r="K387" s="49">
        <f t="shared" si="968"/>
        <v>160</v>
      </c>
      <c r="L387" s="44">
        <f t="shared" si="735"/>
        <v>8</v>
      </c>
      <c r="M387" s="44">
        <f t="shared" si="900"/>
        <v>-8</v>
      </c>
      <c r="N387" s="45">
        <f t="shared" ref="N387" si="969">N386</f>
        <v>0.2</v>
      </c>
      <c r="O387" s="49">
        <f t="shared" si="931"/>
        <v>60</v>
      </c>
      <c r="P387" s="53">
        <f t="shared" si="961"/>
        <v>60</v>
      </c>
      <c r="Q387" s="44">
        <f t="shared" ref="Q387:R387" si="970">Q386</f>
        <v>150</v>
      </c>
      <c r="R387" s="50">
        <f t="shared" si="970"/>
        <v>210</v>
      </c>
    </row>
    <row r="388" spans="1:18" x14ac:dyDescent="0.25">
      <c r="A388" s="41">
        <f t="shared" ref="A388:B388" si="971">A387+1</f>
        <v>1236</v>
      </c>
      <c r="B388" s="42">
        <f t="shared" si="971"/>
        <v>378</v>
      </c>
      <c r="C388" s="41" t="s">
        <v>3179</v>
      </c>
      <c r="D388" s="43">
        <f t="shared" si="878"/>
        <v>39.9</v>
      </c>
      <c r="E388" s="61">
        <f t="shared" si="731"/>
        <v>4.9735000000000005</v>
      </c>
      <c r="F388" s="61">
        <f t="shared" si="732"/>
        <v>42</v>
      </c>
      <c r="G388" s="64">
        <f t="shared" si="733"/>
        <v>0.58988764044943809</v>
      </c>
      <c r="H388" s="44">
        <f t="shared" si="903"/>
        <v>-26.914126219991235</v>
      </c>
      <c r="I388" s="42" t="str">
        <f>I387</f>
        <v>Half</v>
      </c>
      <c r="J388" s="50">
        <f t="shared" ref="J388:K388" si="972">J387</f>
        <v>6</v>
      </c>
      <c r="K388" s="49">
        <f t="shared" si="972"/>
        <v>160</v>
      </c>
      <c r="L388" s="44">
        <f t="shared" si="735"/>
        <v>8</v>
      </c>
      <c r="M388" s="44">
        <f t="shared" si="900"/>
        <v>-8</v>
      </c>
      <c r="N388" s="45">
        <f t="shared" ref="N388" si="973">N387</f>
        <v>0.2</v>
      </c>
      <c r="O388" s="49">
        <f t="shared" si="931"/>
        <v>60</v>
      </c>
      <c r="P388" s="135">
        <f t="shared" si="961"/>
        <v>75</v>
      </c>
      <c r="Q388" s="44">
        <f t="shared" ref="Q388:R388" si="974">Q387</f>
        <v>150</v>
      </c>
      <c r="R388" s="50">
        <f t="shared" si="974"/>
        <v>210</v>
      </c>
    </row>
    <row r="389" spans="1:18" x14ac:dyDescent="0.25">
      <c r="A389" s="41">
        <f t="shared" ref="A389:B389" si="975">A388+1</f>
        <v>1237</v>
      </c>
      <c r="B389" s="42">
        <f t="shared" si="975"/>
        <v>379</v>
      </c>
      <c r="C389" s="41" t="s">
        <v>3180</v>
      </c>
      <c r="D389" s="43">
        <f t="shared" si="878"/>
        <v>39.9</v>
      </c>
      <c r="E389" s="61">
        <f t="shared" si="731"/>
        <v>4.9735000000000005</v>
      </c>
      <c r="F389" s="61">
        <f t="shared" si="732"/>
        <v>42</v>
      </c>
      <c r="G389" s="64">
        <f t="shared" si="733"/>
        <v>0.58988764044943809</v>
      </c>
      <c r="H389" s="44">
        <f t="shared" si="903"/>
        <v>-26.914126219991235</v>
      </c>
      <c r="I389" s="42" t="str">
        <f t="shared" ref="I389:K389" si="976">I388</f>
        <v>Half</v>
      </c>
      <c r="J389" s="50">
        <f t="shared" si="976"/>
        <v>6</v>
      </c>
      <c r="K389" s="49">
        <f t="shared" si="976"/>
        <v>160</v>
      </c>
      <c r="L389" s="44">
        <f t="shared" si="735"/>
        <v>8</v>
      </c>
      <c r="M389" s="44">
        <f t="shared" si="900"/>
        <v>-8</v>
      </c>
      <c r="N389" s="45">
        <f t="shared" ref="N389" si="977">N388</f>
        <v>0.2</v>
      </c>
      <c r="O389" s="49">
        <f t="shared" si="931"/>
        <v>90</v>
      </c>
      <c r="P389" s="136">
        <v>0</v>
      </c>
      <c r="Q389" s="44">
        <f t="shared" ref="Q389:R389" si="978">Q388</f>
        <v>150</v>
      </c>
      <c r="R389" s="50">
        <f t="shared" si="978"/>
        <v>210</v>
      </c>
    </row>
    <row r="390" spans="1:18" x14ac:dyDescent="0.25">
      <c r="A390" s="41">
        <f t="shared" ref="A390:B390" si="979">A389+1</f>
        <v>1238</v>
      </c>
      <c r="B390" s="42">
        <f t="shared" si="979"/>
        <v>380</v>
      </c>
      <c r="C390" s="41" t="s">
        <v>3181</v>
      </c>
      <c r="D390" s="43">
        <f t="shared" si="878"/>
        <v>39.9</v>
      </c>
      <c r="E390" s="61">
        <f t="shared" si="731"/>
        <v>4.9735000000000005</v>
      </c>
      <c r="F390" s="61">
        <f t="shared" si="732"/>
        <v>42</v>
      </c>
      <c r="G390" s="64">
        <f t="shared" si="733"/>
        <v>0.58988764044943809</v>
      </c>
      <c r="H390" s="44">
        <f t="shared" si="903"/>
        <v>-26.914126219991235</v>
      </c>
      <c r="I390" s="42" t="str">
        <f t="shared" ref="I390:K390" si="980">I389</f>
        <v>Half</v>
      </c>
      <c r="J390" s="50">
        <f t="shared" si="980"/>
        <v>6</v>
      </c>
      <c r="K390" s="49">
        <f t="shared" si="980"/>
        <v>160</v>
      </c>
      <c r="L390" s="44">
        <f t="shared" si="735"/>
        <v>8</v>
      </c>
      <c r="M390" s="44">
        <f t="shared" si="900"/>
        <v>-8</v>
      </c>
      <c r="N390" s="45">
        <f t="shared" ref="N390" si="981">N389</f>
        <v>0.2</v>
      </c>
      <c r="O390" s="49">
        <f t="shared" si="931"/>
        <v>90</v>
      </c>
      <c r="P390" s="53">
        <f>P389+15</f>
        <v>15</v>
      </c>
      <c r="Q390" s="44">
        <f t="shared" ref="Q390:R390" si="982">Q389</f>
        <v>150</v>
      </c>
      <c r="R390" s="50">
        <f t="shared" si="982"/>
        <v>210</v>
      </c>
    </row>
    <row r="391" spans="1:18" x14ac:dyDescent="0.25">
      <c r="A391" s="41">
        <f t="shared" ref="A391:B391" si="983">A390+1</f>
        <v>1239</v>
      </c>
      <c r="B391" s="42">
        <f t="shared" si="983"/>
        <v>381</v>
      </c>
      <c r="C391" s="41" t="s">
        <v>3182</v>
      </c>
      <c r="D391" s="43">
        <f t="shared" si="878"/>
        <v>39.9</v>
      </c>
      <c r="E391" s="61">
        <f t="shared" si="731"/>
        <v>4.9735000000000005</v>
      </c>
      <c r="F391" s="61">
        <f t="shared" si="732"/>
        <v>42</v>
      </c>
      <c r="G391" s="64">
        <f t="shared" si="733"/>
        <v>0.58988764044943809</v>
      </c>
      <c r="H391" s="44">
        <f t="shared" si="903"/>
        <v>-26.914126219991235</v>
      </c>
      <c r="I391" s="42" t="str">
        <f t="shared" ref="I391:K391" si="984">I390</f>
        <v>Half</v>
      </c>
      <c r="J391" s="50">
        <f t="shared" si="984"/>
        <v>6</v>
      </c>
      <c r="K391" s="49">
        <f t="shared" si="984"/>
        <v>160</v>
      </c>
      <c r="L391" s="44">
        <f t="shared" si="735"/>
        <v>8</v>
      </c>
      <c r="M391" s="44">
        <f t="shared" si="900"/>
        <v>-8</v>
      </c>
      <c r="N391" s="45">
        <f t="shared" ref="N391" si="985">N390</f>
        <v>0.2</v>
      </c>
      <c r="O391" s="49">
        <f>O385+30</f>
        <v>90</v>
      </c>
      <c r="P391" s="53">
        <f t="shared" ref="P391:P394" si="986">P390+15</f>
        <v>30</v>
      </c>
      <c r="Q391" s="44">
        <f t="shared" ref="Q391:R391" si="987">Q390</f>
        <v>150</v>
      </c>
      <c r="R391" s="50">
        <f t="shared" si="987"/>
        <v>210</v>
      </c>
    </row>
    <row r="392" spans="1:18" x14ac:dyDescent="0.25">
      <c r="A392" s="41">
        <f t="shared" ref="A392:B392" si="988">A391+1</f>
        <v>1240</v>
      </c>
      <c r="B392" s="42">
        <f t="shared" si="988"/>
        <v>382</v>
      </c>
      <c r="C392" s="41" t="s">
        <v>3183</v>
      </c>
      <c r="D392" s="43">
        <f t="shared" si="878"/>
        <v>39.9</v>
      </c>
      <c r="E392" s="61">
        <f t="shared" si="731"/>
        <v>4.9735000000000005</v>
      </c>
      <c r="F392" s="61">
        <f t="shared" si="732"/>
        <v>42</v>
      </c>
      <c r="G392" s="64">
        <f t="shared" si="733"/>
        <v>0.58988764044943809</v>
      </c>
      <c r="H392" s="44">
        <f t="shared" si="903"/>
        <v>-26.914126219991235</v>
      </c>
      <c r="I392" s="42" t="str">
        <f t="shared" ref="I392:K392" si="989">I391</f>
        <v>Half</v>
      </c>
      <c r="J392" s="50">
        <f t="shared" si="989"/>
        <v>6</v>
      </c>
      <c r="K392" s="49">
        <f t="shared" si="989"/>
        <v>160</v>
      </c>
      <c r="L392" s="44">
        <f t="shared" si="735"/>
        <v>8</v>
      </c>
      <c r="M392" s="44">
        <f t="shared" si="900"/>
        <v>-8</v>
      </c>
      <c r="N392" s="45">
        <f t="shared" ref="N392" si="990">N391</f>
        <v>0.2</v>
      </c>
      <c r="O392" s="49">
        <f t="shared" si="931"/>
        <v>90</v>
      </c>
      <c r="P392" s="53">
        <f t="shared" si="986"/>
        <v>45</v>
      </c>
      <c r="Q392" s="44">
        <f t="shared" ref="Q392:R392" si="991">Q391</f>
        <v>150</v>
      </c>
      <c r="R392" s="50">
        <f t="shared" si="991"/>
        <v>210</v>
      </c>
    </row>
    <row r="393" spans="1:18" x14ac:dyDescent="0.25">
      <c r="A393" s="41">
        <f t="shared" ref="A393:B393" si="992">A392+1</f>
        <v>1241</v>
      </c>
      <c r="B393" s="42">
        <f t="shared" si="992"/>
        <v>383</v>
      </c>
      <c r="C393" s="41" t="s">
        <v>3184</v>
      </c>
      <c r="D393" s="43">
        <f t="shared" si="878"/>
        <v>39.9</v>
      </c>
      <c r="E393" s="61">
        <f t="shared" si="731"/>
        <v>4.9735000000000005</v>
      </c>
      <c r="F393" s="61">
        <f t="shared" si="732"/>
        <v>42</v>
      </c>
      <c r="G393" s="64">
        <f t="shared" si="733"/>
        <v>0.58988764044943809</v>
      </c>
      <c r="H393" s="44">
        <f t="shared" si="903"/>
        <v>-26.914126219991235</v>
      </c>
      <c r="I393" s="42" t="str">
        <f t="shared" ref="I393:K393" si="993">I392</f>
        <v>Half</v>
      </c>
      <c r="J393" s="50">
        <f t="shared" si="993"/>
        <v>6</v>
      </c>
      <c r="K393" s="49">
        <f t="shared" si="993"/>
        <v>160</v>
      </c>
      <c r="L393" s="44">
        <f t="shared" si="735"/>
        <v>8</v>
      </c>
      <c r="M393" s="44">
        <f t="shared" si="900"/>
        <v>-8</v>
      </c>
      <c r="N393" s="45">
        <f t="shared" ref="N393" si="994">N392</f>
        <v>0.2</v>
      </c>
      <c r="O393" s="49">
        <f t="shared" si="931"/>
        <v>90</v>
      </c>
      <c r="P393" s="53">
        <f t="shared" si="986"/>
        <v>60</v>
      </c>
      <c r="Q393" s="44">
        <f t="shared" ref="Q393:R393" si="995">Q392</f>
        <v>150</v>
      </c>
      <c r="R393" s="50">
        <f t="shared" si="995"/>
        <v>210</v>
      </c>
    </row>
    <row r="394" spans="1:18" x14ac:dyDescent="0.25">
      <c r="A394" s="41">
        <f t="shared" ref="A394:B394" si="996">A393+1</f>
        <v>1242</v>
      </c>
      <c r="B394" s="42">
        <f t="shared" si="996"/>
        <v>384</v>
      </c>
      <c r="C394" s="41" t="s">
        <v>3185</v>
      </c>
      <c r="D394" s="43">
        <f t="shared" si="878"/>
        <v>39.9</v>
      </c>
      <c r="E394" s="61">
        <f t="shared" si="731"/>
        <v>4.9735000000000005</v>
      </c>
      <c r="F394" s="61">
        <f t="shared" si="732"/>
        <v>42</v>
      </c>
      <c r="G394" s="64">
        <f t="shared" si="733"/>
        <v>0.58988764044943809</v>
      </c>
      <c r="H394" s="44">
        <f t="shared" si="903"/>
        <v>-26.914126219991235</v>
      </c>
      <c r="I394" s="42" t="str">
        <f t="shared" ref="I394:K394" si="997">I393</f>
        <v>Half</v>
      </c>
      <c r="J394" s="50">
        <f t="shared" si="997"/>
        <v>6</v>
      </c>
      <c r="K394" s="49">
        <f t="shared" si="997"/>
        <v>160</v>
      </c>
      <c r="L394" s="44">
        <f t="shared" si="735"/>
        <v>8</v>
      </c>
      <c r="M394" s="44">
        <f t="shared" si="900"/>
        <v>-8</v>
      </c>
      <c r="N394" s="45">
        <f t="shared" ref="N394" si="998">N393</f>
        <v>0.2</v>
      </c>
      <c r="O394" s="49">
        <f t="shared" si="931"/>
        <v>90</v>
      </c>
      <c r="P394" s="53">
        <f t="shared" si="986"/>
        <v>75</v>
      </c>
      <c r="Q394" s="44">
        <f t="shared" ref="Q394:R394" si="999">Q393</f>
        <v>150</v>
      </c>
      <c r="R394" s="50">
        <f t="shared" si="999"/>
        <v>210</v>
      </c>
    </row>
    <row r="395" spans="1:18" x14ac:dyDescent="0.25">
      <c r="A395" s="41">
        <f t="shared" ref="A395:B395" si="1000">A394+1</f>
        <v>1243</v>
      </c>
      <c r="B395" s="42">
        <f t="shared" si="1000"/>
        <v>385</v>
      </c>
      <c r="C395" s="41" t="s">
        <v>3186</v>
      </c>
      <c r="D395" s="43">
        <f t="shared" si="878"/>
        <v>39.9</v>
      </c>
      <c r="E395" s="61">
        <f t="shared" ref="E395:E442" si="1001">I_ref*(0.75*D395+5.6)</f>
        <v>4.9735000000000005</v>
      </c>
      <c r="F395" s="61">
        <f t="shared" ref="F395:F442" si="1002">tur_scale</f>
        <v>42</v>
      </c>
      <c r="G395" s="64">
        <f t="shared" ref="G395:G442" si="1003">1/(1+0.2*(diameter/F395))</f>
        <v>0.58988764044943809</v>
      </c>
      <c r="H395" s="44">
        <f t="shared" si="903"/>
        <v>-26.914126219991235</v>
      </c>
      <c r="I395" s="42" t="str">
        <f t="shared" ref="I395:K395" si="1004">I394</f>
        <v>Half</v>
      </c>
      <c r="J395" s="50">
        <f t="shared" si="1004"/>
        <v>6</v>
      </c>
      <c r="K395" s="49">
        <f t="shared" si="1004"/>
        <v>160</v>
      </c>
      <c r="L395" s="44">
        <f t="shared" ref="L395:L442" si="1005">inflow</f>
        <v>8</v>
      </c>
      <c r="M395" s="44">
        <f t="shared" ref="M395:M418" si="1006">yaw_null</f>
        <v>0</v>
      </c>
      <c r="N395" s="45">
        <f t="shared" ref="N395" si="1007">N394</f>
        <v>0.2</v>
      </c>
      <c r="O395" s="49">
        <v>0</v>
      </c>
      <c r="P395" s="136">
        <v>0</v>
      </c>
      <c r="Q395" s="44">
        <f t="shared" ref="Q395:R395" si="1008">Q394</f>
        <v>150</v>
      </c>
      <c r="R395" s="50">
        <f t="shared" si="1008"/>
        <v>210</v>
      </c>
    </row>
    <row r="396" spans="1:18" x14ac:dyDescent="0.25">
      <c r="A396" s="41">
        <f t="shared" ref="A396:B396" si="1009">A395+1</f>
        <v>1244</v>
      </c>
      <c r="B396" s="42">
        <f t="shared" si="1009"/>
        <v>386</v>
      </c>
      <c r="C396" s="41" t="s">
        <v>3187</v>
      </c>
      <c r="D396" s="43">
        <f t="shared" si="878"/>
        <v>39.9</v>
      </c>
      <c r="E396" s="61">
        <f t="shared" si="1001"/>
        <v>4.9735000000000005</v>
      </c>
      <c r="F396" s="61">
        <f t="shared" si="1002"/>
        <v>42</v>
      </c>
      <c r="G396" s="64">
        <f t="shared" si="1003"/>
        <v>0.58988764044943809</v>
      </c>
      <c r="H396" s="44">
        <f t="shared" si="903"/>
        <v>-26.914126219991235</v>
      </c>
      <c r="I396" s="42" t="str">
        <f t="shared" ref="I396:K396" si="1010">I395</f>
        <v>Half</v>
      </c>
      <c r="J396" s="50">
        <f t="shared" si="1010"/>
        <v>6</v>
      </c>
      <c r="K396" s="49">
        <f t="shared" si="1010"/>
        <v>160</v>
      </c>
      <c r="L396" s="44">
        <f t="shared" si="1005"/>
        <v>8</v>
      </c>
      <c r="M396" s="44">
        <f t="shared" si="1006"/>
        <v>0</v>
      </c>
      <c r="N396" s="45">
        <f t="shared" ref="N396" si="1011">N395</f>
        <v>0.2</v>
      </c>
      <c r="O396" s="49">
        <v>0</v>
      </c>
      <c r="P396" s="53">
        <f>P395+15</f>
        <v>15</v>
      </c>
      <c r="Q396" s="44">
        <f t="shared" ref="Q396:R396" si="1012">Q395</f>
        <v>150</v>
      </c>
      <c r="R396" s="50">
        <f t="shared" si="1012"/>
        <v>210</v>
      </c>
    </row>
    <row r="397" spans="1:18" x14ac:dyDescent="0.25">
      <c r="A397" s="41">
        <f t="shared" ref="A397:B397" si="1013">A396+1</f>
        <v>1245</v>
      </c>
      <c r="B397" s="42">
        <f t="shared" si="1013"/>
        <v>387</v>
      </c>
      <c r="C397" s="41" t="s">
        <v>3188</v>
      </c>
      <c r="D397" s="43">
        <f t="shared" si="878"/>
        <v>39.9</v>
      </c>
      <c r="E397" s="61">
        <f t="shared" si="1001"/>
        <v>4.9735000000000005</v>
      </c>
      <c r="F397" s="61">
        <f t="shared" si="1002"/>
        <v>42</v>
      </c>
      <c r="G397" s="64">
        <f t="shared" si="1003"/>
        <v>0.58988764044943809</v>
      </c>
      <c r="H397" s="44">
        <f t="shared" si="903"/>
        <v>-26.914126219991235</v>
      </c>
      <c r="I397" s="42" t="str">
        <f t="shared" ref="I397:K397" si="1014">I396</f>
        <v>Half</v>
      </c>
      <c r="J397" s="50">
        <f t="shared" si="1014"/>
        <v>6</v>
      </c>
      <c r="K397" s="49">
        <f t="shared" si="1014"/>
        <v>160</v>
      </c>
      <c r="L397" s="44">
        <f t="shared" si="1005"/>
        <v>8</v>
      </c>
      <c r="M397" s="44">
        <f t="shared" si="1006"/>
        <v>0</v>
      </c>
      <c r="N397" s="45">
        <f t="shared" ref="N397" si="1015">N396</f>
        <v>0.2</v>
      </c>
      <c r="O397" s="49">
        <v>0</v>
      </c>
      <c r="P397" s="53">
        <f t="shared" ref="P397:P400" si="1016">P396+15</f>
        <v>30</v>
      </c>
      <c r="Q397" s="44">
        <f t="shared" ref="Q397:R397" si="1017">Q396</f>
        <v>150</v>
      </c>
      <c r="R397" s="50">
        <f t="shared" si="1017"/>
        <v>210</v>
      </c>
    </row>
    <row r="398" spans="1:18" x14ac:dyDescent="0.25">
      <c r="A398" s="41">
        <f t="shared" ref="A398:B398" si="1018">A397+1</f>
        <v>1246</v>
      </c>
      <c r="B398" s="42">
        <f t="shared" si="1018"/>
        <v>388</v>
      </c>
      <c r="C398" s="41" t="s">
        <v>3189</v>
      </c>
      <c r="D398" s="43">
        <f t="shared" si="878"/>
        <v>39.9</v>
      </c>
      <c r="E398" s="61">
        <f t="shared" si="1001"/>
        <v>4.9735000000000005</v>
      </c>
      <c r="F398" s="61">
        <f t="shared" si="1002"/>
        <v>42</v>
      </c>
      <c r="G398" s="64">
        <f t="shared" si="1003"/>
        <v>0.58988764044943809</v>
      </c>
      <c r="H398" s="44">
        <f t="shared" si="903"/>
        <v>-26.914126219991235</v>
      </c>
      <c r="I398" s="42" t="str">
        <f t="shared" ref="I398:K398" si="1019">I397</f>
        <v>Half</v>
      </c>
      <c r="J398" s="50">
        <f t="shared" si="1019"/>
        <v>6</v>
      </c>
      <c r="K398" s="49">
        <f t="shared" si="1019"/>
        <v>160</v>
      </c>
      <c r="L398" s="44">
        <f t="shared" si="1005"/>
        <v>8</v>
      </c>
      <c r="M398" s="44">
        <f t="shared" si="1006"/>
        <v>0</v>
      </c>
      <c r="N398" s="45">
        <f t="shared" ref="N398" si="1020">N397</f>
        <v>0.2</v>
      </c>
      <c r="O398" s="49">
        <v>0</v>
      </c>
      <c r="P398" s="53">
        <f t="shared" si="1016"/>
        <v>45</v>
      </c>
      <c r="Q398" s="44">
        <f t="shared" ref="Q398:R398" si="1021">Q397</f>
        <v>150</v>
      </c>
      <c r="R398" s="50">
        <f t="shared" si="1021"/>
        <v>210</v>
      </c>
    </row>
    <row r="399" spans="1:18" x14ac:dyDescent="0.25">
      <c r="A399" s="41">
        <f t="shared" ref="A399:B399" si="1022">A398+1</f>
        <v>1247</v>
      </c>
      <c r="B399" s="42">
        <f t="shared" si="1022"/>
        <v>389</v>
      </c>
      <c r="C399" s="41" t="s">
        <v>3190</v>
      </c>
      <c r="D399" s="43">
        <f t="shared" si="878"/>
        <v>39.9</v>
      </c>
      <c r="E399" s="61">
        <f t="shared" si="1001"/>
        <v>4.9735000000000005</v>
      </c>
      <c r="F399" s="61">
        <f t="shared" si="1002"/>
        <v>42</v>
      </c>
      <c r="G399" s="64">
        <f t="shared" si="1003"/>
        <v>0.58988764044943809</v>
      </c>
      <c r="H399" s="44">
        <f t="shared" si="903"/>
        <v>-26.914126219991235</v>
      </c>
      <c r="I399" s="42" t="str">
        <f t="shared" ref="I399:K399" si="1023">I398</f>
        <v>Half</v>
      </c>
      <c r="J399" s="50">
        <f t="shared" si="1023"/>
        <v>6</v>
      </c>
      <c r="K399" s="49">
        <f t="shared" si="1023"/>
        <v>160</v>
      </c>
      <c r="L399" s="44">
        <f t="shared" si="1005"/>
        <v>8</v>
      </c>
      <c r="M399" s="44">
        <f t="shared" si="1006"/>
        <v>0</v>
      </c>
      <c r="N399" s="45">
        <f t="shared" ref="N399" si="1024">N398</f>
        <v>0.2</v>
      </c>
      <c r="O399" s="49">
        <v>0</v>
      </c>
      <c r="P399" s="53">
        <f t="shared" si="1016"/>
        <v>60</v>
      </c>
      <c r="Q399" s="44">
        <f t="shared" ref="Q399:R399" si="1025">Q398</f>
        <v>150</v>
      </c>
      <c r="R399" s="50">
        <f t="shared" si="1025"/>
        <v>210</v>
      </c>
    </row>
    <row r="400" spans="1:18" x14ac:dyDescent="0.25">
      <c r="A400" s="41">
        <f t="shared" ref="A400:B400" si="1026">A399+1</f>
        <v>1248</v>
      </c>
      <c r="B400" s="42">
        <f t="shared" si="1026"/>
        <v>390</v>
      </c>
      <c r="C400" s="41" t="s">
        <v>3191</v>
      </c>
      <c r="D400" s="43">
        <f t="shared" si="878"/>
        <v>39.9</v>
      </c>
      <c r="E400" s="61">
        <f t="shared" si="1001"/>
        <v>4.9735000000000005</v>
      </c>
      <c r="F400" s="61">
        <f t="shared" si="1002"/>
        <v>42</v>
      </c>
      <c r="G400" s="64">
        <f t="shared" si="1003"/>
        <v>0.58988764044943809</v>
      </c>
      <c r="H400" s="44">
        <f t="shared" si="903"/>
        <v>-26.914126219991235</v>
      </c>
      <c r="I400" s="42" t="str">
        <f t="shared" ref="I400:K400" si="1027">I399</f>
        <v>Half</v>
      </c>
      <c r="J400" s="50">
        <f t="shared" si="1027"/>
        <v>6</v>
      </c>
      <c r="K400" s="49">
        <f t="shared" si="1027"/>
        <v>160</v>
      </c>
      <c r="L400" s="44">
        <f t="shared" si="1005"/>
        <v>8</v>
      </c>
      <c r="M400" s="44">
        <f t="shared" si="1006"/>
        <v>0</v>
      </c>
      <c r="N400" s="45">
        <f t="shared" ref="N400" si="1028">N399</f>
        <v>0.2</v>
      </c>
      <c r="O400" s="49">
        <v>0</v>
      </c>
      <c r="P400" s="135">
        <f t="shared" si="1016"/>
        <v>75</v>
      </c>
      <c r="Q400" s="44">
        <f t="shared" ref="Q400:R400" si="1029">Q399</f>
        <v>150</v>
      </c>
      <c r="R400" s="50">
        <f t="shared" si="1029"/>
        <v>210</v>
      </c>
    </row>
    <row r="401" spans="1:18" x14ac:dyDescent="0.25">
      <c r="A401" s="41">
        <f t="shared" ref="A401:B401" si="1030">A400+1</f>
        <v>1249</v>
      </c>
      <c r="B401" s="42">
        <f t="shared" si="1030"/>
        <v>391</v>
      </c>
      <c r="C401" s="41" t="s">
        <v>3192</v>
      </c>
      <c r="D401" s="43">
        <f t="shared" si="878"/>
        <v>39.9</v>
      </c>
      <c r="E401" s="61">
        <f t="shared" si="1001"/>
        <v>4.9735000000000005</v>
      </c>
      <c r="F401" s="61">
        <f t="shared" si="1002"/>
        <v>42</v>
      </c>
      <c r="G401" s="64">
        <f t="shared" si="1003"/>
        <v>0.58988764044943809</v>
      </c>
      <c r="H401" s="44">
        <f t="shared" si="903"/>
        <v>-26.914126219991235</v>
      </c>
      <c r="I401" s="42" t="str">
        <f t="shared" ref="I401:K401" si="1031">I400</f>
        <v>Half</v>
      </c>
      <c r="J401" s="50">
        <f t="shared" si="1031"/>
        <v>6</v>
      </c>
      <c r="K401" s="49">
        <f t="shared" si="1031"/>
        <v>160</v>
      </c>
      <c r="L401" s="44">
        <f t="shared" si="1005"/>
        <v>8</v>
      </c>
      <c r="M401" s="44">
        <f t="shared" si="1006"/>
        <v>0</v>
      </c>
      <c r="N401" s="45">
        <f t="shared" ref="N401" si="1032">N400</f>
        <v>0.2</v>
      </c>
      <c r="O401" s="49">
        <f>O395+30</f>
        <v>30</v>
      </c>
      <c r="P401" s="136">
        <v>0</v>
      </c>
      <c r="Q401" s="44">
        <f t="shared" ref="Q401:R401" si="1033">Q400</f>
        <v>150</v>
      </c>
      <c r="R401" s="50">
        <f t="shared" si="1033"/>
        <v>210</v>
      </c>
    </row>
    <row r="402" spans="1:18" x14ac:dyDescent="0.25">
      <c r="A402" s="41">
        <f t="shared" ref="A402:B402" si="1034">A401+1</f>
        <v>1250</v>
      </c>
      <c r="B402" s="42">
        <f t="shared" si="1034"/>
        <v>392</v>
      </c>
      <c r="C402" s="41" t="s">
        <v>3193</v>
      </c>
      <c r="D402" s="43">
        <f t="shared" si="878"/>
        <v>39.9</v>
      </c>
      <c r="E402" s="61">
        <f t="shared" si="1001"/>
        <v>4.9735000000000005</v>
      </c>
      <c r="F402" s="61">
        <f t="shared" si="1002"/>
        <v>42</v>
      </c>
      <c r="G402" s="64">
        <f t="shared" si="1003"/>
        <v>0.58988764044943809</v>
      </c>
      <c r="H402" s="44">
        <f t="shared" si="903"/>
        <v>-26.914126219991235</v>
      </c>
      <c r="I402" s="42" t="str">
        <f t="shared" ref="I402:K402" si="1035">I401</f>
        <v>Half</v>
      </c>
      <c r="J402" s="50">
        <f t="shared" si="1035"/>
        <v>6</v>
      </c>
      <c r="K402" s="49">
        <f t="shared" si="1035"/>
        <v>160</v>
      </c>
      <c r="L402" s="44">
        <f t="shared" si="1005"/>
        <v>8</v>
      </c>
      <c r="M402" s="44">
        <f t="shared" si="1006"/>
        <v>0</v>
      </c>
      <c r="N402" s="45">
        <f t="shared" ref="N402" si="1036">N401</f>
        <v>0.2</v>
      </c>
      <c r="O402" s="49">
        <f t="shared" ref="O402:O418" si="1037">O396+30</f>
        <v>30</v>
      </c>
      <c r="P402" s="53">
        <f>P401+15</f>
        <v>15</v>
      </c>
      <c r="Q402" s="44">
        <f t="shared" ref="Q402:R402" si="1038">Q401</f>
        <v>150</v>
      </c>
      <c r="R402" s="50">
        <f t="shared" si="1038"/>
        <v>210</v>
      </c>
    </row>
    <row r="403" spans="1:18" x14ac:dyDescent="0.25">
      <c r="A403" s="41">
        <f t="shared" ref="A403:B403" si="1039">A402+1</f>
        <v>1251</v>
      </c>
      <c r="B403" s="42">
        <f t="shared" si="1039"/>
        <v>393</v>
      </c>
      <c r="C403" s="41" t="s">
        <v>3194</v>
      </c>
      <c r="D403" s="43">
        <f t="shared" si="878"/>
        <v>39.9</v>
      </c>
      <c r="E403" s="61">
        <f t="shared" si="1001"/>
        <v>4.9735000000000005</v>
      </c>
      <c r="F403" s="61">
        <f t="shared" si="1002"/>
        <v>42</v>
      </c>
      <c r="G403" s="64">
        <f t="shared" si="1003"/>
        <v>0.58988764044943809</v>
      </c>
      <c r="H403" s="44">
        <f t="shared" si="903"/>
        <v>-26.914126219991235</v>
      </c>
      <c r="I403" s="42" t="s">
        <v>12</v>
      </c>
      <c r="J403" s="50">
        <f t="shared" ref="J403:K403" si="1040">J402</f>
        <v>6</v>
      </c>
      <c r="K403" s="49">
        <f t="shared" si="1040"/>
        <v>160</v>
      </c>
      <c r="L403" s="44">
        <f t="shared" si="1005"/>
        <v>8</v>
      </c>
      <c r="M403" s="44">
        <f t="shared" si="1006"/>
        <v>0</v>
      </c>
      <c r="N403" s="45">
        <f t="shared" ref="N403" si="1041">N402</f>
        <v>0.2</v>
      </c>
      <c r="O403" s="49">
        <f t="shared" si="1037"/>
        <v>30</v>
      </c>
      <c r="P403" s="53">
        <f t="shared" ref="P403:P406" si="1042">P402+15</f>
        <v>30</v>
      </c>
      <c r="Q403" s="44">
        <f t="shared" ref="Q403:R403" si="1043">Q402</f>
        <v>150</v>
      </c>
      <c r="R403" s="50">
        <f t="shared" si="1043"/>
        <v>210</v>
      </c>
    </row>
    <row r="404" spans="1:18" x14ac:dyDescent="0.25">
      <c r="A404" s="41">
        <f t="shared" ref="A404:B404" si="1044">A403+1</f>
        <v>1252</v>
      </c>
      <c r="B404" s="42">
        <f t="shared" si="1044"/>
        <v>394</v>
      </c>
      <c r="C404" s="41" t="s">
        <v>3195</v>
      </c>
      <c r="D404" s="43">
        <f t="shared" si="878"/>
        <v>39.9</v>
      </c>
      <c r="E404" s="61">
        <f t="shared" si="1001"/>
        <v>4.9735000000000005</v>
      </c>
      <c r="F404" s="61">
        <f t="shared" si="1002"/>
        <v>42</v>
      </c>
      <c r="G404" s="64">
        <f t="shared" si="1003"/>
        <v>0.58988764044943809</v>
      </c>
      <c r="H404" s="44">
        <f t="shared" si="903"/>
        <v>-26.914126219991235</v>
      </c>
      <c r="I404" s="42" t="str">
        <f>I403</f>
        <v>Half</v>
      </c>
      <c r="J404" s="50">
        <f t="shared" ref="J404:K404" si="1045">J403</f>
        <v>6</v>
      </c>
      <c r="K404" s="49">
        <f t="shared" si="1045"/>
        <v>160</v>
      </c>
      <c r="L404" s="44">
        <f t="shared" si="1005"/>
        <v>8</v>
      </c>
      <c r="M404" s="44">
        <f t="shared" si="1006"/>
        <v>0</v>
      </c>
      <c r="N404" s="45">
        <f t="shared" ref="N404" si="1046">N403</f>
        <v>0.2</v>
      </c>
      <c r="O404" s="49">
        <f t="shared" si="1037"/>
        <v>30</v>
      </c>
      <c r="P404" s="53">
        <f t="shared" si="1042"/>
        <v>45</v>
      </c>
      <c r="Q404" s="44">
        <f t="shared" ref="Q404:R404" si="1047">Q403</f>
        <v>150</v>
      </c>
      <c r="R404" s="50">
        <f t="shared" si="1047"/>
        <v>210</v>
      </c>
    </row>
    <row r="405" spans="1:18" x14ac:dyDescent="0.25">
      <c r="A405" s="41">
        <f t="shared" ref="A405:B405" si="1048">A404+1</f>
        <v>1253</v>
      </c>
      <c r="B405" s="42">
        <f t="shared" si="1048"/>
        <v>395</v>
      </c>
      <c r="C405" s="41" t="s">
        <v>3196</v>
      </c>
      <c r="D405" s="43">
        <f t="shared" si="878"/>
        <v>39.9</v>
      </c>
      <c r="E405" s="61">
        <f t="shared" si="1001"/>
        <v>4.9735000000000005</v>
      </c>
      <c r="F405" s="61">
        <f t="shared" si="1002"/>
        <v>42</v>
      </c>
      <c r="G405" s="64">
        <f t="shared" si="1003"/>
        <v>0.58988764044943809</v>
      </c>
      <c r="H405" s="44">
        <f t="shared" si="903"/>
        <v>-26.914126219991235</v>
      </c>
      <c r="I405" s="42" t="str">
        <f t="shared" ref="I405:K405" si="1049">I404</f>
        <v>Half</v>
      </c>
      <c r="J405" s="50">
        <f t="shared" si="1049"/>
        <v>6</v>
      </c>
      <c r="K405" s="49">
        <f t="shared" si="1049"/>
        <v>160</v>
      </c>
      <c r="L405" s="44">
        <f t="shared" si="1005"/>
        <v>8</v>
      </c>
      <c r="M405" s="44">
        <f t="shared" si="1006"/>
        <v>0</v>
      </c>
      <c r="N405" s="45">
        <f t="shared" ref="N405" si="1050">N404</f>
        <v>0.2</v>
      </c>
      <c r="O405" s="49">
        <f t="shared" si="1037"/>
        <v>30</v>
      </c>
      <c r="P405" s="53">
        <f t="shared" si="1042"/>
        <v>60</v>
      </c>
      <c r="Q405" s="44">
        <f t="shared" ref="Q405:R405" si="1051">Q404</f>
        <v>150</v>
      </c>
      <c r="R405" s="50">
        <f t="shared" si="1051"/>
        <v>210</v>
      </c>
    </row>
    <row r="406" spans="1:18" x14ac:dyDescent="0.25">
      <c r="A406" s="41">
        <f t="shared" ref="A406:B406" si="1052">A405+1</f>
        <v>1254</v>
      </c>
      <c r="B406" s="42">
        <f t="shared" si="1052"/>
        <v>396</v>
      </c>
      <c r="C406" s="41" t="s">
        <v>3197</v>
      </c>
      <c r="D406" s="43">
        <f t="shared" si="878"/>
        <v>39.9</v>
      </c>
      <c r="E406" s="61">
        <f t="shared" si="1001"/>
        <v>4.9735000000000005</v>
      </c>
      <c r="F406" s="61">
        <f t="shared" si="1002"/>
        <v>42</v>
      </c>
      <c r="G406" s="64">
        <f t="shared" si="1003"/>
        <v>0.58988764044943809</v>
      </c>
      <c r="H406" s="44">
        <f t="shared" si="903"/>
        <v>-26.914126219991235</v>
      </c>
      <c r="I406" s="42" t="str">
        <f t="shared" ref="I406:K406" si="1053">I405</f>
        <v>Half</v>
      </c>
      <c r="J406" s="50">
        <f t="shared" si="1053"/>
        <v>6</v>
      </c>
      <c r="K406" s="49">
        <f t="shared" si="1053"/>
        <v>160</v>
      </c>
      <c r="L406" s="44">
        <f t="shared" si="1005"/>
        <v>8</v>
      </c>
      <c r="M406" s="44">
        <f t="shared" si="1006"/>
        <v>0</v>
      </c>
      <c r="N406" s="45">
        <f t="shared" ref="N406" si="1054">N405</f>
        <v>0.2</v>
      </c>
      <c r="O406" s="49">
        <f t="shared" si="1037"/>
        <v>30</v>
      </c>
      <c r="P406" s="53">
        <f t="shared" si="1042"/>
        <v>75</v>
      </c>
      <c r="Q406" s="44">
        <f t="shared" ref="Q406:R406" si="1055">Q405</f>
        <v>150</v>
      </c>
      <c r="R406" s="50">
        <f t="shared" si="1055"/>
        <v>210</v>
      </c>
    </row>
    <row r="407" spans="1:18" x14ac:dyDescent="0.25">
      <c r="A407" s="41">
        <f t="shared" ref="A407:B407" si="1056">A406+1</f>
        <v>1255</v>
      </c>
      <c r="B407" s="42">
        <f t="shared" si="1056"/>
        <v>397</v>
      </c>
      <c r="C407" s="41" t="s">
        <v>3198</v>
      </c>
      <c r="D407" s="43">
        <f t="shared" si="878"/>
        <v>39.9</v>
      </c>
      <c r="E407" s="61">
        <f t="shared" si="1001"/>
        <v>4.9735000000000005</v>
      </c>
      <c r="F407" s="61">
        <f t="shared" si="1002"/>
        <v>42</v>
      </c>
      <c r="G407" s="64">
        <f t="shared" si="1003"/>
        <v>0.58988764044943809</v>
      </c>
      <c r="H407" s="44">
        <f t="shared" si="903"/>
        <v>-26.914126219991235</v>
      </c>
      <c r="I407" s="42" t="str">
        <f t="shared" ref="I407:K407" si="1057">I406</f>
        <v>Half</v>
      </c>
      <c r="J407" s="50">
        <f t="shared" si="1057"/>
        <v>6</v>
      </c>
      <c r="K407" s="49">
        <f t="shared" si="1057"/>
        <v>160</v>
      </c>
      <c r="L407" s="44">
        <f t="shared" si="1005"/>
        <v>8</v>
      </c>
      <c r="M407" s="44">
        <f t="shared" si="1006"/>
        <v>0</v>
      </c>
      <c r="N407" s="45">
        <f t="shared" ref="N407" si="1058">N406</f>
        <v>0.2</v>
      </c>
      <c r="O407" s="49">
        <f t="shared" si="1037"/>
        <v>60</v>
      </c>
      <c r="P407" s="136">
        <v>0</v>
      </c>
      <c r="Q407" s="44">
        <f t="shared" ref="Q407:R407" si="1059">Q406</f>
        <v>150</v>
      </c>
      <c r="R407" s="50">
        <f t="shared" si="1059"/>
        <v>210</v>
      </c>
    </row>
    <row r="408" spans="1:18" x14ac:dyDescent="0.25">
      <c r="A408" s="41">
        <f t="shared" ref="A408:B408" si="1060">A407+1</f>
        <v>1256</v>
      </c>
      <c r="B408" s="42">
        <f t="shared" si="1060"/>
        <v>398</v>
      </c>
      <c r="C408" s="41" t="s">
        <v>3199</v>
      </c>
      <c r="D408" s="43">
        <f t="shared" si="878"/>
        <v>39.9</v>
      </c>
      <c r="E408" s="61">
        <f t="shared" si="1001"/>
        <v>4.9735000000000005</v>
      </c>
      <c r="F408" s="61">
        <f t="shared" si="1002"/>
        <v>42</v>
      </c>
      <c r="G408" s="64">
        <f t="shared" si="1003"/>
        <v>0.58988764044943809</v>
      </c>
      <c r="H408" s="44">
        <f t="shared" si="903"/>
        <v>-26.914126219991235</v>
      </c>
      <c r="I408" s="42" t="str">
        <f t="shared" ref="I408:K408" si="1061">I407</f>
        <v>Half</v>
      </c>
      <c r="J408" s="50">
        <f t="shared" si="1061"/>
        <v>6</v>
      </c>
      <c r="K408" s="49">
        <f t="shared" si="1061"/>
        <v>160</v>
      </c>
      <c r="L408" s="44">
        <f t="shared" si="1005"/>
        <v>8</v>
      </c>
      <c r="M408" s="44">
        <f t="shared" si="1006"/>
        <v>0</v>
      </c>
      <c r="N408" s="45">
        <f t="shared" ref="N408" si="1062">N407</f>
        <v>0.2</v>
      </c>
      <c r="O408" s="49">
        <f t="shared" si="1037"/>
        <v>60</v>
      </c>
      <c r="P408" s="53">
        <f>P407+15</f>
        <v>15</v>
      </c>
      <c r="Q408" s="44">
        <f t="shared" ref="Q408:R408" si="1063">Q407</f>
        <v>150</v>
      </c>
      <c r="R408" s="50">
        <f t="shared" si="1063"/>
        <v>210</v>
      </c>
    </row>
    <row r="409" spans="1:18" x14ac:dyDescent="0.25">
      <c r="A409" s="41">
        <f t="shared" ref="A409:B409" si="1064">A408+1</f>
        <v>1257</v>
      </c>
      <c r="B409" s="42">
        <f t="shared" si="1064"/>
        <v>399</v>
      </c>
      <c r="C409" s="41" t="s">
        <v>3200</v>
      </c>
      <c r="D409" s="43">
        <f t="shared" si="878"/>
        <v>39.9</v>
      </c>
      <c r="E409" s="61">
        <f t="shared" si="1001"/>
        <v>4.9735000000000005</v>
      </c>
      <c r="F409" s="61">
        <f t="shared" si="1002"/>
        <v>42</v>
      </c>
      <c r="G409" s="64">
        <f t="shared" si="1003"/>
        <v>0.58988764044943809</v>
      </c>
      <c r="H409" s="44">
        <f t="shared" si="903"/>
        <v>-26.914126219991235</v>
      </c>
      <c r="I409" s="42" t="str">
        <f t="shared" ref="I409:K409" si="1065">I408</f>
        <v>Half</v>
      </c>
      <c r="J409" s="50">
        <f t="shared" si="1065"/>
        <v>6</v>
      </c>
      <c r="K409" s="49">
        <f t="shared" si="1065"/>
        <v>160</v>
      </c>
      <c r="L409" s="44">
        <f t="shared" si="1005"/>
        <v>8</v>
      </c>
      <c r="M409" s="44">
        <f t="shared" si="1006"/>
        <v>0</v>
      </c>
      <c r="N409" s="45">
        <f t="shared" ref="N409" si="1066">N408</f>
        <v>0.2</v>
      </c>
      <c r="O409" s="49">
        <f t="shared" si="1037"/>
        <v>60</v>
      </c>
      <c r="P409" s="53">
        <f t="shared" ref="P409:P412" si="1067">P408+15</f>
        <v>30</v>
      </c>
      <c r="Q409" s="44">
        <f t="shared" ref="Q409:R409" si="1068">Q408</f>
        <v>150</v>
      </c>
      <c r="R409" s="50">
        <f t="shared" si="1068"/>
        <v>210</v>
      </c>
    </row>
    <row r="410" spans="1:18" x14ac:dyDescent="0.25">
      <c r="A410" s="41">
        <f t="shared" ref="A410:B410" si="1069">A409+1</f>
        <v>1258</v>
      </c>
      <c r="B410" s="42">
        <f t="shared" si="1069"/>
        <v>400</v>
      </c>
      <c r="C410" s="41" t="s">
        <v>3201</v>
      </c>
      <c r="D410" s="43">
        <f t="shared" si="878"/>
        <v>39.9</v>
      </c>
      <c r="E410" s="61">
        <f t="shared" si="1001"/>
        <v>4.9735000000000005</v>
      </c>
      <c r="F410" s="61">
        <f t="shared" si="1002"/>
        <v>42</v>
      </c>
      <c r="G410" s="64">
        <f t="shared" si="1003"/>
        <v>0.58988764044943809</v>
      </c>
      <c r="H410" s="44">
        <f t="shared" si="903"/>
        <v>-26.914126219991235</v>
      </c>
      <c r="I410" s="42" t="str">
        <f t="shared" ref="I410:K410" si="1070">I409</f>
        <v>Half</v>
      </c>
      <c r="J410" s="50">
        <f t="shared" si="1070"/>
        <v>6</v>
      </c>
      <c r="K410" s="49">
        <f t="shared" si="1070"/>
        <v>160</v>
      </c>
      <c r="L410" s="44">
        <f t="shared" si="1005"/>
        <v>8</v>
      </c>
      <c r="M410" s="44">
        <f t="shared" si="1006"/>
        <v>0</v>
      </c>
      <c r="N410" s="45">
        <f t="shared" ref="N410" si="1071">N409</f>
        <v>0.2</v>
      </c>
      <c r="O410" s="49">
        <f t="shared" si="1037"/>
        <v>60</v>
      </c>
      <c r="P410" s="53">
        <f t="shared" si="1067"/>
        <v>45</v>
      </c>
      <c r="Q410" s="44">
        <f t="shared" ref="Q410:R410" si="1072">Q409</f>
        <v>150</v>
      </c>
      <c r="R410" s="50">
        <f t="shared" si="1072"/>
        <v>210</v>
      </c>
    </row>
    <row r="411" spans="1:18" x14ac:dyDescent="0.25">
      <c r="A411" s="41">
        <f t="shared" ref="A411:B411" si="1073">A410+1</f>
        <v>1259</v>
      </c>
      <c r="B411" s="42">
        <f t="shared" si="1073"/>
        <v>401</v>
      </c>
      <c r="C411" s="41" t="s">
        <v>3202</v>
      </c>
      <c r="D411" s="43">
        <f t="shared" si="878"/>
        <v>39.9</v>
      </c>
      <c r="E411" s="61">
        <f t="shared" si="1001"/>
        <v>4.9735000000000005</v>
      </c>
      <c r="F411" s="61">
        <f t="shared" si="1002"/>
        <v>42</v>
      </c>
      <c r="G411" s="64">
        <f t="shared" si="1003"/>
        <v>0.58988764044943809</v>
      </c>
      <c r="H411" s="44">
        <f t="shared" si="903"/>
        <v>-26.914126219991235</v>
      </c>
      <c r="I411" s="42" t="str">
        <f t="shared" ref="I411:K411" si="1074">I410</f>
        <v>Half</v>
      </c>
      <c r="J411" s="50">
        <f t="shared" si="1074"/>
        <v>6</v>
      </c>
      <c r="K411" s="49">
        <f t="shared" si="1074"/>
        <v>160</v>
      </c>
      <c r="L411" s="44">
        <f t="shared" si="1005"/>
        <v>8</v>
      </c>
      <c r="M411" s="44">
        <f t="shared" si="1006"/>
        <v>0</v>
      </c>
      <c r="N411" s="45">
        <f t="shared" ref="N411" si="1075">N410</f>
        <v>0.2</v>
      </c>
      <c r="O411" s="49">
        <f t="shared" si="1037"/>
        <v>60</v>
      </c>
      <c r="P411" s="53">
        <f t="shared" si="1067"/>
        <v>60</v>
      </c>
      <c r="Q411" s="44">
        <f t="shared" ref="Q411:R411" si="1076">Q410</f>
        <v>150</v>
      </c>
      <c r="R411" s="50">
        <f t="shared" si="1076"/>
        <v>210</v>
      </c>
    </row>
    <row r="412" spans="1:18" x14ac:dyDescent="0.25">
      <c r="A412" s="41">
        <f t="shared" ref="A412:B412" si="1077">A411+1</f>
        <v>1260</v>
      </c>
      <c r="B412" s="42">
        <f t="shared" si="1077"/>
        <v>402</v>
      </c>
      <c r="C412" s="41" t="s">
        <v>3203</v>
      </c>
      <c r="D412" s="43">
        <f t="shared" si="878"/>
        <v>39.9</v>
      </c>
      <c r="E412" s="61">
        <f t="shared" si="1001"/>
        <v>4.9735000000000005</v>
      </c>
      <c r="F412" s="61">
        <f t="shared" si="1002"/>
        <v>42</v>
      </c>
      <c r="G412" s="64">
        <f t="shared" si="1003"/>
        <v>0.58988764044943809</v>
      </c>
      <c r="H412" s="44">
        <f t="shared" si="903"/>
        <v>-26.914126219991235</v>
      </c>
      <c r="I412" s="42" t="str">
        <f t="shared" ref="I412:K412" si="1078">I411</f>
        <v>Half</v>
      </c>
      <c r="J412" s="50">
        <f t="shared" si="1078"/>
        <v>6</v>
      </c>
      <c r="K412" s="49">
        <f t="shared" si="1078"/>
        <v>160</v>
      </c>
      <c r="L412" s="44">
        <f t="shared" si="1005"/>
        <v>8</v>
      </c>
      <c r="M412" s="44">
        <f t="shared" si="1006"/>
        <v>0</v>
      </c>
      <c r="N412" s="45">
        <f t="shared" ref="N412" si="1079">N411</f>
        <v>0.2</v>
      </c>
      <c r="O412" s="49">
        <f t="shared" si="1037"/>
        <v>60</v>
      </c>
      <c r="P412" s="135">
        <f t="shared" si="1067"/>
        <v>75</v>
      </c>
      <c r="Q412" s="44">
        <f t="shared" ref="Q412:R412" si="1080">Q411</f>
        <v>150</v>
      </c>
      <c r="R412" s="50">
        <f t="shared" si="1080"/>
        <v>210</v>
      </c>
    </row>
    <row r="413" spans="1:18" x14ac:dyDescent="0.25">
      <c r="A413" s="41">
        <f t="shared" ref="A413:B413" si="1081">A412+1</f>
        <v>1261</v>
      </c>
      <c r="B413" s="42">
        <f t="shared" si="1081"/>
        <v>403</v>
      </c>
      <c r="C413" s="41" t="s">
        <v>3204</v>
      </c>
      <c r="D413" s="43">
        <f t="shared" si="878"/>
        <v>39.9</v>
      </c>
      <c r="E413" s="61">
        <f t="shared" si="1001"/>
        <v>4.9735000000000005</v>
      </c>
      <c r="F413" s="61">
        <f t="shared" si="1002"/>
        <v>42</v>
      </c>
      <c r="G413" s="64">
        <f t="shared" si="1003"/>
        <v>0.58988764044943809</v>
      </c>
      <c r="H413" s="44">
        <f t="shared" si="903"/>
        <v>-26.914126219991235</v>
      </c>
      <c r="I413" s="42" t="str">
        <f t="shared" ref="I413:K413" si="1082">I412</f>
        <v>Half</v>
      </c>
      <c r="J413" s="50">
        <f t="shared" si="1082"/>
        <v>6</v>
      </c>
      <c r="K413" s="49">
        <f t="shared" si="1082"/>
        <v>160</v>
      </c>
      <c r="L413" s="44">
        <f t="shared" si="1005"/>
        <v>8</v>
      </c>
      <c r="M413" s="44">
        <f t="shared" si="1006"/>
        <v>0</v>
      </c>
      <c r="N413" s="45">
        <f t="shared" ref="N413" si="1083">N412</f>
        <v>0.2</v>
      </c>
      <c r="O413" s="49">
        <f t="shared" si="1037"/>
        <v>90</v>
      </c>
      <c r="P413" s="136">
        <v>0</v>
      </c>
      <c r="Q413" s="44">
        <f t="shared" ref="Q413:R413" si="1084">Q412</f>
        <v>150</v>
      </c>
      <c r="R413" s="50">
        <f t="shared" si="1084"/>
        <v>210</v>
      </c>
    </row>
    <row r="414" spans="1:18" x14ac:dyDescent="0.25">
      <c r="A414" s="41">
        <f t="shared" ref="A414:B414" si="1085">A413+1</f>
        <v>1262</v>
      </c>
      <c r="B414" s="42">
        <f t="shared" si="1085"/>
        <v>404</v>
      </c>
      <c r="C414" s="41" t="s">
        <v>3205</v>
      </c>
      <c r="D414" s="43">
        <f t="shared" si="878"/>
        <v>39.9</v>
      </c>
      <c r="E414" s="61">
        <f t="shared" si="1001"/>
        <v>4.9735000000000005</v>
      </c>
      <c r="F414" s="61">
        <f t="shared" si="1002"/>
        <v>42</v>
      </c>
      <c r="G414" s="64">
        <f t="shared" si="1003"/>
        <v>0.58988764044943809</v>
      </c>
      <c r="H414" s="44">
        <f t="shared" si="903"/>
        <v>-26.914126219991235</v>
      </c>
      <c r="I414" s="42" t="str">
        <f t="shared" ref="I414:K414" si="1086">I413</f>
        <v>Half</v>
      </c>
      <c r="J414" s="50">
        <f t="shared" si="1086"/>
        <v>6</v>
      </c>
      <c r="K414" s="49">
        <f t="shared" si="1086"/>
        <v>160</v>
      </c>
      <c r="L414" s="44">
        <f t="shared" si="1005"/>
        <v>8</v>
      </c>
      <c r="M414" s="44">
        <f t="shared" si="1006"/>
        <v>0</v>
      </c>
      <c r="N414" s="45">
        <f t="shared" ref="N414" si="1087">N413</f>
        <v>0.2</v>
      </c>
      <c r="O414" s="49">
        <f t="shared" si="1037"/>
        <v>90</v>
      </c>
      <c r="P414" s="53">
        <f>P413+15</f>
        <v>15</v>
      </c>
      <c r="Q414" s="44">
        <f t="shared" ref="Q414:R414" si="1088">Q413</f>
        <v>150</v>
      </c>
      <c r="R414" s="50">
        <f t="shared" si="1088"/>
        <v>210</v>
      </c>
    </row>
    <row r="415" spans="1:18" x14ac:dyDescent="0.25">
      <c r="A415" s="41">
        <f t="shared" ref="A415:B415" si="1089">A414+1</f>
        <v>1263</v>
      </c>
      <c r="B415" s="42">
        <f t="shared" si="1089"/>
        <v>405</v>
      </c>
      <c r="C415" s="41" t="s">
        <v>3206</v>
      </c>
      <c r="D415" s="43">
        <f t="shared" si="878"/>
        <v>39.9</v>
      </c>
      <c r="E415" s="61">
        <f t="shared" si="1001"/>
        <v>4.9735000000000005</v>
      </c>
      <c r="F415" s="61">
        <f t="shared" si="1002"/>
        <v>42</v>
      </c>
      <c r="G415" s="64">
        <f t="shared" si="1003"/>
        <v>0.58988764044943809</v>
      </c>
      <c r="H415" s="44">
        <f t="shared" si="903"/>
        <v>-26.914126219991235</v>
      </c>
      <c r="I415" s="42" t="str">
        <f t="shared" ref="I415:K415" si="1090">I414</f>
        <v>Half</v>
      </c>
      <c r="J415" s="50">
        <f t="shared" si="1090"/>
        <v>6</v>
      </c>
      <c r="K415" s="49">
        <f t="shared" si="1090"/>
        <v>160</v>
      </c>
      <c r="L415" s="44">
        <f t="shared" si="1005"/>
        <v>8</v>
      </c>
      <c r="M415" s="44">
        <f t="shared" si="1006"/>
        <v>0</v>
      </c>
      <c r="N415" s="45">
        <f t="shared" ref="N415" si="1091">N414</f>
        <v>0.2</v>
      </c>
      <c r="O415" s="49">
        <f>O409+30</f>
        <v>90</v>
      </c>
      <c r="P415" s="53">
        <f t="shared" ref="P415:P418" si="1092">P414+15</f>
        <v>30</v>
      </c>
      <c r="Q415" s="44">
        <f t="shared" ref="Q415:R415" si="1093">Q414</f>
        <v>150</v>
      </c>
      <c r="R415" s="50">
        <f t="shared" si="1093"/>
        <v>210</v>
      </c>
    </row>
    <row r="416" spans="1:18" x14ac:dyDescent="0.25">
      <c r="A416" s="41">
        <f t="shared" ref="A416:B416" si="1094">A415+1</f>
        <v>1264</v>
      </c>
      <c r="B416" s="42">
        <f t="shared" si="1094"/>
        <v>406</v>
      </c>
      <c r="C416" s="41" t="s">
        <v>3207</v>
      </c>
      <c r="D416" s="43">
        <f t="shared" si="878"/>
        <v>39.9</v>
      </c>
      <c r="E416" s="61">
        <f t="shared" si="1001"/>
        <v>4.9735000000000005</v>
      </c>
      <c r="F416" s="61">
        <f t="shared" si="1002"/>
        <v>42</v>
      </c>
      <c r="G416" s="64">
        <f t="shared" si="1003"/>
        <v>0.58988764044943809</v>
      </c>
      <c r="H416" s="44">
        <f t="shared" si="903"/>
        <v>-26.914126219991235</v>
      </c>
      <c r="I416" s="42" t="str">
        <f>I415</f>
        <v>Half</v>
      </c>
      <c r="J416" s="50">
        <f t="shared" ref="J416:K416" si="1095">J415</f>
        <v>6</v>
      </c>
      <c r="K416" s="49">
        <f t="shared" si="1095"/>
        <v>160</v>
      </c>
      <c r="L416" s="44">
        <f t="shared" si="1005"/>
        <v>8</v>
      </c>
      <c r="M416" s="44">
        <f t="shared" si="1006"/>
        <v>0</v>
      </c>
      <c r="N416" s="45">
        <f t="shared" ref="N416" si="1096">N415</f>
        <v>0.2</v>
      </c>
      <c r="O416" s="49">
        <f t="shared" si="1037"/>
        <v>90</v>
      </c>
      <c r="P416" s="53">
        <f t="shared" si="1092"/>
        <v>45</v>
      </c>
      <c r="Q416" s="44">
        <f t="shared" ref="Q416:R416" si="1097">Q415</f>
        <v>150</v>
      </c>
      <c r="R416" s="50">
        <f t="shared" si="1097"/>
        <v>210</v>
      </c>
    </row>
    <row r="417" spans="1:18" x14ac:dyDescent="0.25">
      <c r="A417" s="41">
        <f t="shared" ref="A417:B417" si="1098">A416+1</f>
        <v>1265</v>
      </c>
      <c r="B417" s="42">
        <f t="shared" si="1098"/>
        <v>407</v>
      </c>
      <c r="C417" s="41" t="s">
        <v>3208</v>
      </c>
      <c r="D417" s="43">
        <f t="shared" si="878"/>
        <v>39.9</v>
      </c>
      <c r="E417" s="61">
        <f t="shared" si="1001"/>
        <v>4.9735000000000005</v>
      </c>
      <c r="F417" s="61">
        <f t="shared" si="1002"/>
        <v>42</v>
      </c>
      <c r="G417" s="64">
        <f t="shared" si="1003"/>
        <v>0.58988764044943809</v>
      </c>
      <c r="H417" s="44">
        <f t="shared" si="903"/>
        <v>-26.914126219991235</v>
      </c>
      <c r="I417" s="42" t="str">
        <f>I416</f>
        <v>Half</v>
      </c>
      <c r="J417" s="50">
        <f t="shared" ref="J417:K417" si="1099">J416</f>
        <v>6</v>
      </c>
      <c r="K417" s="49">
        <f t="shared" si="1099"/>
        <v>160</v>
      </c>
      <c r="L417" s="44">
        <f t="shared" si="1005"/>
        <v>8</v>
      </c>
      <c r="M417" s="44">
        <f t="shared" si="1006"/>
        <v>0</v>
      </c>
      <c r="N417" s="45">
        <f t="shared" ref="N417" si="1100">N416</f>
        <v>0.2</v>
      </c>
      <c r="O417" s="49">
        <f t="shared" si="1037"/>
        <v>90</v>
      </c>
      <c r="P417" s="53">
        <f t="shared" si="1092"/>
        <v>60</v>
      </c>
      <c r="Q417" s="44">
        <f t="shared" ref="Q417:R417" si="1101">Q416</f>
        <v>150</v>
      </c>
      <c r="R417" s="50">
        <f t="shared" si="1101"/>
        <v>210</v>
      </c>
    </row>
    <row r="418" spans="1:18" x14ac:dyDescent="0.25">
      <c r="A418" s="41">
        <f t="shared" ref="A418:B418" si="1102">A417+1</f>
        <v>1266</v>
      </c>
      <c r="B418" s="42">
        <f t="shared" si="1102"/>
        <v>408</v>
      </c>
      <c r="C418" s="41" t="s">
        <v>3209</v>
      </c>
      <c r="D418" s="43">
        <f t="shared" si="878"/>
        <v>39.9</v>
      </c>
      <c r="E418" s="61">
        <f t="shared" si="1001"/>
        <v>4.9735000000000005</v>
      </c>
      <c r="F418" s="61">
        <f t="shared" si="1002"/>
        <v>42</v>
      </c>
      <c r="G418" s="64">
        <f t="shared" si="1003"/>
        <v>0.58988764044943809</v>
      </c>
      <c r="H418" s="44">
        <f t="shared" si="903"/>
        <v>-26.914126219991235</v>
      </c>
      <c r="I418" s="42" t="str">
        <f>I417</f>
        <v>Half</v>
      </c>
      <c r="J418" s="50">
        <f t="shared" ref="J418:K418" si="1103">J417</f>
        <v>6</v>
      </c>
      <c r="K418" s="49">
        <f t="shared" si="1103"/>
        <v>160</v>
      </c>
      <c r="L418" s="44">
        <f t="shared" si="1005"/>
        <v>8</v>
      </c>
      <c r="M418" s="44">
        <f t="shared" si="1006"/>
        <v>0</v>
      </c>
      <c r="N418" s="45">
        <f t="shared" ref="N418" si="1104">N417</f>
        <v>0.2</v>
      </c>
      <c r="O418" s="49">
        <f t="shared" si="1037"/>
        <v>90</v>
      </c>
      <c r="P418" s="53">
        <f t="shared" si="1092"/>
        <v>75</v>
      </c>
      <c r="Q418" s="44">
        <f t="shared" ref="Q418:R418" si="1105">Q417</f>
        <v>150</v>
      </c>
      <c r="R418" s="50">
        <f t="shared" si="1105"/>
        <v>210</v>
      </c>
    </row>
    <row r="419" spans="1:18" x14ac:dyDescent="0.25">
      <c r="A419" s="41">
        <f t="shared" ref="A419:B419" si="1106">A418+1</f>
        <v>1267</v>
      </c>
      <c r="B419" s="42">
        <f t="shared" si="1106"/>
        <v>409</v>
      </c>
      <c r="C419" s="41" t="s">
        <v>3210</v>
      </c>
      <c r="D419" s="43">
        <f t="shared" si="878"/>
        <v>39.9</v>
      </c>
      <c r="E419" s="61">
        <f t="shared" si="1001"/>
        <v>4.9735000000000005</v>
      </c>
      <c r="F419" s="61">
        <f t="shared" si="1002"/>
        <v>42</v>
      </c>
      <c r="G419" s="64">
        <f t="shared" si="1003"/>
        <v>0.58988764044943809</v>
      </c>
      <c r="H419" s="44">
        <f t="shared" si="903"/>
        <v>-26.914126219991235</v>
      </c>
      <c r="I419" s="42" t="str">
        <f t="shared" ref="I419:K419" si="1107">I418</f>
        <v>Half</v>
      </c>
      <c r="J419" s="50">
        <f t="shared" si="1107"/>
        <v>6</v>
      </c>
      <c r="K419" s="49">
        <f t="shared" si="1107"/>
        <v>160</v>
      </c>
      <c r="L419" s="44">
        <f t="shared" si="1005"/>
        <v>8</v>
      </c>
      <c r="M419" s="44">
        <f t="shared" ref="M419:M442" si="1108">yaw_max</f>
        <v>8</v>
      </c>
      <c r="N419" s="45">
        <f t="shared" ref="N419" si="1109">N418</f>
        <v>0.2</v>
      </c>
      <c r="O419" s="49">
        <v>0</v>
      </c>
      <c r="P419" s="136">
        <v>0</v>
      </c>
      <c r="Q419" s="44">
        <f t="shared" ref="Q419:R419" si="1110">Q418</f>
        <v>150</v>
      </c>
      <c r="R419" s="50">
        <f t="shared" si="1110"/>
        <v>210</v>
      </c>
    </row>
    <row r="420" spans="1:18" x14ac:dyDescent="0.25">
      <c r="A420" s="41">
        <f t="shared" ref="A420:B420" si="1111">A419+1</f>
        <v>1268</v>
      </c>
      <c r="B420" s="42">
        <f t="shared" si="1111"/>
        <v>410</v>
      </c>
      <c r="C420" s="41" t="s">
        <v>3211</v>
      </c>
      <c r="D420" s="43">
        <f t="shared" si="878"/>
        <v>39.9</v>
      </c>
      <c r="E420" s="61">
        <f t="shared" si="1001"/>
        <v>4.9735000000000005</v>
      </c>
      <c r="F420" s="61">
        <f t="shared" si="1002"/>
        <v>42</v>
      </c>
      <c r="G420" s="64">
        <f t="shared" si="1003"/>
        <v>0.58988764044943809</v>
      </c>
      <c r="H420" s="44">
        <f t="shared" si="903"/>
        <v>-26.914126219991235</v>
      </c>
      <c r="I420" s="42" t="str">
        <f t="shared" ref="I420:K420" si="1112">I419</f>
        <v>Half</v>
      </c>
      <c r="J420" s="50">
        <f t="shared" si="1112"/>
        <v>6</v>
      </c>
      <c r="K420" s="49">
        <f t="shared" si="1112"/>
        <v>160</v>
      </c>
      <c r="L420" s="44">
        <f t="shared" si="1005"/>
        <v>8</v>
      </c>
      <c r="M420" s="44">
        <f t="shared" si="1108"/>
        <v>8</v>
      </c>
      <c r="N420" s="45">
        <f t="shared" ref="N420" si="1113">N419</f>
        <v>0.2</v>
      </c>
      <c r="O420" s="49">
        <v>0</v>
      </c>
      <c r="P420" s="53">
        <f>P419+15</f>
        <v>15</v>
      </c>
      <c r="Q420" s="44">
        <f t="shared" ref="Q420:R420" si="1114">Q419</f>
        <v>150</v>
      </c>
      <c r="R420" s="50">
        <f t="shared" si="1114"/>
        <v>210</v>
      </c>
    </row>
    <row r="421" spans="1:18" x14ac:dyDescent="0.25">
      <c r="A421" s="41">
        <f t="shared" ref="A421:B421" si="1115">A420+1</f>
        <v>1269</v>
      </c>
      <c r="B421" s="42">
        <f t="shared" si="1115"/>
        <v>411</v>
      </c>
      <c r="C421" s="41" t="s">
        <v>3212</v>
      </c>
      <c r="D421" s="43">
        <f t="shared" si="878"/>
        <v>39.9</v>
      </c>
      <c r="E421" s="61">
        <f t="shared" si="1001"/>
        <v>4.9735000000000005</v>
      </c>
      <c r="F421" s="61">
        <f t="shared" si="1002"/>
        <v>42</v>
      </c>
      <c r="G421" s="64">
        <f t="shared" si="1003"/>
        <v>0.58988764044943809</v>
      </c>
      <c r="H421" s="44">
        <f t="shared" si="903"/>
        <v>-26.914126219991235</v>
      </c>
      <c r="I421" s="42" t="str">
        <f t="shared" ref="I421:K421" si="1116">I420</f>
        <v>Half</v>
      </c>
      <c r="J421" s="50">
        <f t="shared" si="1116"/>
        <v>6</v>
      </c>
      <c r="K421" s="49">
        <f t="shared" si="1116"/>
        <v>160</v>
      </c>
      <c r="L421" s="44">
        <f t="shared" si="1005"/>
        <v>8</v>
      </c>
      <c r="M421" s="44">
        <f t="shared" si="1108"/>
        <v>8</v>
      </c>
      <c r="N421" s="45">
        <f t="shared" ref="N421" si="1117">N420</f>
        <v>0.2</v>
      </c>
      <c r="O421" s="49">
        <v>0</v>
      </c>
      <c r="P421" s="53">
        <f t="shared" ref="P421:P424" si="1118">P420+15</f>
        <v>30</v>
      </c>
      <c r="Q421" s="44">
        <f t="shared" ref="Q421:R421" si="1119">Q420</f>
        <v>150</v>
      </c>
      <c r="R421" s="50">
        <f t="shared" si="1119"/>
        <v>210</v>
      </c>
    </row>
    <row r="422" spans="1:18" x14ac:dyDescent="0.25">
      <c r="A422" s="41">
        <f t="shared" ref="A422:B422" si="1120">A421+1</f>
        <v>1270</v>
      </c>
      <c r="B422" s="42">
        <f t="shared" si="1120"/>
        <v>412</v>
      </c>
      <c r="C422" s="41" t="s">
        <v>3213</v>
      </c>
      <c r="D422" s="43">
        <f t="shared" si="878"/>
        <v>39.9</v>
      </c>
      <c r="E422" s="61">
        <f t="shared" si="1001"/>
        <v>4.9735000000000005</v>
      </c>
      <c r="F422" s="61">
        <f t="shared" si="1002"/>
        <v>42</v>
      </c>
      <c r="G422" s="64">
        <f t="shared" si="1003"/>
        <v>0.58988764044943809</v>
      </c>
      <c r="H422" s="44">
        <f t="shared" si="903"/>
        <v>-26.914126219991235</v>
      </c>
      <c r="I422" s="42" t="str">
        <f t="shared" ref="I422:K422" si="1121">I421</f>
        <v>Half</v>
      </c>
      <c r="J422" s="50">
        <f t="shared" si="1121"/>
        <v>6</v>
      </c>
      <c r="K422" s="49">
        <f t="shared" si="1121"/>
        <v>160</v>
      </c>
      <c r="L422" s="44">
        <f t="shared" si="1005"/>
        <v>8</v>
      </c>
      <c r="M422" s="44">
        <f t="shared" si="1108"/>
        <v>8</v>
      </c>
      <c r="N422" s="45">
        <f t="shared" ref="N422" si="1122">N421</f>
        <v>0.2</v>
      </c>
      <c r="O422" s="49">
        <v>0</v>
      </c>
      <c r="P422" s="53">
        <f t="shared" si="1118"/>
        <v>45</v>
      </c>
      <c r="Q422" s="44">
        <f t="shared" ref="Q422:R422" si="1123">Q421</f>
        <v>150</v>
      </c>
      <c r="R422" s="50">
        <f t="shared" si="1123"/>
        <v>210</v>
      </c>
    </row>
    <row r="423" spans="1:18" x14ac:dyDescent="0.25">
      <c r="A423" s="41">
        <f t="shared" ref="A423:B423" si="1124">A422+1</f>
        <v>1271</v>
      </c>
      <c r="B423" s="42">
        <f t="shared" si="1124"/>
        <v>413</v>
      </c>
      <c r="C423" s="41" t="s">
        <v>3214</v>
      </c>
      <c r="D423" s="43">
        <f t="shared" si="878"/>
        <v>39.9</v>
      </c>
      <c r="E423" s="61">
        <f t="shared" si="1001"/>
        <v>4.9735000000000005</v>
      </c>
      <c r="F423" s="61">
        <f t="shared" si="1002"/>
        <v>42</v>
      </c>
      <c r="G423" s="64">
        <f t="shared" si="1003"/>
        <v>0.58988764044943809</v>
      </c>
      <c r="H423" s="44">
        <f t="shared" si="903"/>
        <v>-26.914126219991235</v>
      </c>
      <c r="I423" s="42" t="s">
        <v>12</v>
      </c>
      <c r="J423" s="50">
        <f t="shared" ref="J423:K423" si="1125">J422</f>
        <v>6</v>
      </c>
      <c r="K423" s="49">
        <f t="shared" si="1125"/>
        <v>160</v>
      </c>
      <c r="L423" s="44">
        <f t="shared" si="1005"/>
        <v>8</v>
      </c>
      <c r="M423" s="44">
        <f t="shared" si="1108"/>
        <v>8</v>
      </c>
      <c r="N423" s="45">
        <f t="shared" ref="N423" si="1126">N422</f>
        <v>0.2</v>
      </c>
      <c r="O423" s="49">
        <v>0</v>
      </c>
      <c r="P423" s="53">
        <f t="shared" si="1118"/>
        <v>60</v>
      </c>
      <c r="Q423" s="44">
        <f t="shared" ref="Q423:R423" si="1127">Q422</f>
        <v>150</v>
      </c>
      <c r="R423" s="50">
        <f t="shared" si="1127"/>
        <v>210</v>
      </c>
    </row>
    <row r="424" spans="1:18" x14ac:dyDescent="0.25">
      <c r="A424" s="41">
        <f t="shared" ref="A424:B424" si="1128">A423+1</f>
        <v>1272</v>
      </c>
      <c r="B424" s="42">
        <f t="shared" si="1128"/>
        <v>414</v>
      </c>
      <c r="C424" s="41" t="s">
        <v>3215</v>
      </c>
      <c r="D424" s="43">
        <f t="shared" si="878"/>
        <v>39.9</v>
      </c>
      <c r="E424" s="61">
        <f t="shared" si="1001"/>
        <v>4.9735000000000005</v>
      </c>
      <c r="F424" s="61">
        <f t="shared" si="1002"/>
        <v>42</v>
      </c>
      <c r="G424" s="64">
        <f t="shared" si="1003"/>
        <v>0.58988764044943809</v>
      </c>
      <c r="H424" s="44">
        <f t="shared" si="903"/>
        <v>-26.914126219991235</v>
      </c>
      <c r="I424" s="42" t="str">
        <f>I423</f>
        <v>Half</v>
      </c>
      <c r="J424" s="50">
        <f t="shared" ref="J424:K424" si="1129">J423</f>
        <v>6</v>
      </c>
      <c r="K424" s="49">
        <f t="shared" si="1129"/>
        <v>160</v>
      </c>
      <c r="L424" s="44">
        <f t="shared" si="1005"/>
        <v>8</v>
      </c>
      <c r="M424" s="44">
        <f t="shared" si="1108"/>
        <v>8</v>
      </c>
      <c r="N424" s="45">
        <f t="shared" ref="N424" si="1130">N423</f>
        <v>0.2</v>
      </c>
      <c r="O424" s="49">
        <v>0</v>
      </c>
      <c r="P424" s="135">
        <f t="shared" si="1118"/>
        <v>75</v>
      </c>
      <c r="Q424" s="44">
        <f t="shared" ref="Q424:R424" si="1131">Q423</f>
        <v>150</v>
      </c>
      <c r="R424" s="50">
        <f t="shared" si="1131"/>
        <v>210</v>
      </c>
    </row>
    <row r="425" spans="1:18" x14ac:dyDescent="0.25">
      <c r="A425" s="41">
        <f t="shared" ref="A425:B425" si="1132">A424+1</f>
        <v>1273</v>
      </c>
      <c r="B425" s="42">
        <f t="shared" si="1132"/>
        <v>415</v>
      </c>
      <c r="C425" s="41" t="s">
        <v>3216</v>
      </c>
      <c r="D425" s="43">
        <f t="shared" si="878"/>
        <v>39.9</v>
      </c>
      <c r="E425" s="61">
        <f t="shared" si="1001"/>
        <v>4.9735000000000005</v>
      </c>
      <c r="F425" s="61">
        <f t="shared" si="1002"/>
        <v>42</v>
      </c>
      <c r="G425" s="64">
        <f t="shared" si="1003"/>
        <v>0.58988764044943809</v>
      </c>
      <c r="H425" s="44">
        <f t="shared" si="903"/>
        <v>-26.914126219991235</v>
      </c>
      <c r="I425" s="42" t="str">
        <f t="shared" ref="I425:K425" si="1133">I424</f>
        <v>Half</v>
      </c>
      <c r="J425" s="50">
        <f t="shared" si="1133"/>
        <v>6</v>
      </c>
      <c r="K425" s="49">
        <f t="shared" si="1133"/>
        <v>160</v>
      </c>
      <c r="L425" s="44">
        <f t="shared" si="1005"/>
        <v>8</v>
      </c>
      <c r="M425" s="44">
        <f t="shared" si="1108"/>
        <v>8</v>
      </c>
      <c r="N425" s="45">
        <f t="shared" ref="N425" si="1134">N424</f>
        <v>0.2</v>
      </c>
      <c r="O425" s="49">
        <f>O419+30</f>
        <v>30</v>
      </c>
      <c r="P425" s="136">
        <v>0</v>
      </c>
      <c r="Q425" s="44">
        <f t="shared" ref="Q425:R425" si="1135">Q424</f>
        <v>150</v>
      </c>
      <c r="R425" s="50">
        <f t="shared" si="1135"/>
        <v>210</v>
      </c>
    </row>
    <row r="426" spans="1:18" x14ac:dyDescent="0.25">
      <c r="A426" s="41">
        <f t="shared" ref="A426:B426" si="1136">A425+1</f>
        <v>1274</v>
      </c>
      <c r="B426" s="42">
        <f t="shared" si="1136"/>
        <v>416</v>
      </c>
      <c r="C426" s="41" t="s">
        <v>3217</v>
      </c>
      <c r="D426" s="43">
        <f t="shared" si="878"/>
        <v>39.9</v>
      </c>
      <c r="E426" s="61">
        <f t="shared" si="1001"/>
        <v>4.9735000000000005</v>
      </c>
      <c r="F426" s="61">
        <f t="shared" si="1002"/>
        <v>42</v>
      </c>
      <c r="G426" s="64">
        <f t="shared" si="1003"/>
        <v>0.58988764044943809</v>
      </c>
      <c r="H426" s="44">
        <f t="shared" si="903"/>
        <v>-26.914126219991235</v>
      </c>
      <c r="I426" s="42" t="str">
        <f t="shared" ref="I426:K426" si="1137">I425</f>
        <v>Half</v>
      </c>
      <c r="J426" s="50">
        <f t="shared" si="1137"/>
        <v>6</v>
      </c>
      <c r="K426" s="49">
        <f t="shared" si="1137"/>
        <v>160</v>
      </c>
      <c r="L426" s="44">
        <f t="shared" si="1005"/>
        <v>8</v>
      </c>
      <c r="M426" s="44">
        <f t="shared" si="1108"/>
        <v>8</v>
      </c>
      <c r="N426" s="45">
        <f t="shared" ref="N426" si="1138">N425</f>
        <v>0.2</v>
      </c>
      <c r="O426" s="49">
        <f t="shared" ref="O426:O442" si="1139">O420+30</f>
        <v>30</v>
      </c>
      <c r="P426" s="53">
        <f>P425+15</f>
        <v>15</v>
      </c>
      <c r="Q426" s="44">
        <f t="shared" ref="Q426:R426" si="1140">Q425</f>
        <v>150</v>
      </c>
      <c r="R426" s="50">
        <f t="shared" si="1140"/>
        <v>210</v>
      </c>
    </row>
    <row r="427" spans="1:18" x14ac:dyDescent="0.25">
      <c r="A427" s="41">
        <f t="shared" ref="A427:B427" si="1141">A426+1</f>
        <v>1275</v>
      </c>
      <c r="B427" s="42">
        <f t="shared" si="1141"/>
        <v>417</v>
      </c>
      <c r="C427" s="41" t="s">
        <v>3218</v>
      </c>
      <c r="D427" s="43">
        <f t="shared" si="878"/>
        <v>39.9</v>
      </c>
      <c r="E427" s="61">
        <f t="shared" si="1001"/>
        <v>4.9735000000000005</v>
      </c>
      <c r="F427" s="61">
        <f t="shared" si="1002"/>
        <v>42</v>
      </c>
      <c r="G427" s="64">
        <f t="shared" si="1003"/>
        <v>0.58988764044943809</v>
      </c>
      <c r="H427" s="44">
        <f t="shared" si="903"/>
        <v>-26.914126219991235</v>
      </c>
      <c r="I427" s="42" t="str">
        <f t="shared" ref="I427:K427" si="1142">I426</f>
        <v>Half</v>
      </c>
      <c r="J427" s="50">
        <f t="shared" si="1142"/>
        <v>6</v>
      </c>
      <c r="K427" s="49">
        <f t="shared" si="1142"/>
        <v>160</v>
      </c>
      <c r="L427" s="44">
        <f t="shared" si="1005"/>
        <v>8</v>
      </c>
      <c r="M427" s="44">
        <f t="shared" si="1108"/>
        <v>8</v>
      </c>
      <c r="N427" s="45">
        <f t="shared" ref="N427" si="1143">N426</f>
        <v>0.2</v>
      </c>
      <c r="O427" s="49">
        <f t="shared" si="1139"/>
        <v>30</v>
      </c>
      <c r="P427" s="53">
        <f t="shared" ref="P427:P430" si="1144">P426+15</f>
        <v>30</v>
      </c>
      <c r="Q427" s="44">
        <f t="shared" ref="Q427:R427" si="1145">Q426</f>
        <v>150</v>
      </c>
      <c r="R427" s="50">
        <f t="shared" si="1145"/>
        <v>210</v>
      </c>
    </row>
    <row r="428" spans="1:18" x14ac:dyDescent="0.25">
      <c r="A428" s="41">
        <f t="shared" ref="A428:B428" si="1146">A427+1</f>
        <v>1276</v>
      </c>
      <c r="B428" s="42">
        <f t="shared" si="1146"/>
        <v>418</v>
      </c>
      <c r="C428" s="41" t="s">
        <v>3219</v>
      </c>
      <c r="D428" s="43">
        <f t="shared" si="878"/>
        <v>39.9</v>
      </c>
      <c r="E428" s="61">
        <f t="shared" si="1001"/>
        <v>4.9735000000000005</v>
      </c>
      <c r="F428" s="61">
        <f t="shared" si="1002"/>
        <v>42</v>
      </c>
      <c r="G428" s="64">
        <f t="shared" si="1003"/>
        <v>0.58988764044943809</v>
      </c>
      <c r="H428" s="44">
        <f t="shared" si="903"/>
        <v>-26.914126219991235</v>
      </c>
      <c r="I428" s="42" t="str">
        <f t="shared" ref="I428:K428" si="1147">I427</f>
        <v>Half</v>
      </c>
      <c r="J428" s="50">
        <f t="shared" si="1147"/>
        <v>6</v>
      </c>
      <c r="K428" s="49">
        <f t="shared" si="1147"/>
        <v>160</v>
      </c>
      <c r="L428" s="44">
        <f t="shared" si="1005"/>
        <v>8</v>
      </c>
      <c r="M428" s="44">
        <f t="shared" si="1108"/>
        <v>8</v>
      </c>
      <c r="N428" s="45">
        <f t="shared" ref="N428" si="1148">N427</f>
        <v>0.2</v>
      </c>
      <c r="O428" s="49">
        <f t="shared" si="1139"/>
        <v>30</v>
      </c>
      <c r="P428" s="53">
        <f t="shared" si="1144"/>
        <v>45</v>
      </c>
      <c r="Q428" s="44">
        <f t="shared" ref="Q428:R428" si="1149">Q427</f>
        <v>150</v>
      </c>
      <c r="R428" s="50">
        <f t="shared" si="1149"/>
        <v>210</v>
      </c>
    </row>
    <row r="429" spans="1:18" x14ac:dyDescent="0.25">
      <c r="A429" s="41">
        <f t="shared" ref="A429:B429" si="1150">A428+1</f>
        <v>1277</v>
      </c>
      <c r="B429" s="42">
        <f t="shared" si="1150"/>
        <v>419</v>
      </c>
      <c r="C429" s="41" t="s">
        <v>3220</v>
      </c>
      <c r="D429" s="43">
        <f t="shared" ref="D429:D442" si="1151">D428</f>
        <v>39.9</v>
      </c>
      <c r="E429" s="61">
        <f t="shared" si="1001"/>
        <v>4.9735000000000005</v>
      </c>
      <c r="F429" s="61">
        <f t="shared" si="1002"/>
        <v>42</v>
      </c>
      <c r="G429" s="64">
        <f t="shared" si="1003"/>
        <v>0.58988764044943809</v>
      </c>
      <c r="H429" s="44">
        <f t="shared" si="903"/>
        <v>-26.914126219991235</v>
      </c>
      <c r="I429" s="42" t="str">
        <f t="shared" ref="I429:K429" si="1152">I428</f>
        <v>Half</v>
      </c>
      <c r="J429" s="50">
        <f t="shared" si="1152"/>
        <v>6</v>
      </c>
      <c r="K429" s="49">
        <f t="shared" si="1152"/>
        <v>160</v>
      </c>
      <c r="L429" s="44">
        <f t="shared" si="1005"/>
        <v>8</v>
      </c>
      <c r="M429" s="44">
        <f t="shared" si="1108"/>
        <v>8</v>
      </c>
      <c r="N429" s="45">
        <f t="shared" ref="N429" si="1153">N428</f>
        <v>0.2</v>
      </c>
      <c r="O429" s="49">
        <f t="shared" si="1139"/>
        <v>30</v>
      </c>
      <c r="P429" s="53">
        <f t="shared" si="1144"/>
        <v>60</v>
      </c>
      <c r="Q429" s="44">
        <f t="shared" ref="Q429:R429" si="1154">Q428</f>
        <v>150</v>
      </c>
      <c r="R429" s="50">
        <f t="shared" si="1154"/>
        <v>210</v>
      </c>
    </row>
    <row r="430" spans="1:18" x14ac:dyDescent="0.25">
      <c r="A430" s="41">
        <f t="shared" ref="A430:B430" si="1155">A429+1</f>
        <v>1278</v>
      </c>
      <c r="B430" s="42">
        <f t="shared" si="1155"/>
        <v>420</v>
      </c>
      <c r="C430" s="41" t="s">
        <v>3221</v>
      </c>
      <c r="D430" s="43">
        <f t="shared" si="1151"/>
        <v>39.9</v>
      </c>
      <c r="E430" s="61">
        <f t="shared" si="1001"/>
        <v>4.9735000000000005</v>
      </c>
      <c r="F430" s="61">
        <f t="shared" si="1002"/>
        <v>42</v>
      </c>
      <c r="G430" s="64">
        <f t="shared" si="1003"/>
        <v>0.58988764044943809</v>
      </c>
      <c r="H430" s="44">
        <f t="shared" si="903"/>
        <v>-26.914126219991235</v>
      </c>
      <c r="I430" s="42" t="str">
        <f t="shared" ref="I430:K430" si="1156">I429</f>
        <v>Half</v>
      </c>
      <c r="J430" s="50">
        <f t="shared" si="1156"/>
        <v>6</v>
      </c>
      <c r="K430" s="49">
        <f t="shared" si="1156"/>
        <v>160</v>
      </c>
      <c r="L430" s="44">
        <f t="shared" si="1005"/>
        <v>8</v>
      </c>
      <c r="M430" s="44">
        <f t="shared" si="1108"/>
        <v>8</v>
      </c>
      <c r="N430" s="45">
        <f t="shared" ref="N430" si="1157">N429</f>
        <v>0.2</v>
      </c>
      <c r="O430" s="49">
        <f t="shared" si="1139"/>
        <v>30</v>
      </c>
      <c r="P430" s="53">
        <f t="shared" si="1144"/>
        <v>75</v>
      </c>
      <c r="Q430" s="44">
        <f t="shared" ref="Q430:R430" si="1158">Q429</f>
        <v>150</v>
      </c>
      <c r="R430" s="50">
        <f t="shared" si="1158"/>
        <v>210</v>
      </c>
    </row>
    <row r="431" spans="1:18" x14ac:dyDescent="0.25">
      <c r="A431" s="41">
        <f t="shared" ref="A431:B431" si="1159">A430+1</f>
        <v>1279</v>
      </c>
      <c r="B431" s="42">
        <f t="shared" si="1159"/>
        <v>421</v>
      </c>
      <c r="C431" s="41" t="s">
        <v>3222</v>
      </c>
      <c r="D431" s="43">
        <f t="shared" si="1151"/>
        <v>39.9</v>
      </c>
      <c r="E431" s="61">
        <f t="shared" si="1001"/>
        <v>4.9735000000000005</v>
      </c>
      <c r="F431" s="61">
        <f t="shared" si="1002"/>
        <v>42</v>
      </c>
      <c r="G431" s="64">
        <f t="shared" si="1003"/>
        <v>0.58988764044943809</v>
      </c>
      <c r="H431" s="44">
        <f t="shared" si="903"/>
        <v>-26.914126219991235</v>
      </c>
      <c r="I431" s="42" t="str">
        <f t="shared" ref="I431:K431" si="1160">I430</f>
        <v>Half</v>
      </c>
      <c r="J431" s="50">
        <f t="shared" si="1160"/>
        <v>6</v>
      </c>
      <c r="K431" s="49">
        <f t="shared" si="1160"/>
        <v>160</v>
      </c>
      <c r="L431" s="44">
        <f t="shared" si="1005"/>
        <v>8</v>
      </c>
      <c r="M431" s="44">
        <f t="shared" si="1108"/>
        <v>8</v>
      </c>
      <c r="N431" s="45">
        <f t="shared" ref="N431" si="1161">N430</f>
        <v>0.2</v>
      </c>
      <c r="O431" s="49">
        <f t="shared" si="1139"/>
        <v>60</v>
      </c>
      <c r="P431" s="136">
        <v>0</v>
      </c>
      <c r="Q431" s="44">
        <f t="shared" ref="Q431:R431" si="1162">Q430</f>
        <v>150</v>
      </c>
      <c r="R431" s="50">
        <f t="shared" si="1162"/>
        <v>210</v>
      </c>
    </row>
    <row r="432" spans="1:18" x14ac:dyDescent="0.25">
      <c r="A432" s="41">
        <f t="shared" ref="A432:B432" si="1163">A431+1</f>
        <v>1280</v>
      </c>
      <c r="B432" s="42">
        <f t="shared" si="1163"/>
        <v>422</v>
      </c>
      <c r="C432" s="41" t="s">
        <v>3223</v>
      </c>
      <c r="D432" s="43">
        <f t="shared" si="1151"/>
        <v>39.9</v>
      </c>
      <c r="E432" s="61">
        <f t="shared" si="1001"/>
        <v>4.9735000000000005</v>
      </c>
      <c r="F432" s="61">
        <f t="shared" si="1002"/>
        <v>42</v>
      </c>
      <c r="G432" s="64">
        <f t="shared" si="1003"/>
        <v>0.58988764044943809</v>
      </c>
      <c r="H432" s="44">
        <f t="shared" si="903"/>
        <v>-26.914126219991235</v>
      </c>
      <c r="I432" s="42" t="str">
        <f t="shared" ref="I432:K432" si="1164">I431</f>
        <v>Half</v>
      </c>
      <c r="J432" s="50">
        <f t="shared" si="1164"/>
        <v>6</v>
      </c>
      <c r="K432" s="49">
        <f t="shared" si="1164"/>
        <v>160</v>
      </c>
      <c r="L432" s="44">
        <f t="shared" si="1005"/>
        <v>8</v>
      </c>
      <c r="M432" s="44">
        <f t="shared" si="1108"/>
        <v>8</v>
      </c>
      <c r="N432" s="45">
        <f t="shared" ref="N432" si="1165">N431</f>
        <v>0.2</v>
      </c>
      <c r="O432" s="49">
        <f t="shared" si="1139"/>
        <v>60</v>
      </c>
      <c r="P432" s="53">
        <f>P431+15</f>
        <v>15</v>
      </c>
      <c r="Q432" s="44">
        <f t="shared" ref="Q432:R432" si="1166">Q431</f>
        <v>150</v>
      </c>
      <c r="R432" s="50">
        <f t="shared" si="1166"/>
        <v>210</v>
      </c>
    </row>
    <row r="433" spans="1:18" x14ac:dyDescent="0.25">
      <c r="A433" s="41">
        <f t="shared" ref="A433:B433" si="1167">A432+1</f>
        <v>1281</v>
      </c>
      <c r="B433" s="42">
        <f t="shared" si="1167"/>
        <v>423</v>
      </c>
      <c r="C433" s="41" t="s">
        <v>3224</v>
      </c>
      <c r="D433" s="43">
        <f t="shared" si="1151"/>
        <v>39.9</v>
      </c>
      <c r="E433" s="61">
        <f t="shared" si="1001"/>
        <v>4.9735000000000005</v>
      </c>
      <c r="F433" s="61">
        <f t="shared" si="1002"/>
        <v>42</v>
      </c>
      <c r="G433" s="64">
        <f t="shared" si="1003"/>
        <v>0.58988764044943809</v>
      </c>
      <c r="H433" s="44">
        <f t="shared" si="903"/>
        <v>-26.914126219991235</v>
      </c>
      <c r="I433" s="42" t="str">
        <f t="shared" ref="I433:K433" si="1168">I432</f>
        <v>Half</v>
      </c>
      <c r="J433" s="50">
        <f t="shared" si="1168"/>
        <v>6</v>
      </c>
      <c r="K433" s="49">
        <f t="shared" si="1168"/>
        <v>160</v>
      </c>
      <c r="L433" s="44">
        <f t="shared" si="1005"/>
        <v>8</v>
      </c>
      <c r="M433" s="44">
        <f t="shared" si="1108"/>
        <v>8</v>
      </c>
      <c r="N433" s="45">
        <f t="shared" ref="N433" si="1169">N432</f>
        <v>0.2</v>
      </c>
      <c r="O433" s="49">
        <f t="shared" si="1139"/>
        <v>60</v>
      </c>
      <c r="P433" s="53">
        <f t="shared" ref="P433:P436" si="1170">P432+15</f>
        <v>30</v>
      </c>
      <c r="Q433" s="44">
        <f t="shared" ref="Q433:R433" si="1171">Q432</f>
        <v>150</v>
      </c>
      <c r="R433" s="50">
        <f t="shared" si="1171"/>
        <v>210</v>
      </c>
    </row>
    <row r="434" spans="1:18" x14ac:dyDescent="0.25">
      <c r="A434" s="41">
        <f t="shared" ref="A434:B434" si="1172">A433+1</f>
        <v>1282</v>
      </c>
      <c r="B434" s="42">
        <f t="shared" si="1172"/>
        <v>424</v>
      </c>
      <c r="C434" s="41" t="s">
        <v>3225</v>
      </c>
      <c r="D434" s="43">
        <f t="shared" si="1151"/>
        <v>39.9</v>
      </c>
      <c r="E434" s="61">
        <f t="shared" si="1001"/>
        <v>4.9735000000000005</v>
      </c>
      <c r="F434" s="61">
        <f t="shared" si="1002"/>
        <v>42</v>
      </c>
      <c r="G434" s="64">
        <f t="shared" si="1003"/>
        <v>0.58988764044943809</v>
      </c>
      <c r="H434" s="44">
        <f t="shared" si="903"/>
        <v>-26.914126219991235</v>
      </c>
      <c r="I434" s="42" t="str">
        <f t="shared" ref="I434:K434" si="1173">I433</f>
        <v>Half</v>
      </c>
      <c r="J434" s="50">
        <f t="shared" si="1173"/>
        <v>6</v>
      </c>
      <c r="K434" s="49">
        <f t="shared" si="1173"/>
        <v>160</v>
      </c>
      <c r="L434" s="44">
        <f t="shared" si="1005"/>
        <v>8</v>
      </c>
      <c r="M434" s="44">
        <f t="shared" si="1108"/>
        <v>8</v>
      </c>
      <c r="N434" s="45">
        <f t="shared" ref="N434" si="1174">N433</f>
        <v>0.2</v>
      </c>
      <c r="O434" s="49">
        <f t="shared" si="1139"/>
        <v>60</v>
      </c>
      <c r="P434" s="53">
        <f t="shared" si="1170"/>
        <v>45</v>
      </c>
      <c r="Q434" s="44">
        <f t="shared" ref="Q434:R434" si="1175">Q433</f>
        <v>150</v>
      </c>
      <c r="R434" s="50">
        <f t="shared" si="1175"/>
        <v>210</v>
      </c>
    </row>
    <row r="435" spans="1:18" x14ac:dyDescent="0.25">
      <c r="A435" s="41">
        <f t="shared" ref="A435:B435" si="1176">A434+1</f>
        <v>1283</v>
      </c>
      <c r="B435" s="42">
        <f t="shared" si="1176"/>
        <v>425</v>
      </c>
      <c r="C435" s="41" t="s">
        <v>3226</v>
      </c>
      <c r="D435" s="43">
        <f t="shared" si="1151"/>
        <v>39.9</v>
      </c>
      <c r="E435" s="61">
        <f t="shared" si="1001"/>
        <v>4.9735000000000005</v>
      </c>
      <c r="F435" s="61">
        <f t="shared" si="1002"/>
        <v>42</v>
      </c>
      <c r="G435" s="64">
        <f t="shared" si="1003"/>
        <v>0.58988764044943809</v>
      </c>
      <c r="H435" s="44">
        <f t="shared" si="903"/>
        <v>-26.914126219991235</v>
      </c>
      <c r="I435" s="42" t="str">
        <f t="shared" ref="I435:K435" si="1177">I434</f>
        <v>Half</v>
      </c>
      <c r="J435" s="50">
        <f t="shared" si="1177"/>
        <v>6</v>
      </c>
      <c r="K435" s="49">
        <f t="shared" si="1177"/>
        <v>160</v>
      </c>
      <c r="L435" s="44">
        <f t="shared" si="1005"/>
        <v>8</v>
      </c>
      <c r="M435" s="44">
        <f t="shared" si="1108"/>
        <v>8</v>
      </c>
      <c r="N435" s="45">
        <f t="shared" ref="N435" si="1178">N434</f>
        <v>0.2</v>
      </c>
      <c r="O435" s="49">
        <f t="shared" si="1139"/>
        <v>60</v>
      </c>
      <c r="P435" s="53">
        <f t="shared" si="1170"/>
        <v>60</v>
      </c>
      <c r="Q435" s="44">
        <f t="shared" ref="Q435:R435" si="1179">Q434</f>
        <v>150</v>
      </c>
      <c r="R435" s="50">
        <f t="shared" si="1179"/>
        <v>210</v>
      </c>
    </row>
    <row r="436" spans="1:18" x14ac:dyDescent="0.25">
      <c r="A436" s="41">
        <f t="shared" ref="A436:B436" si="1180">A435+1</f>
        <v>1284</v>
      </c>
      <c r="B436" s="42">
        <f t="shared" si="1180"/>
        <v>426</v>
      </c>
      <c r="C436" s="41" t="s">
        <v>3227</v>
      </c>
      <c r="D436" s="43">
        <f t="shared" si="1151"/>
        <v>39.9</v>
      </c>
      <c r="E436" s="61">
        <f t="shared" si="1001"/>
        <v>4.9735000000000005</v>
      </c>
      <c r="F436" s="61">
        <f t="shared" si="1002"/>
        <v>42</v>
      </c>
      <c r="G436" s="64">
        <f t="shared" si="1003"/>
        <v>0.58988764044943809</v>
      </c>
      <c r="H436" s="44">
        <f t="shared" ref="H436:H442" si="1181">-6.4*ATAN(E435/D435*G435)/PI()*180</f>
        <v>-26.914126219991235</v>
      </c>
      <c r="I436" s="42" t="str">
        <f t="shared" ref="I436:K436" si="1182">I435</f>
        <v>Half</v>
      </c>
      <c r="J436" s="50">
        <f t="shared" si="1182"/>
        <v>6</v>
      </c>
      <c r="K436" s="49">
        <f t="shared" si="1182"/>
        <v>160</v>
      </c>
      <c r="L436" s="44">
        <f t="shared" si="1005"/>
        <v>8</v>
      </c>
      <c r="M436" s="44">
        <f t="shared" si="1108"/>
        <v>8</v>
      </c>
      <c r="N436" s="45">
        <f t="shared" ref="N436" si="1183">N435</f>
        <v>0.2</v>
      </c>
      <c r="O436" s="49">
        <f t="shared" si="1139"/>
        <v>60</v>
      </c>
      <c r="P436" s="135">
        <f t="shared" si="1170"/>
        <v>75</v>
      </c>
      <c r="Q436" s="44">
        <f t="shared" ref="Q436:R436" si="1184">Q435</f>
        <v>150</v>
      </c>
      <c r="R436" s="50">
        <f t="shared" si="1184"/>
        <v>210</v>
      </c>
    </row>
    <row r="437" spans="1:18" x14ac:dyDescent="0.25">
      <c r="A437" s="41">
        <f t="shared" ref="A437:B437" si="1185">A436+1</f>
        <v>1285</v>
      </c>
      <c r="B437" s="42">
        <f t="shared" si="1185"/>
        <v>427</v>
      </c>
      <c r="C437" s="41" t="s">
        <v>3228</v>
      </c>
      <c r="D437" s="43">
        <f t="shared" si="1151"/>
        <v>39.9</v>
      </c>
      <c r="E437" s="61">
        <f t="shared" si="1001"/>
        <v>4.9735000000000005</v>
      </c>
      <c r="F437" s="61">
        <f t="shared" si="1002"/>
        <v>42</v>
      </c>
      <c r="G437" s="64">
        <f t="shared" si="1003"/>
        <v>0.58988764044943809</v>
      </c>
      <c r="H437" s="44">
        <f t="shared" si="1181"/>
        <v>-26.914126219991235</v>
      </c>
      <c r="I437" s="42" t="str">
        <f t="shared" ref="I437:K437" si="1186">I436</f>
        <v>Half</v>
      </c>
      <c r="J437" s="50">
        <f t="shared" si="1186"/>
        <v>6</v>
      </c>
      <c r="K437" s="49">
        <f t="shared" si="1186"/>
        <v>160</v>
      </c>
      <c r="L437" s="44">
        <f t="shared" si="1005"/>
        <v>8</v>
      </c>
      <c r="M437" s="44">
        <f t="shared" si="1108"/>
        <v>8</v>
      </c>
      <c r="N437" s="45">
        <f t="shared" ref="N437" si="1187">N436</f>
        <v>0.2</v>
      </c>
      <c r="O437" s="49">
        <f t="shared" si="1139"/>
        <v>90</v>
      </c>
      <c r="P437" s="136">
        <v>0</v>
      </c>
      <c r="Q437" s="44">
        <f t="shared" ref="Q437:R437" si="1188">Q436</f>
        <v>150</v>
      </c>
      <c r="R437" s="50">
        <f t="shared" si="1188"/>
        <v>210</v>
      </c>
    </row>
    <row r="438" spans="1:18" x14ac:dyDescent="0.25">
      <c r="A438" s="41">
        <f t="shared" ref="A438:B438" si="1189">A437+1</f>
        <v>1286</v>
      </c>
      <c r="B438" s="42">
        <f t="shared" si="1189"/>
        <v>428</v>
      </c>
      <c r="C438" s="41" t="s">
        <v>3229</v>
      </c>
      <c r="D438" s="43">
        <f t="shared" si="1151"/>
        <v>39.9</v>
      </c>
      <c r="E438" s="61">
        <f t="shared" si="1001"/>
        <v>4.9735000000000005</v>
      </c>
      <c r="F438" s="61">
        <f t="shared" si="1002"/>
        <v>42</v>
      </c>
      <c r="G438" s="64">
        <f t="shared" si="1003"/>
        <v>0.58988764044943809</v>
      </c>
      <c r="H438" s="44">
        <f t="shared" si="1181"/>
        <v>-26.914126219991235</v>
      </c>
      <c r="I438" s="42" t="str">
        <f t="shared" ref="I438:K438" si="1190">I437</f>
        <v>Half</v>
      </c>
      <c r="J438" s="50">
        <f t="shared" si="1190"/>
        <v>6</v>
      </c>
      <c r="K438" s="49">
        <f t="shared" si="1190"/>
        <v>160</v>
      </c>
      <c r="L438" s="44">
        <f t="shared" si="1005"/>
        <v>8</v>
      </c>
      <c r="M438" s="44">
        <f t="shared" si="1108"/>
        <v>8</v>
      </c>
      <c r="N438" s="45">
        <f t="shared" ref="N438" si="1191">N437</f>
        <v>0.2</v>
      </c>
      <c r="O438" s="49">
        <f t="shared" si="1139"/>
        <v>90</v>
      </c>
      <c r="P438" s="53">
        <f>P437+15</f>
        <v>15</v>
      </c>
      <c r="Q438" s="44">
        <f t="shared" ref="Q438:R438" si="1192">Q437</f>
        <v>150</v>
      </c>
      <c r="R438" s="50">
        <f t="shared" si="1192"/>
        <v>210</v>
      </c>
    </row>
    <row r="439" spans="1:18" x14ac:dyDescent="0.25">
      <c r="A439" s="41">
        <f t="shared" ref="A439:B439" si="1193">A438+1</f>
        <v>1287</v>
      </c>
      <c r="B439" s="42">
        <f t="shared" si="1193"/>
        <v>429</v>
      </c>
      <c r="C439" s="41" t="s">
        <v>3230</v>
      </c>
      <c r="D439" s="43">
        <f t="shared" si="1151"/>
        <v>39.9</v>
      </c>
      <c r="E439" s="61">
        <f t="shared" si="1001"/>
        <v>4.9735000000000005</v>
      </c>
      <c r="F439" s="61">
        <f t="shared" si="1002"/>
        <v>42</v>
      </c>
      <c r="G439" s="64">
        <f t="shared" si="1003"/>
        <v>0.58988764044943809</v>
      </c>
      <c r="H439" s="44">
        <f t="shared" si="1181"/>
        <v>-26.914126219991235</v>
      </c>
      <c r="I439" s="42" t="s">
        <v>12</v>
      </c>
      <c r="J439" s="50">
        <f t="shared" ref="J439:K439" si="1194">J438</f>
        <v>6</v>
      </c>
      <c r="K439" s="49">
        <f t="shared" si="1194"/>
        <v>160</v>
      </c>
      <c r="L439" s="44">
        <f t="shared" si="1005"/>
        <v>8</v>
      </c>
      <c r="M439" s="44">
        <f t="shared" si="1108"/>
        <v>8</v>
      </c>
      <c r="N439" s="45">
        <f t="shared" ref="N439" si="1195">N438</f>
        <v>0.2</v>
      </c>
      <c r="O439" s="49">
        <f>O433+30</f>
        <v>90</v>
      </c>
      <c r="P439" s="53">
        <f t="shared" ref="P439:P442" si="1196">P438+15</f>
        <v>30</v>
      </c>
      <c r="Q439" s="44">
        <f t="shared" ref="Q439:R439" si="1197">Q438</f>
        <v>150</v>
      </c>
      <c r="R439" s="50">
        <f t="shared" si="1197"/>
        <v>210</v>
      </c>
    </row>
    <row r="440" spans="1:18" x14ac:dyDescent="0.25">
      <c r="A440" s="41">
        <f t="shared" ref="A440:B440" si="1198">A439+1</f>
        <v>1288</v>
      </c>
      <c r="B440" s="42">
        <f t="shared" si="1198"/>
        <v>430</v>
      </c>
      <c r="C440" s="41" t="s">
        <v>3231</v>
      </c>
      <c r="D440" s="43">
        <f t="shared" si="1151"/>
        <v>39.9</v>
      </c>
      <c r="E440" s="61">
        <f t="shared" si="1001"/>
        <v>4.9735000000000005</v>
      </c>
      <c r="F440" s="61">
        <f t="shared" si="1002"/>
        <v>42</v>
      </c>
      <c r="G440" s="64">
        <f t="shared" si="1003"/>
        <v>0.58988764044943809</v>
      </c>
      <c r="H440" s="44">
        <f t="shared" si="1181"/>
        <v>-26.914126219991235</v>
      </c>
      <c r="I440" s="42" t="str">
        <f>I439</f>
        <v>Half</v>
      </c>
      <c r="J440" s="50">
        <f t="shared" ref="J440:K440" si="1199">J439</f>
        <v>6</v>
      </c>
      <c r="K440" s="49">
        <f t="shared" si="1199"/>
        <v>160</v>
      </c>
      <c r="L440" s="44">
        <f t="shared" si="1005"/>
        <v>8</v>
      </c>
      <c r="M440" s="44">
        <f t="shared" si="1108"/>
        <v>8</v>
      </c>
      <c r="N440" s="45">
        <f t="shared" ref="N440" si="1200">N439</f>
        <v>0.2</v>
      </c>
      <c r="O440" s="49">
        <f t="shared" si="1139"/>
        <v>90</v>
      </c>
      <c r="P440" s="53">
        <f t="shared" si="1196"/>
        <v>45</v>
      </c>
      <c r="Q440" s="44">
        <f t="shared" ref="Q440:R440" si="1201">Q439</f>
        <v>150</v>
      </c>
      <c r="R440" s="50">
        <f t="shared" si="1201"/>
        <v>210</v>
      </c>
    </row>
    <row r="441" spans="1:18" x14ac:dyDescent="0.25">
      <c r="A441" s="41">
        <f t="shared" ref="A441:B441" si="1202">A440+1</f>
        <v>1289</v>
      </c>
      <c r="B441" s="42">
        <f t="shared" si="1202"/>
        <v>431</v>
      </c>
      <c r="C441" s="41" t="s">
        <v>3232</v>
      </c>
      <c r="D441" s="43">
        <f t="shared" si="1151"/>
        <v>39.9</v>
      </c>
      <c r="E441" s="61">
        <f t="shared" si="1001"/>
        <v>4.9735000000000005</v>
      </c>
      <c r="F441" s="61">
        <f t="shared" si="1002"/>
        <v>42</v>
      </c>
      <c r="G441" s="64">
        <f t="shared" si="1003"/>
        <v>0.58988764044943809</v>
      </c>
      <c r="H441" s="44">
        <f t="shared" si="1181"/>
        <v>-26.914126219991235</v>
      </c>
      <c r="I441" s="42" t="str">
        <f t="shared" ref="I441:K441" si="1203">I440</f>
        <v>Half</v>
      </c>
      <c r="J441" s="50">
        <f t="shared" si="1203"/>
        <v>6</v>
      </c>
      <c r="K441" s="49">
        <f t="shared" si="1203"/>
        <v>160</v>
      </c>
      <c r="L441" s="44">
        <f t="shared" si="1005"/>
        <v>8</v>
      </c>
      <c r="M441" s="44">
        <f t="shared" si="1108"/>
        <v>8</v>
      </c>
      <c r="N441" s="45">
        <f t="shared" ref="N441" si="1204">N440</f>
        <v>0.2</v>
      </c>
      <c r="O441" s="49">
        <f t="shared" si="1139"/>
        <v>90</v>
      </c>
      <c r="P441" s="53">
        <f t="shared" si="1196"/>
        <v>60</v>
      </c>
      <c r="Q441" s="44">
        <f t="shared" ref="Q441:R441" si="1205">Q440</f>
        <v>150</v>
      </c>
      <c r="R441" s="50">
        <f t="shared" si="1205"/>
        <v>210</v>
      </c>
    </row>
    <row r="442" spans="1:18" x14ac:dyDescent="0.25">
      <c r="A442" s="41">
        <f t="shared" ref="A442:B442" si="1206">A441+1</f>
        <v>1290</v>
      </c>
      <c r="B442" s="42">
        <f t="shared" si="1206"/>
        <v>432</v>
      </c>
      <c r="C442" s="41" t="s">
        <v>3233</v>
      </c>
      <c r="D442" s="43">
        <f t="shared" si="1151"/>
        <v>39.9</v>
      </c>
      <c r="E442" s="61">
        <f t="shared" si="1001"/>
        <v>4.9735000000000005</v>
      </c>
      <c r="F442" s="61">
        <f t="shared" si="1002"/>
        <v>42</v>
      </c>
      <c r="G442" s="64">
        <f t="shared" si="1003"/>
        <v>0.58988764044943809</v>
      </c>
      <c r="H442" s="44">
        <f t="shared" si="1181"/>
        <v>-26.914126219991235</v>
      </c>
      <c r="I442" s="42" t="str">
        <f t="shared" ref="I442:K442" si="1207">I441</f>
        <v>Half</v>
      </c>
      <c r="J442" s="50">
        <f t="shared" si="1207"/>
        <v>6</v>
      </c>
      <c r="K442" s="49">
        <f t="shared" si="1207"/>
        <v>160</v>
      </c>
      <c r="L442" s="44">
        <f t="shared" si="1005"/>
        <v>8</v>
      </c>
      <c r="M442" s="44">
        <f t="shared" si="1108"/>
        <v>8</v>
      </c>
      <c r="N442" s="45">
        <f t="shared" ref="N442" si="1208">N441</f>
        <v>0.2</v>
      </c>
      <c r="O442" s="49">
        <f t="shared" si="1139"/>
        <v>90</v>
      </c>
      <c r="P442" s="53">
        <f t="shared" si="1196"/>
        <v>75</v>
      </c>
      <c r="Q442" s="44">
        <f t="shared" ref="Q442:R442" si="1209">Q441</f>
        <v>150</v>
      </c>
      <c r="R442" s="50">
        <f t="shared" si="1209"/>
        <v>210</v>
      </c>
    </row>
  </sheetData>
  <phoneticPr fontId="1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2:R11"/>
  <sheetViews>
    <sheetView zoomScale="85" zoomScaleNormal="85" workbookViewId="0">
      <selection activeCell="N31" sqref="N31"/>
    </sheetView>
  </sheetViews>
  <sheetFormatPr defaultRowHeight="13.5" x14ac:dyDescent="0.15"/>
  <sheetData>
    <row r="2" spans="2:18" ht="15" x14ac:dyDescent="0.15">
      <c r="B2" s="22" t="s">
        <v>238</v>
      </c>
      <c r="C2" s="22"/>
      <c r="D2" s="22"/>
      <c r="E2" s="22"/>
      <c r="I2" s="22" t="s">
        <v>240</v>
      </c>
      <c r="J2" s="22"/>
      <c r="K2" s="22"/>
      <c r="L2" s="22"/>
      <c r="O2" s="22" t="s">
        <v>901</v>
      </c>
      <c r="P2" s="22"/>
      <c r="Q2" s="22"/>
      <c r="R2" s="22"/>
    </row>
    <row r="3" spans="2:18" ht="15" x14ac:dyDescent="0.15">
      <c r="B3" s="22" t="s">
        <v>88</v>
      </c>
      <c r="C3" s="22"/>
      <c r="D3" s="22"/>
      <c r="E3" s="22" t="s">
        <v>102</v>
      </c>
      <c r="I3" s="22" t="s">
        <v>88</v>
      </c>
      <c r="J3" s="22"/>
      <c r="K3" s="22"/>
      <c r="L3" s="22" t="s">
        <v>902</v>
      </c>
      <c r="O3" s="22" t="s">
        <v>88</v>
      </c>
      <c r="P3" s="22"/>
      <c r="Q3" s="22"/>
      <c r="R3" s="22" t="s">
        <v>903</v>
      </c>
    </row>
    <row r="4" spans="2:18" ht="15" x14ac:dyDescent="0.15">
      <c r="B4" s="22" t="s">
        <v>89</v>
      </c>
      <c r="C4" s="22"/>
      <c r="D4" s="22"/>
      <c r="E4" s="22" t="s">
        <v>239</v>
      </c>
      <c r="I4" s="22" t="s">
        <v>89</v>
      </c>
      <c r="J4" s="22"/>
      <c r="K4" s="22"/>
      <c r="L4" s="22" t="s">
        <v>239</v>
      </c>
      <c r="O4" s="22" t="s">
        <v>89</v>
      </c>
      <c r="P4" s="22"/>
      <c r="Q4" s="22"/>
      <c r="R4" s="22" t="s">
        <v>239</v>
      </c>
    </row>
    <row r="5" spans="2:18" ht="15" x14ac:dyDescent="0.15">
      <c r="B5" s="22" t="s">
        <v>91</v>
      </c>
      <c r="C5" s="22"/>
      <c r="D5" s="22"/>
      <c r="E5" s="22" t="s">
        <v>890</v>
      </c>
      <c r="I5" s="22" t="s">
        <v>91</v>
      </c>
      <c r="J5" s="22"/>
      <c r="K5" s="22"/>
      <c r="L5" s="22" t="s">
        <v>99</v>
      </c>
      <c r="O5" s="22" t="s">
        <v>91</v>
      </c>
      <c r="P5" s="22"/>
      <c r="Q5" s="22"/>
      <c r="R5" s="22" t="s">
        <v>99</v>
      </c>
    </row>
    <row r="6" spans="2:18" ht="15" x14ac:dyDescent="0.15">
      <c r="B6" s="22" t="s">
        <v>93</v>
      </c>
      <c r="C6" s="22"/>
      <c r="D6" s="22"/>
      <c r="E6" s="22" t="s">
        <v>891</v>
      </c>
      <c r="I6" s="22" t="s">
        <v>93</v>
      </c>
      <c r="J6" s="22"/>
      <c r="K6" s="22"/>
      <c r="L6" s="22" t="s">
        <v>100</v>
      </c>
      <c r="O6" s="22" t="s">
        <v>93</v>
      </c>
      <c r="P6" s="22"/>
      <c r="Q6" s="22"/>
      <c r="R6" s="22" t="s">
        <v>100</v>
      </c>
    </row>
    <row r="9" spans="2:18" ht="15" x14ac:dyDescent="0.15">
      <c r="B9" s="22" t="s">
        <v>241</v>
      </c>
    </row>
    <row r="10" spans="2:18" ht="15" x14ac:dyDescent="0.15">
      <c r="B10" s="22" t="s">
        <v>904</v>
      </c>
    </row>
    <row r="11" spans="2:18" ht="15" x14ac:dyDescent="0.15">
      <c r="B11" s="22" t="s">
        <v>242</v>
      </c>
    </row>
  </sheetData>
  <phoneticPr fontId="1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2:E9"/>
  <sheetViews>
    <sheetView zoomScale="85" zoomScaleNormal="85" workbookViewId="0">
      <selection activeCell="K23" sqref="K23"/>
    </sheetView>
  </sheetViews>
  <sheetFormatPr defaultRowHeight="13.5" x14ac:dyDescent="0.15"/>
  <sheetData>
    <row r="2" spans="2:5" ht="15" x14ac:dyDescent="0.15">
      <c r="B2" s="22" t="s">
        <v>132</v>
      </c>
      <c r="C2" s="22"/>
      <c r="D2" s="22"/>
      <c r="E2" s="22"/>
    </row>
    <row r="3" spans="2:5" ht="15" x14ac:dyDescent="0.15">
      <c r="B3" s="22" t="s">
        <v>88</v>
      </c>
      <c r="C3" s="22"/>
      <c r="D3" s="22"/>
      <c r="E3" s="22" t="s">
        <v>130</v>
      </c>
    </row>
    <row r="4" spans="2:5" ht="15" x14ac:dyDescent="0.15">
      <c r="B4" s="22" t="s">
        <v>89</v>
      </c>
      <c r="C4" s="22"/>
      <c r="D4" s="22"/>
      <c r="E4" s="22" t="s">
        <v>245</v>
      </c>
    </row>
    <row r="5" spans="2:5" ht="15" x14ac:dyDescent="0.15">
      <c r="B5" s="22" t="s">
        <v>91</v>
      </c>
      <c r="C5" s="22"/>
      <c r="D5" s="22"/>
      <c r="E5" s="22" t="s">
        <v>99</v>
      </c>
    </row>
    <row r="6" spans="2:5" ht="15" x14ac:dyDescent="0.15">
      <c r="B6" s="22" t="s">
        <v>93</v>
      </c>
      <c r="C6" s="22"/>
      <c r="D6" s="22"/>
      <c r="E6" s="22" t="s">
        <v>106</v>
      </c>
    </row>
    <row r="9" spans="2:5" ht="15" x14ac:dyDescent="0.15">
      <c r="B9" s="22" t="s">
        <v>246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58</vt:i4>
      </vt:variant>
      <vt:variant>
        <vt:lpstr>命名范围</vt:lpstr>
      </vt:variant>
      <vt:variant>
        <vt:i4>95</vt:i4>
      </vt:variant>
    </vt:vector>
  </HeadingPairs>
  <TitlesOfParts>
    <vt:vector size="153" baseType="lpstr">
      <vt:lpstr>Setting</vt:lpstr>
      <vt:lpstr>DLC11</vt:lpstr>
      <vt:lpstr>DLC12</vt:lpstr>
      <vt:lpstr>DLC13</vt:lpstr>
      <vt:lpstr>DLC14</vt:lpstr>
      <vt:lpstr>DLC15</vt:lpstr>
      <vt:lpstr>DLC21a</vt:lpstr>
      <vt:lpstr>DLC21b</vt:lpstr>
      <vt:lpstr>DLC21c</vt:lpstr>
      <vt:lpstr>DLC21d</vt:lpstr>
      <vt:lpstr>DLC22a</vt:lpstr>
      <vt:lpstr>DLC22b</vt:lpstr>
      <vt:lpstr>DLC22c</vt:lpstr>
      <vt:lpstr>DLC22d</vt:lpstr>
      <vt:lpstr>DLC23</vt:lpstr>
      <vt:lpstr>DLC24a</vt:lpstr>
      <vt:lpstr>DLC24b</vt:lpstr>
      <vt:lpstr>DLC24c</vt:lpstr>
      <vt:lpstr>DLC24d</vt:lpstr>
      <vt:lpstr>DLC25</vt:lpstr>
      <vt:lpstr>DLC31</vt:lpstr>
      <vt:lpstr>DLC32</vt:lpstr>
      <vt:lpstr>DLC33</vt:lpstr>
      <vt:lpstr>DLC41</vt:lpstr>
      <vt:lpstr>DLC42</vt:lpstr>
      <vt:lpstr>DLC51</vt:lpstr>
      <vt:lpstr>DLC51_0</vt:lpstr>
      <vt:lpstr>DLC61</vt:lpstr>
      <vt:lpstr>DLC62</vt:lpstr>
      <vt:lpstr>DLC63</vt:lpstr>
      <vt:lpstr>DLC64</vt:lpstr>
      <vt:lpstr>DLC71a</vt:lpstr>
      <vt:lpstr>DLC71b</vt:lpstr>
      <vt:lpstr>DLC81a</vt:lpstr>
      <vt:lpstr>DLC81b</vt:lpstr>
      <vt:lpstr>DLC81c</vt:lpstr>
      <vt:lpstr>DLC82b</vt:lpstr>
      <vt:lpstr>DLC82a</vt:lpstr>
      <vt:lpstr>DLC91</vt:lpstr>
      <vt:lpstr>DLC95</vt:lpstr>
      <vt:lpstr>DLC96</vt:lpstr>
      <vt:lpstr>DLC97</vt:lpstr>
      <vt:lpstr>DLCT1</vt:lpstr>
      <vt:lpstr>DLCT2</vt:lpstr>
      <vt:lpstr>DLCT3</vt:lpstr>
      <vt:lpstr>DLCT4</vt:lpstr>
      <vt:lpstr>DLCT5</vt:lpstr>
      <vt:lpstr>DLCT6</vt:lpstr>
      <vt:lpstr>DLCT7</vt:lpstr>
      <vt:lpstr>DLCT8</vt:lpstr>
      <vt:lpstr>DLCT9</vt:lpstr>
      <vt:lpstr>DLCT10</vt:lpstr>
      <vt:lpstr>DLCT11</vt:lpstr>
      <vt:lpstr>DLCT12</vt:lpstr>
      <vt:lpstr>DLCT13a</vt:lpstr>
      <vt:lpstr>DLCT13b</vt:lpstr>
      <vt:lpstr>DLC3x</vt:lpstr>
      <vt:lpstr>DLC82c</vt:lpstr>
      <vt:lpstr>alpha_e</vt:lpstr>
      <vt:lpstr>alpha_n</vt:lpstr>
      <vt:lpstr>Blade_set_angle_error</vt:lpstr>
      <vt:lpstr>Btorque_1</vt:lpstr>
      <vt:lpstr>Btorque_2</vt:lpstr>
      <vt:lpstr>Btorque_max</vt:lpstr>
      <vt:lpstr>buffer_sc</vt:lpstr>
      <vt:lpstr>clutch_as</vt:lpstr>
      <vt:lpstr>clutch_sf</vt:lpstr>
      <vt:lpstr>diameter</vt:lpstr>
      <vt:lpstr>dlc63_y1</vt:lpstr>
      <vt:lpstr>dlc63_y2</vt:lpstr>
      <vt:lpstr>dlc63_y3</vt:lpstr>
      <vt:lpstr>dlc63_y4</vt:lpstr>
      <vt:lpstr>dlc63_y5</vt:lpstr>
      <vt:lpstr>dlc81c_r1</vt:lpstr>
      <vt:lpstr>dlc81c_r2</vt:lpstr>
      <vt:lpstr>dlc81c_r3</vt:lpstr>
      <vt:lpstr>dlc81c_y1</vt:lpstr>
      <vt:lpstr>dlc81c_y2</vt:lpstr>
      <vt:lpstr>dlc81c_y3</vt:lpstr>
      <vt:lpstr>ECD_t</vt:lpstr>
      <vt:lpstr>ECD_v</vt:lpstr>
      <vt:lpstr>EDCT_t</vt:lpstr>
      <vt:lpstr>EOG_t1</vt:lpstr>
      <vt:lpstr>EWS_b</vt:lpstr>
      <vt:lpstr>EWS_t</vt:lpstr>
      <vt:lpstr>H_hp</vt:lpstr>
      <vt:lpstr>h_hub</vt:lpstr>
      <vt:lpstr>H_hy</vt:lpstr>
      <vt:lpstr>H_ice</vt:lpstr>
      <vt:lpstr>H_typhoon</vt:lpstr>
      <vt:lpstr>H_year</vt:lpstr>
      <vt:lpstr>I_ref</vt:lpstr>
      <vt:lpstr>inflow</vt:lpstr>
      <vt:lpstr>LVRT</vt:lpstr>
      <vt:lpstr>m_ty</vt:lpstr>
      <vt:lpstr>m_ty_t</vt:lpstr>
      <vt:lpstr>m_tz</vt:lpstr>
      <vt:lpstr>m_tz_t</vt:lpstr>
      <vt:lpstr>path_sc2</vt:lpstr>
      <vt:lpstr>path_sc3</vt:lpstr>
      <vt:lpstr>Pitch_angle_powprod</vt:lpstr>
      <vt:lpstr>pitch_runaway_feather</vt:lpstr>
      <vt:lpstr>pitch_runaway_fine</vt:lpstr>
      <vt:lpstr>Pitch_runaway_fine_Hardware</vt:lpstr>
      <vt:lpstr>start_pitch</vt:lpstr>
      <vt:lpstr>start_rpm</vt:lpstr>
      <vt:lpstr>t_c</vt:lpstr>
      <vt:lpstr>t_eqk</vt:lpstr>
      <vt:lpstr>T_G</vt:lpstr>
      <vt:lpstr>t_max_sc</vt:lpstr>
      <vt:lpstr>t_min_sc</vt:lpstr>
      <vt:lpstr>T_N4</vt:lpstr>
      <vt:lpstr>T_nshut1</vt:lpstr>
      <vt:lpstr>T_nshut2</vt:lpstr>
      <vt:lpstr>T_nshut3</vt:lpstr>
      <vt:lpstr>t_out</vt:lpstr>
      <vt:lpstr>t_out_sc</vt:lpstr>
      <vt:lpstr>T_s1</vt:lpstr>
      <vt:lpstr>T_s2</vt:lpstr>
      <vt:lpstr>t_sc</vt:lpstr>
      <vt:lpstr>t_sim_sc</vt:lpstr>
      <vt:lpstr>T_startup1</vt:lpstr>
      <vt:lpstr>T_startup2</vt:lpstr>
      <vt:lpstr>T_startup3</vt:lpstr>
      <vt:lpstr>trig_t</vt:lpstr>
      <vt:lpstr>ts_sc</vt:lpstr>
      <vt:lpstr>TTM</vt:lpstr>
      <vt:lpstr>tur_scale</vt:lpstr>
      <vt:lpstr>v_1</vt:lpstr>
      <vt:lpstr>v_50</vt:lpstr>
      <vt:lpstr>v_ave</vt:lpstr>
      <vt:lpstr>v_c</vt:lpstr>
      <vt:lpstr>v_e1</vt:lpstr>
      <vt:lpstr>v_e50</vt:lpstr>
      <vt:lpstr>v_in</vt:lpstr>
      <vt:lpstr>v_m</vt:lpstr>
      <vt:lpstr>v_out</vt:lpstr>
      <vt:lpstr>v_r</vt:lpstr>
      <vt:lpstr>v_ref</vt:lpstr>
      <vt:lpstr>v_step</vt:lpstr>
      <vt:lpstr>V_step_12</vt:lpstr>
      <vt:lpstr>v_T1</vt:lpstr>
      <vt:lpstr>v_tref</vt:lpstr>
      <vt:lpstr>vr_a</vt:lpstr>
      <vt:lpstr>vr_b</vt:lpstr>
      <vt:lpstr>weibull_A</vt:lpstr>
      <vt:lpstr>weibull_K</vt:lpstr>
      <vt:lpstr>wpd</vt:lpstr>
      <vt:lpstr>Yaw_frition</vt:lpstr>
      <vt:lpstr>yaw_max</vt:lpstr>
      <vt:lpstr>yaw_min</vt:lpstr>
      <vt:lpstr>yaw_null</vt:lpstr>
      <vt:lpstr>yaw_runaway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林胜洋</dc:creator>
  <cp:lastModifiedBy>谢炜</cp:lastModifiedBy>
  <dcterms:created xsi:type="dcterms:W3CDTF">2006-09-13T11:21:51Z</dcterms:created>
  <dcterms:modified xsi:type="dcterms:W3CDTF">2020-10-30T01:02:34Z</dcterms:modified>
</cp:coreProperties>
</file>